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omments3.xml" ContentType="application/vnd.openxmlformats-officedocument.spreadsheetml.comments+xml"/>
  <Override PartName="/xl/charts/chart1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omments4.xml" ContentType="application/vnd.openxmlformats-officedocument.spreadsheetml.comments+xml"/>
  <Override PartName="/xl/charts/chart1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omments5.xml" ContentType="application/vnd.openxmlformats-officedocument.spreadsheetml.comments+xml"/>
  <Override PartName="/xl/charts/chart16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omments6.xml" ContentType="application/vnd.openxmlformats-officedocument.spreadsheetml.comments+xml"/>
  <Override PartName="/xl/charts/chart1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omments7.xml" ContentType="application/vnd.openxmlformats-officedocument.spreadsheetml.comments+xml"/>
  <Override PartName="/xl/charts/chart18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omments8.xml" ContentType="application/vnd.openxmlformats-officedocument.spreadsheetml.comments+xml"/>
  <Override PartName="/xl/charts/chart19.xml" ContentType="application/vnd.openxmlformats-officedocument.drawingml.chart+xml"/>
  <Override PartName="/xl/drawings/drawing4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filterPrivacy="1" codeName="ThisWorkbook" defaultThemeVersion="124226"/>
  <xr:revisionPtr revIDLastSave="0" documentId="13_ncr:1_{6E7D8D09-67F8-471D-876D-7D1D5F649668}" xr6:coauthVersionLast="45" xr6:coauthVersionMax="45" xr10:uidLastSave="{00000000-0000-0000-0000-000000000000}"/>
  <bookViews>
    <workbookView xWindow="-120" yWindow="-120" windowWidth="24240" windowHeight="13140" firstSheet="29" activeTab="32" xr2:uid="{00000000-000D-0000-FFFF-FFFF00000000}"/>
  </bookViews>
  <sheets>
    <sheet name="MAIN (7)" sheetId="1" state="hidden" r:id="rId1"/>
    <sheet name="SHOP INCOME (7)" sheetId="2" state="hidden" r:id="rId2"/>
    <sheet name="MAIN (8)" sheetId="3" state="hidden" r:id="rId3"/>
    <sheet name="SHOP INCOME (8)" sheetId="4" state="hidden" r:id="rId4"/>
    <sheet name="MAIN (9)" sheetId="5" state="hidden" r:id="rId5"/>
    <sheet name="SHOP INCOME (9)" sheetId="6" state="hidden" r:id="rId6"/>
    <sheet name="MAIN (10)" sheetId="7" state="hidden" r:id="rId7"/>
    <sheet name="SHOP INCOME (10)" sheetId="8" state="hidden" r:id="rId8"/>
    <sheet name="MAIN (11)" sheetId="9" state="hidden" r:id="rId9"/>
    <sheet name="SHOP INCOME (11)" sheetId="10" state="hidden" r:id="rId10"/>
    <sheet name="MAIN (12)" sheetId="11" state="hidden" r:id="rId11"/>
    <sheet name="SHOP INCOME (12)" sheetId="12" state="hidden" r:id="rId12"/>
    <sheet name="E&amp;M SHOP INCOME (1-19)" sheetId="14" state="hidden" r:id="rId13"/>
    <sheet name="E&amp;M SHOP INCOME (2-19) " sheetId="15" state="hidden" r:id="rId14"/>
    <sheet name="E&amp;M SHOP INCOME (3-19)" sheetId="16" state="hidden" r:id="rId15"/>
    <sheet name="E&amp;M SHOP INCOME (4-19)" sheetId="17" state="hidden" r:id="rId16"/>
    <sheet name="E&amp;M SHOP INCOME (5-19)" sheetId="18" state="hidden" r:id="rId17"/>
    <sheet name="E&amp;M SHOP INCOME (6-19)" sheetId="19" state="hidden" r:id="rId18"/>
    <sheet name="E&amp;M + RAWABI INCOME (7-19)" sheetId="22" state="hidden" r:id="rId19"/>
    <sheet name="RAWABI INCOME (8-19)" sheetId="23" state="hidden" r:id="rId20"/>
    <sheet name="RAWABI INCOME (9-19)" sheetId="26" state="hidden" r:id="rId21"/>
    <sheet name="RAWABI INCOME (10-19) " sheetId="27" state="hidden" r:id="rId22"/>
    <sheet name="RAWABI INCOME 11-19)" sheetId="28" state="hidden" r:id="rId23"/>
    <sheet name="EXPERAMENTAL" sheetId="29" state="hidden" r:id="rId24"/>
    <sheet name="RAWABI INCOME 1-2020" sheetId="30" r:id="rId25"/>
    <sheet name="RAWABI INCOME 2-2020" sheetId="31" r:id="rId26"/>
    <sheet name="RAWABI INCOME 3-2020" sheetId="32" r:id="rId27"/>
    <sheet name="RAWABI INCOME 4-2020" sheetId="33" r:id="rId28"/>
    <sheet name="RAWABI INCOME 5-2020" sheetId="36" r:id="rId29"/>
    <sheet name="RAWABI INCOME 6-2020" sheetId="37" r:id="rId30"/>
    <sheet name="EXPERAMENTAL 1" sheetId="38" r:id="rId31"/>
    <sheet name="RAWABI INCOME 7-2020" sheetId="39" r:id="rId32"/>
    <sheet name="EXPERAMENTAL SALEEM COMMISION" sheetId="40" r:id="rId33"/>
  </sheets>
  <externalReferences>
    <externalReference r:id="rId3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5" i="39" l="1"/>
  <c r="AH80" i="39"/>
  <c r="AH81" i="39" s="1"/>
  <c r="AH43" i="39"/>
  <c r="AH42" i="39"/>
  <c r="AH41" i="39"/>
  <c r="AH40" i="39"/>
  <c r="AH39" i="39"/>
  <c r="AH38" i="39"/>
  <c r="AH37" i="39"/>
  <c r="AH36" i="39"/>
  <c r="AH35" i="39"/>
  <c r="AH34" i="39"/>
  <c r="AH33" i="39"/>
  <c r="AH32" i="39"/>
  <c r="AH31" i="39"/>
  <c r="AH30" i="39"/>
  <c r="AH29" i="39"/>
  <c r="AH28" i="39"/>
  <c r="AH27" i="39"/>
  <c r="AH26" i="39"/>
  <c r="AH25" i="39"/>
  <c r="AH24" i="39"/>
  <c r="AH23" i="39"/>
  <c r="AH22" i="39"/>
  <c r="AH21" i="39"/>
  <c r="AH20" i="39"/>
  <c r="AH45" i="39" s="1"/>
  <c r="AH4" i="39"/>
  <c r="AH3" i="39" s="1"/>
  <c r="AH8" i="39"/>
  <c r="AH9" i="39"/>
  <c r="F36" i="40" l="1"/>
  <c r="G36" i="40"/>
  <c r="F37" i="40"/>
  <c r="G37" i="40" s="1"/>
  <c r="F38" i="40"/>
  <c r="G38" i="40"/>
  <c r="F33" i="40"/>
  <c r="G33" i="40"/>
  <c r="F34" i="40"/>
  <c r="G34" i="40" s="1"/>
  <c r="F35" i="40"/>
  <c r="G35" i="40"/>
  <c r="F28" i="40"/>
  <c r="G28" i="40"/>
  <c r="F29" i="40"/>
  <c r="G29" i="40" s="1"/>
  <c r="F30" i="40"/>
  <c r="G30" i="40"/>
  <c r="F31" i="40"/>
  <c r="G31" i="40"/>
  <c r="F32" i="40"/>
  <c r="G32" i="40"/>
  <c r="F20" i="40"/>
  <c r="G20" i="40"/>
  <c r="F21" i="40"/>
  <c r="G21" i="40" s="1"/>
  <c r="F22" i="40"/>
  <c r="G22" i="40"/>
  <c r="F23" i="40"/>
  <c r="G23" i="40"/>
  <c r="F24" i="40"/>
  <c r="G24" i="40"/>
  <c r="F25" i="40"/>
  <c r="G25" i="40" s="1"/>
  <c r="F26" i="40"/>
  <c r="G26" i="40"/>
  <c r="F27" i="40"/>
  <c r="G27" i="40"/>
  <c r="F18" i="40"/>
  <c r="G18" i="40"/>
  <c r="F19" i="40"/>
  <c r="G19" i="40" s="1"/>
  <c r="F14" i="40"/>
  <c r="F17" i="40"/>
  <c r="F5" i="40"/>
  <c r="G5" i="40"/>
  <c r="F10" i="40"/>
  <c r="F9" i="40"/>
  <c r="F8" i="40"/>
  <c r="F7" i="40"/>
  <c r="F6" i="40"/>
  <c r="H20" i="40"/>
  <c r="H38" i="40"/>
  <c r="H24" i="40"/>
  <c r="H32" i="40"/>
  <c r="H31" i="40"/>
  <c r="H33" i="40"/>
  <c r="H35" i="40"/>
  <c r="H19" i="40"/>
  <c r="H34" i="40"/>
  <c r="H18" i="40"/>
  <c r="H21" i="40"/>
  <c r="H23" i="40"/>
  <c r="H29" i="40"/>
  <c r="H27" i="40"/>
  <c r="H28" i="40"/>
  <c r="H37" i="40"/>
  <c r="H36" i="40"/>
  <c r="H22" i="40"/>
  <c r="H25" i="40"/>
  <c r="H26" i="40"/>
  <c r="H30" i="40"/>
  <c r="G17" i="40" l="1"/>
  <c r="G16" i="40"/>
  <c r="F16" i="40"/>
  <c r="F15" i="40"/>
  <c r="G15" i="40" s="1"/>
  <c r="G14" i="40"/>
  <c r="F13" i="40"/>
  <c r="G13" i="40" s="1"/>
  <c r="F12" i="40"/>
  <c r="G12" i="40" s="1"/>
  <c r="F11" i="40"/>
  <c r="G11" i="40" s="1"/>
  <c r="G10" i="40"/>
  <c r="G9" i="40"/>
  <c r="G8" i="40"/>
  <c r="C8" i="40"/>
  <c r="G7" i="40"/>
  <c r="G6" i="40"/>
  <c r="H12" i="40"/>
  <c r="H16" i="40"/>
  <c r="H9" i="40"/>
  <c r="H7" i="40"/>
  <c r="H17" i="40"/>
  <c r="H10" i="40"/>
  <c r="H6" i="40"/>
  <c r="H5" i="40"/>
  <c r="H8" i="40"/>
  <c r="H14" i="40"/>
  <c r="H15" i="40"/>
  <c r="H13" i="40"/>
  <c r="H11" i="40"/>
  <c r="AM31" i="40" l="1"/>
  <c r="AM56" i="40" s="1"/>
  <c r="AG81" i="39" l="1"/>
  <c r="AG80" i="39"/>
  <c r="AG43" i="39"/>
  <c r="AG42" i="39"/>
  <c r="AG41" i="39"/>
  <c r="AG40" i="39"/>
  <c r="AG39" i="39"/>
  <c r="AG38" i="39"/>
  <c r="AG37" i="39"/>
  <c r="AG36" i="39"/>
  <c r="AG35" i="39"/>
  <c r="AG34" i="39"/>
  <c r="AG33" i="39"/>
  <c r="AG32" i="39"/>
  <c r="AG31" i="39"/>
  <c r="AG30" i="39"/>
  <c r="AG29" i="39"/>
  <c r="AG28" i="39"/>
  <c r="AG27" i="39"/>
  <c r="AG26" i="39"/>
  <c r="AG25" i="39"/>
  <c r="AG24" i="39"/>
  <c r="AG23" i="39"/>
  <c r="AG22" i="39"/>
  <c r="AG21" i="39"/>
  <c r="AG20" i="39"/>
  <c r="AG45" i="39" s="1"/>
  <c r="AG4" i="39"/>
  <c r="AG3" i="39" s="1"/>
  <c r="AG8" i="39"/>
  <c r="AG9" i="39"/>
  <c r="AK4" i="39" l="1"/>
  <c r="AK3" i="39"/>
  <c r="BX4" i="39" l="1"/>
  <c r="BX3" i="39"/>
  <c r="AF3" i="39" l="1"/>
  <c r="AD4" i="39"/>
  <c r="AD3" i="39" s="1"/>
  <c r="AE4" i="39"/>
  <c r="AE3" i="39" s="1"/>
  <c r="AF4" i="39"/>
  <c r="AC4" i="39"/>
  <c r="AF80" i="39"/>
  <c r="AF81" i="39" s="1"/>
  <c r="AF43" i="39"/>
  <c r="AF42" i="39"/>
  <c r="AF41" i="39"/>
  <c r="AF40" i="39"/>
  <c r="AF39" i="39"/>
  <c r="AF38" i="39"/>
  <c r="AF37" i="39"/>
  <c r="AF36" i="39"/>
  <c r="AF35" i="39"/>
  <c r="AF34" i="39"/>
  <c r="AF33" i="39"/>
  <c r="AF32" i="39"/>
  <c r="AF31" i="39"/>
  <c r="AF30" i="39"/>
  <c r="AF29" i="39"/>
  <c r="AF28" i="39"/>
  <c r="AF27" i="39"/>
  <c r="AF26" i="39"/>
  <c r="AF25" i="39"/>
  <c r="AF24" i="39"/>
  <c r="AF23" i="39"/>
  <c r="AF22" i="39"/>
  <c r="AF21" i="39"/>
  <c r="AF20" i="39"/>
  <c r="AF45" i="39" s="1"/>
  <c r="AF8" i="39"/>
  <c r="AF9" i="39"/>
  <c r="AE80" i="39"/>
  <c r="AE81" i="39" s="1"/>
  <c r="AE43" i="39"/>
  <c r="AE42" i="39"/>
  <c r="AE41" i="39"/>
  <c r="AE40" i="39"/>
  <c r="AE39" i="39"/>
  <c r="AE38" i="39"/>
  <c r="AE37" i="39"/>
  <c r="AE36" i="39"/>
  <c r="AE35" i="39"/>
  <c r="AE34" i="39"/>
  <c r="AE33" i="39"/>
  <c r="AE32" i="39"/>
  <c r="AE31" i="39"/>
  <c r="AE30" i="39"/>
  <c r="AE29" i="39"/>
  <c r="AE28" i="39"/>
  <c r="AE27" i="39"/>
  <c r="AE26" i="39"/>
  <c r="AE25" i="39"/>
  <c r="AE24" i="39"/>
  <c r="AE23" i="39"/>
  <c r="AE22" i="39"/>
  <c r="AE21" i="39"/>
  <c r="AE20" i="39"/>
  <c r="AE45" i="39" s="1"/>
  <c r="AD80" i="39" l="1"/>
  <c r="AD81" i="39" s="1"/>
  <c r="AD43" i="39"/>
  <c r="AD42" i="39"/>
  <c r="AD41" i="39"/>
  <c r="AD40" i="39"/>
  <c r="AD39" i="39"/>
  <c r="AD38" i="39"/>
  <c r="AD37" i="39"/>
  <c r="AD36" i="39"/>
  <c r="AD35" i="39"/>
  <c r="AD34" i="39"/>
  <c r="AD33" i="39"/>
  <c r="AD32" i="39"/>
  <c r="AD31" i="39"/>
  <c r="AD30" i="39"/>
  <c r="AD29" i="39"/>
  <c r="AD28" i="39"/>
  <c r="AD27" i="39"/>
  <c r="AD26" i="39"/>
  <c r="AD25" i="39"/>
  <c r="AD24" i="39"/>
  <c r="AD23" i="39"/>
  <c r="AD22" i="39"/>
  <c r="AD21" i="39"/>
  <c r="AD20" i="39"/>
  <c r="AD45" i="39" s="1"/>
  <c r="Y3" i="39" l="1"/>
  <c r="Z3" i="39"/>
  <c r="AC3" i="39"/>
  <c r="AC80" i="39"/>
  <c r="AC81" i="39" s="1"/>
  <c r="AC43" i="39"/>
  <c r="AC42" i="39"/>
  <c r="AC41" i="39"/>
  <c r="AC40" i="39"/>
  <c r="AC39" i="39"/>
  <c r="AC38" i="39"/>
  <c r="AC37" i="39"/>
  <c r="AC36" i="39"/>
  <c r="AC35" i="39"/>
  <c r="AC34" i="39"/>
  <c r="AC33" i="39"/>
  <c r="AC32" i="39"/>
  <c r="AC31" i="39"/>
  <c r="AC30" i="39"/>
  <c r="AC29" i="39"/>
  <c r="AC28" i="39"/>
  <c r="AC27" i="39"/>
  <c r="AC26" i="39"/>
  <c r="AC25" i="39"/>
  <c r="AC24" i="39"/>
  <c r="AC23" i="39"/>
  <c r="AC22" i="39"/>
  <c r="AC21" i="39"/>
  <c r="AC20" i="39"/>
  <c r="AC45" i="39" s="1"/>
  <c r="AC9" i="39"/>
  <c r="AC8" i="39"/>
  <c r="M33" i="40" l="1"/>
  <c r="M34" i="40" s="1"/>
  <c r="AH39" i="40"/>
  <c r="AF39" i="40" s="1"/>
  <c r="AG39" i="40" s="1"/>
  <c r="AI39" i="40"/>
  <c r="O37" i="40"/>
  <c r="AH37" i="40" s="1"/>
  <c r="AI37" i="40" s="1"/>
  <c r="O35" i="40"/>
  <c r="AF37" i="40" l="1"/>
  <c r="AG37" i="40" s="1"/>
  <c r="AH35" i="40"/>
  <c r="AI35" i="40" s="1"/>
  <c r="O33" i="40"/>
  <c r="AH33" i="40" s="1"/>
  <c r="AF109" i="40"/>
  <c r="AF110" i="40" s="1"/>
  <c r="AG108" i="40"/>
  <c r="AG107" i="40" s="1"/>
  <c r="AH107" i="40" s="1"/>
  <c r="L108" i="40"/>
  <c r="CK101" i="40"/>
  <c r="CI101" i="40"/>
  <c r="CC101" i="40"/>
  <c r="CB101" i="40"/>
  <c r="CA101" i="40"/>
  <c r="BZ101" i="40"/>
  <c r="BY101" i="40"/>
  <c r="BX101" i="40"/>
  <c r="BW101" i="40"/>
  <c r="BQ101" i="40"/>
  <c r="BP101" i="40"/>
  <c r="BO101" i="40"/>
  <c r="BN101" i="40"/>
  <c r="BM101" i="40"/>
  <c r="BL101" i="40"/>
  <c r="BK101" i="40"/>
  <c r="BE101" i="40"/>
  <c r="BD101" i="40"/>
  <c r="BC101" i="40"/>
  <c r="BB101" i="40"/>
  <c r="BA101" i="40"/>
  <c r="AZ101" i="40"/>
  <c r="AY101" i="40"/>
  <c r="CK100" i="40"/>
  <c r="CI100" i="40"/>
  <c r="CC100" i="40"/>
  <c r="CB100" i="40"/>
  <c r="CA100" i="40"/>
  <c r="BZ100" i="40"/>
  <c r="BY100" i="40"/>
  <c r="BX100" i="40"/>
  <c r="BW100" i="40"/>
  <c r="BQ100" i="40"/>
  <c r="BP100" i="40"/>
  <c r="BO100" i="40"/>
  <c r="BN100" i="40"/>
  <c r="BM100" i="40"/>
  <c r="BL100" i="40"/>
  <c r="BK100" i="40"/>
  <c r="BE100" i="40"/>
  <c r="BD100" i="40"/>
  <c r="BC100" i="40"/>
  <c r="BB100" i="40"/>
  <c r="BA100" i="40"/>
  <c r="AZ100" i="40"/>
  <c r="AY100" i="40"/>
  <c r="CK99" i="40"/>
  <c r="CI99" i="40"/>
  <c r="CC99" i="40"/>
  <c r="CB99" i="40"/>
  <c r="CA99" i="40"/>
  <c r="BZ99" i="40"/>
  <c r="BY99" i="40"/>
  <c r="BX99" i="40"/>
  <c r="BW99" i="40"/>
  <c r="BQ99" i="40"/>
  <c r="BP99" i="40"/>
  <c r="BO99" i="40"/>
  <c r="BN99" i="40"/>
  <c r="BM99" i="40"/>
  <c r="BL99" i="40"/>
  <c r="BK99" i="40"/>
  <c r="BE99" i="40"/>
  <c r="BD99" i="40"/>
  <c r="BC99" i="40"/>
  <c r="BB99" i="40"/>
  <c r="BA99" i="40"/>
  <c r="AZ99" i="40"/>
  <c r="AY99" i="40"/>
  <c r="AG97" i="40"/>
  <c r="CK96" i="40"/>
  <c r="CI96" i="40"/>
  <c r="CC96" i="40"/>
  <c r="CB96" i="40"/>
  <c r="CB103" i="40" s="1"/>
  <c r="CB105" i="40" s="1"/>
  <c r="CA96" i="40"/>
  <c r="BZ96" i="40"/>
  <c r="BY96" i="40"/>
  <c r="BX96" i="40"/>
  <c r="BW96" i="40"/>
  <c r="BQ96" i="40"/>
  <c r="BP96" i="40"/>
  <c r="BO96" i="40"/>
  <c r="BN96" i="40"/>
  <c r="BM96" i="40"/>
  <c r="BL96" i="40"/>
  <c r="BK96" i="40"/>
  <c r="BK103" i="40" s="1"/>
  <c r="BE96" i="40"/>
  <c r="BD96" i="40"/>
  <c r="BC96" i="40"/>
  <c r="BB96" i="40"/>
  <c r="BB103" i="40" s="1"/>
  <c r="BB105" i="40" s="1"/>
  <c r="BA96" i="40"/>
  <c r="AZ96" i="40"/>
  <c r="AY96" i="40"/>
  <c r="CM94" i="40"/>
  <c r="CE94" i="40"/>
  <c r="BS94" i="40"/>
  <c r="BG94" i="40"/>
  <c r="CM92" i="40"/>
  <c r="CE92" i="40"/>
  <c r="BS92" i="40"/>
  <c r="BG92" i="40"/>
  <c r="O92" i="40"/>
  <c r="CM91" i="40"/>
  <c r="CE91" i="40"/>
  <c r="BS91" i="40"/>
  <c r="BG91" i="40"/>
  <c r="AS91" i="40"/>
  <c r="AS92" i="40" s="1"/>
  <c r="AR91" i="40"/>
  <c r="AR92" i="40" s="1"/>
  <c r="AQ91" i="40"/>
  <c r="AQ92" i="40" s="1"/>
  <c r="AP91" i="40"/>
  <c r="AP92" i="40" s="1"/>
  <c r="AO91" i="40"/>
  <c r="AO92" i="40" s="1"/>
  <c r="AN91" i="40"/>
  <c r="AN92" i="40" s="1"/>
  <c r="AM91" i="40"/>
  <c r="AM92" i="40" s="1"/>
  <c r="AG91" i="40"/>
  <c r="AG92" i="40" s="1"/>
  <c r="CM89" i="40"/>
  <c r="CE89" i="40"/>
  <c r="BS89" i="40"/>
  <c r="BG89" i="40"/>
  <c r="CM88" i="40"/>
  <c r="CE88" i="40"/>
  <c r="CM84" i="40"/>
  <c r="CE84" i="40"/>
  <c r="BS84" i="40"/>
  <c r="BG84" i="40"/>
  <c r="O84" i="40"/>
  <c r="AJ82" i="40" s="1"/>
  <c r="CM83" i="40"/>
  <c r="CE83" i="40"/>
  <c r="BS83" i="40"/>
  <c r="BG83" i="40"/>
  <c r="AG83" i="40"/>
  <c r="CM82" i="40"/>
  <c r="CE82" i="40"/>
  <c r="BS82" i="40"/>
  <c r="BG82" i="40"/>
  <c r="AG82" i="40"/>
  <c r="CM81" i="40"/>
  <c r="CE81" i="40"/>
  <c r="BS81" i="40"/>
  <c r="BG81" i="40"/>
  <c r="AG81" i="40"/>
  <c r="BT81" i="40" s="1"/>
  <c r="CM80" i="40"/>
  <c r="CE80" i="40"/>
  <c r="BS80" i="40"/>
  <c r="BG80" i="40"/>
  <c r="AG80" i="40"/>
  <c r="CF80" i="40" s="1"/>
  <c r="CM79" i="40"/>
  <c r="CE79" i="40"/>
  <c r="BS79" i="40"/>
  <c r="BG79" i="40"/>
  <c r="AG79" i="40"/>
  <c r="BT79" i="40" s="1"/>
  <c r="CM78" i="40"/>
  <c r="CE78" i="40"/>
  <c r="BS78" i="40"/>
  <c r="BG78" i="40"/>
  <c r="AG78" i="40"/>
  <c r="BH78" i="40" s="1"/>
  <c r="CM77" i="40"/>
  <c r="CE77" i="40"/>
  <c r="BS77" i="40"/>
  <c r="BG77" i="40"/>
  <c r="AG77" i="40"/>
  <c r="CM76" i="40"/>
  <c r="CE76" i="40"/>
  <c r="BS76" i="40"/>
  <c r="BG76" i="40"/>
  <c r="AG76" i="40"/>
  <c r="CM75" i="40"/>
  <c r="CE75" i="40"/>
  <c r="BS75" i="40"/>
  <c r="BG75" i="40"/>
  <c r="AG75" i="40"/>
  <c r="BT75" i="40" s="1"/>
  <c r="O71" i="40"/>
  <c r="CM70" i="40"/>
  <c r="CE70" i="40"/>
  <c r="BS70" i="40"/>
  <c r="BG70" i="40"/>
  <c r="AG70" i="40"/>
  <c r="CM69" i="40"/>
  <c r="CE69" i="40"/>
  <c r="BS69" i="40"/>
  <c r="BG69" i="40"/>
  <c r="AG69" i="40"/>
  <c r="CM68" i="40"/>
  <c r="CE68" i="40"/>
  <c r="BS68" i="40"/>
  <c r="BG68" i="40"/>
  <c r="AG68" i="40"/>
  <c r="CM67" i="40"/>
  <c r="CE67" i="40"/>
  <c r="BS67" i="40"/>
  <c r="BG67" i="40"/>
  <c r="AG67" i="40"/>
  <c r="CF67" i="40" s="1"/>
  <c r="CM66" i="40"/>
  <c r="CE66" i="40"/>
  <c r="BS66" i="40"/>
  <c r="BG66" i="40"/>
  <c r="AG66" i="40"/>
  <c r="BH66" i="40" s="1"/>
  <c r="CM65" i="40"/>
  <c r="CE65" i="40"/>
  <c r="BS65" i="40"/>
  <c r="BG65" i="40"/>
  <c r="AG65" i="40"/>
  <c r="CM64" i="40"/>
  <c r="CE64" i="40"/>
  <c r="BS64" i="40"/>
  <c r="BG64" i="40"/>
  <c r="AJ64" i="40"/>
  <c r="AG64" i="40"/>
  <c r="CM63" i="40"/>
  <c r="CE63" i="40"/>
  <c r="BS63" i="40"/>
  <c r="BG63" i="40"/>
  <c r="AG63" i="40"/>
  <c r="CF63" i="40" s="1"/>
  <c r="CM62" i="40"/>
  <c r="CE62" i="40"/>
  <c r="BS62" i="40"/>
  <c r="BG62" i="40"/>
  <c r="AG62" i="40"/>
  <c r="BH62" i="40" s="1"/>
  <c r="CM60" i="40"/>
  <c r="CE60" i="40"/>
  <c r="BS60" i="40"/>
  <c r="BG60" i="40"/>
  <c r="CQ56" i="40"/>
  <c r="CR54" i="40"/>
  <c r="CM54" i="40"/>
  <c r="CE54" i="40"/>
  <c r="BS54" i="40"/>
  <c r="BG54" i="40"/>
  <c r="AH54" i="40"/>
  <c r="AF54" i="40" s="1"/>
  <c r="AG54" i="40" s="1"/>
  <c r="CR53" i="40"/>
  <c r="CM53" i="40"/>
  <c r="CE53" i="40"/>
  <c r="BS53" i="40"/>
  <c r="BG53" i="40"/>
  <c r="AH53" i="40"/>
  <c r="AF53" i="40" s="1"/>
  <c r="AG53" i="40" s="1"/>
  <c r="CR52" i="40"/>
  <c r="CM52" i="40"/>
  <c r="CE52" i="40"/>
  <c r="BS52" i="40"/>
  <c r="BG52" i="40"/>
  <c r="AH52" i="40"/>
  <c r="AF52" i="40" s="1"/>
  <c r="AG52" i="40" s="1"/>
  <c r="AQ52" i="40" s="1"/>
  <c r="CR51" i="40"/>
  <c r="CM51" i="40"/>
  <c r="CE51" i="40"/>
  <c r="BS51" i="40"/>
  <c r="BG51" i="40"/>
  <c r="AH51" i="40"/>
  <c r="AF51" i="40" s="1"/>
  <c r="AG51" i="40" s="1"/>
  <c r="CR50" i="40"/>
  <c r="CM50" i="40"/>
  <c r="CE50" i="40"/>
  <c r="BS50" i="40"/>
  <c r="BG50" i="40"/>
  <c r="AH50" i="40"/>
  <c r="AF50" i="40" s="1"/>
  <c r="AG50" i="40" s="1"/>
  <c r="CR49" i="40"/>
  <c r="CM49" i="40"/>
  <c r="CE49" i="40"/>
  <c r="BS49" i="40"/>
  <c r="BG49" i="40"/>
  <c r="AH49" i="40"/>
  <c r="AF49" i="40" s="1"/>
  <c r="AG49" i="40" s="1"/>
  <c r="CR48" i="40"/>
  <c r="CM48" i="40"/>
  <c r="CE48" i="40"/>
  <c r="BS48" i="40"/>
  <c r="BG48" i="40"/>
  <c r="AH48" i="40"/>
  <c r="AF48" i="40" s="1"/>
  <c r="AG48" i="40" s="1"/>
  <c r="AQ48" i="40" s="1"/>
  <c r="CR47" i="40"/>
  <c r="CM47" i="40"/>
  <c r="CE47" i="40"/>
  <c r="BS47" i="40"/>
  <c r="BG47" i="40"/>
  <c r="AH47" i="40"/>
  <c r="AI47" i="40" s="1"/>
  <c r="AO47" i="40" s="1"/>
  <c r="CR46" i="40"/>
  <c r="CM46" i="40"/>
  <c r="CE46" i="40"/>
  <c r="BS46" i="40"/>
  <c r="BG46" i="40"/>
  <c r="AH46" i="40"/>
  <c r="AF46" i="40" s="1"/>
  <c r="AG46" i="40" s="1"/>
  <c r="AQ46" i="40" s="1"/>
  <c r="CR45" i="40"/>
  <c r="CM45" i="40"/>
  <c r="CE45" i="40"/>
  <c r="BS45" i="40"/>
  <c r="BG45" i="40"/>
  <c r="AH45" i="40"/>
  <c r="AI45" i="40" s="1"/>
  <c r="AO45" i="40" s="1"/>
  <c r="CR44" i="40"/>
  <c r="CM44" i="40"/>
  <c r="CE44" i="40"/>
  <c r="BS44" i="40"/>
  <c r="BG44" i="40"/>
  <c r="AH44" i="40"/>
  <c r="AI44" i="40" s="1"/>
  <c r="AO44" i="40" s="1"/>
  <c r="CR43" i="40"/>
  <c r="CM43" i="40"/>
  <c r="CE43" i="40"/>
  <c r="BS43" i="40"/>
  <c r="BG43" i="40"/>
  <c r="AH43" i="40"/>
  <c r="AF43" i="40" s="1"/>
  <c r="AG43" i="40" s="1"/>
  <c r="AN43" i="40" s="1"/>
  <c r="CR42" i="40"/>
  <c r="CM42" i="40"/>
  <c r="CE42" i="40"/>
  <c r="BS42" i="40"/>
  <c r="BG42" i="40"/>
  <c r="AH42" i="40"/>
  <c r="AI42" i="40" s="1"/>
  <c r="AO42" i="40" s="1"/>
  <c r="CR31" i="40"/>
  <c r="CM31" i="40"/>
  <c r="CE31" i="40"/>
  <c r="BS31" i="40"/>
  <c r="BG31" i="40"/>
  <c r="AH31" i="40"/>
  <c r="AF31" i="40" s="1"/>
  <c r="AG31" i="40" s="1"/>
  <c r="CR29" i="40"/>
  <c r="CM29" i="40"/>
  <c r="CE29" i="40"/>
  <c r="BS29" i="40"/>
  <c r="BG29" i="40"/>
  <c r="AH29" i="40"/>
  <c r="AI29" i="40" s="1"/>
  <c r="AO29" i="40" s="1"/>
  <c r="CR28" i="40"/>
  <c r="CM28" i="40"/>
  <c r="CE28" i="40"/>
  <c r="BS28" i="40"/>
  <c r="BG28" i="40"/>
  <c r="AH28" i="40"/>
  <c r="AF28" i="40" s="1"/>
  <c r="AG28" i="40" s="1"/>
  <c r="AS28" i="40" s="1"/>
  <c r="CR27" i="40"/>
  <c r="CM27" i="40"/>
  <c r="CE27" i="40"/>
  <c r="BS27" i="40"/>
  <c r="BG27" i="40"/>
  <c r="AH27" i="40"/>
  <c r="CZ26" i="40"/>
  <c r="CR26" i="40"/>
  <c r="CM26" i="40"/>
  <c r="CE26" i="40"/>
  <c r="BS26" i="40"/>
  <c r="BG26" i="40"/>
  <c r="AH26" i="40"/>
  <c r="AI26" i="40" s="1"/>
  <c r="AO26" i="40" s="1"/>
  <c r="CR25" i="40"/>
  <c r="CM25" i="40"/>
  <c r="CE25" i="40"/>
  <c r="BS25" i="40"/>
  <c r="BG25" i="40"/>
  <c r="AH25" i="40"/>
  <c r="AF25" i="40" s="1"/>
  <c r="AG25" i="40" s="1"/>
  <c r="AN25" i="40" s="1"/>
  <c r="CR24" i="40"/>
  <c r="CM24" i="40"/>
  <c r="CE24" i="40"/>
  <c r="BS24" i="40"/>
  <c r="BG24" i="40"/>
  <c r="AH24" i="40"/>
  <c r="AI24" i="40" s="1"/>
  <c r="AO24" i="40" s="1"/>
  <c r="CZ23" i="40"/>
  <c r="CT1" i="40" s="1"/>
  <c r="DB28" i="40" s="1"/>
  <c r="CR23" i="40"/>
  <c r="CM23" i="40"/>
  <c r="CE23" i="40"/>
  <c r="BS23" i="40"/>
  <c r="BG23" i="40"/>
  <c r="AH23" i="40"/>
  <c r="AF23" i="40" s="1"/>
  <c r="AG23" i="40" s="1"/>
  <c r="AS23" i="40" s="1"/>
  <c r="CR22" i="40"/>
  <c r="CM22" i="40"/>
  <c r="CE22" i="40"/>
  <c r="BS22" i="40"/>
  <c r="BG22" i="40"/>
  <c r="AH22" i="40"/>
  <c r="CR21" i="40"/>
  <c r="CM21" i="40"/>
  <c r="CE21" i="40"/>
  <c r="BS21" i="40"/>
  <c r="BG21" i="40"/>
  <c r="AH21" i="40"/>
  <c r="AF21" i="40" s="1"/>
  <c r="AG21" i="40" s="1"/>
  <c r="CR20" i="40"/>
  <c r="CM20" i="40"/>
  <c r="CE20" i="40"/>
  <c r="BS20" i="40"/>
  <c r="BG20" i="40"/>
  <c r="AH20" i="40"/>
  <c r="AF20" i="40" s="1"/>
  <c r="AG20" i="40" s="1"/>
  <c r="AP20" i="40" s="1"/>
  <c r="CK15" i="40"/>
  <c r="CJ15" i="40"/>
  <c r="CI15" i="40"/>
  <c r="CC15" i="40"/>
  <c r="CB15" i="40"/>
  <c r="CA15" i="40"/>
  <c r="BZ15" i="40"/>
  <c r="BY15" i="40"/>
  <c r="BX15" i="40"/>
  <c r="BW15" i="40"/>
  <c r="BQ15" i="40"/>
  <c r="BP15" i="40"/>
  <c r="BO15" i="40"/>
  <c r="BN15" i="40"/>
  <c r="BM15" i="40"/>
  <c r="BL15" i="40"/>
  <c r="BK15" i="40"/>
  <c r="BE15" i="40"/>
  <c r="BD15" i="40"/>
  <c r="BC15" i="40"/>
  <c r="BB15" i="40"/>
  <c r="BA15" i="40"/>
  <c r="AZ15" i="40"/>
  <c r="AY15" i="40"/>
  <c r="AS15" i="40"/>
  <c r="AR15" i="40"/>
  <c r="AQ15" i="40"/>
  <c r="AP15" i="40"/>
  <c r="AO15" i="40"/>
  <c r="AN15" i="40"/>
  <c r="AM15" i="40"/>
  <c r="CK13" i="40"/>
  <c r="CJ13" i="40"/>
  <c r="CI13" i="40"/>
  <c r="CC13" i="40"/>
  <c r="CB13" i="40"/>
  <c r="CA13" i="40"/>
  <c r="BZ13" i="40"/>
  <c r="BY13" i="40"/>
  <c r="BX13" i="40"/>
  <c r="BW13" i="40"/>
  <c r="BQ13" i="40"/>
  <c r="BP13" i="40"/>
  <c r="BO13" i="40"/>
  <c r="BN13" i="40"/>
  <c r="BM13" i="40"/>
  <c r="BL13" i="40"/>
  <c r="BK13" i="40"/>
  <c r="BE13" i="40"/>
  <c r="BD13" i="40"/>
  <c r="BC13" i="40"/>
  <c r="BB13" i="40"/>
  <c r="BA13" i="40"/>
  <c r="AZ13" i="40"/>
  <c r="AY13" i="40"/>
  <c r="AS13" i="40"/>
  <c r="AR13" i="40"/>
  <c r="AQ13" i="40"/>
  <c r="AP13" i="40"/>
  <c r="AO13" i="40"/>
  <c r="AN13" i="40"/>
  <c r="AM13" i="40"/>
  <c r="CK11" i="40"/>
  <c r="CJ11" i="40"/>
  <c r="CI11" i="40"/>
  <c r="CC11" i="40"/>
  <c r="CB11" i="40"/>
  <c r="CA11" i="40"/>
  <c r="BZ11" i="40"/>
  <c r="BY11" i="40"/>
  <c r="BX11" i="40"/>
  <c r="BW11" i="40"/>
  <c r="BQ11" i="40"/>
  <c r="BP11" i="40"/>
  <c r="BO11" i="40"/>
  <c r="BN11" i="40"/>
  <c r="BM11" i="40"/>
  <c r="BL11" i="40"/>
  <c r="BK11" i="40"/>
  <c r="BE11" i="40"/>
  <c r="BD11" i="40"/>
  <c r="BC11" i="40"/>
  <c r="BB11" i="40"/>
  <c r="BA11" i="40"/>
  <c r="AZ11" i="40"/>
  <c r="AY11" i="40"/>
  <c r="CK9" i="40"/>
  <c r="CJ9" i="40"/>
  <c r="CI9" i="40"/>
  <c r="BQ9" i="40"/>
  <c r="BP9" i="40"/>
  <c r="BO9" i="40"/>
  <c r="BN9" i="40"/>
  <c r="BM9" i="40"/>
  <c r="BL9" i="40"/>
  <c r="BK9" i="40"/>
  <c r="BE9" i="40"/>
  <c r="BD9" i="40"/>
  <c r="BC9" i="40"/>
  <c r="BB9" i="40"/>
  <c r="BA9" i="40"/>
  <c r="AZ9" i="40"/>
  <c r="AY9" i="40"/>
  <c r="AS9" i="40"/>
  <c r="AR9" i="40"/>
  <c r="AQ9" i="40"/>
  <c r="AP9" i="40"/>
  <c r="AO9" i="40"/>
  <c r="AN9" i="40"/>
  <c r="AM9" i="40"/>
  <c r="CK8" i="40"/>
  <c r="CJ8" i="40"/>
  <c r="CI8" i="40"/>
  <c r="BR8" i="40"/>
  <c r="BQ8" i="40"/>
  <c r="BP8" i="40"/>
  <c r="BO8" i="40"/>
  <c r="BN8" i="40"/>
  <c r="BM8" i="40"/>
  <c r="BL8" i="40"/>
  <c r="BK8" i="40"/>
  <c r="BE8" i="40"/>
  <c r="BD8" i="40"/>
  <c r="BC8" i="40"/>
  <c r="BB8" i="40"/>
  <c r="BA8" i="40"/>
  <c r="AZ8" i="40"/>
  <c r="AY8" i="40"/>
  <c r="AS8" i="40"/>
  <c r="AR8" i="40"/>
  <c r="AQ8" i="40"/>
  <c r="AP8" i="40"/>
  <c r="AO8" i="40"/>
  <c r="AN8" i="40"/>
  <c r="AM8" i="40"/>
  <c r="CT7" i="40"/>
  <c r="CW8" i="40" s="1"/>
  <c r="CW9" i="40" s="1"/>
  <c r="CM7" i="40"/>
  <c r="CE7" i="40"/>
  <c r="BS7" i="40"/>
  <c r="BU8" i="40" s="1"/>
  <c r="BU9" i="40" s="1"/>
  <c r="BG7" i="40"/>
  <c r="BI8" i="40" s="1"/>
  <c r="BI9" i="40" s="1"/>
  <c r="AU7" i="40"/>
  <c r="AW8" i="40" s="1"/>
  <c r="AW9" i="40" s="1"/>
  <c r="CO6" i="40"/>
  <c r="CM6" i="40"/>
  <c r="CN9" i="40" s="1"/>
  <c r="CE6" i="40"/>
  <c r="CG6" i="40" s="1"/>
  <c r="BS6" i="40"/>
  <c r="BG6" i="40"/>
  <c r="BI6" i="40" s="1"/>
  <c r="AU6" i="40"/>
  <c r="AW6" i="40" s="1"/>
  <c r="CT5" i="40"/>
  <c r="AG5" i="40" s="1"/>
  <c r="CM5" i="40"/>
  <c r="CE5" i="40"/>
  <c r="BS5" i="40"/>
  <c r="BG5" i="40"/>
  <c r="AU5" i="40"/>
  <c r="CM4" i="40"/>
  <c r="AS4" i="40"/>
  <c r="AS3" i="40" s="1"/>
  <c r="AR4" i="40"/>
  <c r="AR3" i="40" s="1"/>
  <c r="AQ4" i="40"/>
  <c r="AQ3" i="40" s="1"/>
  <c r="AP4" i="40"/>
  <c r="AP3" i="40" s="1"/>
  <c r="AO4" i="40"/>
  <c r="AO3" i="40" s="1"/>
  <c r="AN4" i="40"/>
  <c r="AN3" i="40" s="1"/>
  <c r="AM4" i="40"/>
  <c r="CZ3" i="40"/>
  <c r="Z5" i="39"/>
  <c r="W81" i="39"/>
  <c r="W80" i="39"/>
  <c r="W43" i="39"/>
  <c r="W42" i="39"/>
  <c r="W41" i="39"/>
  <c r="W40" i="39"/>
  <c r="W39" i="39"/>
  <c r="W38" i="39"/>
  <c r="W37" i="39"/>
  <c r="W36" i="39"/>
  <c r="W35" i="39"/>
  <c r="W34" i="39"/>
  <c r="W33" i="39"/>
  <c r="W32" i="39"/>
  <c r="W31" i="39"/>
  <c r="W30" i="39"/>
  <c r="W29" i="39"/>
  <c r="W28" i="39"/>
  <c r="W27" i="39"/>
  <c r="W26" i="39"/>
  <c r="W25" i="39"/>
  <c r="W24" i="39"/>
  <c r="W23" i="39"/>
  <c r="W22" i="39"/>
  <c r="W21" i="39"/>
  <c r="W20" i="39"/>
  <c r="W45" i="39" s="1"/>
  <c r="W4" i="39"/>
  <c r="W3" i="39" s="1"/>
  <c r="CG67" i="40" l="1"/>
  <c r="CZ4" i="40"/>
  <c r="BH81" i="40"/>
  <c r="BI81" i="40" s="1"/>
  <c r="BC103" i="40"/>
  <c r="BC105" i="40" s="1"/>
  <c r="BP103" i="40"/>
  <c r="BP105" i="40" s="1"/>
  <c r="BY103" i="40"/>
  <c r="BY105" i="40" s="1"/>
  <c r="CC103" i="40"/>
  <c r="CC105" i="40" s="1"/>
  <c r="AG7" i="40"/>
  <c r="O7" i="40" s="1"/>
  <c r="BH75" i="40"/>
  <c r="BI75" i="40" s="1"/>
  <c r="CG80" i="40"/>
  <c r="CM9" i="40"/>
  <c r="O56" i="40"/>
  <c r="AJ39" i="40" s="1"/>
  <c r="CF62" i="40"/>
  <c r="CG62" i="40" s="1"/>
  <c r="BH63" i="40"/>
  <c r="BI63" i="40" s="1"/>
  <c r="BI66" i="40"/>
  <c r="BH67" i="40"/>
  <c r="BI67" i="40" s="1"/>
  <c r="AJ79" i="40"/>
  <c r="BU81" i="40"/>
  <c r="BG99" i="40"/>
  <c r="CI103" i="40"/>
  <c r="CI105" i="40" s="1"/>
  <c r="BG100" i="40"/>
  <c r="CM100" i="40"/>
  <c r="BS11" i="40"/>
  <c r="CM71" i="40"/>
  <c r="CN66" i="40"/>
  <c r="CO66" i="40" s="1"/>
  <c r="AV79" i="40"/>
  <c r="CG81" i="40"/>
  <c r="CA103" i="40"/>
  <c r="CA105" i="40" s="1"/>
  <c r="CM96" i="40"/>
  <c r="CF66" i="40"/>
  <c r="CG66" i="40" s="1"/>
  <c r="CM3" i="40"/>
  <c r="CW5" i="40"/>
  <c r="CO8" i="40"/>
  <c r="CO9" i="40" s="1"/>
  <c r="AU9" i="40"/>
  <c r="BH9" i="40"/>
  <c r="CG63" i="40"/>
  <c r="BT67" i="40"/>
  <c r="BU67" i="40" s="1"/>
  <c r="CF75" i="40"/>
  <c r="CG75" i="40" s="1"/>
  <c r="CN79" i="40"/>
  <c r="CO79" i="40" s="1"/>
  <c r="BT80" i="40"/>
  <c r="BU80" i="40" s="1"/>
  <c r="CF81" i="40"/>
  <c r="CN70" i="40"/>
  <c r="CO70" i="40" s="1"/>
  <c r="AV70" i="40"/>
  <c r="AJ69" i="40"/>
  <c r="AJ63" i="40"/>
  <c r="AJ62" i="40"/>
  <c r="AJ65" i="40"/>
  <c r="AJ70" i="40"/>
  <c r="AJ68" i="40"/>
  <c r="BH76" i="40"/>
  <c r="BI76" i="40" s="1"/>
  <c r="CN76" i="40"/>
  <c r="CO76" i="40" s="1"/>
  <c r="CF76" i="40"/>
  <c r="CG76" i="40" s="1"/>
  <c r="AV76" i="40"/>
  <c r="BT83" i="40"/>
  <c r="BU83" i="40" s="1"/>
  <c r="CF83" i="40"/>
  <c r="CG83" i="40" s="1"/>
  <c r="BH83" i="40"/>
  <c r="BI83" i="40" s="1"/>
  <c r="CN83" i="40"/>
  <c r="CO83" i="40" s="1"/>
  <c r="AV83" i="40"/>
  <c r="BN103" i="40"/>
  <c r="BN105" i="40" s="1"/>
  <c r="BT9" i="40"/>
  <c r="BU6" i="40"/>
  <c r="AJ66" i="40"/>
  <c r="AJ67" i="40"/>
  <c r="BH82" i="40"/>
  <c r="BI82" i="40" s="1"/>
  <c r="CF82" i="40"/>
  <c r="CG82" i="40" s="1"/>
  <c r="BW103" i="40"/>
  <c r="BW105" i="40" s="1"/>
  <c r="CE8" i="40"/>
  <c r="AV9" i="40"/>
  <c r="BG11" i="40"/>
  <c r="CM99" i="40"/>
  <c r="BO103" i="40"/>
  <c r="BO105" i="40" s="1"/>
  <c r="CE101" i="40"/>
  <c r="CE9" i="40"/>
  <c r="CM11" i="40"/>
  <c r="CN63" i="40"/>
  <c r="CO63" i="40" s="1"/>
  <c r="BI78" i="40"/>
  <c r="CQ92" i="40"/>
  <c r="CR92" i="40" s="1"/>
  <c r="BS96" i="40"/>
  <c r="CE99" i="40"/>
  <c r="AY103" i="40"/>
  <c r="CE100" i="40"/>
  <c r="BS101" i="40"/>
  <c r="BG9" i="40"/>
  <c r="CG8" i="40"/>
  <c r="CG9" i="40" s="1"/>
  <c r="CM8" i="40"/>
  <c r="CE11" i="40"/>
  <c r="BT63" i="40"/>
  <c r="BU63" i="40" s="1"/>
  <c r="CN67" i="40"/>
  <c r="CO67" i="40" s="1"/>
  <c r="AV75" i="40"/>
  <c r="CN75" i="40"/>
  <c r="CO75" i="40" s="1"/>
  <c r="BH79" i="40"/>
  <c r="BI79" i="40" s="1"/>
  <c r="CF79" i="40"/>
  <c r="AV81" i="40"/>
  <c r="CN81" i="40"/>
  <c r="CO81" i="40" s="1"/>
  <c r="BD103" i="40"/>
  <c r="BD105" i="40" s="1"/>
  <c r="BM103" i="40"/>
  <c r="BM105" i="40" s="1"/>
  <c r="BQ103" i="40"/>
  <c r="BQ105" i="40" s="1"/>
  <c r="BZ103" i="40"/>
  <c r="BZ105" i="40" s="1"/>
  <c r="BS100" i="40"/>
  <c r="BG101" i="40"/>
  <c r="AF35" i="40"/>
  <c r="AG35" i="40" s="1"/>
  <c r="AI33" i="40"/>
  <c r="AF33" i="40"/>
  <c r="AG33" i="40" s="1"/>
  <c r="AF29" i="40"/>
  <c r="AG29" i="40" s="1"/>
  <c r="AR29" i="40" s="1"/>
  <c r="AI21" i="40"/>
  <c r="AO21" i="40" s="1"/>
  <c r="AI28" i="40"/>
  <c r="AO28" i="40" s="1"/>
  <c r="AI46" i="40"/>
  <c r="AO46" i="40" s="1"/>
  <c r="BG56" i="40"/>
  <c r="AI23" i="40"/>
  <c r="AO23" i="40" s="1"/>
  <c r="AI49" i="40"/>
  <c r="AO49" i="40" s="1"/>
  <c r="AI51" i="40"/>
  <c r="AO51" i="40" s="1"/>
  <c r="AI53" i="40"/>
  <c r="AO53" i="40" s="1"/>
  <c r="AU4" i="40"/>
  <c r="AV3" i="40" s="1"/>
  <c r="BS56" i="40"/>
  <c r="AF24" i="40"/>
  <c r="AG24" i="40" s="1"/>
  <c r="AS24" i="40" s="1"/>
  <c r="AF26" i="40"/>
  <c r="AG26" i="40" s="1"/>
  <c r="AR26" i="40" s="1"/>
  <c r="CE56" i="40"/>
  <c r="AF42" i="40"/>
  <c r="AG42" i="40" s="1"/>
  <c r="AQ42" i="40" s="1"/>
  <c r="AF44" i="40"/>
  <c r="AG44" i="40" s="1"/>
  <c r="AR44" i="40" s="1"/>
  <c r="AF45" i="40"/>
  <c r="AG45" i="40" s="1"/>
  <c r="AM45" i="40" s="1"/>
  <c r="AF47" i="40"/>
  <c r="AG47" i="40" s="1"/>
  <c r="AM47" i="40" s="1"/>
  <c r="AR21" i="40"/>
  <c r="AN21" i="40"/>
  <c r="AP21" i="40"/>
  <c r="AS21" i="40"/>
  <c r="AM21" i="40"/>
  <c r="AQ21" i="40"/>
  <c r="AR20" i="40"/>
  <c r="AF22" i="40"/>
  <c r="AG22" i="40" s="1"/>
  <c r="AI22" i="40"/>
  <c r="AO22" i="40" s="1"/>
  <c r="AF27" i="40"/>
  <c r="AG27" i="40" s="1"/>
  <c r="AI27" i="40"/>
  <c r="AO27" i="40" s="1"/>
  <c r="AR49" i="40"/>
  <c r="AN49" i="40"/>
  <c r="AS49" i="40"/>
  <c r="AM49" i="40"/>
  <c r="AQ49" i="40"/>
  <c r="AR53" i="40"/>
  <c r="AN53" i="40"/>
  <c r="AS53" i="40"/>
  <c r="AM53" i="40"/>
  <c r="AQ53" i="40"/>
  <c r="CF69" i="40"/>
  <c r="CG69" i="40" s="1"/>
  <c r="CN69" i="40"/>
  <c r="CO69" i="40" s="1"/>
  <c r="BH69" i="40"/>
  <c r="BI69" i="40" s="1"/>
  <c r="BT69" i="40"/>
  <c r="BU69" i="40" s="1"/>
  <c r="BU75" i="40"/>
  <c r="CN4" i="40"/>
  <c r="CT6" i="40"/>
  <c r="CT9" i="40" s="1"/>
  <c r="BS8" i="40"/>
  <c r="BS9" i="40"/>
  <c r="CF9" i="40"/>
  <c r="AN20" i="40"/>
  <c r="AS20" i="40"/>
  <c r="AQ25" i="40"/>
  <c r="AM25" i="40"/>
  <c r="AP25" i="40"/>
  <c r="AI31" i="40"/>
  <c r="AQ43" i="40"/>
  <c r="AM43" i="40"/>
  <c r="AP43" i="40"/>
  <c r="AP49" i="40"/>
  <c r="AI50" i="40"/>
  <c r="AO50" i="40" s="1"/>
  <c r="AP53" i="40"/>
  <c r="AI54" i="40"/>
  <c r="AO54" i="40" s="1"/>
  <c r="AH56" i="40"/>
  <c r="AH19" i="40" s="1"/>
  <c r="AI19" i="40" s="1"/>
  <c r="BH64" i="40"/>
  <c r="BI64" i="40" s="1"/>
  <c r="CF64" i="40"/>
  <c r="CG64" i="40" s="1"/>
  <c r="CN64" i="40"/>
  <c r="CO64" i="40" s="1"/>
  <c r="AV64" i="40"/>
  <c r="BT64" i="40"/>
  <c r="BU64" i="40" s="1"/>
  <c r="AV69" i="40"/>
  <c r="DB46" i="40"/>
  <c r="DB45" i="40"/>
  <c r="DB44" i="40"/>
  <c r="DB47" i="40"/>
  <c r="AJ5" i="40"/>
  <c r="AI20" i="40"/>
  <c r="AR23" i="40"/>
  <c r="AN23" i="40"/>
  <c r="AQ23" i="40"/>
  <c r="AM23" i="40"/>
  <c r="AI25" i="40"/>
  <c r="AO25" i="40" s="1"/>
  <c r="AR25" i="40"/>
  <c r="AR28" i="40"/>
  <c r="AN28" i="40"/>
  <c r="AQ28" i="40"/>
  <c r="AM28" i="40"/>
  <c r="AI43" i="40"/>
  <c r="AO43" i="40" s="1"/>
  <c r="AR43" i="40"/>
  <c r="AP48" i="40"/>
  <c r="AS48" i="40"/>
  <c r="AN48" i="40"/>
  <c r="AR48" i="40"/>
  <c r="AM48" i="40"/>
  <c r="AR51" i="40"/>
  <c r="AN51" i="40"/>
  <c r="AS51" i="40"/>
  <c r="AM51" i="40"/>
  <c r="AQ51" i="40"/>
  <c r="AP52" i="40"/>
  <c r="AS52" i="40"/>
  <c r="AN52" i="40"/>
  <c r="AR52" i="40"/>
  <c r="AM52" i="40"/>
  <c r="BS71" i="40"/>
  <c r="CF65" i="40"/>
  <c r="CG65" i="40" s="1"/>
  <c r="CN65" i="40"/>
  <c r="CO65" i="40" s="1"/>
  <c r="BH65" i="40"/>
  <c r="BI65" i="40" s="1"/>
  <c r="BT65" i="40"/>
  <c r="BU65" i="40" s="1"/>
  <c r="AG71" i="40"/>
  <c r="CF77" i="40"/>
  <c r="CG77" i="40" s="1"/>
  <c r="CN77" i="40"/>
  <c r="CO77" i="40" s="1"/>
  <c r="AV77" i="40"/>
  <c r="BH77" i="40"/>
  <c r="BI77" i="40" s="1"/>
  <c r="AG84" i="40"/>
  <c r="O88" i="40"/>
  <c r="AJ81" i="40"/>
  <c r="AJ78" i="40"/>
  <c r="AJ76" i="40"/>
  <c r="AJ80" i="40"/>
  <c r="AJ75" i="40"/>
  <c r="AJ83" i="40"/>
  <c r="AJ77" i="40"/>
  <c r="AM20" i="40"/>
  <c r="AR46" i="40"/>
  <c r="AN46" i="40"/>
  <c r="AP46" i="40"/>
  <c r="AM46" i="40"/>
  <c r="AP50" i="40"/>
  <c r="AS50" i="40"/>
  <c r="AN50" i="40"/>
  <c r="AR50" i="40"/>
  <c r="AM50" i="40"/>
  <c r="AP54" i="40"/>
  <c r="AS54" i="40"/>
  <c r="AN54" i="40"/>
  <c r="AR54" i="40"/>
  <c r="AM54" i="40"/>
  <c r="BX103" i="40"/>
  <c r="BX105" i="40" s="1"/>
  <c r="CE96" i="40"/>
  <c r="AM3" i="40"/>
  <c r="AU3" i="40" s="1"/>
  <c r="BG71" i="40"/>
  <c r="AU8" i="40"/>
  <c r="CT8" i="40"/>
  <c r="CY1" i="40"/>
  <c r="BG8" i="40"/>
  <c r="AQ20" i="40"/>
  <c r="AP23" i="40"/>
  <c r="AS25" i="40"/>
  <c r="AP28" i="40"/>
  <c r="AS43" i="40"/>
  <c r="AS46" i="40"/>
  <c r="AI48" i="40"/>
  <c r="AO48" i="40" s="1"/>
  <c r="AQ50" i="40"/>
  <c r="AP51" i="40"/>
  <c r="AI52" i="40"/>
  <c r="AO52" i="40" s="1"/>
  <c r="AQ54" i="40"/>
  <c r="AV65" i="40"/>
  <c r="BH68" i="40"/>
  <c r="BI68" i="40" s="1"/>
  <c r="CF68" i="40"/>
  <c r="CG68" i="40" s="1"/>
  <c r="CN68" i="40"/>
  <c r="CO68" i="40" s="1"/>
  <c r="AV68" i="40"/>
  <c r="BT68" i="40"/>
  <c r="BU68" i="40" s="1"/>
  <c r="BT77" i="40"/>
  <c r="BU77" i="40" s="1"/>
  <c r="BS99" i="40"/>
  <c r="BL103" i="40"/>
  <c r="BL105" i="40" s="1"/>
  <c r="BK105" i="40"/>
  <c r="CN62" i="40"/>
  <c r="AV62" i="40"/>
  <c r="BT62" i="40"/>
  <c r="AV66" i="40"/>
  <c r="BH70" i="40"/>
  <c r="BI70" i="40" s="1"/>
  <c r="BT70" i="40"/>
  <c r="BU70" i="40" s="1"/>
  <c r="CF70" i="40"/>
  <c r="CG70" i="40" s="1"/>
  <c r="CM56" i="40"/>
  <c r="AJ54" i="40"/>
  <c r="CN54" i="40" s="1"/>
  <c r="CO54" i="40" s="1"/>
  <c r="BI62" i="40"/>
  <c r="AV63" i="40"/>
  <c r="BT66" i="40"/>
  <c r="BU66" i="40" s="1"/>
  <c r="AV67" i="40"/>
  <c r="BU79" i="40"/>
  <c r="BA103" i="40"/>
  <c r="BA105" i="40" s="1"/>
  <c r="BE103" i="40"/>
  <c r="BE105" i="40" s="1"/>
  <c r="CK103" i="40"/>
  <c r="CK105" i="40" s="1"/>
  <c r="AU91" i="40"/>
  <c r="AY105" i="40"/>
  <c r="CE71" i="40"/>
  <c r="O86" i="40"/>
  <c r="CN80" i="40"/>
  <c r="CO80" i="40" s="1"/>
  <c r="AV80" i="40"/>
  <c r="BH80" i="40"/>
  <c r="BI80" i="40" s="1"/>
  <c r="CQ91" i="40"/>
  <c r="CR91" i="40" s="1"/>
  <c r="AZ103" i="40"/>
  <c r="AZ105" i="40" s="1"/>
  <c r="BG96" i="40"/>
  <c r="BT76" i="40"/>
  <c r="BU76" i="40" s="1"/>
  <c r="CN78" i="40"/>
  <c r="CO78" i="40" s="1"/>
  <c r="AV78" i="40"/>
  <c r="CF78" i="40"/>
  <c r="CG78" i="40" s="1"/>
  <c r="O100" i="40"/>
  <c r="BT78" i="40"/>
  <c r="BU78" i="40" s="1"/>
  <c r="CG79" i="40"/>
  <c r="CN82" i="40"/>
  <c r="CO82" i="40" s="1"/>
  <c r="AV82" i="40"/>
  <c r="BT82" i="40"/>
  <c r="BU82" i="40" s="1"/>
  <c r="AU92" i="40"/>
  <c r="CM101" i="40"/>
  <c r="BW1" i="37"/>
  <c r="AJ45" i="40" l="1"/>
  <c r="CF45" i="40" s="1"/>
  <c r="CG45" i="40" s="1"/>
  <c r="AJ50" i="40"/>
  <c r="AJ47" i="40"/>
  <c r="BH47" i="40" s="1"/>
  <c r="BI47" i="40" s="1"/>
  <c r="L109" i="40"/>
  <c r="L110" i="40" s="1"/>
  <c r="AG109" i="40"/>
  <c r="AG110" i="40" s="1"/>
  <c r="AJ29" i="40"/>
  <c r="CR56" i="40"/>
  <c r="AJ22" i="40"/>
  <c r="CN22" i="40" s="1"/>
  <c r="CO22" i="40" s="1"/>
  <c r="AJ37" i="40"/>
  <c r="AJ24" i="40"/>
  <c r="AJ46" i="40"/>
  <c r="CN46" i="40" s="1"/>
  <c r="CO46" i="40" s="1"/>
  <c r="O60" i="40"/>
  <c r="AJ21" i="40"/>
  <c r="AG8" i="40"/>
  <c r="AJ48" i="40"/>
  <c r="CN48" i="40" s="1"/>
  <c r="CO48" i="40" s="1"/>
  <c r="DA3" i="40"/>
  <c r="DA4" i="40" s="1"/>
  <c r="AJ49" i="40"/>
  <c r="CF49" i="40" s="1"/>
  <c r="CG49" i="40" s="1"/>
  <c r="AJ31" i="40"/>
  <c r="CF31" i="40" s="1"/>
  <c r="CG31" i="40" s="1"/>
  <c r="AJ42" i="40"/>
  <c r="CN42" i="40" s="1"/>
  <c r="CO42" i="40" s="1"/>
  <c r="AJ28" i="40"/>
  <c r="CF28" i="40" s="1"/>
  <c r="CG28" i="40" s="1"/>
  <c r="L56" i="40"/>
  <c r="AJ44" i="40"/>
  <c r="BT44" i="40" s="1"/>
  <c r="BU44" i="40" s="1"/>
  <c r="CY8" i="40"/>
  <c r="CZ8" i="40" s="1"/>
  <c r="AJ25" i="40"/>
  <c r="CF25" i="40" s="1"/>
  <c r="CG25" i="40" s="1"/>
  <c r="AJ26" i="40"/>
  <c r="CF26" i="40" s="1"/>
  <c r="CG26" i="40" s="1"/>
  <c r="AJ35" i="40"/>
  <c r="CF35" i="40" s="1"/>
  <c r="CE105" i="40"/>
  <c r="CM105" i="40"/>
  <c r="O58" i="40"/>
  <c r="AJ52" i="40"/>
  <c r="CN52" i="40" s="1"/>
  <c r="CO52" i="40" s="1"/>
  <c r="CU7" i="40"/>
  <c r="CY14" i="40" s="1"/>
  <c r="AJ53" i="40"/>
  <c r="CN53" i="40" s="1"/>
  <c r="CO53" i="40" s="1"/>
  <c r="AJ23" i="40"/>
  <c r="CF23" i="40" s="1"/>
  <c r="CG23" i="40" s="1"/>
  <c r="AJ51" i="40"/>
  <c r="CF51" i="40" s="1"/>
  <c r="CG51" i="40" s="1"/>
  <c r="AJ20" i="40"/>
  <c r="CN20" i="40" s="1"/>
  <c r="CO20" i="40" s="1"/>
  <c r="CO56" i="40" s="1"/>
  <c r="AJ27" i="40"/>
  <c r="CF27" i="40" s="1"/>
  <c r="CG27" i="40" s="1"/>
  <c r="AJ43" i="40"/>
  <c r="CN43" i="40" s="1"/>
  <c r="CO43" i="40" s="1"/>
  <c r="AJ33" i="40"/>
  <c r="CF84" i="40"/>
  <c r="BT84" i="40"/>
  <c r="AG88" i="40"/>
  <c r="AN45" i="40"/>
  <c r="AM29" i="40"/>
  <c r="AQ26" i="40"/>
  <c r="AN29" i="40"/>
  <c r="AS45" i="40"/>
  <c r="AP45" i="40"/>
  <c r="AS29" i="40"/>
  <c r="AQ29" i="40"/>
  <c r="AJ71" i="40"/>
  <c r="CG71" i="40"/>
  <c r="CG84" i="40" s="1"/>
  <c r="BH84" i="40"/>
  <c r="BS105" i="40"/>
  <c r="CN29" i="40"/>
  <c r="CO29" i="40" s="1"/>
  <c r="CF21" i="40"/>
  <c r="CG21" i="40" s="1"/>
  <c r="BT71" i="40"/>
  <c r="BS103" i="40"/>
  <c r="AV84" i="40"/>
  <c r="CN24" i="40"/>
  <c r="CO24" i="40" s="1"/>
  <c r="AQ45" i="40"/>
  <c r="AP26" i="40"/>
  <c r="AP29" i="40"/>
  <c r="BT21" i="40"/>
  <c r="BU21" i="40" s="1"/>
  <c r="BT37" i="40"/>
  <c r="CF37" i="40"/>
  <c r="CN37" i="40"/>
  <c r="BH37" i="40"/>
  <c r="AV25" i="40"/>
  <c r="BT35" i="40"/>
  <c r="CN35" i="40"/>
  <c r="BH35" i="40"/>
  <c r="CN21" i="40"/>
  <c r="CO21" i="40" s="1"/>
  <c r="CF47" i="40"/>
  <c r="CG47" i="40" s="1"/>
  <c r="CN31" i="40"/>
  <c r="CO31" i="40" s="1"/>
  <c r="CN45" i="40"/>
  <c r="CO45" i="40" s="1"/>
  <c r="BT45" i="40"/>
  <c r="BU45" i="40" s="1"/>
  <c r="CF33" i="40"/>
  <c r="BH33" i="40"/>
  <c r="BT33" i="40"/>
  <c r="BT25" i="40"/>
  <c r="BU25" i="40" s="1"/>
  <c r="CF24" i="40"/>
  <c r="CG24" i="40" s="1"/>
  <c r="CN49" i="40"/>
  <c r="CO49" i="40" s="1"/>
  <c r="BH51" i="40"/>
  <c r="BI51" i="40" s="1"/>
  <c r="BT47" i="40"/>
  <c r="BU47" i="40" s="1"/>
  <c r="CN28" i="40"/>
  <c r="CO28" i="40" s="1"/>
  <c r="BT29" i="40"/>
  <c r="BU29" i="40" s="1"/>
  <c r="BT24" i="40"/>
  <c r="BU24" i="40" s="1"/>
  <c r="CF29" i="40"/>
  <c r="CG29" i="40" s="1"/>
  <c r="AM42" i="40"/>
  <c r="AS47" i="40"/>
  <c r="AN42" i="40"/>
  <c r="AQ44" i="40"/>
  <c r="AR42" i="40"/>
  <c r="AS26" i="40"/>
  <c r="AS44" i="40"/>
  <c r="AQ24" i="40"/>
  <c r="AQ47" i="40"/>
  <c r="AN47" i="40"/>
  <c r="AR45" i="40"/>
  <c r="AN26" i="40"/>
  <c r="AR47" i="40"/>
  <c r="AP47" i="40"/>
  <c r="AM26" i="40"/>
  <c r="AP44" i="40"/>
  <c r="AN24" i="40"/>
  <c r="BT52" i="40"/>
  <c r="BU52" i="40" s="1"/>
  <c r="AN44" i="40"/>
  <c r="AP42" i="40"/>
  <c r="AS42" i="40"/>
  <c r="AM24" i="40"/>
  <c r="AR24" i="40"/>
  <c r="CF48" i="40"/>
  <c r="CG48" i="40" s="1"/>
  <c r="AM44" i="40"/>
  <c r="AP24" i="40"/>
  <c r="BI71" i="40"/>
  <c r="BI84" i="40" s="1"/>
  <c r="BT50" i="40"/>
  <c r="BU50" i="40" s="1"/>
  <c r="AV50" i="40"/>
  <c r="AV29" i="40"/>
  <c r="AV48" i="40"/>
  <c r="BH50" i="40"/>
  <c r="BI50" i="40" s="1"/>
  <c r="CT25" i="40"/>
  <c r="CU25" i="40" s="1"/>
  <c r="AU25" i="40"/>
  <c r="AJ8" i="40"/>
  <c r="O8" i="40"/>
  <c r="CT49" i="40"/>
  <c r="CU49" i="40" s="1"/>
  <c r="AU49" i="40"/>
  <c r="AP22" i="40"/>
  <c r="AS22" i="40"/>
  <c r="AN22" i="40"/>
  <c r="AQ22" i="40"/>
  <c r="AM22" i="40"/>
  <c r="AR22" i="40"/>
  <c r="BH71" i="40"/>
  <c r="AV71" i="40"/>
  <c r="BH45" i="40"/>
  <c r="BI45" i="40" s="1"/>
  <c r="AV45" i="40"/>
  <c r="CT52" i="40"/>
  <c r="CU52" i="40" s="1"/>
  <c r="AU52" i="40"/>
  <c r="CT48" i="40"/>
  <c r="CU48" i="40" s="1"/>
  <c r="AU48" i="40"/>
  <c r="AI56" i="40"/>
  <c r="AO20" i="40"/>
  <c r="AO56" i="40" s="1"/>
  <c r="AO11" i="40" s="1"/>
  <c r="AO60" i="40" s="1"/>
  <c r="BH52" i="40"/>
  <c r="BI52" i="40" s="1"/>
  <c r="AG56" i="40"/>
  <c r="AP27" i="40"/>
  <c r="AS27" i="40"/>
  <c r="AN27" i="40"/>
  <c r="AQ27" i="40"/>
  <c r="AM27" i="40"/>
  <c r="AR27" i="40"/>
  <c r="CM103" i="40"/>
  <c r="BT54" i="40"/>
  <c r="BU54" i="40" s="1"/>
  <c r="AV54" i="40"/>
  <c r="AV21" i="40"/>
  <c r="CN50" i="40"/>
  <c r="CO50" i="40" s="1"/>
  <c r="DB5" i="40"/>
  <c r="CZ1" i="40"/>
  <c r="BU62" i="40"/>
  <c r="AV42" i="40"/>
  <c r="AV24" i="40"/>
  <c r="AG100" i="40"/>
  <c r="AJ100" i="40" s="1"/>
  <c r="BG103" i="40"/>
  <c r="CT50" i="40"/>
  <c r="CU50" i="40" s="1"/>
  <c r="AU50" i="40"/>
  <c r="O99" i="40"/>
  <c r="CT28" i="40"/>
  <c r="CU28" i="40" s="1"/>
  <c r="AU28" i="40"/>
  <c r="CT43" i="40"/>
  <c r="CU43" i="40" s="1"/>
  <c r="AU43" i="40"/>
  <c r="CT46" i="40"/>
  <c r="CU46" i="40" s="1"/>
  <c r="AU46" i="40"/>
  <c r="BH31" i="40"/>
  <c r="BI31" i="40" s="1"/>
  <c r="CU9" i="40"/>
  <c r="CW6" i="40"/>
  <c r="CF50" i="40"/>
  <c r="CG50" i="40" s="1"/>
  <c r="CE103" i="40"/>
  <c r="CN71" i="40"/>
  <c r="CN84" i="40" s="1"/>
  <c r="CO62" i="40"/>
  <c r="CF71" i="40"/>
  <c r="AV43" i="40"/>
  <c r="AV44" i="40"/>
  <c r="CT23" i="40"/>
  <c r="CU23" i="40" s="1"/>
  <c r="AU23" i="40"/>
  <c r="BH43" i="40"/>
  <c r="BI43" i="40" s="1"/>
  <c r="BH44" i="40"/>
  <c r="BI44" i="40" s="1"/>
  <c r="BH54" i="40"/>
  <c r="BI54" i="40" s="1"/>
  <c r="CT31" i="40"/>
  <c r="CU31" i="40" s="1"/>
  <c r="CF52" i="40"/>
  <c r="CG52" i="40" s="1"/>
  <c r="AV52" i="40"/>
  <c r="CT21" i="40"/>
  <c r="CU21" i="40" s="1"/>
  <c r="AU21" i="40"/>
  <c r="BG105" i="40"/>
  <c r="BH24" i="40"/>
  <c r="BI24" i="40" s="1"/>
  <c r="AV28" i="40"/>
  <c r="CT54" i="40"/>
  <c r="CU54" i="40" s="1"/>
  <c r="AU54" i="40"/>
  <c r="AJ84" i="40"/>
  <c r="AG86" i="40"/>
  <c r="CT51" i="40"/>
  <c r="CU51" i="40" s="1"/>
  <c r="AU51" i="40"/>
  <c r="BH29" i="40"/>
  <c r="BI29" i="40" s="1"/>
  <c r="AV22" i="40"/>
  <c r="BH49" i="40"/>
  <c r="BI49" i="40" s="1"/>
  <c r="CY2" i="40"/>
  <c r="CY3" i="40" s="1"/>
  <c r="AF56" i="40"/>
  <c r="AF19" i="40" s="1"/>
  <c r="BT51" i="40"/>
  <c r="BU51" i="40" s="1"/>
  <c r="DB3" i="40"/>
  <c r="CT53" i="40"/>
  <c r="CU53" i="40" s="1"/>
  <c r="AU53" i="40"/>
  <c r="CF54" i="40"/>
  <c r="CG54" i="40" s="1"/>
  <c r="BH21" i="40"/>
  <c r="BI21" i="40" s="1"/>
  <c r="V20" i="39"/>
  <c r="V21" i="39"/>
  <c r="V45" i="39" s="1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80" i="39"/>
  <c r="V81" i="39"/>
  <c r="V4" i="39"/>
  <c r="V3" i="39" s="1"/>
  <c r="BT22" i="40" l="1"/>
  <c r="BU22" i="40" s="1"/>
  <c r="BH28" i="40"/>
  <c r="BI28" i="40" s="1"/>
  <c r="AV53" i="40"/>
  <c r="AW53" i="40" s="1"/>
  <c r="BH53" i="40"/>
  <c r="BI53" i="40" s="1"/>
  <c r="AV27" i="40"/>
  <c r="AV47" i="40"/>
  <c r="CF22" i="40"/>
  <c r="CG22" i="40" s="1"/>
  <c r="BH25" i="40"/>
  <c r="BI25" i="40" s="1"/>
  <c r="CN47" i="40"/>
  <c r="CO47" i="40" s="1"/>
  <c r="CF53" i="40"/>
  <c r="CG53" i="40" s="1"/>
  <c r="CN25" i="40"/>
  <c r="CO25" i="40" s="1"/>
  <c r="BT27" i="40"/>
  <c r="BU27" i="40" s="1"/>
  <c r="BH22" i="40"/>
  <c r="BI22" i="40" s="1"/>
  <c r="BT28" i="40"/>
  <c r="BU28" i="40" s="1"/>
  <c r="BT20" i="40"/>
  <c r="BU20" i="40" s="1"/>
  <c r="BU56" i="40" s="1"/>
  <c r="BT53" i="40"/>
  <c r="BU53" i="40" s="1"/>
  <c r="BH42" i="40"/>
  <c r="BI42" i="40" s="1"/>
  <c r="BT42" i="40"/>
  <c r="BU42" i="40" s="1"/>
  <c r="CF46" i="40"/>
  <c r="CG46" i="40" s="1"/>
  <c r="BH48" i="40"/>
  <c r="BI48" i="40" s="1"/>
  <c r="AV46" i="40"/>
  <c r="BH46" i="40"/>
  <c r="BI46" i="40" s="1"/>
  <c r="CF20" i="40"/>
  <c r="CF56" i="40" s="1"/>
  <c r="CF42" i="40"/>
  <c r="CG42" i="40" s="1"/>
  <c r="CN56" i="40"/>
  <c r="BT48" i="40"/>
  <c r="BU48" i="40" s="1"/>
  <c r="AV20" i="40"/>
  <c r="BT46" i="40"/>
  <c r="BU46" i="40" s="1"/>
  <c r="BH20" i="40"/>
  <c r="AV49" i="40"/>
  <c r="BH26" i="40"/>
  <c r="BI26" i="40" s="1"/>
  <c r="BT49" i="40"/>
  <c r="BU49" i="40" s="1"/>
  <c r="CN33" i="40"/>
  <c r="CN44" i="40"/>
  <c r="CO44" i="40" s="1"/>
  <c r="AJ19" i="40"/>
  <c r="O96" i="40"/>
  <c r="AG96" i="40" s="1"/>
  <c r="AJ96" i="40" s="1"/>
  <c r="AJ7" i="40"/>
  <c r="AV26" i="40"/>
  <c r="AI58" i="40"/>
  <c r="AV51" i="40"/>
  <c r="AW51" i="40" s="1"/>
  <c r="CN51" i="40"/>
  <c r="CO51" i="40" s="1"/>
  <c r="BT31" i="40"/>
  <c r="BU31" i="40" s="1"/>
  <c r="CF44" i="40"/>
  <c r="CG44" i="40" s="1"/>
  <c r="CN26" i="40"/>
  <c r="CO26" i="40" s="1"/>
  <c r="BT26" i="40"/>
  <c r="BU26" i="40" s="1"/>
  <c r="CY5" i="40"/>
  <c r="CZ5" i="40" s="1"/>
  <c r="DA5" i="40" s="1"/>
  <c r="O19" i="40"/>
  <c r="AV23" i="40"/>
  <c r="AV56" i="40" s="1"/>
  <c r="BT23" i="40"/>
  <c r="BU23" i="40" s="1"/>
  <c r="CN23" i="40"/>
  <c r="CO23" i="40" s="1"/>
  <c r="BH23" i="40"/>
  <c r="BI23" i="40" s="1"/>
  <c r="BH27" i="40"/>
  <c r="BI27" i="40" s="1"/>
  <c r="AJ56" i="40"/>
  <c r="BT43" i="40"/>
  <c r="BU43" i="40" s="1"/>
  <c r="CN27" i="40"/>
  <c r="CO27" i="40" s="1"/>
  <c r="CF43" i="40"/>
  <c r="CG43" i="40" s="1"/>
  <c r="AU20" i="40"/>
  <c r="AU29" i="40"/>
  <c r="AW29" i="40" s="1"/>
  <c r="CT45" i="40"/>
  <c r="CU45" i="40" s="1"/>
  <c r="CT20" i="40"/>
  <c r="CU20" i="40" s="1"/>
  <c r="CU5" i="40"/>
  <c r="CY13" i="40" s="1"/>
  <c r="CT29" i="40"/>
  <c r="CU29" i="40" s="1"/>
  <c r="CT47" i="40"/>
  <c r="CU47" i="40" s="1"/>
  <c r="AW25" i="40"/>
  <c r="CT42" i="40"/>
  <c r="CU42" i="40" s="1"/>
  <c r="AU24" i="40"/>
  <c r="AW24" i="40" s="1"/>
  <c r="BT56" i="40"/>
  <c r="AW52" i="40"/>
  <c r="CT24" i="40"/>
  <c r="CU24" i="40" s="1"/>
  <c r="CT26" i="40"/>
  <c r="CU26" i="40" s="1"/>
  <c r="AU45" i="40"/>
  <c r="AW45" i="40" s="1"/>
  <c r="AU47" i="40"/>
  <c r="AW47" i="40" s="1"/>
  <c r="AU42" i="40"/>
  <c r="AW42" i="40" s="1"/>
  <c r="AU26" i="40"/>
  <c r="AW26" i="40" s="1"/>
  <c r="CT44" i="40"/>
  <c r="CU44" i="40" s="1"/>
  <c r="AR56" i="40"/>
  <c r="AR11" i="40" s="1"/>
  <c r="AR60" i="40" s="1"/>
  <c r="AR67" i="40" s="1"/>
  <c r="AS56" i="40"/>
  <c r="AS11" i="40" s="1"/>
  <c r="AS60" i="40" s="1"/>
  <c r="AS64" i="40" s="1"/>
  <c r="AW49" i="40"/>
  <c r="AU44" i="40"/>
  <c r="AW44" i="40" s="1"/>
  <c r="AQ56" i="40"/>
  <c r="AQ11" i="40" s="1"/>
  <c r="AQ60" i="40" s="1"/>
  <c r="AQ62" i="40" s="1"/>
  <c r="AW46" i="40"/>
  <c r="AP56" i="40"/>
  <c r="AP11" i="40" s="1"/>
  <c r="AP60" i="40" s="1"/>
  <c r="AP96" i="40" s="1"/>
  <c r="AN56" i="40"/>
  <c r="AN11" i="40" s="1"/>
  <c r="AN60" i="40" s="1"/>
  <c r="AN67" i="40" s="1"/>
  <c r="AG58" i="40"/>
  <c r="AG19" i="40"/>
  <c r="AG60" i="40"/>
  <c r="BH5" i="40"/>
  <c r="BT5" i="40"/>
  <c r="CF5" i="40"/>
  <c r="CN5" i="40"/>
  <c r="AV5" i="40"/>
  <c r="AW48" i="40"/>
  <c r="AW50" i="40"/>
  <c r="AW54" i="40"/>
  <c r="CT27" i="40"/>
  <c r="CU27" i="40" s="1"/>
  <c r="AU27" i="40"/>
  <c r="AW27" i="40" s="1"/>
  <c r="AW20" i="40"/>
  <c r="AW43" i="40"/>
  <c r="CO71" i="40"/>
  <c r="CO84" i="40" s="1"/>
  <c r="O101" i="40"/>
  <c r="AG99" i="40"/>
  <c r="CZ2" i="40"/>
  <c r="DC3" i="40" s="1"/>
  <c r="DC4" i="40" s="1"/>
  <c r="DC5" i="40" s="1"/>
  <c r="DA1" i="40"/>
  <c r="DB1" i="40" s="1"/>
  <c r="AW21" i="40"/>
  <c r="AO96" i="40"/>
  <c r="AO70" i="40"/>
  <c r="AO67" i="40"/>
  <c r="AO66" i="40"/>
  <c r="AO63" i="40"/>
  <c r="AO64" i="40"/>
  <c r="AO69" i="40"/>
  <c r="AO68" i="40"/>
  <c r="AO62" i="40"/>
  <c r="AO65" i="40"/>
  <c r="CT22" i="40"/>
  <c r="CU22" i="40" s="1"/>
  <c r="AU22" i="40"/>
  <c r="AW22" i="40" s="1"/>
  <c r="AM11" i="40"/>
  <c r="AW28" i="40"/>
  <c r="BU71" i="40"/>
  <c r="BU84" i="40" s="1"/>
  <c r="U80" i="39"/>
  <c r="U81" i="39"/>
  <c r="U9" i="39"/>
  <c r="U4" i="39"/>
  <c r="U3" i="39" s="1"/>
  <c r="CG20" i="40" l="1"/>
  <c r="CG56" i="40" s="1"/>
  <c r="CZ7" i="40"/>
  <c r="AW23" i="40"/>
  <c r="BI20" i="40"/>
  <c r="BI56" i="40" s="1"/>
  <c r="BH56" i="40"/>
  <c r="O103" i="40"/>
  <c r="O105" i="40" s="1"/>
  <c r="AS65" i="40"/>
  <c r="AQ64" i="40"/>
  <c r="AS66" i="40"/>
  <c r="AS68" i="40"/>
  <c r="DD5" i="40"/>
  <c r="AS70" i="40"/>
  <c r="AR96" i="40"/>
  <c r="AS63" i="40"/>
  <c r="AP62" i="40"/>
  <c r="AS62" i="40"/>
  <c r="AS96" i="40"/>
  <c r="AS69" i="40"/>
  <c r="AP63" i="40"/>
  <c r="AS67" i="40"/>
  <c r="AQ65" i="40"/>
  <c r="AQ70" i="40"/>
  <c r="AR69" i="40"/>
  <c r="AR64" i="40"/>
  <c r="AR68" i="40"/>
  <c r="AR63" i="40"/>
  <c r="AN62" i="40"/>
  <c r="AQ67" i="40"/>
  <c r="AQ69" i="40"/>
  <c r="AQ96" i="40"/>
  <c r="AR62" i="40"/>
  <c r="AR65" i="40"/>
  <c r="AN68" i="40"/>
  <c r="AP66" i="40"/>
  <c r="AQ68" i="40"/>
  <c r="AQ66" i="40"/>
  <c r="AR66" i="40"/>
  <c r="AR70" i="40"/>
  <c r="AN69" i="40"/>
  <c r="AP68" i="40"/>
  <c r="AQ63" i="40"/>
  <c r="AN70" i="40"/>
  <c r="AN63" i="40"/>
  <c r="AN96" i="40"/>
  <c r="AN66" i="40"/>
  <c r="AN65" i="40"/>
  <c r="AP65" i="40"/>
  <c r="AP67" i="40"/>
  <c r="AP70" i="40"/>
  <c r="AN64" i="40"/>
  <c r="AP69" i="40"/>
  <c r="AP64" i="40"/>
  <c r="AM60" i="40"/>
  <c r="CT11" i="40"/>
  <c r="AG11" i="40" s="1"/>
  <c r="AJ11" i="40" s="1"/>
  <c r="AU11" i="40"/>
  <c r="BH7" i="40"/>
  <c r="BI5" i="40"/>
  <c r="BI7" i="40" s="1"/>
  <c r="AG101" i="40"/>
  <c r="AJ99" i="40"/>
  <c r="AJ101" i="40" s="1"/>
  <c r="AV7" i="40"/>
  <c r="AW5" i="40"/>
  <c r="AW7" i="40" s="1"/>
  <c r="AO71" i="40"/>
  <c r="AO73" i="40" s="1"/>
  <c r="CT56" i="40"/>
  <c r="CU56" i="40" s="1"/>
  <c r="AW56" i="40"/>
  <c r="CN7" i="40"/>
  <c r="CO5" i="40"/>
  <c r="CO7" i="40" s="1"/>
  <c r="AJ60" i="40"/>
  <c r="CF7" i="40"/>
  <c r="CG5" i="40"/>
  <c r="CG7" i="40" s="1"/>
  <c r="AU56" i="40"/>
  <c r="BT7" i="40"/>
  <c r="BU5" i="40"/>
  <c r="BU7" i="40" s="1"/>
  <c r="T80" i="39"/>
  <c r="T81" i="39" s="1"/>
  <c r="T4" i="39"/>
  <c r="T3" i="39" s="1"/>
  <c r="AJ92" i="40" l="1"/>
  <c r="AG103" i="40"/>
  <c r="AJ103" i="40" s="1"/>
  <c r="AJ88" i="40"/>
  <c r="AS71" i="40"/>
  <c r="AS73" i="40" s="1"/>
  <c r="AS80" i="40" s="1"/>
  <c r="AP71" i="40"/>
  <c r="AP73" i="40" s="1"/>
  <c r="AP82" i="40" s="1"/>
  <c r="AQ71" i="40"/>
  <c r="AQ73" i="40" s="1"/>
  <c r="AQ81" i="40" s="1"/>
  <c r="AR71" i="40"/>
  <c r="AR73" i="40" s="1"/>
  <c r="AR77" i="40" s="1"/>
  <c r="AN71" i="40"/>
  <c r="AN73" i="40" s="1"/>
  <c r="AN77" i="40" s="1"/>
  <c r="AP78" i="40"/>
  <c r="AJ91" i="40"/>
  <c r="AJ86" i="40"/>
  <c r="AO83" i="40"/>
  <c r="AO81" i="40"/>
  <c r="AO79" i="40"/>
  <c r="AO75" i="40"/>
  <c r="AO82" i="40"/>
  <c r="AO78" i="40"/>
  <c r="AO76" i="40"/>
  <c r="AO77" i="40"/>
  <c r="AO80" i="40"/>
  <c r="AM96" i="40"/>
  <c r="AM62" i="40"/>
  <c r="AU60" i="40"/>
  <c r="AM69" i="40"/>
  <c r="AM65" i="40"/>
  <c r="AM68" i="40"/>
  <c r="AM64" i="40"/>
  <c r="AM66" i="40"/>
  <c r="AM63" i="40"/>
  <c r="CQ60" i="40"/>
  <c r="AM70" i="40"/>
  <c r="AM67" i="40"/>
  <c r="S80" i="39"/>
  <c r="S81" i="39"/>
  <c r="S4" i="39"/>
  <c r="S3" i="39" s="1"/>
  <c r="AS82" i="40" l="1"/>
  <c r="AN79" i="40"/>
  <c r="AS76" i="40"/>
  <c r="AS79" i="40"/>
  <c r="AS81" i="40"/>
  <c r="AS78" i="40"/>
  <c r="AS75" i="40"/>
  <c r="AS83" i="40"/>
  <c r="AS77" i="40"/>
  <c r="AP77" i="40"/>
  <c r="AQ80" i="40"/>
  <c r="AP79" i="40"/>
  <c r="AR78" i="40"/>
  <c r="AQ76" i="40"/>
  <c r="AP81" i="40"/>
  <c r="AQ75" i="40"/>
  <c r="AN82" i="40"/>
  <c r="AP80" i="40"/>
  <c r="AP76" i="40"/>
  <c r="AQ78" i="40"/>
  <c r="AR79" i="40"/>
  <c r="AQ79" i="40"/>
  <c r="AQ82" i="40"/>
  <c r="AR80" i="40"/>
  <c r="AP75" i="40"/>
  <c r="AP83" i="40"/>
  <c r="AQ77" i="40"/>
  <c r="AR81" i="40"/>
  <c r="AN76" i="40"/>
  <c r="AN80" i="40"/>
  <c r="AN78" i="40"/>
  <c r="AN81" i="40"/>
  <c r="AN83" i="40"/>
  <c r="AR82" i="40"/>
  <c r="AR83" i="40"/>
  <c r="AN75" i="40"/>
  <c r="AQ83" i="40"/>
  <c r="AR76" i="40"/>
  <c r="AR75" i="40"/>
  <c r="AU68" i="40"/>
  <c r="AW68" i="40" s="1"/>
  <c r="CT68" i="40"/>
  <c r="CU68" i="40" s="1"/>
  <c r="AM71" i="40"/>
  <c r="AM73" i="40" s="1"/>
  <c r="CT62" i="40"/>
  <c r="AU62" i="40"/>
  <c r="CQ96" i="40"/>
  <c r="AU96" i="40"/>
  <c r="AU70" i="40"/>
  <c r="AW70" i="40" s="1"/>
  <c r="CT70" i="40"/>
  <c r="CU70" i="40" s="1"/>
  <c r="AO84" i="40"/>
  <c r="AO86" i="40" s="1"/>
  <c r="AO89" i="40" s="1"/>
  <c r="CT67" i="40"/>
  <c r="CU67" i="40" s="1"/>
  <c r="AU67" i="40"/>
  <c r="AW67" i="40" s="1"/>
  <c r="CT63" i="40"/>
  <c r="CU63" i="40" s="1"/>
  <c r="AU63" i="40"/>
  <c r="AW63" i="40" s="1"/>
  <c r="CT65" i="40"/>
  <c r="CU65" i="40" s="1"/>
  <c r="AU65" i="40"/>
  <c r="AW65" i="40" s="1"/>
  <c r="AU66" i="40"/>
  <c r="AW66" i="40" s="1"/>
  <c r="CT66" i="40"/>
  <c r="CU66" i="40" s="1"/>
  <c r="AU69" i="40"/>
  <c r="AW69" i="40" s="1"/>
  <c r="CT69" i="40"/>
  <c r="CU69" i="40" s="1"/>
  <c r="AU64" i="40"/>
  <c r="AW64" i="40" s="1"/>
  <c r="CT64" i="40"/>
  <c r="CU64" i="40" s="1"/>
  <c r="L43" i="39"/>
  <c r="L42" i="39"/>
  <c r="L41" i="39"/>
  <c r="L40" i="39"/>
  <c r="L39" i="39"/>
  <c r="L38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2" i="39"/>
  <c r="L21" i="39"/>
  <c r="L20" i="39"/>
  <c r="Y4" i="39"/>
  <c r="R4" i="39"/>
  <c r="R3" i="39" s="1"/>
  <c r="Q4" i="39"/>
  <c r="R80" i="39"/>
  <c r="R81" i="39" s="1"/>
  <c r="AS84" i="40" l="1"/>
  <c r="AS86" i="40" s="1"/>
  <c r="AS89" i="40" s="1"/>
  <c r="AS94" i="40" s="1"/>
  <c r="AQ84" i="40"/>
  <c r="AQ86" i="40" s="1"/>
  <c r="AQ89" i="40" s="1"/>
  <c r="AQ94" i="40" s="1"/>
  <c r="AP84" i="40"/>
  <c r="AP86" i="40" s="1"/>
  <c r="AP89" i="40" s="1"/>
  <c r="AP99" i="40" s="1"/>
  <c r="AR84" i="40"/>
  <c r="AR86" i="40" s="1"/>
  <c r="AR89" i="40" s="1"/>
  <c r="AR94" i="40" s="1"/>
  <c r="AN84" i="40"/>
  <c r="AN86" i="40" s="1"/>
  <c r="AN89" i="40" s="1"/>
  <c r="AN99" i="40" s="1"/>
  <c r="AU71" i="40"/>
  <c r="AW62" i="40"/>
  <c r="AW71" i="40" s="1"/>
  <c r="CQ71" i="40" s="1"/>
  <c r="AP94" i="40"/>
  <c r="CT71" i="40"/>
  <c r="CU71" i="40" s="1"/>
  <c r="CW62" i="40" s="1"/>
  <c r="CU62" i="40"/>
  <c r="AO99" i="40"/>
  <c r="AO94" i="40"/>
  <c r="AM82" i="40"/>
  <c r="AM80" i="40"/>
  <c r="AM83" i="40"/>
  <c r="AM79" i="40"/>
  <c r="AM77" i="40"/>
  <c r="AM81" i="40"/>
  <c r="AM78" i="40"/>
  <c r="AM76" i="40"/>
  <c r="AM75" i="40"/>
  <c r="K72" i="39"/>
  <c r="K71" i="39"/>
  <c r="K70" i="39"/>
  <c r="K69" i="39"/>
  <c r="K68" i="39"/>
  <c r="K57" i="39"/>
  <c r="K55" i="39"/>
  <c r="K53" i="39"/>
  <c r="AS99" i="40" l="1"/>
  <c r="AQ99" i="40"/>
  <c r="AR99" i="40"/>
  <c r="AN94" i="40"/>
  <c r="AN100" i="40" s="1"/>
  <c r="AU76" i="40"/>
  <c r="AW76" i="40" s="1"/>
  <c r="CT76" i="40"/>
  <c r="CU76" i="40" s="1"/>
  <c r="CT79" i="40"/>
  <c r="CU79" i="40" s="1"/>
  <c r="AU79" i="40"/>
  <c r="AW79" i="40" s="1"/>
  <c r="CT82" i="40"/>
  <c r="CU82" i="40" s="1"/>
  <c r="AU82" i="40"/>
  <c r="AW82" i="40" s="1"/>
  <c r="AS101" i="40"/>
  <c r="AS100" i="40"/>
  <c r="AP101" i="40"/>
  <c r="AP100" i="40"/>
  <c r="AQ100" i="40"/>
  <c r="AQ101" i="40"/>
  <c r="CT78" i="40"/>
  <c r="CU78" i="40" s="1"/>
  <c r="AU78" i="40"/>
  <c r="AW78" i="40" s="1"/>
  <c r="CT83" i="40"/>
  <c r="CU83" i="40" s="1"/>
  <c r="AU83" i="40"/>
  <c r="AW83" i="40" s="1"/>
  <c r="AO101" i="40"/>
  <c r="AO100" i="40"/>
  <c r="CT81" i="40"/>
  <c r="CU81" i="40" s="1"/>
  <c r="AU81" i="40"/>
  <c r="AW81" i="40" s="1"/>
  <c r="CT75" i="40"/>
  <c r="AM84" i="40"/>
  <c r="AM86" i="40" s="1"/>
  <c r="AM89" i="40" s="1"/>
  <c r="AU75" i="40"/>
  <c r="CT77" i="40"/>
  <c r="CU77" i="40" s="1"/>
  <c r="AU77" i="40"/>
  <c r="AW77" i="40" s="1"/>
  <c r="CT80" i="40"/>
  <c r="CU80" i="40" s="1"/>
  <c r="AU80" i="40"/>
  <c r="AW80" i="40" s="1"/>
  <c r="AR100" i="40"/>
  <c r="AR101" i="40"/>
  <c r="J20" i="39"/>
  <c r="AN101" i="40" l="1"/>
  <c r="AN103" i="40" s="1"/>
  <c r="AN105" i="40" s="1"/>
  <c r="AO103" i="40"/>
  <c r="AO105" i="40" s="1"/>
  <c r="AP103" i="40"/>
  <c r="AP105" i="40" s="1"/>
  <c r="AQ103" i="40"/>
  <c r="AQ105" i="40" s="1"/>
  <c r="AS103" i="40"/>
  <c r="AS105" i="40" s="1"/>
  <c r="AR103" i="40"/>
  <c r="AR105" i="40" s="1"/>
  <c r="AU84" i="40"/>
  <c r="AW75" i="40"/>
  <c r="AW84" i="40" s="1"/>
  <c r="CQ84" i="40" s="1"/>
  <c r="AM99" i="40"/>
  <c r="AU89" i="40"/>
  <c r="AM94" i="40"/>
  <c r="CQ89" i="40"/>
  <c r="CT84" i="40"/>
  <c r="CU84" i="40" s="1"/>
  <c r="CW75" i="40" s="1"/>
  <c r="CU75" i="40"/>
  <c r="CD26" i="39"/>
  <c r="CQ99" i="40" l="1"/>
  <c r="AU99" i="40"/>
  <c r="AM101" i="40"/>
  <c r="AM100" i="40"/>
  <c r="CQ94" i="40"/>
  <c r="CR94" i="40" s="1"/>
  <c r="AU94" i="40"/>
  <c r="Q3" i="39"/>
  <c r="BN81" i="37"/>
  <c r="BN82" i="37" s="1"/>
  <c r="BN44" i="37"/>
  <c r="BN43" i="37"/>
  <c r="BN42" i="37"/>
  <c r="BN41" i="37"/>
  <c r="BN40" i="37"/>
  <c r="BN39" i="37"/>
  <c r="BN38" i="37"/>
  <c r="BN35" i="37"/>
  <c r="BN34" i="37"/>
  <c r="BN33" i="37"/>
  <c r="BN30" i="37"/>
  <c r="BN28" i="37"/>
  <c r="BN27" i="37"/>
  <c r="BN26" i="37"/>
  <c r="BN25" i="37"/>
  <c r="BN24" i="37"/>
  <c r="BN22" i="37"/>
  <c r="BN21" i="37"/>
  <c r="BN8" i="37"/>
  <c r="BN9" i="37"/>
  <c r="AU101" i="40" l="1"/>
  <c r="CQ101" i="40"/>
  <c r="AM103" i="40"/>
  <c r="CQ100" i="40"/>
  <c r="AU100" i="40"/>
  <c r="J98" i="39"/>
  <c r="J99" i="39" s="1"/>
  <c r="K51" i="39"/>
  <c r="Q80" i="39"/>
  <c r="K80" i="39"/>
  <c r="K67" i="39"/>
  <c r="K66" i="39"/>
  <c r="K65" i="39"/>
  <c r="K64" i="39"/>
  <c r="K59" i="39"/>
  <c r="K58" i="39"/>
  <c r="K56" i="39"/>
  <c r="K54" i="39"/>
  <c r="K52" i="39"/>
  <c r="CQ103" i="40" l="1"/>
  <c r="AU103" i="40"/>
  <c r="AM105" i="40"/>
  <c r="CD23" i="39"/>
  <c r="R15" i="39"/>
  <c r="S15" i="39"/>
  <c r="T15" i="39"/>
  <c r="U15" i="39"/>
  <c r="V15" i="39"/>
  <c r="W15" i="39"/>
  <c r="Q15" i="39"/>
  <c r="BN15" i="39"/>
  <c r="BO15" i="39"/>
  <c r="BM15" i="39"/>
  <c r="BB15" i="39"/>
  <c r="BC15" i="39"/>
  <c r="BD15" i="39"/>
  <c r="BE15" i="39"/>
  <c r="BF15" i="39"/>
  <c r="BG15" i="39"/>
  <c r="BA15" i="39"/>
  <c r="AP15" i="39"/>
  <c r="AQ15" i="39"/>
  <c r="AR15" i="39"/>
  <c r="AS15" i="39"/>
  <c r="AT15" i="39"/>
  <c r="AU15" i="39"/>
  <c r="AO15" i="39"/>
  <c r="AE15" i="39"/>
  <c r="AD15" i="39"/>
  <c r="AC15" i="39"/>
  <c r="AG15" i="39"/>
  <c r="AH15" i="39"/>
  <c r="AI15" i="39"/>
  <c r="AF15" i="39"/>
  <c r="Q8" i="39"/>
  <c r="BN8" i="39"/>
  <c r="BO8" i="39"/>
  <c r="BN9" i="39"/>
  <c r="BO9" i="39"/>
  <c r="BN11" i="39"/>
  <c r="BN13" i="39"/>
  <c r="BO13" i="39"/>
  <c r="AU11" i="39"/>
  <c r="AT11" i="39"/>
  <c r="AS11" i="39"/>
  <c r="AR11" i="39"/>
  <c r="AQ11" i="39"/>
  <c r="AP11" i="39"/>
  <c r="AO11" i="39"/>
  <c r="AD11" i="39"/>
  <c r="AD49" i="39" s="1"/>
  <c r="AE11" i="39"/>
  <c r="AE49" i="39" s="1"/>
  <c r="AF11" i="39"/>
  <c r="AF49" i="39" s="1"/>
  <c r="AG11" i="39"/>
  <c r="AG49" i="39" s="1"/>
  <c r="AH11" i="39"/>
  <c r="AH49" i="39" s="1"/>
  <c r="AI11" i="39"/>
  <c r="AC11" i="39"/>
  <c r="AC49" i="39" s="1"/>
  <c r="J25" i="39"/>
  <c r="K25" i="39" s="1"/>
  <c r="J28" i="39"/>
  <c r="K28" i="39" s="1"/>
  <c r="J29" i="39"/>
  <c r="K29" i="39" s="1"/>
  <c r="J32" i="39"/>
  <c r="K32" i="39" s="1"/>
  <c r="J33" i="39"/>
  <c r="K33" i="39" s="1"/>
  <c r="J36" i="39"/>
  <c r="K36" i="39" s="1"/>
  <c r="J37" i="39"/>
  <c r="K37" i="39" s="1"/>
  <c r="J40" i="39"/>
  <c r="K40" i="39" s="1"/>
  <c r="J41" i="39"/>
  <c r="K41" i="39" s="1"/>
  <c r="J22" i="39"/>
  <c r="K22" i="39" s="1"/>
  <c r="J23" i="39"/>
  <c r="K23" i="39" s="1"/>
  <c r="M24" i="39"/>
  <c r="S24" i="39" s="1"/>
  <c r="M25" i="39"/>
  <c r="S25" i="39" s="1"/>
  <c r="J26" i="39"/>
  <c r="K26" i="39" s="1"/>
  <c r="U26" i="39" s="1"/>
  <c r="J27" i="39"/>
  <c r="K27" i="39" s="1"/>
  <c r="M28" i="39"/>
  <c r="S28" i="39" s="1"/>
  <c r="M29" i="39"/>
  <c r="S29" i="39" s="1"/>
  <c r="J30" i="39"/>
  <c r="K30" i="39" s="1"/>
  <c r="J31" i="39"/>
  <c r="K31" i="39" s="1"/>
  <c r="M32" i="39"/>
  <c r="S32" i="39" s="1"/>
  <c r="M33" i="39"/>
  <c r="S33" i="39" s="1"/>
  <c r="J34" i="39"/>
  <c r="K34" i="39" s="1"/>
  <c r="J35" i="39"/>
  <c r="K35" i="39" s="1"/>
  <c r="M36" i="39"/>
  <c r="S36" i="39" s="1"/>
  <c r="M37" i="39"/>
  <c r="S37" i="39" s="1"/>
  <c r="J38" i="39"/>
  <c r="K38" i="39" s="1"/>
  <c r="J39" i="39"/>
  <c r="K39" i="39" s="1"/>
  <c r="M40" i="39"/>
  <c r="S40" i="39" s="1"/>
  <c r="M41" i="39"/>
  <c r="S41" i="39" s="1"/>
  <c r="J42" i="39"/>
  <c r="K42" i="39" s="1"/>
  <c r="J43" i="39"/>
  <c r="K43" i="39" s="1"/>
  <c r="M21" i="39"/>
  <c r="S21" i="39" s="1"/>
  <c r="K20" i="39"/>
  <c r="K97" i="39"/>
  <c r="K96" i="39" s="1"/>
  <c r="L96" i="39" s="1"/>
  <c r="C97" i="39"/>
  <c r="BO90" i="39"/>
  <c r="BO89" i="39"/>
  <c r="BO88" i="39"/>
  <c r="K86" i="39"/>
  <c r="BO85" i="39"/>
  <c r="I81" i="39"/>
  <c r="E81" i="39"/>
  <c r="H81" i="39" s="1"/>
  <c r="BQ80" i="39"/>
  <c r="BI81" i="39"/>
  <c r="AW81" i="39"/>
  <c r="Q81" i="39"/>
  <c r="K81" i="39"/>
  <c r="I80" i="39"/>
  <c r="H80" i="39"/>
  <c r="G80" i="39"/>
  <c r="F80" i="39"/>
  <c r="BQ77" i="39"/>
  <c r="BI77" i="39"/>
  <c r="E73" i="39"/>
  <c r="N72" i="39" s="1"/>
  <c r="AX72" i="39"/>
  <c r="Z72" i="39"/>
  <c r="I72" i="39"/>
  <c r="H72" i="39"/>
  <c r="G72" i="39"/>
  <c r="F72" i="39"/>
  <c r="N71" i="39"/>
  <c r="AL70" i="39"/>
  <c r="N70" i="39"/>
  <c r="AX70" i="39"/>
  <c r="I70" i="39"/>
  <c r="H70" i="39"/>
  <c r="G70" i="39"/>
  <c r="F70" i="39"/>
  <c r="Z69" i="39"/>
  <c r="N69" i="39"/>
  <c r="BR69" i="39"/>
  <c r="I69" i="39"/>
  <c r="H69" i="39"/>
  <c r="G69" i="39"/>
  <c r="F69" i="39"/>
  <c r="N68" i="39"/>
  <c r="AX68" i="39"/>
  <c r="I68" i="39"/>
  <c r="H68" i="39"/>
  <c r="G68" i="39"/>
  <c r="F68" i="39"/>
  <c r="N67" i="39"/>
  <c r="BJ67" i="39"/>
  <c r="I67" i="39"/>
  <c r="H67" i="39"/>
  <c r="G67" i="39"/>
  <c r="F67" i="39"/>
  <c r="N66" i="39"/>
  <c r="BR66" i="39"/>
  <c r="N65" i="39"/>
  <c r="AX65" i="39"/>
  <c r="I65" i="39"/>
  <c r="H65" i="39"/>
  <c r="G65" i="39"/>
  <c r="F65" i="39"/>
  <c r="N64" i="39"/>
  <c r="AX64" i="39"/>
  <c r="I64" i="39"/>
  <c r="H64" i="39"/>
  <c r="G64" i="39"/>
  <c r="F64" i="39"/>
  <c r="E60" i="39"/>
  <c r="E75" i="39" s="1"/>
  <c r="N59" i="39"/>
  <c r="Z59" i="39"/>
  <c r="I59" i="39"/>
  <c r="H59" i="39"/>
  <c r="G59" i="39"/>
  <c r="F59" i="39"/>
  <c r="N58" i="39"/>
  <c r="I58" i="39"/>
  <c r="H58" i="39"/>
  <c r="G58" i="39"/>
  <c r="F58" i="39"/>
  <c r="BJ57" i="39"/>
  <c r="N57" i="39"/>
  <c r="AX57" i="39"/>
  <c r="I57" i="39"/>
  <c r="H57" i="39"/>
  <c r="G57" i="39"/>
  <c r="F57" i="39"/>
  <c r="AX56" i="39"/>
  <c r="N56" i="39"/>
  <c r="BR56" i="39"/>
  <c r="I56" i="39"/>
  <c r="H56" i="39"/>
  <c r="G56" i="39"/>
  <c r="F56" i="39"/>
  <c r="AX55" i="39"/>
  <c r="N55" i="39"/>
  <c r="I55" i="39"/>
  <c r="H55" i="39"/>
  <c r="G55" i="39"/>
  <c r="F55" i="39"/>
  <c r="BR54" i="39"/>
  <c r="AL54" i="39"/>
  <c r="N54" i="39"/>
  <c r="I54" i="39"/>
  <c r="H54" i="39"/>
  <c r="G54" i="39"/>
  <c r="F54" i="39"/>
  <c r="BJ53" i="39"/>
  <c r="N53" i="39"/>
  <c r="AX53" i="39"/>
  <c r="I53" i="39"/>
  <c r="H53" i="39"/>
  <c r="G53" i="39"/>
  <c r="F53" i="39"/>
  <c r="N52" i="39"/>
  <c r="AX52" i="39"/>
  <c r="N51" i="39"/>
  <c r="AX51" i="39"/>
  <c r="I49" i="39"/>
  <c r="H49" i="39"/>
  <c r="G49" i="39"/>
  <c r="F49" i="39"/>
  <c r="BU45" i="39"/>
  <c r="I45" i="39"/>
  <c r="H45" i="39"/>
  <c r="G45" i="39"/>
  <c r="F45" i="39"/>
  <c r="E45" i="39"/>
  <c r="BV43" i="39"/>
  <c r="BV42" i="39"/>
  <c r="BV41" i="39"/>
  <c r="BV40" i="39"/>
  <c r="BV39" i="39"/>
  <c r="BV38" i="39"/>
  <c r="BV37" i="39"/>
  <c r="BV36" i="39"/>
  <c r="BV35" i="39"/>
  <c r="BV34" i="39"/>
  <c r="BV33" i="39"/>
  <c r="BV32" i="39"/>
  <c r="BV31" i="39"/>
  <c r="BV30" i="39"/>
  <c r="BV29" i="39"/>
  <c r="BV28" i="39"/>
  <c r="BV27" i="39"/>
  <c r="BV26" i="39"/>
  <c r="BV25" i="39"/>
  <c r="BV24" i="39"/>
  <c r="BV23" i="39"/>
  <c r="BV22" i="39"/>
  <c r="BV21" i="39"/>
  <c r="BV20" i="39"/>
  <c r="BM13" i="39"/>
  <c r="BG13" i="39"/>
  <c r="BF13" i="39"/>
  <c r="BE13" i="39"/>
  <c r="BD13" i="39"/>
  <c r="BC13" i="39"/>
  <c r="BB13" i="39"/>
  <c r="BA13" i="39"/>
  <c r="AU13" i="39"/>
  <c r="AT13" i="39"/>
  <c r="AS13" i="39"/>
  <c r="AR13" i="39"/>
  <c r="AQ13" i="39"/>
  <c r="AP13" i="39"/>
  <c r="AO13" i="39"/>
  <c r="AI13" i="39"/>
  <c r="AH13" i="39"/>
  <c r="AG13" i="39"/>
  <c r="AF13" i="39"/>
  <c r="AE13" i="39"/>
  <c r="AD13" i="39"/>
  <c r="AC13" i="39"/>
  <c r="W13" i="39"/>
  <c r="V13" i="39"/>
  <c r="U13" i="39"/>
  <c r="T13" i="39"/>
  <c r="S13" i="39"/>
  <c r="R13" i="39"/>
  <c r="Q13" i="39"/>
  <c r="BO11" i="39"/>
  <c r="BM9" i="39"/>
  <c r="AU9" i="39"/>
  <c r="AT9" i="39"/>
  <c r="AS9" i="39"/>
  <c r="AR9" i="39"/>
  <c r="AQ9" i="39"/>
  <c r="AP9" i="39"/>
  <c r="AO9" i="39"/>
  <c r="AI9" i="39"/>
  <c r="AE9" i="39"/>
  <c r="AD9" i="39"/>
  <c r="W9" i="39"/>
  <c r="V9" i="39"/>
  <c r="T9" i="39"/>
  <c r="S9" i="39"/>
  <c r="R9" i="39"/>
  <c r="Q9" i="39"/>
  <c r="BM8" i="39"/>
  <c r="AV8" i="39"/>
  <c r="AU8" i="39"/>
  <c r="AT8" i="39"/>
  <c r="AS8" i="39"/>
  <c r="AR8" i="39"/>
  <c r="AQ8" i="39"/>
  <c r="AP8" i="39"/>
  <c r="AO8" i="39"/>
  <c r="AI8" i="39"/>
  <c r="AE8" i="39"/>
  <c r="AD8" i="39"/>
  <c r="W8" i="39"/>
  <c r="V8" i="39"/>
  <c r="U8" i="39"/>
  <c r="T8" i="39"/>
  <c r="S8" i="39"/>
  <c r="R8" i="39"/>
  <c r="BX7" i="39"/>
  <c r="BY7" i="39" s="1"/>
  <c r="BQ7" i="39"/>
  <c r="BS8" i="39" s="1"/>
  <c r="BS9" i="39" s="1"/>
  <c r="BI7" i="39"/>
  <c r="AW7" i="39"/>
  <c r="AK7" i="39"/>
  <c r="Y7" i="39"/>
  <c r="BQ6" i="39"/>
  <c r="BS6" i="39" s="1"/>
  <c r="BI6" i="39"/>
  <c r="BJ9" i="39" s="1"/>
  <c r="AW6" i="39"/>
  <c r="AY6" i="39" s="1"/>
  <c r="AK6" i="39"/>
  <c r="AL9" i="39" s="1"/>
  <c r="Y6" i="39"/>
  <c r="AA6" i="39" s="1"/>
  <c r="BX5" i="39"/>
  <c r="BQ5" i="39"/>
  <c r="BI5" i="39"/>
  <c r="AW5" i="39"/>
  <c r="AK5" i="39"/>
  <c r="Y5" i="39"/>
  <c r="BQ4" i="39"/>
  <c r="CD3" i="39"/>
  <c r="BW7" i="37"/>
  <c r="AH56" i="39" l="1"/>
  <c r="AH52" i="39"/>
  <c r="AH59" i="39"/>
  <c r="AH55" i="39"/>
  <c r="AH51" i="39"/>
  <c r="AH57" i="39"/>
  <c r="AH58" i="39"/>
  <c r="AH54" i="39"/>
  <c r="AH53" i="39"/>
  <c r="AG56" i="39"/>
  <c r="AG55" i="39"/>
  <c r="AG58" i="39"/>
  <c r="AG54" i="39"/>
  <c r="AG57" i="39"/>
  <c r="AG53" i="39"/>
  <c r="AG52" i="39"/>
  <c r="AG59" i="39"/>
  <c r="AG51" i="39"/>
  <c r="AL3" i="39"/>
  <c r="BY3" i="39" s="1"/>
  <c r="AF56" i="39"/>
  <c r="AF52" i="39"/>
  <c r="AF57" i="39"/>
  <c r="AF59" i="39"/>
  <c r="AF55" i="39"/>
  <c r="AF51" i="39"/>
  <c r="AF58" i="39"/>
  <c r="AF54" i="39"/>
  <c r="AF53" i="39"/>
  <c r="AE56" i="39"/>
  <c r="AE52" i="39"/>
  <c r="AE53" i="39"/>
  <c r="AE59" i="39"/>
  <c r="AE55" i="39"/>
  <c r="AE51" i="39"/>
  <c r="AE58" i="39"/>
  <c r="AE54" i="39"/>
  <c r="AE57" i="39"/>
  <c r="AD56" i="39"/>
  <c r="AD52" i="39"/>
  <c r="AD54" i="39"/>
  <c r="AD53" i="39"/>
  <c r="AD59" i="39"/>
  <c r="AD55" i="39"/>
  <c r="AD51" i="39"/>
  <c r="AD60" i="39" s="1"/>
  <c r="AD62" i="39" s="1"/>
  <c r="AD58" i="39"/>
  <c r="AD57" i="39"/>
  <c r="AC56" i="39"/>
  <c r="AC52" i="39"/>
  <c r="AC57" i="39"/>
  <c r="AC59" i="39"/>
  <c r="AC55" i="39"/>
  <c r="AC51" i="39"/>
  <c r="AC58" i="39"/>
  <c r="AC54" i="39"/>
  <c r="AC53" i="39"/>
  <c r="CQ105" i="40"/>
  <c r="CR105" i="40" s="1"/>
  <c r="AU105" i="40"/>
  <c r="BQ3" i="39"/>
  <c r="R20" i="39"/>
  <c r="U20" i="39"/>
  <c r="T20" i="39"/>
  <c r="R41" i="39"/>
  <c r="U41" i="39"/>
  <c r="T41" i="39"/>
  <c r="R33" i="39"/>
  <c r="U33" i="39"/>
  <c r="T33" i="39"/>
  <c r="R25" i="39"/>
  <c r="U25" i="39"/>
  <c r="T25" i="39"/>
  <c r="R30" i="39"/>
  <c r="U30" i="39"/>
  <c r="T30" i="39"/>
  <c r="R22" i="39"/>
  <c r="U22" i="39"/>
  <c r="T22" i="39"/>
  <c r="R28" i="39"/>
  <c r="U28" i="39"/>
  <c r="T28" i="39"/>
  <c r="R40" i="39"/>
  <c r="U40" i="39"/>
  <c r="T40" i="39"/>
  <c r="R32" i="39"/>
  <c r="U32" i="39"/>
  <c r="T32" i="39"/>
  <c r="R42" i="39"/>
  <c r="U42" i="39"/>
  <c r="T42" i="39"/>
  <c r="R38" i="39"/>
  <c r="U38" i="39"/>
  <c r="T38" i="39"/>
  <c r="R34" i="39"/>
  <c r="U34" i="39"/>
  <c r="T34" i="39"/>
  <c r="R36" i="39"/>
  <c r="U36" i="39"/>
  <c r="T36" i="39"/>
  <c r="N60" i="39"/>
  <c r="R43" i="39"/>
  <c r="U43" i="39"/>
  <c r="T43" i="39"/>
  <c r="R39" i="39"/>
  <c r="U39" i="39"/>
  <c r="T39" i="39"/>
  <c r="R35" i="39"/>
  <c r="U35" i="39"/>
  <c r="T35" i="39"/>
  <c r="R31" i="39"/>
  <c r="U31" i="39"/>
  <c r="T31" i="39"/>
  <c r="R27" i="39"/>
  <c r="U27" i="39"/>
  <c r="T27" i="39"/>
  <c r="R23" i="39"/>
  <c r="U23" i="39"/>
  <c r="T23" i="39"/>
  <c r="R37" i="39"/>
  <c r="U37" i="39"/>
  <c r="T37" i="39"/>
  <c r="R29" i="39"/>
  <c r="U29" i="39"/>
  <c r="T29" i="39"/>
  <c r="R26" i="39"/>
  <c r="T26" i="39"/>
  <c r="C98" i="39"/>
  <c r="C99" i="39" s="1"/>
  <c r="E47" i="39"/>
  <c r="CC1" i="39"/>
  <c r="CF5" i="39" s="1"/>
  <c r="N21" i="39"/>
  <c r="BJ21" i="39" s="1"/>
  <c r="N40" i="39"/>
  <c r="CE3" i="39"/>
  <c r="CF3" i="39" s="1"/>
  <c r="N30" i="39"/>
  <c r="N38" i="39"/>
  <c r="BR38" i="39" s="1"/>
  <c r="BS38" i="39" s="1"/>
  <c r="N28" i="39"/>
  <c r="N36" i="39"/>
  <c r="N32" i="39"/>
  <c r="N23" i="39"/>
  <c r="N34" i="39"/>
  <c r="BX1" i="39"/>
  <c r="CF28" i="39" s="1"/>
  <c r="N5" i="39"/>
  <c r="CC2" i="39" s="1"/>
  <c r="J24" i="39"/>
  <c r="K24" i="39" s="1"/>
  <c r="N42" i="39"/>
  <c r="BV45" i="39"/>
  <c r="Y9" i="39"/>
  <c r="K60" i="39"/>
  <c r="M43" i="39"/>
  <c r="S43" i="39" s="1"/>
  <c r="M39" i="39"/>
  <c r="S39" i="39" s="1"/>
  <c r="M35" i="39"/>
  <c r="S35" i="39" s="1"/>
  <c r="M31" i="39"/>
  <c r="S31" i="39" s="1"/>
  <c r="M27" i="39"/>
  <c r="S27" i="39" s="1"/>
  <c r="M23" i="39"/>
  <c r="S23" i="39" s="1"/>
  <c r="N25" i="39"/>
  <c r="BR53" i="39"/>
  <c r="BR57" i="39"/>
  <c r="M42" i="39"/>
  <c r="S42" i="39" s="1"/>
  <c r="M38" i="39"/>
  <c r="S38" i="39" s="1"/>
  <c r="M34" i="39"/>
  <c r="S34" i="39" s="1"/>
  <c r="M30" i="39"/>
  <c r="S30" i="39" s="1"/>
  <c r="M26" i="39"/>
  <c r="S26" i="39" s="1"/>
  <c r="M22" i="39"/>
  <c r="S22" i="39" s="1"/>
  <c r="BJ52" i="39"/>
  <c r="AW9" i="39"/>
  <c r="N20" i="39"/>
  <c r="N22" i="39"/>
  <c r="N27" i="39"/>
  <c r="N29" i="39"/>
  <c r="N31" i="39"/>
  <c r="N33" i="39"/>
  <c r="AX33" i="39" s="1"/>
  <c r="N35" i="39"/>
  <c r="N37" i="39"/>
  <c r="N39" i="39"/>
  <c r="N41" i="39"/>
  <c r="BJ41" i="39" s="1"/>
  <c r="N43" i="39"/>
  <c r="Z51" i="39"/>
  <c r="Z52" i="39"/>
  <c r="Z65" i="39"/>
  <c r="Z66" i="39"/>
  <c r="AL67" i="39"/>
  <c r="Z68" i="39"/>
  <c r="AX69" i="39"/>
  <c r="BJ70" i="39"/>
  <c r="BO92" i="39"/>
  <c r="BO94" i="39" s="1"/>
  <c r="M20" i="39"/>
  <c r="S20" i="39" s="1"/>
  <c r="BR4" i="39"/>
  <c r="N24" i="39"/>
  <c r="BR24" i="39" s="1"/>
  <c r="N26" i="39"/>
  <c r="AL53" i="39"/>
  <c r="G73" i="39"/>
  <c r="G75" i="39" s="1"/>
  <c r="Z56" i="39"/>
  <c r="AL57" i="39"/>
  <c r="Z64" i="39"/>
  <c r="AX66" i="39"/>
  <c r="BR67" i="39"/>
  <c r="BR70" i="39"/>
  <c r="BU80" i="39"/>
  <c r="BV80" i="39" s="1"/>
  <c r="BQ9" i="39"/>
  <c r="BR9" i="39"/>
  <c r="BI9" i="39"/>
  <c r="AK9" i="39"/>
  <c r="BQ42" i="39"/>
  <c r="J21" i="39"/>
  <c r="K21" i="39" s="1"/>
  <c r="L45" i="39"/>
  <c r="L19" i="39" s="1"/>
  <c r="M19" i="39" s="1"/>
  <c r="BX8" i="39"/>
  <c r="AA8" i="39"/>
  <c r="AA9" i="39" s="1"/>
  <c r="CD4" i="39"/>
  <c r="K5" i="39"/>
  <c r="CA5" i="39"/>
  <c r="CA8" i="39"/>
  <c r="CA9" i="39" s="1"/>
  <c r="Q22" i="39"/>
  <c r="BQ22" i="39"/>
  <c r="Q31" i="39"/>
  <c r="BQ31" i="39"/>
  <c r="AM6" i="39"/>
  <c r="BK6" i="39"/>
  <c r="Y8" i="39"/>
  <c r="AY8" i="39"/>
  <c r="AY9" i="39" s="1"/>
  <c r="BI8" i="39"/>
  <c r="BQ8" i="39"/>
  <c r="CC8" i="39"/>
  <c r="Q28" i="39"/>
  <c r="BQ28" i="39"/>
  <c r="BQ29" i="39"/>
  <c r="Q29" i="39"/>
  <c r="BQ30" i="39"/>
  <c r="Q30" i="39"/>
  <c r="BQ38" i="39"/>
  <c r="Q38" i="39"/>
  <c r="BX6" i="39"/>
  <c r="BX9" i="39" s="1"/>
  <c r="AW8" i="39"/>
  <c r="BQ23" i="39"/>
  <c r="Q23" i="39"/>
  <c r="Q27" i="39"/>
  <c r="BQ27" i="39"/>
  <c r="AK8" i="39"/>
  <c r="BK8" i="39"/>
  <c r="BK9" i="39" s="1"/>
  <c r="Z9" i="39"/>
  <c r="AX9" i="39"/>
  <c r="Q26" i="39"/>
  <c r="BQ26" i="39"/>
  <c r="AX40" i="39"/>
  <c r="BQ24" i="39"/>
  <c r="BR40" i="39"/>
  <c r="BJ39" i="39"/>
  <c r="K7" i="39"/>
  <c r="AM8" i="39"/>
  <c r="AM9" i="39" s="1"/>
  <c r="BQ21" i="39"/>
  <c r="Q25" i="39"/>
  <c r="BQ25" i="39"/>
  <c r="BQ32" i="39"/>
  <c r="Q32" i="39"/>
  <c r="Q37" i="39"/>
  <c r="BQ37" i="39"/>
  <c r="Q35" i="39"/>
  <c r="Q39" i="39"/>
  <c r="BQ39" i="39"/>
  <c r="AW36" i="39"/>
  <c r="Q36" i="39"/>
  <c r="BQ36" i="39"/>
  <c r="BQ35" i="39"/>
  <c r="Q42" i="39"/>
  <c r="AX58" i="39"/>
  <c r="Z58" i="39"/>
  <c r="BR58" i="39"/>
  <c r="AL58" i="39"/>
  <c r="BR59" i="39"/>
  <c r="BJ59" i="39"/>
  <c r="AL59" i="39"/>
  <c r="AX59" i="39"/>
  <c r="BQ40" i="39"/>
  <c r="Q40" i="39"/>
  <c r="G77" i="39"/>
  <c r="N73" i="39"/>
  <c r="Y81" i="39"/>
  <c r="BU81" i="39"/>
  <c r="BV81" i="39" s="1"/>
  <c r="Q41" i="39"/>
  <c r="BR51" i="39"/>
  <c r="BJ51" i="39"/>
  <c r="AL51" i="39"/>
  <c r="BR52" i="39"/>
  <c r="AL52" i="39"/>
  <c r="I73" i="39"/>
  <c r="BJ58" i="39"/>
  <c r="C45" i="39"/>
  <c r="E19" i="39" s="1"/>
  <c r="AX54" i="39"/>
  <c r="Z54" i="39"/>
  <c r="BJ54" i="39"/>
  <c r="BR55" i="39"/>
  <c r="BJ55" i="39"/>
  <c r="AL55" i="39"/>
  <c r="BR71" i="39"/>
  <c r="AL71" i="39"/>
  <c r="AX71" i="39"/>
  <c r="Z71" i="39"/>
  <c r="BJ71" i="39"/>
  <c r="E49" i="39"/>
  <c r="H73" i="39"/>
  <c r="Z55" i="39"/>
  <c r="K73" i="39"/>
  <c r="K77" i="39" s="1"/>
  <c r="BR64" i="39"/>
  <c r="BJ64" i="39"/>
  <c r="AL64" i="39"/>
  <c r="BR65" i="39"/>
  <c r="BJ65" i="39"/>
  <c r="AL65" i="39"/>
  <c r="F73" i="39"/>
  <c r="AL56" i="39"/>
  <c r="BJ56" i="39"/>
  <c r="AL66" i="39"/>
  <c r="BJ66" i="39"/>
  <c r="Z53" i="39"/>
  <c r="Z57" i="39"/>
  <c r="Z67" i="39"/>
  <c r="AX67" i="39"/>
  <c r="BR68" i="39"/>
  <c r="BJ68" i="39"/>
  <c r="AL68" i="39"/>
  <c r="AL69" i="39"/>
  <c r="BJ69" i="39"/>
  <c r="Z70" i="39"/>
  <c r="BR72" i="39"/>
  <c r="BJ72" i="39"/>
  <c r="AL72" i="39"/>
  <c r="E77" i="39"/>
  <c r="K98" i="39"/>
  <c r="K99" i="39" s="1"/>
  <c r="AK81" i="39"/>
  <c r="Y80" i="39"/>
  <c r="AK80" i="39"/>
  <c r="AW80" i="39"/>
  <c r="BI80" i="39"/>
  <c r="F81" i="39"/>
  <c r="E89" i="39"/>
  <c r="K89" i="39" s="1"/>
  <c r="G81" i="39"/>
  <c r="BQ81" i="39"/>
  <c r="BM81" i="37"/>
  <c r="BM82" i="37" s="1"/>
  <c r="BM44" i="37"/>
  <c r="BM43" i="37"/>
  <c r="BM42" i="37"/>
  <c r="BM41" i="37"/>
  <c r="BM40" i="37"/>
  <c r="BM39" i="37"/>
  <c r="BM38" i="37"/>
  <c r="BM35" i="37"/>
  <c r="BM34" i="37"/>
  <c r="BM33" i="37"/>
  <c r="BM30" i="37"/>
  <c r="BM28" i="37"/>
  <c r="BM27" i="37"/>
  <c r="BM26" i="37"/>
  <c r="BM24" i="37"/>
  <c r="BM22" i="37"/>
  <c r="BM21" i="37"/>
  <c r="BP6" i="37"/>
  <c r="BM9" i="37"/>
  <c r="BM8" i="37"/>
  <c r="BG81" i="37"/>
  <c r="BG82" i="37" s="1"/>
  <c r="BG44" i="37"/>
  <c r="BG43" i="37"/>
  <c r="BG42" i="37"/>
  <c r="BG41" i="37"/>
  <c r="BG40" i="37"/>
  <c r="BG39" i="37"/>
  <c r="BG38" i="37"/>
  <c r="BG35" i="37"/>
  <c r="BG34" i="37"/>
  <c r="BG33" i="37"/>
  <c r="BG30" i="37"/>
  <c r="BG28" i="37"/>
  <c r="BG27" i="37"/>
  <c r="BG26" i="37"/>
  <c r="BG24" i="37"/>
  <c r="BG22" i="37"/>
  <c r="BG21" i="37"/>
  <c r="BG8" i="37"/>
  <c r="BG9" i="37"/>
  <c r="AH60" i="39" l="1"/>
  <c r="AH62" i="39" s="1"/>
  <c r="AG60" i="39"/>
  <c r="AG62" i="39" s="1"/>
  <c r="AF60" i="39"/>
  <c r="AF62" i="39" s="1"/>
  <c r="AE60" i="39"/>
  <c r="AE62" i="39" s="1"/>
  <c r="AD70" i="39"/>
  <c r="AD66" i="39"/>
  <c r="AD72" i="39"/>
  <c r="AD68" i="39"/>
  <c r="AD64" i="39"/>
  <c r="AD71" i="39"/>
  <c r="AD69" i="39"/>
  <c r="AD65" i="39"/>
  <c r="AD67" i="39"/>
  <c r="AC60" i="39"/>
  <c r="AC62" i="39" s="1"/>
  <c r="U21" i="39"/>
  <c r="T21" i="39"/>
  <c r="BR25" i="39"/>
  <c r="BR30" i="39"/>
  <c r="R24" i="39"/>
  <c r="U24" i="39"/>
  <c r="T24" i="39"/>
  <c r="T45" i="39" s="1"/>
  <c r="Q24" i="39"/>
  <c r="Y24" i="39" s="1"/>
  <c r="S45" i="39"/>
  <c r="BJ37" i="39"/>
  <c r="BJ34" i="39"/>
  <c r="AX28" i="39"/>
  <c r="Z40" i="39"/>
  <c r="BJ28" i="39"/>
  <c r="N45" i="39"/>
  <c r="AX43" i="39"/>
  <c r="N19" i="39"/>
  <c r="Q21" i="39"/>
  <c r="BX21" i="39" s="1"/>
  <c r="BY21" i="39" s="1"/>
  <c r="R21" i="39"/>
  <c r="R45" i="39" s="1"/>
  <c r="AX73" i="39"/>
  <c r="CC14" i="39"/>
  <c r="AL32" i="39"/>
  <c r="BR32" i="39"/>
  <c r="BS32" i="39" s="1"/>
  <c r="BJ42" i="39"/>
  <c r="BR6" i="37"/>
  <c r="BW6" i="37"/>
  <c r="Z73" i="39"/>
  <c r="CF33" i="39"/>
  <c r="CF35" i="39"/>
  <c r="CF36" i="39"/>
  <c r="CF34" i="39"/>
  <c r="Z33" i="39"/>
  <c r="Z22" i="39"/>
  <c r="Z41" i="39"/>
  <c r="Z27" i="39"/>
  <c r="Z43" i="39"/>
  <c r="Z25" i="39"/>
  <c r="Z31" i="39"/>
  <c r="Z36" i="39"/>
  <c r="K75" i="39"/>
  <c r="BS24" i="39"/>
  <c r="Z37" i="39"/>
  <c r="Z34" i="39"/>
  <c r="Z23" i="39"/>
  <c r="Z35" i="39"/>
  <c r="Z30" i="39"/>
  <c r="AX23" i="39"/>
  <c r="AX60" i="39"/>
  <c r="Z28" i="39"/>
  <c r="Z21" i="39"/>
  <c r="Z20" i="39"/>
  <c r="Z24" i="39"/>
  <c r="Z42" i="39"/>
  <c r="Z38" i="39"/>
  <c r="AX41" i="39"/>
  <c r="Z60" i="39"/>
  <c r="BJ60" i="39"/>
  <c r="Z29" i="39"/>
  <c r="Z26" i="39"/>
  <c r="Z32" i="39"/>
  <c r="Z39" i="39"/>
  <c r="BS30" i="39"/>
  <c r="CC3" i="39"/>
  <c r="BR27" i="39"/>
  <c r="BS27" i="39" s="1"/>
  <c r="BJ20" i="39"/>
  <c r="BJ45" i="39" s="1"/>
  <c r="BJ23" i="39"/>
  <c r="BJ31" i="39"/>
  <c r="BJ26" i="39"/>
  <c r="BJ38" i="39"/>
  <c r="BJ43" i="39"/>
  <c r="BJ25" i="39"/>
  <c r="BJ24" i="39"/>
  <c r="BJ33" i="39"/>
  <c r="BJ27" i="39"/>
  <c r="BJ40" i="39"/>
  <c r="BJ32" i="39"/>
  <c r="BJ29" i="39"/>
  <c r="BJ22" i="39"/>
  <c r="BJ35" i="39"/>
  <c r="BJ30" i="39"/>
  <c r="BJ36" i="39"/>
  <c r="AX29" i="39"/>
  <c r="AX37" i="39"/>
  <c r="AX24" i="39"/>
  <c r="AX39" i="39"/>
  <c r="AX26" i="39"/>
  <c r="AX20" i="39"/>
  <c r="AX31" i="39"/>
  <c r="AX30" i="39"/>
  <c r="CD1" i="39"/>
  <c r="CE1" i="39" s="1"/>
  <c r="CF1" i="39" s="1"/>
  <c r="AX22" i="39"/>
  <c r="AX27" i="39"/>
  <c r="AX25" i="39"/>
  <c r="AX36" i="39"/>
  <c r="AY36" i="39" s="1"/>
  <c r="AX38" i="39"/>
  <c r="AL29" i="39"/>
  <c r="AL27" i="39"/>
  <c r="AL25" i="39"/>
  <c r="AL38" i="39"/>
  <c r="AL23" i="39"/>
  <c r="AL40" i="39"/>
  <c r="AW37" i="39"/>
  <c r="BQ33" i="39"/>
  <c r="Q33" i="39"/>
  <c r="Y33" i="39" s="1"/>
  <c r="AK35" i="39"/>
  <c r="AK40" i="39"/>
  <c r="BQ41" i="39"/>
  <c r="BI41" i="39"/>
  <c r="BK41" i="39" s="1"/>
  <c r="AW41" i="39"/>
  <c r="AK22" i="39"/>
  <c r="BI40" i="39"/>
  <c r="BS40" i="39"/>
  <c r="AW21" i="39"/>
  <c r="AK21" i="39"/>
  <c r="AL73" i="39"/>
  <c r="BI27" i="39"/>
  <c r="AW22" i="39"/>
  <c r="N89" i="39"/>
  <c r="F89" i="39"/>
  <c r="I89" i="39"/>
  <c r="H89" i="39"/>
  <c r="G89" i="39"/>
  <c r="AW42" i="39"/>
  <c r="BI35" i="39"/>
  <c r="AW24" i="39"/>
  <c r="BI24" i="39"/>
  <c r="AW35" i="39"/>
  <c r="BI31" i="39"/>
  <c r="AW31" i="39"/>
  <c r="BI25" i="39"/>
  <c r="AK25" i="39"/>
  <c r="BI37" i="39"/>
  <c r="BK37" i="39" s="1"/>
  <c r="BI32" i="39"/>
  <c r="BK32" i="39" s="1"/>
  <c r="AW25" i="39"/>
  <c r="Y25" i="39"/>
  <c r="K8" i="39"/>
  <c r="N8" i="39" s="1"/>
  <c r="E7" i="39"/>
  <c r="CE4" i="39" s="1"/>
  <c r="BR33" i="39"/>
  <c r="BR31" i="39"/>
  <c r="BS31" i="39" s="1"/>
  <c r="BR34" i="39"/>
  <c r="BR29" i="39"/>
  <c r="BS29" i="39" s="1"/>
  <c r="BR36" i="39"/>
  <c r="BS36" i="39" s="1"/>
  <c r="BR42" i="39"/>
  <c r="BS42" i="39" s="1"/>
  <c r="AW27" i="39"/>
  <c r="BX27" i="39"/>
  <c r="BY27" i="39" s="1"/>
  <c r="Y27" i="39"/>
  <c r="AK27" i="39"/>
  <c r="Y23" i="39"/>
  <c r="Y38" i="39"/>
  <c r="BX38" i="39"/>
  <c r="BY38" i="39" s="1"/>
  <c r="AW38" i="39"/>
  <c r="AW29" i="39"/>
  <c r="BI28" i="39"/>
  <c r="BK28" i="39" s="1"/>
  <c r="AL30" i="39"/>
  <c r="AL24" i="39"/>
  <c r="AL34" i="39"/>
  <c r="AL31" i="39"/>
  <c r="AL36" i="39"/>
  <c r="AL42" i="39"/>
  <c r="AK31" i="39"/>
  <c r="F75" i="39"/>
  <c r="F77" i="39"/>
  <c r="Q34" i="39"/>
  <c r="BQ34" i="39"/>
  <c r="Y35" i="39"/>
  <c r="BX35" i="39"/>
  <c r="BY35" i="39" s="1"/>
  <c r="Y22" i="39"/>
  <c r="BX22" i="39"/>
  <c r="BY22" i="39" s="1"/>
  <c r="H75" i="39"/>
  <c r="H77" i="39"/>
  <c r="BR60" i="39"/>
  <c r="BR73" i="39" s="1"/>
  <c r="BI42" i="39"/>
  <c r="AK42" i="39"/>
  <c r="BQ43" i="39"/>
  <c r="Q43" i="39"/>
  <c r="AW39" i="39"/>
  <c r="BI39" i="39"/>
  <c r="BK39" i="39" s="1"/>
  <c r="BI36" i="39"/>
  <c r="AW23" i="39"/>
  <c r="Y39" i="39"/>
  <c r="AK30" i="39"/>
  <c r="BI30" i="39"/>
  <c r="Y37" i="39"/>
  <c r="BX37" i="39"/>
  <c r="BY37" i="39" s="1"/>
  <c r="AK37" i="39"/>
  <c r="AK32" i="39"/>
  <c r="BR35" i="39"/>
  <c r="BS35" i="39" s="1"/>
  <c r="BR22" i="39"/>
  <c r="BS22" i="39" s="1"/>
  <c r="BR21" i="39"/>
  <c r="BS21" i="39" s="1"/>
  <c r="BR39" i="39"/>
  <c r="BS39" i="39" s="1"/>
  <c r="BR37" i="39"/>
  <c r="BS37" i="39" s="1"/>
  <c r="BR41" i="39"/>
  <c r="BI26" i="39"/>
  <c r="BK26" i="39" s="1"/>
  <c r="Y30" i="39"/>
  <c r="AW30" i="39"/>
  <c r="BI29" i="39"/>
  <c r="BK29" i="39" s="1"/>
  <c r="AW28" i="39"/>
  <c r="AY28" i="39" s="1"/>
  <c r="Y28" i="39"/>
  <c r="BX28" i="39"/>
  <c r="BY28" i="39" s="1"/>
  <c r="AK28" i="39"/>
  <c r="AL33" i="39"/>
  <c r="AL22" i="39"/>
  <c r="AL21" i="39"/>
  <c r="AL39" i="39"/>
  <c r="AL37" i="39"/>
  <c r="AL41" i="39"/>
  <c r="I77" i="39"/>
  <c r="I75" i="39"/>
  <c r="Y42" i="39"/>
  <c r="BX42" i="39"/>
  <c r="BY42" i="39" s="1"/>
  <c r="J45" i="39"/>
  <c r="J19" i="39" s="1"/>
  <c r="BS25" i="39"/>
  <c r="BI23" i="39"/>
  <c r="AK38" i="39"/>
  <c r="E88" i="39"/>
  <c r="K88" i="39" s="1"/>
  <c r="BJ73" i="39"/>
  <c r="E85" i="39"/>
  <c r="K85" i="39" s="1"/>
  <c r="N7" i="39"/>
  <c r="CC5" i="39"/>
  <c r="Y41" i="39"/>
  <c r="AL60" i="39"/>
  <c r="BX40" i="39"/>
  <c r="BY40" i="39" s="1"/>
  <c r="Y40" i="39"/>
  <c r="AW40" i="39"/>
  <c r="AY40" i="39" s="1"/>
  <c r="Y36" i="39"/>
  <c r="BX36" i="39"/>
  <c r="BY36" i="39" s="1"/>
  <c r="AK36" i="39"/>
  <c r="M45" i="39"/>
  <c r="M47" i="39" s="1"/>
  <c r="AW32" i="39"/>
  <c r="Y32" i="39"/>
  <c r="BX32" i="39"/>
  <c r="BY32" i="39" s="1"/>
  <c r="BR20" i="39"/>
  <c r="BR23" i="39"/>
  <c r="BS23" i="39" s="1"/>
  <c r="BR28" i="39"/>
  <c r="BS28" i="39" s="1"/>
  <c r="BR26" i="39"/>
  <c r="BS26" i="39" s="1"/>
  <c r="BR43" i="39"/>
  <c r="AX21" i="39"/>
  <c r="AX35" i="39"/>
  <c r="AX32" i="39"/>
  <c r="AX34" i="39"/>
  <c r="AX42" i="39"/>
  <c r="AY42" i="39" s="1"/>
  <c r="AW26" i="39"/>
  <c r="BX26" i="39"/>
  <c r="BY26" i="39" s="1"/>
  <c r="Y26" i="39"/>
  <c r="AK26" i="39"/>
  <c r="BY9" i="39"/>
  <c r="CA6" i="39"/>
  <c r="BI38" i="39"/>
  <c r="Y29" i="39"/>
  <c r="BX29" i="39"/>
  <c r="BY29" i="39" s="1"/>
  <c r="AK29" i="39"/>
  <c r="AL20" i="39"/>
  <c r="AL35" i="39"/>
  <c r="AL28" i="39"/>
  <c r="AL26" i="39"/>
  <c r="AL43" i="39"/>
  <c r="Y31" i="39"/>
  <c r="BI22" i="39"/>
  <c r="BQ9" i="37"/>
  <c r="BF81" i="37"/>
  <c r="BF82" i="37" s="1"/>
  <c r="BF44" i="37"/>
  <c r="BF43" i="37"/>
  <c r="BF42" i="37"/>
  <c r="BF41" i="37"/>
  <c r="BF40" i="37"/>
  <c r="BF39" i="37"/>
  <c r="BF38" i="37"/>
  <c r="BF35" i="37"/>
  <c r="BF34" i="37"/>
  <c r="BF33" i="37"/>
  <c r="BF30" i="37"/>
  <c r="BF28" i="37"/>
  <c r="BF27" i="37"/>
  <c r="BF26" i="37"/>
  <c r="BF24" i="37"/>
  <c r="BF22" i="37"/>
  <c r="BF21" i="37"/>
  <c r="BF9" i="37"/>
  <c r="AH70" i="39" l="1"/>
  <c r="AH66" i="39"/>
  <c r="AH69" i="39"/>
  <c r="AH65" i="39"/>
  <c r="AH71" i="39"/>
  <c r="AH67" i="39"/>
  <c r="AH72" i="39"/>
  <c r="AH68" i="39"/>
  <c r="AH64" i="39"/>
  <c r="AG70" i="39"/>
  <c r="AG66" i="39"/>
  <c r="AG72" i="39"/>
  <c r="AG68" i="39"/>
  <c r="AG64" i="39"/>
  <c r="AG71" i="39"/>
  <c r="AG67" i="39"/>
  <c r="AG69" i="39"/>
  <c r="AG65" i="39"/>
  <c r="AF70" i="39"/>
  <c r="AF66" i="39"/>
  <c r="AF71" i="39"/>
  <c r="AF69" i="39"/>
  <c r="AF65" i="39"/>
  <c r="AF72" i="39"/>
  <c r="AF68" i="39"/>
  <c r="AF64" i="39"/>
  <c r="AF73" i="39" s="1"/>
  <c r="AF75" i="39" s="1"/>
  <c r="AF78" i="39" s="1"/>
  <c r="AF83" i="39" s="1"/>
  <c r="AF67" i="39"/>
  <c r="AE70" i="39"/>
  <c r="AE66" i="39"/>
  <c r="AE69" i="39"/>
  <c r="AE65" i="39"/>
  <c r="AE72" i="39"/>
  <c r="AE68" i="39"/>
  <c r="AE64" i="39"/>
  <c r="AE73" i="39" s="1"/>
  <c r="AE75" i="39" s="1"/>
  <c r="AE78" i="39" s="1"/>
  <c r="AE83" i="39" s="1"/>
  <c r="AE71" i="39"/>
  <c r="AE67" i="39"/>
  <c r="AD73" i="39"/>
  <c r="AD75" i="39" s="1"/>
  <c r="AD78" i="39" s="1"/>
  <c r="AD83" i="39" s="1"/>
  <c r="AC70" i="39"/>
  <c r="AC66" i="39"/>
  <c r="AC69" i="39"/>
  <c r="AC65" i="39"/>
  <c r="AC71" i="39"/>
  <c r="AC72" i="39"/>
  <c r="AC68" i="39"/>
  <c r="AC64" i="39"/>
  <c r="AC67" i="39"/>
  <c r="AM29" i="39"/>
  <c r="AA40" i="39"/>
  <c r="Y21" i="39"/>
  <c r="AA30" i="39"/>
  <c r="AM32" i="39"/>
  <c r="U45" i="39"/>
  <c r="U11" i="39" s="1"/>
  <c r="U49" i="39" s="1"/>
  <c r="BK42" i="39"/>
  <c r="AY27" i="39"/>
  <c r="BK30" i="39"/>
  <c r="BK24" i="39"/>
  <c r="AA35" i="39"/>
  <c r="AA37" i="39"/>
  <c r="AA41" i="39"/>
  <c r="BK38" i="39"/>
  <c r="AY39" i="39"/>
  <c r="AA28" i="39"/>
  <c r="AA22" i="39"/>
  <c r="AM27" i="39"/>
  <c r="AA25" i="39"/>
  <c r="AM40" i="39"/>
  <c r="AA42" i="39"/>
  <c r="BK36" i="39"/>
  <c r="AY25" i="39"/>
  <c r="AA33" i="39"/>
  <c r="AY29" i="39"/>
  <c r="AA27" i="39"/>
  <c r="AA31" i="39"/>
  <c r="AA38" i="39"/>
  <c r="AA39" i="39"/>
  <c r="Z45" i="39"/>
  <c r="AA32" i="39"/>
  <c r="AA26" i="39"/>
  <c r="AA24" i="39"/>
  <c r="AA36" i="39"/>
  <c r="AA23" i="39"/>
  <c r="BK31" i="39"/>
  <c r="AY22" i="39"/>
  <c r="AY26" i="39"/>
  <c r="AY38" i="39"/>
  <c r="AM25" i="39"/>
  <c r="AY23" i="39"/>
  <c r="AY41" i="39"/>
  <c r="AA29" i="39"/>
  <c r="AY21" i="39"/>
  <c r="AA21" i="39"/>
  <c r="BS33" i="39"/>
  <c r="BK40" i="39"/>
  <c r="CD2" i="39"/>
  <c r="CG3" i="39" s="1"/>
  <c r="CG4" i="39" s="1"/>
  <c r="CG5" i="39" s="1"/>
  <c r="CH5" i="39" s="1"/>
  <c r="BK35" i="39"/>
  <c r="BK22" i="39"/>
  <c r="BK23" i="39"/>
  <c r="BK25" i="39"/>
  <c r="BK27" i="39"/>
  <c r="AY37" i="39"/>
  <c r="AY30" i="39"/>
  <c r="AY31" i="39"/>
  <c r="CD8" i="39"/>
  <c r="AY24" i="39"/>
  <c r="AM38" i="39"/>
  <c r="BE11" i="39"/>
  <c r="AM22" i="39"/>
  <c r="BX30" i="39"/>
  <c r="BY30" i="39" s="1"/>
  <c r="BX23" i="39"/>
  <c r="BY23" i="39" s="1"/>
  <c r="BX39" i="39"/>
  <c r="BY39" i="39" s="1"/>
  <c r="BX24" i="39"/>
  <c r="BY24" i="39" s="1"/>
  <c r="BS43" i="39"/>
  <c r="BX33" i="39"/>
  <c r="BY33" i="39" s="1"/>
  <c r="AK41" i="39"/>
  <c r="AM41" i="39" s="1"/>
  <c r="BI33" i="39"/>
  <c r="BK33" i="39" s="1"/>
  <c r="AW33" i="39"/>
  <c r="AY33" i="39" s="1"/>
  <c r="BX41" i="39"/>
  <c r="BY41" i="39" s="1"/>
  <c r="AM37" i="39"/>
  <c r="AM35" i="39"/>
  <c r="AY35" i="39"/>
  <c r="BS41" i="39"/>
  <c r="AK33" i="39"/>
  <c r="AM26" i="39"/>
  <c r="AK24" i="39"/>
  <c r="AM24" i="39" s="1"/>
  <c r="BX25" i="39"/>
  <c r="BY25" i="39" s="1"/>
  <c r="AM33" i="39"/>
  <c r="BI34" i="39"/>
  <c r="BK34" i="39" s="1"/>
  <c r="AK43" i="39"/>
  <c r="AM43" i="39" s="1"/>
  <c r="BI21" i="39"/>
  <c r="BK21" i="39" s="1"/>
  <c r="AM21" i="39"/>
  <c r="Y43" i="39"/>
  <c r="AA43" i="39" s="1"/>
  <c r="BX43" i="39"/>
  <c r="BY43" i="39" s="1"/>
  <c r="Y34" i="39"/>
  <c r="AA34" i="39" s="1"/>
  <c r="BX34" i="39"/>
  <c r="BY34" i="39" s="1"/>
  <c r="AK23" i="39"/>
  <c r="AM23" i="39" s="1"/>
  <c r="AK39" i="39"/>
  <c r="AM39" i="39" s="1"/>
  <c r="BX31" i="39"/>
  <c r="BY31" i="39" s="1"/>
  <c r="AM28" i="39"/>
  <c r="AY32" i="39"/>
  <c r="BR45" i="39"/>
  <c r="AM36" i="39"/>
  <c r="AM30" i="39"/>
  <c r="E8" i="39"/>
  <c r="K45" i="39"/>
  <c r="BD11" i="39"/>
  <c r="V11" i="39"/>
  <c r="V49" i="39" s="1"/>
  <c r="Q20" i="39"/>
  <c r="BG11" i="39"/>
  <c r="BC11" i="39"/>
  <c r="T11" i="39"/>
  <c r="T49" i="39" s="1"/>
  <c r="BF11" i="39"/>
  <c r="BB11" i="39"/>
  <c r="S11" i="39"/>
  <c r="S49" i="39" s="1"/>
  <c r="W11" i="39"/>
  <c r="W49" i="39" s="1"/>
  <c r="R11" i="39"/>
  <c r="R49" i="39" s="1"/>
  <c r="E92" i="39"/>
  <c r="K92" i="39" s="1"/>
  <c r="N85" i="39"/>
  <c r="I88" i="39"/>
  <c r="H88" i="39"/>
  <c r="G88" i="39"/>
  <c r="F88" i="39"/>
  <c r="E90" i="39"/>
  <c r="AK34" i="39"/>
  <c r="AM34" i="39" s="1"/>
  <c r="AW34" i="39"/>
  <c r="AY34" i="39" s="1"/>
  <c r="AM31" i="39"/>
  <c r="AW43" i="39"/>
  <c r="AY43" i="39" s="1"/>
  <c r="AM42" i="39"/>
  <c r="AL45" i="39"/>
  <c r="BY5" i="39"/>
  <c r="CC13" i="39" s="1"/>
  <c r="CD5" i="39"/>
  <c r="BI43" i="39"/>
  <c r="BK43" i="39" s="1"/>
  <c r="AX45" i="39"/>
  <c r="BS34" i="39"/>
  <c r="CC24" i="37"/>
  <c r="BE8" i="37"/>
  <c r="BE9" i="37"/>
  <c r="BE81" i="37"/>
  <c r="BE82" i="37" s="1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21" i="37"/>
  <c r="J21" i="37" s="1"/>
  <c r="J22" i="37"/>
  <c r="K22" i="37" s="1"/>
  <c r="M22" i="37"/>
  <c r="BE22" i="37" s="1"/>
  <c r="AH73" i="39" l="1"/>
  <c r="AH75" i="39" s="1"/>
  <c r="AH78" i="39" s="1"/>
  <c r="AH83" i="39" s="1"/>
  <c r="AG73" i="39"/>
  <c r="AG75" i="39" s="1"/>
  <c r="AG78" i="39" s="1"/>
  <c r="AG83" i="39" s="1"/>
  <c r="AC73" i="39"/>
  <c r="AC75" i="39" s="1"/>
  <c r="AC78" i="39" s="1"/>
  <c r="AC83" i="39" s="1"/>
  <c r="W58" i="39"/>
  <c r="W54" i="39"/>
  <c r="W59" i="39"/>
  <c r="W57" i="39"/>
  <c r="W53" i="39"/>
  <c r="W56" i="39"/>
  <c r="W52" i="39"/>
  <c r="W55" i="39"/>
  <c r="W51" i="39"/>
  <c r="V53" i="39"/>
  <c r="V57" i="39"/>
  <c r="V54" i="39"/>
  <c r="V58" i="39"/>
  <c r="V51" i="39"/>
  <c r="V55" i="39"/>
  <c r="V52" i="39"/>
  <c r="V56" i="39"/>
  <c r="V59" i="39"/>
  <c r="Z7" i="39"/>
  <c r="U85" i="39"/>
  <c r="U58" i="39"/>
  <c r="U56" i="39"/>
  <c r="U54" i="39"/>
  <c r="U53" i="39"/>
  <c r="U51" i="39"/>
  <c r="U55" i="39"/>
  <c r="U57" i="39"/>
  <c r="U59" i="39"/>
  <c r="U52" i="39"/>
  <c r="T56" i="39"/>
  <c r="T52" i="39"/>
  <c r="T54" i="39"/>
  <c r="T53" i="39"/>
  <c r="T59" i="39"/>
  <c r="T55" i="39"/>
  <c r="T51" i="39"/>
  <c r="T58" i="39"/>
  <c r="T57" i="39"/>
  <c r="S51" i="39"/>
  <c r="S52" i="39"/>
  <c r="S56" i="39"/>
  <c r="S53" i="39"/>
  <c r="S57" i="39"/>
  <c r="S54" i="39"/>
  <c r="S58" i="39"/>
  <c r="S55" i="39"/>
  <c r="S59" i="39"/>
  <c r="K19" i="39"/>
  <c r="R56" i="39"/>
  <c r="R52" i="39"/>
  <c r="R57" i="39"/>
  <c r="R59" i="39"/>
  <c r="R55" i="39"/>
  <c r="R51" i="39"/>
  <c r="R53" i="39"/>
  <c r="R58" i="39"/>
  <c r="R54" i="39"/>
  <c r="BR5" i="39"/>
  <c r="BJ5" i="39"/>
  <c r="AX5" i="39"/>
  <c r="BE85" i="39"/>
  <c r="AQ85" i="39"/>
  <c r="AD85" i="39"/>
  <c r="BF85" i="39"/>
  <c r="AW20" i="39"/>
  <c r="Q45" i="39"/>
  <c r="Q11" i="39" s="1"/>
  <c r="Q49" i="39" s="1"/>
  <c r="BX20" i="39"/>
  <c r="Y20" i="39"/>
  <c r="AT85" i="39"/>
  <c r="CD7" i="39"/>
  <c r="CE5" i="39"/>
  <c r="E94" i="39"/>
  <c r="N92" i="39"/>
  <c r="N81" i="39"/>
  <c r="N49" i="39"/>
  <c r="N77" i="39"/>
  <c r="R85" i="39"/>
  <c r="AU85" i="39"/>
  <c r="AH85" i="39"/>
  <c r="T85" i="39"/>
  <c r="BC85" i="39"/>
  <c r="V85" i="39"/>
  <c r="BD85" i="39"/>
  <c r="AS85" i="39"/>
  <c r="W85" i="39"/>
  <c r="BA11" i="39"/>
  <c r="BI20" i="39"/>
  <c r="AR85" i="39"/>
  <c r="AE85" i="39"/>
  <c r="BG85" i="39"/>
  <c r="AF85" i="39"/>
  <c r="K49" i="39"/>
  <c r="K47" i="39"/>
  <c r="K90" i="39"/>
  <c r="N88" i="39"/>
  <c r="N90" i="39" s="1"/>
  <c r="AK20" i="39"/>
  <c r="S85" i="39"/>
  <c r="BB85" i="39"/>
  <c r="AI85" i="39"/>
  <c r="BM11" i="39"/>
  <c r="BQ20" i="39"/>
  <c r="AP85" i="39"/>
  <c r="AG85" i="39"/>
  <c r="AG22" i="37"/>
  <c r="AS22" i="37"/>
  <c r="BD81" i="37"/>
  <c r="BD82" i="37" s="1"/>
  <c r="BD8" i="37"/>
  <c r="BD9" i="37"/>
  <c r="W60" i="39" l="1"/>
  <c r="W62" i="39" s="1"/>
  <c r="V60" i="39"/>
  <c r="V62" i="39" s="1"/>
  <c r="U60" i="39"/>
  <c r="U62" i="39" s="1"/>
  <c r="T60" i="39"/>
  <c r="T62" i="39" s="1"/>
  <c r="T70" i="39" s="1"/>
  <c r="S60" i="39"/>
  <c r="S62" i="39" s="1"/>
  <c r="R60" i="39"/>
  <c r="R62" i="39" s="1"/>
  <c r="AW11" i="39"/>
  <c r="AK45" i="39"/>
  <c r="AM20" i="39"/>
  <c r="AM45" i="39" s="1"/>
  <c r="AX7" i="39"/>
  <c r="AY5" i="39"/>
  <c r="AY7" i="39" s="1"/>
  <c r="BR7" i="39"/>
  <c r="BS5" i="39"/>
  <c r="BS7" i="39" s="1"/>
  <c r="BI45" i="39"/>
  <c r="BK20" i="39"/>
  <c r="BK45" i="39" s="1"/>
  <c r="BX45" i="39"/>
  <c r="BY45" i="39" s="1"/>
  <c r="BY20" i="39"/>
  <c r="BQ45" i="39"/>
  <c r="BS20" i="39"/>
  <c r="BS45" i="39" s="1"/>
  <c r="BJ7" i="39"/>
  <c r="BK5" i="39"/>
  <c r="BK7" i="39" s="1"/>
  <c r="BI11" i="39"/>
  <c r="N80" i="39"/>
  <c r="N75" i="39"/>
  <c r="BX11" i="39"/>
  <c r="K11" i="39" s="1"/>
  <c r="N11" i="39" s="1"/>
  <c r="Y11" i="39"/>
  <c r="AA5" i="39"/>
  <c r="AA7" i="39" s="1"/>
  <c r="Y45" i="39"/>
  <c r="AA20" i="39"/>
  <c r="AA45" i="39" s="1"/>
  <c r="AK11" i="39"/>
  <c r="BQ11" i="39"/>
  <c r="AM5" i="39"/>
  <c r="AM7" i="39" s="1"/>
  <c r="AL7" i="39"/>
  <c r="AW45" i="39"/>
  <c r="AY20" i="39"/>
  <c r="AY45" i="39" s="1"/>
  <c r="BC81" i="37"/>
  <c r="BC82" i="37" s="1"/>
  <c r="BC8" i="37"/>
  <c r="BC9" i="37"/>
  <c r="W72" i="39" l="1"/>
  <c r="W68" i="39"/>
  <c r="W64" i="39"/>
  <c r="W70" i="39"/>
  <c r="W71" i="39"/>
  <c r="W67" i="39"/>
  <c r="W66" i="39"/>
  <c r="W69" i="39"/>
  <c r="W65" i="39"/>
  <c r="V67" i="39"/>
  <c r="V71" i="39"/>
  <c r="V64" i="39"/>
  <c r="V72" i="39"/>
  <c r="V65" i="39"/>
  <c r="V70" i="39"/>
  <c r="V68" i="39"/>
  <c r="V69" i="39"/>
  <c r="V66" i="39"/>
  <c r="T65" i="39"/>
  <c r="T64" i="39"/>
  <c r="T71" i="39"/>
  <c r="T67" i="39"/>
  <c r="T66" i="39"/>
  <c r="U67" i="39"/>
  <c r="U72" i="39"/>
  <c r="U70" i="39"/>
  <c r="U71" i="39"/>
  <c r="U65" i="39"/>
  <c r="U64" i="39"/>
  <c r="U69" i="39"/>
  <c r="U68" i="39"/>
  <c r="U66" i="39"/>
  <c r="T68" i="39"/>
  <c r="T69" i="39"/>
  <c r="T73" i="39" s="1"/>
  <c r="T75" i="39" s="1"/>
  <c r="T78" i="39" s="1"/>
  <c r="T83" i="39" s="1"/>
  <c r="T72" i="39"/>
  <c r="S64" i="39"/>
  <c r="S69" i="39"/>
  <c r="S71" i="39"/>
  <c r="S72" i="39"/>
  <c r="S70" i="39"/>
  <c r="S65" i="39"/>
  <c r="S67" i="39"/>
  <c r="S68" i="39"/>
  <c r="S66" i="39"/>
  <c r="R70" i="39"/>
  <c r="R66" i="39"/>
  <c r="R67" i="39"/>
  <c r="R69" i="39"/>
  <c r="R65" i="39"/>
  <c r="R72" i="39"/>
  <c r="R68" i="39"/>
  <c r="R64" i="39"/>
  <c r="R71" i="39"/>
  <c r="BB81" i="37"/>
  <c r="BB82" i="37" s="1"/>
  <c r="BB8" i="37"/>
  <c r="BB9" i="37"/>
  <c r="W73" i="39" l="1"/>
  <c r="W75" i="39" s="1"/>
  <c r="W78" i="39" s="1"/>
  <c r="W83" i="39" s="1"/>
  <c r="V73" i="39"/>
  <c r="V75" i="39" s="1"/>
  <c r="V78" i="39" s="1"/>
  <c r="V83" i="39" s="1"/>
  <c r="U73" i="39"/>
  <c r="U75" i="39" s="1"/>
  <c r="U78" i="39" s="1"/>
  <c r="S73" i="39"/>
  <c r="S75" i="39" s="1"/>
  <c r="S78" i="39" s="1"/>
  <c r="S83" i="39" s="1"/>
  <c r="R73" i="39"/>
  <c r="R75" i="39" s="1"/>
  <c r="R78" i="39" s="1"/>
  <c r="R83" i="39" s="1"/>
  <c r="AG88" i="39"/>
  <c r="AU88" i="39"/>
  <c r="AU89" i="39"/>
  <c r="BA85" i="39"/>
  <c r="BI59" i="39"/>
  <c r="BK59" i="39" s="1"/>
  <c r="BI55" i="39"/>
  <c r="BK55" i="39" s="1"/>
  <c r="BI56" i="39"/>
  <c r="BK56" i="39" s="1"/>
  <c r="BI54" i="39"/>
  <c r="BK54" i="39" s="1"/>
  <c r="BI53" i="39"/>
  <c r="BK53" i="39" s="1"/>
  <c r="BI52" i="39"/>
  <c r="BK52" i="39" s="1"/>
  <c r="BI58" i="39"/>
  <c r="BK58" i="39" s="1"/>
  <c r="BI49" i="39"/>
  <c r="BI57" i="39"/>
  <c r="BK57" i="39" s="1"/>
  <c r="W88" i="39"/>
  <c r="BM85" i="39"/>
  <c r="BQ57" i="39"/>
  <c r="BS57" i="39" s="1"/>
  <c r="BQ53" i="39"/>
  <c r="BS53" i="39" s="1"/>
  <c r="BQ58" i="39"/>
  <c r="BS58" i="39" s="1"/>
  <c r="BQ54" i="39"/>
  <c r="BS54" i="39" s="1"/>
  <c r="BQ56" i="39"/>
  <c r="BS56" i="39" s="1"/>
  <c r="BQ55" i="39"/>
  <c r="BS55" i="39" s="1"/>
  <c r="BQ49" i="39"/>
  <c r="BQ52" i="39"/>
  <c r="BS52" i="39" s="1"/>
  <c r="BQ59" i="39"/>
  <c r="BS59" i="39" s="1"/>
  <c r="BE88" i="39"/>
  <c r="AC85" i="39"/>
  <c r="AK59" i="39"/>
  <c r="AM59" i="39" s="1"/>
  <c r="AK55" i="39"/>
  <c r="AM55" i="39" s="1"/>
  <c r="AK56" i="39"/>
  <c r="AM56" i="39" s="1"/>
  <c r="AK52" i="39"/>
  <c r="AM52" i="39" s="1"/>
  <c r="AK58" i="39"/>
  <c r="AM58" i="39" s="1"/>
  <c r="AK57" i="39"/>
  <c r="AM57" i="39" s="1"/>
  <c r="AK54" i="39"/>
  <c r="AM54" i="39" s="1"/>
  <c r="AK49" i="39"/>
  <c r="AK53" i="39"/>
  <c r="AM53" i="39" s="1"/>
  <c r="AO85" i="39"/>
  <c r="AW57" i="39"/>
  <c r="AY57" i="39" s="1"/>
  <c r="AW53" i="39"/>
  <c r="AY53" i="39" s="1"/>
  <c r="AW58" i="39"/>
  <c r="AY58" i="39" s="1"/>
  <c r="AW54" i="39"/>
  <c r="AY54" i="39" s="1"/>
  <c r="AW59" i="39"/>
  <c r="AY59" i="39" s="1"/>
  <c r="AW56" i="39"/>
  <c r="AY56" i="39" s="1"/>
  <c r="AW52" i="39"/>
  <c r="AY52" i="39" s="1"/>
  <c r="AW49" i="39"/>
  <c r="AW55" i="39"/>
  <c r="AY55" i="39" s="1"/>
  <c r="Q85" i="39"/>
  <c r="Q58" i="39"/>
  <c r="Q54" i="39"/>
  <c r="Q59" i="39"/>
  <c r="Q55" i="39"/>
  <c r="Q53" i="39"/>
  <c r="BU49" i="39"/>
  <c r="Q52" i="39"/>
  <c r="Q51" i="39"/>
  <c r="Q56" i="39"/>
  <c r="Y49" i="39"/>
  <c r="Q57" i="39"/>
  <c r="AU90" i="39"/>
  <c r="AI88" i="39"/>
  <c r="BD88" i="39"/>
  <c r="F22" i="38"/>
  <c r="V88" i="39" l="1"/>
  <c r="S88" i="39"/>
  <c r="U83" i="39"/>
  <c r="U88" i="39"/>
  <c r="R88" i="39"/>
  <c r="AP88" i="39"/>
  <c r="AR88" i="39"/>
  <c r="AU92" i="39"/>
  <c r="AU94" i="39" s="1"/>
  <c r="AQ88" i="39"/>
  <c r="BI51" i="39"/>
  <c r="BX52" i="39"/>
  <c r="BY52" i="39" s="1"/>
  <c r="Y52" i="39"/>
  <c r="AA52" i="39" s="1"/>
  <c r="AI89" i="39"/>
  <c r="AI90" i="39"/>
  <c r="Y56" i="39"/>
  <c r="AA56" i="39" s="1"/>
  <c r="BX56" i="39"/>
  <c r="BY56" i="39" s="1"/>
  <c r="AK51" i="39"/>
  <c r="BE90" i="39"/>
  <c r="BE89" i="39"/>
  <c r="AF88" i="39"/>
  <c r="BQ85" i="39"/>
  <c r="BC88" i="39"/>
  <c r="BB88" i="39"/>
  <c r="BI85" i="39"/>
  <c r="S89" i="39"/>
  <c r="S90" i="39"/>
  <c r="AT88" i="39"/>
  <c r="T88" i="39"/>
  <c r="AS88" i="39"/>
  <c r="AH88" i="39"/>
  <c r="BX53" i="39"/>
  <c r="BY53" i="39" s="1"/>
  <c r="Y53" i="39"/>
  <c r="AA53" i="39" s="1"/>
  <c r="BX58" i="39"/>
  <c r="BY58" i="39" s="1"/>
  <c r="Y58" i="39"/>
  <c r="AA58" i="39" s="1"/>
  <c r="AD88" i="39"/>
  <c r="BQ51" i="39"/>
  <c r="BG88" i="39"/>
  <c r="V89" i="39"/>
  <c r="V90" i="39"/>
  <c r="BX59" i="39"/>
  <c r="BY59" i="39" s="1"/>
  <c r="Y59" i="39"/>
  <c r="AA59" i="39" s="1"/>
  <c r="BF88" i="39"/>
  <c r="BX54" i="39"/>
  <c r="BY54" i="39" s="1"/>
  <c r="Y54" i="39"/>
  <c r="AA54" i="39" s="1"/>
  <c r="BD90" i="39"/>
  <c r="BD89" i="39"/>
  <c r="AP89" i="39"/>
  <c r="AP90" i="39"/>
  <c r="AE88" i="39"/>
  <c r="BX57" i="39"/>
  <c r="BY57" i="39" s="1"/>
  <c r="Y57" i="39"/>
  <c r="AA57" i="39" s="1"/>
  <c r="Q60" i="39"/>
  <c r="Q62" i="39" s="1"/>
  <c r="Y51" i="39"/>
  <c r="BX51" i="39"/>
  <c r="Y55" i="39"/>
  <c r="AA55" i="39" s="1"/>
  <c r="BX55" i="39"/>
  <c r="BY55" i="39" s="1"/>
  <c r="Y85" i="39"/>
  <c r="BU85" i="39"/>
  <c r="AW51" i="39"/>
  <c r="AW85" i="39"/>
  <c r="AK85" i="39"/>
  <c r="R89" i="39"/>
  <c r="R90" i="39"/>
  <c r="AR90" i="39"/>
  <c r="AR89" i="39"/>
  <c r="W89" i="39"/>
  <c r="W90" i="39"/>
  <c r="AG90" i="39"/>
  <c r="AG89" i="39"/>
  <c r="BI6" i="37"/>
  <c r="BJ9" i="37" s="1"/>
  <c r="BA81" i="37"/>
  <c r="BA82" i="37" s="1"/>
  <c r="BA9" i="37"/>
  <c r="BA8" i="37"/>
  <c r="AG92" i="39" l="1"/>
  <c r="AG94" i="39" s="1"/>
  <c r="U90" i="39"/>
  <c r="U89" i="39"/>
  <c r="U92" i="39"/>
  <c r="U94" i="39" s="1"/>
  <c r="AR92" i="39"/>
  <c r="AR94" i="39" s="1"/>
  <c r="AP92" i="39"/>
  <c r="AP94" i="39" s="1"/>
  <c r="BD92" i="39"/>
  <c r="BD94" i="39" s="1"/>
  <c r="AI92" i="39"/>
  <c r="AI94" i="39" s="1"/>
  <c r="BE92" i="39"/>
  <c r="BE94" i="39" s="1"/>
  <c r="V92" i="39"/>
  <c r="V94" i="39" s="1"/>
  <c r="W92" i="39"/>
  <c r="W94" i="39" s="1"/>
  <c r="R92" i="39"/>
  <c r="R94" i="39" s="1"/>
  <c r="S92" i="39"/>
  <c r="S94" i="39" s="1"/>
  <c r="BX60" i="39"/>
  <c r="BY60" i="39" s="1"/>
  <c r="CA51" i="39" s="1"/>
  <c r="BY51" i="39"/>
  <c r="AH89" i="39"/>
  <c r="AH90" i="39"/>
  <c r="BG89" i="39"/>
  <c r="BG90" i="39"/>
  <c r="BQ69" i="39"/>
  <c r="BS69" i="39" s="1"/>
  <c r="BQ71" i="39"/>
  <c r="BS71" i="39" s="1"/>
  <c r="BQ70" i="39"/>
  <c r="BS70" i="39" s="1"/>
  <c r="BQ72" i="39"/>
  <c r="BS72" i="39" s="1"/>
  <c r="BQ67" i="39"/>
  <c r="BS67" i="39" s="1"/>
  <c r="BQ68" i="39"/>
  <c r="BS68" i="39" s="1"/>
  <c r="BQ65" i="39"/>
  <c r="BS65" i="39" s="1"/>
  <c r="BQ66" i="39"/>
  <c r="BS66" i="39" s="1"/>
  <c r="BB89" i="39"/>
  <c r="BB90" i="39"/>
  <c r="AQ89" i="39"/>
  <c r="AQ90" i="39"/>
  <c r="AF90" i="39"/>
  <c r="AF89" i="39"/>
  <c r="AW60" i="39"/>
  <c r="AY51" i="39"/>
  <c r="AA51" i="39"/>
  <c r="AA60" i="39" s="1"/>
  <c r="Y60" i="39"/>
  <c r="BF89" i="39"/>
  <c r="BF90" i="39"/>
  <c r="AW69" i="39"/>
  <c r="AY69" i="39" s="1"/>
  <c r="AW72" i="39"/>
  <c r="AY72" i="39" s="1"/>
  <c r="AW70" i="39"/>
  <c r="AY70" i="39" s="1"/>
  <c r="AW71" i="39"/>
  <c r="AY71" i="39" s="1"/>
  <c r="AW67" i="39"/>
  <c r="AY67" i="39" s="1"/>
  <c r="AW68" i="39"/>
  <c r="AY68" i="39" s="1"/>
  <c r="AW66" i="39"/>
  <c r="AY66" i="39" s="1"/>
  <c r="AW65" i="39"/>
  <c r="AY65" i="39" s="1"/>
  <c r="Q70" i="39"/>
  <c r="Q71" i="39"/>
  <c r="Q68" i="39"/>
  <c r="Q72" i="39"/>
  <c r="Q65" i="39"/>
  <c r="Q64" i="39"/>
  <c r="Q67" i="39"/>
  <c r="Q69" i="39"/>
  <c r="Q66" i="39"/>
  <c r="AD89" i="39"/>
  <c r="AD90" i="39"/>
  <c r="T90" i="39"/>
  <c r="T89" i="39"/>
  <c r="T92" i="39" s="1"/>
  <c r="T94" i="39" s="1"/>
  <c r="BI60" i="39"/>
  <c r="BK51" i="39"/>
  <c r="BQ60" i="39"/>
  <c r="BS51" i="39"/>
  <c r="AS90" i="39"/>
  <c r="AS89" i="39"/>
  <c r="AK72" i="39"/>
  <c r="AM72" i="39" s="1"/>
  <c r="AK71" i="39"/>
  <c r="AM71" i="39" s="1"/>
  <c r="AK68" i="39"/>
  <c r="AM68" i="39" s="1"/>
  <c r="AK69" i="39"/>
  <c r="AM69" i="39" s="1"/>
  <c r="AK70" i="39"/>
  <c r="AM70" i="39" s="1"/>
  <c r="AK65" i="39"/>
  <c r="AM65" i="39" s="1"/>
  <c r="AK66" i="39"/>
  <c r="AM66" i="39" s="1"/>
  <c r="AK67" i="39"/>
  <c r="AM67" i="39" s="1"/>
  <c r="AE89" i="39"/>
  <c r="AE90" i="39"/>
  <c r="AT89" i="39"/>
  <c r="AT90" i="39"/>
  <c r="BC89" i="39"/>
  <c r="BC90" i="39"/>
  <c r="AK60" i="39"/>
  <c r="AM51" i="39"/>
  <c r="BI72" i="39"/>
  <c r="BK72" i="39" s="1"/>
  <c r="BI71" i="39"/>
  <c r="BK71" i="39" s="1"/>
  <c r="BI68" i="39"/>
  <c r="BK68" i="39" s="1"/>
  <c r="BI69" i="39"/>
  <c r="BK69" i="39" s="1"/>
  <c r="BI65" i="39"/>
  <c r="BK65" i="39" s="1"/>
  <c r="BI66" i="39"/>
  <c r="BK66" i="39" s="1"/>
  <c r="BI70" i="39"/>
  <c r="BK70" i="39" s="1"/>
  <c r="BI67" i="39"/>
  <c r="BK67" i="39" s="1"/>
  <c r="BK6" i="37"/>
  <c r="AU81" i="37"/>
  <c r="AU82" i="37" s="1"/>
  <c r="AU8" i="37"/>
  <c r="AU9" i="37"/>
  <c r="BG92" i="39" l="1"/>
  <c r="BG94" i="39" s="1"/>
  <c r="AS92" i="39"/>
  <c r="AS94" i="39" s="1"/>
  <c r="AD92" i="39"/>
  <c r="AD94" i="39" s="1"/>
  <c r="BC92" i="39"/>
  <c r="BC94" i="39" s="1"/>
  <c r="AT92" i="39"/>
  <c r="AT94" i="39" s="1"/>
  <c r="AQ92" i="39"/>
  <c r="AQ94" i="39" s="1"/>
  <c r="AF92" i="39"/>
  <c r="AF94" i="39" s="1"/>
  <c r="BB92" i="39"/>
  <c r="BB94" i="39" s="1"/>
  <c r="BF92" i="39"/>
  <c r="BF94" i="39" s="1"/>
  <c r="AH92" i="39"/>
  <c r="AH94" i="39" s="1"/>
  <c r="AE92" i="39"/>
  <c r="AE94" i="39" s="1"/>
  <c r="Y65" i="39"/>
  <c r="AA65" i="39" s="1"/>
  <c r="BX65" i="39"/>
  <c r="BY65" i="39" s="1"/>
  <c r="AY60" i="39"/>
  <c r="AK64" i="39"/>
  <c r="AM64" i="39" s="1"/>
  <c r="BX69" i="39"/>
  <c r="BY69" i="39" s="1"/>
  <c r="Y69" i="39"/>
  <c r="AA69" i="39" s="1"/>
  <c r="BX72" i="39"/>
  <c r="BY72" i="39" s="1"/>
  <c r="Y72" i="39"/>
  <c r="AA72" i="39" s="1"/>
  <c r="AM60" i="39"/>
  <c r="BU60" i="39" s="1"/>
  <c r="BI64" i="39"/>
  <c r="BK64" i="39" s="1"/>
  <c r="BK60" i="39"/>
  <c r="BX67" i="39"/>
  <c r="BY67" i="39" s="1"/>
  <c r="Y67" i="39"/>
  <c r="AA67" i="39" s="1"/>
  <c r="Y68" i="39"/>
  <c r="AA68" i="39" s="1"/>
  <c r="BX68" i="39"/>
  <c r="BY68" i="39" s="1"/>
  <c r="AW64" i="39"/>
  <c r="AY64" i="39" s="1"/>
  <c r="Y66" i="39"/>
  <c r="AA66" i="39" s="1"/>
  <c r="BX66" i="39"/>
  <c r="BY66" i="39" s="1"/>
  <c r="BX70" i="39"/>
  <c r="BY70" i="39" s="1"/>
  <c r="Y70" i="39"/>
  <c r="AA70" i="39" s="1"/>
  <c r="BS60" i="39"/>
  <c r="Q73" i="39"/>
  <c r="Q75" i="39" s="1"/>
  <c r="Y64" i="39"/>
  <c r="BX64" i="39"/>
  <c r="BX71" i="39"/>
  <c r="BY71" i="39" s="1"/>
  <c r="Y71" i="39"/>
  <c r="AA71" i="39" s="1"/>
  <c r="BQ64" i="39"/>
  <c r="BS64" i="39" s="1"/>
  <c r="AG8" i="37"/>
  <c r="AT81" i="37"/>
  <c r="AT82" i="37" s="1"/>
  <c r="AT9" i="37"/>
  <c r="Q78" i="39" l="1"/>
  <c r="Q83" i="39" s="1"/>
  <c r="BS73" i="39"/>
  <c r="AY73" i="39"/>
  <c r="BK73" i="39"/>
  <c r="AM73" i="39"/>
  <c r="BX73" i="39"/>
  <c r="BY73" i="39" s="1"/>
  <c r="CA64" i="39" s="1"/>
  <c r="BY64" i="39"/>
  <c r="BQ73" i="39"/>
  <c r="Y73" i="39"/>
  <c r="AA64" i="39"/>
  <c r="AA73" i="39" s="1"/>
  <c r="Q88" i="39"/>
  <c r="AW73" i="39"/>
  <c r="BI73" i="39"/>
  <c r="AK73" i="39"/>
  <c r="AS8" i="37"/>
  <c r="AS9" i="37"/>
  <c r="AR81" i="37"/>
  <c r="AR82" i="37" s="1"/>
  <c r="AS81" i="37"/>
  <c r="AS82" i="37" s="1"/>
  <c r="AR8" i="37"/>
  <c r="AR9" i="37"/>
  <c r="Y78" i="39" l="1"/>
  <c r="BU73" i="39"/>
  <c r="BU78" i="39"/>
  <c r="AO88" i="39"/>
  <c r="AW78" i="39"/>
  <c r="BM88" i="39"/>
  <c r="BQ78" i="39"/>
  <c r="Y88" i="39"/>
  <c r="AC88" i="39"/>
  <c r="AK78" i="39"/>
  <c r="Y83" i="39"/>
  <c r="Q90" i="39"/>
  <c r="Q89" i="39"/>
  <c r="BA88" i="39"/>
  <c r="BI78" i="39"/>
  <c r="AQ81" i="37"/>
  <c r="AQ82" i="37" s="1"/>
  <c r="AQ8" i="37"/>
  <c r="AQ9" i="37"/>
  <c r="BU88" i="39" l="1"/>
  <c r="AK88" i="39"/>
  <c r="Y89" i="39"/>
  <c r="BM90" i="39"/>
  <c r="BQ90" i="39" s="1"/>
  <c r="BM89" i="39"/>
  <c r="BQ89" i="39" s="1"/>
  <c r="BQ83" i="39"/>
  <c r="AK83" i="39"/>
  <c r="AC90" i="39"/>
  <c r="AK90" i="39" s="1"/>
  <c r="AC89" i="39"/>
  <c r="AK89" i="39" s="1"/>
  <c r="AW88" i="39"/>
  <c r="Y90" i="39"/>
  <c r="BI88" i="39"/>
  <c r="BU83" i="39"/>
  <c r="BV83" i="39" s="1"/>
  <c r="BI83" i="39"/>
  <c r="BA90" i="39"/>
  <c r="BI90" i="39" s="1"/>
  <c r="BA89" i="39"/>
  <c r="BI89" i="39" s="1"/>
  <c r="Q92" i="39"/>
  <c r="BQ88" i="39"/>
  <c r="AW83" i="39"/>
  <c r="AO90" i="39"/>
  <c r="AW90" i="39" s="1"/>
  <c r="AO89" i="39"/>
  <c r="AW89" i="39" s="1"/>
  <c r="AP81" i="37"/>
  <c r="AP82" i="37" s="1"/>
  <c r="AP8" i="37"/>
  <c r="AP9" i="37"/>
  <c r="BM92" i="39" l="1"/>
  <c r="BM94" i="39" s="1"/>
  <c r="BQ94" i="39" s="1"/>
  <c r="AO92" i="39"/>
  <c r="AW92" i="39" s="1"/>
  <c r="BU89" i="39"/>
  <c r="BA92" i="39"/>
  <c r="AC92" i="39"/>
  <c r="Y92" i="39"/>
  <c r="Q94" i="39"/>
  <c r="BU90" i="39"/>
  <c r="R8" i="38"/>
  <c r="S8" i="38"/>
  <c r="AR9" i="38" s="1"/>
  <c r="CW9" i="38" s="1"/>
  <c r="AQ6" i="38"/>
  <c r="AR5" i="38" s="1"/>
  <c r="AN6" i="38"/>
  <c r="AO94" i="39" l="1"/>
  <c r="AW94" i="39" s="1"/>
  <c r="BU92" i="39"/>
  <c r="BQ92" i="39"/>
  <c r="BI92" i="39"/>
  <c r="BA94" i="39"/>
  <c r="BI94" i="39" s="1"/>
  <c r="AK92" i="39"/>
  <c r="AC94" i="39"/>
  <c r="AK94" i="39" s="1"/>
  <c r="Y94" i="39"/>
  <c r="AO9" i="38"/>
  <c r="CS9" i="38" s="1"/>
  <c r="R9" i="38"/>
  <c r="S10" i="38"/>
  <c r="AW6" i="37"/>
  <c r="AO81" i="37"/>
  <c r="AO82" i="37" s="1"/>
  <c r="AO9" i="37"/>
  <c r="AO8" i="37"/>
  <c r="AI81" i="37"/>
  <c r="AI82" i="37" s="1"/>
  <c r="AI8" i="37"/>
  <c r="AI9" i="37"/>
  <c r="BU94" i="39" l="1"/>
  <c r="BV94" i="39" s="1"/>
  <c r="AX9" i="37"/>
  <c r="AY6" i="37"/>
  <c r="AH81" i="37" l="1"/>
  <c r="AH82" i="37" s="1"/>
  <c r="AH8" i="37"/>
  <c r="AH9" i="37"/>
  <c r="AG81" i="37"/>
  <c r="AG82" i="37" s="1"/>
  <c r="AG9" i="37"/>
  <c r="AF81" i="37"/>
  <c r="AF82" i="37" s="1"/>
  <c r="AF8" i="37"/>
  <c r="AF9" i="37"/>
  <c r="AK6" i="37"/>
  <c r="AM6" i="37" s="1"/>
  <c r="AE81" i="37"/>
  <c r="AE82" i="37" s="1"/>
  <c r="AE8" i="37"/>
  <c r="AE9" i="37"/>
  <c r="AD81" i="37"/>
  <c r="AD82" i="37" s="1"/>
  <c r="AD8" i="37"/>
  <c r="AD9" i="37"/>
  <c r="T9" i="38"/>
  <c r="T10" i="38"/>
  <c r="T12" i="38"/>
  <c r="T13" i="38" s="1"/>
  <c r="T15" i="38"/>
  <c r="T17" i="38"/>
  <c r="S15" i="38"/>
  <c r="S17" i="38"/>
  <c r="V15" i="38"/>
  <c r="W15" i="38"/>
  <c r="Y15" i="38"/>
  <c r="Z15" i="38"/>
  <c r="AB15" i="38"/>
  <c r="AC15" i="38"/>
  <c r="AE15" i="38"/>
  <c r="AF15" i="38"/>
  <c r="AH15" i="38"/>
  <c r="AI15" i="38"/>
  <c r="AK15" i="38"/>
  <c r="AL15" i="38"/>
  <c r="V17" i="38"/>
  <c r="W17" i="38"/>
  <c r="Y17" i="38"/>
  <c r="Z17" i="38"/>
  <c r="AB17" i="38"/>
  <c r="AC17" i="38"/>
  <c r="AE17" i="38"/>
  <c r="AF17" i="38"/>
  <c r="AH17" i="38"/>
  <c r="AI17" i="38"/>
  <c r="AK17" i="38"/>
  <c r="AL17" i="38"/>
  <c r="AC81" i="37"/>
  <c r="AC82" i="37" s="1"/>
  <c r="AC9" i="37"/>
  <c r="AC8" i="37"/>
  <c r="W81" i="37"/>
  <c r="W82" i="37" s="1"/>
  <c r="W9" i="37"/>
  <c r="T9" i="37"/>
  <c r="S9" i="37"/>
  <c r="R9" i="37"/>
  <c r="Q9" i="37"/>
  <c r="Y6" i="37"/>
  <c r="V9" i="37"/>
  <c r="W8" i="37"/>
  <c r="R81" i="37"/>
  <c r="R82" i="37" s="1"/>
  <c r="S81" i="37"/>
  <c r="S82" i="37" s="1"/>
  <c r="T81" i="37"/>
  <c r="T82" i="37" s="1"/>
  <c r="U81" i="37"/>
  <c r="V81" i="37"/>
  <c r="V82" i="37" s="1"/>
  <c r="Q81" i="37"/>
  <c r="N99" i="38"/>
  <c r="M100" i="38"/>
  <c r="I99" i="38"/>
  <c r="R4" i="38"/>
  <c r="S4" i="38"/>
  <c r="S8" i="37"/>
  <c r="V8" i="37"/>
  <c r="J99" i="37"/>
  <c r="K87" i="37"/>
  <c r="K81" i="37"/>
  <c r="K73" i="37"/>
  <c r="K72" i="37"/>
  <c r="K71" i="37"/>
  <c r="K70" i="37"/>
  <c r="K69" i="37"/>
  <c r="K68" i="37"/>
  <c r="K67" i="37"/>
  <c r="K66" i="37"/>
  <c r="K65" i="37"/>
  <c r="K60" i="37"/>
  <c r="K59" i="37"/>
  <c r="K58" i="37"/>
  <c r="K57" i="37"/>
  <c r="K56" i="37"/>
  <c r="K55" i="37"/>
  <c r="K54" i="37"/>
  <c r="K53" i="37"/>
  <c r="K52" i="37"/>
  <c r="CC27" i="37"/>
  <c r="T8" i="37"/>
  <c r="R8" i="37"/>
  <c r="BD22" i="37" l="1"/>
  <c r="BC22" i="37"/>
  <c r="BB22" i="37"/>
  <c r="T22" i="37"/>
  <c r="BA22" i="37"/>
  <c r="AU22" i="37"/>
  <c r="AT22" i="37"/>
  <c r="AR22" i="37"/>
  <c r="AQ22" i="37"/>
  <c r="AP22" i="37"/>
  <c r="AO22" i="37"/>
  <c r="AI22" i="37"/>
  <c r="V22" i="37"/>
  <c r="R22" i="37"/>
  <c r="W22" i="37"/>
  <c r="Z9" i="37"/>
  <c r="AA6" i="37"/>
  <c r="BZ6" i="37"/>
  <c r="AC22" i="37"/>
  <c r="N98" i="38"/>
  <c r="E10" i="38"/>
  <c r="AD22" i="37"/>
  <c r="S22" i="37"/>
  <c r="AH22" i="37"/>
  <c r="AE22" i="37"/>
  <c r="AF22" i="37"/>
  <c r="AL9" i="37"/>
  <c r="I98" i="38"/>
  <c r="BL77" i="36"/>
  <c r="BL78" i="36" s="1"/>
  <c r="BL3" i="36"/>
  <c r="BK77" i="36"/>
  <c r="BK78" i="36" s="1"/>
  <c r="BK40" i="36"/>
  <c r="BK28" i="36"/>
  <c r="BK7" i="36"/>
  <c r="BK3" i="36"/>
  <c r="J95" i="36"/>
  <c r="J77" i="36"/>
  <c r="J69" i="36"/>
  <c r="BG69" i="36" s="1"/>
  <c r="J68" i="36"/>
  <c r="J67" i="36"/>
  <c r="J66" i="36"/>
  <c r="J65" i="36"/>
  <c r="J64" i="36"/>
  <c r="J63" i="36"/>
  <c r="AU63" i="36" s="1"/>
  <c r="J62" i="36"/>
  <c r="J61" i="36"/>
  <c r="J56" i="36"/>
  <c r="J55" i="36"/>
  <c r="BO55" i="36" s="1"/>
  <c r="J54" i="36"/>
  <c r="BG54" i="36" s="1"/>
  <c r="J53" i="36"/>
  <c r="J52" i="36"/>
  <c r="BG52" i="36" s="1"/>
  <c r="J51" i="36"/>
  <c r="AU51" i="36" s="1"/>
  <c r="J50" i="36"/>
  <c r="BG50" i="36" s="1"/>
  <c r="J49" i="36"/>
  <c r="J48" i="36"/>
  <c r="AU48" i="36" s="1"/>
  <c r="J40" i="36"/>
  <c r="BL40" i="36" s="1"/>
  <c r="J39" i="36"/>
  <c r="BL39" i="36" s="1"/>
  <c r="J38" i="36"/>
  <c r="BD38" i="36" s="1"/>
  <c r="J37" i="36"/>
  <c r="BL37" i="36" s="1"/>
  <c r="J36" i="36"/>
  <c r="BL36" i="36" s="1"/>
  <c r="J35" i="36"/>
  <c r="BL35" i="36" s="1"/>
  <c r="J34" i="36"/>
  <c r="BL34" i="36" s="1"/>
  <c r="J33" i="36"/>
  <c r="AE33" i="36" s="1"/>
  <c r="J32" i="36"/>
  <c r="BL32" i="36" s="1"/>
  <c r="J31" i="36"/>
  <c r="AQ31" i="36" s="1"/>
  <c r="J30" i="36"/>
  <c r="BK30" i="36" s="1"/>
  <c r="J29" i="36"/>
  <c r="BL29" i="36" s="1"/>
  <c r="J28" i="36"/>
  <c r="BL28" i="36" s="1"/>
  <c r="J27" i="36"/>
  <c r="BC27" i="36" s="1"/>
  <c r="J26" i="36"/>
  <c r="BL26" i="36" s="1"/>
  <c r="J25" i="36"/>
  <c r="BA25" i="36" s="1"/>
  <c r="J24" i="36"/>
  <c r="BL24" i="36" s="1"/>
  <c r="J23" i="36"/>
  <c r="BD23" i="36" s="1"/>
  <c r="J22" i="36"/>
  <c r="BL22" i="36" s="1"/>
  <c r="J21" i="36"/>
  <c r="BL21" i="36" s="1"/>
  <c r="J20" i="36"/>
  <c r="BD20" i="36" s="1"/>
  <c r="J19" i="36"/>
  <c r="BD19" i="36" s="1"/>
  <c r="J18" i="36"/>
  <c r="J17" i="36"/>
  <c r="BL17" i="36" s="1"/>
  <c r="CA23" i="36"/>
  <c r="CA20" i="36"/>
  <c r="BU1" i="36" s="1"/>
  <c r="BD18" i="36"/>
  <c r="BD24" i="36"/>
  <c r="BD26" i="36"/>
  <c r="BD27" i="36"/>
  <c r="BD32" i="36"/>
  <c r="BD36" i="36"/>
  <c r="BD77" i="36"/>
  <c r="BD78" i="36" s="1"/>
  <c r="BD3" i="36"/>
  <c r="BC18" i="36"/>
  <c r="BC24" i="36"/>
  <c r="BC26" i="36"/>
  <c r="BC28" i="36"/>
  <c r="BC36" i="36"/>
  <c r="BC40" i="36"/>
  <c r="BC77" i="36"/>
  <c r="BC78" i="36" s="1"/>
  <c r="BC3" i="36"/>
  <c r="BC7" i="36"/>
  <c r="BB23" i="36"/>
  <c r="BB28" i="36"/>
  <c r="BB32" i="36"/>
  <c r="BB40" i="36"/>
  <c r="BB77" i="36"/>
  <c r="BB78" i="36" s="1"/>
  <c r="BB3" i="36"/>
  <c r="BB7" i="36"/>
  <c r="DF4" i="38"/>
  <c r="AQ8" i="38"/>
  <c r="AS9" i="38" s="1"/>
  <c r="AS10" i="38" s="1"/>
  <c r="BA77" i="36"/>
  <c r="BA78" i="36" s="1"/>
  <c r="BA40" i="36"/>
  <c r="BA36" i="36"/>
  <c r="BA35" i="36"/>
  <c r="BA28" i="36"/>
  <c r="BA27" i="36"/>
  <c r="BA24" i="36"/>
  <c r="BA7" i="36"/>
  <c r="BA3" i="36"/>
  <c r="DQ9" i="38"/>
  <c r="DR9" i="38" s="1"/>
  <c r="DJ4" i="38"/>
  <c r="I61" i="38"/>
  <c r="CE61" i="38" s="1"/>
  <c r="U75" i="38"/>
  <c r="J72" i="38"/>
  <c r="J73" i="38"/>
  <c r="J74" i="38"/>
  <c r="F71" i="38"/>
  <c r="J71" i="38" s="1"/>
  <c r="E71" i="38"/>
  <c r="I71" i="38" s="1"/>
  <c r="CE71" i="38" s="1"/>
  <c r="F70" i="38"/>
  <c r="E70" i="38"/>
  <c r="I70" i="38" s="1"/>
  <c r="CE70" i="38" s="1"/>
  <c r="F69" i="38"/>
  <c r="J69" i="38" s="1"/>
  <c r="E69" i="38"/>
  <c r="I69" i="38" s="1"/>
  <c r="CE69" i="38" s="1"/>
  <c r="F68" i="38"/>
  <c r="J68" i="38" s="1"/>
  <c r="E68" i="38"/>
  <c r="I68" i="38" s="1"/>
  <c r="F67" i="38"/>
  <c r="J67" i="38" s="1"/>
  <c r="E67" i="38"/>
  <c r="I67" i="38" s="1"/>
  <c r="CE67" i="38" s="1"/>
  <c r="F66" i="38"/>
  <c r="E66" i="38"/>
  <c r="I66" i="38" s="1"/>
  <c r="J61" i="38"/>
  <c r="AK9" i="38"/>
  <c r="AI9" i="38"/>
  <c r="AF9" i="38"/>
  <c r="AC9" i="38"/>
  <c r="Z9" i="38"/>
  <c r="CV6" i="38"/>
  <c r="CR6" i="38"/>
  <c r="J88" i="38"/>
  <c r="AK12" i="38"/>
  <c r="AK13" i="38" s="1"/>
  <c r="AI12" i="38"/>
  <c r="AI13" i="38" s="1"/>
  <c r="AF12" i="38"/>
  <c r="AF13" i="38" s="1"/>
  <c r="AC12" i="38"/>
  <c r="AC13" i="38" s="1"/>
  <c r="Z12" i="38"/>
  <c r="Z13" i="38" s="1"/>
  <c r="W12" i="38"/>
  <c r="W13" i="38" s="1"/>
  <c r="F47" i="38"/>
  <c r="F51" i="38" s="1"/>
  <c r="J45" i="38"/>
  <c r="S45" i="38" s="1"/>
  <c r="AQ45" i="38" s="1"/>
  <c r="J44" i="38"/>
  <c r="S44" i="38" s="1"/>
  <c r="AQ44" i="38" s="1"/>
  <c r="J43" i="38"/>
  <c r="S43" i="38" s="1"/>
  <c r="AQ43" i="38" s="1"/>
  <c r="J42" i="38"/>
  <c r="S42" i="38" s="1"/>
  <c r="AQ42" i="38" s="1"/>
  <c r="J41" i="38"/>
  <c r="S41" i="38" s="1"/>
  <c r="AQ41" i="38" s="1"/>
  <c r="J40" i="38"/>
  <c r="S40" i="38" s="1"/>
  <c r="AQ40" i="38" s="1"/>
  <c r="J39" i="38"/>
  <c r="S39" i="38" s="1"/>
  <c r="AQ39" i="38" s="1"/>
  <c r="J38" i="38"/>
  <c r="S38" i="38" s="1"/>
  <c r="AQ38" i="38" s="1"/>
  <c r="J37" i="38"/>
  <c r="S37" i="38" s="1"/>
  <c r="AQ37" i="38" s="1"/>
  <c r="J36" i="38"/>
  <c r="S36" i="38" s="1"/>
  <c r="AQ36" i="38" s="1"/>
  <c r="J35" i="38"/>
  <c r="S35" i="38" s="1"/>
  <c r="AQ35" i="38" s="1"/>
  <c r="J34" i="38"/>
  <c r="S34" i="38" s="1"/>
  <c r="AQ34" i="38" s="1"/>
  <c r="J33" i="38"/>
  <c r="S33" i="38" s="1"/>
  <c r="AQ33" i="38" s="1"/>
  <c r="J32" i="38"/>
  <c r="S32" i="38" s="1"/>
  <c r="AQ32" i="38" s="1"/>
  <c r="J31" i="38"/>
  <c r="S31" i="38" s="1"/>
  <c r="AQ31" i="38" s="1"/>
  <c r="J30" i="38"/>
  <c r="S30" i="38" s="1"/>
  <c r="AQ30" i="38" s="1"/>
  <c r="J29" i="38"/>
  <c r="S29" i="38" s="1"/>
  <c r="AQ29" i="38" s="1"/>
  <c r="J28" i="38"/>
  <c r="S28" i="38" s="1"/>
  <c r="AQ28" i="38" s="1"/>
  <c r="J27" i="38"/>
  <c r="S27" i="38" s="1"/>
  <c r="AQ27" i="38" s="1"/>
  <c r="J26" i="38"/>
  <c r="S26" i="38" s="1"/>
  <c r="AQ26" i="38" s="1"/>
  <c r="J25" i="38"/>
  <c r="S25" i="38" s="1"/>
  <c r="AQ25" i="38" s="1"/>
  <c r="J24" i="38"/>
  <c r="S24" i="38" s="1"/>
  <c r="AQ24" i="38" s="1"/>
  <c r="J23" i="38"/>
  <c r="S23" i="38" s="1"/>
  <c r="AQ23" i="38" s="1"/>
  <c r="J22" i="38"/>
  <c r="S9" i="38"/>
  <c r="W9" i="38"/>
  <c r="F100" i="38"/>
  <c r="CI92" i="38"/>
  <c r="CH92" i="38"/>
  <c r="CB92" i="38"/>
  <c r="CA92" i="38"/>
  <c r="BZ92" i="38"/>
  <c r="BY92" i="38"/>
  <c r="BX92" i="38"/>
  <c r="BW92" i="38"/>
  <c r="BV92" i="38"/>
  <c r="BP92" i="38"/>
  <c r="BO92" i="38"/>
  <c r="BN92" i="38"/>
  <c r="BM92" i="38"/>
  <c r="BL92" i="38"/>
  <c r="BK92" i="38"/>
  <c r="BJ92" i="38"/>
  <c r="BD92" i="38"/>
  <c r="BC92" i="38"/>
  <c r="BB92" i="38"/>
  <c r="BA92" i="38"/>
  <c r="AZ92" i="38"/>
  <c r="AY92" i="38"/>
  <c r="AX92" i="38"/>
  <c r="AL92" i="38"/>
  <c r="AH92" i="38"/>
  <c r="AE92" i="38"/>
  <c r="AB92" i="38"/>
  <c r="Y92" i="38"/>
  <c r="V92" i="38"/>
  <c r="CI91" i="38"/>
  <c r="CH91" i="38"/>
  <c r="CB91" i="38"/>
  <c r="CA91" i="38"/>
  <c r="BZ91" i="38"/>
  <c r="BY91" i="38"/>
  <c r="BX91" i="38"/>
  <c r="BW91" i="38"/>
  <c r="BV91" i="38"/>
  <c r="BP91" i="38"/>
  <c r="BO91" i="38"/>
  <c r="BN91" i="38"/>
  <c r="BM91" i="38"/>
  <c r="BL91" i="38"/>
  <c r="BK91" i="38"/>
  <c r="BJ91" i="38"/>
  <c r="BD91" i="38"/>
  <c r="BC91" i="38"/>
  <c r="BB91" i="38"/>
  <c r="BA91" i="38"/>
  <c r="AZ91" i="38"/>
  <c r="AY91" i="38"/>
  <c r="AX91" i="38"/>
  <c r="AL91" i="38"/>
  <c r="AH91" i="38"/>
  <c r="AE91" i="38"/>
  <c r="AB91" i="38"/>
  <c r="Y91" i="38"/>
  <c r="V91" i="38"/>
  <c r="CI90" i="38"/>
  <c r="CH90" i="38"/>
  <c r="CB90" i="38"/>
  <c r="CA90" i="38"/>
  <c r="BZ90" i="38"/>
  <c r="BY90" i="38"/>
  <c r="BX90" i="38"/>
  <c r="BW90" i="38"/>
  <c r="BV90" i="38"/>
  <c r="BP90" i="38"/>
  <c r="BO90" i="38"/>
  <c r="BN90" i="38"/>
  <c r="BM90" i="38"/>
  <c r="BL90" i="38"/>
  <c r="BK90" i="38"/>
  <c r="BJ90" i="38"/>
  <c r="BD90" i="38"/>
  <c r="BC90" i="38"/>
  <c r="BB90" i="38"/>
  <c r="BA90" i="38"/>
  <c r="AZ90" i="38"/>
  <c r="AY90" i="38"/>
  <c r="AX90" i="38"/>
  <c r="AL90" i="38"/>
  <c r="AH90" i="38"/>
  <c r="AE90" i="38"/>
  <c r="AB90" i="38"/>
  <c r="Y90" i="38"/>
  <c r="V90" i="38"/>
  <c r="I88" i="38"/>
  <c r="CI87" i="38"/>
  <c r="CH87" i="38"/>
  <c r="CB87" i="38"/>
  <c r="CA87" i="38"/>
  <c r="BZ87" i="38"/>
  <c r="BY87" i="38"/>
  <c r="BX87" i="38"/>
  <c r="BW87" i="38"/>
  <c r="BV87" i="38"/>
  <c r="BP87" i="38"/>
  <c r="BO87" i="38"/>
  <c r="BN87" i="38"/>
  <c r="BM87" i="38"/>
  <c r="BL87" i="38"/>
  <c r="BK87" i="38"/>
  <c r="BJ87" i="38"/>
  <c r="BD87" i="38"/>
  <c r="BC87" i="38"/>
  <c r="BB87" i="38"/>
  <c r="BA87" i="38"/>
  <c r="AZ87" i="38"/>
  <c r="AY87" i="38"/>
  <c r="AX87" i="38"/>
  <c r="AL87" i="38"/>
  <c r="AH87" i="38"/>
  <c r="AE87" i="38"/>
  <c r="AB87" i="38"/>
  <c r="Y87" i="38"/>
  <c r="V87" i="38"/>
  <c r="CK85" i="38"/>
  <c r="CD85" i="38"/>
  <c r="BR85" i="38"/>
  <c r="BF85" i="38"/>
  <c r="CK83" i="38"/>
  <c r="CD83" i="38"/>
  <c r="BR83" i="38"/>
  <c r="BF83" i="38"/>
  <c r="CK82" i="38"/>
  <c r="CD82" i="38"/>
  <c r="BR82" i="38"/>
  <c r="BF82" i="38"/>
  <c r="CK80" i="38"/>
  <c r="CD80" i="38"/>
  <c r="BR80" i="38"/>
  <c r="BF80" i="38"/>
  <c r="CK79" i="38"/>
  <c r="CD79" i="38"/>
  <c r="CK75" i="38"/>
  <c r="CD75" i="38"/>
  <c r="BR75" i="38"/>
  <c r="BF75" i="38"/>
  <c r="CK74" i="38"/>
  <c r="CD74" i="38"/>
  <c r="BR74" i="38"/>
  <c r="BF74" i="38"/>
  <c r="I74" i="38"/>
  <c r="CE74" i="38" s="1"/>
  <c r="CK73" i="38"/>
  <c r="CD73" i="38"/>
  <c r="BR73" i="38"/>
  <c r="BF73" i="38"/>
  <c r="I73" i="38"/>
  <c r="CE73" i="38" s="1"/>
  <c r="CK72" i="38"/>
  <c r="CD72" i="38"/>
  <c r="BR72" i="38"/>
  <c r="BF72" i="38"/>
  <c r="I72" i="38"/>
  <c r="CE72" i="38" s="1"/>
  <c r="CK71" i="38"/>
  <c r="CD71" i="38"/>
  <c r="BR71" i="38"/>
  <c r="BF71" i="38"/>
  <c r="CK70" i="38"/>
  <c r="CD70" i="38"/>
  <c r="BR70" i="38"/>
  <c r="BF70" i="38"/>
  <c r="CK69" i="38"/>
  <c r="CD69" i="38"/>
  <c r="BR69" i="38"/>
  <c r="BF69" i="38"/>
  <c r="CK68" i="38"/>
  <c r="CD68" i="38"/>
  <c r="BR68" i="38"/>
  <c r="BF68" i="38"/>
  <c r="CK67" i="38"/>
  <c r="CD67" i="38"/>
  <c r="BR67" i="38"/>
  <c r="BF67" i="38"/>
  <c r="CK66" i="38"/>
  <c r="CD66" i="38"/>
  <c r="BR66" i="38"/>
  <c r="BF66" i="38"/>
  <c r="CK61" i="38"/>
  <c r="CD61" i="38"/>
  <c r="BR61" i="38"/>
  <c r="BF61" i="38"/>
  <c r="CK60" i="38"/>
  <c r="CD60" i="38"/>
  <c r="BR60" i="38"/>
  <c r="BF60" i="38"/>
  <c r="CK59" i="38"/>
  <c r="CD59" i="38"/>
  <c r="BR59" i="38"/>
  <c r="BF59" i="38"/>
  <c r="CK58" i="38"/>
  <c r="CD58" i="38"/>
  <c r="BR58" i="38"/>
  <c r="BF58" i="38"/>
  <c r="CK57" i="38"/>
  <c r="CD57" i="38"/>
  <c r="BR57" i="38"/>
  <c r="BF57" i="38"/>
  <c r="CK56" i="38"/>
  <c r="CD56" i="38"/>
  <c r="BR56" i="38"/>
  <c r="BF56" i="38"/>
  <c r="CK55" i="38"/>
  <c r="CD55" i="38"/>
  <c r="BR55" i="38"/>
  <c r="BF55" i="38"/>
  <c r="CK54" i="38"/>
  <c r="CD54" i="38"/>
  <c r="BR54" i="38"/>
  <c r="BF54" i="38"/>
  <c r="CK53" i="38"/>
  <c r="CD53" i="38"/>
  <c r="BR53" i="38"/>
  <c r="BF53" i="38"/>
  <c r="CK51" i="38"/>
  <c r="CD51" i="38"/>
  <c r="BR51" i="38"/>
  <c r="BF51" i="38"/>
  <c r="CO47" i="38"/>
  <c r="E47" i="38"/>
  <c r="CP45" i="38"/>
  <c r="CK45" i="38"/>
  <c r="CD45" i="38"/>
  <c r="BR45" i="38"/>
  <c r="BF45" i="38"/>
  <c r="I45" i="38"/>
  <c r="R45" i="38" s="1"/>
  <c r="AN45" i="38" s="1"/>
  <c r="CP44" i="38"/>
  <c r="CK44" i="38"/>
  <c r="CD44" i="38"/>
  <c r="BR44" i="38"/>
  <c r="BF44" i="38"/>
  <c r="I44" i="38"/>
  <c r="R44" i="38" s="1"/>
  <c r="AN44" i="38" s="1"/>
  <c r="CP43" i="38"/>
  <c r="CK43" i="38"/>
  <c r="CD43" i="38"/>
  <c r="BR43" i="38"/>
  <c r="BF43" i="38"/>
  <c r="I43" i="38"/>
  <c r="R43" i="38" s="1"/>
  <c r="AN43" i="38" s="1"/>
  <c r="CP42" i="38"/>
  <c r="CK42" i="38"/>
  <c r="CD42" i="38"/>
  <c r="BR42" i="38"/>
  <c r="BF42" i="38"/>
  <c r="I42" i="38"/>
  <c r="R42" i="38" s="1"/>
  <c r="AN42" i="38" s="1"/>
  <c r="CP41" i="38"/>
  <c r="CK41" i="38"/>
  <c r="CD41" i="38"/>
  <c r="BR41" i="38"/>
  <c r="BF41" i="38"/>
  <c r="I41" i="38"/>
  <c r="R41" i="38" s="1"/>
  <c r="AN41" i="38" s="1"/>
  <c r="CP40" i="38"/>
  <c r="CK40" i="38"/>
  <c r="CD40" i="38"/>
  <c r="BR40" i="38"/>
  <c r="BF40" i="38"/>
  <c r="I40" i="38"/>
  <c r="R40" i="38" s="1"/>
  <c r="AN40" i="38" s="1"/>
  <c r="CP39" i="38"/>
  <c r="CK39" i="38"/>
  <c r="CD39" i="38"/>
  <c r="BR39" i="38"/>
  <c r="BF39" i="38"/>
  <c r="I39" i="38"/>
  <c r="R39" i="38" s="1"/>
  <c r="AN39" i="38" s="1"/>
  <c r="CP38" i="38"/>
  <c r="CK38" i="38"/>
  <c r="CD38" i="38"/>
  <c r="BR38" i="38"/>
  <c r="BF38" i="38"/>
  <c r="I38" i="38"/>
  <c r="R38" i="38" s="1"/>
  <c r="AN38" i="38" s="1"/>
  <c r="CP37" i="38"/>
  <c r="CK37" i="38"/>
  <c r="CD37" i="38"/>
  <c r="BR37" i="38"/>
  <c r="BF37" i="38"/>
  <c r="I37" i="38"/>
  <c r="R37" i="38" s="1"/>
  <c r="AN37" i="38" s="1"/>
  <c r="CP36" i="38"/>
  <c r="CK36" i="38"/>
  <c r="CD36" i="38"/>
  <c r="BR36" i="38"/>
  <c r="BF36" i="38"/>
  <c r="I36" i="38"/>
  <c r="R36" i="38" s="1"/>
  <c r="AN36" i="38" s="1"/>
  <c r="CP35" i="38"/>
  <c r="CK35" i="38"/>
  <c r="CD35" i="38"/>
  <c r="BR35" i="38"/>
  <c r="BF35" i="38"/>
  <c r="I35" i="38"/>
  <c r="R35" i="38" s="1"/>
  <c r="AN35" i="38" s="1"/>
  <c r="CP34" i="38"/>
  <c r="CK34" i="38"/>
  <c r="CD34" i="38"/>
  <c r="BR34" i="38"/>
  <c r="BF34" i="38"/>
  <c r="I34" i="38"/>
  <c r="R34" i="38" s="1"/>
  <c r="AN34" i="38" s="1"/>
  <c r="CP33" i="38"/>
  <c r="CK33" i="38"/>
  <c r="CD33" i="38"/>
  <c r="BR33" i="38"/>
  <c r="BF33" i="38"/>
  <c r="I33" i="38"/>
  <c r="R33" i="38" s="1"/>
  <c r="AN33" i="38" s="1"/>
  <c r="CP32" i="38"/>
  <c r="CK32" i="38"/>
  <c r="CD32" i="38"/>
  <c r="BR32" i="38"/>
  <c r="BF32" i="38"/>
  <c r="I32" i="38"/>
  <c r="R32" i="38" s="1"/>
  <c r="AN32" i="38" s="1"/>
  <c r="CP31" i="38"/>
  <c r="CK31" i="38"/>
  <c r="CD31" i="38"/>
  <c r="BR31" i="38"/>
  <c r="BF31" i="38"/>
  <c r="I31" i="38"/>
  <c r="R31" i="38" s="1"/>
  <c r="AN31" i="38" s="1"/>
  <c r="CP30" i="38"/>
  <c r="CK30" i="38"/>
  <c r="CD30" i="38"/>
  <c r="BR30" i="38"/>
  <c r="BF30" i="38"/>
  <c r="I30" i="38"/>
  <c r="R30" i="38" s="1"/>
  <c r="AN30" i="38" s="1"/>
  <c r="CP29" i="38"/>
  <c r="CK29" i="38"/>
  <c r="CD29" i="38"/>
  <c r="BR29" i="38"/>
  <c r="BF29" i="38"/>
  <c r="I29" i="38"/>
  <c r="R29" i="38" s="1"/>
  <c r="AN29" i="38" s="1"/>
  <c r="CU28" i="38"/>
  <c r="CP28" i="38"/>
  <c r="CK28" i="38"/>
  <c r="CD28" i="38"/>
  <c r="BR28" i="38"/>
  <c r="BF28" i="38"/>
  <c r="I28" i="38"/>
  <c r="R28" i="38" s="1"/>
  <c r="AN28" i="38" s="1"/>
  <c r="CP27" i="38"/>
  <c r="CK27" i="38"/>
  <c r="CD27" i="38"/>
  <c r="BR27" i="38"/>
  <c r="BF27" i="38"/>
  <c r="I27" i="38"/>
  <c r="R27" i="38" s="1"/>
  <c r="AN27" i="38" s="1"/>
  <c r="CP26" i="38"/>
  <c r="CK26" i="38"/>
  <c r="CD26" i="38"/>
  <c r="BR26" i="38"/>
  <c r="BF26" i="38"/>
  <c r="I26" i="38"/>
  <c r="R26" i="38" s="1"/>
  <c r="AN26" i="38" s="1"/>
  <c r="CU25" i="38"/>
  <c r="CP25" i="38"/>
  <c r="CK25" i="38"/>
  <c r="CD25" i="38"/>
  <c r="BR25" i="38"/>
  <c r="BF25" i="38"/>
  <c r="I25" i="38"/>
  <c r="R25" i="38" s="1"/>
  <c r="AN25" i="38" s="1"/>
  <c r="CP24" i="38"/>
  <c r="CK24" i="38"/>
  <c r="CD24" i="38"/>
  <c r="BR24" i="38"/>
  <c r="BF24" i="38"/>
  <c r="I24" i="38"/>
  <c r="R24" i="38" s="1"/>
  <c r="AN24" i="38" s="1"/>
  <c r="CP23" i="38"/>
  <c r="CK23" i="38"/>
  <c r="CD23" i="38"/>
  <c r="BR23" i="38"/>
  <c r="BF23" i="38"/>
  <c r="I23" i="38"/>
  <c r="R23" i="38" s="1"/>
  <c r="AN23" i="38" s="1"/>
  <c r="CP22" i="38"/>
  <c r="CK22" i="38"/>
  <c r="CD22" i="38"/>
  <c r="BR22" i="38"/>
  <c r="BF22" i="38"/>
  <c r="I22" i="38"/>
  <c r="CI17" i="38"/>
  <c r="CH17" i="38"/>
  <c r="CB17" i="38"/>
  <c r="CA17" i="38"/>
  <c r="BZ17" i="38"/>
  <c r="BY17" i="38"/>
  <c r="BX17" i="38"/>
  <c r="BW17" i="38"/>
  <c r="BV17" i="38"/>
  <c r="BP17" i="38"/>
  <c r="BO17" i="38"/>
  <c r="BN17" i="38"/>
  <c r="BM17" i="38"/>
  <c r="BL17" i="38"/>
  <c r="BK17" i="38"/>
  <c r="BJ17" i="38"/>
  <c r="BD17" i="38"/>
  <c r="BC17" i="38"/>
  <c r="BB17" i="38"/>
  <c r="BA17" i="38"/>
  <c r="AZ17" i="38"/>
  <c r="AY17" i="38"/>
  <c r="AX17" i="38"/>
  <c r="R17" i="38"/>
  <c r="CI15" i="38"/>
  <c r="CH15" i="38"/>
  <c r="CB15" i="38"/>
  <c r="CA15" i="38"/>
  <c r="BZ15" i="38"/>
  <c r="BY15" i="38"/>
  <c r="BX15" i="38"/>
  <c r="BW15" i="38"/>
  <c r="BV15" i="38"/>
  <c r="BP15" i="38"/>
  <c r="BO15" i="38"/>
  <c r="BN15" i="38"/>
  <c r="BM15" i="38"/>
  <c r="BL15" i="38"/>
  <c r="BK15" i="38"/>
  <c r="BJ15" i="38"/>
  <c r="BD15" i="38"/>
  <c r="BC15" i="38"/>
  <c r="BB15" i="38"/>
  <c r="BA15" i="38"/>
  <c r="AZ15" i="38"/>
  <c r="AY15" i="38"/>
  <c r="AX15" i="38"/>
  <c r="R15" i="38"/>
  <c r="M13" i="38"/>
  <c r="CI12" i="38"/>
  <c r="CI13" i="38" s="1"/>
  <c r="CH12" i="38"/>
  <c r="CH13" i="38" s="1"/>
  <c r="CB12" i="38"/>
  <c r="CB13" i="38" s="1"/>
  <c r="CA12" i="38"/>
  <c r="CA13" i="38" s="1"/>
  <c r="BZ12" i="38"/>
  <c r="BZ13" i="38" s="1"/>
  <c r="BY12" i="38"/>
  <c r="BY13" i="38" s="1"/>
  <c r="BX12" i="38"/>
  <c r="BX13" i="38" s="1"/>
  <c r="BW12" i="38"/>
  <c r="BW13" i="38" s="1"/>
  <c r="BV12" i="38"/>
  <c r="BP12" i="38"/>
  <c r="BP13" i="38" s="1"/>
  <c r="BO12" i="38"/>
  <c r="BO13" i="38" s="1"/>
  <c r="BN12" i="38"/>
  <c r="BN13" i="38" s="1"/>
  <c r="BM12" i="38"/>
  <c r="BM13" i="38" s="1"/>
  <c r="BL12" i="38"/>
  <c r="BL13" i="38" s="1"/>
  <c r="BK12" i="38"/>
  <c r="BK13" i="38" s="1"/>
  <c r="BJ12" i="38"/>
  <c r="BD12" i="38"/>
  <c r="BD13" i="38" s="1"/>
  <c r="BC12" i="38"/>
  <c r="BC13" i="38" s="1"/>
  <c r="BB12" i="38"/>
  <c r="BB13" i="38" s="1"/>
  <c r="BA12" i="38"/>
  <c r="BA13" i="38" s="1"/>
  <c r="AZ12" i="38"/>
  <c r="AZ13" i="38" s="1"/>
  <c r="AY12" i="38"/>
  <c r="AY13" i="38" s="1"/>
  <c r="AX12" i="38"/>
  <c r="AL12" i="38"/>
  <c r="AL13" i="38" s="1"/>
  <c r="AH12" i="38"/>
  <c r="AH13" i="38" s="1"/>
  <c r="AE12" i="38"/>
  <c r="AE13" i="38" s="1"/>
  <c r="AB12" i="38"/>
  <c r="AB13" i="38" s="1"/>
  <c r="Y12" i="38"/>
  <c r="Y13" i="38" s="1"/>
  <c r="V12" i="38"/>
  <c r="V13" i="38" s="1"/>
  <c r="CI9" i="38"/>
  <c r="CH9" i="38"/>
  <c r="CB9" i="38"/>
  <c r="CA9" i="38"/>
  <c r="BZ9" i="38"/>
  <c r="BY9" i="38"/>
  <c r="BX9" i="38"/>
  <c r="BW9" i="38"/>
  <c r="BV9" i="38"/>
  <c r="BQ9" i="38"/>
  <c r="BP9" i="38"/>
  <c r="BO9" i="38"/>
  <c r="BN9" i="38"/>
  <c r="BM9" i="38"/>
  <c r="BL9" i="38"/>
  <c r="BK9" i="38"/>
  <c r="BJ9" i="38"/>
  <c r="BD9" i="38"/>
  <c r="BC9" i="38"/>
  <c r="BB9" i="38"/>
  <c r="BA9" i="38"/>
  <c r="AZ9" i="38"/>
  <c r="AY9" i="38"/>
  <c r="AX9" i="38"/>
  <c r="AL9" i="38"/>
  <c r="AH9" i="38"/>
  <c r="AE9" i="38"/>
  <c r="AB9" i="38"/>
  <c r="Y9" i="38"/>
  <c r="V9" i="38"/>
  <c r="CK8" i="38"/>
  <c r="CD8" i="38"/>
  <c r="CF9" i="38" s="1"/>
  <c r="BR8" i="38"/>
  <c r="BF8" i="38"/>
  <c r="BH9" i="38" s="1"/>
  <c r="CK6" i="38"/>
  <c r="CD6" i="38"/>
  <c r="BR6" i="38"/>
  <c r="BF6" i="38"/>
  <c r="CK5" i="38"/>
  <c r="CD5" i="38"/>
  <c r="BR5" i="38"/>
  <c r="BF5" i="38"/>
  <c r="BG56" i="36"/>
  <c r="AN40" i="36"/>
  <c r="AM39" i="36"/>
  <c r="AR32" i="36"/>
  <c r="AN31" i="36"/>
  <c r="AR24" i="36"/>
  <c r="AN23" i="36"/>
  <c r="AR77" i="36"/>
  <c r="AR78" i="36" s="1"/>
  <c r="AR40" i="36"/>
  <c r="AR38" i="36"/>
  <c r="AR33" i="36"/>
  <c r="AR31" i="36"/>
  <c r="AR30" i="36"/>
  <c r="AR26" i="36"/>
  <c r="AR25" i="36"/>
  <c r="AR22" i="36"/>
  <c r="AR21" i="36"/>
  <c r="AR18" i="36"/>
  <c r="AR3" i="36"/>
  <c r="AR7" i="36"/>
  <c r="AQ18" i="36"/>
  <c r="AQ22" i="36"/>
  <c r="AQ25" i="36"/>
  <c r="AQ29" i="36"/>
  <c r="AQ30" i="36"/>
  <c r="AQ33" i="36"/>
  <c r="AQ34" i="36"/>
  <c r="AQ37" i="36"/>
  <c r="AQ77" i="36"/>
  <c r="AQ78" i="36"/>
  <c r="AQ3" i="36"/>
  <c r="AQ7" i="36"/>
  <c r="AP18" i="36"/>
  <c r="AP22" i="36"/>
  <c r="AP25" i="36"/>
  <c r="AP29" i="36"/>
  <c r="AP30" i="36"/>
  <c r="AP33" i="36"/>
  <c r="AP34" i="36"/>
  <c r="AP35" i="36"/>
  <c r="AP38" i="36"/>
  <c r="AP40" i="36"/>
  <c r="AP77" i="36"/>
  <c r="AP78" i="36" s="1"/>
  <c r="AP3" i="36"/>
  <c r="AP7" i="36"/>
  <c r="AO18" i="36"/>
  <c r="AO21" i="36"/>
  <c r="AO25" i="36"/>
  <c r="AO26" i="36"/>
  <c r="AO29" i="36"/>
  <c r="AO33" i="36"/>
  <c r="AO34" i="36"/>
  <c r="AO77" i="36"/>
  <c r="AO78" i="36" s="1"/>
  <c r="AO3" i="36"/>
  <c r="AO7" i="36"/>
  <c r="AN22" i="36"/>
  <c r="AN24" i="36"/>
  <c r="AN26" i="36"/>
  <c r="AN29" i="36"/>
  <c r="AN32" i="36"/>
  <c r="AN33" i="36"/>
  <c r="AN34" i="36"/>
  <c r="AN36" i="36"/>
  <c r="AN37" i="36"/>
  <c r="AN38" i="36"/>
  <c r="AN77" i="36"/>
  <c r="AN78" i="36" s="1"/>
  <c r="AN3" i="36"/>
  <c r="AN7" i="36"/>
  <c r="AM77" i="36"/>
  <c r="AM78" i="36" s="1"/>
  <c r="AM34" i="36"/>
  <c r="AM33" i="36"/>
  <c r="AM29" i="36"/>
  <c r="AM26" i="36"/>
  <c r="AM25" i="36"/>
  <c r="AM21" i="36"/>
  <c r="AM18" i="36"/>
  <c r="CA23" i="32"/>
  <c r="CA20" i="32"/>
  <c r="AM7" i="36"/>
  <c r="AM3" i="36"/>
  <c r="AF77" i="36"/>
  <c r="AF78" i="36" s="1"/>
  <c r="AF38" i="36"/>
  <c r="AF37" i="36"/>
  <c r="AF34" i="36"/>
  <c r="AF30" i="36"/>
  <c r="AF29" i="36"/>
  <c r="AF26" i="36"/>
  <c r="AF22" i="36"/>
  <c r="AF3" i="36"/>
  <c r="AF7" i="36"/>
  <c r="K94" i="36"/>
  <c r="K93" i="36" s="1"/>
  <c r="AU67" i="36"/>
  <c r="AU65" i="36"/>
  <c r="W61" i="36"/>
  <c r="BO51" i="36"/>
  <c r="AA40" i="36"/>
  <c r="AD39" i="36"/>
  <c r="AE34" i="36"/>
  <c r="AE30" i="36"/>
  <c r="AE26" i="36"/>
  <c r="AE18" i="36"/>
  <c r="AE29" i="36"/>
  <c r="AE31" i="36"/>
  <c r="AE77" i="36"/>
  <c r="AE78" i="36"/>
  <c r="AE3" i="36"/>
  <c r="AE7" i="36"/>
  <c r="AD18" i="36"/>
  <c r="AD21" i="36"/>
  <c r="AD25" i="36"/>
  <c r="AD26" i="36"/>
  <c r="AD29" i="36"/>
  <c r="AD33" i="36"/>
  <c r="AD34" i="36"/>
  <c r="AD77" i="36"/>
  <c r="AD78" i="36" s="1"/>
  <c r="AD3" i="36"/>
  <c r="AD7" i="36"/>
  <c r="AC25" i="36"/>
  <c r="AC26" i="36"/>
  <c r="AC29" i="36"/>
  <c r="AC30" i="36"/>
  <c r="AC34" i="36"/>
  <c r="AC37" i="36"/>
  <c r="AC38" i="36"/>
  <c r="AC77" i="36"/>
  <c r="AC78" i="36" s="1"/>
  <c r="AC3" i="36"/>
  <c r="AC7" i="36"/>
  <c r="AB18" i="36"/>
  <c r="AB25" i="36"/>
  <c r="AB26" i="36"/>
  <c r="AB30" i="36"/>
  <c r="AB33" i="36"/>
  <c r="AB34" i="36"/>
  <c r="AB38" i="36"/>
  <c r="AB77" i="36"/>
  <c r="AB78" i="36" s="1"/>
  <c r="AB3" i="36"/>
  <c r="AB7" i="36"/>
  <c r="CE29" i="37"/>
  <c r="K82" i="37"/>
  <c r="Z73" i="37"/>
  <c r="AX71" i="37"/>
  <c r="AX69" i="37"/>
  <c r="AL65" i="37"/>
  <c r="AX56" i="37"/>
  <c r="AL52" i="37"/>
  <c r="K98" i="37"/>
  <c r="K97" i="37" s="1"/>
  <c r="C98" i="37"/>
  <c r="E82" i="37"/>
  <c r="I82" i="37" s="1"/>
  <c r="BP81" i="37"/>
  <c r="AK81" i="37"/>
  <c r="Q82" i="37"/>
  <c r="I81" i="37"/>
  <c r="H81" i="37"/>
  <c r="G81" i="37"/>
  <c r="F81" i="37"/>
  <c r="BP78" i="37"/>
  <c r="BI78" i="37"/>
  <c r="E74" i="37"/>
  <c r="N69" i="37" s="1"/>
  <c r="BQ73" i="37"/>
  <c r="BJ73" i="37"/>
  <c r="I73" i="37"/>
  <c r="H73" i="37"/>
  <c r="G73" i="37"/>
  <c r="F73" i="37"/>
  <c r="AL72" i="37"/>
  <c r="BQ72" i="37"/>
  <c r="BQ71" i="37"/>
  <c r="I71" i="37"/>
  <c r="H71" i="37"/>
  <c r="G71" i="37"/>
  <c r="F71" i="37"/>
  <c r="I70" i="37"/>
  <c r="H70" i="37"/>
  <c r="G70" i="37"/>
  <c r="F70" i="37"/>
  <c r="Z69" i="37"/>
  <c r="I69" i="37"/>
  <c r="H69" i="37"/>
  <c r="G69" i="37"/>
  <c r="F69" i="37"/>
  <c r="BJ68" i="37"/>
  <c r="I68" i="37"/>
  <c r="H68" i="37"/>
  <c r="G68" i="37"/>
  <c r="F68" i="37"/>
  <c r="BQ67" i="37"/>
  <c r="AX67" i="37"/>
  <c r="AL66" i="37"/>
  <c r="BQ66" i="37"/>
  <c r="I66" i="37"/>
  <c r="H66" i="37"/>
  <c r="G66" i="37"/>
  <c r="F66" i="37"/>
  <c r="I65" i="37"/>
  <c r="H65" i="37"/>
  <c r="G65" i="37"/>
  <c r="F65" i="37"/>
  <c r="E61" i="37"/>
  <c r="N60" i="37" s="1"/>
  <c r="Z60" i="37"/>
  <c r="BQ60" i="37"/>
  <c r="I60" i="37"/>
  <c r="H60" i="37"/>
  <c r="G60" i="37"/>
  <c r="F60" i="37"/>
  <c r="AX59" i="37"/>
  <c r="N59" i="37"/>
  <c r="I59" i="37"/>
  <c r="H59" i="37"/>
  <c r="G59" i="37"/>
  <c r="F59" i="37"/>
  <c r="I58" i="37"/>
  <c r="H58" i="37"/>
  <c r="G58" i="37"/>
  <c r="F58" i="37"/>
  <c r="BQ57" i="37"/>
  <c r="I57" i="37"/>
  <c r="H57" i="37"/>
  <c r="G57" i="37"/>
  <c r="F57" i="37"/>
  <c r="BQ56" i="37"/>
  <c r="Z56" i="37"/>
  <c r="BJ56" i="37"/>
  <c r="I56" i="37"/>
  <c r="H56" i="37"/>
  <c r="G56" i="37"/>
  <c r="F56" i="37"/>
  <c r="AL55" i="37"/>
  <c r="I55" i="37"/>
  <c r="H55" i="37"/>
  <c r="G55" i="37"/>
  <c r="F55" i="37"/>
  <c r="I54" i="37"/>
  <c r="H54" i="37"/>
  <c r="G54" i="37"/>
  <c r="F54" i="37"/>
  <c r="BQ53" i="37"/>
  <c r="BJ53" i="37"/>
  <c r="AX53" i="37"/>
  <c r="I50" i="37"/>
  <c r="H50" i="37"/>
  <c r="G50" i="37"/>
  <c r="F50" i="37"/>
  <c r="BT46" i="37"/>
  <c r="I46" i="37"/>
  <c r="H46" i="37"/>
  <c r="G46" i="37"/>
  <c r="F46" i="37"/>
  <c r="E46" i="37"/>
  <c r="C46" i="37" s="1"/>
  <c r="N20" i="37" s="1"/>
  <c r="BU44" i="37"/>
  <c r="BU43" i="37"/>
  <c r="BU42" i="37"/>
  <c r="BU41" i="37"/>
  <c r="BU40" i="37"/>
  <c r="BU39" i="37"/>
  <c r="BU38" i="37"/>
  <c r="BU37" i="37"/>
  <c r="BU36" i="37"/>
  <c r="BU35" i="37"/>
  <c r="BU34" i="37"/>
  <c r="BU33" i="37"/>
  <c r="BU32" i="37"/>
  <c r="BU31" i="37"/>
  <c r="BU30" i="37"/>
  <c r="BU29" i="37"/>
  <c r="BU28" i="37"/>
  <c r="BU27" i="37"/>
  <c r="BU26" i="37"/>
  <c r="BU25" i="37"/>
  <c r="BU24" i="37"/>
  <c r="BU23" i="37"/>
  <c r="BU22" i="37"/>
  <c r="Q22" i="37"/>
  <c r="BU21" i="37"/>
  <c r="BN16" i="37"/>
  <c r="BM16" i="37"/>
  <c r="BG16" i="37"/>
  <c r="BF16" i="37"/>
  <c r="BE16" i="37"/>
  <c r="BD16" i="37"/>
  <c r="BC16" i="37"/>
  <c r="BB16" i="37"/>
  <c r="BA16" i="37"/>
  <c r="AU16" i="37"/>
  <c r="AT16" i="37"/>
  <c r="AS16" i="37"/>
  <c r="AR16" i="37"/>
  <c r="AQ16" i="37"/>
  <c r="AP16" i="37"/>
  <c r="AO16" i="37"/>
  <c r="AI16" i="37"/>
  <c r="AH16" i="37"/>
  <c r="AG16" i="37"/>
  <c r="AF16" i="37"/>
  <c r="AE16" i="37"/>
  <c r="AD16" i="37"/>
  <c r="AC16" i="37"/>
  <c r="W16" i="37"/>
  <c r="V16" i="37"/>
  <c r="U16" i="37"/>
  <c r="T16" i="37"/>
  <c r="S16" i="37"/>
  <c r="R16" i="37"/>
  <c r="Q16" i="37"/>
  <c r="BN14" i="37"/>
  <c r="BM14" i="37"/>
  <c r="BG14" i="37"/>
  <c r="BF14" i="37"/>
  <c r="BE14" i="37"/>
  <c r="BD14" i="37"/>
  <c r="BC14" i="37"/>
  <c r="BB14" i="37"/>
  <c r="BA14" i="37"/>
  <c r="AU14" i="37"/>
  <c r="AT14" i="37"/>
  <c r="AS14" i="37"/>
  <c r="AR14" i="37"/>
  <c r="AQ14" i="37"/>
  <c r="AP14" i="37"/>
  <c r="AO14" i="37"/>
  <c r="AI14" i="37"/>
  <c r="AH14" i="37"/>
  <c r="AG14" i="37"/>
  <c r="AF14" i="37"/>
  <c r="AE14" i="37"/>
  <c r="AD14" i="37"/>
  <c r="AC14" i="37"/>
  <c r="W14" i="37"/>
  <c r="V14" i="37"/>
  <c r="U14" i="37"/>
  <c r="T14" i="37"/>
  <c r="S14" i="37"/>
  <c r="R14" i="37"/>
  <c r="Q14" i="37"/>
  <c r="N12" i="37"/>
  <c r="BF8" i="37"/>
  <c r="AT8" i="37"/>
  <c r="U8" i="37"/>
  <c r="Q8" i="37"/>
  <c r="BP7" i="37"/>
  <c r="BP9" i="37" s="1"/>
  <c r="BI7" i="37"/>
  <c r="BI9" i="37" s="1"/>
  <c r="AW7" i="37"/>
  <c r="AK7" i="37"/>
  <c r="AK9" i="37" s="1"/>
  <c r="Y7" i="37"/>
  <c r="AA8" i="37" s="1"/>
  <c r="BW5" i="37"/>
  <c r="CB1" i="37" s="1"/>
  <c r="BP5" i="37"/>
  <c r="BI5" i="37"/>
  <c r="AW5" i="37"/>
  <c r="AK5" i="37"/>
  <c r="Y5" i="37"/>
  <c r="BP4" i="37"/>
  <c r="CC3" i="37"/>
  <c r="AA77" i="36"/>
  <c r="AA78" i="36" s="1"/>
  <c r="P77" i="36"/>
  <c r="P78" i="36" s="1"/>
  <c r="Q77" i="36"/>
  <c r="Q78" i="36" s="1"/>
  <c r="R77" i="36"/>
  <c r="R78" i="36" s="1"/>
  <c r="S77" i="36"/>
  <c r="S78" i="36" s="1"/>
  <c r="T77" i="36"/>
  <c r="T78" i="36" s="1"/>
  <c r="O77" i="36"/>
  <c r="BG66" i="36"/>
  <c r="BO65" i="36"/>
  <c r="W63" i="36"/>
  <c r="AA37" i="36"/>
  <c r="AA30" i="36"/>
  <c r="AA25" i="36"/>
  <c r="AA23" i="36"/>
  <c r="AA7" i="36"/>
  <c r="AA3" i="36"/>
  <c r="T37" i="36"/>
  <c r="T34" i="36"/>
  <c r="T29" i="36"/>
  <c r="T26" i="36"/>
  <c r="T18" i="36"/>
  <c r="T3" i="36"/>
  <c r="S21" i="36"/>
  <c r="S22" i="36"/>
  <c r="S25" i="36"/>
  <c r="S29" i="36"/>
  <c r="S30" i="36"/>
  <c r="S37" i="36"/>
  <c r="S38" i="36"/>
  <c r="S3" i="36"/>
  <c r="S7" i="36"/>
  <c r="R18" i="36"/>
  <c r="R21" i="36"/>
  <c r="R23" i="36"/>
  <c r="R26" i="36"/>
  <c r="R33" i="36"/>
  <c r="R34" i="36"/>
  <c r="R37" i="36"/>
  <c r="R3" i="36"/>
  <c r="R7" i="36"/>
  <c r="Q3" i="36"/>
  <c r="Q7" i="36"/>
  <c r="P18" i="36"/>
  <c r="P34" i="36"/>
  <c r="P3" i="36"/>
  <c r="P7" i="36"/>
  <c r="W67" i="36"/>
  <c r="Q38" i="36"/>
  <c r="P37" i="36"/>
  <c r="P29" i="36"/>
  <c r="P25" i="36"/>
  <c r="P21" i="36"/>
  <c r="BK13" i="36"/>
  <c r="BL13" i="36"/>
  <c r="AY13" i="36"/>
  <c r="AZ13" i="36"/>
  <c r="BA13" i="36"/>
  <c r="BB13" i="36"/>
  <c r="BC13" i="36"/>
  <c r="BD13" i="36"/>
  <c r="AM13" i="36"/>
  <c r="AN13" i="36"/>
  <c r="AO13" i="36"/>
  <c r="AP13" i="36"/>
  <c r="AQ13" i="36"/>
  <c r="AR13" i="36"/>
  <c r="AA13" i="36"/>
  <c r="AB13" i="36"/>
  <c r="AC13" i="36"/>
  <c r="AD13" i="36"/>
  <c r="AE13" i="36"/>
  <c r="AF13" i="36"/>
  <c r="O13" i="36"/>
  <c r="P13" i="36"/>
  <c r="Q13" i="36"/>
  <c r="R13" i="36"/>
  <c r="S13" i="36"/>
  <c r="T13" i="36"/>
  <c r="C94" i="36"/>
  <c r="AZ85" i="36"/>
  <c r="AY85" i="36"/>
  <c r="AX85" i="36"/>
  <c r="E78" i="36"/>
  <c r="I78" i="36" s="1"/>
  <c r="BN77" i="36"/>
  <c r="I77" i="36"/>
  <c r="H77" i="36"/>
  <c r="G77" i="36"/>
  <c r="F77" i="36"/>
  <c r="BN74" i="36"/>
  <c r="BF74" i="36"/>
  <c r="E70" i="36"/>
  <c r="I69" i="36"/>
  <c r="H69" i="36"/>
  <c r="G69" i="36"/>
  <c r="F69" i="36"/>
  <c r="BG67" i="36"/>
  <c r="I67" i="36"/>
  <c r="H67" i="36"/>
  <c r="G67" i="36"/>
  <c r="F67" i="36"/>
  <c r="I66" i="36"/>
  <c r="H66" i="36"/>
  <c r="G66" i="36"/>
  <c r="F66" i="36"/>
  <c r="I65" i="36"/>
  <c r="H65" i="36"/>
  <c r="G65" i="36"/>
  <c r="F65" i="36"/>
  <c r="I64" i="36"/>
  <c r="H64" i="36"/>
  <c r="G64" i="36"/>
  <c r="F64" i="36"/>
  <c r="BO63" i="36"/>
  <c r="I62" i="36"/>
  <c r="H62" i="36"/>
  <c r="G62" i="36"/>
  <c r="F62" i="36"/>
  <c r="I61" i="36"/>
  <c r="H61" i="36"/>
  <c r="G61" i="36"/>
  <c r="F61" i="36"/>
  <c r="E57" i="36"/>
  <c r="K52" i="36" s="1"/>
  <c r="I56" i="36"/>
  <c r="H56" i="36"/>
  <c r="G56" i="36"/>
  <c r="F56" i="36"/>
  <c r="W55" i="36"/>
  <c r="I55" i="36"/>
  <c r="H55" i="36"/>
  <c r="G55" i="36"/>
  <c r="F55" i="36"/>
  <c r="I54" i="36"/>
  <c r="H54" i="36"/>
  <c r="G54" i="36"/>
  <c r="F54" i="36"/>
  <c r="AU53" i="36"/>
  <c r="W53" i="36"/>
  <c r="I53" i="36"/>
  <c r="H53" i="36"/>
  <c r="G53" i="36"/>
  <c r="F53" i="36"/>
  <c r="I52" i="36"/>
  <c r="H52" i="36"/>
  <c r="G52" i="36"/>
  <c r="F52" i="36"/>
  <c r="W51" i="36"/>
  <c r="I51" i="36"/>
  <c r="H51" i="36"/>
  <c r="G51" i="36"/>
  <c r="F51" i="36"/>
  <c r="I50" i="36"/>
  <c r="H50" i="36"/>
  <c r="G50" i="36"/>
  <c r="F50" i="36"/>
  <c r="BO49" i="36"/>
  <c r="AU49" i="36"/>
  <c r="W49" i="36"/>
  <c r="BG49" i="36"/>
  <c r="I46" i="36"/>
  <c r="H46" i="36"/>
  <c r="G46" i="36"/>
  <c r="F46" i="36"/>
  <c r="BR42" i="36"/>
  <c r="I42" i="36"/>
  <c r="H42" i="36"/>
  <c r="G42" i="36"/>
  <c r="F42" i="36"/>
  <c r="E42" i="36"/>
  <c r="E46" i="36" s="1"/>
  <c r="BS40" i="36"/>
  <c r="BS39" i="36"/>
  <c r="BS38" i="36"/>
  <c r="BS37" i="36"/>
  <c r="BS36" i="36"/>
  <c r="BS35" i="36"/>
  <c r="BS34" i="36"/>
  <c r="O34" i="36"/>
  <c r="BS33" i="36"/>
  <c r="BS32" i="36"/>
  <c r="BS31" i="36"/>
  <c r="BS30" i="36"/>
  <c r="BS29" i="36"/>
  <c r="BS28" i="36"/>
  <c r="BS27" i="36"/>
  <c r="BS26" i="36"/>
  <c r="O26" i="36"/>
  <c r="BS25" i="36"/>
  <c r="BS24" i="36"/>
  <c r="BS23" i="36"/>
  <c r="BS22" i="36"/>
  <c r="BS21" i="36"/>
  <c r="BS20" i="36"/>
  <c r="BS19" i="36"/>
  <c r="BS18" i="36"/>
  <c r="O18" i="36"/>
  <c r="BS17" i="36"/>
  <c r="BJ13" i="36"/>
  <c r="AX13" i="36"/>
  <c r="AL13" i="36"/>
  <c r="Z13" i="36"/>
  <c r="N13" i="36"/>
  <c r="K11" i="36"/>
  <c r="AZ10" i="36"/>
  <c r="AZ11" i="36" s="1"/>
  <c r="AY10" i="36"/>
  <c r="AY11" i="36" s="1"/>
  <c r="AX10" i="36"/>
  <c r="BL7" i="36"/>
  <c r="BJ7" i="36"/>
  <c r="AS7" i="36"/>
  <c r="O7" i="36"/>
  <c r="N7" i="36"/>
  <c r="BN6" i="36"/>
  <c r="BP7" i="36" s="1"/>
  <c r="AT6" i="36"/>
  <c r="AV7" i="36" s="1"/>
  <c r="BU5" i="36"/>
  <c r="BN5" i="36"/>
  <c r="BF5" i="36"/>
  <c r="AT5" i="36"/>
  <c r="AH5" i="36"/>
  <c r="V5" i="36"/>
  <c r="BN4" i="36"/>
  <c r="BF4" i="36"/>
  <c r="AT4" i="36"/>
  <c r="AH4" i="36"/>
  <c r="V4" i="36"/>
  <c r="CA3" i="36"/>
  <c r="O3" i="36"/>
  <c r="BZ21" i="33"/>
  <c r="BT1" i="33" s="1"/>
  <c r="CB26" i="33" s="1"/>
  <c r="BK78" i="33"/>
  <c r="BK79" i="33" s="1"/>
  <c r="BK15" i="33"/>
  <c r="BJ15" i="33"/>
  <c r="BK3" i="33"/>
  <c r="BJ78" i="33"/>
  <c r="BJ79" i="33" s="1"/>
  <c r="BJ7" i="33"/>
  <c r="BJ3" i="33"/>
  <c r="BD78" i="33"/>
  <c r="BD79" i="33" s="1"/>
  <c r="BD3" i="33"/>
  <c r="BD7" i="33"/>
  <c r="BC78" i="33"/>
  <c r="BC79" i="33" s="1"/>
  <c r="BC3" i="33"/>
  <c r="BC7" i="33"/>
  <c r="AM15" i="33"/>
  <c r="AN15" i="33"/>
  <c r="AO15" i="33"/>
  <c r="AP15" i="33"/>
  <c r="AQ15" i="33"/>
  <c r="AR15" i="33"/>
  <c r="AL15" i="33"/>
  <c r="AA15" i="33"/>
  <c r="AB15" i="33"/>
  <c r="AC15" i="33"/>
  <c r="AD15" i="33"/>
  <c r="AE15" i="33"/>
  <c r="AF15" i="33"/>
  <c r="Z15" i="33"/>
  <c r="O15" i="33"/>
  <c r="P15" i="33"/>
  <c r="Q15" i="33"/>
  <c r="R15" i="33"/>
  <c r="S15" i="33"/>
  <c r="T15" i="33"/>
  <c r="N15" i="33"/>
  <c r="AY15" i="33"/>
  <c r="AZ15" i="33"/>
  <c r="BA15" i="33"/>
  <c r="BB15" i="33"/>
  <c r="BC15" i="33"/>
  <c r="BD15" i="33"/>
  <c r="AX15" i="33"/>
  <c r="BB37" i="33"/>
  <c r="BB78" i="33"/>
  <c r="BB79" i="33" s="1"/>
  <c r="BB3" i="33"/>
  <c r="BB7" i="33"/>
  <c r="BA78" i="33"/>
  <c r="BA79" i="33" s="1"/>
  <c r="BA7" i="33"/>
  <c r="BA3" i="33"/>
  <c r="AY78" i="33"/>
  <c r="AY79" i="33" s="1"/>
  <c r="AX78" i="33"/>
  <c r="AX79" i="33" s="1"/>
  <c r="AR78" i="33"/>
  <c r="AR79" i="33" s="1"/>
  <c r="AQ78" i="33"/>
  <c r="AQ79" i="33" s="1"/>
  <c r="AP78" i="33"/>
  <c r="AP79" i="33" s="1"/>
  <c r="AM78" i="33"/>
  <c r="AM79" i="33" s="1"/>
  <c r="AL78" i="33"/>
  <c r="AL79" i="33" s="1"/>
  <c r="AF78" i="33"/>
  <c r="AF79" i="33" s="1"/>
  <c r="AE78" i="33"/>
  <c r="AE79" i="33" s="1"/>
  <c r="AD78" i="33"/>
  <c r="AA78" i="33"/>
  <c r="AA79" i="33" s="1"/>
  <c r="Z78" i="33"/>
  <c r="Z79" i="33" s="1"/>
  <c r="T78" i="33"/>
  <c r="T79" i="33" s="1"/>
  <c r="S78" i="33"/>
  <c r="S79" i="33" s="1"/>
  <c r="R78" i="33"/>
  <c r="R79" i="33" s="1"/>
  <c r="Q78" i="33"/>
  <c r="Q79" i="33" s="1"/>
  <c r="O78" i="33"/>
  <c r="O79" i="33" s="1"/>
  <c r="N78" i="33"/>
  <c r="J96" i="33"/>
  <c r="J78" i="33"/>
  <c r="J70" i="33"/>
  <c r="J69" i="33"/>
  <c r="J68" i="33"/>
  <c r="J67" i="33"/>
  <c r="J66" i="33"/>
  <c r="J65" i="33"/>
  <c r="J64" i="33"/>
  <c r="J63" i="33"/>
  <c r="J62" i="33"/>
  <c r="J57" i="33"/>
  <c r="J56" i="33"/>
  <c r="J55" i="33"/>
  <c r="J54" i="33"/>
  <c r="J53" i="33"/>
  <c r="J52" i="33"/>
  <c r="J51" i="33"/>
  <c r="J50" i="33"/>
  <c r="J49" i="33"/>
  <c r="J41" i="33"/>
  <c r="AY41" i="33" s="1"/>
  <c r="J40" i="33"/>
  <c r="BD40" i="33" s="1"/>
  <c r="J39" i="33"/>
  <c r="AY39" i="33" s="1"/>
  <c r="J38" i="33"/>
  <c r="BJ38" i="33" s="1"/>
  <c r="J37" i="33"/>
  <c r="AY37" i="33" s="1"/>
  <c r="J36" i="33"/>
  <c r="BD36" i="33" s="1"/>
  <c r="J35" i="33"/>
  <c r="AY35" i="33" s="1"/>
  <c r="J34" i="33"/>
  <c r="BJ34" i="33" s="1"/>
  <c r="J33" i="33"/>
  <c r="AY33" i="33" s="1"/>
  <c r="J32" i="33"/>
  <c r="BD32" i="33" s="1"/>
  <c r="J31" i="33"/>
  <c r="AY31" i="33" s="1"/>
  <c r="J30" i="33"/>
  <c r="BJ30" i="33" s="1"/>
  <c r="J29" i="33"/>
  <c r="AY29" i="33" s="1"/>
  <c r="J28" i="33"/>
  <c r="BD28" i="33" s="1"/>
  <c r="J27" i="33"/>
  <c r="AY27" i="33" s="1"/>
  <c r="J26" i="33"/>
  <c r="BJ26" i="33" s="1"/>
  <c r="J25" i="33"/>
  <c r="AY25" i="33" s="1"/>
  <c r="J24" i="33"/>
  <c r="BD24" i="33" s="1"/>
  <c r="J23" i="33"/>
  <c r="AY23" i="33" s="1"/>
  <c r="J22" i="33"/>
  <c r="BJ22" i="33" s="1"/>
  <c r="J21" i="33"/>
  <c r="AY21" i="33" s="1"/>
  <c r="J20" i="33"/>
  <c r="BD20" i="33" s="1"/>
  <c r="J19" i="33"/>
  <c r="AY19" i="33" s="1"/>
  <c r="J18" i="33"/>
  <c r="AX18" i="33" s="1"/>
  <c r="BZ24" i="33"/>
  <c r="AY40" i="33"/>
  <c r="AY3" i="33"/>
  <c r="AY7" i="33"/>
  <c r="AX35" i="33"/>
  <c r="AX34" i="33"/>
  <c r="AX21" i="33"/>
  <c r="AX3" i="33"/>
  <c r="CE5" i="37" l="1"/>
  <c r="BX7" i="37"/>
  <c r="CB15" i="37" s="1"/>
  <c r="K99" i="37"/>
  <c r="K100" i="37" s="1"/>
  <c r="N22" i="37"/>
  <c r="N21" i="37"/>
  <c r="E48" i="37"/>
  <c r="N58" i="37"/>
  <c r="BZ8" i="37"/>
  <c r="BZ9" i="37" s="1"/>
  <c r="BK19" i="33"/>
  <c r="AP27" i="36"/>
  <c r="AP19" i="36"/>
  <c r="AQ27" i="36"/>
  <c r="AQ19" i="36"/>
  <c r="BA19" i="36"/>
  <c r="BB31" i="36"/>
  <c r="BD35" i="36"/>
  <c r="BK32" i="36"/>
  <c r="BX9" i="37"/>
  <c r="AR38" i="33"/>
  <c r="P31" i="36"/>
  <c r="AB23" i="36"/>
  <c r="AN27" i="36"/>
  <c r="BC35" i="36"/>
  <c r="AX26" i="33"/>
  <c r="AY34" i="33"/>
  <c r="R27" i="36"/>
  <c r="AX27" i="33"/>
  <c r="AX39" i="33"/>
  <c r="T31" i="36"/>
  <c r="AC31" i="36"/>
  <c r="AE23" i="36"/>
  <c r="AF19" i="36"/>
  <c r="AR27" i="36"/>
  <c r="AR35" i="36"/>
  <c r="AN35" i="36"/>
  <c r="BA31" i="36"/>
  <c r="BB39" i="36"/>
  <c r="AX19" i="33"/>
  <c r="AX31" i="33"/>
  <c r="AU55" i="36"/>
  <c r="P23" i="36"/>
  <c r="P33" i="36"/>
  <c r="R25" i="36"/>
  <c r="S33" i="36"/>
  <c r="T21" i="36"/>
  <c r="AA21" i="36"/>
  <c r="AA33" i="36"/>
  <c r="N52" i="37"/>
  <c r="AC21" i="36"/>
  <c r="AD37" i="36"/>
  <c r="AE21" i="36"/>
  <c r="AF21" i="36"/>
  <c r="AM37" i="36"/>
  <c r="AN28" i="36"/>
  <c r="AN21" i="36"/>
  <c r="AO37" i="36"/>
  <c r="AP23" i="36"/>
  <c r="AQ39" i="36"/>
  <c r="AQ23" i="36"/>
  <c r="AR37" i="36"/>
  <c r="AR17" i="36"/>
  <c r="AR28" i="36"/>
  <c r="AR36" i="36"/>
  <c r="BA32" i="36"/>
  <c r="BB36" i="36"/>
  <c r="BB24" i="36"/>
  <c r="BC32" i="36"/>
  <c r="BC19" i="36"/>
  <c r="BD40" i="36"/>
  <c r="BD28" i="36"/>
  <c r="BK26" i="33"/>
  <c r="BK34" i="33"/>
  <c r="AR26" i="33"/>
  <c r="AY38" i="33"/>
  <c r="BK18" i="33"/>
  <c r="BK29" i="33"/>
  <c r="BK37" i="33"/>
  <c r="K55" i="36"/>
  <c r="I74" i="37"/>
  <c r="BB35" i="36"/>
  <c r="BF35" i="36" s="1"/>
  <c r="BB27" i="36"/>
  <c r="BC30" i="36"/>
  <c r="BC23" i="36"/>
  <c r="BD22" i="36"/>
  <c r="BK26" i="36"/>
  <c r="BK31" i="36"/>
  <c r="BK36" i="36"/>
  <c r="BP8" i="37"/>
  <c r="E51" i="38"/>
  <c r="DE6" i="38" s="1"/>
  <c r="DF6" i="38" s="1"/>
  <c r="DG6" i="38" s="1"/>
  <c r="BK27" i="36"/>
  <c r="BK39" i="36"/>
  <c r="BL38" i="36"/>
  <c r="AR30" i="33"/>
  <c r="AX30" i="33"/>
  <c r="AX38" i="33"/>
  <c r="AY30" i="33"/>
  <c r="BK30" i="33"/>
  <c r="BK38" i="33"/>
  <c r="K53" i="36"/>
  <c r="AR34" i="33"/>
  <c r="AY32" i="33"/>
  <c r="BK25" i="33"/>
  <c r="BK33" i="33"/>
  <c r="BK41" i="33"/>
  <c r="G82" i="37"/>
  <c r="BK23" i="36"/>
  <c r="BK34" i="36"/>
  <c r="BL30" i="36"/>
  <c r="BC39" i="36"/>
  <c r="BC31" i="36"/>
  <c r="BD31" i="36"/>
  <c r="BK24" i="36"/>
  <c r="BN24" i="36" s="1"/>
  <c r="BK35" i="36"/>
  <c r="CD3" i="37"/>
  <c r="AY8" i="37"/>
  <c r="AY9" i="37" s="1"/>
  <c r="AW9" i="37"/>
  <c r="CR1" i="38"/>
  <c r="CW30" i="38" s="1"/>
  <c r="CW36" i="38" s="1"/>
  <c r="DE1" i="38"/>
  <c r="N100" i="38"/>
  <c r="N101" i="38" s="1"/>
  <c r="AR24" i="33"/>
  <c r="AR40" i="33"/>
  <c r="AX32" i="33"/>
  <c r="AX40" i="33"/>
  <c r="E78" i="37"/>
  <c r="E89" i="37" s="1"/>
  <c r="K89" i="37" s="1"/>
  <c r="N71" i="37"/>
  <c r="AX25" i="33"/>
  <c r="AX29" i="33"/>
  <c r="AX33" i="33"/>
  <c r="AX37" i="33"/>
  <c r="AX41" i="33"/>
  <c r="AY28" i="33"/>
  <c r="AY36" i="33"/>
  <c r="BB29" i="33"/>
  <c r="BK21" i="33"/>
  <c r="BK27" i="33"/>
  <c r="BK31" i="33"/>
  <c r="BK35" i="33"/>
  <c r="BK39" i="33"/>
  <c r="E76" i="37"/>
  <c r="N57" i="37"/>
  <c r="N56" i="37"/>
  <c r="N54" i="37"/>
  <c r="N67" i="37"/>
  <c r="BD17" i="36"/>
  <c r="BC17" i="36"/>
  <c r="BD21" i="36"/>
  <c r="BK21" i="36"/>
  <c r="AQ21" i="36"/>
  <c r="AP21" i="36"/>
  <c r="AB21" i="36"/>
  <c r="BA21" i="36"/>
  <c r="BD25" i="36"/>
  <c r="BK25" i="36"/>
  <c r="AN25" i="36"/>
  <c r="AF25" i="36"/>
  <c r="AE25" i="36"/>
  <c r="T25" i="36"/>
  <c r="BD29" i="36"/>
  <c r="BK29" i="36"/>
  <c r="BN29" i="36" s="1"/>
  <c r="AR29" i="36"/>
  <c r="AB29" i="36"/>
  <c r="AA29" i="36"/>
  <c r="R29" i="36"/>
  <c r="BD33" i="36"/>
  <c r="BK33" i="36"/>
  <c r="BA33" i="36"/>
  <c r="AF33" i="36"/>
  <c r="AC33" i="36"/>
  <c r="T33" i="36"/>
  <c r="BD37" i="36"/>
  <c r="BK37" i="36"/>
  <c r="BN37" i="36" s="1"/>
  <c r="AP37" i="36"/>
  <c r="AE37" i="36"/>
  <c r="AB37" i="36"/>
  <c r="BA37" i="36"/>
  <c r="BK17" i="36"/>
  <c r="AR32" i="33"/>
  <c r="AX24" i="33"/>
  <c r="AX28" i="33"/>
  <c r="AX36" i="33"/>
  <c r="AY24" i="33"/>
  <c r="BB33" i="33"/>
  <c r="BV8" i="36"/>
  <c r="K5" i="36"/>
  <c r="K49" i="36"/>
  <c r="K50" i="36"/>
  <c r="Y9" i="37"/>
  <c r="Y8" i="37"/>
  <c r="AR28" i="33"/>
  <c r="AR36" i="33"/>
  <c r="BB41" i="33"/>
  <c r="BB25" i="33"/>
  <c r="BK24" i="33"/>
  <c r="BK28" i="33"/>
  <c r="BK32" i="33"/>
  <c r="BK36" i="33"/>
  <c r="BK40" i="33"/>
  <c r="K48" i="36"/>
  <c r="K54" i="36"/>
  <c r="K56" i="36"/>
  <c r="N53" i="37"/>
  <c r="N55" i="37"/>
  <c r="N73" i="37"/>
  <c r="BA29" i="36"/>
  <c r="BB18" i="36"/>
  <c r="AN18" i="36"/>
  <c r="AF18" i="36"/>
  <c r="AC18" i="36"/>
  <c r="S18" i="36"/>
  <c r="Q18" i="36"/>
  <c r="BL18" i="36"/>
  <c r="BN18" i="36" s="1"/>
  <c r="BK18" i="36"/>
  <c r="BB22" i="36"/>
  <c r="BC22" i="36"/>
  <c r="AO22" i="36"/>
  <c r="AM22" i="36"/>
  <c r="AE22" i="36"/>
  <c r="BB26" i="36"/>
  <c r="AQ26" i="36"/>
  <c r="AP26" i="36"/>
  <c r="S26" i="36"/>
  <c r="Q26" i="36"/>
  <c r="BB30" i="36"/>
  <c r="AO30" i="36"/>
  <c r="AN30" i="36"/>
  <c r="AM30" i="36"/>
  <c r="AD30" i="36"/>
  <c r="BD30" i="36"/>
  <c r="BB34" i="36"/>
  <c r="BD34" i="36"/>
  <c r="AR34" i="36"/>
  <c r="S34" i="36"/>
  <c r="Q34" i="36"/>
  <c r="BC34" i="36"/>
  <c r="BB38" i="36"/>
  <c r="BC38" i="36"/>
  <c r="AQ38" i="36"/>
  <c r="AO38" i="36"/>
  <c r="AM38" i="36"/>
  <c r="AT38" i="36" s="1"/>
  <c r="AE38" i="36"/>
  <c r="AD38" i="36"/>
  <c r="AA38" i="36"/>
  <c r="P38" i="36"/>
  <c r="BO53" i="36"/>
  <c r="BG53" i="36"/>
  <c r="BK22" i="36"/>
  <c r="BK38" i="36"/>
  <c r="BN38" i="36" s="1"/>
  <c r="BL25" i="36"/>
  <c r="BL33" i="36"/>
  <c r="BL23" i="36"/>
  <c r="BL27" i="36"/>
  <c r="BL31" i="36"/>
  <c r="BQ4" i="37"/>
  <c r="AC27" i="36"/>
  <c r="AD23" i="36"/>
  <c r="AP31" i="36"/>
  <c r="AR23" i="36"/>
  <c r="BA23" i="36"/>
  <c r="BA39" i="36"/>
  <c r="BD39" i="36"/>
  <c r="BL19" i="36"/>
  <c r="I100" i="38"/>
  <c r="I101" i="38" s="1"/>
  <c r="BW9" i="37"/>
  <c r="AM8" i="37"/>
  <c r="AM9" i="37" s="1"/>
  <c r="BW8" i="37"/>
  <c r="DQ4" i="38"/>
  <c r="DF5" i="38"/>
  <c r="DR4" i="38"/>
  <c r="DS4" i="38" s="1"/>
  <c r="DJ5" i="38"/>
  <c r="BZ5" i="37"/>
  <c r="N5" i="37"/>
  <c r="CB2" i="37" s="1"/>
  <c r="AN8" i="38"/>
  <c r="AP9" i="38" s="1"/>
  <c r="AP10" i="38" s="1"/>
  <c r="CW10" i="38"/>
  <c r="DI1" i="38"/>
  <c r="F21" i="38"/>
  <c r="E49" i="38"/>
  <c r="AC19" i="36"/>
  <c r="AN19" i="36"/>
  <c r="AR20" i="36"/>
  <c r="BA20" i="36"/>
  <c r="BL20" i="36"/>
  <c r="BK20" i="36"/>
  <c r="BB20" i="36"/>
  <c r="BC20" i="36"/>
  <c r="AN20" i="36"/>
  <c r="BB19" i="36"/>
  <c r="BK19" i="36"/>
  <c r="BK42" i="36" s="1"/>
  <c r="CB3" i="36"/>
  <c r="CC3" i="36" s="1"/>
  <c r="AB19" i="36"/>
  <c r="AR19" i="36"/>
  <c r="BO4" i="36"/>
  <c r="BB37" i="36"/>
  <c r="BB33" i="36"/>
  <c r="BB29" i="36"/>
  <c r="BB25" i="36"/>
  <c r="BB21" i="36"/>
  <c r="BF21" i="36" s="1"/>
  <c r="BA18" i="36"/>
  <c r="BA22" i="36"/>
  <c r="BA26" i="36"/>
  <c r="BA30" i="36"/>
  <c r="BA34" i="36"/>
  <c r="BA38" i="36"/>
  <c r="BC37" i="36"/>
  <c r="BC33" i="36"/>
  <c r="BC29" i="36"/>
  <c r="BC25" i="36"/>
  <c r="BC21" i="36"/>
  <c r="AO17" i="36"/>
  <c r="BB17" i="36"/>
  <c r="AB17" i="36"/>
  <c r="BA17" i="36"/>
  <c r="BZ1" i="36"/>
  <c r="BF78" i="36"/>
  <c r="F12" i="38"/>
  <c r="BF3" i="36"/>
  <c r="M6" i="38"/>
  <c r="DK4" i="38"/>
  <c r="N6" i="38"/>
  <c r="J6" i="38"/>
  <c r="M39" i="38"/>
  <c r="M22" i="38"/>
  <c r="M25" i="38"/>
  <c r="M28" i="38"/>
  <c r="M31" i="38"/>
  <c r="CV1" i="38"/>
  <c r="CU6" i="38"/>
  <c r="CY6" i="38"/>
  <c r="BS73" i="38"/>
  <c r="BT73" i="38" s="1"/>
  <c r="E75" i="38"/>
  <c r="M66" i="38" s="1"/>
  <c r="N33" i="38"/>
  <c r="CV8" i="38"/>
  <c r="DI9" i="38" s="1"/>
  <c r="M23" i="38"/>
  <c r="M34" i="38"/>
  <c r="M37" i="38"/>
  <c r="M42" i="38"/>
  <c r="N41" i="38"/>
  <c r="CF61" i="38"/>
  <c r="M35" i="38"/>
  <c r="M43" i="38"/>
  <c r="N25" i="38"/>
  <c r="J70" i="38"/>
  <c r="I75" i="38"/>
  <c r="BS72" i="38"/>
  <c r="BT72" i="38" s="1"/>
  <c r="BS74" i="38"/>
  <c r="BT74" i="38" s="1"/>
  <c r="E21" i="38"/>
  <c r="CF69" i="38"/>
  <c r="N44" i="38"/>
  <c r="N36" i="38"/>
  <c r="N28" i="38"/>
  <c r="F75" i="38"/>
  <c r="N69" i="38" s="1"/>
  <c r="Y94" i="38"/>
  <c r="Y96" i="38" s="1"/>
  <c r="AL94" i="38"/>
  <c r="AL96" i="38" s="1"/>
  <c r="BR87" i="38"/>
  <c r="BN94" i="38"/>
  <c r="BN96" i="38" s="1"/>
  <c r="BW94" i="38"/>
  <c r="BW96" i="38" s="1"/>
  <c r="CA94" i="38"/>
  <c r="CA96" i="38" s="1"/>
  <c r="CK90" i="38"/>
  <c r="J47" i="38"/>
  <c r="AQ4" i="38"/>
  <c r="N45" i="38"/>
  <c r="N37" i="38"/>
  <c r="N29" i="38"/>
  <c r="J66" i="38"/>
  <c r="CF67" i="38"/>
  <c r="CF71" i="38"/>
  <c r="N40" i="38"/>
  <c r="N32" i="38"/>
  <c r="N24" i="38"/>
  <c r="N23" i="38"/>
  <c r="N42" i="38"/>
  <c r="N38" i="38"/>
  <c r="N34" i="38"/>
  <c r="N30" i="38"/>
  <c r="N26" i="38"/>
  <c r="N22" i="38"/>
  <c r="N43" i="38"/>
  <c r="N39" i="38"/>
  <c r="N35" i="38"/>
  <c r="N31" i="38"/>
  <c r="N27" i="38"/>
  <c r="S22" i="38"/>
  <c r="CE68" i="38"/>
  <c r="CF68" i="38" s="1"/>
  <c r="BG68" i="38"/>
  <c r="BH68" i="38" s="1"/>
  <c r="AQ9" i="38"/>
  <c r="AO5" i="38"/>
  <c r="AN4" i="38"/>
  <c r="CR25" i="38"/>
  <c r="CS25" i="38" s="1"/>
  <c r="CR42" i="38"/>
  <c r="CS42" i="38" s="1"/>
  <c r="CR34" i="38"/>
  <c r="CS34" i="38" s="1"/>
  <c r="CR28" i="38"/>
  <c r="CS28" i="38" s="1"/>
  <c r="BF12" i="38"/>
  <c r="BR91" i="38"/>
  <c r="BF92" i="38"/>
  <c r="CL5" i="38"/>
  <c r="BF47" i="38"/>
  <c r="BR62" i="38"/>
  <c r="BS68" i="38"/>
  <c r="BT68" i="38" s="1"/>
  <c r="BG72" i="38"/>
  <c r="BH72" i="38" s="1"/>
  <c r="BG73" i="38"/>
  <c r="BH73" i="38" s="1"/>
  <c r="BG74" i="38"/>
  <c r="BH74" i="38" s="1"/>
  <c r="CK92" i="38"/>
  <c r="BS70" i="38"/>
  <c r="BT70" i="38" s="1"/>
  <c r="BM94" i="38"/>
  <c r="BM96" i="38" s="1"/>
  <c r="BG70" i="38"/>
  <c r="BH70" i="38" s="1"/>
  <c r="BR4" i="38"/>
  <c r="CF73" i="38"/>
  <c r="CF74" i="38"/>
  <c r="AB94" i="38"/>
  <c r="AB96" i="38" s="1"/>
  <c r="CR45" i="38"/>
  <c r="CS45" i="38" s="1"/>
  <c r="CR24" i="38"/>
  <c r="CS24" i="38" s="1"/>
  <c r="CR27" i="38"/>
  <c r="CS27" i="38" s="1"/>
  <c r="CR30" i="38"/>
  <c r="CS30" i="38" s="1"/>
  <c r="CR38" i="38"/>
  <c r="CS38" i="38" s="1"/>
  <c r="CR33" i="38"/>
  <c r="CS33" i="38" s="1"/>
  <c r="CR36" i="38"/>
  <c r="CS36" i="38" s="1"/>
  <c r="CR41" i="38"/>
  <c r="CS41" i="38" s="1"/>
  <c r="BS5" i="38"/>
  <c r="CK12" i="38"/>
  <c r="CK47" i="38"/>
  <c r="BS61" i="38"/>
  <c r="BT61" i="38" s="1"/>
  <c r="BG67" i="38"/>
  <c r="BH67" i="38" s="1"/>
  <c r="BS69" i="38"/>
  <c r="BT69" i="38" s="1"/>
  <c r="CF70" i="38"/>
  <c r="BG71" i="38"/>
  <c r="BH71" i="38" s="1"/>
  <c r="V94" i="38"/>
  <c r="V96" i="38" s="1"/>
  <c r="AH94" i="38"/>
  <c r="AH96" i="38" s="1"/>
  <c r="AZ94" i="38"/>
  <c r="AZ96" i="38" s="1"/>
  <c r="BD94" i="38"/>
  <c r="BD96" i="38" s="1"/>
  <c r="CD87" i="38"/>
  <c r="BZ94" i="38"/>
  <c r="BZ96" i="38" s="1"/>
  <c r="CI94" i="38"/>
  <c r="CI96" i="38" s="1"/>
  <c r="BF90" i="38"/>
  <c r="CD91" i="38"/>
  <c r="CK91" i="38"/>
  <c r="BR92" i="38"/>
  <c r="BY94" i="38"/>
  <c r="BY96" i="38" s="1"/>
  <c r="I47" i="38"/>
  <c r="CD47" i="38"/>
  <c r="CK62" i="38"/>
  <c r="AE94" i="38"/>
  <c r="AE96" i="38" s="1"/>
  <c r="AY94" i="38"/>
  <c r="AY96" i="38" s="1"/>
  <c r="BC94" i="38"/>
  <c r="BC96" i="38" s="1"/>
  <c r="BL94" i="38"/>
  <c r="BL96" i="38" s="1"/>
  <c r="BP94" i="38"/>
  <c r="BP96" i="38" s="1"/>
  <c r="CH94" i="38"/>
  <c r="CH96" i="38" s="1"/>
  <c r="BR90" i="38"/>
  <c r="CD92" i="38"/>
  <c r="CK9" i="38"/>
  <c r="CK13" i="38"/>
  <c r="BR47" i="38"/>
  <c r="CD62" i="38"/>
  <c r="BF62" i="38"/>
  <c r="BG61" i="38"/>
  <c r="BH61" i="38" s="1"/>
  <c r="BS67" i="38"/>
  <c r="BT67" i="38" s="1"/>
  <c r="BG69" i="38"/>
  <c r="BH69" i="38" s="1"/>
  <c r="BS71" i="38"/>
  <c r="BT71" i="38" s="1"/>
  <c r="CF72" i="38"/>
  <c r="BF87" i="38"/>
  <c r="BB94" i="38"/>
  <c r="BB96" i="38" s="1"/>
  <c r="BK94" i="38"/>
  <c r="BK96" i="38" s="1"/>
  <c r="BO94" i="38"/>
  <c r="BO96" i="38" s="1"/>
  <c r="BX94" i="38"/>
  <c r="BX96" i="38" s="1"/>
  <c r="CB94" i="38"/>
  <c r="CB96" i="38" s="1"/>
  <c r="CD90" i="38"/>
  <c r="BF91" i="38"/>
  <c r="BA94" i="38"/>
  <c r="BA96" i="38" s="1"/>
  <c r="CR32" i="38"/>
  <c r="CS32" i="38" s="1"/>
  <c r="CR44" i="38"/>
  <c r="CS44" i="38" s="1"/>
  <c r="CD4" i="38"/>
  <c r="CR35" i="38"/>
  <c r="CS35" i="38" s="1"/>
  <c r="CR37" i="38"/>
  <c r="CS37" i="38" s="1"/>
  <c r="CR39" i="38"/>
  <c r="CS39" i="38" s="1"/>
  <c r="BF9" i="38"/>
  <c r="BR12" i="38"/>
  <c r="BR9" i="38"/>
  <c r="BT9" i="38"/>
  <c r="CR26" i="38"/>
  <c r="CS26" i="38" s="1"/>
  <c r="CR29" i="38"/>
  <c r="CS29" i="38" s="1"/>
  <c r="CR40" i="38"/>
  <c r="CS40" i="38" s="1"/>
  <c r="BF4" i="38"/>
  <c r="BG5" i="38"/>
  <c r="CE5" i="38"/>
  <c r="CM9" i="38"/>
  <c r="CD12" i="38"/>
  <c r="DG4" i="38"/>
  <c r="CD9" i="38"/>
  <c r="I6" i="38"/>
  <c r="CS10" i="38"/>
  <c r="CR23" i="38"/>
  <c r="CS23" i="38" s="1"/>
  <c r="CR31" i="38"/>
  <c r="CS31" i="38" s="1"/>
  <c r="CR43" i="38"/>
  <c r="CS43" i="38" s="1"/>
  <c r="R22" i="38"/>
  <c r="AN22" i="38" s="1"/>
  <c r="M26" i="38"/>
  <c r="M29" i="38"/>
  <c r="M32" i="38"/>
  <c r="M40" i="38"/>
  <c r="M44" i="38"/>
  <c r="AO61" i="38"/>
  <c r="CL61" i="38"/>
  <c r="CM61" i="38" s="1"/>
  <c r="CE66" i="38"/>
  <c r="AO67" i="38"/>
  <c r="CL67" i="38"/>
  <c r="CM67" i="38" s="1"/>
  <c r="AO68" i="38"/>
  <c r="CL68" i="38"/>
  <c r="CM68" i="38" s="1"/>
  <c r="AO69" i="38"/>
  <c r="CL69" i="38"/>
  <c r="CM69" i="38" s="1"/>
  <c r="AO70" i="38"/>
  <c r="CL70" i="38"/>
  <c r="CM70" i="38" s="1"/>
  <c r="AO71" i="38"/>
  <c r="CL71" i="38"/>
  <c r="CM71" i="38" s="1"/>
  <c r="AO72" i="38"/>
  <c r="CL72" i="38"/>
  <c r="CM72" i="38" s="1"/>
  <c r="AO73" i="38"/>
  <c r="CL73" i="38"/>
  <c r="CM73" i="38" s="1"/>
  <c r="AO74" i="38"/>
  <c r="CL74" i="38"/>
  <c r="CM74" i="38" s="1"/>
  <c r="CK87" i="38"/>
  <c r="AX13" i="38"/>
  <c r="BF13" i="38" s="1"/>
  <c r="BJ13" i="38"/>
  <c r="BR13" i="38" s="1"/>
  <c r="BV13" i="38"/>
  <c r="CD13" i="38" s="1"/>
  <c r="AO66" i="38"/>
  <c r="CL66" i="38"/>
  <c r="CM66" i="38" s="1"/>
  <c r="AX94" i="38"/>
  <c r="BJ94" i="38"/>
  <c r="BV94" i="38"/>
  <c r="CP47" i="38"/>
  <c r="BG66" i="38"/>
  <c r="CK4" i="38"/>
  <c r="M24" i="38"/>
  <c r="M27" i="38"/>
  <c r="M30" i="38"/>
  <c r="M33" i="38"/>
  <c r="M36" i="38"/>
  <c r="M38" i="38"/>
  <c r="M41" i="38"/>
  <c r="M45" i="38"/>
  <c r="BS66" i="38"/>
  <c r="P35" i="36"/>
  <c r="R35" i="36"/>
  <c r="AA35" i="36"/>
  <c r="AA36" i="36"/>
  <c r="AB35" i="36"/>
  <c r="AD35" i="36"/>
  <c r="AA24" i="36"/>
  <c r="AD32" i="36"/>
  <c r="AF24" i="36"/>
  <c r="AF28" i="36"/>
  <c r="AF32" i="36"/>
  <c r="AF36" i="36"/>
  <c r="AM20" i="36"/>
  <c r="AM24" i="36"/>
  <c r="AM28" i="36"/>
  <c r="AM32" i="36"/>
  <c r="AM36" i="36"/>
  <c r="AM40" i="36"/>
  <c r="AP36" i="36"/>
  <c r="AP32" i="36"/>
  <c r="AP28" i="36"/>
  <c r="AP24" i="36"/>
  <c r="AP20" i="36"/>
  <c r="AQ35" i="36"/>
  <c r="P27" i="36"/>
  <c r="Q28" i="36"/>
  <c r="R31" i="36"/>
  <c r="S40" i="36"/>
  <c r="S35" i="36"/>
  <c r="S31" i="36"/>
  <c r="S27" i="36"/>
  <c r="S23" i="36"/>
  <c r="T23" i="36"/>
  <c r="T35" i="36"/>
  <c r="AA19" i="36"/>
  <c r="AA27" i="36"/>
  <c r="AA28" i="36"/>
  <c r="AB31" i="36"/>
  <c r="AC23" i="36"/>
  <c r="AD31" i="36"/>
  <c r="AD19" i="36"/>
  <c r="AE35" i="36"/>
  <c r="AE27" i="36"/>
  <c r="AE19" i="36"/>
  <c r="AF23" i="36"/>
  <c r="AF27" i="36"/>
  <c r="AF31" i="36"/>
  <c r="AF35" i="36"/>
  <c r="AF40" i="36"/>
  <c r="AM19" i="36"/>
  <c r="AM23" i="36"/>
  <c r="AM27" i="36"/>
  <c r="AM31" i="36"/>
  <c r="AM35" i="36"/>
  <c r="AO40" i="36"/>
  <c r="AO35" i="36"/>
  <c r="AO31" i="36"/>
  <c r="AO27" i="36"/>
  <c r="AO23" i="36"/>
  <c r="AO19" i="36"/>
  <c r="AQ40" i="36"/>
  <c r="AQ36" i="36"/>
  <c r="AQ32" i="36"/>
  <c r="AQ28" i="36"/>
  <c r="AQ24" i="36"/>
  <c r="AQ20" i="36"/>
  <c r="P19" i="36"/>
  <c r="P28" i="36"/>
  <c r="R19" i="36"/>
  <c r="S36" i="36"/>
  <c r="S32" i="36"/>
  <c r="S28" i="36"/>
  <c r="S24" i="36"/>
  <c r="S20" i="36"/>
  <c r="T27" i="36"/>
  <c r="AA31" i="36"/>
  <c r="AB27" i="36"/>
  <c r="AC35" i="36"/>
  <c r="AD27" i="36"/>
  <c r="P20" i="36"/>
  <c r="AB28" i="36"/>
  <c r="AD36" i="36"/>
  <c r="AO36" i="36"/>
  <c r="AO32" i="36"/>
  <c r="AO28" i="36"/>
  <c r="AO24" i="36"/>
  <c r="AO20" i="36"/>
  <c r="AC17" i="36"/>
  <c r="AF17" i="36"/>
  <c r="AM17" i="36"/>
  <c r="AD17" i="36"/>
  <c r="AA17" i="36"/>
  <c r="AN17" i="36"/>
  <c r="AP17" i="36"/>
  <c r="AQ17" i="36"/>
  <c r="N31" i="37"/>
  <c r="N23" i="37"/>
  <c r="AN39" i="36"/>
  <c r="AO39" i="36"/>
  <c r="AP39" i="36"/>
  <c r="AR39" i="36"/>
  <c r="AC39" i="36"/>
  <c r="P39" i="36"/>
  <c r="P22" i="36"/>
  <c r="AB22" i="36"/>
  <c r="AC22" i="36"/>
  <c r="AD22" i="36"/>
  <c r="AA22" i="36"/>
  <c r="BK23" i="33"/>
  <c r="AX23" i="33"/>
  <c r="AA20" i="36"/>
  <c r="AF20" i="36"/>
  <c r="S19" i="36"/>
  <c r="T19" i="36"/>
  <c r="AX22" i="33"/>
  <c r="AY22" i="33"/>
  <c r="BK22" i="33"/>
  <c r="BB21" i="33"/>
  <c r="N36" i="37"/>
  <c r="CB8" i="37"/>
  <c r="N30" i="37"/>
  <c r="N32" i="37"/>
  <c r="N35" i="37"/>
  <c r="N41" i="37"/>
  <c r="N25" i="37"/>
  <c r="N24" i="37"/>
  <c r="S39" i="36"/>
  <c r="T39" i="36"/>
  <c r="AA39" i="36"/>
  <c r="AB39" i="36"/>
  <c r="AE39" i="36"/>
  <c r="BZ6" i="36"/>
  <c r="AF39" i="36"/>
  <c r="R39" i="36"/>
  <c r="W65" i="36"/>
  <c r="BO61" i="36"/>
  <c r="BO48" i="36"/>
  <c r="BG48" i="36"/>
  <c r="BG51" i="36"/>
  <c r="BG55" i="36"/>
  <c r="O30" i="36"/>
  <c r="P36" i="36"/>
  <c r="P26" i="36"/>
  <c r="R38" i="36"/>
  <c r="R22" i="36"/>
  <c r="T30" i="36"/>
  <c r="AA26" i="36"/>
  <c r="AA32" i="36"/>
  <c r="AE40" i="36"/>
  <c r="AE36" i="36"/>
  <c r="AE32" i="36"/>
  <c r="AE28" i="36"/>
  <c r="AE24" i="36"/>
  <c r="AE20" i="36"/>
  <c r="AB40" i="36"/>
  <c r="AB36" i="36"/>
  <c r="AB32" i="36"/>
  <c r="AB24" i="36"/>
  <c r="AB20" i="36"/>
  <c r="AC40" i="36"/>
  <c r="AC36" i="36"/>
  <c r="AC32" i="36"/>
  <c r="AC28" i="36"/>
  <c r="AC24" i="36"/>
  <c r="AC20" i="36"/>
  <c r="AD40" i="36"/>
  <c r="AD28" i="36"/>
  <c r="AD24" i="36"/>
  <c r="AD20" i="36"/>
  <c r="Q22" i="36"/>
  <c r="P30" i="36"/>
  <c r="R30" i="36"/>
  <c r="T22" i="36"/>
  <c r="T38" i="36"/>
  <c r="AA18" i="36"/>
  <c r="AA34" i="36"/>
  <c r="AE17" i="36"/>
  <c r="BP3" i="37"/>
  <c r="BI8" i="37"/>
  <c r="N26" i="37"/>
  <c r="N27" i="37"/>
  <c r="N28" i="37"/>
  <c r="N29" i="37"/>
  <c r="N38" i="37"/>
  <c r="N42" i="37"/>
  <c r="N43" i="37"/>
  <c r="N44" i="37"/>
  <c r="BU46" i="37"/>
  <c r="N39" i="37"/>
  <c r="N33" i="37"/>
  <c r="N34" i="37"/>
  <c r="N37" i="37"/>
  <c r="N40" i="37"/>
  <c r="AX65" i="37"/>
  <c r="AX73" i="37"/>
  <c r="Z65" i="37"/>
  <c r="BJ69" i="37"/>
  <c r="BQ69" i="37"/>
  <c r="BP22" i="37"/>
  <c r="BP24" i="37"/>
  <c r="K7" i="37"/>
  <c r="K8" i="37" s="1"/>
  <c r="CC4" i="37"/>
  <c r="I76" i="37"/>
  <c r="I78" i="37"/>
  <c r="U11" i="37"/>
  <c r="U12" i="37" s="1"/>
  <c r="AX58" i="37"/>
  <c r="Z58" i="37"/>
  <c r="BQ58" i="37"/>
  <c r="BJ58" i="37"/>
  <c r="AL58" i="37"/>
  <c r="BT81" i="37"/>
  <c r="BU81" i="37" s="1"/>
  <c r="K5" i="37"/>
  <c r="CE36" i="37"/>
  <c r="CE37" i="37"/>
  <c r="CE34" i="37"/>
  <c r="BP34" i="37"/>
  <c r="AA9" i="37"/>
  <c r="AK8" i="37"/>
  <c r="BK8" i="37"/>
  <c r="BK9" i="37" s="1"/>
  <c r="BR8" i="37"/>
  <c r="BR9" i="37" s="1"/>
  <c r="BP28" i="37"/>
  <c r="BP33" i="37"/>
  <c r="K61" i="37"/>
  <c r="BQ52" i="37"/>
  <c r="BJ52" i="37"/>
  <c r="AX52" i="37"/>
  <c r="BQ55" i="37"/>
  <c r="BJ55" i="37"/>
  <c r="AX55" i="37"/>
  <c r="BQ70" i="37"/>
  <c r="Z70" i="37"/>
  <c r="AL70" i="37"/>
  <c r="AX70" i="37"/>
  <c r="BJ70" i="37"/>
  <c r="AW8" i="37"/>
  <c r="BP27" i="37"/>
  <c r="Y22" i="37"/>
  <c r="AK22" i="37"/>
  <c r="AW22" i="37"/>
  <c r="BP30" i="37"/>
  <c r="CE35" i="37"/>
  <c r="Z52" i="37"/>
  <c r="G74" i="37"/>
  <c r="Z55" i="37"/>
  <c r="BP41" i="37"/>
  <c r="AX54" i="37"/>
  <c r="Z54" i="37"/>
  <c r="BP38" i="37"/>
  <c r="BP39" i="37"/>
  <c r="BP40" i="37"/>
  <c r="BP42" i="37"/>
  <c r="F74" i="37"/>
  <c r="Z57" i="37"/>
  <c r="BI82" i="37"/>
  <c r="BQ68" i="37"/>
  <c r="Z68" i="37"/>
  <c r="AL68" i="37"/>
  <c r="AX68" i="37"/>
  <c r="BP43" i="37"/>
  <c r="Z53" i="37"/>
  <c r="AL54" i="37"/>
  <c r="AL57" i="37"/>
  <c r="AX57" i="37"/>
  <c r="BJ59" i="37"/>
  <c r="AL59" i="37"/>
  <c r="BQ59" i="37"/>
  <c r="BP44" i="37"/>
  <c r="AL53" i="37"/>
  <c r="BJ54" i="37"/>
  <c r="BQ54" i="37"/>
  <c r="BJ57" i="37"/>
  <c r="Z59" i="37"/>
  <c r="Y82" i="37"/>
  <c r="E50" i="37"/>
  <c r="H74" i="37"/>
  <c r="AL56" i="37"/>
  <c r="BJ60" i="37"/>
  <c r="Z66" i="37"/>
  <c r="Z72" i="37"/>
  <c r="BP82" i="37"/>
  <c r="N72" i="37"/>
  <c r="N68" i="37"/>
  <c r="N65" i="37"/>
  <c r="N70" i="37"/>
  <c r="N66" i="37"/>
  <c r="AW81" i="37"/>
  <c r="AW82" i="37"/>
  <c r="AX60" i="37"/>
  <c r="BJ66" i="37"/>
  <c r="BJ72" i="37"/>
  <c r="AK82" i="37"/>
  <c r="C99" i="37"/>
  <c r="C100" i="37" s="1"/>
  <c r="BQ65" i="37"/>
  <c r="K74" i="37"/>
  <c r="H82" i="37"/>
  <c r="E90" i="37"/>
  <c r="K90" i="37" s="1"/>
  <c r="F82" i="37"/>
  <c r="AL60" i="37"/>
  <c r="BJ65" i="37"/>
  <c r="AX66" i="37"/>
  <c r="AX72" i="37"/>
  <c r="BI81" i="37"/>
  <c r="AL67" i="37"/>
  <c r="BJ67" i="37"/>
  <c r="AL71" i="37"/>
  <c r="BJ71" i="37"/>
  <c r="Z67" i="37"/>
  <c r="AL69" i="37"/>
  <c r="Z71" i="37"/>
  <c r="AL73" i="37"/>
  <c r="Y81" i="37"/>
  <c r="K19" i="36"/>
  <c r="K21" i="36"/>
  <c r="K26" i="36"/>
  <c r="K32" i="36"/>
  <c r="K39" i="36"/>
  <c r="K29" i="36"/>
  <c r="K20" i="36"/>
  <c r="K22" i="36"/>
  <c r="K35" i="36"/>
  <c r="K17" i="36"/>
  <c r="K27" i="36"/>
  <c r="K34" i="36"/>
  <c r="C42" i="36"/>
  <c r="E82" i="36" s="1"/>
  <c r="J82" i="36" s="1"/>
  <c r="K18" i="36"/>
  <c r="K24" i="36"/>
  <c r="K28" i="36"/>
  <c r="K30" i="36"/>
  <c r="K37" i="36"/>
  <c r="AU69" i="36"/>
  <c r="AU61" i="36"/>
  <c r="W69" i="36"/>
  <c r="Q32" i="36"/>
  <c r="T20" i="36"/>
  <c r="T24" i="36"/>
  <c r="T28" i="36"/>
  <c r="T32" i="36"/>
  <c r="T36" i="36"/>
  <c r="T40" i="36"/>
  <c r="P40" i="36"/>
  <c r="P32" i="36"/>
  <c r="P24" i="36"/>
  <c r="Q36" i="36"/>
  <c r="Q20" i="36"/>
  <c r="R40" i="36"/>
  <c r="R36" i="36"/>
  <c r="R32" i="36"/>
  <c r="R28" i="36"/>
  <c r="R24" i="36"/>
  <c r="R20" i="36"/>
  <c r="O20" i="36"/>
  <c r="Q40" i="36"/>
  <c r="Q24" i="36"/>
  <c r="P17" i="36"/>
  <c r="R17" i="36"/>
  <c r="S17" i="36"/>
  <c r="T17" i="36"/>
  <c r="AH6" i="36"/>
  <c r="AJ7" i="36" s="1"/>
  <c r="V77" i="36"/>
  <c r="K31" i="36"/>
  <c r="K33" i="36"/>
  <c r="K23" i="36"/>
  <c r="K25" i="36"/>
  <c r="K36" i="36"/>
  <c r="K38" i="36"/>
  <c r="K40" i="36"/>
  <c r="BS42" i="36"/>
  <c r="AT3" i="36"/>
  <c r="Q39" i="36"/>
  <c r="Q35" i="36"/>
  <c r="Q31" i="36"/>
  <c r="Q27" i="36"/>
  <c r="Q23" i="36"/>
  <c r="Q19" i="36"/>
  <c r="K51" i="36"/>
  <c r="Q37" i="36"/>
  <c r="Q33" i="36"/>
  <c r="Q29" i="36"/>
  <c r="Q25" i="36"/>
  <c r="Q21" i="36"/>
  <c r="Q17" i="36"/>
  <c r="G70" i="36"/>
  <c r="G72" i="36" s="1"/>
  <c r="O78" i="36"/>
  <c r="V78" i="36" s="1"/>
  <c r="Q30" i="36"/>
  <c r="BX5" i="36"/>
  <c r="AR20" i="33"/>
  <c r="AR22" i="33"/>
  <c r="BK20" i="33"/>
  <c r="AX20" i="33"/>
  <c r="AY20" i="33"/>
  <c r="BG63" i="36"/>
  <c r="BG65" i="36"/>
  <c r="BO67" i="36"/>
  <c r="BO69" i="36"/>
  <c r="AI48" i="36"/>
  <c r="W48" i="36"/>
  <c r="CC25" i="36"/>
  <c r="BN7" i="36"/>
  <c r="AU4" i="36"/>
  <c r="AT7" i="36"/>
  <c r="J42" i="36"/>
  <c r="BN32" i="36"/>
  <c r="O21" i="36"/>
  <c r="O23" i="36"/>
  <c r="BN25" i="36"/>
  <c r="O31" i="36"/>
  <c r="O38" i="36"/>
  <c r="O40" i="36"/>
  <c r="O17" i="36"/>
  <c r="O27" i="36"/>
  <c r="O32" i="36"/>
  <c r="O25" i="36"/>
  <c r="BN26" i="36"/>
  <c r="BN31" i="36"/>
  <c r="BF32" i="36"/>
  <c r="O33" i="36"/>
  <c r="W4" i="36"/>
  <c r="AI4" i="36"/>
  <c r="AY82" i="36"/>
  <c r="AX11" i="36"/>
  <c r="AZ82" i="36"/>
  <c r="CA4" i="36"/>
  <c r="J5" i="36"/>
  <c r="O35" i="36"/>
  <c r="O36" i="36"/>
  <c r="V3" i="36"/>
  <c r="AH3" i="36"/>
  <c r="BN3" i="36"/>
  <c r="O22" i="36"/>
  <c r="BO64" i="36"/>
  <c r="AU64" i="36"/>
  <c r="W64" i="36"/>
  <c r="BG64" i="36"/>
  <c r="O28" i="36"/>
  <c r="BG4" i="36"/>
  <c r="AH78" i="36"/>
  <c r="AT78" i="36"/>
  <c r="O24" i="36"/>
  <c r="BN19" i="36"/>
  <c r="BN30" i="36"/>
  <c r="BN33" i="36"/>
  <c r="BN34" i="36"/>
  <c r="AI64" i="36"/>
  <c r="BN27" i="36"/>
  <c r="O19" i="36"/>
  <c r="BO68" i="36"/>
  <c r="AU68" i="36"/>
  <c r="W68" i="36"/>
  <c r="E74" i="36"/>
  <c r="K61" i="36"/>
  <c r="K69" i="36"/>
  <c r="K67" i="36"/>
  <c r="K65" i="36"/>
  <c r="K68" i="36"/>
  <c r="K66" i="36"/>
  <c r="K64" i="36"/>
  <c r="K62" i="36"/>
  <c r="K63" i="36"/>
  <c r="AI68" i="36"/>
  <c r="BG68" i="36"/>
  <c r="BO50" i="36"/>
  <c r="AU50" i="36"/>
  <c r="W50" i="36"/>
  <c r="BO52" i="36"/>
  <c r="AU52" i="36"/>
  <c r="W52" i="36"/>
  <c r="BO54" i="36"/>
  <c r="AU54" i="36"/>
  <c r="W54" i="36"/>
  <c r="BO56" i="36"/>
  <c r="AU56" i="36"/>
  <c r="W56" i="36"/>
  <c r="BO62" i="36"/>
  <c r="AU62" i="36"/>
  <c r="W62" i="36"/>
  <c r="AI62" i="36"/>
  <c r="J78" i="36"/>
  <c r="K95" i="36"/>
  <c r="K96" i="36" s="1"/>
  <c r="F70" i="36"/>
  <c r="J57" i="36"/>
  <c r="BN39" i="36"/>
  <c r="O39" i="36"/>
  <c r="BO66" i="36"/>
  <c r="AU66" i="36"/>
  <c r="W66" i="36"/>
  <c r="AI66" i="36"/>
  <c r="AT25" i="36"/>
  <c r="O29" i="36"/>
  <c r="BF31" i="36"/>
  <c r="AT33" i="36"/>
  <c r="O37" i="36"/>
  <c r="I70" i="36"/>
  <c r="AI50" i="36"/>
  <c r="AI52" i="36"/>
  <c r="AI54" i="36"/>
  <c r="AI56" i="36"/>
  <c r="BG62" i="36"/>
  <c r="E72" i="36"/>
  <c r="G78" i="36"/>
  <c r="E86" i="36"/>
  <c r="J86" i="36" s="1"/>
  <c r="H78" i="36"/>
  <c r="F78" i="36"/>
  <c r="AI49" i="36"/>
  <c r="H70" i="36"/>
  <c r="AI51" i="36"/>
  <c r="AI53" i="36"/>
  <c r="AI55" i="36"/>
  <c r="J70" i="36"/>
  <c r="BR77" i="36"/>
  <c r="BS77" i="36" s="1"/>
  <c r="AH77" i="36"/>
  <c r="AT77" i="36"/>
  <c r="BN78" i="36"/>
  <c r="C95" i="36"/>
  <c r="C96" i="36" s="1"/>
  <c r="AI61" i="36"/>
  <c r="BG61" i="36"/>
  <c r="BF77" i="36"/>
  <c r="AI63" i="36"/>
  <c r="AI65" i="36"/>
  <c r="AI67" i="36"/>
  <c r="AI69" i="36"/>
  <c r="BA35" i="33"/>
  <c r="BA18" i="33"/>
  <c r="BA22" i="33"/>
  <c r="BA26" i="33"/>
  <c r="BA30" i="33"/>
  <c r="BA34" i="33"/>
  <c r="BA38" i="33"/>
  <c r="BB38" i="33"/>
  <c r="BB34" i="33"/>
  <c r="BB30" i="33"/>
  <c r="BB26" i="33"/>
  <c r="BB22" i="33"/>
  <c r="BB18" i="33"/>
  <c r="BC39" i="33"/>
  <c r="BC35" i="33"/>
  <c r="BC31" i="33"/>
  <c r="BC27" i="33"/>
  <c r="BC23" i="33"/>
  <c r="BC19" i="33"/>
  <c r="BD18" i="33"/>
  <c r="BD22" i="33"/>
  <c r="BD26" i="33"/>
  <c r="BD30" i="33"/>
  <c r="BD34" i="33"/>
  <c r="BD38" i="33"/>
  <c r="BJ21" i="33"/>
  <c r="BJ25" i="33"/>
  <c r="BJ29" i="33"/>
  <c r="BJ33" i="33"/>
  <c r="BJ37" i="33"/>
  <c r="BJ41" i="33"/>
  <c r="BA23" i="33"/>
  <c r="BA31" i="33"/>
  <c r="BA21" i="33"/>
  <c r="BA25" i="33"/>
  <c r="BA29" i="33"/>
  <c r="BA33" i="33"/>
  <c r="BA37" i="33"/>
  <c r="BA41" i="33"/>
  <c r="BB39" i="33"/>
  <c r="BB35" i="33"/>
  <c r="BB31" i="33"/>
  <c r="BB27" i="33"/>
  <c r="BB23" i="33"/>
  <c r="BB19" i="33"/>
  <c r="BC40" i="33"/>
  <c r="BC36" i="33"/>
  <c r="BC32" i="33"/>
  <c r="BC28" i="33"/>
  <c r="BC24" i="33"/>
  <c r="BC20" i="33"/>
  <c r="BD21" i="33"/>
  <c r="BD25" i="33"/>
  <c r="BD29" i="33"/>
  <c r="BD33" i="33"/>
  <c r="BD37" i="33"/>
  <c r="BD41" i="33"/>
  <c r="BJ20" i="33"/>
  <c r="BJ24" i="33"/>
  <c r="BJ28" i="33"/>
  <c r="BJ32" i="33"/>
  <c r="BJ36" i="33"/>
  <c r="BJ40" i="33"/>
  <c r="BA19" i="33"/>
  <c r="BA27" i="33"/>
  <c r="BA39" i="33"/>
  <c r="AY18" i="33"/>
  <c r="AY26" i="33"/>
  <c r="BA20" i="33"/>
  <c r="BA24" i="33"/>
  <c r="BA28" i="33"/>
  <c r="BA32" i="33"/>
  <c r="BA36" i="33"/>
  <c r="BA40" i="33"/>
  <c r="BB40" i="33"/>
  <c r="BB36" i="33"/>
  <c r="BB32" i="33"/>
  <c r="BB28" i="33"/>
  <c r="BB24" i="33"/>
  <c r="BB20" i="33"/>
  <c r="BC41" i="33"/>
  <c r="BC37" i="33"/>
  <c r="BC33" i="33"/>
  <c r="BC29" i="33"/>
  <c r="BC25" i="33"/>
  <c r="BC21" i="33"/>
  <c r="BJ19" i="33"/>
  <c r="BJ23" i="33"/>
  <c r="BJ27" i="33"/>
  <c r="BJ31" i="33"/>
  <c r="BJ35" i="33"/>
  <c r="BJ39" i="33"/>
  <c r="BC38" i="33"/>
  <c r="BC34" i="33"/>
  <c r="BC30" i="33"/>
  <c r="BC26" i="33"/>
  <c r="BC22" i="33"/>
  <c r="BC18" i="33"/>
  <c r="BD19" i="33"/>
  <c r="BD23" i="33"/>
  <c r="BD27" i="33"/>
  <c r="BD31" i="33"/>
  <c r="BD35" i="33"/>
  <c r="BD39" i="33"/>
  <c r="BJ18" i="33"/>
  <c r="AD79" i="33"/>
  <c r="AR19" i="33"/>
  <c r="AR23" i="33"/>
  <c r="AR27" i="33"/>
  <c r="AR31" i="33"/>
  <c r="AR35" i="33"/>
  <c r="AR39" i="33"/>
  <c r="AR21" i="33"/>
  <c r="AR25" i="33"/>
  <c r="AR29" i="33"/>
  <c r="AR33" i="33"/>
  <c r="AR37" i="33"/>
  <c r="AR41" i="33"/>
  <c r="AR18" i="33"/>
  <c r="AR3" i="33"/>
  <c r="BZ3" i="33"/>
  <c r="AQ18" i="33"/>
  <c r="AQ19" i="33"/>
  <c r="AQ20" i="33"/>
  <c r="AQ21" i="33"/>
  <c r="AQ22" i="33"/>
  <c r="AQ23" i="33"/>
  <c r="AQ24" i="33"/>
  <c r="AQ25" i="33"/>
  <c r="AQ26" i="33"/>
  <c r="AQ27" i="33"/>
  <c r="AQ28" i="33"/>
  <c r="AQ29" i="33"/>
  <c r="AQ30" i="33"/>
  <c r="AQ31" i="33"/>
  <c r="AQ32" i="33"/>
  <c r="AQ33" i="33"/>
  <c r="AQ34" i="33"/>
  <c r="AQ35" i="33"/>
  <c r="AQ36" i="33"/>
  <c r="AQ37" i="33"/>
  <c r="AQ38" i="33"/>
  <c r="AQ39" i="33"/>
  <c r="AQ40" i="33"/>
  <c r="AQ41" i="33"/>
  <c r="BQ39" i="37" l="1"/>
  <c r="BR39" i="37" s="1"/>
  <c r="E8" i="37"/>
  <c r="N8" i="37"/>
  <c r="BR78" i="36"/>
  <c r="BS78" i="36" s="1"/>
  <c r="AT23" i="36"/>
  <c r="BQ21" i="37"/>
  <c r="BQ22" i="37"/>
  <c r="BR22" i="37" s="1"/>
  <c r="BQ30" i="37"/>
  <c r="BR30" i="37" s="1"/>
  <c r="AT31" i="36"/>
  <c r="BQ41" i="37"/>
  <c r="BR41" i="37" s="1"/>
  <c r="E87" i="38"/>
  <c r="V25" i="36"/>
  <c r="AY43" i="33"/>
  <c r="BL42" i="36"/>
  <c r="BL10" i="36" s="1"/>
  <c r="BL11" i="36" s="1"/>
  <c r="BL46" i="36" s="1"/>
  <c r="AH18" i="36"/>
  <c r="BF34" i="36"/>
  <c r="AT30" i="36"/>
  <c r="BF33" i="36"/>
  <c r="BD42" i="36"/>
  <c r="N61" i="37"/>
  <c r="E7" i="37"/>
  <c r="CD4" i="37" s="1"/>
  <c r="DF8" i="38"/>
  <c r="CW35" i="38"/>
  <c r="DQ1" i="38"/>
  <c r="CW37" i="38"/>
  <c r="CW38" i="38"/>
  <c r="AR6" i="38"/>
  <c r="AS6" i="38" s="1"/>
  <c r="AS8" i="38" s="1"/>
  <c r="I49" i="38"/>
  <c r="G74" i="36"/>
  <c r="V33" i="36"/>
  <c r="BK43" i="33"/>
  <c r="BQ32" i="37"/>
  <c r="BG6" i="38"/>
  <c r="BH6" i="38" s="1"/>
  <c r="BH8" i="38" s="1"/>
  <c r="AO6" i="38"/>
  <c r="J75" i="38"/>
  <c r="BC42" i="36"/>
  <c r="BC10" i="36" s="1"/>
  <c r="N74" i="37"/>
  <c r="K57" i="36"/>
  <c r="AH27" i="36"/>
  <c r="AT32" i="36"/>
  <c r="CC1" i="37"/>
  <c r="BQ33" i="37"/>
  <c r="BR33" i="37" s="1"/>
  <c r="BJ42" i="37"/>
  <c r="BQ43" i="37"/>
  <c r="BR43" i="37" s="1"/>
  <c r="BQ36" i="37"/>
  <c r="BJ31" i="37"/>
  <c r="AL27" i="37"/>
  <c r="AL39" i="37"/>
  <c r="AL24" i="37"/>
  <c r="AL44" i="37"/>
  <c r="DH6" i="38"/>
  <c r="DR5" i="38"/>
  <c r="F56" i="38"/>
  <c r="J56" i="38" s="1"/>
  <c r="F82" i="38"/>
  <c r="S82" i="38" s="1"/>
  <c r="CB3" i="37"/>
  <c r="N7" i="37"/>
  <c r="F57" i="38"/>
  <c r="J57" i="38" s="1"/>
  <c r="F60" i="38"/>
  <c r="J60" i="38" s="1"/>
  <c r="F54" i="38"/>
  <c r="J54" i="38" s="1"/>
  <c r="AN9" i="38"/>
  <c r="AO34" i="38" s="1"/>
  <c r="AP34" i="38" s="1"/>
  <c r="CR8" i="38"/>
  <c r="F59" i="38"/>
  <c r="J59" i="38" s="1"/>
  <c r="BS22" i="38"/>
  <c r="BT22" i="38" s="1"/>
  <c r="BT47" i="38" s="1"/>
  <c r="CL31" i="38"/>
  <c r="CM31" i="38" s="1"/>
  <c r="F58" i="38"/>
  <c r="J58" i="38" s="1"/>
  <c r="F53" i="38"/>
  <c r="J53" i="38" s="1"/>
  <c r="E12" i="38"/>
  <c r="BQ37" i="37"/>
  <c r="AL38" i="37"/>
  <c r="AL25" i="37"/>
  <c r="BQ23" i="37"/>
  <c r="BQ34" i="37"/>
  <c r="BR34" i="37" s="1"/>
  <c r="BQ35" i="37"/>
  <c r="BQ29" i="37"/>
  <c r="Z26" i="37"/>
  <c r="Z28" i="37"/>
  <c r="AR42" i="36"/>
  <c r="AR10" i="36" s="1"/>
  <c r="AR11" i="36" s="1"/>
  <c r="AR46" i="36" s="1"/>
  <c r="BO31" i="36"/>
  <c r="BP31" i="36" s="1"/>
  <c r="BG5" i="36"/>
  <c r="BO5" i="36"/>
  <c r="AA42" i="36"/>
  <c r="AA10" i="36" s="1"/>
  <c r="AA11" i="36" s="1"/>
  <c r="AA46" i="36" s="1"/>
  <c r="AL35" i="37"/>
  <c r="BO27" i="36"/>
  <c r="BP27" i="36" s="1"/>
  <c r="BO26" i="36"/>
  <c r="BP26" i="36" s="1"/>
  <c r="BO22" i="36"/>
  <c r="BO36" i="36"/>
  <c r="BO17" i="36"/>
  <c r="BO21" i="36"/>
  <c r="BG57" i="36"/>
  <c r="BA42" i="36"/>
  <c r="BA10" i="36" s="1"/>
  <c r="V31" i="36"/>
  <c r="AT40" i="36"/>
  <c r="AH23" i="36"/>
  <c r="BB42" i="36"/>
  <c r="BB10" i="36" s="1"/>
  <c r="BB11" i="36" s="1"/>
  <c r="BB46" i="36" s="1"/>
  <c r="AM42" i="36"/>
  <c r="AM10" i="36" s="1"/>
  <c r="AM11" i="36" s="1"/>
  <c r="AM46" i="36" s="1"/>
  <c r="BF17" i="36"/>
  <c r="F55" i="38"/>
  <c r="J55" i="38" s="1"/>
  <c r="BS34" i="38"/>
  <c r="BT34" i="38" s="1"/>
  <c r="I51" i="38"/>
  <c r="BG35" i="38"/>
  <c r="BH35" i="38" s="1"/>
  <c r="DE2" i="38"/>
  <c r="BS28" i="38"/>
  <c r="BT28" i="38" s="1"/>
  <c r="CL37" i="38"/>
  <c r="CM37" i="38" s="1"/>
  <c r="DI2" i="38"/>
  <c r="BS35" i="38"/>
  <c r="BT35" i="38" s="1"/>
  <c r="BS37" i="38"/>
  <c r="BT37" i="38" s="1"/>
  <c r="F87" i="38"/>
  <c r="J87" i="38" s="1"/>
  <c r="N87" i="38" s="1"/>
  <c r="DI6" i="38"/>
  <c r="J8" i="38"/>
  <c r="DJ9" i="38" s="1"/>
  <c r="CY9" i="38"/>
  <c r="CY10" i="38" s="1"/>
  <c r="AR28" i="38"/>
  <c r="AS28" i="38" s="1"/>
  <c r="BG45" i="38"/>
  <c r="BH45" i="38" s="1"/>
  <c r="BS43" i="38"/>
  <c r="BT43" i="38" s="1"/>
  <c r="DT4" i="38"/>
  <c r="BG39" i="38"/>
  <c r="BH39" i="38" s="1"/>
  <c r="BG30" i="38"/>
  <c r="BH30" i="38" s="1"/>
  <c r="BG29" i="38"/>
  <c r="BH29" i="38" s="1"/>
  <c r="BS42" i="38"/>
  <c r="BT42" i="38" s="1"/>
  <c r="CE26" i="38"/>
  <c r="CF26" i="38" s="1"/>
  <c r="CL24" i="38"/>
  <c r="CM24" i="38" s="1"/>
  <c r="BS39" i="38"/>
  <c r="BT39" i="38" s="1"/>
  <c r="BS31" i="38"/>
  <c r="BT31" i="38" s="1"/>
  <c r="AR45" i="38"/>
  <c r="AS45" i="38" s="1"/>
  <c r="CL34" i="38"/>
  <c r="CM34" i="38" s="1"/>
  <c r="CV9" i="38"/>
  <c r="DJ1" i="38" s="1"/>
  <c r="DK1" i="38" s="1"/>
  <c r="CW8" i="38"/>
  <c r="CV16" i="38" s="1"/>
  <c r="BS23" i="38"/>
  <c r="BT23" i="38" s="1"/>
  <c r="BS38" i="38"/>
  <c r="BT38" i="38" s="1"/>
  <c r="CL27" i="38"/>
  <c r="CM27" i="38" s="1"/>
  <c r="BS25" i="38"/>
  <c r="BT25" i="38" s="1"/>
  <c r="BG22" i="38"/>
  <c r="BH22" i="38" s="1"/>
  <c r="BH47" i="38" s="1"/>
  <c r="CE6" i="38"/>
  <c r="CF6" i="38" s="1"/>
  <c r="CF8" i="38" s="1"/>
  <c r="M69" i="38"/>
  <c r="BG23" i="38"/>
  <c r="BH23" i="38" s="1"/>
  <c r="N73" i="38"/>
  <c r="N66" i="38"/>
  <c r="BG41" i="38"/>
  <c r="BH41" i="38" s="1"/>
  <c r="BG33" i="38"/>
  <c r="BH33" i="38" s="1"/>
  <c r="BG28" i="38"/>
  <c r="BH28" i="38" s="1"/>
  <c r="CL23" i="38"/>
  <c r="CM23" i="38" s="1"/>
  <c r="J21" i="38"/>
  <c r="AR31" i="38"/>
  <c r="AS31" i="38" s="1"/>
  <c r="N47" i="38"/>
  <c r="N68" i="38"/>
  <c r="N70" i="38"/>
  <c r="CE34" i="38"/>
  <c r="CF34" i="38" s="1"/>
  <c r="N72" i="38"/>
  <c r="J51" i="38"/>
  <c r="BS29" i="38"/>
  <c r="BT29" i="38" s="1"/>
  <c r="CL43" i="38"/>
  <c r="CM43" i="38" s="1"/>
  <c r="BG40" i="38"/>
  <c r="BH40" i="38" s="1"/>
  <c r="CE32" i="38"/>
  <c r="CF32" i="38" s="1"/>
  <c r="BG25" i="38"/>
  <c r="BH25" i="38" s="1"/>
  <c r="BG37" i="38"/>
  <c r="BH37" i="38" s="1"/>
  <c r="N67" i="38"/>
  <c r="I21" i="38"/>
  <c r="N71" i="38"/>
  <c r="N74" i="38"/>
  <c r="AQ22" i="38"/>
  <c r="AQ47" i="38" s="1"/>
  <c r="S47" i="38"/>
  <c r="S12" i="38" s="1"/>
  <c r="CE75" i="38"/>
  <c r="M68" i="38"/>
  <c r="M71" i="38"/>
  <c r="M74" i="38"/>
  <c r="M73" i="38"/>
  <c r="M72" i="38"/>
  <c r="M67" i="38"/>
  <c r="M70" i="38"/>
  <c r="AR26" i="38"/>
  <c r="AS26" i="38" s="1"/>
  <c r="AR30" i="38"/>
  <c r="AS30" i="38" s="1"/>
  <c r="AR34" i="38"/>
  <c r="AS34" i="38" s="1"/>
  <c r="AR38" i="38"/>
  <c r="AS38" i="38" s="1"/>
  <c r="AR43" i="38"/>
  <c r="AS43" i="38" s="1"/>
  <c r="AR22" i="38"/>
  <c r="AR25" i="38"/>
  <c r="AS25" i="38" s="1"/>
  <c r="AR29" i="38"/>
  <c r="AS29" i="38" s="1"/>
  <c r="AR33" i="38"/>
  <c r="AS33" i="38" s="1"/>
  <c r="AR37" i="38"/>
  <c r="AS37" i="38" s="1"/>
  <c r="AR41" i="38"/>
  <c r="AS41" i="38" s="1"/>
  <c r="AR23" i="38"/>
  <c r="AS23" i="38" s="1"/>
  <c r="AR40" i="38"/>
  <c r="AS40" i="38" s="1"/>
  <c r="AR27" i="38"/>
  <c r="AS27" i="38" s="1"/>
  <c r="AR44" i="38"/>
  <c r="AS44" i="38" s="1"/>
  <c r="AR36" i="38"/>
  <c r="AS36" i="38" s="1"/>
  <c r="AR42" i="38"/>
  <c r="AS42" i="38" s="1"/>
  <c r="AR39" i="38"/>
  <c r="AS39" i="38" s="1"/>
  <c r="AR32" i="38"/>
  <c r="AS32" i="38" s="1"/>
  <c r="AR35" i="38"/>
  <c r="AS35" i="38" s="1"/>
  <c r="AR24" i="38"/>
  <c r="AS24" i="38" s="1"/>
  <c r="CL28" i="38"/>
  <c r="CM28" i="38" s="1"/>
  <c r="CL25" i="38"/>
  <c r="CM25" i="38" s="1"/>
  <c r="CL39" i="38"/>
  <c r="CM39" i="38" s="1"/>
  <c r="CL35" i="38"/>
  <c r="CM35" i="38" s="1"/>
  <c r="CL22" i="38"/>
  <c r="CL47" i="38" s="1"/>
  <c r="CE35" i="38"/>
  <c r="CF35" i="38" s="1"/>
  <c r="CL42" i="38"/>
  <c r="CM42" i="38" s="1"/>
  <c r="CK94" i="38"/>
  <c r="CL36" i="38"/>
  <c r="CM36" i="38" s="1"/>
  <c r="BS32" i="38"/>
  <c r="BT32" i="38" s="1"/>
  <c r="CK96" i="38"/>
  <c r="BS40" i="38"/>
  <c r="BT40" i="38" s="1"/>
  <c r="BS26" i="38"/>
  <c r="BT26" i="38" s="1"/>
  <c r="CL40" i="38"/>
  <c r="CM40" i="38" s="1"/>
  <c r="CL29" i="38"/>
  <c r="CM29" i="38" s="1"/>
  <c r="CE31" i="38"/>
  <c r="CF31" i="38" s="1"/>
  <c r="CL44" i="38"/>
  <c r="CM44" i="38" s="1"/>
  <c r="CE23" i="38"/>
  <c r="CF23" i="38" s="1"/>
  <c r="CE43" i="38"/>
  <c r="CF43" i="38" s="1"/>
  <c r="BG34" i="38"/>
  <c r="BH34" i="38" s="1"/>
  <c r="BG31" i="38"/>
  <c r="BH31" i="38" s="1"/>
  <c r="BG43" i="38"/>
  <c r="BH43" i="38" s="1"/>
  <c r="BS30" i="38"/>
  <c r="BT30" i="38" s="1"/>
  <c r="CL32" i="38"/>
  <c r="CM32" i="38" s="1"/>
  <c r="CL26" i="38"/>
  <c r="CM26" i="38" s="1"/>
  <c r="CE42" i="38"/>
  <c r="CF42" i="38" s="1"/>
  <c r="BG42" i="38"/>
  <c r="BH42" i="38" s="1"/>
  <c r="BS41" i="38"/>
  <c r="BT41" i="38" s="1"/>
  <c r="CE25" i="38"/>
  <c r="CF25" i="38" s="1"/>
  <c r="CL6" i="38"/>
  <c r="BS6" i="38"/>
  <c r="CE40" i="38"/>
  <c r="CF40" i="38" s="1"/>
  <c r="BS27" i="38"/>
  <c r="BT27" i="38" s="1"/>
  <c r="BH66" i="38"/>
  <c r="BG75" i="38"/>
  <c r="BR94" i="38"/>
  <c r="BJ96" i="38"/>
  <c r="BR96" i="38" s="1"/>
  <c r="BS36" i="38"/>
  <c r="BT36" i="38" s="1"/>
  <c r="BS24" i="38"/>
  <c r="BT24" i="38" s="1"/>
  <c r="CE29" i="38"/>
  <c r="CF29" i="38" s="1"/>
  <c r="CE37" i="38"/>
  <c r="CF37" i="38" s="1"/>
  <c r="CE28" i="38"/>
  <c r="CF28" i="38" s="1"/>
  <c r="CE27" i="38"/>
  <c r="CF27" i="38" s="1"/>
  <c r="CE38" i="38"/>
  <c r="CF38" i="38" s="1"/>
  <c r="BG27" i="38"/>
  <c r="BH27" i="38" s="1"/>
  <c r="BG38" i="38"/>
  <c r="BH38" i="38" s="1"/>
  <c r="BG26" i="38"/>
  <c r="BH26" i="38" s="1"/>
  <c r="BG44" i="38"/>
  <c r="BH44" i="38" s="1"/>
  <c r="BT66" i="38"/>
  <c r="BS75" i="38"/>
  <c r="CD94" i="38"/>
  <c r="BV96" i="38"/>
  <c r="CD96" i="38" s="1"/>
  <c r="DH4" i="38"/>
  <c r="BS45" i="38"/>
  <c r="BT45" i="38" s="1"/>
  <c r="BS33" i="38"/>
  <c r="BT33" i="38" s="1"/>
  <c r="CL41" i="38"/>
  <c r="CM41" i="38" s="1"/>
  <c r="CL38" i="38"/>
  <c r="CM38" i="38" s="1"/>
  <c r="CE44" i="38"/>
  <c r="CF44" i="38" s="1"/>
  <c r="CE24" i="38"/>
  <c r="CF24" i="38" s="1"/>
  <c r="CE36" i="38"/>
  <c r="CF36" i="38" s="1"/>
  <c r="BG24" i="38"/>
  <c r="BH24" i="38" s="1"/>
  <c r="BG36" i="38"/>
  <c r="BH36" i="38" s="1"/>
  <c r="M47" i="38"/>
  <c r="BS44" i="38"/>
  <c r="BT44" i="38" s="1"/>
  <c r="CL45" i="38"/>
  <c r="CM45" i="38" s="1"/>
  <c r="CL33" i="38"/>
  <c r="CM33" i="38" s="1"/>
  <c r="CL30" i="38"/>
  <c r="CM30" i="38" s="1"/>
  <c r="CE33" i="38"/>
  <c r="CF33" i="38" s="1"/>
  <c r="CE45" i="38"/>
  <c r="CF45" i="38" s="1"/>
  <c r="BG32" i="38"/>
  <c r="BH32" i="38" s="1"/>
  <c r="CF66" i="38"/>
  <c r="BF94" i="38"/>
  <c r="AX96" i="38"/>
  <c r="BF96" i="38" s="1"/>
  <c r="R47" i="38"/>
  <c r="R12" i="38" s="1"/>
  <c r="AN12" i="38" s="1"/>
  <c r="CR12" i="38" s="1"/>
  <c r="CR22" i="38"/>
  <c r="AN47" i="38"/>
  <c r="AO75" i="38"/>
  <c r="CE22" i="38"/>
  <c r="CE39" i="38"/>
  <c r="CF39" i="38" s="1"/>
  <c r="CE30" i="38"/>
  <c r="CF30" i="38" s="1"/>
  <c r="CE41" i="38"/>
  <c r="CF41" i="38" s="1"/>
  <c r="AL41" i="37"/>
  <c r="AO42" i="36"/>
  <c r="AO10" i="36" s="1"/>
  <c r="AO11" i="36" s="1"/>
  <c r="AO46" i="36" s="1"/>
  <c r="AQ42" i="36"/>
  <c r="AQ10" i="36" s="1"/>
  <c r="AQ11" i="36" s="1"/>
  <c r="AQ46" i="36" s="1"/>
  <c r="S42" i="36"/>
  <c r="S10" i="36" s="1"/>
  <c r="S11" i="36" s="1"/>
  <c r="S46" i="36" s="1"/>
  <c r="S53" i="36" s="1"/>
  <c r="P42" i="36"/>
  <c r="P10" i="36" s="1"/>
  <c r="P11" i="36" s="1"/>
  <c r="P46" i="36" s="1"/>
  <c r="AN42" i="36"/>
  <c r="AN10" i="36" s="1"/>
  <c r="AN11" i="36" s="1"/>
  <c r="AN46" i="36" s="1"/>
  <c r="AP42" i="36"/>
  <c r="AP10" i="36" s="1"/>
  <c r="AP11" i="36" s="1"/>
  <c r="AP46" i="36" s="1"/>
  <c r="AL30" i="37"/>
  <c r="BQ26" i="37"/>
  <c r="BQ31" i="37"/>
  <c r="BJ36" i="37"/>
  <c r="BJ43" i="37"/>
  <c r="AI5" i="36"/>
  <c r="AU5" i="36"/>
  <c r="AT39" i="36"/>
  <c r="AB42" i="36"/>
  <c r="AB10" i="36" s="1"/>
  <c r="AB11" i="36" s="1"/>
  <c r="AB46" i="36" s="1"/>
  <c r="AC42" i="36"/>
  <c r="AC10" i="36" s="1"/>
  <c r="AC11" i="36" s="1"/>
  <c r="AC46" i="36" s="1"/>
  <c r="AU33" i="36"/>
  <c r="AV33" i="36" s="1"/>
  <c r="AU24" i="36"/>
  <c r="AU25" i="36"/>
  <c r="AV25" i="36" s="1"/>
  <c r="AU30" i="36"/>
  <c r="AV30" i="36" s="1"/>
  <c r="AU19" i="36"/>
  <c r="AU37" i="36"/>
  <c r="AD42" i="36"/>
  <c r="AD10" i="36" s="1"/>
  <c r="AD11" i="36" s="1"/>
  <c r="AD46" i="36" s="1"/>
  <c r="AF42" i="36"/>
  <c r="AF10" i="36" s="1"/>
  <c r="AF11" i="36" s="1"/>
  <c r="AF46" i="36" s="1"/>
  <c r="AU17" i="36"/>
  <c r="AX43" i="33"/>
  <c r="BQ38" i="37"/>
  <c r="BR38" i="37" s="1"/>
  <c r="BJ26" i="37"/>
  <c r="BQ27" i="37"/>
  <c r="BR27" i="37" s="1"/>
  <c r="AL29" i="37"/>
  <c r="AL21" i="37"/>
  <c r="BQ42" i="37"/>
  <c r="BR42" i="37" s="1"/>
  <c r="Z27" i="37"/>
  <c r="AL31" i="37"/>
  <c r="AX42" i="37"/>
  <c r="Z29" i="37"/>
  <c r="AL33" i="37"/>
  <c r="AL22" i="37"/>
  <c r="AM22" i="37" s="1"/>
  <c r="BQ28" i="37"/>
  <c r="BR28" i="37" s="1"/>
  <c r="AL23" i="37"/>
  <c r="AL28" i="37"/>
  <c r="BJ32" i="37"/>
  <c r="K82" i="36"/>
  <c r="BZ5" i="36"/>
  <c r="CA5" i="36" s="1"/>
  <c r="CB5" i="36" s="1"/>
  <c r="AU27" i="36"/>
  <c r="AU20" i="36"/>
  <c r="AU28" i="36"/>
  <c r="AU34" i="36"/>
  <c r="AU22" i="36"/>
  <c r="AU29" i="36"/>
  <c r="AU36" i="36"/>
  <c r="AE42" i="36"/>
  <c r="AE10" i="36" s="1"/>
  <c r="AE11" i="36" s="1"/>
  <c r="AE46" i="36" s="1"/>
  <c r="W5" i="36"/>
  <c r="BZ2" i="36"/>
  <c r="BZ3" i="36" s="1"/>
  <c r="BJ28" i="37"/>
  <c r="BJ22" i="37"/>
  <c r="BJ30" i="37"/>
  <c r="BJ39" i="37"/>
  <c r="BJ27" i="37"/>
  <c r="BJ41" i="37"/>
  <c r="BJ34" i="37"/>
  <c r="BJ37" i="37"/>
  <c r="BJ25" i="37"/>
  <c r="BJ29" i="37"/>
  <c r="BJ23" i="37"/>
  <c r="BJ21" i="37"/>
  <c r="BJ35" i="37"/>
  <c r="BJ33" i="37"/>
  <c r="BJ40" i="37"/>
  <c r="AX22" i="37"/>
  <c r="AY22" i="37" s="1"/>
  <c r="AL34" i="37"/>
  <c r="AL26" i="37"/>
  <c r="BQ25" i="37"/>
  <c r="BQ44" i="37"/>
  <c r="BR44" i="37" s="1"/>
  <c r="BJ24" i="37"/>
  <c r="BQ24" i="37"/>
  <c r="BR24" i="37" s="1"/>
  <c r="AL40" i="37"/>
  <c r="BQ40" i="37"/>
  <c r="BR40" i="37" s="1"/>
  <c r="BJ44" i="37"/>
  <c r="E86" i="37"/>
  <c r="CB5" i="37"/>
  <c r="BJ38" i="37"/>
  <c r="N46" i="37"/>
  <c r="Z74" i="37"/>
  <c r="AL74" i="37"/>
  <c r="AX74" i="37"/>
  <c r="AL61" i="37"/>
  <c r="K78" i="37"/>
  <c r="BI22" i="37"/>
  <c r="Z23" i="37"/>
  <c r="Z42" i="37"/>
  <c r="Z32" i="37"/>
  <c r="Z41" i="37"/>
  <c r="Z33" i="37"/>
  <c r="Z37" i="37"/>
  <c r="Z38" i="37"/>
  <c r="Z30" i="37"/>
  <c r="Z31" i="37"/>
  <c r="Z22" i="37"/>
  <c r="AA22" i="37" s="1"/>
  <c r="Z35" i="37"/>
  <c r="Z44" i="37"/>
  <c r="Z25" i="37"/>
  <c r="Z39" i="37"/>
  <c r="Z34" i="37"/>
  <c r="Z24" i="37"/>
  <c r="Z21" i="37"/>
  <c r="Z36" i="37"/>
  <c r="Z43" i="37"/>
  <c r="Z40" i="37"/>
  <c r="U86" i="37"/>
  <c r="G76" i="37"/>
  <c r="G78" i="37"/>
  <c r="F78" i="37"/>
  <c r="F76" i="37"/>
  <c r="BQ61" i="37"/>
  <c r="BQ74" i="37" s="1"/>
  <c r="E91" i="37"/>
  <c r="G89" i="37"/>
  <c r="H89" i="37"/>
  <c r="I89" i="37"/>
  <c r="F89" i="37"/>
  <c r="CE3" i="37"/>
  <c r="BT82" i="37"/>
  <c r="BU82" i="37" s="1"/>
  <c r="K76" i="37"/>
  <c r="AX30" i="37"/>
  <c r="AX41" i="37"/>
  <c r="BP35" i="37"/>
  <c r="AX27" i="37"/>
  <c r="AX35" i="37"/>
  <c r="AX33" i="37"/>
  <c r="BP26" i="37"/>
  <c r="AX24" i="37"/>
  <c r="AX21" i="37"/>
  <c r="BJ61" i="37"/>
  <c r="AX26" i="37"/>
  <c r="AX25" i="37"/>
  <c r="BW22" i="37"/>
  <c r="BX22" i="37" s="1"/>
  <c r="AL36" i="37"/>
  <c r="AL43" i="37"/>
  <c r="AL32" i="37"/>
  <c r="AX28" i="37"/>
  <c r="AX36" i="37"/>
  <c r="AX43" i="37"/>
  <c r="H90" i="37"/>
  <c r="I90" i="37"/>
  <c r="N90" i="37"/>
  <c r="F90" i="37"/>
  <c r="G90" i="37"/>
  <c r="H78" i="37"/>
  <c r="H76" i="37"/>
  <c r="BP21" i="37"/>
  <c r="AX39" i="37"/>
  <c r="AX29" i="37"/>
  <c r="AX44" i="37"/>
  <c r="BJ74" i="37"/>
  <c r="Z61" i="37"/>
  <c r="AX31" i="37"/>
  <c r="AX23" i="37"/>
  <c r="AX61" i="37"/>
  <c r="AX34" i="37"/>
  <c r="AL37" i="37"/>
  <c r="AL42" i="37"/>
  <c r="AX40" i="37"/>
  <c r="AX38" i="37"/>
  <c r="AX32" i="37"/>
  <c r="AX37" i="37"/>
  <c r="K42" i="36"/>
  <c r="K6" i="36"/>
  <c r="T42" i="36"/>
  <c r="V40" i="36"/>
  <c r="R42" i="36"/>
  <c r="R10" i="36" s="1"/>
  <c r="R11" i="36" s="1"/>
  <c r="R46" i="36" s="1"/>
  <c r="AH7" i="36"/>
  <c r="AI34" i="36" s="1"/>
  <c r="J16" i="36"/>
  <c r="K16" i="36" s="1"/>
  <c r="W57" i="36"/>
  <c r="AU18" i="36"/>
  <c r="Q42" i="36"/>
  <c r="Q10" i="36" s="1"/>
  <c r="Q11" i="36" s="1"/>
  <c r="Q46" i="36" s="1"/>
  <c r="BJ43" i="33"/>
  <c r="W70" i="36"/>
  <c r="BG70" i="36"/>
  <c r="J72" i="36"/>
  <c r="AU70" i="36"/>
  <c r="AI57" i="36"/>
  <c r="BO57" i="36"/>
  <c r="BO70" i="36" s="1"/>
  <c r="AU57" i="36"/>
  <c r="CC32" i="36"/>
  <c r="CC31" i="36"/>
  <c r="CC30" i="36"/>
  <c r="CC33" i="36"/>
  <c r="BO6" i="36"/>
  <c r="BO19" i="36"/>
  <c r="BP19" i="36" s="1"/>
  <c r="BO23" i="36"/>
  <c r="BO28" i="36"/>
  <c r="BO38" i="36"/>
  <c r="BP38" i="36" s="1"/>
  <c r="BO30" i="36"/>
  <c r="BP30" i="36" s="1"/>
  <c r="BO29" i="36"/>
  <c r="BP29" i="36" s="1"/>
  <c r="BO37" i="36"/>
  <c r="BP37" i="36" s="1"/>
  <c r="BO40" i="36"/>
  <c r="BO24" i="36"/>
  <c r="BP24" i="36" s="1"/>
  <c r="BO33" i="36"/>
  <c r="BP33" i="36" s="1"/>
  <c r="BO25" i="36"/>
  <c r="BP25" i="36" s="1"/>
  <c r="BO32" i="36"/>
  <c r="BP32" i="36" s="1"/>
  <c r="BO18" i="36"/>
  <c r="BP18" i="36" s="1"/>
  <c r="BO35" i="36"/>
  <c r="BO39" i="36"/>
  <c r="BP39" i="36" s="1"/>
  <c r="BO20" i="36"/>
  <c r="BO34" i="36"/>
  <c r="BP34" i="36" s="1"/>
  <c r="AU39" i="36"/>
  <c r="AV39" i="36" s="1"/>
  <c r="AU26" i="36"/>
  <c r="AU38" i="36"/>
  <c r="AV38" i="36" s="1"/>
  <c r="AU23" i="36"/>
  <c r="AV23" i="36" s="1"/>
  <c r="AU32" i="36"/>
  <c r="AV32" i="36" s="1"/>
  <c r="AU35" i="36"/>
  <c r="AU40" i="36"/>
  <c r="AU21" i="36"/>
  <c r="AU31" i="36"/>
  <c r="AV31" i="36" s="1"/>
  <c r="BU37" i="36"/>
  <c r="BV37" i="36" s="1"/>
  <c r="BU29" i="36"/>
  <c r="BV29" i="36" s="1"/>
  <c r="V37" i="36"/>
  <c r="V19" i="36"/>
  <c r="AH28" i="36"/>
  <c r="BF40" i="36"/>
  <c r="BU33" i="36"/>
  <c r="BV33" i="36" s="1"/>
  <c r="BU31" i="36"/>
  <c r="BV31" i="36" s="1"/>
  <c r="BF29" i="36"/>
  <c r="BF25" i="36"/>
  <c r="AH39" i="36"/>
  <c r="BF27" i="36"/>
  <c r="BK10" i="36"/>
  <c r="BK11" i="36" s="1"/>
  <c r="BK46" i="36" s="1"/>
  <c r="AH36" i="36"/>
  <c r="AH40" i="36"/>
  <c r="AT34" i="36"/>
  <c r="V34" i="36"/>
  <c r="V32" i="36"/>
  <c r="V30" i="36"/>
  <c r="AT26" i="36"/>
  <c r="V26" i="36"/>
  <c r="BF37" i="36"/>
  <c r="AH29" i="36"/>
  <c r="AH38" i="36"/>
  <c r="AH21" i="36"/>
  <c r="BF20" i="36"/>
  <c r="BN20" i="36"/>
  <c r="AT18" i="36"/>
  <c r="BF22" i="36"/>
  <c r="AH35" i="36"/>
  <c r="AT37" i="36"/>
  <c r="BF30" i="36"/>
  <c r="AT29" i="36"/>
  <c r="BF26" i="36"/>
  <c r="V39" i="36"/>
  <c r="AH37" i="36"/>
  <c r="BU19" i="36"/>
  <c r="BV19" i="36" s="1"/>
  <c r="BN21" i="36"/>
  <c r="BF18" i="36"/>
  <c r="BF28" i="36"/>
  <c r="BN40" i="36"/>
  <c r="I74" i="36"/>
  <c r="I72" i="36"/>
  <c r="AZ87" i="36"/>
  <c r="AZ86" i="36"/>
  <c r="E85" i="36"/>
  <c r="J85" i="36" s="1"/>
  <c r="BU27" i="36"/>
  <c r="BV27" i="36" s="1"/>
  <c r="V27" i="36"/>
  <c r="V18" i="36"/>
  <c r="BU18" i="36"/>
  <c r="BV18" i="36" s="1"/>
  <c r="H86" i="36"/>
  <c r="I86" i="36"/>
  <c r="G86" i="36"/>
  <c r="K86" i="36"/>
  <c r="F86" i="36"/>
  <c r="BU20" i="36"/>
  <c r="BV20" i="36" s="1"/>
  <c r="V20" i="36"/>
  <c r="V36" i="36"/>
  <c r="BU36" i="36"/>
  <c r="BV36" i="36" s="1"/>
  <c r="AT35" i="36"/>
  <c r="AI70" i="36"/>
  <c r="AH33" i="36"/>
  <c r="AH31" i="36"/>
  <c r="AH25" i="36"/>
  <c r="BF39" i="36"/>
  <c r="K70" i="36"/>
  <c r="AH20" i="36"/>
  <c r="AH19" i="36"/>
  <c r="BF24" i="36"/>
  <c r="V23" i="36"/>
  <c r="AH22" i="36"/>
  <c r="AT36" i="36"/>
  <c r="BN35" i="36"/>
  <c r="BU25" i="36"/>
  <c r="BV25" i="36" s="1"/>
  <c r="BU35" i="36"/>
  <c r="BV35" i="36" s="1"/>
  <c r="V35" i="36"/>
  <c r="AX87" i="36"/>
  <c r="AX86" i="36"/>
  <c r="Z10" i="36"/>
  <c r="AH17" i="36"/>
  <c r="BU28" i="36"/>
  <c r="BV28" i="36" s="1"/>
  <c r="V28" i="36"/>
  <c r="BF19" i="36"/>
  <c r="BU24" i="36"/>
  <c r="BV24" i="36" s="1"/>
  <c r="AH24" i="36"/>
  <c r="AT20" i="36"/>
  <c r="BU34" i="36"/>
  <c r="BV34" i="36" s="1"/>
  <c r="BU32" i="36"/>
  <c r="BV32" i="36" s="1"/>
  <c r="BU30" i="36"/>
  <c r="BV30" i="36" s="1"/>
  <c r="AT28" i="36"/>
  <c r="BN23" i="36"/>
  <c r="V24" i="36"/>
  <c r="AT19" i="36"/>
  <c r="BN36" i="36"/>
  <c r="BU39" i="36"/>
  <c r="BV39" i="36" s="1"/>
  <c r="BU26" i="36"/>
  <c r="BV26" i="36" s="1"/>
  <c r="BU23" i="36"/>
  <c r="BV23" i="36" s="1"/>
  <c r="V38" i="36"/>
  <c r="BU38" i="36"/>
  <c r="BV38" i="36" s="1"/>
  <c r="AL10" i="36"/>
  <c r="AT17" i="36"/>
  <c r="H72" i="36"/>
  <c r="H74" i="36"/>
  <c r="F74" i="36"/>
  <c r="F72" i="36"/>
  <c r="AY87" i="36"/>
  <c r="AY86" i="36"/>
  <c r="BU21" i="36"/>
  <c r="BV21" i="36" s="1"/>
  <c r="V21" i="36"/>
  <c r="BN17" i="36"/>
  <c r="BJ10" i="36"/>
  <c r="N10" i="36"/>
  <c r="BU17" i="36"/>
  <c r="V17" i="36"/>
  <c r="BU22" i="36"/>
  <c r="BV22" i="36" s="1"/>
  <c r="V22" i="36"/>
  <c r="J46" i="36"/>
  <c r="AT24" i="36"/>
  <c r="AT21" i="36"/>
  <c r="BN22" i="36"/>
  <c r="J74" i="36"/>
  <c r="BF38" i="36"/>
  <c r="AH34" i="36"/>
  <c r="AH32" i="36"/>
  <c r="AH30" i="36"/>
  <c r="V29" i="36"/>
  <c r="AH26" i="36"/>
  <c r="AT27" i="36"/>
  <c r="BN28" i="36"/>
  <c r="BF23" i="36"/>
  <c r="O42" i="36"/>
  <c r="O10" i="36" s="1"/>
  <c r="O11" i="36" s="1"/>
  <c r="O46" i="36" s="1"/>
  <c r="AT22" i="36"/>
  <c r="BF36" i="36"/>
  <c r="BU40" i="36"/>
  <c r="BV40" i="36" s="1"/>
  <c r="BB43" i="33"/>
  <c r="BB10" i="33" s="1"/>
  <c r="BB11" i="33" s="1"/>
  <c r="BB47" i="33" s="1"/>
  <c r="BA43" i="33"/>
  <c r="BA10" i="33" s="1"/>
  <c r="BA11" i="33" s="1"/>
  <c r="BC43" i="33"/>
  <c r="BD43" i="33"/>
  <c r="AR43" i="33"/>
  <c r="AQ43" i="33"/>
  <c r="AQ3" i="33"/>
  <c r="BQ46" i="37" l="1"/>
  <c r="BR21" i="37"/>
  <c r="BK22" i="37"/>
  <c r="BR35" i="37"/>
  <c r="AZ89" i="36"/>
  <c r="AZ91" i="36" s="1"/>
  <c r="CC8" i="37"/>
  <c r="AY89" i="36"/>
  <c r="AY91" i="36" s="1"/>
  <c r="BG8" i="38"/>
  <c r="DJ6" i="38"/>
  <c r="DR6" i="38" s="1"/>
  <c r="DS6" i="38" s="1"/>
  <c r="DQ6" i="38"/>
  <c r="E93" i="37"/>
  <c r="K93" i="37" s="1"/>
  <c r="N93" i="37" s="1"/>
  <c r="K86" i="37"/>
  <c r="N86" i="37" s="1"/>
  <c r="CR9" i="38"/>
  <c r="DF1" i="38" s="1"/>
  <c r="DF2" i="38" s="1"/>
  <c r="DE9" i="38"/>
  <c r="AO30" i="38"/>
  <c r="AP30" i="38" s="1"/>
  <c r="AO28" i="38"/>
  <c r="AP28" i="38" s="1"/>
  <c r="AO29" i="38"/>
  <c r="AP29" i="38" s="1"/>
  <c r="AO44" i="38"/>
  <c r="AP44" i="38" s="1"/>
  <c r="CS8" i="38"/>
  <c r="CR16" i="38" s="1"/>
  <c r="AO26" i="38"/>
  <c r="AP26" i="38" s="1"/>
  <c r="CU9" i="38"/>
  <c r="CU10" i="38" s="1"/>
  <c r="E60" i="38"/>
  <c r="I60" i="38" s="1"/>
  <c r="CE60" i="38" s="1"/>
  <c r="CF60" i="38" s="1"/>
  <c r="E82" i="38"/>
  <c r="R82" i="38" s="1"/>
  <c r="F83" i="38"/>
  <c r="F91" i="38" s="1"/>
  <c r="J91" i="38" s="1"/>
  <c r="N91" i="38" s="1"/>
  <c r="S83" i="38"/>
  <c r="J82" i="38"/>
  <c r="J83" i="38" s="1"/>
  <c r="AO27" i="38"/>
  <c r="AP27" i="38" s="1"/>
  <c r="AO43" i="38"/>
  <c r="AP43" i="38" s="1"/>
  <c r="AO42" i="38"/>
  <c r="AP42" i="38" s="1"/>
  <c r="AO22" i="38"/>
  <c r="AP22" i="38" s="1"/>
  <c r="AO24" i="38"/>
  <c r="AP24" i="38" s="1"/>
  <c r="AO36" i="38"/>
  <c r="AP36" i="38" s="1"/>
  <c r="AO38" i="38"/>
  <c r="AP38" i="38" s="1"/>
  <c r="AO40" i="38"/>
  <c r="AP40" i="38" s="1"/>
  <c r="AO31" i="38"/>
  <c r="AP31" i="38" s="1"/>
  <c r="AO35" i="38"/>
  <c r="AP35" i="38" s="1"/>
  <c r="AO23" i="38"/>
  <c r="AP23" i="38" s="1"/>
  <c r="AO8" i="38"/>
  <c r="AO41" i="38"/>
  <c r="AP41" i="38" s="1"/>
  <c r="AO25" i="38"/>
  <c r="AP25" i="38" s="1"/>
  <c r="AO39" i="38"/>
  <c r="AP39" i="38" s="1"/>
  <c r="AO33" i="38"/>
  <c r="AP33" i="38" s="1"/>
  <c r="AO45" i="38"/>
  <c r="AP45" i="38" s="1"/>
  <c r="AO32" i="38"/>
  <c r="AP32" i="38" s="1"/>
  <c r="AO37" i="38"/>
  <c r="AP37" i="38" s="1"/>
  <c r="I8" i="38"/>
  <c r="E8" i="38" s="1"/>
  <c r="E57" i="38"/>
  <c r="I57" i="38" s="1"/>
  <c r="CE57" i="38" s="1"/>
  <c r="CF57" i="38" s="1"/>
  <c r="E56" i="38"/>
  <c r="I56" i="38" s="1"/>
  <c r="BS56" i="38" s="1"/>
  <c r="BT56" i="38" s="1"/>
  <c r="E54" i="38"/>
  <c r="I54" i="38" s="1"/>
  <c r="CE54" i="38" s="1"/>
  <c r="CF54" i="38" s="1"/>
  <c r="E59" i="38"/>
  <c r="I59" i="38" s="1"/>
  <c r="CE59" i="38" s="1"/>
  <c r="CF59" i="38" s="1"/>
  <c r="E53" i="38"/>
  <c r="I53" i="38" s="1"/>
  <c r="CE53" i="38" s="1"/>
  <c r="CF53" i="38" s="1"/>
  <c r="E58" i="38"/>
  <c r="I58" i="38" s="1"/>
  <c r="CE58" i="38" s="1"/>
  <c r="CF58" i="38" s="1"/>
  <c r="E55" i="38"/>
  <c r="I55" i="38" s="1"/>
  <c r="CE55" i="38" s="1"/>
  <c r="CF55" i="38" s="1"/>
  <c r="BS47" i="38"/>
  <c r="J62" i="38"/>
  <c r="J77" i="38" s="1"/>
  <c r="F62" i="38"/>
  <c r="N60" i="38" s="1"/>
  <c r="Z46" i="37"/>
  <c r="AR50" i="36"/>
  <c r="AR56" i="36"/>
  <c r="AR54" i="36"/>
  <c r="AR49" i="36"/>
  <c r="AR52" i="36"/>
  <c r="AR53" i="36"/>
  <c r="AR82" i="36"/>
  <c r="AR55" i="36"/>
  <c r="AR51" i="36"/>
  <c r="AR48" i="36"/>
  <c r="S56" i="36"/>
  <c r="S50" i="36"/>
  <c r="BL54" i="36"/>
  <c r="BL50" i="36"/>
  <c r="BL49" i="36"/>
  <c r="BL55" i="36"/>
  <c r="BL51" i="36"/>
  <c r="BL53" i="36"/>
  <c r="BL56" i="36"/>
  <c r="BL52" i="36"/>
  <c r="BL48" i="36"/>
  <c r="BO42" i="36"/>
  <c r="BK54" i="36"/>
  <c r="BK50" i="36"/>
  <c r="BK53" i="36"/>
  <c r="BK55" i="36"/>
  <c r="BK51" i="36"/>
  <c r="BK56" i="36"/>
  <c r="BK52" i="36"/>
  <c r="BK48" i="36"/>
  <c r="BK49" i="36"/>
  <c r="BK82" i="36"/>
  <c r="BP21" i="36"/>
  <c r="BP22" i="36"/>
  <c r="BP36" i="36"/>
  <c r="BP17" i="36"/>
  <c r="AV40" i="36"/>
  <c r="S51" i="36"/>
  <c r="S55" i="36"/>
  <c r="S82" i="36"/>
  <c r="S54" i="36"/>
  <c r="S48" i="36"/>
  <c r="S49" i="36"/>
  <c r="S52" i="36"/>
  <c r="BC11" i="36"/>
  <c r="BC46" i="36" s="1"/>
  <c r="BC82" i="36" s="1"/>
  <c r="BB49" i="36"/>
  <c r="BB53" i="36"/>
  <c r="BB48" i="36"/>
  <c r="BB52" i="36"/>
  <c r="BB56" i="36"/>
  <c r="BB51" i="36"/>
  <c r="BB55" i="36"/>
  <c r="BB50" i="36"/>
  <c r="BB54" i="36"/>
  <c r="DQ2" i="38"/>
  <c r="CE8" i="38"/>
  <c r="J9" i="38"/>
  <c r="N9" i="38" s="1"/>
  <c r="F8" i="38"/>
  <c r="AR8" i="38"/>
  <c r="DL4" i="38"/>
  <c r="BG47" i="38"/>
  <c r="DL1" i="38"/>
  <c r="DJ2" i="38"/>
  <c r="CW6" i="38"/>
  <c r="CV15" i="38" s="1"/>
  <c r="CS6" i="38"/>
  <c r="CR15" i="38" s="1"/>
  <c r="N75" i="38"/>
  <c r="CM22" i="38"/>
  <c r="CM47" i="38" s="1"/>
  <c r="S13" i="38"/>
  <c r="AQ12" i="38"/>
  <c r="CV12" i="38" s="1"/>
  <c r="M75" i="38"/>
  <c r="AS22" i="38"/>
  <c r="AS47" i="38" s="1"/>
  <c r="AR47" i="38"/>
  <c r="BS8" i="38"/>
  <c r="BT6" i="38"/>
  <c r="BT8" i="38" s="1"/>
  <c r="AP6" i="38"/>
  <c r="AP8" i="38" s="1"/>
  <c r="CM6" i="38"/>
  <c r="CM8" i="38" s="1"/>
  <c r="CL8" i="38"/>
  <c r="CS22" i="38"/>
  <c r="CR47" i="38"/>
  <c r="CS47" i="38" s="1"/>
  <c r="I87" i="38"/>
  <c r="M87" i="38" s="1"/>
  <c r="CE47" i="38"/>
  <c r="CF22" i="38"/>
  <c r="CF47" i="38" s="1"/>
  <c r="R13" i="38"/>
  <c r="AN13" i="38" s="1"/>
  <c r="BR26" i="37"/>
  <c r="BJ46" i="37"/>
  <c r="AQ49" i="36"/>
  <c r="AQ53" i="36"/>
  <c r="AQ48" i="36"/>
  <c r="AQ52" i="36"/>
  <c r="AQ56" i="36"/>
  <c r="AQ51" i="36"/>
  <c r="AQ55" i="36"/>
  <c r="AQ50" i="36"/>
  <c r="AQ54" i="36"/>
  <c r="AP49" i="36"/>
  <c r="AP53" i="36"/>
  <c r="AP48" i="36"/>
  <c r="AP52" i="36"/>
  <c r="AP56" i="36"/>
  <c r="AP51" i="36"/>
  <c r="AP55" i="36"/>
  <c r="AP50" i="36"/>
  <c r="AP54" i="36"/>
  <c r="AO49" i="36"/>
  <c r="AO53" i="36"/>
  <c r="AO51" i="36"/>
  <c r="AO48" i="36"/>
  <c r="AO52" i="36"/>
  <c r="AO56" i="36"/>
  <c r="AO55" i="36"/>
  <c r="AO50" i="36"/>
  <c r="AO54" i="36"/>
  <c r="AN49" i="36"/>
  <c r="AN53" i="36"/>
  <c r="AN51" i="36"/>
  <c r="AN55" i="36"/>
  <c r="AN48" i="36"/>
  <c r="AN52" i="36"/>
  <c r="AN56" i="36"/>
  <c r="AN50" i="36"/>
  <c r="AN54" i="36"/>
  <c r="AV26" i="36"/>
  <c r="AV34" i="36"/>
  <c r="AV24" i="36"/>
  <c r="AV19" i="36"/>
  <c r="AM54" i="36"/>
  <c r="AM50" i="36"/>
  <c r="AM55" i="36"/>
  <c r="AM51" i="36"/>
  <c r="AM56" i="36"/>
  <c r="AM52" i="36"/>
  <c r="AM48" i="36"/>
  <c r="AM53" i="36"/>
  <c r="AM49" i="36"/>
  <c r="AM82" i="36"/>
  <c r="AV29" i="36"/>
  <c r="AV20" i="36"/>
  <c r="AV37" i="36"/>
  <c r="AU42" i="36"/>
  <c r="AV22" i="36"/>
  <c r="AV17" i="36"/>
  <c r="AV27" i="36"/>
  <c r="AV35" i="36"/>
  <c r="BP28" i="36"/>
  <c r="BV5" i="36"/>
  <c r="BZ13" i="36" s="1"/>
  <c r="AV36" i="36"/>
  <c r="BP35" i="36"/>
  <c r="AV28" i="36"/>
  <c r="AF54" i="36"/>
  <c r="AF50" i="36"/>
  <c r="AF55" i="36"/>
  <c r="AF51" i="36"/>
  <c r="AF56" i="36"/>
  <c r="AF52" i="36"/>
  <c r="AF48" i="36"/>
  <c r="AF53" i="36"/>
  <c r="AF49" i="36"/>
  <c r="AE49" i="36"/>
  <c r="AE53" i="36"/>
  <c r="AE48" i="36"/>
  <c r="AE52" i="36"/>
  <c r="AE56" i="36"/>
  <c r="AE51" i="36"/>
  <c r="AE55" i="36"/>
  <c r="AE50" i="36"/>
  <c r="AE54" i="36"/>
  <c r="AD49" i="36"/>
  <c r="AD53" i="36"/>
  <c r="AD50" i="36"/>
  <c r="AD54" i="36"/>
  <c r="AD48" i="36"/>
  <c r="AD52" i="36"/>
  <c r="AD56" i="36"/>
  <c r="AD51" i="36"/>
  <c r="AD55" i="36"/>
  <c r="AC49" i="36"/>
  <c r="AC53" i="36"/>
  <c r="AC48" i="36"/>
  <c r="AC52" i="36"/>
  <c r="AC56" i="36"/>
  <c r="AC51" i="36"/>
  <c r="AC55" i="36"/>
  <c r="AC50" i="36"/>
  <c r="AC54" i="36"/>
  <c r="AB49" i="36"/>
  <c r="AB53" i="36"/>
  <c r="AB50" i="36"/>
  <c r="AB54" i="36"/>
  <c r="AB48" i="36"/>
  <c r="AB52" i="36"/>
  <c r="AB56" i="36"/>
  <c r="AB51" i="36"/>
  <c r="AB55" i="36"/>
  <c r="AI31" i="36"/>
  <c r="AJ31" i="36" s="1"/>
  <c r="BX5" i="37"/>
  <c r="CB14" i="37" s="1"/>
  <c r="CC5" i="37"/>
  <c r="AX46" i="37"/>
  <c r="AL46" i="37"/>
  <c r="N89" i="37"/>
  <c r="N91" i="37" s="1"/>
  <c r="K91" i="37"/>
  <c r="CD1" i="37"/>
  <c r="CE1" i="37" s="1"/>
  <c r="CC2" i="37"/>
  <c r="CF3" i="37" s="1"/>
  <c r="CF4" i="37" s="1"/>
  <c r="CF5" i="37" s="1"/>
  <c r="AI26" i="36"/>
  <c r="AJ26" i="36" s="1"/>
  <c r="BP23" i="36"/>
  <c r="AV18" i="36"/>
  <c r="AA54" i="36"/>
  <c r="AA50" i="36"/>
  <c r="AA49" i="36"/>
  <c r="AA55" i="36"/>
  <c r="AA51" i="36"/>
  <c r="AA56" i="36"/>
  <c r="AA52" i="36"/>
  <c r="AA48" i="36"/>
  <c r="AA53" i="36"/>
  <c r="AI27" i="36"/>
  <c r="AJ27" i="36" s="1"/>
  <c r="AI33" i="36"/>
  <c r="AJ33" i="36" s="1"/>
  <c r="AI24" i="36"/>
  <c r="AJ24" i="36" s="1"/>
  <c r="AI32" i="36"/>
  <c r="AJ32" i="36" s="1"/>
  <c r="AI35" i="36"/>
  <c r="AJ35" i="36" s="1"/>
  <c r="AI19" i="36"/>
  <c r="AJ19" i="36" s="1"/>
  <c r="AI23" i="36"/>
  <c r="AJ23" i="36" s="1"/>
  <c r="AI20" i="36"/>
  <c r="AJ20" i="36" s="1"/>
  <c r="AI36" i="36"/>
  <c r="AJ36" i="36" s="1"/>
  <c r="AI22" i="36"/>
  <c r="AJ22" i="36" s="1"/>
  <c r="AI39" i="36"/>
  <c r="AJ39" i="36" s="1"/>
  <c r="AI17" i="36"/>
  <c r="AJ17" i="36" s="1"/>
  <c r="AI18" i="36"/>
  <c r="AJ18" i="36" s="1"/>
  <c r="AI29" i="36"/>
  <c r="AJ29" i="36" s="1"/>
  <c r="AI37" i="36"/>
  <c r="AJ37" i="36" s="1"/>
  <c r="AI25" i="36"/>
  <c r="AJ25" i="36" s="1"/>
  <c r="AI40" i="36"/>
  <c r="AJ40" i="36" s="1"/>
  <c r="AI28" i="36"/>
  <c r="AJ28" i="36" s="1"/>
  <c r="AI21" i="36"/>
  <c r="AJ21" i="36" s="1"/>
  <c r="AI30" i="36"/>
  <c r="AJ30" i="36" s="1"/>
  <c r="AI38" i="36"/>
  <c r="AJ38" i="36" s="1"/>
  <c r="R49" i="36"/>
  <c r="R53" i="36"/>
  <c r="R51" i="36"/>
  <c r="R50" i="36"/>
  <c r="R54" i="36"/>
  <c r="R48" i="36"/>
  <c r="R52" i="36"/>
  <c r="R56" i="36"/>
  <c r="R55" i="36"/>
  <c r="AJ34" i="36"/>
  <c r="BP20" i="36"/>
  <c r="BP40" i="36"/>
  <c r="Q49" i="36"/>
  <c r="Q53" i="36"/>
  <c r="Q51" i="36"/>
  <c r="Q50" i="36"/>
  <c r="Q54" i="36"/>
  <c r="Q48" i="36"/>
  <c r="Q52" i="36"/>
  <c r="Q56" i="36"/>
  <c r="Q55" i="36"/>
  <c r="P49" i="36"/>
  <c r="P53" i="36"/>
  <c r="P48" i="36"/>
  <c r="P52" i="36"/>
  <c r="P56" i="36"/>
  <c r="P51" i="36"/>
  <c r="P55" i="36"/>
  <c r="P50" i="36"/>
  <c r="P54" i="36"/>
  <c r="BL82" i="36"/>
  <c r="AV21" i="36"/>
  <c r="AC82" i="36"/>
  <c r="BF42" i="36"/>
  <c r="N11" i="36"/>
  <c r="AX82" i="36"/>
  <c r="AA82" i="36"/>
  <c r="AO82" i="36"/>
  <c r="BH5" i="36"/>
  <c r="BH6" i="36" s="1"/>
  <c r="AI6" i="36"/>
  <c r="AJ5" i="36"/>
  <c r="AJ6" i="36" s="1"/>
  <c r="BU42" i="36"/>
  <c r="BV42" i="36" s="1"/>
  <c r="BV17" i="36"/>
  <c r="Q82" i="36"/>
  <c r="BB82" i="36"/>
  <c r="H85" i="36"/>
  <c r="E87" i="36"/>
  <c r="I85" i="36"/>
  <c r="G85" i="36"/>
  <c r="F85" i="36"/>
  <c r="E89" i="36"/>
  <c r="J89" i="36" s="1"/>
  <c r="BA11" i="36"/>
  <c r="BA46" i="36" s="1"/>
  <c r="AV5" i="36"/>
  <c r="AV6" i="36" s="1"/>
  <c r="AU6" i="36"/>
  <c r="AL11" i="36"/>
  <c r="AT10" i="36"/>
  <c r="AB82" i="36"/>
  <c r="R82" i="36"/>
  <c r="P82" i="36"/>
  <c r="Z11" i="36"/>
  <c r="AH10" i="36"/>
  <c r="AQ82" i="36"/>
  <c r="V42" i="36"/>
  <c r="BN42" i="36"/>
  <c r="O82" i="36"/>
  <c r="O48" i="36"/>
  <c r="O55" i="36"/>
  <c r="O54" i="36"/>
  <c r="O53" i="36"/>
  <c r="O52" i="36"/>
  <c r="O51" i="36"/>
  <c r="O50" i="36"/>
  <c r="O49" i="36"/>
  <c r="O56" i="36"/>
  <c r="AP82" i="36"/>
  <c r="AN82" i="36"/>
  <c r="AD82" i="36"/>
  <c r="BP5" i="36"/>
  <c r="BP6" i="36" s="1"/>
  <c r="AF82" i="36"/>
  <c r="X5" i="36"/>
  <c r="BJ11" i="36"/>
  <c r="BN10" i="36"/>
  <c r="AE82" i="36"/>
  <c r="AT42" i="36"/>
  <c r="AH42" i="36"/>
  <c r="BT5" i="33"/>
  <c r="AP41" i="33"/>
  <c r="AP40" i="33"/>
  <c r="AP39" i="33"/>
  <c r="AP38" i="33"/>
  <c r="AP37" i="33"/>
  <c r="AP36" i="33"/>
  <c r="AP35" i="33"/>
  <c r="AP34" i="33"/>
  <c r="AP33" i="33"/>
  <c r="AP32" i="33"/>
  <c r="AP31" i="33"/>
  <c r="AP30" i="33"/>
  <c r="AP29" i="33"/>
  <c r="AP28" i="33"/>
  <c r="AP27" i="33"/>
  <c r="AP26" i="33"/>
  <c r="AP25" i="33"/>
  <c r="AP24" i="33"/>
  <c r="AP23" i="33"/>
  <c r="AP22" i="33"/>
  <c r="AP21" i="33"/>
  <c r="AP20" i="33"/>
  <c r="AP19" i="33"/>
  <c r="AP18" i="33"/>
  <c r="AP3" i="33"/>
  <c r="CC7" i="37" l="1"/>
  <c r="CD5" i="37"/>
  <c r="N82" i="37"/>
  <c r="DK6" i="38"/>
  <c r="DJ8" i="38"/>
  <c r="N8" i="38" s="1"/>
  <c r="E95" i="37"/>
  <c r="N76" i="37" s="1"/>
  <c r="N50" i="37"/>
  <c r="N78" i="37"/>
  <c r="CG5" i="37"/>
  <c r="DG1" i="38"/>
  <c r="DH1" i="38" s="1"/>
  <c r="DR1" i="38"/>
  <c r="DF9" i="38"/>
  <c r="AO47" i="38"/>
  <c r="BG60" i="38"/>
  <c r="BH60" i="38" s="1"/>
  <c r="CL60" i="38"/>
  <c r="CM60" i="38" s="1"/>
  <c r="AO60" i="38"/>
  <c r="BS60" i="38"/>
  <c r="BT60" i="38" s="1"/>
  <c r="AO58" i="38"/>
  <c r="I9" i="38"/>
  <c r="M9" i="38" s="1"/>
  <c r="I82" i="38"/>
  <c r="I83" i="38" s="1"/>
  <c r="E83" i="38"/>
  <c r="E91" i="38" s="1"/>
  <c r="I91" i="38" s="1"/>
  <c r="M91" i="38" s="1"/>
  <c r="CE56" i="38"/>
  <c r="CF56" i="38" s="1"/>
  <c r="CF62" i="38" s="1"/>
  <c r="CF75" i="38" s="1"/>
  <c r="BG56" i="38"/>
  <c r="BH56" i="38" s="1"/>
  <c r="BS53" i="38"/>
  <c r="BT53" i="38" s="1"/>
  <c r="CL56" i="38"/>
  <c r="CM56" i="38" s="1"/>
  <c r="BS55" i="38"/>
  <c r="BT55" i="38" s="1"/>
  <c r="AP47" i="38"/>
  <c r="AO57" i="38"/>
  <c r="BS58" i="38"/>
  <c r="BT58" i="38" s="1"/>
  <c r="BG54" i="38"/>
  <c r="BH54" i="38" s="1"/>
  <c r="BS54" i="38"/>
  <c r="BT54" i="38" s="1"/>
  <c r="BG58" i="38"/>
  <c r="BH58" i="38" s="1"/>
  <c r="CL54" i="38"/>
  <c r="CM54" i="38" s="1"/>
  <c r="CL58" i="38"/>
  <c r="CM58" i="38" s="1"/>
  <c r="AO54" i="38"/>
  <c r="E62" i="38"/>
  <c r="M60" i="38" s="1"/>
  <c r="BG59" i="38"/>
  <c r="BH59" i="38" s="1"/>
  <c r="BG57" i="38"/>
  <c r="BH57" i="38" s="1"/>
  <c r="F77" i="38"/>
  <c r="AO56" i="38"/>
  <c r="BS57" i="38"/>
  <c r="BT57" i="38" s="1"/>
  <c r="BG53" i="38"/>
  <c r="BH53" i="38" s="1"/>
  <c r="N53" i="38"/>
  <c r="CL57" i="38"/>
  <c r="CM57" i="38" s="1"/>
  <c r="AO55" i="38"/>
  <c r="N57" i="38"/>
  <c r="CL59" i="38"/>
  <c r="CM59" i="38" s="1"/>
  <c r="AO59" i="38"/>
  <c r="F79" i="38"/>
  <c r="F90" i="38" s="1"/>
  <c r="N58" i="38"/>
  <c r="N56" i="38"/>
  <c r="I62" i="38"/>
  <c r="I79" i="38" s="1"/>
  <c r="CL53" i="38"/>
  <c r="CM53" i="38" s="1"/>
  <c r="N55" i="38"/>
  <c r="N54" i="38"/>
  <c r="AO53" i="38"/>
  <c r="CL55" i="38"/>
  <c r="CM55" i="38" s="1"/>
  <c r="BS59" i="38"/>
  <c r="BT59" i="38" s="1"/>
  <c r="BG55" i="38"/>
  <c r="BH55" i="38" s="1"/>
  <c r="J79" i="38"/>
  <c r="N59" i="38"/>
  <c r="N61" i="38"/>
  <c r="AR57" i="36"/>
  <c r="AR59" i="36" s="1"/>
  <c r="AR63" i="36" s="1"/>
  <c r="BK57" i="36"/>
  <c r="BK59" i="36" s="1"/>
  <c r="BK65" i="36" s="1"/>
  <c r="BL57" i="36"/>
  <c r="BL59" i="36" s="1"/>
  <c r="BP42" i="36"/>
  <c r="BK61" i="36"/>
  <c r="S57" i="36"/>
  <c r="S59" i="36" s="1"/>
  <c r="S63" i="36" s="1"/>
  <c r="BC49" i="36"/>
  <c r="BC53" i="36"/>
  <c r="BC48" i="36"/>
  <c r="BC52" i="36"/>
  <c r="BC56" i="36"/>
  <c r="BC51" i="36"/>
  <c r="BC55" i="36"/>
  <c r="BC50" i="36"/>
  <c r="BC54" i="36"/>
  <c r="BB57" i="36"/>
  <c r="BB59" i="36" s="1"/>
  <c r="BA54" i="36"/>
  <c r="BA50" i="36"/>
  <c r="BA55" i="36"/>
  <c r="BA51" i="36"/>
  <c r="BA56" i="36"/>
  <c r="BA52" i="36"/>
  <c r="BA48" i="36"/>
  <c r="BA53" i="36"/>
  <c r="BA49" i="36"/>
  <c r="M8" i="38"/>
  <c r="S51" i="38"/>
  <c r="AQ13" i="38"/>
  <c r="R51" i="38"/>
  <c r="R53" i="38" s="1"/>
  <c r="AN57" i="36"/>
  <c r="AN59" i="36" s="1"/>
  <c r="AN65" i="36" s="1"/>
  <c r="AQ57" i="36"/>
  <c r="AQ59" i="36" s="1"/>
  <c r="AP57" i="36"/>
  <c r="AP59" i="36" s="1"/>
  <c r="AO57" i="36"/>
  <c r="AO59" i="36" s="1"/>
  <c r="AM57" i="36"/>
  <c r="AM59" i="36" s="1"/>
  <c r="AV42" i="36"/>
  <c r="CA6" i="36"/>
  <c r="AF57" i="36"/>
  <c r="AF59" i="36" s="1"/>
  <c r="AE57" i="36"/>
  <c r="AE59" i="36" s="1"/>
  <c r="AD57" i="36"/>
  <c r="AD59" i="36" s="1"/>
  <c r="AC57" i="36"/>
  <c r="AC59" i="36" s="1"/>
  <c r="AB57" i="36"/>
  <c r="AB59" i="36" s="1"/>
  <c r="AJ42" i="36"/>
  <c r="AI42" i="36"/>
  <c r="AA57" i="36"/>
  <c r="AA59" i="36" s="1"/>
  <c r="AA69" i="36" s="1"/>
  <c r="S64" i="36"/>
  <c r="R57" i="36"/>
  <c r="R59" i="36" s="1"/>
  <c r="Q57" i="36"/>
  <c r="Q59" i="36" s="1"/>
  <c r="P57" i="36"/>
  <c r="P59" i="36" s="1"/>
  <c r="K85" i="36"/>
  <c r="K87" i="36" s="1"/>
  <c r="J87" i="36"/>
  <c r="AT11" i="36"/>
  <c r="E91" i="36"/>
  <c r="K89" i="36"/>
  <c r="K78" i="36"/>
  <c r="K46" i="36"/>
  <c r="K74" i="36"/>
  <c r="O57" i="36"/>
  <c r="O59" i="36" s="1"/>
  <c r="BN11" i="36"/>
  <c r="AH11" i="36"/>
  <c r="AX89" i="36"/>
  <c r="BY1" i="33"/>
  <c r="CC5" i="36" s="1"/>
  <c r="BW5" i="33"/>
  <c r="AP43" i="33"/>
  <c r="K5" i="33"/>
  <c r="AM3" i="33"/>
  <c r="AM41" i="33"/>
  <c r="AM40" i="33"/>
  <c r="AM39" i="33"/>
  <c r="AM38" i="33"/>
  <c r="AM37" i="33"/>
  <c r="AM36" i="33"/>
  <c r="AM35" i="33"/>
  <c r="AM34" i="33"/>
  <c r="AM33" i="33"/>
  <c r="AM32" i="33"/>
  <c r="AM31" i="33"/>
  <c r="AM30" i="33"/>
  <c r="AM29" i="33"/>
  <c r="AM28" i="33"/>
  <c r="AM27" i="33"/>
  <c r="AM26" i="33"/>
  <c r="AM25" i="33"/>
  <c r="AM24" i="33"/>
  <c r="AM23" i="33"/>
  <c r="AM22" i="33"/>
  <c r="AM21" i="33"/>
  <c r="AM20" i="33"/>
  <c r="AM19" i="33"/>
  <c r="AM18" i="33"/>
  <c r="N81" i="37" l="1"/>
  <c r="DR2" i="38"/>
  <c r="DS1" i="38"/>
  <c r="DT1" i="38" s="1"/>
  <c r="BY2" i="33"/>
  <c r="S69" i="36"/>
  <c r="BK64" i="36"/>
  <c r="F92" i="38"/>
  <c r="F94" i="38"/>
  <c r="F96" i="38" s="1"/>
  <c r="CE62" i="38"/>
  <c r="R83" i="38"/>
  <c r="AN82" i="38"/>
  <c r="CO82" i="38"/>
  <c r="CP82" i="38" s="1"/>
  <c r="BS62" i="38"/>
  <c r="M59" i="38"/>
  <c r="BT62" i="38"/>
  <c r="BT75" i="38" s="1"/>
  <c r="BH62" i="38"/>
  <c r="BH75" i="38" s="1"/>
  <c r="CM62" i="38"/>
  <c r="CM75" i="38" s="1"/>
  <c r="AO62" i="38"/>
  <c r="N62" i="38"/>
  <c r="M61" i="38"/>
  <c r="M53" i="38"/>
  <c r="M56" i="38"/>
  <c r="J90" i="38"/>
  <c r="N90" i="38" s="1"/>
  <c r="N92" i="38" s="1"/>
  <c r="E79" i="38"/>
  <c r="E90" i="38" s="1"/>
  <c r="M55" i="38"/>
  <c r="M58" i="38"/>
  <c r="E77" i="38"/>
  <c r="M54" i="38"/>
  <c r="M57" i="38"/>
  <c r="CL62" i="38"/>
  <c r="CL75" i="38" s="1"/>
  <c r="I77" i="38"/>
  <c r="BG62" i="38"/>
  <c r="AR62" i="36"/>
  <c r="AR67" i="36"/>
  <c r="AR66" i="36"/>
  <c r="BK62" i="36"/>
  <c r="S67" i="36"/>
  <c r="AR68" i="36"/>
  <c r="BK63" i="36"/>
  <c r="BK69" i="36"/>
  <c r="AR64" i="36"/>
  <c r="AR65" i="36"/>
  <c r="S66" i="36"/>
  <c r="AR69" i="36"/>
  <c r="AR61" i="36"/>
  <c r="BK66" i="36"/>
  <c r="BK68" i="36"/>
  <c r="BK67" i="36"/>
  <c r="BL68" i="36"/>
  <c r="BL64" i="36"/>
  <c r="BL67" i="36"/>
  <c r="BL63" i="36"/>
  <c r="BL69" i="36"/>
  <c r="BL65" i="36"/>
  <c r="BL61" i="36"/>
  <c r="BL66" i="36"/>
  <c r="BL62" i="36"/>
  <c r="S61" i="36"/>
  <c r="S65" i="36"/>
  <c r="S68" i="36"/>
  <c r="S62" i="36"/>
  <c r="BC57" i="36"/>
  <c r="BC59" i="36" s="1"/>
  <c r="BB63" i="36"/>
  <c r="BB67" i="36"/>
  <c r="BB62" i="36"/>
  <c r="BB66" i="36"/>
  <c r="BB61" i="36"/>
  <c r="BB65" i="36"/>
  <c r="BB69" i="36"/>
  <c r="BB64" i="36"/>
  <c r="BB68" i="36"/>
  <c r="BA57" i="36"/>
  <c r="BA59" i="36" s="1"/>
  <c r="BA69" i="36" s="1"/>
  <c r="DR8" i="38"/>
  <c r="S87" i="38"/>
  <c r="S58" i="38"/>
  <c r="S53" i="38"/>
  <c r="S59" i="38"/>
  <c r="S54" i="38"/>
  <c r="S60" i="38"/>
  <c r="S56" i="38"/>
  <c r="S55" i="38"/>
  <c r="S61" i="38"/>
  <c r="S57" i="38"/>
  <c r="R87" i="38"/>
  <c r="AN51" i="38"/>
  <c r="R61" i="38"/>
  <c r="R60" i="38"/>
  <c r="R59" i="38"/>
  <c r="R58" i="38"/>
  <c r="R57" i="38"/>
  <c r="R56" i="38"/>
  <c r="R55" i="38"/>
  <c r="R54" i="38"/>
  <c r="CO51" i="38"/>
  <c r="AN62" i="36"/>
  <c r="AN64" i="36"/>
  <c r="AN68" i="36"/>
  <c r="AN66" i="36"/>
  <c r="AN63" i="36"/>
  <c r="AN61" i="36"/>
  <c r="AN67" i="36"/>
  <c r="AN69" i="36"/>
  <c r="AQ63" i="36"/>
  <c r="AQ67" i="36"/>
  <c r="AQ62" i="36"/>
  <c r="AQ66" i="36"/>
  <c r="AQ68" i="36"/>
  <c r="AQ61" i="36"/>
  <c r="AQ65" i="36"/>
  <c r="AQ69" i="36"/>
  <c r="AQ64" i="36"/>
  <c r="AP63" i="36"/>
  <c r="AP67" i="36"/>
  <c r="AP62" i="36"/>
  <c r="AP66" i="36"/>
  <c r="AP61" i="36"/>
  <c r="AP65" i="36"/>
  <c r="AP69" i="36"/>
  <c r="AP64" i="36"/>
  <c r="AP68" i="36"/>
  <c r="AO63" i="36"/>
  <c r="AO67" i="36"/>
  <c r="AO61" i="36"/>
  <c r="AO69" i="36"/>
  <c r="AO62" i="36"/>
  <c r="AO66" i="36"/>
  <c r="AO65" i="36"/>
  <c r="AO64" i="36"/>
  <c r="AO68" i="36"/>
  <c r="AM68" i="36"/>
  <c r="AM64" i="36"/>
  <c r="AM69" i="36"/>
  <c r="AM65" i="36"/>
  <c r="AM61" i="36"/>
  <c r="AM66" i="36"/>
  <c r="AM62" i="36"/>
  <c r="AM67" i="36"/>
  <c r="AM63" i="36"/>
  <c r="AF68" i="36"/>
  <c r="AF64" i="36"/>
  <c r="AF69" i="36"/>
  <c r="AF65" i="36"/>
  <c r="AF61" i="36"/>
  <c r="AF66" i="36"/>
  <c r="AF62" i="36"/>
  <c r="AF67" i="36"/>
  <c r="AF63" i="36"/>
  <c r="AE63" i="36"/>
  <c r="AE67" i="36"/>
  <c r="AE62" i="36"/>
  <c r="AE66" i="36"/>
  <c r="AE61" i="36"/>
  <c r="AE65" i="36"/>
  <c r="AE69" i="36"/>
  <c r="AE64" i="36"/>
  <c r="AE68" i="36"/>
  <c r="AD63" i="36"/>
  <c r="AD67" i="36"/>
  <c r="AD61" i="36"/>
  <c r="AD64" i="36"/>
  <c r="AD68" i="36"/>
  <c r="AD62" i="36"/>
  <c r="AD66" i="36"/>
  <c r="AD65" i="36"/>
  <c r="AD69" i="36"/>
  <c r="AC63" i="36"/>
  <c r="AC67" i="36"/>
  <c r="AC62" i="36"/>
  <c r="AC66" i="36"/>
  <c r="AC61" i="36"/>
  <c r="AC65" i="36"/>
  <c r="AC69" i="36"/>
  <c r="AC64" i="36"/>
  <c r="AC68" i="36"/>
  <c r="AB63" i="36"/>
  <c r="AB67" i="36"/>
  <c r="AB64" i="36"/>
  <c r="AB68" i="36"/>
  <c r="AB62" i="36"/>
  <c r="AB66" i="36"/>
  <c r="AB61" i="36"/>
  <c r="AB65" i="36"/>
  <c r="AB69" i="36"/>
  <c r="AA65" i="36"/>
  <c r="AA67" i="36"/>
  <c r="AA63" i="36"/>
  <c r="AA61" i="36"/>
  <c r="AA68" i="36"/>
  <c r="AA66" i="36"/>
  <c r="AA64" i="36"/>
  <c r="AA62" i="36"/>
  <c r="R63" i="36"/>
  <c r="R67" i="36"/>
  <c r="R61" i="36"/>
  <c r="R69" i="36"/>
  <c r="R64" i="36"/>
  <c r="R68" i="36"/>
  <c r="R62" i="36"/>
  <c r="R66" i="36"/>
  <c r="R65" i="36"/>
  <c r="Q63" i="36"/>
  <c r="Q67" i="36"/>
  <c r="Q61" i="36"/>
  <c r="Q69" i="36"/>
  <c r="Q64" i="36"/>
  <c r="Q68" i="36"/>
  <c r="Q62" i="36"/>
  <c r="Q66" i="36"/>
  <c r="Q65" i="36"/>
  <c r="P62" i="36"/>
  <c r="P66" i="36"/>
  <c r="P63" i="36"/>
  <c r="P61" i="36"/>
  <c r="P65" i="36"/>
  <c r="P69" i="36"/>
  <c r="P64" i="36"/>
  <c r="P68" i="36"/>
  <c r="P67" i="36"/>
  <c r="N82" i="36"/>
  <c r="Z82" i="36"/>
  <c r="AH55" i="36"/>
  <c r="AJ55" i="36" s="1"/>
  <c r="AH53" i="36"/>
  <c r="AJ53" i="36" s="1"/>
  <c r="AH51" i="36"/>
  <c r="AJ51" i="36" s="1"/>
  <c r="AH49" i="36"/>
  <c r="AJ49" i="36" s="1"/>
  <c r="AH46" i="36"/>
  <c r="AH56" i="36"/>
  <c r="AJ56" i="36" s="1"/>
  <c r="AH54" i="36"/>
  <c r="AJ54" i="36" s="1"/>
  <c r="AH52" i="36"/>
  <c r="AJ52" i="36" s="1"/>
  <c r="AH50" i="36"/>
  <c r="AJ50" i="36" s="1"/>
  <c r="BJ82" i="36"/>
  <c r="BN56" i="36"/>
  <c r="BP56" i="36" s="1"/>
  <c r="BN54" i="36"/>
  <c r="BP54" i="36" s="1"/>
  <c r="BN52" i="36"/>
  <c r="BP52" i="36" s="1"/>
  <c r="BN50" i="36"/>
  <c r="BP50" i="36" s="1"/>
  <c r="BN53" i="36"/>
  <c r="BP53" i="36" s="1"/>
  <c r="BN51" i="36"/>
  <c r="BP51" i="36" s="1"/>
  <c r="BN49" i="36"/>
  <c r="BP49" i="36" s="1"/>
  <c r="BN46" i="36"/>
  <c r="BN55" i="36"/>
  <c r="BP55" i="36" s="1"/>
  <c r="O68" i="36"/>
  <c r="O66" i="36"/>
  <c r="O69" i="36"/>
  <c r="O67" i="36"/>
  <c r="O65" i="36"/>
  <c r="O63" i="36"/>
  <c r="O64" i="36"/>
  <c r="O62" i="36"/>
  <c r="O61" i="36"/>
  <c r="BA82" i="36"/>
  <c r="AX91" i="36"/>
  <c r="K77" i="36"/>
  <c r="K72" i="36"/>
  <c r="AL82" i="36"/>
  <c r="AT56" i="36"/>
  <c r="AV56" i="36" s="1"/>
  <c r="AT54" i="36"/>
  <c r="AV54" i="36" s="1"/>
  <c r="AT52" i="36"/>
  <c r="AV52" i="36" s="1"/>
  <c r="AT50" i="36"/>
  <c r="AV50" i="36" s="1"/>
  <c r="AT55" i="36"/>
  <c r="AV55" i="36" s="1"/>
  <c r="AT53" i="36"/>
  <c r="AV53" i="36" s="1"/>
  <c r="AT51" i="36"/>
  <c r="AV51" i="36" s="1"/>
  <c r="AT49" i="36"/>
  <c r="AV49" i="36" s="1"/>
  <c r="AT46" i="36"/>
  <c r="AM43" i="33"/>
  <c r="E92" i="38" l="1"/>
  <c r="E94" i="38"/>
  <c r="N83" i="38"/>
  <c r="CO83" i="38"/>
  <c r="CP83" i="38" s="1"/>
  <c r="AN83" i="38"/>
  <c r="J94" i="38"/>
  <c r="N94" i="38" s="1"/>
  <c r="N51" i="38"/>
  <c r="M62" i="38"/>
  <c r="I90" i="38"/>
  <c r="M90" i="38" s="1"/>
  <c r="M92" i="38" s="1"/>
  <c r="J92" i="38"/>
  <c r="N79" i="38"/>
  <c r="AR70" i="36"/>
  <c r="AR72" i="36" s="1"/>
  <c r="AR75" i="36" s="1"/>
  <c r="AR80" i="36" s="1"/>
  <c r="AR87" i="36" s="1"/>
  <c r="BK70" i="36"/>
  <c r="BK72" i="36" s="1"/>
  <c r="BK75" i="36" s="1"/>
  <c r="BK80" i="36" s="1"/>
  <c r="S70" i="36"/>
  <c r="S72" i="36" s="1"/>
  <c r="S75" i="36" s="1"/>
  <c r="S80" i="36" s="1"/>
  <c r="BL70" i="36"/>
  <c r="BL72" i="36" s="1"/>
  <c r="BL75" i="36" s="1"/>
  <c r="BL80" i="36" s="1"/>
  <c r="BC63" i="36"/>
  <c r="BC67" i="36"/>
  <c r="BC62" i="36"/>
  <c r="BC66" i="36"/>
  <c r="BC61" i="36"/>
  <c r="BC65" i="36"/>
  <c r="BC69" i="36"/>
  <c r="BC64" i="36"/>
  <c r="BC68" i="36"/>
  <c r="BB70" i="36"/>
  <c r="BB72" i="36" s="1"/>
  <c r="BB75" i="36" s="1"/>
  <c r="BB80" i="36" s="1"/>
  <c r="BA61" i="36"/>
  <c r="BA68" i="36"/>
  <c r="BA66" i="36"/>
  <c r="BA64" i="36"/>
  <c r="BA67" i="36"/>
  <c r="BA65" i="36"/>
  <c r="BA63" i="36"/>
  <c r="BA62" i="36"/>
  <c r="S62" i="38"/>
  <c r="S64" i="38" s="1"/>
  <c r="CR55" i="38"/>
  <c r="CS55" i="38" s="1"/>
  <c r="AN55" i="38"/>
  <c r="AP55" i="38" s="1"/>
  <c r="CR59" i="38"/>
  <c r="CS59" i="38" s="1"/>
  <c r="AN59" i="38"/>
  <c r="AP59" i="38" s="1"/>
  <c r="CO87" i="38"/>
  <c r="AN87" i="38"/>
  <c r="CR54" i="38"/>
  <c r="CS54" i="38" s="1"/>
  <c r="AN54" i="38"/>
  <c r="AP54" i="38" s="1"/>
  <c r="CR58" i="38"/>
  <c r="CS58" i="38" s="1"/>
  <c r="AN58" i="38"/>
  <c r="AP58" i="38" s="1"/>
  <c r="CR57" i="38"/>
  <c r="CS57" i="38" s="1"/>
  <c r="AN57" i="38"/>
  <c r="AP57" i="38" s="1"/>
  <c r="CR61" i="38"/>
  <c r="CS61" i="38" s="1"/>
  <c r="AN61" i="38"/>
  <c r="AP61" i="38" s="1"/>
  <c r="CR53" i="38"/>
  <c r="AN53" i="38"/>
  <c r="R62" i="38"/>
  <c r="R64" i="38" s="1"/>
  <c r="R74" i="38" s="1"/>
  <c r="CR56" i="38"/>
  <c r="CS56" i="38" s="1"/>
  <c r="AN56" i="38"/>
  <c r="AP56" i="38" s="1"/>
  <c r="CR60" i="38"/>
  <c r="CS60" i="38" s="1"/>
  <c r="AN60" i="38"/>
  <c r="AP60" i="38" s="1"/>
  <c r="AR85" i="36"/>
  <c r="AN70" i="36"/>
  <c r="AN72" i="36" s="1"/>
  <c r="AN75" i="36" s="1"/>
  <c r="AN80" i="36" s="1"/>
  <c r="AQ70" i="36"/>
  <c r="AQ72" i="36" s="1"/>
  <c r="AQ75" i="36" s="1"/>
  <c r="AQ80" i="36" s="1"/>
  <c r="AP70" i="36"/>
  <c r="AP72" i="36" s="1"/>
  <c r="AP75" i="36" s="1"/>
  <c r="AP80" i="36" s="1"/>
  <c r="AO70" i="36"/>
  <c r="AO72" i="36" s="1"/>
  <c r="AO75" i="36" s="1"/>
  <c r="AO80" i="36" s="1"/>
  <c r="AM70" i="36"/>
  <c r="AM72" i="36" s="1"/>
  <c r="AM75" i="36" s="1"/>
  <c r="AM80" i="36" s="1"/>
  <c r="AF70" i="36"/>
  <c r="AF72" i="36" s="1"/>
  <c r="AF75" i="36" s="1"/>
  <c r="AF80" i="36" s="1"/>
  <c r="AE70" i="36"/>
  <c r="AE72" i="36" s="1"/>
  <c r="AE75" i="36" s="1"/>
  <c r="AE80" i="36" s="1"/>
  <c r="AD70" i="36"/>
  <c r="AD72" i="36" s="1"/>
  <c r="AD75" i="36" s="1"/>
  <c r="AD80" i="36" s="1"/>
  <c r="AC70" i="36"/>
  <c r="AC72" i="36" s="1"/>
  <c r="AC75" i="36" s="1"/>
  <c r="AC80" i="36" s="1"/>
  <c r="AB70" i="36"/>
  <c r="AB72" i="36" s="1"/>
  <c r="AB75" i="36" s="1"/>
  <c r="AB80" i="36" s="1"/>
  <c r="U89" i="37"/>
  <c r="AA70" i="36"/>
  <c r="AA72" i="36" s="1"/>
  <c r="AA75" i="36" s="1"/>
  <c r="AA80" i="36" s="1"/>
  <c r="R70" i="36"/>
  <c r="R72" i="36" s="1"/>
  <c r="R75" i="36" s="1"/>
  <c r="R80" i="36" s="1"/>
  <c r="P70" i="36"/>
  <c r="P72" i="36" s="1"/>
  <c r="P75" i="36" s="1"/>
  <c r="P80" i="36" s="1"/>
  <c r="Q70" i="36"/>
  <c r="Q72" i="36" s="1"/>
  <c r="Q75" i="36" s="1"/>
  <c r="Q80" i="36" s="1"/>
  <c r="O70" i="36"/>
  <c r="O72" i="36" s="1"/>
  <c r="O75" i="36" s="1"/>
  <c r="O80" i="36" s="1"/>
  <c r="AT82" i="36"/>
  <c r="BN48" i="36"/>
  <c r="AT48" i="36"/>
  <c r="AH48" i="36"/>
  <c r="BN82" i="36"/>
  <c r="AH82" i="36"/>
  <c r="AL38" i="33"/>
  <c r="AT38" i="33" s="1"/>
  <c r="AL34" i="33"/>
  <c r="AL30" i="33"/>
  <c r="AL26" i="33"/>
  <c r="AF24" i="33"/>
  <c r="AL22" i="33"/>
  <c r="AF20" i="33"/>
  <c r="AL18" i="33"/>
  <c r="AL41" i="33"/>
  <c r="AT41" i="33" s="1"/>
  <c r="AL40" i="33"/>
  <c r="AT40" i="33" s="1"/>
  <c r="AL39" i="33"/>
  <c r="AT39" i="33" s="1"/>
  <c r="AL37" i="33"/>
  <c r="AT37" i="33" s="1"/>
  <c r="AL36" i="33"/>
  <c r="AT36" i="33" s="1"/>
  <c r="AL35" i="33"/>
  <c r="AL33" i="33"/>
  <c r="AL32" i="33"/>
  <c r="AL31" i="33"/>
  <c r="AL29" i="33"/>
  <c r="AL28" i="33"/>
  <c r="AL27" i="33"/>
  <c r="AL25" i="33"/>
  <c r="AL23" i="33"/>
  <c r="AL21" i="33"/>
  <c r="AL19" i="33"/>
  <c r="AL7" i="33"/>
  <c r="AL3" i="33"/>
  <c r="AF41" i="33"/>
  <c r="AF40" i="33"/>
  <c r="AF39" i="33"/>
  <c r="AF37" i="33"/>
  <c r="AF36" i="33"/>
  <c r="AF35" i="33"/>
  <c r="AF33" i="33"/>
  <c r="AF32" i="33"/>
  <c r="AF31" i="33"/>
  <c r="AF29" i="33"/>
  <c r="AF28" i="33"/>
  <c r="AF27" i="33"/>
  <c r="AF25" i="33"/>
  <c r="AF23" i="33"/>
  <c r="AF21" i="33"/>
  <c r="AF19" i="33"/>
  <c r="AF3" i="33"/>
  <c r="AF7" i="33"/>
  <c r="E96" i="38" l="1"/>
  <c r="M82" i="38" s="1"/>
  <c r="I94" i="38"/>
  <c r="M94" i="38" s="1"/>
  <c r="I92" i="38"/>
  <c r="N77" i="38"/>
  <c r="N82" i="38"/>
  <c r="M51" i="38"/>
  <c r="M79" i="38"/>
  <c r="M83" i="38"/>
  <c r="AR86" i="36"/>
  <c r="AR89" i="36" s="1"/>
  <c r="AR91" i="36" s="1"/>
  <c r="BK85" i="36"/>
  <c r="S85" i="36"/>
  <c r="BL85" i="36"/>
  <c r="BA70" i="36"/>
  <c r="BA72" i="36" s="1"/>
  <c r="BA75" i="36" s="1"/>
  <c r="BA80" i="36" s="1"/>
  <c r="AM85" i="36"/>
  <c r="BC70" i="36"/>
  <c r="BC72" i="36" s="1"/>
  <c r="BC75" i="36" s="1"/>
  <c r="BC80" i="36" s="1"/>
  <c r="S72" i="38"/>
  <c r="S68" i="38"/>
  <c r="S73" i="38"/>
  <c r="S69" i="38"/>
  <c r="S74" i="38"/>
  <c r="S70" i="38"/>
  <c r="S66" i="38"/>
  <c r="S71" i="38"/>
  <c r="S67" i="38"/>
  <c r="AN62" i="38"/>
  <c r="AP53" i="38"/>
  <c r="AP62" i="38" s="1"/>
  <c r="CO62" i="38" s="1"/>
  <c r="R66" i="38"/>
  <c r="R73" i="38"/>
  <c r="R72" i="38"/>
  <c r="R71" i="38"/>
  <c r="R70" i="38"/>
  <c r="R69" i="38"/>
  <c r="R68" i="38"/>
  <c r="R67" i="38"/>
  <c r="CS53" i="38"/>
  <c r="CR62" i="38"/>
  <c r="CS62" i="38" s="1"/>
  <c r="CU53" i="38" s="1"/>
  <c r="AN85" i="36"/>
  <c r="AC85" i="36"/>
  <c r="AO85" i="36"/>
  <c r="AF85" i="36"/>
  <c r="AB85" i="36"/>
  <c r="U90" i="37"/>
  <c r="U93" i="37" s="1"/>
  <c r="U95" i="37" s="1"/>
  <c r="U91" i="37"/>
  <c r="O85" i="36"/>
  <c r="AF87" i="36"/>
  <c r="AP85" i="36"/>
  <c r="AB86" i="36"/>
  <c r="AB87" i="36"/>
  <c r="AD85" i="36"/>
  <c r="R85" i="36"/>
  <c r="BP48" i="36"/>
  <c r="BN57" i="36"/>
  <c r="AO87" i="36"/>
  <c r="AO86" i="36"/>
  <c r="P85" i="36"/>
  <c r="AH57" i="36"/>
  <c r="AJ48" i="36"/>
  <c r="AV48" i="36"/>
  <c r="AT57" i="36"/>
  <c r="BN68" i="36"/>
  <c r="BP68" i="36" s="1"/>
  <c r="BN66" i="36"/>
  <c r="BP66" i="36" s="1"/>
  <c r="BN64" i="36"/>
  <c r="BP64" i="36" s="1"/>
  <c r="BN62" i="36"/>
  <c r="BP62" i="36" s="1"/>
  <c r="BN69" i="36"/>
  <c r="BP69" i="36" s="1"/>
  <c r="BN67" i="36"/>
  <c r="BP67" i="36" s="1"/>
  <c r="BN63" i="36"/>
  <c r="BP63" i="36" s="1"/>
  <c r="BN65" i="36"/>
  <c r="BP65" i="36" s="1"/>
  <c r="S87" i="36"/>
  <c r="S86" i="36"/>
  <c r="BB85" i="36"/>
  <c r="AQ85" i="36"/>
  <c r="Q85" i="36"/>
  <c r="AC87" i="36"/>
  <c r="AC86" i="36"/>
  <c r="BL87" i="36"/>
  <c r="BL86" i="36"/>
  <c r="O87" i="36"/>
  <c r="O86" i="36"/>
  <c r="AE85" i="36"/>
  <c r="AM87" i="36"/>
  <c r="AM86" i="36"/>
  <c r="AA85" i="36"/>
  <c r="AH69" i="36"/>
  <c r="AJ69" i="36" s="1"/>
  <c r="AH67" i="36"/>
  <c r="AJ67" i="36" s="1"/>
  <c r="AH65" i="36"/>
  <c r="AJ65" i="36" s="1"/>
  <c r="AH63" i="36"/>
  <c r="AJ63" i="36" s="1"/>
  <c r="AH68" i="36"/>
  <c r="AJ68" i="36" s="1"/>
  <c r="AH62" i="36"/>
  <c r="AJ62" i="36" s="1"/>
  <c r="AH64" i="36"/>
  <c r="AJ64" i="36" s="1"/>
  <c r="AH66" i="36"/>
  <c r="AJ66" i="36" s="1"/>
  <c r="BK87" i="36"/>
  <c r="BK86" i="36"/>
  <c r="AT68" i="36"/>
  <c r="AV68" i="36" s="1"/>
  <c r="AT66" i="36"/>
  <c r="AV66" i="36" s="1"/>
  <c r="AT64" i="36"/>
  <c r="AV64" i="36" s="1"/>
  <c r="AT62" i="36"/>
  <c r="AV62" i="36" s="1"/>
  <c r="AT69" i="36"/>
  <c r="AV69" i="36" s="1"/>
  <c r="AT65" i="36"/>
  <c r="AV65" i="36" s="1"/>
  <c r="AT63" i="36"/>
  <c r="AV63" i="36" s="1"/>
  <c r="AT67" i="36"/>
  <c r="AV67" i="36" s="1"/>
  <c r="AN87" i="36"/>
  <c r="AN86" i="36"/>
  <c r="AF22" i="33"/>
  <c r="AF26" i="33"/>
  <c r="AF30" i="33"/>
  <c r="AF34" i="33"/>
  <c r="AF38" i="33"/>
  <c r="AL20" i="33"/>
  <c r="AL24" i="33"/>
  <c r="AF18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38" i="33"/>
  <c r="AE39" i="33"/>
  <c r="AE40" i="33"/>
  <c r="AE41" i="33"/>
  <c r="AE3" i="33"/>
  <c r="AE7" i="33"/>
  <c r="AL43" i="33" l="1"/>
  <c r="M77" i="38"/>
  <c r="BC85" i="36"/>
  <c r="S75" i="38"/>
  <c r="S77" i="38" s="1"/>
  <c r="S80" i="38" s="1"/>
  <c r="S85" i="38" s="1"/>
  <c r="CR70" i="38"/>
  <c r="CS70" i="38" s="1"/>
  <c r="AN70" i="38"/>
  <c r="AP70" i="38" s="1"/>
  <c r="CR74" i="38"/>
  <c r="CS74" i="38" s="1"/>
  <c r="AN74" i="38"/>
  <c r="AP74" i="38" s="1"/>
  <c r="CR69" i="38"/>
  <c r="CS69" i="38" s="1"/>
  <c r="AN69" i="38"/>
  <c r="AP69" i="38" s="1"/>
  <c r="CR73" i="38"/>
  <c r="CS73" i="38" s="1"/>
  <c r="AN73" i="38"/>
  <c r="AP73" i="38" s="1"/>
  <c r="CR68" i="38"/>
  <c r="CS68" i="38" s="1"/>
  <c r="AN68" i="38"/>
  <c r="AP68" i="38" s="1"/>
  <c r="CR72" i="38"/>
  <c r="CS72" i="38" s="1"/>
  <c r="AN72" i="38"/>
  <c r="AP72" i="38" s="1"/>
  <c r="CR67" i="38"/>
  <c r="CS67" i="38" s="1"/>
  <c r="AN67" i="38"/>
  <c r="AP67" i="38" s="1"/>
  <c r="CR71" i="38"/>
  <c r="CS71" i="38" s="1"/>
  <c r="AN71" i="38"/>
  <c r="AP71" i="38" s="1"/>
  <c r="CR66" i="38"/>
  <c r="AN66" i="38"/>
  <c r="R75" i="38"/>
  <c r="R77" i="38" s="1"/>
  <c r="R80" i="38" s="1"/>
  <c r="R85" i="38" s="1"/>
  <c r="AO89" i="36"/>
  <c r="AO91" i="36" s="1"/>
  <c r="BK89" i="36"/>
  <c r="BK91" i="36" s="1"/>
  <c r="BL89" i="36"/>
  <c r="BL91" i="36" s="1"/>
  <c r="AF86" i="36"/>
  <c r="AF89" i="36" s="1"/>
  <c r="AF91" i="36" s="1"/>
  <c r="AB89" i="36"/>
  <c r="AB91" i="36" s="1"/>
  <c r="AN89" i="36"/>
  <c r="AN91" i="36" s="1"/>
  <c r="AM89" i="36"/>
  <c r="AM91" i="36" s="1"/>
  <c r="O89" i="36"/>
  <c r="O91" i="36" s="1"/>
  <c r="AC89" i="36"/>
  <c r="AC91" i="36" s="1"/>
  <c r="S89" i="36"/>
  <c r="S91" i="36" s="1"/>
  <c r="BC87" i="36"/>
  <c r="BC86" i="36"/>
  <c r="AV57" i="36"/>
  <c r="P87" i="36"/>
  <c r="P86" i="36"/>
  <c r="R87" i="36"/>
  <c r="R86" i="36"/>
  <c r="AD87" i="36"/>
  <c r="AD86" i="36"/>
  <c r="AP87" i="36"/>
  <c r="AP86" i="36"/>
  <c r="AA87" i="36"/>
  <c r="AA86" i="36"/>
  <c r="AT61" i="36"/>
  <c r="AV61" i="36" s="1"/>
  <c r="AE87" i="36"/>
  <c r="AE86" i="36"/>
  <c r="Q87" i="36"/>
  <c r="Q86" i="36"/>
  <c r="BB87" i="36"/>
  <c r="BB86" i="36"/>
  <c r="BP57" i="36"/>
  <c r="AJ57" i="36"/>
  <c r="AH61" i="36"/>
  <c r="AJ61" i="36" s="1"/>
  <c r="AQ87" i="36"/>
  <c r="AQ86" i="36"/>
  <c r="BN61" i="36"/>
  <c r="BP61" i="36" s="1"/>
  <c r="AE43" i="33"/>
  <c r="AF43" i="33"/>
  <c r="AH6" i="33"/>
  <c r="AD18" i="33"/>
  <c r="AD19" i="33"/>
  <c r="AB43" i="33"/>
  <c r="AC43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38" i="33"/>
  <c r="AD39" i="33"/>
  <c r="AD40" i="33"/>
  <c r="AD41" i="33"/>
  <c r="AB3" i="33"/>
  <c r="AC3" i="33"/>
  <c r="AD3" i="33"/>
  <c r="AB7" i="33"/>
  <c r="AC7" i="33"/>
  <c r="AD7" i="33"/>
  <c r="S90" i="38" l="1"/>
  <c r="AN75" i="38"/>
  <c r="AP66" i="38"/>
  <c r="AP75" i="38" s="1"/>
  <c r="CO75" i="38" s="1"/>
  <c r="CO80" i="38"/>
  <c r="R90" i="38"/>
  <c r="AN80" i="38"/>
  <c r="CS66" i="38"/>
  <c r="CR75" i="38"/>
  <c r="CS75" i="38" s="1"/>
  <c r="CU66" i="38" s="1"/>
  <c r="AE89" i="36"/>
  <c r="AE91" i="36" s="1"/>
  <c r="AA89" i="36"/>
  <c r="AA91" i="36" s="1"/>
  <c r="AD89" i="36"/>
  <c r="AD91" i="36" s="1"/>
  <c r="AP89" i="36"/>
  <c r="AP91" i="36" s="1"/>
  <c r="BB89" i="36"/>
  <c r="BB91" i="36" s="1"/>
  <c r="BC89" i="36"/>
  <c r="BC91" i="36" s="1"/>
  <c r="AQ89" i="36"/>
  <c r="AQ91" i="36" s="1"/>
  <c r="P89" i="36"/>
  <c r="P91" i="36" s="1"/>
  <c r="AJ70" i="36"/>
  <c r="BP70" i="36"/>
  <c r="AV70" i="36"/>
  <c r="Q89" i="36"/>
  <c r="Q91" i="36" s="1"/>
  <c r="R89" i="36"/>
  <c r="R91" i="36" s="1"/>
  <c r="AH70" i="36"/>
  <c r="N85" i="36"/>
  <c r="AT70" i="36"/>
  <c r="BN70" i="36"/>
  <c r="BK13" i="33"/>
  <c r="BJ13" i="33"/>
  <c r="BD13" i="33"/>
  <c r="BC13" i="33"/>
  <c r="BB13" i="33"/>
  <c r="BA13" i="33"/>
  <c r="AZ13" i="33"/>
  <c r="AY13" i="33"/>
  <c r="AX13" i="33"/>
  <c r="AR13" i="33"/>
  <c r="AQ13" i="33"/>
  <c r="AP13" i="33"/>
  <c r="AO13" i="33"/>
  <c r="AN13" i="33"/>
  <c r="AM13" i="33"/>
  <c r="AL13" i="33"/>
  <c r="S92" i="38" l="1"/>
  <c r="S91" i="38"/>
  <c r="R91" i="38"/>
  <c r="CO85" i="38"/>
  <c r="CP85" i="38" s="1"/>
  <c r="R92" i="38"/>
  <c r="AN85" i="38"/>
  <c r="CO90" i="38"/>
  <c r="AN90" i="38"/>
  <c r="N87" i="36"/>
  <c r="N86" i="36"/>
  <c r="BA85" i="36"/>
  <c r="Z85" i="36"/>
  <c r="AH75" i="36"/>
  <c r="BJ85" i="36"/>
  <c r="BN75" i="36"/>
  <c r="AL85" i="36"/>
  <c r="AT75" i="36"/>
  <c r="AA41" i="33"/>
  <c r="AA40" i="33"/>
  <c r="AA39" i="33"/>
  <c r="AA38" i="33"/>
  <c r="AA37" i="33"/>
  <c r="AA36" i="33"/>
  <c r="AA35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AA22" i="33"/>
  <c r="AA19" i="33"/>
  <c r="AA18" i="33"/>
  <c r="AA3" i="33"/>
  <c r="N89" i="36" l="1"/>
  <c r="S94" i="38"/>
  <c r="S96" i="38" s="1"/>
  <c r="CO91" i="38"/>
  <c r="AN91" i="38"/>
  <c r="CO92" i="38"/>
  <c r="AN92" i="38"/>
  <c r="R94" i="38"/>
  <c r="N91" i="36"/>
  <c r="AT85" i="36"/>
  <c r="AL87" i="36"/>
  <c r="AT87" i="36" s="1"/>
  <c r="AL86" i="36"/>
  <c r="AT86" i="36" s="1"/>
  <c r="AT80" i="36"/>
  <c r="BN85" i="36"/>
  <c r="BA87" i="36"/>
  <c r="BA86" i="36"/>
  <c r="Z87" i="36"/>
  <c r="AH87" i="36" s="1"/>
  <c r="Z86" i="36"/>
  <c r="AH86" i="36" s="1"/>
  <c r="AH80" i="36"/>
  <c r="BJ87" i="36"/>
  <c r="BN87" i="36" s="1"/>
  <c r="BJ86" i="36"/>
  <c r="BN86" i="36" s="1"/>
  <c r="BN80" i="36"/>
  <c r="AH85" i="36"/>
  <c r="AD21" i="33"/>
  <c r="AA21" i="33"/>
  <c r="AD20" i="33"/>
  <c r="AA20" i="33"/>
  <c r="Z41" i="33"/>
  <c r="Z40" i="33"/>
  <c r="Z39" i="33"/>
  <c r="Z38" i="33"/>
  <c r="Z37" i="33"/>
  <c r="Z36" i="33"/>
  <c r="Z35" i="33"/>
  <c r="Z34" i="33"/>
  <c r="Z33" i="33"/>
  <c r="Z32" i="33"/>
  <c r="Z31" i="33"/>
  <c r="Z30" i="33"/>
  <c r="Z29" i="33"/>
  <c r="Z28" i="33"/>
  <c r="Z27" i="33"/>
  <c r="Z26" i="33"/>
  <c r="Z25" i="33"/>
  <c r="Z24" i="33"/>
  <c r="Z23" i="33"/>
  <c r="Z22" i="33"/>
  <c r="Z21" i="33"/>
  <c r="Z20" i="33"/>
  <c r="Z19" i="33"/>
  <c r="Z18" i="33"/>
  <c r="Z7" i="33"/>
  <c r="Z3" i="33"/>
  <c r="AF13" i="33"/>
  <c r="AE13" i="33"/>
  <c r="AD13" i="33"/>
  <c r="AC13" i="33"/>
  <c r="AB13" i="33"/>
  <c r="AA13" i="33"/>
  <c r="Z13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3" i="33"/>
  <c r="T7" i="33"/>
  <c r="CO94" i="38" l="1"/>
  <c r="AN94" i="38"/>
  <c r="R96" i="38"/>
  <c r="AL89" i="36"/>
  <c r="AL91" i="36" s="1"/>
  <c r="AT91" i="36" s="1"/>
  <c r="BA89" i="36"/>
  <c r="Z89" i="36"/>
  <c r="BJ89" i="36"/>
  <c r="AD43" i="33"/>
  <c r="AA43" i="33"/>
  <c r="Z43" i="33"/>
  <c r="T43" i="33"/>
  <c r="S18" i="33"/>
  <c r="S19" i="33"/>
  <c r="S20" i="33"/>
  <c r="S21" i="33"/>
  <c r="S22" i="33"/>
  <c r="S23" i="33"/>
  <c r="S24" i="33"/>
  <c r="S25" i="33"/>
  <c r="S26" i="33"/>
  <c r="S27" i="33"/>
  <c r="S28" i="33"/>
  <c r="S29" i="33"/>
  <c r="S30" i="33"/>
  <c r="S31" i="33"/>
  <c r="S32" i="33"/>
  <c r="S33" i="33"/>
  <c r="S34" i="33"/>
  <c r="S35" i="33"/>
  <c r="S36" i="33"/>
  <c r="S37" i="33"/>
  <c r="S38" i="33"/>
  <c r="S39" i="33"/>
  <c r="S40" i="33"/>
  <c r="S41" i="33"/>
  <c r="S3" i="33"/>
  <c r="S7" i="33"/>
  <c r="CO96" i="38" l="1"/>
  <c r="CP96" i="38" s="1"/>
  <c r="AN96" i="38"/>
  <c r="AT89" i="36"/>
  <c r="AH89" i="36"/>
  <c r="Z91" i="36"/>
  <c r="BN89" i="36"/>
  <c r="BJ91" i="36"/>
  <c r="BN91" i="36" s="1"/>
  <c r="BA91" i="36"/>
  <c r="S43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AH91" i="36" l="1"/>
  <c r="R43" i="33"/>
  <c r="O21" i="33"/>
  <c r="R3" i="33"/>
  <c r="Q41" i="33" l="1"/>
  <c r="Q40" i="33"/>
  <c r="Q39" i="33"/>
  <c r="Q38" i="33"/>
  <c r="Q37" i="33"/>
  <c r="Q36" i="33"/>
  <c r="Q35" i="33"/>
  <c r="Q34" i="33"/>
  <c r="Q33" i="33"/>
  <c r="Q32" i="33"/>
  <c r="Q31" i="33"/>
  <c r="Q30" i="33"/>
  <c r="Q29" i="33"/>
  <c r="Q28" i="33"/>
  <c r="Q27" i="33"/>
  <c r="Q26" i="33"/>
  <c r="Q25" i="33"/>
  <c r="Q24" i="33"/>
  <c r="Q23" i="33"/>
  <c r="Q22" i="33"/>
  <c r="Q21" i="33"/>
  <c r="Q20" i="33"/>
  <c r="Q19" i="33"/>
  <c r="Q18" i="33"/>
  <c r="Q3" i="33"/>
  <c r="Q7" i="33"/>
  <c r="N13" i="33"/>
  <c r="Q43" i="33" l="1"/>
  <c r="O13" i="33"/>
  <c r="P13" i="33"/>
  <c r="Q13" i="33"/>
  <c r="R13" i="33"/>
  <c r="S13" i="33"/>
  <c r="T13" i="33"/>
  <c r="BL13" i="32"/>
  <c r="BK13" i="32"/>
  <c r="BJ13" i="32"/>
  <c r="BD13" i="32"/>
  <c r="BC13" i="32"/>
  <c r="BB13" i="32"/>
  <c r="BA13" i="32"/>
  <c r="AZ13" i="32"/>
  <c r="AY13" i="32"/>
  <c r="AX13" i="32"/>
  <c r="AR13" i="32"/>
  <c r="AQ13" i="32"/>
  <c r="AP13" i="32"/>
  <c r="AO13" i="32"/>
  <c r="AN13" i="32"/>
  <c r="AM13" i="32"/>
  <c r="AL13" i="32"/>
  <c r="AF13" i="32"/>
  <c r="AE13" i="32"/>
  <c r="AD13" i="32"/>
  <c r="AC13" i="32"/>
  <c r="AB13" i="32"/>
  <c r="AA13" i="32"/>
  <c r="Z13" i="32"/>
  <c r="O13" i="32"/>
  <c r="P13" i="32"/>
  <c r="Q13" i="32"/>
  <c r="R13" i="32"/>
  <c r="S13" i="32"/>
  <c r="T13" i="32"/>
  <c r="N13" i="32"/>
  <c r="P7" i="33" l="1"/>
  <c r="O41" i="33"/>
  <c r="O40" i="33"/>
  <c r="O39" i="33"/>
  <c r="O38" i="33"/>
  <c r="O37" i="33"/>
  <c r="O36" i="33"/>
  <c r="O35" i="33"/>
  <c r="O34" i="33"/>
  <c r="O33" i="33"/>
  <c r="O32" i="33"/>
  <c r="O31" i="33"/>
  <c r="O30" i="33"/>
  <c r="O29" i="33"/>
  <c r="O28" i="33"/>
  <c r="O27" i="33"/>
  <c r="O26" i="33"/>
  <c r="O25" i="33"/>
  <c r="O24" i="33"/>
  <c r="O23" i="33"/>
  <c r="O22" i="33"/>
  <c r="O20" i="33"/>
  <c r="O19" i="33"/>
  <c r="O18" i="33"/>
  <c r="O3" i="33"/>
  <c r="O7" i="33"/>
  <c r="O43" i="33" l="1"/>
  <c r="N79" i="33"/>
  <c r="AZ81" i="33"/>
  <c r="AI70" i="33"/>
  <c r="BN56" i="33"/>
  <c r="AU55" i="33"/>
  <c r="BG51" i="33"/>
  <c r="W49" i="33"/>
  <c r="N35" i="33"/>
  <c r="N19" i="33"/>
  <c r="K95" i="33"/>
  <c r="K94" i="33" s="1"/>
  <c r="C95" i="33"/>
  <c r="AZ86" i="33"/>
  <c r="E79" i="33"/>
  <c r="H79" i="33" s="1"/>
  <c r="BM78" i="33"/>
  <c r="BF79" i="33"/>
  <c r="AH79" i="33"/>
  <c r="I78" i="33"/>
  <c r="H78" i="33"/>
  <c r="G78" i="33"/>
  <c r="F78" i="33"/>
  <c r="BM75" i="33"/>
  <c r="BF75" i="33"/>
  <c r="E71" i="33"/>
  <c r="K70" i="33" s="1"/>
  <c r="I70" i="33"/>
  <c r="H70" i="33"/>
  <c r="G70" i="33"/>
  <c r="F70" i="33"/>
  <c r="AU69" i="33"/>
  <c r="BG69" i="33"/>
  <c r="BN68" i="33"/>
  <c r="I68" i="33"/>
  <c r="H68" i="33"/>
  <c r="G68" i="33"/>
  <c r="F68" i="33"/>
  <c r="BG67" i="33"/>
  <c r="I67" i="33"/>
  <c r="H67" i="33"/>
  <c r="G67" i="33"/>
  <c r="F67" i="33"/>
  <c r="BN66" i="33"/>
  <c r="I66" i="33"/>
  <c r="H66" i="33"/>
  <c r="G66" i="33"/>
  <c r="F66" i="33"/>
  <c r="AU65" i="33"/>
  <c r="BG65" i="33"/>
  <c r="I65" i="33"/>
  <c r="H65" i="33"/>
  <c r="G65" i="33"/>
  <c r="F65" i="33"/>
  <c r="BG63" i="33"/>
  <c r="I63" i="33"/>
  <c r="H63" i="33"/>
  <c r="G63" i="33"/>
  <c r="F63" i="33"/>
  <c r="AU62" i="33"/>
  <c r="BN62" i="33"/>
  <c r="I62" i="33"/>
  <c r="H62" i="33"/>
  <c r="G62" i="33"/>
  <c r="F62" i="33"/>
  <c r="E58" i="33"/>
  <c r="K57" i="33" s="1"/>
  <c r="BG57" i="33"/>
  <c r="I57" i="33"/>
  <c r="H57" i="33"/>
  <c r="G57" i="33"/>
  <c r="F57" i="33"/>
  <c r="I56" i="33"/>
  <c r="H56" i="33"/>
  <c r="G56" i="33"/>
  <c r="F56" i="33"/>
  <c r="BG55" i="33"/>
  <c r="I55" i="33"/>
  <c r="H55" i="33"/>
  <c r="G55" i="33"/>
  <c r="F55" i="33"/>
  <c r="BN54" i="33"/>
  <c r="I54" i="33"/>
  <c r="H54" i="33"/>
  <c r="G54" i="33"/>
  <c r="F54" i="33"/>
  <c r="BG53" i="33"/>
  <c r="I53" i="33"/>
  <c r="H53" i="33"/>
  <c r="G53" i="33"/>
  <c r="F53" i="33"/>
  <c r="I52" i="33"/>
  <c r="H52" i="33"/>
  <c r="G52" i="33"/>
  <c r="F52" i="33"/>
  <c r="AU51" i="33"/>
  <c r="I51" i="33"/>
  <c r="H51" i="33"/>
  <c r="G51" i="33"/>
  <c r="F51" i="33"/>
  <c r="AI50" i="33"/>
  <c r="J58" i="33"/>
  <c r="I47" i="33"/>
  <c r="H47" i="33"/>
  <c r="G47" i="33"/>
  <c r="F47" i="33"/>
  <c r="BQ43" i="33"/>
  <c r="AZ43" i="33"/>
  <c r="AZ10" i="33" s="1"/>
  <c r="AZ11" i="33" s="1"/>
  <c r="AZ47" i="33" s="1"/>
  <c r="I43" i="33"/>
  <c r="H43" i="33"/>
  <c r="G43" i="33"/>
  <c r="F43" i="33"/>
  <c r="E43" i="33"/>
  <c r="BR41" i="33"/>
  <c r="BR40" i="33"/>
  <c r="N40" i="33"/>
  <c r="BR39" i="33"/>
  <c r="BR38" i="33"/>
  <c r="BR37" i="33"/>
  <c r="BR36" i="33"/>
  <c r="N36" i="33"/>
  <c r="BR35" i="33"/>
  <c r="BR34" i="33"/>
  <c r="BR33" i="33"/>
  <c r="BR32" i="33"/>
  <c r="BR31" i="33"/>
  <c r="BR30" i="33"/>
  <c r="BR29" i="33"/>
  <c r="BR28" i="33"/>
  <c r="BR27" i="33"/>
  <c r="BR26" i="33"/>
  <c r="BR25" i="33"/>
  <c r="N25" i="33"/>
  <c r="BR24" i="33"/>
  <c r="BR23" i="33"/>
  <c r="N23" i="33"/>
  <c r="BR22" i="33"/>
  <c r="BR21" i="33"/>
  <c r="BR20" i="33"/>
  <c r="BR19" i="33"/>
  <c r="BR18" i="33"/>
  <c r="K11" i="33"/>
  <c r="AY10" i="33"/>
  <c r="AY11" i="33" s="1"/>
  <c r="AY47" i="33" s="1"/>
  <c r="AX10" i="33"/>
  <c r="AX11" i="33" s="1"/>
  <c r="AX47" i="33" s="1"/>
  <c r="BK7" i="33"/>
  <c r="AZ7" i="33"/>
  <c r="AX7" i="33"/>
  <c r="AS7" i="33"/>
  <c r="AQ7" i="33"/>
  <c r="AP7" i="33"/>
  <c r="AO7" i="33"/>
  <c r="AN7" i="33"/>
  <c r="AM7" i="33"/>
  <c r="AA7" i="33"/>
  <c r="R7" i="33"/>
  <c r="N7" i="33"/>
  <c r="BM6" i="33"/>
  <c r="BO7" i="33" s="1"/>
  <c r="BF6" i="33"/>
  <c r="V6" i="33"/>
  <c r="X7" i="33" s="1"/>
  <c r="X8" i="33" s="1"/>
  <c r="BM5" i="33"/>
  <c r="BF5" i="33"/>
  <c r="AT5" i="33"/>
  <c r="AH5" i="33"/>
  <c r="V5" i="33"/>
  <c r="BM4" i="33"/>
  <c r="BF4" i="33"/>
  <c r="AT4" i="33"/>
  <c r="AH4" i="33"/>
  <c r="V4" i="33"/>
  <c r="N3" i="33"/>
  <c r="K51" i="33" l="1"/>
  <c r="K54" i="33"/>
  <c r="K68" i="33"/>
  <c r="K64" i="33"/>
  <c r="K55" i="33"/>
  <c r="K62" i="33"/>
  <c r="K69" i="33"/>
  <c r="I71" i="33"/>
  <c r="I73" i="33" s="1"/>
  <c r="K65" i="33"/>
  <c r="AX53" i="33"/>
  <c r="AX52" i="33"/>
  <c r="BB54" i="33"/>
  <c r="BB49" i="33"/>
  <c r="BB50" i="33"/>
  <c r="BB56" i="33"/>
  <c r="BB55" i="33"/>
  <c r="BB53" i="33"/>
  <c r="BB52" i="33"/>
  <c r="BB57" i="33"/>
  <c r="BB51" i="33"/>
  <c r="BM3" i="33"/>
  <c r="E47" i="33"/>
  <c r="CA3" i="33"/>
  <c r="CB3" i="33" s="1"/>
  <c r="K24" i="33"/>
  <c r="BN4" i="33"/>
  <c r="AY55" i="33"/>
  <c r="AY51" i="33"/>
  <c r="AY56" i="33"/>
  <c r="AY52" i="33"/>
  <c r="AY50" i="33"/>
  <c r="AY57" i="33"/>
  <c r="AY53" i="33"/>
  <c r="AY49" i="33"/>
  <c r="AY54" i="33"/>
  <c r="AX55" i="33"/>
  <c r="AX51" i="33"/>
  <c r="AX56" i="33"/>
  <c r="AX57" i="33"/>
  <c r="AX49" i="33"/>
  <c r="AX54" i="33"/>
  <c r="AX50" i="33"/>
  <c r="BG4" i="33"/>
  <c r="AU4" i="33"/>
  <c r="BU8" i="33"/>
  <c r="W4" i="33"/>
  <c r="K22" i="33"/>
  <c r="K26" i="33"/>
  <c r="K20" i="33"/>
  <c r="K18" i="33"/>
  <c r="K31" i="33"/>
  <c r="K19" i="33"/>
  <c r="K21" i="33"/>
  <c r="K23" i="33"/>
  <c r="K30" i="33"/>
  <c r="K38" i="33"/>
  <c r="K28" i="33"/>
  <c r="K33" i="33"/>
  <c r="BZ4" i="33"/>
  <c r="J43" i="33"/>
  <c r="AT3" i="33"/>
  <c r="N24" i="33"/>
  <c r="BT24" i="33" s="1"/>
  <c r="BU24" i="33" s="1"/>
  <c r="K25" i="33"/>
  <c r="K27" i="33"/>
  <c r="K32" i="33"/>
  <c r="K39" i="33"/>
  <c r="K40" i="33"/>
  <c r="K41" i="33"/>
  <c r="BR43" i="33"/>
  <c r="AU49" i="33"/>
  <c r="BN51" i="33"/>
  <c r="K53" i="33"/>
  <c r="AZ53" i="33" s="1"/>
  <c r="W55" i="33"/>
  <c r="K56" i="33"/>
  <c r="BN57" i="33"/>
  <c r="W62" i="33"/>
  <c r="K63" i="33"/>
  <c r="W65" i="33"/>
  <c r="K66" i="33"/>
  <c r="AU67" i="33"/>
  <c r="BN69" i="33"/>
  <c r="V78" i="33"/>
  <c r="I79" i="33"/>
  <c r="N39" i="33"/>
  <c r="BT39" i="33" s="1"/>
  <c r="BU39" i="33" s="1"/>
  <c r="W53" i="33"/>
  <c r="W63" i="33"/>
  <c r="BN67" i="33"/>
  <c r="AH3" i="33"/>
  <c r="K29" i="33"/>
  <c r="N30" i="33"/>
  <c r="BT30" i="33" s="1"/>
  <c r="BU30" i="33" s="1"/>
  <c r="K34" i="33"/>
  <c r="K35" i="33"/>
  <c r="K36" i="33"/>
  <c r="K37" i="33"/>
  <c r="C43" i="33"/>
  <c r="K6" i="33" s="1"/>
  <c r="K49" i="33"/>
  <c r="K50" i="33"/>
  <c r="AZ50" i="33" s="1"/>
  <c r="H71" i="33"/>
  <c r="W51" i="33"/>
  <c r="K52" i="33"/>
  <c r="AZ52" i="33" s="1"/>
  <c r="AU53" i="33"/>
  <c r="BN55" i="33"/>
  <c r="W57" i="33"/>
  <c r="AU63" i="33"/>
  <c r="BN65" i="33"/>
  <c r="K67" i="33"/>
  <c r="W69" i="33"/>
  <c r="G79" i="33"/>
  <c r="BM7" i="33"/>
  <c r="N34" i="33"/>
  <c r="V34" i="33" s="1"/>
  <c r="BN53" i="33"/>
  <c r="AU57" i="33"/>
  <c r="BN63" i="33"/>
  <c r="W67" i="33"/>
  <c r="BF3" i="33"/>
  <c r="BF7" i="33"/>
  <c r="BH7" i="33"/>
  <c r="AH7" i="33"/>
  <c r="V3" i="33"/>
  <c r="V7" i="33"/>
  <c r="CB34" i="33"/>
  <c r="CB33" i="33"/>
  <c r="CB32" i="33"/>
  <c r="CB31" i="33"/>
  <c r="AI4" i="33"/>
  <c r="J5" i="33"/>
  <c r="AZ83" i="33"/>
  <c r="AZ56" i="33"/>
  <c r="AZ54" i="33"/>
  <c r="AZ57" i="33"/>
  <c r="AZ55" i="33"/>
  <c r="AZ51" i="33"/>
  <c r="AZ49" i="33"/>
  <c r="AJ7" i="33"/>
  <c r="AT25" i="33"/>
  <c r="AY83" i="33"/>
  <c r="AT24" i="33"/>
  <c r="BM24" i="33"/>
  <c r="BF25" i="33"/>
  <c r="N29" i="33"/>
  <c r="AT30" i="33"/>
  <c r="BF31" i="33"/>
  <c r="N18" i="33"/>
  <c r="AT19" i="33"/>
  <c r="BF19" i="33"/>
  <c r="BM19" i="33"/>
  <c r="N21" i="33"/>
  <c r="N22" i="33"/>
  <c r="V23" i="33"/>
  <c r="BF23" i="33"/>
  <c r="AH24" i="33"/>
  <c r="BT25" i="33"/>
  <c r="BU25" i="33" s="1"/>
  <c r="N28" i="33"/>
  <c r="BF29" i="33"/>
  <c r="BM30" i="33"/>
  <c r="N20" i="33"/>
  <c r="BF22" i="33"/>
  <c r="BT23" i="33"/>
  <c r="BU23" i="33" s="1"/>
  <c r="V25" i="33"/>
  <c r="N26" i="33"/>
  <c r="N27" i="33"/>
  <c r="BM27" i="33"/>
  <c r="V30" i="33"/>
  <c r="N31" i="33"/>
  <c r="BF20" i="33"/>
  <c r="AH31" i="33"/>
  <c r="AT31" i="33"/>
  <c r="BF32" i="33"/>
  <c r="AT32" i="33"/>
  <c r="N32" i="33"/>
  <c r="BM41" i="33"/>
  <c r="H73" i="33"/>
  <c r="H75" i="33"/>
  <c r="BN52" i="33"/>
  <c r="AU52" i="33"/>
  <c r="W52" i="33"/>
  <c r="BG52" i="33"/>
  <c r="N33" i="33"/>
  <c r="BM35" i="33"/>
  <c r="BM37" i="33"/>
  <c r="BG49" i="33"/>
  <c r="BN49" i="33"/>
  <c r="BN50" i="33"/>
  <c r="AU50" i="33"/>
  <c r="W50" i="33"/>
  <c r="BF35" i="33"/>
  <c r="BT36" i="33"/>
  <c r="BU36" i="33" s="1"/>
  <c r="N38" i="33"/>
  <c r="BF39" i="33"/>
  <c r="AI49" i="33"/>
  <c r="AI52" i="33"/>
  <c r="AH34" i="33"/>
  <c r="V36" i="33"/>
  <c r="N37" i="33"/>
  <c r="V40" i="33"/>
  <c r="BT40" i="33"/>
  <c r="BU40" i="33" s="1"/>
  <c r="N41" i="33"/>
  <c r="BG50" i="33"/>
  <c r="G71" i="33"/>
  <c r="J71" i="33"/>
  <c r="J75" i="33" s="1"/>
  <c r="AI54" i="33"/>
  <c r="BG54" i="33"/>
  <c r="AI56" i="33"/>
  <c r="BG56" i="33"/>
  <c r="BN64" i="33"/>
  <c r="AU64" i="33"/>
  <c r="W64" i="33"/>
  <c r="BG64" i="33"/>
  <c r="E73" i="33"/>
  <c r="E75" i="33"/>
  <c r="F71" i="33"/>
  <c r="AI51" i="33"/>
  <c r="AI53" i="33"/>
  <c r="W54" i="33"/>
  <c r="AU54" i="33"/>
  <c r="AI55" i="33"/>
  <c r="W56" i="33"/>
  <c r="AU56" i="33"/>
  <c r="AI57" i="33"/>
  <c r="AI64" i="33"/>
  <c r="AI62" i="33"/>
  <c r="BG62" i="33"/>
  <c r="V79" i="33"/>
  <c r="AI66" i="33"/>
  <c r="BG66" i="33"/>
  <c r="AU68" i="33"/>
  <c r="BF78" i="33"/>
  <c r="BQ78" i="33"/>
  <c r="BR78" i="33" s="1"/>
  <c r="C96" i="33"/>
  <c r="C97" i="33" s="1"/>
  <c r="W68" i="33"/>
  <c r="AI68" i="33"/>
  <c r="BN70" i="33"/>
  <c r="AU70" i="33"/>
  <c r="W70" i="33"/>
  <c r="AH78" i="33"/>
  <c r="K96" i="33"/>
  <c r="K97" i="33" s="1"/>
  <c r="AI63" i="33"/>
  <c r="AI65" i="33"/>
  <c r="W66" i="33"/>
  <c r="AU66" i="33"/>
  <c r="AI67" i="33"/>
  <c r="BG68" i="33"/>
  <c r="BG70" i="33"/>
  <c r="AT79" i="33"/>
  <c r="AT78" i="33"/>
  <c r="BM79" i="33"/>
  <c r="AZ88" i="33"/>
  <c r="AZ87" i="33"/>
  <c r="AI69" i="33"/>
  <c r="J79" i="33"/>
  <c r="F79" i="33"/>
  <c r="E87" i="33"/>
  <c r="J87" i="33" s="1"/>
  <c r="BN6" i="32"/>
  <c r="BN5" i="32"/>
  <c r="V6" i="32"/>
  <c r="CA3" i="32"/>
  <c r="CA4" i="32" s="1"/>
  <c r="BU6" i="32"/>
  <c r="BU5" i="32"/>
  <c r="BL77" i="32"/>
  <c r="BL78" i="32" s="1"/>
  <c r="BL3" i="32"/>
  <c r="BL7" i="32"/>
  <c r="BG37" i="33" l="1"/>
  <c r="I75" i="33"/>
  <c r="K71" i="33"/>
  <c r="AI34" i="33"/>
  <c r="BU7" i="32"/>
  <c r="BV8" i="32"/>
  <c r="BZ1" i="32"/>
  <c r="BN22" i="33"/>
  <c r="BG5" i="33"/>
  <c r="BN5" i="33"/>
  <c r="BO5" i="33" s="1"/>
  <c r="BO6" i="33" s="1"/>
  <c r="BN38" i="33"/>
  <c r="BN33" i="33"/>
  <c r="BN24" i="33"/>
  <c r="BO24" i="33" s="1"/>
  <c r="BN19" i="33"/>
  <c r="BO19" i="33" s="1"/>
  <c r="BB58" i="33"/>
  <c r="BB60" i="33" s="1"/>
  <c r="BN32" i="33"/>
  <c r="BN20" i="33"/>
  <c r="BN35" i="33"/>
  <c r="BO35" i="33" s="1"/>
  <c r="BN23" i="33"/>
  <c r="BN27" i="33"/>
  <c r="BO27" i="33" s="1"/>
  <c r="BN40" i="33"/>
  <c r="BN37" i="33"/>
  <c r="BO37" i="33" s="1"/>
  <c r="BN18" i="33"/>
  <c r="BN26" i="33"/>
  <c r="BN25" i="33"/>
  <c r="BN41" i="33"/>
  <c r="BO41" i="33" s="1"/>
  <c r="BN28" i="33"/>
  <c r="BN30" i="33"/>
  <c r="BO30" i="33" s="1"/>
  <c r="BG32" i="33"/>
  <c r="BH32" i="33" s="1"/>
  <c r="BG19" i="33"/>
  <c r="BH19" i="33" s="1"/>
  <c r="BG33" i="33"/>
  <c r="AI5" i="33"/>
  <c r="AJ5" i="33" s="1"/>
  <c r="AJ6" i="33" s="1"/>
  <c r="BH5" i="33"/>
  <c r="BH6" i="33" s="1"/>
  <c r="AU5" i="33"/>
  <c r="AV5" i="33" s="1"/>
  <c r="AV6" i="33" s="1"/>
  <c r="AY58" i="33"/>
  <c r="AY60" i="33" s="1"/>
  <c r="AY69" i="33" s="1"/>
  <c r="AX58" i="33"/>
  <c r="AX60" i="33" s="1"/>
  <c r="BG23" i="33"/>
  <c r="BH23" i="33" s="1"/>
  <c r="BG31" i="33"/>
  <c r="BH31" i="33" s="1"/>
  <c r="BG20" i="33"/>
  <c r="BH20" i="33" s="1"/>
  <c r="BG22" i="33"/>
  <c r="BH22" i="33" s="1"/>
  <c r="BG24" i="33"/>
  <c r="BG21" i="33"/>
  <c r="BN21" i="33"/>
  <c r="BN31" i="33"/>
  <c r="BG39" i="33"/>
  <c r="BH39" i="33" s="1"/>
  <c r="BN29" i="33"/>
  <c r="BN39" i="33"/>
  <c r="BN36" i="33"/>
  <c r="W41" i="33"/>
  <c r="W5" i="33"/>
  <c r="X5" i="33" s="1"/>
  <c r="X6" i="33" s="1"/>
  <c r="BN34" i="33"/>
  <c r="BG41" i="33"/>
  <c r="K43" i="33"/>
  <c r="J17" i="33"/>
  <c r="K17" i="33" s="1"/>
  <c r="AI25" i="33"/>
  <c r="AI30" i="33"/>
  <c r="AI22" i="33"/>
  <c r="AI28" i="33"/>
  <c r="AI26" i="33"/>
  <c r="AI23" i="33"/>
  <c r="AI33" i="33"/>
  <c r="AI27" i="33"/>
  <c r="AI29" i="33"/>
  <c r="W21" i="33"/>
  <c r="W30" i="33"/>
  <c r="X30" i="33" s="1"/>
  <c r="W28" i="33"/>
  <c r="W32" i="33"/>
  <c r="W23" i="33"/>
  <c r="X23" i="33" s="1"/>
  <c r="W27" i="33"/>
  <c r="W35" i="33"/>
  <c r="W29" i="33"/>
  <c r="W24" i="33"/>
  <c r="W38" i="33"/>
  <c r="W22" i="33"/>
  <c r="W31" i="33"/>
  <c r="W40" i="33"/>
  <c r="X40" i="33" s="1"/>
  <c r="W39" i="33"/>
  <c r="W26" i="33"/>
  <c r="W25" i="33"/>
  <c r="X25" i="33" s="1"/>
  <c r="W33" i="33"/>
  <c r="W58" i="33"/>
  <c r="V24" i="33"/>
  <c r="J47" i="33"/>
  <c r="W18" i="33"/>
  <c r="W20" i="33"/>
  <c r="W19" i="33"/>
  <c r="W36" i="33"/>
  <c r="W34" i="33"/>
  <c r="X34" i="33" s="1"/>
  <c r="W37" i="33"/>
  <c r="W71" i="33"/>
  <c r="AU58" i="33"/>
  <c r="BM25" i="33"/>
  <c r="BM23" i="33"/>
  <c r="AI19" i="33"/>
  <c r="AI31" i="33"/>
  <c r="AJ31" i="33" s="1"/>
  <c r="AI18" i="33"/>
  <c r="AI37" i="33"/>
  <c r="BT19" i="33"/>
  <c r="BU19" i="33" s="1"/>
  <c r="AI20" i="33"/>
  <c r="AI24" i="33"/>
  <c r="AI32" i="33"/>
  <c r="AI21" i="33"/>
  <c r="AI41" i="33"/>
  <c r="AU71" i="33"/>
  <c r="K58" i="33"/>
  <c r="E83" i="33"/>
  <c r="BY5" i="33"/>
  <c r="AZ58" i="33"/>
  <c r="AZ60" i="33" s="1"/>
  <c r="AZ70" i="33" s="1"/>
  <c r="BG26" i="33"/>
  <c r="BG25" i="33"/>
  <c r="BH25" i="33" s="1"/>
  <c r="BG29" i="33"/>
  <c r="BH29" i="33" s="1"/>
  <c r="BG28" i="33"/>
  <c r="BG36" i="33"/>
  <c r="BG34" i="33"/>
  <c r="BG27" i="33"/>
  <c r="BG30" i="33"/>
  <c r="BG18" i="33"/>
  <c r="BG38" i="33"/>
  <c r="BG40" i="33"/>
  <c r="BG35" i="33"/>
  <c r="BH35" i="33" s="1"/>
  <c r="AI36" i="33"/>
  <c r="AI35" i="33"/>
  <c r="AI38" i="33"/>
  <c r="AI40" i="33"/>
  <c r="AI39" i="33"/>
  <c r="BM39" i="33"/>
  <c r="AT33" i="33"/>
  <c r="AN43" i="33"/>
  <c r="AN10" i="33" s="1"/>
  <c r="AN11" i="33" s="1"/>
  <c r="AN47" i="33" s="1"/>
  <c r="BF18" i="33"/>
  <c r="AP10" i="33"/>
  <c r="AP11" i="33" s="1"/>
  <c r="AP47" i="33" s="1"/>
  <c r="BT34" i="33"/>
  <c r="BU34" i="33" s="1"/>
  <c r="BT29" i="33"/>
  <c r="BU29" i="33" s="1"/>
  <c r="V29" i="33"/>
  <c r="AA10" i="33"/>
  <c r="AA11" i="33" s="1"/>
  <c r="AA47" i="33" s="1"/>
  <c r="BM33" i="33"/>
  <c r="AH22" i="33"/>
  <c r="AD10" i="33"/>
  <c r="AD11" i="33" s="1"/>
  <c r="AD47" i="33" s="1"/>
  <c r="BF28" i="33"/>
  <c r="AH23" i="33"/>
  <c r="AT20" i="33"/>
  <c r="BT20" i="33"/>
  <c r="BU20" i="33" s="1"/>
  <c r="V20" i="33"/>
  <c r="AQ10" i="33"/>
  <c r="AQ11" i="33" s="1"/>
  <c r="AQ47" i="33" s="1"/>
  <c r="O10" i="33"/>
  <c r="O11" i="33" s="1"/>
  <c r="O47" i="33" s="1"/>
  <c r="AH30" i="33"/>
  <c r="AH25" i="33"/>
  <c r="AT22" i="33"/>
  <c r="BT22" i="33"/>
  <c r="BU22" i="33" s="1"/>
  <c r="V22" i="33"/>
  <c r="AT21" i="33"/>
  <c r="BT21" i="33"/>
  <c r="BU21" i="33" s="1"/>
  <c r="V21" i="33"/>
  <c r="AL10" i="33"/>
  <c r="AT18" i="33"/>
  <c r="N43" i="33"/>
  <c r="N10" i="33" s="1"/>
  <c r="BT18" i="33"/>
  <c r="V18" i="33"/>
  <c r="BM29" i="33"/>
  <c r="AH26" i="33"/>
  <c r="BF24" i="33"/>
  <c r="AH20" i="33"/>
  <c r="BC10" i="33"/>
  <c r="BC11" i="33" s="1"/>
  <c r="BC47" i="33" s="1"/>
  <c r="Q10" i="33"/>
  <c r="Q11" i="33" s="1"/>
  <c r="Q47" i="33" s="1"/>
  <c r="AX83" i="33"/>
  <c r="BG71" i="33"/>
  <c r="BT33" i="33"/>
  <c r="BU33" i="33" s="1"/>
  <c r="V33" i="33"/>
  <c r="BF21" i="33"/>
  <c r="S10" i="33"/>
  <c r="S11" i="33" s="1"/>
  <c r="S47" i="33" s="1"/>
  <c r="R10" i="33"/>
  <c r="R11" i="33" s="1"/>
  <c r="R47" i="33" s="1"/>
  <c r="BM31" i="33"/>
  <c r="AJ34" i="33"/>
  <c r="BT37" i="33"/>
  <c r="BU37" i="33" s="1"/>
  <c r="V37" i="33"/>
  <c r="AH40" i="33"/>
  <c r="BN58" i="33"/>
  <c r="BN71" i="33" s="1"/>
  <c r="BF37" i="33"/>
  <c r="BH37" i="33" s="1"/>
  <c r="AH29" i="33"/>
  <c r="AH39" i="33"/>
  <c r="AH35" i="33"/>
  <c r="AH33" i="33"/>
  <c r="AI58" i="33"/>
  <c r="V39" i="33"/>
  <c r="BT38" i="33"/>
  <c r="BU38" i="33" s="1"/>
  <c r="V38" i="33"/>
  <c r="BF33" i="33"/>
  <c r="BG58" i="33"/>
  <c r="AT34" i="33"/>
  <c r="BM36" i="33"/>
  <c r="BF27" i="33"/>
  <c r="BF26" i="33"/>
  <c r="Z10" i="33"/>
  <c r="AH18" i="33"/>
  <c r="BT31" i="33"/>
  <c r="BU31" i="33" s="1"/>
  <c r="V31" i="33"/>
  <c r="AT27" i="33"/>
  <c r="BT27" i="33"/>
  <c r="BU27" i="33" s="1"/>
  <c r="V27" i="33"/>
  <c r="AT26" i="33"/>
  <c r="BT26" i="33"/>
  <c r="BU26" i="33" s="1"/>
  <c r="V26" i="33"/>
  <c r="BM20" i="33"/>
  <c r="V19" i="33"/>
  <c r="AM10" i="33"/>
  <c r="AM11" i="33" s="1"/>
  <c r="AM47" i="33" s="1"/>
  <c r="AT28" i="33"/>
  <c r="BT28" i="33"/>
  <c r="BU28" i="33" s="1"/>
  <c r="V28" i="33"/>
  <c r="BM22" i="33"/>
  <c r="BO22" i="33" s="1"/>
  <c r="BM21" i="33"/>
  <c r="BJ10" i="33"/>
  <c r="BM18" i="33"/>
  <c r="AF10" i="33"/>
  <c r="AF11" i="33" s="1"/>
  <c r="AF47" i="33" s="1"/>
  <c r="AH27" i="33"/>
  <c r="AO43" i="33"/>
  <c r="AO10" i="33" s="1"/>
  <c r="AO11" i="33" s="1"/>
  <c r="AO47" i="33" s="1"/>
  <c r="AZ90" i="33"/>
  <c r="AZ92" i="33" s="1"/>
  <c r="G87" i="33"/>
  <c r="K87" i="33"/>
  <c r="F87" i="33"/>
  <c r="I87" i="33"/>
  <c r="H87" i="33"/>
  <c r="AH36" i="33"/>
  <c r="AT35" i="33"/>
  <c r="BF41" i="33"/>
  <c r="BT32" i="33"/>
  <c r="BU32" i="33" s="1"/>
  <c r="V32" i="33"/>
  <c r="P43" i="33"/>
  <c r="P10" i="33" s="1"/>
  <c r="P11" i="33" s="1"/>
  <c r="P47" i="33" s="1"/>
  <c r="AH32" i="33"/>
  <c r="AT29" i="33"/>
  <c r="AI71" i="33"/>
  <c r="E86" i="33"/>
  <c r="J86" i="33" s="1"/>
  <c r="G75" i="33"/>
  <c r="G73" i="33"/>
  <c r="BT41" i="33"/>
  <c r="BU41" i="33" s="1"/>
  <c r="V41" i="33"/>
  <c r="BF38" i="33"/>
  <c r="V35" i="33"/>
  <c r="BM40" i="33"/>
  <c r="AH38" i="33"/>
  <c r="BQ79" i="33"/>
  <c r="BR79" i="33" s="1"/>
  <c r="F75" i="33"/>
  <c r="F73" i="33"/>
  <c r="J73" i="33"/>
  <c r="BM38" i="33"/>
  <c r="BF34" i="33"/>
  <c r="AH41" i="33"/>
  <c r="BF40" i="33"/>
  <c r="AH37" i="33"/>
  <c r="BF36" i="33"/>
  <c r="BM34" i="33"/>
  <c r="BM32" i="33"/>
  <c r="AH28" i="33"/>
  <c r="AH21" i="33"/>
  <c r="T10" i="33"/>
  <c r="T11" i="33" s="1"/>
  <c r="T47" i="33" s="1"/>
  <c r="BM26" i="33"/>
  <c r="AC10" i="33"/>
  <c r="AC11" i="33" s="1"/>
  <c r="AC47" i="33" s="1"/>
  <c r="BM28" i="33"/>
  <c r="BK10" i="33"/>
  <c r="BK11" i="33" s="1"/>
  <c r="BK47" i="33" s="1"/>
  <c r="AH19" i="33"/>
  <c r="BD10" i="33"/>
  <c r="BD11" i="33" s="1"/>
  <c r="BD47" i="33" s="1"/>
  <c r="AB10" i="33"/>
  <c r="AB11" i="33" s="1"/>
  <c r="AB47" i="33" s="1"/>
  <c r="BT35" i="33"/>
  <c r="BU35" i="33" s="1"/>
  <c r="BF30" i="33"/>
  <c r="AT23" i="33"/>
  <c r="AE10" i="33"/>
  <c r="AE11" i="33" s="1"/>
  <c r="AE47" i="33" s="1"/>
  <c r="BK77" i="32"/>
  <c r="BK78" i="32" s="1"/>
  <c r="BK3" i="32"/>
  <c r="BK7" i="32"/>
  <c r="BJ77" i="32"/>
  <c r="BJ78" i="32" s="1"/>
  <c r="BJ7" i="32"/>
  <c r="BJ3" i="32"/>
  <c r="BN4" i="32"/>
  <c r="BO25" i="33" l="1"/>
  <c r="BO38" i="33"/>
  <c r="AY68" i="33"/>
  <c r="AY66" i="33"/>
  <c r="AY67" i="33"/>
  <c r="AY70" i="33"/>
  <c r="BK55" i="33"/>
  <c r="BK51" i="33"/>
  <c r="BK56" i="33"/>
  <c r="BK52" i="33"/>
  <c r="BK54" i="33"/>
  <c r="BK57" i="33"/>
  <c r="BK53" i="33"/>
  <c r="BK49" i="33"/>
  <c r="BK50" i="33"/>
  <c r="BO40" i="33"/>
  <c r="BO33" i="33"/>
  <c r="BN43" i="33"/>
  <c r="J83" i="33"/>
  <c r="K83" i="33" s="1"/>
  <c r="E90" i="33"/>
  <c r="BB66" i="33"/>
  <c r="BB70" i="33"/>
  <c r="BB67" i="33"/>
  <c r="BB63" i="33"/>
  <c r="BB68" i="33"/>
  <c r="BB62" i="33"/>
  <c r="BB64" i="33"/>
  <c r="BB69" i="33"/>
  <c r="BB65" i="33"/>
  <c r="BO21" i="33"/>
  <c r="BU5" i="33"/>
  <c r="BY13" i="33" s="1"/>
  <c r="BZ5" i="33"/>
  <c r="BO20" i="33"/>
  <c r="AY63" i="33"/>
  <c r="AY65" i="33"/>
  <c r="BO29" i="33"/>
  <c r="BO34" i="33"/>
  <c r="BO26" i="33"/>
  <c r="BO32" i="33"/>
  <c r="BO18" i="33"/>
  <c r="BO23" i="33"/>
  <c r="BO28" i="33"/>
  <c r="BD55" i="33"/>
  <c r="BD51" i="33"/>
  <c r="BD57" i="33"/>
  <c r="BD49" i="33"/>
  <c r="BD54" i="33"/>
  <c r="BD50" i="33"/>
  <c r="BD56" i="33"/>
  <c r="BD52" i="33"/>
  <c r="BD53" i="33"/>
  <c r="BC50" i="33"/>
  <c r="BC54" i="33"/>
  <c r="BC52" i="33"/>
  <c r="BC51" i="33"/>
  <c r="BC55" i="33"/>
  <c r="BC49" i="33"/>
  <c r="BC53" i="33"/>
  <c r="BC57" i="33"/>
  <c r="BC56" i="33"/>
  <c r="BH33" i="33"/>
  <c r="W6" i="33"/>
  <c r="BN6" i="33"/>
  <c r="AY64" i="33"/>
  <c r="AY62" i="33"/>
  <c r="BH41" i="33"/>
  <c r="BG43" i="33"/>
  <c r="BH36" i="33"/>
  <c r="BH21" i="33"/>
  <c r="AX69" i="33"/>
  <c r="AX65" i="33"/>
  <c r="AX70" i="33"/>
  <c r="AX66" i="33"/>
  <c r="AX62" i="33"/>
  <c r="AX67" i="33"/>
  <c r="AX63" i="33"/>
  <c r="AX68" i="33"/>
  <c r="AX64" i="33"/>
  <c r="BH24" i="33"/>
  <c r="BH40" i="33"/>
  <c r="AQ51" i="33"/>
  <c r="AQ55" i="33"/>
  <c r="AQ54" i="33"/>
  <c r="AQ52" i="33"/>
  <c r="AQ56" i="33"/>
  <c r="AQ49" i="33"/>
  <c r="AQ53" i="33"/>
  <c r="AQ57" i="33"/>
  <c r="AQ50" i="33"/>
  <c r="AP57" i="33"/>
  <c r="AP53" i="33"/>
  <c r="AP49" i="33"/>
  <c r="AP56" i="33"/>
  <c r="AP52" i="33"/>
  <c r="AP55" i="33"/>
  <c r="AP51" i="33"/>
  <c r="AP54" i="33"/>
  <c r="AP50" i="33"/>
  <c r="AM54" i="33"/>
  <c r="AM50" i="33"/>
  <c r="AM57" i="33"/>
  <c r="AM53" i="33"/>
  <c r="AM49" i="33"/>
  <c r="AM56" i="33"/>
  <c r="AM52" i="33"/>
  <c r="AM55" i="33"/>
  <c r="AM51" i="33"/>
  <c r="AF54" i="33"/>
  <c r="AF50" i="33"/>
  <c r="AF57" i="33"/>
  <c r="AF49" i="33"/>
  <c r="AF52" i="33"/>
  <c r="AF55" i="33"/>
  <c r="AF51" i="33"/>
  <c r="AF53" i="33"/>
  <c r="AF56" i="33"/>
  <c r="X41" i="33"/>
  <c r="AE52" i="33"/>
  <c r="AE56" i="33"/>
  <c r="AE53" i="33"/>
  <c r="AE49" i="33"/>
  <c r="AE57" i="33"/>
  <c r="AE50" i="33"/>
  <c r="AE54" i="33"/>
  <c r="AE51" i="33"/>
  <c r="AE55" i="33"/>
  <c r="AJ23" i="33"/>
  <c r="AJ39" i="33"/>
  <c r="BO31" i="33"/>
  <c r="BO39" i="33"/>
  <c r="BH18" i="33"/>
  <c r="BH26" i="33"/>
  <c r="X21" i="33"/>
  <c r="BH34" i="33"/>
  <c r="BO36" i="33"/>
  <c r="BH27" i="33"/>
  <c r="BG6" i="33"/>
  <c r="AB51" i="33"/>
  <c r="AB55" i="33"/>
  <c r="AB54" i="33"/>
  <c r="AB49" i="33"/>
  <c r="AB53" i="33"/>
  <c r="AB57" i="33"/>
  <c r="AB52" i="33"/>
  <c r="AB56" i="33"/>
  <c r="AB50" i="33"/>
  <c r="AD49" i="33"/>
  <c r="AD53" i="33"/>
  <c r="AD57" i="33"/>
  <c r="AD56" i="33"/>
  <c r="AD51" i="33"/>
  <c r="AD50" i="33"/>
  <c r="AD54" i="33"/>
  <c r="AD52" i="33"/>
  <c r="AD55" i="33"/>
  <c r="AC52" i="33"/>
  <c r="AC56" i="33"/>
  <c r="AC51" i="33"/>
  <c r="AC50" i="33"/>
  <c r="AC54" i="33"/>
  <c r="AC49" i="33"/>
  <c r="AC53" i="33"/>
  <c r="AC57" i="33"/>
  <c r="AC55" i="33"/>
  <c r="AJ41" i="33"/>
  <c r="AJ26" i="33"/>
  <c r="AJ25" i="33"/>
  <c r="AJ18" i="33"/>
  <c r="AA57" i="33"/>
  <c r="AA53" i="33"/>
  <c r="AA49" i="33"/>
  <c r="AA56" i="33"/>
  <c r="AA52" i="33"/>
  <c r="AA55" i="33"/>
  <c r="AA51" i="33"/>
  <c r="AA54" i="33"/>
  <c r="AA50" i="33"/>
  <c r="AI43" i="33"/>
  <c r="AJ33" i="33"/>
  <c r="AJ30" i="33"/>
  <c r="AZ65" i="33"/>
  <c r="AZ67" i="33"/>
  <c r="AJ21" i="33"/>
  <c r="AJ28" i="33"/>
  <c r="AJ36" i="33"/>
  <c r="AJ22" i="33"/>
  <c r="AJ24" i="33"/>
  <c r="AJ29" i="33"/>
  <c r="AJ19" i="33"/>
  <c r="AJ37" i="33"/>
  <c r="AJ35" i="33"/>
  <c r="AJ27" i="33"/>
  <c r="T54" i="33"/>
  <c r="T50" i="33"/>
  <c r="T57" i="33"/>
  <c r="T53" i="33"/>
  <c r="T49" i="33"/>
  <c r="T56" i="33"/>
  <c r="T52" i="33"/>
  <c r="T55" i="33"/>
  <c r="T51" i="33"/>
  <c r="X22" i="33"/>
  <c r="X28" i="33"/>
  <c r="S51" i="33"/>
  <c r="S55" i="33"/>
  <c r="S53" i="33"/>
  <c r="S57" i="33"/>
  <c r="S50" i="33"/>
  <c r="S54" i="33"/>
  <c r="S52" i="33"/>
  <c r="S56" i="33"/>
  <c r="S49" i="33"/>
  <c r="X24" i="33"/>
  <c r="R51" i="33"/>
  <c r="R55" i="33"/>
  <c r="R54" i="33"/>
  <c r="R52" i="33"/>
  <c r="R56" i="33"/>
  <c r="R50" i="33"/>
  <c r="R49" i="33"/>
  <c r="R53" i="33"/>
  <c r="R57" i="33"/>
  <c r="X38" i="33"/>
  <c r="X33" i="33"/>
  <c r="X31" i="33"/>
  <c r="X35" i="33"/>
  <c r="X32" i="33"/>
  <c r="X26" i="33"/>
  <c r="X29" i="33"/>
  <c r="Q56" i="33"/>
  <c r="Q52" i="33"/>
  <c r="Q54" i="33"/>
  <c r="Q50" i="33"/>
  <c r="Q53" i="33"/>
  <c r="Q55" i="33"/>
  <c r="Q51" i="33"/>
  <c r="Q57" i="33"/>
  <c r="Q49" i="33"/>
  <c r="X27" i="33"/>
  <c r="X39" i="33"/>
  <c r="AJ20" i="33"/>
  <c r="AJ40" i="33"/>
  <c r="AZ68" i="33"/>
  <c r="X20" i="33"/>
  <c r="AI6" i="33"/>
  <c r="X19" i="33"/>
  <c r="O56" i="33"/>
  <c r="O52" i="33"/>
  <c r="O54" i="33"/>
  <c r="O53" i="33"/>
  <c r="O49" i="33"/>
  <c r="O55" i="33"/>
  <c r="O51" i="33"/>
  <c r="O50" i="33"/>
  <c r="O57" i="33"/>
  <c r="X37" i="33"/>
  <c r="W43" i="33"/>
  <c r="X36" i="33"/>
  <c r="X18" i="33"/>
  <c r="AZ64" i="33"/>
  <c r="AZ62" i="33"/>
  <c r="AZ66" i="33"/>
  <c r="BH38" i="33"/>
  <c r="AZ63" i="33"/>
  <c r="AZ69" i="33"/>
  <c r="AJ32" i="33"/>
  <c r="BH28" i="33"/>
  <c r="BH30" i="33"/>
  <c r="AJ38" i="33"/>
  <c r="AC83" i="33"/>
  <c r="G86" i="33"/>
  <c r="E88" i="33"/>
  <c r="I86" i="33"/>
  <c r="F86" i="33"/>
  <c r="H86" i="33"/>
  <c r="AO83" i="33"/>
  <c r="AO56" i="33"/>
  <c r="AO54" i="33"/>
  <c r="AO57" i="33"/>
  <c r="AO55" i="33"/>
  <c r="AO53" i="33"/>
  <c r="AO51" i="33"/>
  <c r="AO49" i="33"/>
  <c r="AO52" i="33"/>
  <c r="AO50" i="33"/>
  <c r="BJ11" i="33"/>
  <c r="BJ47" i="33" s="1"/>
  <c r="BM10" i="33"/>
  <c r="R83" i="33"/>
  <c r="BT43" i="33"/>
  <c r="BU43" i="33" s="1"/>
  <c r="BU18" i="33"/>
  <c r="O83" i="33"/>
  <c r="BA47" i="33"/>
  <c r="BF10" i="33"/>
  <c r="Q83" i="33"/>
  <c r="N11" i="33"/>
  <c r="V10" i="33"/>
  <c r="AQ83" i="33"/>
  <c r="AN83" i="33"/>
  <c r="AN57" i="33"/>
  <c r="AN55" i="33"/>
  <c r="AN53" i="33"/>
  <c r="AN51" i="33"/>
  <c r="AN56" i="33"/>
  <c r="AN54" i="33"/>
  <c r="AN50" i="33"/>
  <c r="AN49" i="33"/>
  <c r="AN52" i="33"/>
  <c r="AH43" i="33"/>
  <c r="AE83" i="33"/>
  <c r="AB83" i="33"/>
  <c r="T83" i="33"/>
  <c r="AF83" i="33"/>
  <c r="AM83" i="33"/>
  <c r="AH10" i="33"/>
  <c r="Z11" i="33"/>
  <c r="Z47" i="33" s="1"/>
  <c r="BC83" i="33"/>
  <c r="AT43" i="33"/>
  <c r="AA83" i="33"/>
  <c r="AP83" i="33"/>
  <c r="BK83" i="33"/>
  <c r="S83" i="33"/>
  <c r="BD83" i="33"/>
  <c r="BB83" i="33"/>
  <c r="P83" i="33"/>
  <c r="P57" i="33"/>
  <c r="P55" i="33"/>
  <c r="P53" i="33"/>
  <c r="P51" i="33"/>
  <c r="P56" i="33"/>
  <c r="P54" i="33"/>
  <c r="P52" i="33"/>
  <c r="P49" i="33"/>
  <c r="P50" i="33"/>
  <c r="BM43" i="33"/>
  <c r="V43" i="33"/>
  <c r="AL11" i="33"/>
  <c r="AL47" i="33" s="1"/>
  <c r="AD83" i="33"/>
  <c r="BF43" i="33"/>
  <c r="BD77" i="32"/>
  <c r="BD78" i="32" s="1"/>
  <c r="BC77" i="32"/>
  <c r="BC78" i="32" s="1"/>
  <c r="BB77" i="32"/>
  <c r="BB78" i="32" s="1"/>
  <c r="BA3" i="32"/>
  <c r="BB3" i="32"/>
  <c r="BC3" i="32"/>
  <c r="BD3" i="32"/>
  <c r="BA7" i="32"/>
  <c r="BB7" i="32"/>
  <c r="BC7" i="32"/>
  <c r="BD7" i="32"/>
  <c r="BK58" i="33" l="1"/>
  <c r="BK60" i="33" s="1"/>
  <c r="CA5" i="33"/>
  <c r="BZ6" i="33"/>
  <c r="J90" i="33"/>
  <c r="K90" i="33" s="1"/>
  <c r="E92" i="33"/>
  <c r="BB71" i="33"/>
  <c r="BB73" i="33" s="1"/>
  <c r="BJ55" i="33"/>
  <c r="BJ51" i="33"/>
  <c r="BJ56" i="33"/>
  <c r="BJ52" i="33"/>
  <c r="BJ57" i="33"/>
  <c r="BJ53" i="33"/>
  <c r="BJ49" i="33"/>
  <c r="BJ54" i="33"/>
  <c r="BJ50" i="33"/>
  <c r="BO43" i="33"/>
  <c r="BD58" i="33"/>
  <c r="BD60" i="33" s="1"/>
  <c r="BC58" i="33"/>
  <c r="BC60" i="33" s="1"/>
  <c r="BA55" i="33"/>
  <c r="BA51" i="33"/>
  <c r="BA54" i="33"/>
  <c r="BA56" i="33"/>
  <c r="BA52" i="33"/>
  <c r="BA57" i="33"/>
  <c r="BA53" i="33"/>
  <c r="BA49" i="33"/>
  <c r="BA50" i="33"/>
  <c r="AY71" i="33"/>
  <c r="AY73" i="33" s="1"/>
  <c r="AY76" i="33" s="1"/>
  <c r="AY81" i="33" s="1"/>
  <c r="AX71" i="33"/>
  <c r="AX73" i="33" s="1"/>
  <c r="AX76" i="33" s="1"/>
  <c r="AX81" i="33" s="1"/>
  <c r="BH43" i="33"/>
  <c r="AQ58" i="33"/>
  <c r="AQ60" i="33" s="1"/>
  <c r="AP58" i="33"/>
  <c r="AP60" i="33" s="1"/>
  <c r="AM58" i="33"/>
  <c r="AM60" i="33" s="1"/>
  <c r="AL54" i="33"/>
  <c r="AL50" i="33"/>
  <c r="AL57" i="33"/>
  <c r="AL53" i="33"/>
  <c r="AL49" i="33"/>
  <c r="AL56" i="33"/>
  <c r="AL52" i="33"/>
  <c r="AL55" i="33"/>
  <c r="AL51" i="33"/>
  <c r="AF58" i="33"/>
  <c r="AF60" i="33" s="1"/>
  <c r="AE58" i="33"/>
  <c r="AE60" i="33" s="1"/>
  <c r="AC58" i="33"/>
  <c r="AC60" i="33" s="1"/>
  <c r="AC66" i="33" s="1"/>
  <c r="AD58" i="33"/>
  <c r="AD60" i="33" s="1"/>
  <c r="AB58" i="33"/>
  <c r="AB60" i="33" s="1"/>
  <c r="AA58" i="33"/>
  <c r="AA60" i="33" s="1"/>
  <c r="AJ43" i="33"/>
  <c r="S58" i="33"/>
  <c r="S60" i="33" s="1"/>
  <c r="S62" i="33" s="1"/>
  <c r="Q58" i="33"/>
  <c r="Q60" i="33" s="1"/>
  <c r="Q64" i="33" s="1"/>
  <c r="Z54" i="33"/>
  <c r="Z50" i="33"/>
  <c r="Z57" i="33"/>
  <c r="Z53" i="33"/>
  <c r="Z49" i="33"/>
  <c r="Z56" i="33"/>
  <c r="Z52" i="33"/>
  <c r="Z55" i="33"/>
  <c r="Z51" i="33"/>
  <c r="T58" i="33"/>
  <c r="T60" i="33" s="1"/>
  <c r="S69" i="33"/>
  <c r="R58" i="33"/>
  <c r="R60" i="33" s="1"/>
  <c r="X43" i="33"/>
  <c r="O58" i="33"/>
  <c r="O60" i="33" s="1"/>
  <c r="AZ71" i="33"/>
  <c r="AZ73" i="33" s="1"/>
  <c r="AN58" i="33"/>
  <c r="AN60" i="33" s="1"/>
  <c r="AN69" i="33" s="1"/>
  <c r="AH11" i="33"/>
  <c r="BF11" i="33"/>
  <c r="AO58" i="33"/>
  <c r="AO60" i="33" s="1"/>
  <c r="K86" i="33"/>
  <c r="K88" i="33" s="1"/>
  <c r="J88" i="33"/>
  <c r="P58" i="33"/>
  <c r="P60" i="33" s="1"/>
  <c r="N47" i="33"/>
  <c r="V11" i="33"/>
  <c r="BM11" i="33"/>
  <c r="K79" i="33"/>
  <c r="K47" i="33"/>
  <c r="K75" i="33"/>
  <c r="BA77" i="32"/>
  <c r="BA78" i="32" s="1"/>
  <c r="AY3" i="32"/>
  <c r="AZ3" i="32"/>
  <c r="AY7" i="32"/>
  <c r="AZ7" i="32"/>
  <c r="BF4" i="32"/>
  <c r="AX7" i="32"/>
  <c r="AX3" i="32"/>
  <c r="J95" i="32"/>
  <c r="J77" i="32"/>
  <c r="J78" i="32" s="1"/>
  <c r="J69" i="32"/>
  <c r="J68" i="32"/>
  <c r="J67" i="32"/>
  <c r="J66" i="32"/>
  <c r="J65" i="32"/>
  <c r="J64" i="32"/>
  <c r="J63" i="32"/>
  <c r="J62" i="32"/>
  <c r="J61" i="32"/>
  <c r="J56" i="32"/>
  <c r="J55" i="32"/>
  <c r="J54" i="32"/>
  <c r="J53" i="32"/>
  <c r="J52" i="32"/>
  <c r="J51" i="32"/>
  <c r="J50" i="32"/>
  <c r="J49" i="32"/>
  <c r="J48" i="32"/>
  <c r="J40" i="32"/>
  <c r="AQ40" i="32" s="1"/>
  <c r="J39" i="32"/>
  <c r="AQ39" i="32" s="1"/>
  <c r="J38" i="32"/>
  <c r="J37" i="32"/>
  <c r="J36" i="32"/>
  <c r="AQ36" i="32" s="1"/>
  <c r="J35" i="32"/>
  <c r="J34" i="32"/>
  <c r="J33" i="32"/>
  <c r="J32" i="32"/>
  <c r="BA32" i="32" s="1"/>
  <c r="J31" i="32"/>
  <c r="J30" i="32"/>
  <c r="BA30" i="32" s="1"/>
  <c r="J29" i="32"/>
  <c r="BA29" i="32" s="1"/>
  <c r="J28" i="32"/>
  <c r="BA28" i="32" s="1"/>
  <c r="J27" i="32"/>
  <c r="J26" i="32"/>
  <c r="BA26" i="32" s="1"/>
  <c r="J25" i="32"/>
  <c r="BA25" i="32" s="1"/>
  <c r="J24" i="32"/>
  <c r="BA24" i="32" s="1"/>
  <c r="J23" i="32"/>
  <c r="AQ23" i="32" s="1"/>
  <c r="J22" i="32"/>
  <c r="BA22" i="32" s="1"/>
  <c r="J21" i="32"/>
  <c r="BA21" i="32" s="1"/>
  <c r="J20" i="32"/>
  <c r="BA20" i="32" s="1"/>
  <c r="J19" i="32"/>
  <c r="J18" i="32"/>
  <c r="AQ18" i="32" s="1"/>
  <c r="J17" i="32"/>
  <c r="BA17" i="32" s="1"/>
  <c r="AQ77" i="32"/>
  <c r="AQ78" i="32" s="1"/>
  <c r="AQ35" i="32"/>
  <c r="AQ34" i="32"/>
  <c r="AQ19" i="32"/>
  <c r="AQ17" i="32"/>
  <c r="AQ3" i="32"/>
  <c r="AR3" i="32"/>
  <c r="AQ7" i="32"/>
  <c r="AR7" i="32"/>
  <c r="AQ24" i="32" l="1"/>
  <c r="AQ26" i="32"/>
  <c r="AQ30" i="32"/>
  <c r="AQ28" i="32"/>
  <c r="AQ20" i="32"/>
  <c r="BK69" i="33"/>
  <c r="BK65" i="33"/>
  <c r="BK70" i="33"/>
  <c r="BK66" i="33"/>
  <c r="BK62" i="33"/>
  <c r="BK68" i="33"/>
  <c r="BK64" i="33"/>
  <c r="BK67" i="33"/>
  <c r="BK63" i="33"/>
  <c r="BL19" i="32"/>
  <c r="BK19" i="32"/>
  <c r="BJ19" i="32"/>
  <c r="BC19" i="32"/>
  <c r="BD19" i="32"/>
  <c r="BB19" i="32"/>
  <c r="BL35" i="32"/>
  <c r="BK35" i="32"/>
  <c r="BJ35" i="32"/>
  <c r="BB35" i="32"/>
  <c r="BC35" i="32"/>
  <c r="BD35" i="32"/>
  <c r="BB76" i="33"/>
  <c r="BB81" i="33" s="1"/>
  <c r="BL18" i="32"/>
  <c r="BJ18" i="32"/>
  <c r="BK18" i="32"/>
  <c r="BD18" i="32"/>
  <c r="BC18" i="32"/>
  <c r="BB18" i="32"/>
  <c r="BL26" i="32"/>
  <c r="BJ26" i="32"/>
  <c r="BK26" i="32"/>
  <c r="BB26" i="32"/>
  <c r="BD26" i="32"/>
  <c r="BC26" i="32"/>
  <c r="BL30" i="32"/>
  <c r="BK30" i="32"/>
  <c r="BJ30" i="32"/>
  <c r="BB30" i="32"/>
  <c r="BC30" i="32"/>
  <c r="BD30" i="32"/>
  <c r="BL34" i="32"/>
  <c r="BK34" i="32"/>
  <c r="BJ34" i="32"/>
  <c r="BC34" i="32"/>
  <c r="BD34" i="32"/>
  <c r="BB34" i="32"/>
  <c r="BL38" i="32"/>
  <c r="BK38" i="32"/>
  <c r="BJ38" i="32"/>
  <c r="BC38" i="32"/>
  <c r="BD38" i="32"/>
  <c r="BB38" i="32"/>
  <c r="BA39" i="32"/>
  <c r="BA34" i="32"/>
  <c r="BA38" i="32"/>
  <c r="BL27" i="32"/>
  <c r="BK27" i="32"/>
  <c r="BJ27" i="32"/>
  <c r="BD27" i="32"/>
  <c r="BB27" i="32"/>
  <c r="BC27" i="32"/>
  <c r="BL22" i="32"/>
  <c r="BK22" i="32"/>
  <c r="BJ22" i="32"/>
  <c r="BB22" i="32"/>
  <c r="BC22" i="32"/>
  <c r="BD22" i="32"/>
  <c r="BK17" i="32"/>
  <c r="BJ17" i="32"/>
  <c r="BD17" i="32"/>
  <c r="BB17" i="32"/>
  <c r="BC17" i="32"/>
  <c r="AQ25" i="32"/>
  <c r="BL25" i="32"/>
  <c r="BK25" i="32"/>
  <c r="BJ25" i="32"/>
  <c r="BC25" i="32"/>
  <c r="BD25" i="32"/>
  <c r="BB25" i="32"/>
  <c r="AQ29" i="32"/>
  <c r="BL29" i="32"/>
  <c r="BK29" i="32"/>
  <c r="BJ29" i="32"/>
  <c r="BC29" i="32"/>
  <c r="BD29" i="32"/>
  <c r="BB29" i="32"/>
  <c r="AQ37" i="32"/>
  <c r="BL37" i="32"/>
  <c r="BK37" i="32"/>
  <c r="BJ37" i="32"/>
  <c r="BD37" i="32"/>
  <c r="BC37" i="32"/>
  <c r="BB37" i="32"/>
  <c r="AQ22" i="32"/>
  <c r="AQ27" i="32"/>
  <c r="AQ32" i="32"/>
  <c r="AQ38" i="32"/>
  <c r="BA19" i="32"/>
  <c r="BA37" i="32"/>
  <c r="BL23" i="32"/>
  <c r="BK23" i="32"/>
  <c r="BJ23" i="32"/>
  <c r="BD23" i="32"/>
  <c r="BB23" i="32"/>
  <c r="BC23" i="32"/>
  <c r="BL31" i="32"/>
  <c r="BK31" i="32"/>
  <c r="BJ31" i="32"/>
  <c r="BB31" i="32"/>
  <c r="BC31" i="32"/>
  <c r="BD31" i="32"/>
  <c r="BL39" i="32"/>
  <c r="BK39" i="32"/>
  <c r="BJ39" i="32"/>
  <c r="BB39" i="32"/>
  <c r="BC39" i="32"/>
  <c r="BD39" i="32"/>
  <c r="BL24" i="32"/>
  <c r="BJ24" i="32"/>
  <c r="BK24" i="32"/>
  <c r="BD24" i="32"/>
  <c r="BC24" i="32"/>
  <c r="BB24" i="32"/>
  <c r="BL28" i="32"/>
  <c r="BK28" i="32"/>
  <c r="BJ28" i="32"/>
  <c r="BD28" i="32"/>
  <c r="BC28" i="32"/>
  <c r="BB28" i="32"/>
  <c r="BL32" i="32"/>
  <c r="BJ32" i="32"/>
  <c r="BK32" i="32"/>
  <c r="BD32" i="32"/>
  <c r="BC32" i="32"/>
  <c r="BB32" i="32"/>
  <c r="BL36" i="32"/>
  <c r="BK36" i="32"/>
  <c r="BJ36" i="32"/>
  <c r="BD36" i="32"/>
  <c r="BB36" i="32"/>
  <c r="BC36" i="32"/>
  <c r="BL40" i="32"/>
  <c r="BK40" i="32"/>
  <c r="BJ40" i="32"/>
  <c r="BD40" i="32"/>
  <c r="BC40" i="32"/>
  <c r="BB40" i="32"/>
  <c r="BA35" i="32"/>
  <c r="AQ31" i="32"/>
  <c r="BA18" i="32"/>
  <c r="BA23" i="32"/>
  <c r="BA27" i="32"/>
  <c r="BA31" i="32"/>
  <c r="BA36" i="32"/>
  <c r="BA40" i="32"/>
  <c r="BJ58" i="33"/>
  <c r="BJ60" i="33" s="1"/>
  <c r="BD69" i="33"/>
  <c r="BD65" i="33"/>
  <c r="BD64" i="33"/>
  <c r="BD70" i="33"/>
  <c r="BD66" i="33"/>
  <c r="BD62" i="33"/>
  <c r="BD67" i="33"/>
  <c r="BD63" i="33"/>
  <c r="BD68" i="33"/>
  <c r="BC64" i="33"/>
  <c r="BC68" i="33"/>
  <c r="BC62" i="33"/>
  <c r="BC70" i="33"/>
  <c r="BC65" i="33"/>
  <c r="BC69" i="33"/>
  <c r="BC63" i="33"/>
  <c r="BC67" i="33"/>
  <c r="BC66" i="33"/>
  <c r="BA58" i="33"/>
  <c r="BA60" i="33" s="1"/>
  <c r="BA64" i="33" s="1"/>
  <c r="AC68" i="33"/>
  <c r="AY86" i="33"/>
  <c r="AX86" i="33"/>
  <c r="AQ65" i="33"/>
  <c r="AQ69" i="33"/>
  <c r="AQ68" i="33"/>
  <c r="AQ62" i="33"/>
  <c r="AQ66" i="33"/>
  <c r="AQ70" i="33"/>
  <c r="AQ63" i="33"/>
  <c r="AQ67" i="33"/>
  <c r="AQ64" i="33"/>
  <c r="AP67" i="33"/>
  <c r="AP63" i="33"/>
  <c r="AP70" i="33"/>
  <c r="AP66" i="33"/>
  <c r="AP62" i="33"/>
  <c r="AP69" i="33"/>
  <c r="AP65" i="33"/>
  <c r="AP68" i="33"/>
  <c r="AP64" i="33"/>
  <c r="AM68" i="33"/>
  <c r="AM64" i="33"/>
  <c r="AM67" i="33"/>
  <c r="AM63" i="33"/>
  <c r="AM70" i="33"/>
  <c r="AM66" i="33"/>
  <c r="AM62" i="33"/>
  <c r="AM69" i="33"/>
  <c r="AM65" i="33"/>
  <c r="AC69" i="33"/>
  <c r="AC62" i="33"/>
  <c r="AL58" i="33"/>
  <c r="AL60" i="33" s="1"/>
  <c r="AF68" i="33"/>
  <c r="AF64" i="33"/>
  <c r="AF67" i="33"/>
  <c r="AF70" i="33"/>
  <c r="AF66" i="33"/>
  <c r="AF62" i="33"/>
  <c r="AF69" i="33"/>
  <c r="AF65" i="33"/>
  <c r="AF63" i="33"/>
  <c r="AE62" i="33"/>
  <c r="AE66" i="33"/>
  <c r="AE70" i="33"/>
  <c r="AE63" i="33"/>
  <c r="AE67" i="33"/>
  <c r="AE69" i="33"/>
  <c r="AE64" i="33"/>
  <c r="AE68" i="33"/>
  <c r="AE65" i="33"/>
  <c r="AC64" i="33"/>
  <c r="AC65" i="33"/>
  <c r="AC67" i="33"/>
  <c r="AC70" i="33"/>
  <c r="AC63" i="33"/>
  <c r="AB65" i="33"/>
  <c r="AB69" i="33"/>
  <c r="AB68" i="33"/>
  <c r="AB67" i="33"/>
  <c r="AB62" i="33"/>
  <c r="AB66" i="33"/>
  <c r="AB70" i="33"/>
  <c r="AB64" i="33"/>
  <c r="AB63" i="33"/>
  <c r="AD63" i="33"/>
  <c r="AD67" i="33"/>
  <c r="AD62" i="33"/>
  <c r="AD70" i="33"/>
  <c r="AD69" i="33"/>
  <c r="AD64" i="33"/>
  <c r="AD68" i="33"/>
  <c r="AD66" i="33"/>
  <c r="AD65" i="33"/>
  <c r="AA67" i="33"/>
  <c r="AA63" i="33"/>
  <c r="AA70" i="33"/>
  <c r="AA66" i="33"/>
  <c r="AA62" i="33"/>
  <c r="AA69" i="33"/>
  <c r="AA65" i="33"/>
  <c r="AA68" i="33"/>
  <c r="AA64" i="33"/>
  <c r="Q65" i="33"/>
  <c r="S63" i="33"/>
  <c r="S65" i="33"/>
  <c r="Q62" i="33"/>
  <c r="S64" i="33"/>
  <c r="S67" i="33"/>
  <c r="Q69" i="33"/>
  <c r="Q66" i="33"/>
  <c r="Q67" i="33"/>
  <c r="Q63" i="33"/>
  <c r="Q70" i="33"/>
  <c r="S66" i="33"/>
  <c r="S70" i="33"/>
  <c r="Q68" i="33"/>
  <c r="S68" i="33"/>
  <c r="Z58" i="33"/>
  <c r="Z60" i="33" s="1"/>
  <c r="T68" i="33"/>
  <c r="T64" i="33"/>
  <c r="T67" i="33"/>
  <c r="T63" i="33"/>
  <c r="T70" i="33"/>
  <c r="T66" i="33"/>
  <c r="T62" i="33"/>
  <c r="T69" i="33"/>
  <c r="T65" i="33"/>
  <c r="R65" i="33"/>
  <c r="R69" i="33"/>
  <c r="R66" i="33"/>
  <c r="R68" i="33"/>
  <c r="R62" i="33"/>
  <c r="R70" i="33"/>
  <c r="R64" i="33"/>
  <c r="R63" i="33"/>
  <c r="R67" i="33"/>
  <c r="AN70" i="33"/>
  <c r="O70" i="33"/>
  <c r="O66" i="33"/>
  <c r="O62" i="33"/>
  <c r="O68" i="33"/>
  <c r="O64" i="33"/>
  <c r="O63" i="33"/>
  <c r="O69" i="33"/>
  <c r="O65" i="33"/>
  <c r="O67" i="33"/>
  <c r="AN67" i="33"/>
  <c r="AQ33" i="32"/>
  <c r="BL33" i="32"/>
  <c r="BJ33" i="32"/>
  <c r="BK33" i="32"/>
  <c r="BC33" i="32"/>
  <c r="BB33" i="32"/>
  <c r="BD33" i="32"/>
  <c r="BA33" i="32"/>
  <c r="AQ21" i="32"/>
  <c r="BL21" i="32"/>
  <c r="BJ21" i="32"/>
  <c r="BK21" i="32"/>
  <c r="BC21" i="32"/>
  <c r="BB21" i="32"/>
  <c r="BD21" i="32"/>
  <c r="BL20" i="32"/>
  <c r="BK20" i="32"/>
  <c r="BJ20" i="32"/>
  <c r="BB20" i="32"/>
  <c r="BC20" i="32"/>
  <c r="BD20" i="32"/>
  <c r="AN68" i="33"/>
  <c r="AN66" i="33"/>
  <c r="AN62" i="33"/>
  <c r="AN65" i="33"/>
  <c r="AN64" i="33"/>
  <c r="AN63" i="33"/>
  <c r="BJ83" i="33"/>
  <c r="BM56" i="33"/>
  <c r="BO56" i="33" s="1"/>
  <c r="BM54" i="33"/>
  <c r="BO54" i="33" s="1"/>
  <c r="BM52" i="33"/>
  <c r="BO52" i="33" s="1"/>
  <c r="BM50" i="33"/>
  <c r="BO50" i="33" s="1"/>
  <c r="BM57" i="33"/>
  <c r="BO57" i="33" s="1"/>
  <c r="BM55" i="33"/>
  <c r="BO55" i="33" s="1"/>
  <c r="BM53" i="33"/>
  <c r="BO53" i="33" s="1"/>
  <c r="BM51" i="33"/>
  <c r="BO51" i="33" s="1"/>
  <c r="BM47" i="33"/>
  <c r="AO70" i="33"/>
  <c r="AO68" i="33"/>
  <c r="AO66" i="33"/>
  <c r="AO69" i="33"/>
  <c r="AO67" i="33"/>
  <c r="AO65" i="33"/>
  <c r="AO63" i="33"/>
  <c r="AO64" i="33"/>
  <c r="AO62" i="33"/>
  <c r="K78" i="33"/>
  <c r="K73" i="33"/>
  <c r="N83" i="33"/>
  <c r="N56" i="33"/>
  <c r="N54" i="33"/>
  <c r="N52" i="33"/>
  <c r="N50" i="33"/>
  <c r="N57" i="33"/>
  <c r="N55" i="33"/>
  <c r="N53" i="33"/>
  <c r="N51" i="33"/>
  <c r="N49" i="33"/>
  <c r="V47" i="33"/>
  <c r="BA83" i="33"/>
  <c r="BF57" i="33"/>
  <c r="BH57" i="33" s="1"/>
  <c r="BF55" i="33"/>
  <c r="BH55" i="33" s="1"/>
  <c r="BF53" i="33"/>
  <c r="BH53" i="33" s="1"/>
  <c r="BF56" i="33"/>
  <c r="BH56" i="33" s="1"/>
  <c r="BF54" i="33"/>
  <c r="BH54" i="33" s="1"/>
  <c r="BF52" i="33"/>
  <c r="BH52" i="33" s="1"/>
  <c r="BF50" i="33"/>
  <c r="BH50" i="33" s="1"/>
  <c r="BF51" i="33"/>
  <c r="BH51" i="33" s="1"/>
  <c r="BF47" i="33"/>
  <c r="Z83" i="33"/>
  <c r="AH57" i="33"/>
  <c r="AJ57" i="33" s="1"/>
  <c r="AH55" i="33"/>
  <c r="AJ55" i="33" s="1"/>
  <c r="AH53" i="33"/>
  <c r="AJ53" i="33" s="1"/>
  <c r="AH51" i="33"/>
  <c r="AJ51" i="33" s="1"/>
  <c r="AH56" i="33"/>
  <c r="AJ56" i="33" s="1"/>
  <c r="AH54" i="33"/>
  <c r="AJ54" i="33" s="1"/>
  <c r="AH52" i="33"/>
  <c r="AJ52" i="33" s="1"/>
  <c r="AH50" i="33"/>
  <c r="AJ50" i="33" s="1"/>
  <c r="AH47" i="33"/>
  <c r="AL83" i="33"/>
  <c r="P69" i="33"/>
  <c r="P67" i="33"/>
  <c r="P65" i="33"/>
  <c r="P63" i="33"/>
  <c r="P70" i="33"/>
  <c r="P68" i="33"/>
  <c r="P66" i="33"/>
  <c r="P62" i="33"/>
  <c r="P64" i="33"/>
  <c r="AP17" i="32"/>
  <c r="AP18" i="32"/>
  <c r="AP19" i="32"/>
  <c r="AP20" i="32"/>
  <c r="AP21" i="32"/>
  <c r="AP22" i="32"/>
  <c r="AP23" i="32"/>
  <c r="AP24" i="32"/>
  <c r="AP25" i="32"/>
  <c r="AP26" i="32"/>
  <c r="AP27" i="32"/>
  <c r="AP28" i="32"/>
  <c r="AP29" i="32"/>
  <c r="AP30" i="32"/>
  <c r="AP31" i="32"/>
  <c r="AP32" i="32"/>
  <c r="AP33" i="32"/>
  <c r="AP34" i="32"/>
  <c r="AP35" i="32"/>
  <c r="AP36" i="32"/>
  <c r="AP37" i="32"/>
  <c r="AP38" i="32"/>
  <c r="AP39" i="32"/>
  <c r="AP40" i="32"/>
  <c r="AP77" i="32"/>
  <c r="AP78" i="32" s="1"/>
  <c r="AP3" i="32"/>
  <c r="AP7" i="32"/>
  <c r="BA42" i="32" l="1"/>
  <c r="AQ42" i="32"/>
  <c r="BA63" i="33"/>
  <c r="BK71" i="33"/>
  <c r="BK73" i="33" s="1"/>
  <c r="BK76" i="33" s="1"/>
  <c r="BK81" i="33" s="1"/>
  <c r="BJ42" i="32"/>
  <c r="BB42" i="32"/>
  <c r="BC42" i="32"/>
  <c r="BL42" i="32"/>
  <c r="BL10" i="32" s="1"/>
  <c r="BL11" i="32" s="1"/>
  <c r="BL46" i="32" s="1"/>
  <c r="BA70" i="33"/>
  <c r="BJ69" i="33"/>
  <c r="BJ65" i="33"/>
  <c r="BJ70" i="33"/>
  <c r="BJ66" i="33"/>
  <c r="BJ62" i="33"/>
  <c r="BJ67" i="33"/>
  <c r="BJ63" i="33"/>
  <c r="BJ68" i="33"/>
  <c r="BJ64" i="33"/>
  <c r="BD71" i="33"/>
  <c r="BD73" i="33" s="1"/>
  <c r="BD76" i="33" s="1"/>
  <c r="BD81" i="33" s="1"/>
  <c r="BC71" i="33"/>
  <c r="BC73" i="33" s="1"/>
  <c r="BC76" i="33" s="1"/>
  <c r="BC81" i="33" s="1"/>
  <c r="BA68" i="33"/>
  <c r="BA66" i="33"/>
  <c r="BA69" i="33"/>
  <c r="BA65" i="33"/>
  <c r="BA62" i="33"/>
  <c r="BA67" i="33"/>
  <c r="AY88" i="33"/>
  <c r="AY87" i="33"/>
  <c r="AQ71" i="33"/>
  <c r="AQ73" i="33" s="1"/>
  <c r="AQ76" i="33" s="1"/>
  <c r="AQ81" i="33" s="1"/>
  <c r="AX87" i="33"/>
  <c r="AX88" i="33"/>
  <c r="AP71" i="33"/>
  <c r="AP73" i="33" s="1"/>
  <c r="AM71" i="33"/>
  <c r="AM73" i="33" s="1"/>
  <c r="AM76" i="33" s="1"/>
  <c r="AM81" i="33" s="1"/>
  <c r="AL68" i="33"/>
  <c r="AL64" i="33"/>
  <c r="AL67" i="33"/>
  <c r="AL63" i="33"/>
  <c r="AL70" i="33"/>
  <c r="AL66" i="33"/>
  <c r="AL62" i="33"/>
  <c r="AL69" i="33"/>
  <c r="AL65" i="33"/>
  <c r="AF71" i="33"/>
  <c r="AF73" i="33" s="1"/>
  <c r="AF76" i="33" s="1"/>
  <c r="AF81" i="33" s="1"/>
  <c r="AE71" i="33"/>
  <c r="AE73" i="33" s="1"/>
  <c r="AE76" i="33" s="1"/>
  <c r="AE81" i="33" s="1"/>
  <c r="AC71" i="33"/>
  <c r="AC73" i="33" s="1"/>
  <c r="AD71" i="33"/>
  <c r="AD73" i="33" s="1"/>
  <c r="AD76" i="33" s="1"/>
  <c r="AD81" i="33" s="1"/>
  <c r="AB71" i="33"/>
  <c r="AB73" i="33" s="1"/>
  <c r="AA71" i="33"/>
  <c r="AA73" i="33" s="1"/>
  <c r="AA76" i="33" s="1"/>
  <c r="AA81" i="33" s="1"/>
  <c r="S71" i="33"/>
  <c r="S73" i="33" s="1"/>
  <c r="S76" i="33" s="1"/>
  <c r="S81" i="33" s="1"/>
  <c r="Q71" i="33"/>
  <c r="Q73" i="33" s="1"/>
  <c r="Q76" i="33" s="1"/>
  <c r="Q81" i="33" s="1"/>
  <c r="T71" i="33"/>
  <c r="T73" i="33" s="1"/>
  <c r="T76" i="33" s="1"/>
  <c r="T81" i="33" s="1"/>
  <c r="Z68" i="33"/>
  <c r="Z64" i="33"/>
  <c r="Z67" i="33"/>
  <c r="Z63" i="33"/>
  <c r="Z70" i="33"/>
  <c r="Z66" i="33"/>
  <c r="Z62" i="33"/>
  <c r="Z69" i="33"/>
  <c r="Z65" i="33"/>
  <c r="R71" i="33"/>
  <c r="R73" i="33" s="1"/>
  <c r="R76" i="33" s="1"/>
  <c r="R81" i="33" s="1"/>
  <c r="O71" i="33"/>
  <c r="O73" i="33" s="1"/>
  <c r="O76" i="33" s="1"/>
  <c r="O81" i="33" s="1"/>
  <c r="BD42" i="32"/>
  <c r="BK42" i="32"/>
  <c r="BK10" i="32" s="1"/>
  <c r="AP42" i="32"/>
  <c r="AN71" i="33"/>
  <c r="AN73" i="33" s="1"/>
  <c r="AN86" i="33" s="1"/>
  <c r="AN87" i="33"/>
  <c r="V51" i="33"/>
  <c r="X51" i="33" s="1"/>
  <c r="V55" i="33"/>
  <c r="X55" i="33" s="1"/>
  <c r="V54" i="33"/>
  <c r="X54" i="33" s="1"/>
  <c r="AH83" i="33"/>
  <c r="BF83" i="33"/>
  <c r="V57" i="33"/>
  <c r="X57" i="33" s="1"/>
  <c r="V56" i="33"/>
  <c r="X56" i="33" s="1"/>
  <c r="AO71" i="33"/>
  <c r="AO73" i="33" s="1"/>
  <c r="BM49" i="33"/>
  <c r="P71" i="33"/>
  <c r="P73" i="33" s="1"/>
  <c r="V50" i="33"/>
  <c r="X50" i="33" s="1"/>
  <c r="V83" i="33"/>
  <c r="BM83" i="33"/>
  <c r="AH49" i="33"/>
  <c r="BF49" i="33"/>
  <c r="N58" i="33"/>
  <c r="N60" i="33" s="1"/>
  <c r="V49" i="33"/>
  <c r="V53" i="33"/>
  <c r="X53" i="33" s="1"/>
  <c r="V52" i="33"/>
  <c r="X52" i="33" s="1"/>
  <c r="AO17" i="32"/>
  <c r="AO18" i="32"/>
  <c r="AO19" i="32"/>
  <c r="AO20" i="32"/>
  <c r="AO21" i="32"/>
  <c r="AO22" i="32"/>
  <c r="AO23" i="32"/>
  <c r="AO24" i="32"/>
  <c r="AO25" i="32"/>
  <c r="AO26" i="32"/>
  <c r="AO27" i="32"/>
  <c r="AO28" i="32"/>
  <c r="AO29" i="32"/>
  <c r="AO30" i="32"/>
  <c r="AO31" i="32"/>
  <c r="AO32" i="32"/>
  <c r="AO33" i="32"/>
  <c r="AO34" i="32"/>
  <c r="AO35" i="32"/>
  <c r="AO36" i="32"/>
  <c r="AO37" i="32"/>
  <c r="AO38" i="32"/>
  <c r="AO39" i="32"/>
  <c r="AO40" i="32"/>
  <c r="AO77" i="32"/>
  <c r="AO78" i="32"/>
  <c r="AO3" i="32"/>
  <c r="AO7" i="32"/>
  <c r="BA71" i="33" l="1"/>
  <c r="BA73" i="33" s="1"/>
  <c r="BA76" i="33" s="1"/>
  <c r="BA81" i="33" s="1"/>
  <c r="BK86" i="33"/>
  <c r="AP76" i="33"/>
  <c r="BJ71" i="33"/>
  <c r="BJ73" i="33" s="1"/>
  <c r="BJ76" i="33" s="1"/>
  <c r="BJ81" i="33" s="1"/>
  <c r="BC86" i="33"/>
  <c r="AY90" i="33"/>
  <c r="AY92" i="33" s="1"/>
  <c r="AX90" i="33"/>
  <c r="AX92" i="33" s="1"/>
  <c r="AE86" i="33"/>
  <c r="S86" i="33"/>
  <c r="Q86" i="33"/>
  <c r="AD86" i="33"/>
  <c r="AL71" i="33"/>
  <c r="AL73" i="33" s="1"/>
  <c r="AL76" i="33" s="1"/>
  <c r="AL81" i="33" s="1"/>
  <c r="AB86" i="33"/>
  <c r="Z71" i="33"/>
  <c r="Z73" i="33" s="1"/>
  <c r="Z76" i="33" s="1"/>
  <c r="Z81" i="33" s="1"/>
  <c r="BB86" i="33"/>
  <c r="BD86" i="33"/>
  <c r="AN88" i="33"/>
  <c r="AN90" i="33" s="1"/>
  <c r="AN92" i="33" s="1"/>
  <c r="AH69" i="33"/>
  <c r="AJ69" i="33" s="1"/>
  <c r="AH67" i="33"/>
  <c r="AJ67" i="33" s="1"/>
  <c r="AH65" i="33"/>
  <c r="AJ65" i="33" s="1"/>
  <c r="AH63" i="33"/>
  <c r="AJ63" i="33" s="1"/>
  <c r="AH70" i="33"/>
  <c r="AJ70" i="33" s="1"/>
  <c r="AH66" i="33"/>
  <c r="AJ66" i="33" s="1"/>
  <c r="AH68" i="33"/>
  <c r="AJ68" i="33" s="1"/>
  <c r="AH64" i="33"/>
  <c r="AJ64" i="33" s="1"/>
  <c r="P86" i="33"/>
  <c r="BM70" i="33"/>
  <c r="BO70" i="33" s="1"/>
  <c r="BM68" i="33"/>
  <c r="BO68" i="33" s="1"/>
  <c r="BM66" i="33"/>
  <c r="BO66" i="33" s="1"/>
  <c r="BM64" i="33"/>
  <c r="BO64" i="33" s="1"/>
  <c r="BM69" i="33"/>
  <c r="BO69" i="33" s="1"/>
  <c r="BM67" i="33"/>
  <c r="BO67" i="33" s="1"/>
  <c r="BM65" i="33"/>
  <c r="BO65" i="33" s="1"/>
  <c r="BM63" i="33"/>
  <c r="BO63" i="33" s="1"/>
  <c r="BC88" i="33"/>
  <c r="BC87" i="33"/>
  <c r="BD88" i="33"/>
  <c r="BD87" i="33"/>
  <c r="AC86" i="33"/>
  <c r="V58" i="33"/>
  <c r="X49" i="33"/>
  <c r="X58" i="33" s="1"/>
  <c r="BH49" i="33"/>
  <c r="BF58" i="33"/>
  <c r="BK88" i="33"/>
  <c r="BK87" i="33"/>
  <c r="BF69" i="33"/>
  <c r="BH69" i="33" s="1"/>
  <c r="BF67" i="33"/>
  <c r="BH67" i="33" s="1"/>
  <c r="BF65" i="33"/>
  <c r="BH65" i="33" s="1"/>
  <c r="BF70" i="33"/>
  <c r="BH70" i="33" s="1"/>
  <c r="BF68" i="33"/>
  <c r="BH68" i="33" s="1"/>
  <c r="BF66" i="33"/>
  <c r="BH66" i="33" s="1"/>
  <c r="BF64" i="33"/>
  <c r="BH64" i="33" s="1"/>
  <c r="BF63" i="33"/>
  <c r="BH63" i="33" s="1"/>
  <c r="AM86" i="33"/>
  <c r="AO86" i="33"/>
  <c r="AQ86" i="33"/>
  <c r="N70" i="33"/>
  <c r="N68" i="33"/>
  <c r="N66" i="33"/>
  <c r="N64" i="33"/>
  <c r="N69" i="33"/>
  <c r="N67" i="33"/>
  <c r="N62" i="33"/>
  <c r="N65" i="33"/>
  <c r="N63" i="33"/>
  <c r="AH58" i="33"/>
  <c r="AJ49" i="33"/>
  <c r="BM58" i="33"/>
  <c r="BO49" i="33"/>
  <c r="AF86" i="33"/>
  <c r="T86" i="33"/>
  <c r="BB88" i="33"/>
  <c r="BB87" i="33"/>
  <c r="AO42" i="32"/>
  <c r="AN17" i="32"/>
  <c r="AN18" i="32"/>
  <c r="AN19" i="32"/>
  <c r="AN20" i="32"/>
  <c r="AN21" i="32"/>
  <c r="AN22" i="32"/>
  <c r="AN23" i="32"/>
  <c r="AN24" i="32"/>
  <c r="AN25" i="32"/>
  <c r="AN26" i="32"/>
  <c r="AN27" i="32"/>
  <c r="AN28" i="32"/>
  <c r="AN29" i="32"/>
  <c r="AN30" i="32"/>
  <c r="AN31" i="32"/>
  <c r="AN32" i="32"/>
  <c r="AN33" i="32"/>
  <c r="AN34" i="32"/>
  <c r="AN35" i="32"/>
  <c r="AN36" i="32"/>
  <c r="AN37" i="32"/>
  <c r="AN38" i="32"/>
  <c r="AN39" i="32"/>
  <c r="AN40" i="32"/>
  <c r="AN77" i="32"/>
  <c r="AN78" i="32"/>
  <c r="AN3" i="32"/>
  <c r="AN7" i="32"/>
  <c r="AP81" i="33" l="1"/>
  <c r="AP86" i="33"/>
  <c r="R86" i="33"/>
  <c r="O86" i="33"/>
  <c r="AA86" i="33"/>
  <c r="AA87" i="33"/>
  <c r="AA88" i="33"/>
  <c r="S87" i="33"/>
  <c r="AE87" i="33"/>
  <c r="AB88" i="33"/>
  <c r="AB87" i="33"/>
  <c r="BK90" i="33"/>
  <c r="BK92" i="33" s="1"/>
  <c r="BB90" i="33"/>
  <c r="BB92" i="33" s="1"/>
  <c r="BC90" i="33"/>
  <c r="BC92" i="33" s="1"/>
  <c r="BD90" i="33"/>
  <c r="BD92" i="33" s="1"/>
  <c r="V65" i="33"/>
  <c r="X65" i="33" s="1"/>
  <c r="V64" i="33"/>
  <c r="X64" i="33" s="1"/>
  <c r="AC88" i="33"/>
  <c r="AC87" i="33"/>
  <c r="O88" i="33"/>
  <c r="O87" i="33"/>
  <c r="T88" i="33"/>
  <c r="T87" i="33"/>
  <c r="BO58" i="33"/>
  <c r="AJ58" i="33"/>
  <c r="N71" i="33"/>
  <c r="N73" i="33" s="1"/>
  <c r="N76" i="33" s="1"/>
  <c r="N81" i="33" s="1"/>
  <c r="V62" i="33"/>
  <c r="V66" i="33"/>
  <c r="X66" i="33" s="1"/>
  <c r="AQ88" i="33"/>
  <c r="AQ87" i="33"/>
  <c r="AM88" i="33"/>
  <c r="AM87" i="33"/>
  <c r="BH58" i="33"/>
  <c r="V67" i="33"/>
  <c r="X67" i="33" s="1"/>
  <c r="V68" i="33"/>
  <c r="X68" i="33" s="1"/>
  <c r="P88" i="33"/>
  <c r="P87" i="33"/>
  <c r="AF88" i="33"/>
  <c r="AF87" i="33"/>
  <c r="V63" i="33"/>
  <c r="X63" i="33" s="1"/>
  <c r="V69" i="33"/>
  <c r="X69" i="33" s="1"/>
  <c r="V70" i="33"/>
  <c r="X70" i="33" s="1"/>
  <c r="AO88" i="33"/>
  <c r="AO87" i="33"/>
  <c r="BF62" i="33"/>
  <c r="BH62" i="33" s="1"/>
  <c r="BM62" i="33"/>
  <c r="BO62" i="33" s="1"/>
  <c r="AH62" i="33"/>
  <c r="AJ62" i="33" s="1"/>
  <c r="R88" i="33"/>
  <c r="R87" i="33"/>
  <c r="AN42" i="32"/>
  <c r="AM77" i="32"/>
  <c r="AM78" i="32" s="1"/>
  <c r="AM40" i="32"/>
  <c r="AM39" i="32"/>
  <c r="AM38" i="32"/>
  <c r="AM37" i="32"/>
  <c r="AM36" i="32"/>
  <c r="AM35" i="32"/>
  <c r="AM34" i="32"/>
  <c r="AM33" i="32"/>
  <c r="AM32" i="32"/>
  <c r="AM31" i="32"/>
  <c r="AM30" i="32"/>
  <c r="AM29" i="32"/>
  <c r="AM28" i="32"/>
  <c r="AM27" i="32"/>
  <c r="AM26" i="32"/>
  <c r="AM25" i="32"/>
  <c r="AM24" i="32"/>
  <c r="AM23" i="32"/>
  <c r="AM22" i="32"/>
  <c r="AM21" i="32"/>
  <c r="AM20" i="32"/>
  <c r="AM19" i="32"/>
  <c r="AM18" i="32"/>
  <c r="AM17" i="32"/>
  <c r="AM3" i="32"/>
  <c r="AM7" i="32"/>
  <c r="AP88" i="33" l="1"/>
  <c r="AP87" i="33"/>
  <c r="AA90" i="33"/>
  <c r="AA92" i="33" s="1"/>
  <c r="AE88" i="33"/>
  <c r="AE90" i="33" s="1"/>
  <c r="AE92" i="33" s="1"/>
  <c r="S88" i="33"/>
  <c r="S90" i="33" s="1"/>
  <c r="S92" i="33" s="1"/>
  <c r="AD88" i="33"/>
  <c r="AD87" i="33"/>
  <c r="Q87" i="33"/>
  <c r="Q88" i="33"/>
  <c r="AB90" i="33"/>
  <c r="AB92" i="33" s="1"/>
  <c r="R90" i="33"/>
  <c r="R92" i="33" s="1"/>
  <c r="BO71" i="33"/>
  <c r="P90" i="33"/>
  <c r="P92" i="33" s="1"/>
  <c r="BH71" i="33"/>
  <c r="AM90" i="33"/>
  <c r="AM92" i="33" s="1"/>
  <c r="AQ90" i="33"/>
  <c r="AQ92" i="33" s="1"/>
  <c r="AO90" i="33"/>
  <c r="AO92" i="33" s="1"/>
  <c r="AC90" i="33"/>
  <c r="AC92" i="33" s="1"/>
  <c r="AJ71" i="33"/>
  <c r="AF90" i="33"/>
  <c r="AF92" i="33" s="1"/>
  <c r="T90" i="33"/>
  <c r="T92" i="33" s="1"/>
  <c r="O90" i="33"/>
  <c r="O92" i="33" s="1"/>
  <c r="BM71" i="33"/>
  <c r="N86" i="33"/>
  <c r="V76" i="33"/>
  <c r="AH71" i="33"/>
  <c r="BF71" i="33"/>
  <c r="X62" i="33"/>
  <c r="X71" i="33" s="1"/>
  <c r="V71" i="33"/>
  <c r="AM42" i="32"/>
  <c r="AT4" i="32"/>
  <c r="AL77" i="32"/>
  <c r="AL78" i="32" s="1"/>
  <c r="AL40" i="32"/>
  <c r="AL39" i="32"/>
  <c r="AL38" i="32"/>
  <c r="AL37" i="32"/>
  <c r="AL36" i="32"/>
  <c r="AL35" i="32"/>
  <c r="AL34" i="32"/>
  <c r="AL33" i="32"/>
  <c r="AL32" i="32"/>
  <c r="AL31" i="32"/>
  <c r="AL30" i="32"/>
  <c r="AL29" i="32"/>
  <c r="AL28" i="32"/>
  <c r="AL27" i="32"/>
  <c r="AL26" i="32"/>
  <c r="AL25" i="32"/>
  <c r="AL24" i="32"/>
  <c r="AL23" i="32"/>
  <c r="AL22" i="32"/>
  <c r="AL21" i="32"/>
  <c r="AL20" i="32"/>
  <c r="AL19" i="32"/>
  <c r="AL18" i="32"/>
  <c r="AL17" i="32"/>
  <c r="AL7" i="32"/>
  <c r="AL3" i="32"/>
  <c r="AF77" i="32"/>
  <c r="AF78" i="32" s="1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3" i="32"/>
  <c r="AF7" i="32"/>
  <c r="AP90" i="33" l="1"/>
  <c r="AP92" i="33" s="1"/>
  <c r="AD90" i="33"/>
  <c r="AD92" i="33" s="1"/>
  <c r="Q90" i="33"/>
  <c r="Q92" i="33" s="1"/>
  <c r="AF42" i="32"/>
  <c r="Z86" i="33"/>
  <c r="AH76" i="33"/>
  <c r="BJ86" i="33"/>
  <c r="BM76" i="33"/>
  <c r="N88" i="33"/>
  <c r="N87" i="33"/>
  <c r="V81" i="33"/>
  <c r="BA86" i="33"/>
  <c r="BF76" i="33"/>
  <c r="AL86" i="33"/>
  <c r="V86" i="33"/>
  <c r="AL42" i="32"/>
  <c r="AE17" i="32"/>
  <c r="AE18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38" i="32"/>
  <c r="AE39" i="32"/>
  <c r="AE40" i="32"/>
  <c r="AE77" i="32"/>
  <c r="AE78" i="32" s="1"/>
  <c r="AE3" i="32"/>
  <c r="AE7" i="32"/>
  <c r="N90" i="33" l="1"/>
  <c r="V90" i="33" s="1"/>
  <c r="BF86" i="33"/>
  <c r="AL88" i="33"/>
  <c r="AL87" i="33"/>
  <c r="BA88" i="33"/>
  <c r="BF88" i="33" s="1"/>
  <c r="BA87" i="33"/>
  <c r="BF87" i="33" s="1"/>
  <c r="BF81" i="33"/>
  <c r="V87" i="33"/>
  <c r="BM86" i="33"/>
  <c r="AH86" i="33"/>
  <c r="V88" i="33"/>
  <c r="BJ88" i="33"/>
  <c r="BM88" i="33" s="1"/>
  <c r="BJ87" i="33"/>
  <c r="BM87" i="33" s="1"/>
  <c r="BM81" i="33"/>
  <c r="Z88" i="33"/>
  <c r="AH88" i="33" s="1"/>
  <c r="Z87" i="33"/>
  <c r="AH87" i="33" s="1"/>
  <c r="AH81" i="33"/>
  <c r="AE42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77" i="32"/>
  <c r="AD78" i="32" s="1"/>
  <c r="AD3" i="32"/>
  <c r="AD7" i="32"/>
  <c r="N92" i="33" l="1"/>
  <c r="V92" i="33" s="1"/>
  <c r="Z90" i="33"/>
  <c r="Z92" i="33" s="1"/>
  <c r="BA90" i="33"/>
  <c r="BJ90" i="33"/>
  <c r="AL90" i="33"/>
  <c r="AL92" i="33" s="1"/>
  <c r="AD42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77" i="32"/>
  <c r="AC78" i="32" s="1"/>
  <c r="AC3" i="32"/>
  <c r="AC7" i="32"/>
  <c r="AC42" i="32" l="1"/>
  <c r="BA92" i="33"/>
  <c r="BF92" i="33" s="1"/>
  <c r="BF90" i="33"/>
  <c r="BM90" i="33"/>
  <c r="BJ92" i="33"/>
  <c r="BM92" i="33" s="1"/>
  <c r="AH90" i="33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77" i="32"/>
  <c r="AB78" i="32" s="1"/>
  <c r="AB3" i="32"/>
  <c r="AB7" i="32"/>
  <c r="AH92" i="33" l="1"/>
  <c r="AB42" i="32"/>
  <c r="AA77" i="32"/>
  <c r="AA78" i="32" s="1"/>
  <c r="AA40" i="32"/>
  <c r="AA39" i="32"/>
  <c r="AA38" i="32"/>
  <c r="AA37" i="32"/>
  <c r="AA36" i="32"/>
  <c r="AA35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AA22" i="32"/>
  <c r="AA21" i="32"/>
  <c r="AA20" i="32"/>
  <c r="AA19" i="32"/>
  <c r="AA18" i="32"/>
  <c r="AA17" i="32"/>
  <c r="AA3" i="32"/>
  <c r="AA7" i="32"/>
  <c r="AA42" i="32" l="1"/>
  <c r="AH4" i="32"/>
  <c r="Z77" i="32"/>
  <c r="Z78" i="32" s="1"/>
  <c r="Z40" i="32"/>
  <c r="Z39" i="32"/>
  <c r="Z38" i="32"/>
  <c r="Z37" i="32"/>
  <c r="Z36" i="32"/>
  <c r="Z35" i="32"/>
  <c r="Z34" i="32"/>
  <c r="Z33" i="32"/>
  <c r="Z32" i="32"/>
  <c r="Z31" i="32"/>
  <c r="Z30" i="32"/>
  <c r="Z29" i="32"/>
  <c r="Z28" i="32"/>
  <c r="Z27" i="32"/>
  <c r="Z26" i="32"/>
  <c r="Z25" i="32"/>
  <c r="Z24" i="32"/>
  <c r="Z23" i="32"/>
  <c r="Z21" i="32"/>
  <c r="Z20" i="32"/>
  <c r="Z19" i="32"/>
  <c r="Z18" i="32"/>
  <c r="Z17" i="32"/>
  <c r="Z3" i="32"/>
  <c r="T77" i="32"/>
  <c r="T78" i="32" s="1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1" i="32"/>
  <c r="T20" i="32"/>
  <c r="T19" i="32"/>
  <c r="T18" i="32"/>
  <c r="T17" i="32"/>
  <c r="S77" i="32" l="1"/>
  <c r="S78" i="32" s="1"/>
  <c r="R77" i="32" l="1"/>
  <c r="R78" i="32" s="1"/>
  <c r="V5" i="32" l="1"/>
  <c r="V4" i="32"/>
  <c r="Q77" i="32"/>
  <c r="Q78" i="32" s="1"/>
  <c r="P77" i="32" l="1"/>
  <c r="P78" i="32" s="1"/>
  <c r="O3" i="32" l="1"/>
  <c r="P3" i="32"/>
  <c r="Q3" i="32"/>
  <c r="R3" i="32"/>
  <c r="S3" i="32"/>
  <c r="T3" i="32"/>
  <c r="O77" i="32"/>
  <c r="O78" i="32" s="1"/>
  <c r="N3" i="32" l="1"/>
  <c r="BS3" i="31" l="1"/>
  <c r="BT6" i="31" s="1"/>
  <c r="W67" i="32" l="1"/>
  <c r="AU64" i="32"/>
  <c r="AU55" i="32"/>
  <c r="BO52" i="32"/>
  <c r="AU51" i="32"/>
  <c r="AU49" i="32"/>
  <c r="BO48" i="32"/>
  <c r="BN78" i="32"/>
  <c r="BN77" i="32"/>
  <c r="BN74" i="32"/>
  <c r="BN40" i="32"/>
  <c r="BN39" i="32"/>
  <c r="BN38" i="32"/>
  <c r="BN37" i="32"/>
  <c r="BN36" i="32"/>
  <c r="BN35" i="32"/>
  <c r="BN34" i="32"/>
  <c r="BN33" i="32"/>
  <c r="BN32" i="32"/>
  <c r="BN31" i="32"/>
  <c r="BN30" i="32"/>
  <c r="BN29" i="32"/>
  <c r="BN28" i="32"/>
  <c r="BN27" i="32"/>
  <c r="BN26" i="32"/>
  <c r="BN25" i="32"/>
  <c r="BN24" i="32"/>
  <c r="BN23" i="32"/>
  <c r="BN22" i="32"/>
  <c r="BN21" i="32"/>
  <c r="BN20" i="32"/>
  <c r="BN19" i="32"/>
  <c r="BN18" i="32"/>
  <c r="BN17" i="32"/>
  <c r="BK11" i="32"/>
  <c r="BK46" i="32" s="1"/>
  <c r="BJ10" i="32"/>
  <c r="K94" i="32"/>
  <c r="K93" i="32" s="1"/>
  <c r="C94" i="32"/>
  <c r="E78" i="32"/>
  <c r="F78" i="32" s="1"/>
  <c r="N77" i="32"/>
  <c r="N78" i="32" s="1"/>
  <c r="I77" i="32"/>
  <c r="H77" i="32"/>
  <c r="G77" i="32"/>
  <c r="F77" i="32"/>
  <c r="BF74" i="32"/>
  <c r="E70" i="32"/>
  <c r="I69" i="32"/>
  <c r="H69" i="32"/>
  <c r="G69" i="32"/>
  <c r="F69" i="32"/>
  <c r="I67" i="32"/>
  <c r="H67" i="32"/>
  <c r="G67" i="32"/>
  <c r="F67" i="32"/>
  <c r="AU66" i="32"/>
  <c r="W66" i="32"/>
  <c r="BO66" i="32"/>
  <c r="I66" i="32"/>
  <c r="H66" i="32"/>
  <c r="G66" i="32"/>
  <c r="F66" i="32"/>
  <c r="AU65" i="32"/>
  <c r="W65" i="32"/>
  <c r="BO65" i="32"/>
  <c r="I65" i="32"/>
  <c r="H65" i="32"/>
  <c r="G65" i="32"/>
  <c r="F65" i="32"/>
  <c r="I64" i="32"/>
  <c r="H64" i="32"/>
  <c r="G64" i="32"/>
  <c r="F64" i="32"/>
  <c r="I62" i="32"/>
  <c r="H62" i="32"/>
  <c r="G62" i="32"/>
  <c r="F62" i="32"/>
  <c r="K61" i="32"/>
  <c r="I61" i="32"/>
  <c r="H61" i="32"/>
  <c r="G61" i="32"/>
  <c r="F61" i="32"/>
  <c r="E57" i="32"/>
  <c r="K53" i="32" s="1"/>
  <c r="BG56" i="32"/>
  <c r="I56" i="32"/>
  <c r="H56" i="32"/>
  <c r="G56" i="32"/>
  <c r="F56" i="32"/>
  <c r="I55" i="32"/>
  <c r="H55" i="32"/>
  <c r="G55" i="32"/>
  <c r="F55" i="32"/>
  <c r="AU54" i="32"/>
  <c r="I54" i="32"/>
  <c r="H54" i="32"/>
  <c r="G54" i="32"/>
  <c r="F54" i="32"/>
  <c r="AU53" i="32"/>
  <c r="I53" i="32"/>
  <c r="H53" i="32"/>
  <c r="G53" i="32"/>
  <c r="F53" i="32"/>
  <c r="W52" i="32"/>
  <c r="I52" i="32"/>
  <c r="H52" i="32"/>
  <c r="G52" i="32"/>
  <c r="F52" i="32"/>
  <c r="BO51" i="32"/>
  <c r="I51" i="32"/>
  <c r="H51" i="32"/>
  <c r="G51" i="32"/>
  <c r="F51" i="32"/>
  <c r="AU50" i="32"/>
  <c r="W50" i="32"/>
  <c r="BO50" i="32"/>
  <c r="I50" i="32"/>
  <c r="H50" i="32"/>
  <c r="G50" i="32"/>
  <c r="F50" i="32"/>
  <c r="W49" i="32"/>
  <c r="K49" i="32"/>
  <c r="BO49" i="32"/>
  <c r="I46" i="32"/>
  <c r="H46" i="32"/>
  <c r="G46" i="32"/>
  <c r="F46" i="32"/>
  <c r="BR42" i="32"/>
  <c r="I42" i="32"/>
  <c r="H42" i="32"/>
  <c r="G42" i="32"/>
  <c r="F42" i="32"/>
  <c r="E42" i="32"/>
  <c r="BS40" i="32"/>
  <c r="BS39" i="32"/>
  <c r="BS38" i="32"/>
  <c r="N38" i="32"/>
  <c r="BS37" i="32"/>
  <c r="BS36" i="32"/>
  <c r="BS35" i="32"/>
  <c r="BS34" i="32"/>
  <c r="N34" i="32"/>
  <c r="BS33" i="32"/>
  <c r="BS32" i="32"/>
  <c r="N32" i="32"/>
  <c r="BS31" i="32"/>
  <c r="BS30" i="32"/>
  <c r="N30" i="32"/>
  <c r="BS29" i="32"/>
  <c r="BS28" i="32"/>
  <c r="BS27" i="32"/>
  <c r="N27" i="32"/>
  <c r="BS26" i="32"/>
  <c r="N26" i="32"/>
  <c r="BS25" i="32"/>
  <c r="BS24" i="32"/>
  <c r="BS23" i="32"/>
  <c r="BS22" i="32"/>
  <c r="BS21" i="32"/>
  <c r="BS20" i="32"/>
  <c r="BS19" i="32"/>
  <c r="BS18" i="32"/>
  <c r="N18" i="32"/>
  <c r="BS17" i="32"/>
  <c r="N17" i="32"/>
  <c r="K11" i="32"/>
  <c r="AS7" i="32"/>
  <c r="Z7" i="32"/>
  <c r="T7" i="32"/>
  <c r="S7" i="32"/>
  <c r="R7" i="32"/>
  <c r="Q7" i="32"/>
  <c r="P7" i="32"/>
  <c r="O7" i="32"/>
  <c r="N7" i="32"/>
  <c r="J6" i="32"/>
  <c r="BF6" i="32"/>
  <c r="AT6" i="32"/>
  <c r="AH6" i="32"/>
  <c r="X7" i="32"/>
  <c r="BF5" i="32"/>
  <c r="AT5" i="32"/>
  <c r="AH5" i="32"/>
  <c r="BJ75" i="31"/>
  <c r="BJ76" i="31" s="1"/>
  <c r="BJ5" i="31"/>
  <c r="BD75" i="31"/>
  <c r="BD76" i="31" s="1"/>
  <c r="K52" i="32" l="1"/>
  <c r="K54" i="32"/>
  <c r="K48" i="32"/>
  <c r="K55" i="32"/>
  <c r="K50" i="32"/>
  <c r="K51" i="32"/>
  <c r="AV7" i="32"/>
  <c r="AT7" i="32"/>
  <c r="H78" i="32"/>
  <c r="K56" i="32"/>
  <c r="E72" i="32"/>
  <c r="E74" i="32"/>
  <c r="G78" i="32"/>
  <c r="K25" i="32"/>
  <c r="CB3" i="32"/>
  <c r="CC3" i="32" s="1"/>
  <c r="K95" i="32"/>
  <c r="K96" i="32" s="1"/>
  <c r="J7" i="32"/>
  <c r="BX5" i="32"/>
  <c r="BU1" i="32"/>
  <c r="CC25" i="32" s="1"/>
  <c r="BN7" i="32"/>
  <c r="BP7" i="32"/>
  <c r="BO4" i="32"/>
  <c r="BN3" i="32"/>
  <c r="BG4" i="32"/>
  <c r="BF3" i="32"/>
  <c r="K5" i="32"/>
  <c r="AT3" i="32"/>
  <c r="AU4" i="32"/>
  <c r="Z22" i="32"/>
  <c r="Z42" i="32" s="1"/>
  <c r="T22" i="32"/>
  <c r="T42" i="32" s="1"/>
  <c r="AI4" i="32"/>
  <c r="AH3" i="32"/>
  <c r="S34" i="32"/>
  <c r="R34" i="32"/>
  <c r="Q34" i="32"/>
  <c r="P34" i="32"/>
  <c r="O34" i="32"/>
  <c r="S24" i="32"/>
  <c r="S19" i="32"/>
  <c r="R19" i="32"/>
  <c r="Q19" i="32"/>
  <c r="P19" i="32"/>
  <c r="O19" i="32"/>
  <c r="S25" i="32"/>
  <c r="R25" i="32"/>
  <c r="Q25" i="32"/>
  <c r="P25" i="32"/>
  <c r="O25" i="32"/>
  <c r="S29" i="32"/>
  <c r="R29" i="32"/>
  <c r="Q29" i="32"/>
  <c r="P29" i="32"/>
  <c r="O29" i="32"/>
  <c r="S32" i="32"/>
  <c r="R32" i="32"/>
  <c r="Q32" i="32"/>
  <c r="P32" i="32"/>
  <c r="O32" i="32"/>
  <c r="S40" i="32"/>
  <c r="R40" i="32"/>
  <c r="Q40" i="32"/>
  <c r="P40" i="32"/>
  <c r="O40" i="32"/>
  <c r="S17" i="32"/>
  <c r="R17" i="32"/>
  <c r="Q17" i="32"/>
  <c r="P17" i="32"/>
  <c r="O17" i="32"/>
  <c r="S21" i="32"/>
  <c r="S20" i="32"/>
  <c r="R20" i="32"/>
  <c r="Q20" i="32"/>
  <c r="P20" i="32"/>
  <c r="O20" i="32"/>
  <c r="S23" i="32"/>
  <c r="R23" i="32"/>
  <c r="Q23" i="32"/>
  <c r="P23" i="32"/>
  <c r="O23" i="32"/>
  <c r="S26" i="32"/>
  <c r="R26" i="32"/>
  <c r="Q26" i="32"/>
  <c r="P26" i="32"/>
  <c r="O26" i="32"/>
  <c r="S37" i="32"/>
  <c r="R37" i="32"/>
  <c r="Q37" i="32"/>
  <c r="P37" i="32"/>
  <c r="O37" i="32"/>
  <c r="S33" i="32"/>
  <c r="R33" i="32"/>
  <c r="Q33" i="32"/>
  <c r="P33" i="32"/>
  <c r="O33" i="32"/>
  <c r="S18" i="32"/>
  <c r="R18" i="32"/>
  <c r="Q18" i="32"/>
  <c r="P18" i="32"/>
  <c r="O18" i="32"/>
  <c r="S22" i="32"/>
  <c r="R22" i="32"/>
  <c r="Q22" i="32"/>
  <c r="P22" i="32"/>
  <c r="O22" i="32"/>
  <c r="S36" i="32"/>
  <c r="R36" i="32"/>
  <c r="Q36" i="32"/>
  <c r="P36" i="32"/>
  <c r="O36" i="32"/>
  <c r="S27" i="32"/>
  <c r="R27" i="32"/>
  <c r="Q27" i="32"/>
  <c r="P27" i="32"/>
  <c r="O27" i="32"/>
  <c r="S30" i="32"/>
  <c r="R30" i="32"/>
  <c r="Q30" i="32"/>
  <c r="P30" i="32"/>
  <c r="O30" i="32"/>
  <c r="S38" i="32"/>
  <c r="R38" i="32"/>
  <c r="Q38" i="32"/>
  <c r="P38" i="32"/>
  <c r="O38" i="32"/>
  <c r="S35" i="32"/>
  <c r="R35" i="32"/>
  <c r="Q35" i="32"/>
  <c r="P35" i="32"/>
  <c r="O35" i="32"/>
  <c r="S28" i="32"/>
  <c r="R28" i="32"/>
  <c r="Q28" i="32"/>
  <c r="P28" i="32"/>
  <c r="O28" i="32"/>
  <c r="N35" i="32"/>
  <c r="S31" i="32"/>
  <c r="R31" i="32"/>
  <c r="Q31" i="32"/>
  <c r="P31" i="32"/>
  <c r="O31" i="32"/>
  <c r="N39" i="32"/>
  <c r="S39" i="32"/>
  <c r="R39" i="32"/>
  <c r="Q39" i="32"/>
  <c r="P39" i="32"/>
  <c r="O39" i="32"/>
  <c r="K28" i="32"/>
  <c r="K37" i="32"/>
  <c r="K22" i="32"/>
  <c r="K24" i="32"/>
  <c r="N24" i="32"/>
  <c r="R24" i="32"/>
  <c r="Q24" i="32"/>
  <c r="P24" i="32"/>
  <c r="O24" i="32"/>
  <c r="K21" i="32"/>
  <c r="K19" i="32"/>
  <c r="K36" i="32"/>
  <c r="K18" i="32"/>
  <c r="K20" i="32"/>
  <c r="K35" i="32"/>
  <c r="K40" i="32"/>
  <c r="K17" i="32"/>
  <c r="K34" i="32"/>
  <c r="K23" i="32"/>
  <c r="N21" i="32"/>
  <c r="R21" i="32"/>
  <c r="Q21" i="32"/>
  <c r="P21" i="32"/>
  <c r="O21" i="32"/>
  <c r="W4" i="32"/>
  <c r="V3" i="32"/>
  <c r="BJ11" i="32"/>
  <c r="BJ46" i="32" s="1"/>
  <c r="W51" i="32"/>
  <c r="AU52" i="32"/>
  <c r="BO64" i="32"/>
  <c r="I70" i="32"/>
  <c r="I74" i="32" s="1"/>
  <c r="W64" i="32"/>
  <c r="BG67" i="32"/>
  <c r="AU67" i="32"/>
  <c r="BK82" i="32"/>
  <c r="BF7" i="32"/>
  <c r="BH7" i="32"/>
  <c r="AH7" i="32"/>
  <c r="AJ7" i="32"/>
  <c r="N20" i="32"/>
  <c r="N23" i="32"/>
  <c r="BV6" i="32"/>
  <c r="BF20" i="32"/>
  <c r="BF23" i="32"/>
  <c r="J5" i="32"/>
  <c r="BX7" i="32"/>
  <c r="BX8" i="32" s="1"/>
  <c r="J42" i="32"/>
  <c r="N19" i="32"/>
  <c r="N22" i="32"/>
  <c r="N25" i="32"/>
  <c r="AT26" i="32"/>
  <c r="AH28" i="32"/>
  <c r="N29" i="32"/>
  <c r="AH29" i="32"/>
  <c r="C42" i="32"/>
  <c r="K39" i="32"/>
  <c r="K31" i="32"/>
  <c r="E46" i="32"/>
  <c r="K38" i="32"/>
  <c r="K30" i="32"/>
  <c r="K29" i="32"/>
  <c r="K27" i="32"/>
  <c r="K33" i="32"/>
  <c r="K26" i="32"/>
  <c r="BO63" i="32"/>
  <c r="BG63" i="32"/>
  <c r="AI63" i="32"/>
  <c r="W63" i="32"/>
  <c r="AU63" i="32"/>
  <c r="V7" i="32"/>
  <c r="AY42" i="32"/>
  <c r="AY10" i="32" s="1"/>
  <c r="AY11" i="32" s="1"/>
  <c r="AY46" i="32" s="1"/>
  <c r="AH18" i="32"/>
  <c r="AT18" i="32"/>
  <c r="BF18" i="32"/>
  <c r="AM10" i="32"/>
  <c r="AM11" i="32" s="1"/>
  <c r="AM46" i="32" s="1"/>
  <c r="BA10" i="32"/>
  <c r="BA11" i="32" s="1"/>
  <c r="BA46" i="32" s="1"/>
  <c r="AT21" i="32"/>
  <c r="BF21" i="32"/>
  <c r="AQ10" i="32"/>
  <c r="AQ11" i="32" s="1"/>
  <c r="AQ46" i="32" s="1"/>
  <c r="AT24" i="32"/>
  <c r="BF24" i="32"/>
  <c r="K32" i="32"/>
  <c r="AH19" i="32"/>
  <c r="BF22" i="32"/>
  <c r="AH25" i="32"/>
  <c r="BF25" i="32"/>
  <c r="AH27" i="32"/>
  <c r="N28" i="32"/>
  <c r="AT37" i="32"/>
  <c r="N37" i="32"/>
  <c r="BF37" i="32"/>
  <c r="BS42" i="32"/>
  <c r="AT30" i="32"/>
  <c r="BF30" i="32"/>
  <c r="N31" i="32"/>
  <c r="AT32" i="32"/>
  <c r="BF32" i="32"/>
  <c r="N33" i="32"/>
  <c r="AT34" i="32"/>
  <c r="BF34" i="32"/>
  <c r="N36" i="32"/>
  <c r="AT38" i="32"/>
  <c r="AT39" i="32"/>
  <c r="N40" i="32"/>
  <c r="AT35" i="32"/>
  <c r="J57" i="32"/>
  <c r="BK49" i="32" s="1"/>
  <c r="AU48" i="32"/>
  <c r="W48" i="32"/>
  <c r="AI48" i="32"/>
  <c r="AU62" i="32"/>
  <c r="BO62" i="32"/>
  <c r="AI62" i="32"/>
  <c r="W62" i="32"/>
  <c r="AU68" i="32"/>
  <c r="BO68" i="32"/>
  <c r="AI68" i="32"/>
  <c r="W68" i="32"/>
  <c r="BG68" i="32"/>
  <c r="K69" i="32"/>
  <c r="K68" i="32"/>
  <c r="K67" i="32"/>
  <c r="K66" i="32"/>
  <c r="K65" i="32"/>
  <c r="K64" i="32"/>
  <c r="K63" i="32"/>
  <c r="K62" i="32"/>
  <c r="AH33" i="32"/>
  <c r="BF33" i="32"/>
  <c r="AH36" i="32"/>
  <c r="BF36" i="32"/>
  <c r="BG48" i="32"/>
  <c r="BG62" i="32"/>
  <c r="AI49" i="32"/>
  <c r="BG49" i="32"/>
  <c r="F70" i="32"/>
  <c r="AI50" i="32"/>
  <c r="BG50" i="32"/>
  <c r="AI51" i="32"/>
  <c r="BG51" i="32"/>
  <c r="AI52" i="32"/>
  <c r="BG52" i="32"/>
  <c r="AI53" i="32"/>
  <c r="BG53" i="32"/>
  <c r="BO53" i="32"/>
  <c r="AI54" i="32"/>
  <c r="BG54" i="32"/>
  <c r="BO54" i="32"/>
  <c r="AI55" i="32"/>
  <c r="BG55" i="32"/>
  <c r="BO55" i="32"/>
  <c r="AI56" i="32"/>
  <c r="BO56" i="32"/>
  <c r="G70" i="32"/>
  <c r="AU69" i="32"/>
  <c r="BO69" i="32"/>
  <c r="AI69" i="32"/>
  <c r="W69" i="32"/>
  <c r="V77" i="32"/>
  <c r="BR77" i="32"/>
  <c r="BS77" i="32" s="1"/>
  <c r="H70" i="32"/>
  <c r="W53" i="32"/>
  <c r="W54" i="32"/>
  <c r="W55" i="32"/>
  <c r="W56" i="32"/>
  <c r="AU56" i="32"/>
  <c r="BG69" i="32"/>
  <c r="J70" i="32"/>
  <c r="AI61" i="32"/>
  <c r="BG61" i="32"/>
  <c r="BO61" i="32"/>
  <c r="AI64" i="32"/>
  <c r="BG64" i="32"/>
  <c r="AI65" i="32"/>
  <c r="BG65" i="32"/>
  <c r="AI66" i="32"/>
  <c r="BG66" i="32"/>
  <c r="AI67" i="32"/>
  <c r="BO67" i="32"/>
  <c r="AT78" i="32"/>
  <c r="AT77" i="32"/>
  <c r="W61" i="32"/>
  <c r="AU61" i="32"/>
  <c r="BR78" i="32"/>
  <c r="BS78" i="32" s="1"/>
  <c r="BF77" i="32"/>
  <c r="C95" i="32"/>
  <c r="C96" i="32" s="1"/>
  <c r="AH78" i="32"/>
  <c r="AH77" i="32"/>
  <c r="E86" i="32"/>
  <c r="J86" i="32" s="1"/>
  <c r="I78" i="32"/>
  <c r="BC75" i="31"/>
  <c r="BC76" i="31" s="1"/>
  <c r="AU28" i="32" l="1"/>
  <c r="K70" i="32"/>
  <c r="BK51" i="32"/>
  <c r="K57" i="32"/>
  <c r="BU18" i="32"/>
  <c r="BV18" i="32" s="1"/>
  <c r="CB5" i="33"/>
  <c r="J72" i="32"/>
  <c r="BL54" i="32"/>
  <c r="BL48" i="32"/>
  <c r="BL49" i="32"/>
  <c r="BL53" i="32"/>
  <c r="BL55" i="32"/>
  <c r="BL52" i="32"/>
  <c r="BL56" i="32"/>
  <c r="BL50" i="32"/>
  <c r="BL51" i="32"/>
  <c r="BK54" i="32"/>
  <c r="BK52" i="32"/>
  <c r="BK50" i="32"/>
  <c r="BK56" i="32"/>
  <c r="J74" i="32"/>
  <c r="BK48" i="32"/>
  <c r="BK55" i="32"/>
  <c r="BK53" i="32"/>
  <c r="BG26" i="32"/>
  <c r="K6" i="32"/>
  <c r="BO5" i="32"/>
  <c r="AU5" i="32"/>
  <c r="BG5" i="32"/>
  <c r="BO28" i="32"/>
  <c r="BP28" i="32" s="1"/>
  <c r="CC30" i="32"/>
  <c r="CC31" i="32"/>
  <c r="CC32" i="32"/>
  <c r="BO31" i="32"/>
  <c r="BP31" i="32" s="1"/>
  <c r="BJ53" i="32"/>
  <c r="BJ49" i="32"/>
  <c r="BJ52" i="32"/>
  <c r="BJ51" i="32"/>
  <c r="BJ54" i="32"/>
  <c r="BJ50" i="32"/>
  <c r="BJ56" i="32"/>
  <c r="BJ48" i="32"/>
  <c r="BJ55" i="32"/>
  <c r="BO22" i="32"/>
  <c r="BP22" i="32" s="1"/>
  <c r="BO27" i="32"/>
  <c r="BP27" i="32" s="1"/>
  <c r="BO34" i="32"/>
  <c r="BP34" i="32" s="1"/>
  <c r="BO39" i="32"/>
  <c r="BP39" i="32" s="1"/>
  <c r="CC33" i="32"/>
  <c r="BZ14" i="32"/>
  <c r="BA53" i="32"/>
  <c r="BA49" i="32"/>
  <c r="BA56" i="32"/>
  <c r="BA52" i="32"/>
  <c r="BA48" i="32"/>
  <c r="BA55" i="32"/>
  <c r="BA51" i="32"/>
  <c r="BA54" i="32"/>
  <c r="BA50" i="32"/>
  <c r="BG28" i="32"/>
  <c r="BG21" i="32"/>
  <c r="BH21" i="32" s="1"/>
  <c r="BG17" i="32"/>
  <c r="BG40" i="32"/>
  <c r="BG25" i="32"/>
  <c r="BH25" i="32" s="1"/>
  <c r="S42" i="32"/>
  <c r="S10" i="32" s="1"/>
  <c r="S11" i="32" s="1"/>
  <c r="S46" i="32" s="1"/>
  <c r="S54" i="32" s="1"/>
  <c r="BU39" i="32"/>
  <c r="BV39" i="32" s="1"/>
  <c r="V35" i="32"/>
  <c r="BU38" i="32"/>
  <c r="BV38" i="32" s="1"/>
  <c r="V30" i="32"/>
  <c r="V18" i="32"/>
  <c r="V26" i="32"/>
  <c r="V24" i="32"/>
  <c r="BU27" i="32"/>
  <c r="BV27" i="32" s="1"/>
  <c r="AI5" i="32"/>
  <c r="V17" i="32"/>
  <c r="AQ53" i="32"/>
  <c r="AQ49" i="32"/>
  <c r="AQ56" i="32"/>
  <c r="AQ52" i="32"/>
  <c r="AQ48" i="32"/>
  <c r="AQ55" i="32"/>
  <c r="AQ51" i="32"/>
  <c r="AQ54" i="32"/>
  <c r="AQ50" i="32"/>
  <c r="AM55" i="32"/>
  <c r="AM51" i="32"/>
  <c r="AM52" i="32"/>
  <c r="AM48" i="32"/>
  <c r="AM54" i="32"/>
  <c r="AM50" i="32"/>
  <c r="AM53" i="32"/>
  <c r="AM49" i="32"/>
  <c r="AM56" i="32"/>
  <c r="W5" i="32"/>
  <c r="BO29" i="32"/>
  <c r="BP29" i="32" s="1"/>
  <c r="BG22" i="32"/>
  <c r="BH22" i="32" s="1"/>
  <c r="AU40" i="32"/>
  <c r="BO37" i="32"/>
  <c r="BP37" i="32" s="1"/>
  <c r="AI38" i="32"/>
  <c r="AI18" i="32"/>
  <c r="AJ18" i="32" s="1"/>
  <c r="AI30" i="32"/>
  <c r="AI20" i="32"/>
  <c r="V39" i="32"/>
  <c r="V38" i="32"/>
  <c r="AI23" i="32"/>
  <c r="AI31" i="32"/>
  <c r="BO40" i="32"/>
  <c r="BP40" i="32" s="1"/>
  <c r="BG24" i="32"/>
  <c r="BH24" i="32" s="1"/>
  <c r="AU36" i="32"/>
  <c r="BG32" i="32"/>
  <c r="BH32" i="32" s="1"/>
  <c r="BO19" i="32"/>
  <c r="BP19" i="32" s="1"/>
  <c r="BG33" i="32"/>
  <c r="BH33" i="32" s="1"/>
  <c r="BO17" i="32"/>
  <c r="BP17" i="32" s="1"/>
  <c r="BO24" i="32"/>
  <c r="BP24" i="32" s="1"/>
  <c r="Q42" i="32"/>
  <c r="Q10" i="32" s="1"/>
  <c r="Q11" i="32" s="1"/>
  <c r="Q46" i="32" s="1"/>
  <c r="BG19" i="32"/>
  <c r="BO18" i="32"/>
  <c r="BP18" i="32" s="1"/>
  <c r="BG38" i="32"/>
  <c r="BG18" i="32"/>
  <c r="BH18" i="32" s="1"/>
  <c r="BG39" i="32"/>
  <c r="BO33" i="32"/>
  <c r="BP33" i="32" s="1"/>
  <c r="R42" i="32"/>
  <c r="R10" i="32" s="1"/>
  <c r="R11" i="32" s="1"/>
  <c r="R46" i="32" s="1"/>
  <c r="R56" i="32" s="1"/>
  <c r="AU39" i="32"/>
  <c r="AV39" i="32" s="1"/>
  <c r="BG29" i="32"/>
  <c r="BG31" i="32"/>
  <c r="BO38" i="32"/>
  <c r="BP38" i="32" s="1"/>
  <c r="O42" i="32"/>
  <c r="O10" i="32" s="1"/>
  <c r="O11" i="32" s="1"/>
  <c r="O46" i="32" s="1"/>
  <c r="O49" i="32" s="1"/>
  <c r="AI40" i="32"/>
  <c r="P42" i="32"/>
  <c r="P10" i="32" s="1"/>
  <c r="P11" i="32" s="1"/>
  <c r="P46" i="32" s="1"/>
  <c r="BO25" i="32"/>
  <c r="BP25" i="32" s="1"/>
  <c r="BO21" i="32"/>
  <c r="BP21" i="32" s="1"/>
  <c r="BU21" i="32"/>
  <c r="BV21" i="32" s="1"/>
  <c r="AU25" i="32"/>
  <c r="AI21" i="32"/>
  <c r="AU17" i="32"/>
  <c r="AU32" i="32"/>
  <c r="AV32" i="32" s="1"/>
  <c r="V21" i="32"/>
  <c r="W34" i="32"/>
  <c r="I72" i="32"/>
  <c r="AI34" i="32"/>
  <c r="AI17" i="32"/>
  <c r="AI28" i="32"/>
  <c r="AJ28" i="32" s="1"/>
  <c r="BG30" i="32"/>
  <c r="BH30" i="32" s="1"/>
  <c r="BO30" i="32"/>
  <c r="BP30" i="32" s="1"/>
  <c r="AU30" i="32"/>
  <c r="AV30" i="32" s="1"/>
  <c r="BG34" i="32"/>
  <c r="BH34" i="32" s="1"/>
  <c r="AI37" i="32"/>
  <c r="AI27" i="32"/>
  <c r="AJ27" i="32" s="1"/>
  <c r="AI19" i="32"/>
  <c r="AJ19" i="32" s="1"/>
  <c r="W26" i="32"/>
  <c r="X26" i="32" s="1"/>
  <c r="W17" i="32"/>
  <c r="X17" i="32" s="1"/>
  <c r="W36" i="32"/>
  <c r="BO57" i="32"/>
  <c r="BO70" i="32" s="1"/>
  <c r="BF78" i="32"/>
  <c r="BG27" i="32"/>
  <c r="BG23" i="32"/>
  <c r="BH23" i="32" s="1"/>
  <c r="BG20" i="32"/>
  <c r="BH20" i="32" s="1"/>
  <c r="AU31" i="32"/>
  <c r="AU29" i="32"/>
  <c r="AU34" i="32"/>
  <c r="AV34" i="32" s="1"/>
  <c r="AU20" i="32"/>
  <c r="AU23" i="32"/>
  <c r="AU27" i="32"/>
  <c r="AU26" i="32"/>
  <c r="AV26" i="32" s="1"/>
  <c r="AU33" i="32"/>
  <c r="AU37" i="32"/>
  <c r="AV37" i="32" s="1"/>
  <c r="AU38" i="32"/>
  <c r="AV38" i="32" s="1"/>
  <c r="AU19" i="32"/>
  <c r="AI22" i="32"/>
  <c r="AI33" i="32"/>
  <c r="AJ33" i="32" s="1"/>
  <c r="AI32" i="32"/>
  <c r="AI26" i="32"/>
  <c r="AI24" i="32"/>
  <c r="AI25" i="32"/>
  <c r="AJ25" i="32" s="1"/>
  <c r="W28" i="32"/>
  <c r="W27" i="32"/>
  <c r="W23" i="32"/>
  <c r="W40" i="32"/>
  <c r="W32" i="32"/>
  <c r="W22" i="32"/>
  <c r="AM82" i="32"/>
  <c r="BA82" i="32"/>
  <c r="AQ82" i="32"/>
  <c r="BF40" i="32"/>
  <c r="BU36" i="32"/>
  <c r="BV36" i="32" s="1"/>
  <c r="V36" i="32"/>
  <c r="AU35" i="32"/>
  <c r="AV35" i="32" s="1"/>
  <c r="W35" i="32"/>
  <c r="X35" i="32" s="1"/>
  <c r="BB10" i="32"/>
  <c r="BB11" i="32" s="1"/>
  <c r="BB46" i="32" s="1"/>
  <c r="BU20" i="32"/>
  <c r="BV20" i="32" s="1"/>
  <c r="V20" i="32"/>
  <c r="G86" i="32"/>
  <c r="K86" i="32"/>
  <c r="F86" i="32"/>
  <c r="I86" i="32"/>
  <c r="H86" i="32"/>
  <c r="AU70" i="32"/>
  <c r="G74" i="32"/>
  <c r="G72" i="32"/>
  <c r="AH40" i="32"/>
  <c r="W57" i="32"/>
  <c r="AT40" i="32"/>
  <c r="BU40" i="32"/>
  <c r="BV40" i="32" s="1"/>
  <c r="V40" i="32"/>
  <c r="BF38" i="32"/>
  <c r="AH38" i="32"/>
  <c r="BU34" i="32"/>
  <c r="BV34" i="32" s="1"/>
  <c r="BU32" i="32"/>
  <c r="BV32" i="32" s="1"/>
  <c r="BU30" i="32"/>
  <c r="BV30" i="32" s="1"/>
  <c r="BF28" i="32"/>
  <c r="BU28" i="32"/>
  <c r="BV28" i="32" s="1"/>
  <c r="V28" i="32"/>
  <c r="AT28" i="32"/>
  <c r="AV28" i="32" s="1"/>
  <c r="AH22" i="32"/>
  <c r="BN10" i="32"/>
  <c r="BN42" i="32"/>
  <c r="AP10" i="32"/>
  <c r="AP11" i="32" s="1"/>
  <c r="AP46" i="32" s="1"/>
  <c r="AO10" i="32"/>
  <c r="AO11" i="32" s="1"/>
  <c r="AO46" i="32" s="1"/>
  <c r="K42" i="32"/>
  <c r="BO35" i="32"/>
  <c r="BP35" i="32" s="1"/>
  <c r="W31" i="32"/>
  <c r="W29" i="32"/>
  <c r="W39" i="32"/>
  <c r="BU35" i="32"/>
  <c r="BV35" i="32" s="1"/>
  <c r="AT22" i="32"/>
  <c r="BU19" i="32"/>
  <c r="BV19" i="32" s="1"/>
  <c r="V19" i="32"/>
  <c r="AX42" i="32"/>
  <c r="AX10" i="32" s="1"/>
  <c r="BF17" i="32"/>
  <c r="Z10" i="32"/>
  <c r="AH17" i="32"/>
  <c r="BO23" i="32"/>
  <c r="BP23" i="32" s="1"/>
  <c r="BO20" i="32"/>
  <c r="BP20" i="32" s="1"/>
  <c r="BU24" i="32"/>
  <c r="BV24" i="32" s="1"/>
  <c r="AI29" i="32"/>
  <c r="AJ29" i="32" s="1"/>
  <c r="AI35" i="32"/>
  <c r="AI36" i="32"/>
  <c r="AJ36" i="32" s="1"/>
  <c r="V34" i="32"/>
  <c r="BU23" i="32"/>
  <c r="BV23" i="32" s="1"/>
  <c r="V23" i="32"/>
  <c r="AT23" i="32"/>
  <c r="AH20" i="32"/>
  <c r="BU26" i="32"/>
  <c r="BV26" i="32" s="1"/>
  <c r="AI57" i="32"/>
  <c r="BU37" i="32"/>
  <c r="BV37" i="32" s="1"/>
  <c r="V37" i="32"/>
  <c r="AY82" i="32"/>
  <c r="AY56" i="32"/>
  <c r="AY55" i="32"/>
  <c r="AY54" i="32"/>
  <c r="AY53" i="32"/>
  <c r="AY52" i="32"/>
  <c r="AY51" i="32"/>
  <c r="AY50" i="32"/>
  <c r="AY49" i="32"/>
  <c r="AY48" i="32"/>
  <c r="AT19" i="32"/>
  <c r="AD10" i="32"/>
  <c r="AD11" i="32" s="1"/>
  <c r="AD46" i="32" s="1"/>
  <c r="AT20" i="32"/>
  <c r="E85" i="32"/>
  <c r="J85" i="32" s="1"/>
  <c r="AU57" i="32"/>
  <c r="BF35" i="32"/>
  <c r="AH35" i="32"/>
  <c r="AT33" i="32"/>
  <c r="BU33" i="32"/>
  <c r="BV33" i="32" s="1"/>
  <c r="V33" i="32"/>
  <c r="AT31" i="32"/>
  <c r="BU31" i="32"/>
  <c r="BV31" i="32" s="1"/>
  <c r="V31" i="32"/>
  <c r="BF19" i="32"/>
  <c r="BD10" i="32"/>
  <c r="BD11" i="32" s="1"/>
  <c r="BD46" i="32" s="1"/>
  <c r="AL10" i="32"/>
  <c r="AT17" i="32"/>
  <c r="AH37" i="32"/>
  <c r="AE10" i="32"/>
  <c r="AE11" i="32" s="1"/>
  <c r="AE46" i="32" s="1"/>
  <c r="W21" i="32"/>
  <c r="W18" i="32"/>
  <c r="W24" i="32"/>
  <c r="BO32" i="32"/>
  <c r="BP32" i="32" s="1"/>
  <c r="BO36" i="32"/>
  <c r="BP36" i="32" s="1"/>
  <c r="W33" i="32"/>
  <c r="W37" i="32"/>
  <c r="W38" i="32"/>
  <c r="X38" i="32" s="1"/>
  <c r="E82" i="32"/>
  <c r="J82" i="32" s="1"/>
  <c r="BZ5" i="32"/>
  <c r="CA5" i="32" s="1"/>
  <c r="BU22" i="32"/>
  <c r="BV22" i="32" s="1"/>
  <c r="V22" i="32"/>
  <c r="AR42" i="32"/>
  <c r="AR10" i="32" s="1"/>
  <c r="AR11" i="32" s="1"/>
  <c r="AR46" i="32" s="1"/>
  <c r="T10" i="32"/>
  <c r="T11" i="32" s="1"/>
  <c r="T46" i="32" s="1"/>
  <c r="AU24" i="32"/>
  <c r="AV24" i="32" s="1"/>
  <c r="AU21" i="32"/>
  <c r="AV21" i="32" s="1"/>
  <c r="AU18" i="32"/>
  <c r="AV18" i="32" s="1"/>
  <c r="V32" i="32"/>
  <c r="AI39" i="32"/>
  <c r="AH23" i="32"/>
  <c r="BG37" i="32"/>
  <c r="BH37" i="32" s="1"/>
  <c r="V27" i="32"/>
  <c r="H74" i="32"/>
  <c r="H72" i="32"/>
  <c r="AT36" i="32"/>
  <c r="AB10" i="32"/>
  <c r="AB11" i="32" s="1"/>
  <c r="AB46" i="32" s="1"/>
  <c r="J46" i="32"/>
  <c r="J16" i="32"/>
  <c r="K16" i="32" s="1"/>
  <c r="W70" i="32"/>
  <c r="V78" i="32"/>
  <c r="BG70" i="32"/>
  <c r="AI70" i="32"/>
  <c r="F74" i="32"/>
  <c r="F72" i="32"/>
  <c r="BG57" i="32"/>
  <c r="BF31" i="32"/>
  <c r="AH31" i="32"/>
  <c r="BF39" i="32"/>
  <c r="AH39" i="32"/>
  <c r="AH34" i="32"/>
  <c r="AH32" i="32"/>
  <c r="AH30" i="32"/>
  <c r="AZ42" i="32"/>
  <c r="AZ10" i="32" s="1"/>
  <c r="AZ11" i="32" s="1"/>
  <c r="AZ46" i="32" s="1"/>
  <c r="AF10" i="32"/>
  <c r="AF11" i="32" s="1"/>
  <c r="AF46" i="32" s="1"/>
  <c r="N42" i="32"/>
  <c r="N10" i="32" s="1"/>
  <c r="BF27" i="32"/>
  <c r="AT27" i="32"/>
  <c r="AH24" i="32"/>
  <c r="AH21" i="32"/>
  <c r="W20" i="32"/>
  <c r="AC10" i="32"/>
  <c r="AC11" i="32" s="1"/>
  <c r="AC46" i="32" s="1"/>
  <c r="BC10" i="32"/>
  <c r="BC11" i="32" s="1"/>
  <c r="BC46" i="32" s="1"/>
  <c r="AA10" i="32"/>
  <c r="AA11" i="32" s="1"/>
  <c r="AA46" i="32" s="1"/>
  <c r="BG35" i="32"/>
  <c r="BG36" i="32"/>
  <c r="BH36" i="32" s="1"/>
  <c r="W30" i="32"/>
  <c r="BF29" i="32"/>
  <c r="BU29" i="32"/>
  <c r="BV29" i="32" s="1"/>
  <c r="V29" i="32"/>
  <c r="AT29" i="32"/>
  <c r="BF26" i="32"/>
  <c r="AH26" i="32"/>
  <c r="AT25" i="32"/>
  <c r="BU25" i="32"/>
  <c r="BV25" i="32" s="1"/>
  <c r="V25" i="32"/>
  <c r="AU22" i="32"/>
  <c r="W19" i="32"/>
  <c r="AN10" i="32"/>
  <c r="AN11" i="32" s="1"/>
  <c r="AN46" i="32" s="1"/>
  <c r="BU17" i="32"/>
  <c r="BO26" i="32"/>
  <c r="BP26" i="32" s="1"/>
  <c r="CA1" i="32"/>
  <c r="CA2" i="32" s="1"/>
  <c r="W25" i="32"/>
  <c r="BY18" i="31"/>
  <c r="BS1" i="31" s="1"/>
  <c r="CA23" i="31" s="1"/>
  <c r="CA30" i="31" s="1"/>
  <c r="AY75" i="31"/>
  <c r="AY76" i="31" s="1"/>
  <c r="AZ75" i="31"/>
  <c r="AZ76" i="31" s="1"/>
  <c r="BA75" i="31"/>
  <c r="BA76" i="31" s="1"/>
  <c r="BB75" i="31"/>
  <c r="BB76" i="31" s="1"/>
  <c r="AY5" i="31"/>
  <c r="AZ5" i="31"/>
  <c r="BA5" i="31"/>
  <c r="BB5" i="31"/>
  <c r="X30" i="32" l="1"/>
  <c r="BK57" i="32"/>
  <c r="BK59" i="32" s="1"/>
  <c r="BK66" i="32" s="1"/>
  <c r="BH26" i="32"/>
  <c r="S53" i="32"/>
  <c r="S50" i="32"/>
  <c r="S51" i="32"/>
  <c r="BL57" i="32"/>
  <c r="BL59" i="32" s="1"/>
  <c r="X18" i="32"/>
  <c r="S82" i="32"/>
  <c r="S56" i="32"/>
  <c r="S49" i="32"/>
  <c r="S52" i="32"/>
  <c r="S48" i="32"/>
  <c r="S55" i="32"/>
  <c r="BK63" i="32"/>
  <c r="BK62" i="32"/>
  <c r="BK69" i="32"/>
  <c r="BK68" i="32"/>
  <c r="BK64" i="32"/>
  <c r="BJ57" i="32"/>
  <c r="BJ59" i="32" s="1"/>
  <c r="BP42" i="32"/>
  <c r="BO42" i="32"/>
  <c r="BD53" i="32"/>
  <c r="BD49" i="32"/>
  <c r="BD52" i="32"/>
  <c r="BD55" i="32"/>
  <c r="BD54" i="32"/>
  <c r="BD50" i="32"/>
  <c r="BD56" i="32"/>
  <c r="BD48" i="32"/>
  <c r="BD51" i="32"/>
  <c r="BC51" i="32"/>
  <c r="BC55" i="32"/>
  <c r="BC49" i="32"/>
  <c r="BC54" i="32"/>
  <c r="BC48" i="32"/>
  <c r="BC52" i="32"/>
  <c r="BC56" i="32"/>
  <c r="BC53" i="32"/>
  <c r="BC50" i="32"/>
  <c r="BB50" i="32"/>
  <c r="BB54" i="32"/>
  <c r="BB51" i="32"/>
  <c r="BB55" i="32"/>
  <c r="BB48" i="32"/>
  <c r="BB52" i="32"/>
  <c r="BB56" i="32"/>
  <c r="BB49" i="32"/>
  <c r="BB53" i="32"/>
  <c r="BH17" i="32"/>
  <c r="BH35" i="32"/>
  <c r="BH28" i="32"/>
  <c r="BH19" i="32"/>
  <c r="BA57" i="32"/>
  <c r="BA59" i="32" s="1"/>
  <c r="BH39" i="32"/>
  <c r="BH40" i="32"/>
  <c r="X24" i="32"/>
  <c r="AM57" i="32"/>
  <c r="AM59" i="32" s="1"/>
  <c r="AM61" i="32" s="1"/>
  <c r="AQ57" i="32"/>
  <c r="AQ59" i="32" s="1"/>
  <c r="AP50" i="32"/>
  <c r="AP54" i="32"/>
  <c r="AP48" i="32"/>
  <c r="AP56" i="32"/>
  <c r="AP49" i="32"/>
  <c r="AP53" i="32"/>
  <c r="AP51" i="32"/>
  <c r="AP55" i="32"/>
  <c r="AP52" i="32"/>
  <c r="AO50" i="32"/>
  <c r="AO54" i="32"/>
  <c r="AO48" i="32"/>
  <c r="AO56" i="32"/>
  <c r="AO49" i="32"/>
  <c r="AO51" i="32"/>
  <c r="AO55" i="32"/>
  <c r="AO52" i="32"/>
  <c r="AO53" i="32"/>
  <c r="AN50" i="32"/>
  <c r="AN54" i="32"/>
  <c r="AN51" i="32"/>
  <c r="AN55" i="32"/>
  <c r="AN48" i="32"/>
  <c r="AN52" i="32"/>
  <c r="AN56" i="32"/>
  <c r="AN49" i="32"/>
  <c r="AN53" i="32"/>
  <c r="AV40" i="32"/>
  <c r="AV36" i="32"/>
  <c r="AF53" i="32"/>
  <c r="AF49" i="32"/>
  <c r="AF55" i="32"/>
  <c r="AF54" i="32"/>
  <c r="AF50" i="32"/>
  <c r="AF56" i="32"/>
  <c r="AF52" i="32"/>
  <c r="AF48" i="32"/>
  <c r="AF51" i="32"/>
  <c r="AE50" i="32"/>
  <c r="AE54" i="32"/>
  <c r="AE52" i="32"/>
  <c r="AE53" i="32"/>
  <c r="AE51" i="32"/>
  <c r="AE55" i="32"/>
  <c r="AE48" i="32"/>
  <c r="AE56" i="32"/>
  <c r="AE49" i="32"/>
  <c r="AD50" i="32"/>
  <c r="AD54" i="32"/>
  <c r="AD55" i="32"/>
  <c r="AD48" i="32"/>
  <c r="AD49" i="32"/>
  <c r="AD53" i="32"/>
  <c r="AD51" i="32"/>
  <c r="AD52" i="32"/>
  <c r="AD56" i="32"/>
  <c r="AC51" i="32"/>
  <c r="AC55" i="32"/>
  <c r="AC49" i="32"/>
  <c r="AC48" i="32"/>
  <c r="AC52" i="32"/>
  <c r="AC56" i="32"/>
  <c r="AC53" i="32"/>
  <c r="AC50" i="32"/>
  <c r="AC54" i="32"/>
  <c r="AJ31" i="32"/>
  <c r="AB50" i="32"/>
  <c r="AB54" i="32"/>
  <c r="AB52" i="32"/>
  <c r="AB56" i="32"/>
  <c r="AB51" i="32"/>
  <c r="AB55" i="32"/>
  <c r="AB48" i="32"/>
  <c r="AB49" i="32"/>
  <c r="AB53" i="32"/>
  <c r="AA55" i="32"/>
  <c r="AA51" i="32"/>
  <c r="AA56" i="32"/>
  <c r="AA48" i="32"/>
  <c r="AA54" i="32"/>
  <c r="AA50" i="32"/>
  <c r="AA53" i="32"/>
  <c r="AA49" i="32"/>
  <c r="AA52" i="32"/>
  <c r="AJ38" i="32"/>
  <c r="AJ20" i="32"/>
  <c r="AJ30" i="32"/>
  <c r="AJ23" i="32"/>
  <c r="AJ17" i="32"/>
  <c r="AJ24" i="32"/>
  <c r="AJ22" i="32"/>
  <c r="T53" i="32"/>
  <c r="T49" i="32"/>
  <c r="T56" i="32"/>
  <c r="T52" i="32"/>
  <c r="T48" i="32"/>
  <c r="T55" i="32"/>
  <c r="T51" i="32"/>
  <c r="T54" i="32"/>
  <c r="T50" i="32"/>
  <c r="O51" i="32"/>
  <c r="X39" i="32"/>
  <c r="O55" i="32"/>
  <c r="X21" i="32"/>
  <c r="O48" i="32"/>
  <c r="O53" i="32"/>
  <c r="AJ21" i="32"/>
  <c r="BH38" i="32"/>
  <c r="O82" i="32"/>
  <c r="O56" i="32"/>
  <c r="R55" i="32"/>
  <c r="O50" i="32"/>
  <c r="O54" i="32"/>
  <c r="R48" i="32"/>
  <c r="R82" i="32"/>
  <c r="R51" i="32"/>
  <c r="R54" i="32"/>
  <c r="R49" i="32"/>
  <c r="R53" i="32"/>
  <c r="R50" i="32"/>
  <c r="AV19" i="32"/>
  <c r="X34" i="32"/>
  <c r="R52" i="32"/>
  <c r="AV25" i="32"/>
  <c r="AJ32" i="32"/>
  <c r="AJ40" i="32"/>
  <c r="BH29" i="32"/>
  <c r="BH31" i="32"/>
  <c r="O52" i="32"/>
  <c r="AJ34" i="32"/>
  <c r="X23" i="32"/>
  <c r="Q50" i="32"/>
  <c r="Q54" i="32"/>
  <c r="Q48" i="32"/>
  <c r="Q56" i="32"/>
  <c r="Q51" i="32"/>
  <c r="Q55" i="32"/>
  <c r="Q52" i="32"/>
  <c r="Q49" i="32"/>
  <c r="Q53" i="32"/>
  <c r="X27" i="32"/>
  <c r="P50" i="32"/>
  <c r="P54" i="32"/>
  <c r="P52" i="32"/>
  <c r="P49" i="32"/>
  <c r="P51" i="32"/>
  <c r="P55" i="32"/>
  <c r="P48" i="32"/>
  <c r="P56" i="32"/>
  <c r="P53" i="32"/>
  <c r="AJ37" i="32"/>
  <c r="BJ82" i="32"/>
  <c r="AV29" i="32"/>
  <c r="AV27" i="32"/>
  <c r="AV31" i="32"/>
  <c r="AV23" i="32"/>
  <c r="BH27" i="32"/>
  <c r="X22" i="32"/>
  <c r="X36" i="32"/>
  <c r="X32" i="32"/>
  <c r="X28" i="32"/>
  <c r="X19" i="32"/>
  <c r="X20" i="32"/>
  <c r="AV33" i="32"/>
  <c r="AV20" i="32"/>
  <c r="AV22" i="32"/>
  <c r="AJ26" i="32"/>
  <c r="X37" i="32"/>
  <c r="V42" i="32"/>
  <c r="X25" i="32"/>
  <c r="X33" i="32"/>
  <c r="X40" i="32"/>
  <c r="CB1" i="32"/>
  <c r="CC1" i="32" s="1"/>
  <c r="AI6" i="32"/>
  <c r="AJ5" i="32"/>
  <c r="AJ6" i="32" s="1"/>
  <c r="AR82" i="32"/>
  <c r="AR56" i="32"/>
  <c r="AR55" i="32"/>
  <c r="AR54" i="32"/>
  <c r="AR53" i="32"/>
  <c r="AR52" i="32"/>
  <c r="AR51" i="32"/>
  <c r="AR50" i="32"/>
  <c r="AR49" i="32"/>
  <c r="AR48" i="32"/>
  <c r="BV5" i="32"/>
  <c r="BZ13" i="32" s="1"/>
  <c r="AT42" i="32"/>
  <c r="AN82" i="32"/>
  <c r="AA82" i="32"/>
  <c r="AF82" i="32"/>
  <c r="X5" i="32"/>
  <c r="X6" i="32" s="1"/>
  <c r="W6" i="32"/>
  <c r="K82" i="32"/>
  <c r="E89" i="32"/>
  <c r="J89" i="32" s="1"/>
  <c r="AT10" i="32"/>
  <c r="AL11" i="32"/>
  <c r="AL46" i="32" s="1"/>
  <c r="AJ35" i="32"/>
  <c r="AH42" i="32"/>
  <c r="AP82" i="32"/>
  <c r="AV17" i="32"/>
  <c r="AC82" i="32"/>
  <c r="AE82" i="32"/>
  <c r="BF10" i="32"/>
  <c r="AX11" i="32"/>
  <c r="BP5" i="32"/>
  <c r="BP6" i="32" s="1"/>
  <c r="BO6" i="32"/>
  <c r="AB82" i="32"/>
  <c r="AJ39" i="32"/>
  <c r="BD82" i="32"/>
  <c r="E87" i="32"/>
  <c r="I85" i="32"/>
  <c r="H85" i="32"/>
  <c r="G85" i="32"/>
  <c r="F85" i="32"/>
  <c r="AD82" i="32"/>
  <c r="AY57" i="32"/>
  <c r="AY59" i="32" s="1"/>
  <c r="AH10" i="32"/>
  <c r="Z11" i="32"/>
  <c r="Z46" i="32" s="1"/>
  <c r="AO82" i="32"/>
  <c r="BB82" i="32"/>
  <c r="AU42" i="32"/>
  <c r="P82" i="32"/>
  <c r="V10" i="32"/>
  <c r="BU10" i="32"/>
  <c r="J10" i="32" s="1"/>
  <c r="N11" i="32"/>
  <c r="AI42" i="32"/>
  <c r="X31" i="32"/>
  <c r="W42" i="32"/>
  <c r="BC82" i="32"/>
  <c r="AZ82" i="32"/>
  <c r="AZ56" i="32"/>
  <c r="AZ55" i="32"/>
  <c r="AZ54" i="32"/>
  <c r="AZ53" i="32"/>
  <c r="AZ52" i="32"/>
  <c r="AZ51" i="32"/>
  <c r="AZ50" i="32"/>
  <c r="AZ49" i="32"/>
  <c r="AZ48" i="32"/>
  <c r="BU42" i="32"/>
  <c r="BV42" i="32" s="1"/>
  <c r="BV17" i="32"/>
  <c r="BG42" i="32"/>
  <c r="AU6" i="32"/>
  <c r="AV5" i="32"/>
  <c r="AV6" i="32" s="1"/>
  <c r="BG6" i="32"/>
  <c r="BH5" i="32"/>
  <c r="BH6" i="32" s="1"/>
  <c r="T82" i="32"/>
  <c r="BF42" i="32"/>
  <c r="X29" i="32"/>
  <c r="BN11" i="32"/>
  <c r="Q82" i="32"/>
  <c r="AX75" i="31"/>
  <c r="AX76" i="31" s="1"/>
  <c r="AR5" i="31"/>
  <c r="AS5" i="31"/>
  <c r="AR75" i="31"/>
  <c r="AR76" i="31" s="1"/>
  <c r="BK65" i="32" l="1"/>
  <c r="BK67" i="32"/>
  <c r="BK61" i="32"/>
  <c r="S57" i="32"/>
  <c r="S59" i="32" s="1"/>
  <c r="S64" i="32" s="1"/>
  <c r="BL63" i="32"/>
  <c r="BL67" i="32"/>
  <c r="BL65" i="32"/>
  <c r="BL69" i="32"/>
  <c r="BL62" i="32"/>
  <c r="BL64" i="32"/>
  <c r="BL66" i="32"/>
  <c r="BL61" i="32"/>
  <c r="BL68" i="32"/>
  <c r="BK70" i="32"/>
  <c r="BK72" i="32" s="1"/>
  <c r="BK75" i="32" s="1"/>
  <c r="BK80" i="32" s="1"/>
  <c r="AM66" i="32"/>
  <c r="AM67" i="32"/>
  <c r="AM63" i="32"/>
  <c r="AM69" i="32"/>
  <c r="BJ67" i="32"/>
  <c r="BJ63" i="32"/>
  <c r="BJ62" i="32"/>
  <c r="BJ69" i="32"/>
  <c r="BJ65" i="32"/>
  <c r="BJ61" i="32"/>
  <c r="BJ68" i="32"/>
  <c r="BJ64" i="32"/>
  <c r="BJ66" i="32"/>
  <c r="BD57" i="32"/>
  <c r="BD59" i="32" s="1"/>
  <c r="BC57" i="32"/>
  <c r="BC59" i="32" s="1"/>
  <c r="BB57" i="32"/>
  <c r="BB59" i="32" s="1"/>
  <c r="BH42" i="32"/>
  <c r="BA67" i="32"/>
  <c r="BA63" i="32"/>
  <c r="BA66" i="32"/>
  <c r="BA62" i="32"/>
  <c r="BA69" i="32"/>
  <c r="BA65" i="32"/>
  <c r="BA61" i="32"/>
  <c r="BA68" i="32"/>
  <c r="BA64" i="32"/>
  <c r="AM62" i="32"/>
  <c r="AM68" i="32"/>
  <c r="AM65" i="32"/>
  <c r="AM64" i="32"/>
  <c r="AE57" i="32"/>
  <c r="AE59" i="32" s="1"/>
  <c r="AE63" i="32" s="1"/>
  <c r="AQ67" i="32"/>
  <c r="AQ63" i="32"/>
  <c r="AQ66" i="32"/>
  <c r="AQ62" i="32"/>
  <c r="AQ69" i="32"/>
  <c r="AQ65" i="32"/>
  <c r="AQ61" i="32"/>
  <c r="AQ68" i="32"/>
  <c r="AQ64" i="32"/>
  <c r="AP57" i="32"/>
  <c r="AP59" i="32" s="1"/>
  <c r="AO57" i="32"/>
  <c r="AO59" i="32" s="1"/>
  <c r="AN57" i="32"/>
  <c r="AN59" i="32" s="1"/>
  <c r="AL53" i="32"/>
  <c r="AL49" i="32"/>
  <c r="AL56" i="32"/>
  <c r="AL52" i="32"/>
  <c r="AL48" i="32"/>
  <c r="AL55" i="32"/>
  <c r="AL51" i="32"/>
  <c r="AL54" i="32"/>
  <c r="AL50" i="32"/>
  <c r="AV42" i="32"/>
  <c r="AF57" i="32"/>
  <c r="AF59" i="32" s="1"/>
  <c r="AE68" i="32"/>
  <c r="CA6" i="32"/>
  <c r="CB5" i="32"/>
  <c r="AD57" i="32"/>
  <c r="AD59" i="32" s="1"/>
  <c r="AC57" i="32"/>
  <c r="AC59" i="32" s="1"/>
  <c r="AB57" i="32"/>
  <c r="AB59" i="32" s="1"/>
  <c r="AA57" i="32"/>
  <c r="AA59" i="32" s="1"/>
  <c r="AJ42" i="32"/>
  <c r="Z53" i="32"/>
  <c r="Z49" i="32"/>
  <c r="Z56" i="32"/>
  <c r="Z52" i="32"/>
  <c r="Z48" i="32"/>
  <c r="Z55" i="32"/>
  <c r="Z51" i="32"/>
  <c r="Z54" i="32"/>
  <c r="Z50" i="32"/>
  <c r="T57" i="32"/>
  <c r="T59" i="32" s="1"/>
  <c r="O57" i="32"/>
  <c r="O59" i="32" s="1"/>
  <c r="O63" i="32" s="1"/>
  <c r="R57" i="32"/>
  <c r="R59" i="32" s="1"/>
  <c r="R69" i="32" s="1"/>
  <c r="Q57" i="32"/>
  <c r="Q59" i="32" s="1"/>
  <c r="Q64" i="32" s="1"/>
  <c r="P57" i="32"/>
  <c r="P59" i="32" s="1"/>
  <c r="P62" i="32" s="1"/>
  <c r="X42" i="32"/>
  <c r="AZ57" i="32"/>
  <c r="AZ59" i="32" s="1"/>
  <c r="AZ61" i="32" s="1"/>
  <c r="BN46" i="32"/>
  <c r="AX46" i="32"/>
  <c r="BF11" i="32"/>
  <c r="AR57" i="32"/>
  <c r="AR59" i="32" s="1"/>
  <c r="N46" i="32"/>
  <c r="V11" i="32"/>
  <c r="AY69" i="32"/>
  <c r="AY68" i="32"/>
  <c r="AY67" i="32"/>
  <c r="AY66" i="32"/>
  <c r="AY65" i="32"/>
  <c r="AY64" i="32"/>
  <c r="AY63" i="32"/>
  <c r="AY62" i="32"/>
  <c r="AY61" i="32"/>
  <c r="K85" i="32"/>
  <c r="K87" i="32" s="1"/>
  <c r="J87" i="32"/>
  <c r="E91" i="32"/>
  <c r="K89" i="32"/>
  <c r="K78" i="32"/>
  <c r="K46" i="32"/>
  <c r="K74" i="32"/>
  <c r="K10" i="32"/>
  <c r="AH11" i="32"/>
  <c r="AT11" i="32"/>
  <c r="BX1" i="31"/>
  <c r="K3" i="31"/>
  <c r="AQ5" i="31"/>
  <c r="AQ75" i="31"/>
  <c r="AQ76" i="31" s="1"/>
  <c r="AP5" i="31"/>
  <c r="AP75" i="31"/>
  <c r="AP76" i="31" s="1"/>
  <c r="S68" i="32" l="1"/>
  <c r="S62" i="32"/>
  <c r="S65" i="32"/>
  <c r="S69" i="32"/>
  <c r="S63" i="32"/>
  <c r="S61" i="32"/>
  <c r="S67" i="32"/>
  <c r="S66" i="32"/>
  <c r="BY1" i="31"/>
  <c r="CC5" i="32"/>
  <c r="BL70" i="32"/>
  <c r="BL72" i="32" s="1"/>
  <c r="BL75" i="32" s="1"/>
  <c r="BL80" i="32" s="1"/>
  <c r="BK85" i="32"/>
  <c r="AE62" i="32"/>
  <c r="Q68" i="32"/>
  <c r="O61" i="32"/>
  <c r="R68" i="32"/>
  <c r="AE69" i="32"/>
  <c r="AM70" i="32"/>
  <c r="AM72" i="32" s="1"/>
  <c r="AM75" i="32" s="1"/>
  <c r="AM80" i="32" s="1"/>
  <c r="R64" i="32"/>
  <c r="BK87" i="32"/>
  <c r="BK86" i="32"/>
  <c r="BJ70" i="32"/>
  <c r="BJ72" i="32" s="1"/>
  <c r="BJ75" i="32" s="1"/>
  <c r="BJ80" i="32" s="1"/>
  <c r="BD67" i="32"/>
  <c r="BD63" i="32"/>
  <c r="BD66" i="32"/>
  <c r="BD69" i="32"/>
  <c r="BD65" i="32"/>
  <c r="BD68" i="32"/>
  <c r="BD64" i="32"/>
  <c r="BD62" i="32"/>
  <c r="BD61" i="32"/>
  <c r="BC61" i="32"/>
  <c r="BC65" i="32"/>
  <c r="BC69" i="32"/>
  <c r="BC64" i="32"/>
  <c r="BC68" i="32"/>
  <c r="BC62" i="32"/>
  <c r="BC66" i="32"/>
  <c r="BC63" i="32"/>
  <c r="BC67" i="32"/>
  <c r="BB64" i="32"/>
  <c r="BB68" i="32"/>
  <c r="BB61" i="32"/>
  <c r="BB65" i="32"/>
  <c r="BB69" i="32"/>
  <c r="BB62" i="32"/>
  <c r="BB66" i="32"/>
  <c r="BB63" i="32"/>
  <c r="BB67" i="32"/>
  <c r="BA70" i="32"/>
  <c r="BA72" i="32" s="1"/>
  <c r="BA75" i="32" s="1"/>
  <c r="BA80" i="32" s="1"/>
  <c r="Q63" i="32"/>
  <c r="O65" i="32"/>
  <c r="Q65" i="32"/>
  <c r="AE65" i="32"/>
  <c r="Q69" i="32"/>
  <c r="Q61" i="32"/>
  <c r="O62" i="32"/>
  <c r="O66" i="32"/>
  <c r="O67" i="32"/>
  <c r="AE67" i="32"/>
  <c r="AE61" i="32"/>
  <c r="AE64" i="32"/>
  <c r="O69" i="32"/>
  <c r="O68" i="32"/>
  <c r="P68" i="32"/>
  <c r="AE66" i="32"/>
  <c r="AQ70" i="32"/>
  <c r="AQ72" i="32" s="1"/>
  <c r="AQ75" i="32" s="1"/>
  <c r="AQ80" i="32" s="1"/>
  <c r="AP64" i="32"/>
  <c r="AP68" i="32"/>
  <c r="AP63" i="32"/>
  <c r="AP67" i="32"/>
  <c r="AP61" i="32"/>
  <c r="AP65" i="32"/>
  <c r="AP69" i="32"/>
  <c r="AP62" i="32"/>
  <c r="AP66" i="32"/>
  <c r="AO64" i="32"/>
  <c r="AO68" i="32"/>
  <c r="AO67" i="32"/>
  <c r="AO61" i="32"/>
  <c r="AO65" i="32"/>
  <c r="AO69" i="32"/>
  <c r="AO62" i="32"/>
  <c r="AO66" i="32"/>
  <c r="AO63" i="32"/>
  <c r="AN64" i="32"/>
  <c r="AN68" i="32"/>
  <c r="AN61" i="32"/>
  <c r="AN65" i="32"/>
  <c r="AN69" i="32"/>
  <c r="AN62" i="32"/>
  <c r="AN66" i="32"/>
  <c r="AN63" i="32"/>
  <c r="AN67" i="32"/>
  <c r="AL57" i="32"/>
  <c r="AL59" i="32" s="1"/>
  <c r="AF67" i="32"/>
  <c r="AF63" i="32"/>
  <c r="AF64" i="32"/>
  <c r="AF66" i="32"/>
  <c r="AF62" i="32"/>
  <c r="AF69" i="32"/>
  <c r="AF65" i="32"/>
  <c r="AF61" i="32"/>
  <c r="AF68" i="32"/>
  <c r="AD64" i="32"/>
  <c r="AD68" i="32"/>
  <c r="AD65" i="32"/>
  <c r="AD66" i="32"/>
  <c r="AD62" i="32"/>
  <c r="AD63" i="32"/>
  <c r="AD67" i="32"/>
  <c r="AD61" i="32"/>
  <c r="AD69" i="32"/>
  <c r="AC61" i="32"/>
  <c r="AC65" i="32"/>
  <c r="AC69" i="32"/>
  <c r="AC62" i="32"/>
  <c r="AC66" i="32"/>
  <c r="AC63" i="32"/>
  <c r="AC67" i="32"/>
  <c r="AC64" i="32"/>
  <c r="AC68" i="32"/>
  <c r="AB64" i="32"/>
  <c r="AB68" i="32"/>
  <c r="AB67" i="32"/>
  <c r="AB61" i="32"/>
  <c r="AB65" i="32"/>
  <c r="AB69" i="32"/>
  <c r="AB62" i="32"/>
  <c r="AB66" i="32"/>
  <c r="AB63" i="32"/>
  <c r="AA63" i="32"/>
  <c r="AA69" i="32"/>
  <c r="AA65" i="32"/>
  <c r="AA61" i="32"/>
  <c r="AA67" i="32"/>
  <c r="AA68" i="32"/>
  <c r="AA64" i="32"/>
  <c r="AA66" i="32"/>
  <c r="AA62" i="32"/>
  <c r="R65" i="32"/>
  <c r="O64" i="32"/>
  <c r="Q62" i="32"/>
  <c r="Q67" i="32"/>
  <c r="R62" i="32"/>
  <c r="Z57" i="32"/>
  <c r="Z59" i="32" s="1"/>
  <c r="Z67" i="32" s="1"/>
  <c r="T67" i="32"/>
  <c r="T63" i="32"/>
  <c r="T66" i="32"/>
  <c r="T62" i="32"/>
  <c r="T69" i="32"/>
  <c r="T65" i="32"/>
  <c r="T61" i="32"/>
  <c r="T68" i="32"/>
  <c r="T64" i="32"/>
  <c r="R67" i="32"/>
  <c r="R61" i="32"/>
  <c r="R63" i="32"/>
  <c r="R66" i="32"/>
  <c r="P65" i="32"/>
  <c r="Q66" i="32"/>
  <c r="P63" i="32"/>
  <c r="P61" i="32"/>
  <c r="P64" i="32"/>
  <c r="P66" i="32"/>
  <c r="P67" i="32"/>
  <c r="P69" i="32"/>
  <c r="AZ64" i="32"/>
  <c r="AZ67" i="32"/>
  <c r="AZ62" i="32"/>
  <c r="AZ68" i="32"/>
  <c r="AZ63" i="32"/>
  <c r="AZ69" i="32"/>
  <c r="AZ66" i="32"/>
  <c r="AZ65" i="32"/>
  <c r="AR69" i="32"/>
  <c r="AR68" i="32"/>
  <c r="AR67" i="32"/>
  <c r="AR66" i="32"/>
  <c r="AR65" i="32"/>
  <c r="AR64" i="32"/>
  <c r="AR63" i="32"/>
  <c r="AR61" i="32"/>
  <c r="AR62" i="32"/>
  <c r="BL82" i="32"/>
  <c r="BN82" i="32" s="1"/>
  <c r="BN48" i="32"/>
  <c r="Z82" i="32"/>
  <c r="AH56" i="32"/>
  <c r="AJ56" i="32" s="1"/>
  <c r="AH55" i="32"/>
  <c r="AJ55" i="32" s="1"/>
  <c r="AH54" i="32"/>
  <c r="AJ54" i="32" s="1"/>
  <c r="AH53" i="32"/>
  <c r="AJ53" i="32" s="1"/>
  <c r="AH52" i="32"/>
  <c r="AJ52" i="32" s="1"/>
  <c r="AH51" i="32"/>
  <c r="AJ51" i="32" s="1"/>
  <c r="AH50" i="32"/>
  <c r="AJ50" i="32" s="1"/>
  <c r="AH49" i="32"/>
  <c r="AJ49" i="32" s="1"/>
  <c r="AH46" i="32"/>
  <c r="K77" i="32"/>
  <c r="K72" i="32"/>
  <c r="AX82" i="32"/>
  <c r="AX56" i="32"/>
  <c r="BF56" i="32" s="1"/>
  <c r="BH56" i="32" s="1"/>
  <c r="AX55" i="32"/>
  <c r="BF55" i="32" s="1"/>
  <c r="BH55" i="32" s="1"/>
  <c r="AX54" i="32"/>
  <c r="BF54" i="32" s="1"/>
  <c r="BH54" i="32" s="1"/>
  <c r="AX53" i="32"/>
  <c r="BF53" i="32" s="1"/>
  <c r="BH53" i="32" s="1"/>
  <c r="AX52" i="32"/>
  <c r="BF52" i="32" s="1"/>
  <c r="BH52" i="32" s="1"/>
  <c r="AX51" i="32"/>
  <c r="BF51" i="32" s="1"/>
  <c r="BH51" i="32" s="1"/>
  <c r="AX50" i="32"/>
  <c r="BF50" i="32" s="1"/>
  <c r="BH50" i="32" s="1"/>
  <c r="AX49" i="32"/>
  <c r="BF49" i="32" s="1"/>
  <c r="BH49" i="32" s="1"/>
  <c r="AX48" i="32"/>
  <c r="BF46" i="32"/>
  <c r="AL82" i="32"/>
  <c r="AT56" i="32"/>
  <c r="AV56" i="32" s="1"/>
  <c r="AT55" i="32"/>
  <c r="AV55" i="32" s="1"/>
  <c r="AT54" i="32"/>
  <c r="AV54" i="32" s="1"/>
  <c r="AT53" i="32"/>
  <c r="AV53" i="32" s="1"/>
  <c r="AT52" i="32"/>
  <c r="AV52" i="32" s="1"/>
  <c r="AT51" i="32"/>
  <c r="AV51" i="32" s="1"/>
  <c r="AT50" i="32"/>
  <c r="AV50" i="32" s="1"/>
  <c r="AT49" i="32"/>
  <c r="AV49" i="32" s="1"/>
  <c r="AT46" i="32"/>
  <c r="AY70" i="32"/>
  <c r="AY72" i="32" s="1"/>
  <c r="N82" i="32"/>
  <c r="N56" i="32"/>
  <c r="N55" i="32"/>
  <c r="N54" i="32"/>
  <c r="N53" i="32"/>
  <c r="N52" i="32"/>
  <c r="N51" i="32"/>
  <c r="N50" i="32"/>
  <c r="N49" i="32"/>
  <c r="BR46" i="32"/>
  <c r="V46" i="32"/>
  <c r="N48" i="32"/>
  <c r="BS4" i="31"/>
  <c r="E40" i="30"/>
  <c r="BU1" i="30"/>
  <c r="J38" i="30"/>
  <c r="J37" i="30"/>
  <c r="J36" i="30"/>
  <c r="J35" i="30"/>
  <c r="J34" i="30"/>
  <c r="J33" i="30"/>
  <c r="J32" i="30"/>
  <c r="J31" i="30"/>
  <c r="J30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S70" i="32" l="1"/>
  <c r="S72" i="32" s="1"/>
  <c r="S75" i="32" s="1"/>
  <c r="S80" i="32" s="1"/>
  <c r="J40" i="30"/>
  <c r="BN75" i="32"/>
  <c r="BK89" i="32"/>
  <c r="BK91" i="32" s="1"/>
  <c r="BJ85" i="32"/>
  <c r="BJ86" i="32"/>
  <c r="BN80" i="32"/>
  <c r="BJ87" i="32"/>
  <c r="BD70" i="32"/>
  <c r="BD72" i="32" s="1"/>
  <c r="BD75" i="32" s="1"/>
  <c r="BD80" i="32" s="1"/>
  <c r="BC70" i="32"/>
  <c r="BC72" i="32" s="1"/>
  <c r="BC75" i="32" s="1"/>
  <c r="BC80" i="32" s="1"/>
  <c r="BB70" i="32"/>
  <c r="BB72" i="32" s="1"/>
  <c r="BB75" i="32" s="1"/>
  <c r="BB80" i="32" s="1"/>
  <c r="AB70" i="32"/>
  <c r="AB72" i="32" s="1"/>
  <c r="AB75" i="32" s="1"/>
  <c r="AB80" i="32" s="1"/>
  <c r="AE70" i="32"/>
  <c r="AE72" i="32" s="1"/>
  <c r="AE75" i="32" s="1"/>
  <c r="AE80" i="32" s="1"/>
  <c r="O70" i="32"/>
  <c r="O72" i="32" s="1"/>
  <c r="O75" i="32" s="1"/>
  <c r="O80" i="32" s="1"/>
  <c r="R70" i="32"/>
  <c r="R72" i="32" s="1"/>
  <c r="R75" i="32" s="1"/>
  <c r="R80" i="32" s="1"/>
  <c r="BR82" i="32"/>
  <c r="Z68" i="32"/>
  <c r="AD70" i="32"/>
  <c r="AD72" i="32" s="1"/>
  <c r="AD75" i="32" s="1"/>
  <c r="AD80" i="32" s="1"/>
  <c r="Z62" i="32"/>
  <c r="AP70" i="32"/>
  <c r="AP72" i="32" s="1"/>
  <c r="AP75" i="32" s="1"/>
  <c r="AP80" i="32" s="1"/>
  <c r="AO70" i="32"/>
  <c r="AO72" i="32" s="1"/>
  <c r="AO75" i="32" s="1"/>
  <c r="AO80" i="32" s="1"/>
  <c r="AN70" i="32"/>
  <c r="AN72" i="32" s="1"/>
  <c r="AN75" i="32" s="1"/>
  <c r="AN80" i="32" s="1"/>
  <c r="AL67" i="32"/>
  <c r="AL63" i="32"/>
  <c r="AL66" i="32"/>
  <c r="AL62" i="32"/>
  <c r="AL69" i="32"/>
  <c r="AL65" i="32"/>
  <c r="AL61" i="32"/>
  <c r="AL68" i="32"/>
  <c r="AL64" i="32"/>
  <c r="AF70" i="32"/>
  <c r="AF72" i="32" s="1"/>
  <c r="AF75" i="32" s="1"/>
  <c r="AF80" i="32" s="1"/>
  <c r="AC70" i="32"/>
  <c r="AC72" i="32" s="1"/>
  <c r="AC75" i="32" s="1"/>
  <c r="AC80" i="32" s="1"/>
  <c r="AA70" i="32"/>
  <c r="AA72" i="32" s="1"/>
  <c r="AA75" i="32" s="1"/>
  <c r="AA80" i="32" s="1"/>
  <c r="Z66" i="32"/>
  <c r="Q70" i="32"/>
  <c r="Q72" i="32" s="1"/>
  <c r="Q75" i="32" s="1"/>
  <c r="Q80" i="32" s="1"/>
  <c r="T70" i="32"/>
  <c r="T72" i="32" s="1"/>
  <c r="T75" i="32" s="1"/>
  <c r="T80" i="32" s="1"/>
  <c r="Z61" i="32"/>
  <c r="Z65" i="32"/>
  <c r="Z63" i="32"/>
  <c r="Z64" i="32"/>
  <c r="Z69" i="32"/>
  <c r="P70" i="32"/>
  <c r="P72" i="32" s="1"/>
  <c r="P75" i="32" s="1"/>
  <c r="P80" i="32" s="1"/>
  <c r="AZ70" i="32"/>
  <c r="AZ72" i="32" s="1"/>
  <c r="BN49" i="32"/>
  <c r="BP49" i="32" s="1"/>
  <c r="BN53" i="32"/>
  <c r="BP53" i="32" s="1"/>
  <c r="BN50" i="32"/>
  <c r="BP50" i="32" s="1"/>
  <c r="BN54" i="32"/>
  <c r="BP54" i="32" s="1"/>
  <c r="BN56" i="32"/>
  <c r="BP56" i="32" s="1"/>
  <c r="BN51" i="32"/>
  <c r="BP51" i="32" s="1"/>
  <c r="BN55" i="32"/>
  <c r="BP55" i="32" s="1"/>
  <c r="BN52" i="32"/>
  <c r="BP52" i="32" s="1"/>
  <c r="BU55" i="32"/>
  <c r="BV55" i="32" s="1"/>
  <c r="V55" i="32"/>
  <c r="X55" i="32" s="1"/>
  <c r="AZ80" i="32"/>
  <c r="AZ85" i="32"/>
  <c r="BU52" i="32"/>
  <c r="BV52" i="32" s="1"/>
  <c r="V52" i="32"/>
  <c r="X52" i="32" s="1"/>
  <c r="AT82" i="32"/>
  <c r="AM85" i="32"/>
  <c r="AQ85" i="32"/>
  <c r="AH82" i="32"/>
  <c r="AR70" i="32"/>
  <c r="AR72" i="32" s="1"/>
  <c r="N57" i="32"/>
  <c r="N59" i="32" s="1"/>
  <c r="BU48" i="32"/>
  <c r="V48" i="32"/>
  <c r="BU49" i="32"/>
  <c r="BV49" i="32" s="1"/>
  <c r="V49" i="32"/>
  <c r="X49" i="32" s="1"/>
  <c r="BU53" i="32"/>
  <c r="BV53" i="32" s="1"/>
  <c r="V53" i="32"/>
  <c r="X53" i="32" s="1"/>
  <c r="V82" i="32"/>
  <c r="AX57" i="32"/>
  <c r="AX59" i="32" s="1"/>
  <c r="BF48" i="32"/>
  <c r="BA85" i="32"/>
  <c r="BU51" i="32"/>
  <c r="BV51" i="32" s="1"/>
  <c r="V51" i="32"/>
  <c r="X51" i="32" s="1"/>
  <c r="O85" i="32"/>
  <c r="BF82" i="32"/>
  <c r="BU56" i="32"/>
  <c r="BV56" i="32" s="1"/>
  <c r="V56" i="32"/>
  <c r="X56" i="32" s="1"/>
  <c r="BU50" i="32"/>
  <c r="BV50" i="32" s="1"/>
  <c r="V50" i="32"/>
  <c r="X50" i="32" s="1"/>
  <c r="BU54" i="32"/>
  <c r="BV54" i="32" s="1"/>
  <c r="V54" i="32"/>
  <c r="X54" i="32" s="1"/>
  <c r="AY85" i="32"/>
  <c r="AY80" i="32"/>
  <c r="AT48" i="32"/>
  <c r="AH48" i="32"/>
  <c r="BV5" i="31"/>
  <c r="BV6" i="31" s="1"/>
  <c r="BS5" i="31"/>
  <c r="C40" i="30"/>
  <c r="AO5" i="31"/>
  <c r="AO75" i="31"/>
  <c r="AO76" i="31" s="1"/>
  <c r="S85" i="32" l="1"/>
  <c r="BD85" i="32"/>
  <c r="BJ89" i="32"/>
  <c r="BJ91" i="32" s="1"/>
  <c r="AE85" i="32"/>
  <c r="AA85" i="32"/>
  <c r="AO85" i="32"/>
  <c r="R85" i="32"/>
  <c r="Z70" i="32"/>
  <c r="Z72" i="32" s="1"/>
  <c r="Z75" i="32" s="1"/>
  <c r="Z80" i="32" s="1"/>
  <c r="P85" i="32"/>
  <c r="AL70" i="32"/>
  <c r="AL72" i="32" s="1"/>
  <c r="AL75" i="32" s="1"/>
  <c r="AL80" i="32" s="1"/>
  <c r="AX66" i="32"/>
  <c r="BF66" i="32" s="1"/>
  <c r="BH66" i="32" s="1"/>
  <c r="AX65" i="32"/>
  <c r="BF65" i="32" s="1"/>
  <c r="BH65" i="32" s="1"/>
  <c r="AX64" i="32"/>
  <c r="BF64" i="32" s="1"/>
  <c r="BH64" i="32" s="1"/>
  <c r="AX63" i="32"/>
  <c r="BF63" i="32" s="1"/>
  <c r="BH63" i="32" s="1"/>
  <c r="AX61" i="32"/>
  <c r="AX69" i="32"/>
  <c r="BF69" i="32" s="1"/>
  <c r="BH69" i="32" s="1"/>
  <c r="AX67" i="32"/>
  <c r="BF67" i="32" s="1"/>
  <c r="BH67" i="32" s="1"/>
  <c r="AX68" i="32"/>
  <c r="BF68" i="32" s="1"/>
  <c r="BH68" i="32" s="1"/>
  <c r="AX62" i="32"/>
  <c r="BF62" i="32" s="1"/>
  <c r="BH62" i="32" s="1"/>
  <c r="Q85" i="32"/>
  <c r="AV48" i="32"/>
  <c r="AT57" i="32"/>
  <c r="BD86" i="32"/>
  <c r="BD87" i="32"/>
  <c r="R87" i="32"/>
  <c r="R86" i="32"/>
  <c r="AT69" i="32"/>
  <c r="AV69" i="32" s="1"/>
  <c r="AT68" i="32"/>
  <c r="AV68" i="32" s="1"/>
  <c r="AT67" i="32"/>
  <c r="AV67" i="32" s="1"/>
  <c r="AT64" i="32"/>
  <c r="AV64" i="32" s="1"/>
  <c r="AT62" i="32"/>
  <c r="AV62" i="32" s="1"/>
  <c r="AT63" i="32"/>
  <c r="AV63" i="32" s="1"/>
  <c r="AT66" i="32"/>
  <c r="AV66" i="32" s="1"/>
  <c r="AT65" i="32"/>
  <c r="AV65" i="32" s="1"/>
  <c r="BF57" i="32"/>
  <c r="BH48" i="32"/>
  <c r="BC85" i="32"/>
  <c r="X48" i="32"/>
  <c r="X57" i="32" s="1"/>
  <c r="V57" i="32"/>
  <c r="AA87" i="32"/>
  <c r="AA86" i="32"/>
  <c r="AH57" i="32"/>
  <c r="AJ48" i="32"/>
  <c r="AY87" i="32"/>
  <c r="AY86" i="32"/>
  <c r="O87" i="32"/>
  <c r="O86" i="32"/>
  <c r="BN57" i="32"/>
  <c r="BP48" i="32"/>
  <c r="T85" i="32"/>
  <c r="BU57" i="32"/>
  <c r="BV57" i="32" s="1"/>
  <c r="BX48" i="32" s="1"/>
  <c r="BV48" i="32"/>
  <c r="AM87" i="32"/>
  <c r="AM86" i="32"/>
  <c r="AZ86" i="32"/>
  <c r="AZ87" i="32"/>
  <c r="P86" i="32"/>
  <c r="P87" i="32"/>
  <c r="AH69" i="32"/>
  <c r="AJ69" i="32" s="1"/>
  <c r="AH68" i="32"/>
  <c r="AJ68" i="32" s="1"/>
  <c r="AH67" i="32"/>
  <c r="AJ67" i="32" s="1"/>
  <c r="AH66" i="32"/>
  <c r="AJ66" i="32" s="1"/>
  <c r="AH65" i="32"/>
  <c r="AJ65" i="32" s="1"/>
  <c r="AH64" i="32"/>
  <c r="AJ64" i="32" s="1"/>
  <c r="AH63" i="32"/>
  <c r="AJ63" i="32" s="1"/>
  <c r="AH62" i="32"/>
  <c r="AJ62" i="32" s="1"/>
  <c r="AB85" i="32"/>
  <c r="AN85" i="32"/>
  <c r="BN61" i="32"/>
  <c r="BA86" i="32"/>
  <c r="BA87" i="32"/>
  <c r="AC85" i="32"/>
  <c r="N61" i="32"/>
  <c r="N69" i="32"/>
  <c r="N68" i="32"/>
  <c r="N65" i="32"/>
  <c r="N64" i="32"/>
  <c r="N67" i="32"/>
  <c r="N63" i="32"/>
  <c r="N62" i="32"/>
  <c r="N66" i="32"/>
  <c r="BB85" i="32"/>
  <c r="AE87" i="32"/>
  <c r="AE86" i="32"/>
  <c r="AO86" i="32"/>
  <c r="AO87" i="32"/>
  <c r="AF85" i="32"/>
  <c r="S87" i="32"/>
  <c r="S86" i="32"/>
  <c r="AP85" i="32"/>
  <c r="AR80" i="32"/>
  <c r="AR85" i="32"/>
  <c r="AQ87" i="32"/>
  <c r="AQ86" i="32"/>
  <c r="AD85" i="32"/>
  <c r="AN75" i="31"/>
  <c r="AN76" i="31" s="1"/>
  <c r="AM89" i="32" l="1"/>
  <c r="AM91" i="32" s="1"/>
  <c r="AY89" i="32"/>
  <c r="AY91" i="32" s="1"/>
  <c r="BN68" i="32"/>
  <c r="BP68" i="32" s="1"/>
  <c r="BN66" i="32"/>
  <c r="BP66" i="32" s="1"/>
  <c r="BN69" i="32"/>
  <c r="BP69" i="32" s="1"/>
  <c r="BN63" i="32"/>
  <c r="BP63" i="32" s="1"/>
  <c r="BN65" i="32"/>
  <c r="BP65" i="32" s="1"/>
  <c r="BN64" i="32"/>
  <c r="BP64" i="32" s="1"/>
  <c r="BN62" i="32"/>
  <c r="BP62" i="32" s="1"/>
  <c r="BN67" i="32"/>
  <c r="BP67" i="32" s="1"/>
  <c r="BA89" i="32"/>
  <c r="BA91" i="32" s="1"/>
  <c r="AE89" i="32"/>
  <c r="AE91" i="32" s="1"/>
  <c r="AZ89" i="32"/>
  <c r="AZ91" i="32" s="1"/>
  <c r="BD89" i="32"/>
  <c r="BD91" i="32" s="1"/>
  <c r="AO89" i="32"/>
  <c r="AO91" i="32" s="1"/>
  <c r="AQ89" i="32"/>
  <c r="AQ91" i="32" s="1"/>
  <c r="AA89" i="32"/>
  <c r="AA91" i="32" s="1"/>
  <c r="R89" i="32"/>
  <c r="R91" i="32" s="1"/>
  <c r="S89" i="32"/>
  <c r="S91" i="32" s="1"/>
  <c r="P89" i="32"/>
  <c r="P91" i="32" s="1"/>
  <c r="O89" i="32"/>
  <c r="O91" i="32" s="1"/>
  <c r="AP87" i="32"/>
  <c r="AP86" i="32"/>
  <c r="V62" i="32"/>
  <c r="X62" i="32" s="1"/>
  <c r="BU62" i="32"/>
  <c r="BV62" i="32" s="1"/>
  <c r="V65" i="32"/>
  <c r="X65" i="32" s="1"/>
  <c r="BU65" i="32"/>
  <c r="BV65" i="32" s="1"/>
  <c r="AB86" i="32"/>
  <c r="AB87" i="32"/>
  <c r="BH57" i="32"/>
  <c r="AT61" i="32"/>
  <c r="AV61" i="32" s="1"/>
  <c r="BB87" i="32"/>
  <c r="BB86" i="32"/>
  <c r="V63" i="32"/>
  <c r="X63" i="32" s="1"/>
  <c r="BU63" i="32"/>
  <c r="BV63" i="32" s="1"/>
  <c r="V68" i="32"/>
  <c r="X68" i="32" s="1"/>
  <c r="BU68" i="32"/>
  <c r="BV68" i="32" s="1"/>
  <c r="AC86" i="32"/>
  <c r="AC87" i="32"/>
  <c r="BN70" i="32"/>
  <c r="BP61" i="32"/>
  <c r="AN86" i="32"/>
  <c r="AN87" i="32"/>
  <c r="T86" i="32"/>
  <c r="T87" i="32"/>
  <c r="AJ57" i="32"/>
  <c r="AX70" i="32"/>
  <c r="BF61" i="32"/>
  <c r="BH61" i="32" s="1"/>
  <c r="AD87" i="32"/>
  <c r="AD86" i="32"/>
  <c r="AF86" i="32"/>
  <c r="AF87" i="32"/>
  <c r="BU67" i="32"/>
  <c r="BV67" i="32" s="1"/>
  <c r="V67" i="32"/>
  <c r="X67" i="32" s="1"/>
  <c r="V69" i="32"/>
  <c r="X69" i="32" s="1"/>
  <c r="BU69" i="32"/>
  <c r="BV69" i="32" s="1"/>
  <c r="BP57" i="32"/>
  <c r="BC87" i="32"/>
  <c r="BC86" i="32"/>
  <c r="AV57" i="32"/>
  <c r="AR86" i="32"/>
  <c r="AR87" i="32"/>
  <c r="V66" i="32"/>
  <c r="X66" i="32" s="1"/>
  <c r="BU66" i="32"/>
  <c r="BV66" i="32" s="1"/>
  <c r="V64" i="32"/>
  <c r="X64" i="32" s="1"/>
  <c r="BU64" i="32"/>
  <c r="BV64" i="32" s="1"/>
  <c r="N70" i="32"/>
  <c r="N72" i="32" s="1"/>
  <c r="N75" i="32" s="1"/>
  <c r="N80" i="32" s="1"/>
  <c r="BU61" i="32"/>
  <c r="V61" i="32"/>
  <c r="AH61" i="32"/>
  <c r="AJ61" i="32" s="1"/>
  <c r="Q86" i="32"/>
  <c r="Q87" i="32"/>
  <c r="J93" i="31"/>
  <c r="AM75" i="31"/>
  <c r="AM76" i="31" s="1"/>
  <c r="AL75" i="31"/>
  <c r="AL76" i="31" s="1"/>
  <c r="AF76" i="31"/>
  <c r="AF75" i="31"/>
  <c r="AE75" i="31"/>
  <c r="AE76" i="31" s="1"/>
  <c r="AD75" i="31"/>
  <c r="AD76" i="31" s="1"/>
  <c r="AC75" i="31"/>
  <c r="AC76" i="31" s="1"/>
  <c r="AB75" i="31"/>
  <c r="AB76" i="31" s="1"/>
  <c r="AA75" i="31"/>
  <c r="AA76" i="31" s="1"/>
  <c r="Z75" i="31"/>
  <c r="Z76" i="31" s="1"/>
  <c r="T75" i="31"/>
  <c r="T76" i="31" s="1"/>
  <c r="S75" i="31"/>
  <c r="S76" i="31" s="1"/>
  <c r="R75" i="31"/>
  <c r="R76" i="31" s="1"/>
  <c r="Q75" i="31"/>
  <c r="Q76" i="31" s="1"/>
  <c r="P75" i="31"/>
  <c r="P76" i="31" s="1"/>
  <c r="O75" i="31"/>
  <c r="O76" i="31" s="1"/>
  <c r="BP70" i="32" l="1"/>
  <c r="AV70" i="32"/>
  <c r="BC89" i="32"/>
  <c r="BC91" i="32" s="1"/>
  <c r="AF89" i="32"/>
  <c r="AF91" i="32" s="1"/>
  <c r="Q89" i="32"/>
  <c r="Q91" i="32" s="1"/>
  <c r="BB89" i="32"/>
  <c r="BB91" i="32" s="1"/>
  <c r="BH70" i="32"/>
  <c r="AR89" i="32"/>
  <c r="AR91" i="32" s="1"/>
  <c r="AP89" i="32"/>
  <c r="AP91" i="32" s="1"/>
  <c r="BR57" i="32"/>
  <c r="AN89" i="32"/>
  <c r="AN91" i="32" s="1"/>
  <c r="AB89" i="32"/>
  <c r="AB91" i="32" s="1"/>
  <c r="AD89" i="32"/>
  <c r="AD91" i="32" s="1"/>
  <c r="AJ70" i="32"/>
  <c r="AC89" i="32"/>
  <c r="AC91" i="32" s="1"/>
  <c r="T89" i="32"/>
  <c r="T91" i="32" s="1"/>
  <c r="V70" i="32"/>
  <c r="X61" i="32"/>
  <c r="X70" i="32" s="1"/>
  <c r="BF70" i="32"/>
  <c r="AX72" i="32"/>
  <c r="BU70" i="32"/>
  <c r="BV70" i="32" s="1"/>
  <c r="BX61" i="32" s="1"/>
  <c r="BV61" i="32"/>
  <c r="AH70" i="32"/>
  <c r="N85" i="32"/>
  <c r="V75" i="32"/>
  <c r="AT70" i="32"/>
  <c r="J3" i="31"/>
  <c r="BL3" i="31"/>
  <c r="J75" i="31"/>
  <c r="J67" i="31"/>
  <c r="BG67" i="31" s="1"/>
  <c r="J66" i="31"/>
  <c r="BM66" i="31" s="1"/>
  <c r="J65" i="31"/>
  <c r="BG65" i="31" s="1"/>
  <c r="J64" i="31"/>
  <c r="BM64" i="31" s="1"/>
  <c r="J63" i="31"/>
  <c r="J62" i="31"/>
  <c r="W62" i="31" s="1"/>
  <c r="J61" i="31"/>
  <c r="J60" i="31"/>
  <c r="AI60" i="31" s="1"/>
  <c r="J59" i="31"/>
  <c r="W59" i="31" s="1"/>
  <c r="J54" i="31"/>
  <c r="J53" i="31"/>
  <c r="BM53" i="31" s="1"/>
  <c r="J52" i="31"/>
  <c r="J51" i="31"/>
  <c r="AU51" i="31" s="1"/>
  <c r="J50" i="31"/>
  <c r="BG50" i="31" s="1"/>
  <c r="J49" i="31"/>
  <c r="W49" i="31" s="1"/>
  <c r="J48" i="31"/>
  <c r="J47" i="31"/>
  <c r="BG47" i="31" s="1"/>
  <c r="J46" i="31"/>
  <c r="J38" i="31"/>
  <c r="N38" i="31" s="1"/>
  <c r="J37" i="31"/>
  <c r="J36" i="31"/>
  <c r="J35" i="31"/>
  <c r="J34" i="31"/>
  <c r="N34" i="31" s="1"/>
  <c r="J33" i="31"/>
  <c r="J32" i="31"/>
  <c r="J31" i="31"/>
  <c r="J30" i="31"/>
  <c r="N30" i="31" s="1"/>
  <c r="J29" i="31"/>
  <c r="N29" i="31" s="1"/>
  <c r="J28" i="31"/>
  <c r="N28" i="31" s="1"/>
  <c r="J27" i="31"/>
  <c r="J26" i="31"/>
  <c r="N26" i="31" s="1"/>
  <c r="J25" i="31"/>
  <c r="J24" i="31"/>
  <c r="N24" i="31" s="1"/>
  <c r="J23" i="31"/>
  <c r="J22" i="31"/>
  <c r="J21" i="31"/>
  <c r="J20" i="31"/>
  <c r="J19" i="31"/>
  <c r="J18" i="31"/>
  <c r="J17" i="31"/>
  <c r="J16" i="31"/>
  <c r="J15" i="31"/>
  <c r="BY21" i="31"/>
  <c r="N75" i="31"/>
  <c r="N76" i="31" s="1"/>
  <c r="N35" i="31"/>
  <c r="N21" i="31"/>
  <c r="N20" i="31"/>
  <c r="N19" i="31"/>
  <c r="K92" i="31"/>
  <c r="K91" i="31" s="1"/>
  <c r="C92" i="31"/>
  <c r="BL76" i="31"/>
  <c r="AT76" i="31"/>
  <c r="J76" i="31"/>
  <c r="E76" i="31"/>
  <c r="I76" i="31" s="1"/>
  <c r="BL75" i="31"/>
  <c r="BF75" i="31"/>
  <c r="AT75" i="31"/>
  <c r="AH75" i="31"/>
  <c r="I75" i="31"/>
  <c r="H75" i="31"/>
  <c r="G75" i="31"/>
  <c r="F75" i="31"/>
  <c r="BL72" i="31"/>
  <c r="BF72" i="31"/>
  <c r="E68" i="31"/>
  <c r="K61" i="31" s="1"/>
  <c r="BM67" i="31"/>
  <c r="AU67" i="31"/>
  <c r="W67" i="31"/>
  <c r="I67" i="31"/>
  <c r="H67" i="31"/>
  <c r="G67" i="31"/>
  <c r="F67" i="31"/>
  <c r="W66" i="31"/>
  <c r="I65" i="31"/>
  <c r="H65" i="31"/>
  <c r="G65" i="31"/>
  <c r="F65" i="31"/>
  <c r="W64" i="31"/>
  <c r="I64" i="31"/>
  <c r="H64" i="31"/>
  <c r="G64" i="31"/>
  <c r="F64" i="31"/>
  <c r="BG63" i="31"/>
  <c r="I63" i="31"/>
  <c r="H63" i="31"/>
  <c r="G63" i="31"/>
  <c r="F63" i="31"/>
  <c r="BG62" i="31"/>
  <c r="I62" i="31"/>
  <c r="H62" i="31"/>
  <c r="G62" i="31"/>
  <c r="F62" i="31"/>
  <c r="I60" i="31"/>
  <c r="H60" i="31"/>
  <c r="G60" i="31"/>
  <c r="F60" i="31"/>
  <c r="BM59" i="31"/>
  <c r="AU59" i="31"/>
  <c r="I59" i="31"/>
  <c r="H59" i="31"/>
  <c r="G59" i="31"/>
  <c r="F59" i="31"/>
  <c r="E55" i="31"/>
  <c r="BG54" i="31"/>
  <c r="I54" i="31"/>
  <c r="H54" i="31"/>
  <c r="G54" i="31"/>
  <c r="F54" i="31"/>
  <c r="I53" i="31"/>
  <c r="H53" i="31"/>
  <c r="G53" i="31"/>
  <c r="F53" i="31"/>
  <c r="BG52" i="31"/>
  <c r="I52" i="31"/>
  <c r="H52" i="31"/>
  <c r="G52" i="31"/>
  <c r="F52" i="31"/>
  <c r="BM51" i="31"/>
  <c r="W51" i="31"/>
  <c r="BG51" i="31"/>
  <c r="I51" i="31"/>
  <c r="H51" i="31"/>
  <c r="G51" i="31"/>
  <c r="F51" i="31"/>
  <c r="I50" i="31"/>
  <c r="H50" i="31"/>
  <c r="G50" i="31"/>
  <c r="F50" i="31"/>
  <c r="K49" i="31"/>
  <c r="I49" i="31"/>
  <c r="H49" i="31"/>
  <c r="G49" i="31"/>
  <c r="F49" i="31"/>
  <c r="I48" i="31"/>
  <c r="H48" i="31"/>
  <c r="G48" i="31"/>
  <c r="F48" i="31"/>
  <c r="BM47" i="31"/>
  <c r="AU47" i="31"/>
  <c r="W47" i="31"/>
  <c r="BG46" i="31"/>
  <c r="I44" i="31"/>
  <c r="H44" i="31"/>
  <c r="G44" i="31"/>
  <c r="F44" i="31"/>
  <c r="BP40" i="31"/>
  <c r="I40" i="31"/>
  <c r="H40" i="31"/>
  <c r="G40" i="31"/>
  <c r="F40" i="31"/>
  <c r="E40" i="31"/>
  <c r="K31" i="31" s="1"/>
  <c r="BQ38" i="31"/>
  <c r="BQ37" i="31"/>
  <c r="BQ36" i="31"/>
  <c r="BQ35" i="31"/>
  <c r="BQ34" i="31"/>
  <c r="BQ33" i="31"/>
  <c r="BQ32" i="31"/>
  <c r="BQ31" i="31"/>
  <c r="BQ30" i="31"/>
  <c r="BQ29" i="31"/>
  <c r="BQ28" i="31"/>
  <c r="BQ27" i="31"/>
  <c r="BQ26" i="31"/>
  <c r="BQ25" i="31"/>
  <c r="BQ24" i="31"/>
  <c r="BQ23" i="31"/>
  <c r="BQ22" i="31"/>
  <c r="BQ21" i="31"/>
  <c r="BQ20" i="31"/>
  <c r="BQ19" i="31"/>
  <c r="BQ18" i="31"/>
  <c r="BQ17" i="31"/>
  <c r="BQ16" i="31"/>
  <c r="BQ15" i="31"/>
  <c r="K9" i="31"/>
  <c r="BD5" i="31"/>
  <c r="BC5" i="31"/>
  <c r="AX5" i="31"/>
  <c r="AN5" i="31"/>
  <c r="AM5" i="31"/>
  <c r="AL5" i="31"/>
  <c r="AF5" i="31"/>
  <c r="AE5" i="31"/>
  <c r="AD5" i="31"/>
  <c r="AC5" i="31"/>
  <c r="AB5" i="31"/>
  <c r="AA5" i="31"/>
  <c r="Z5" i="31"/>
  <c r="T5" i="31"/>
  <c r="S5" i="31"/>
  <c r="R5" i="31"/>
  <c r="Q5" i="31"/>
  <c r="P5" i="31"/>
  <c r="O5" i="31"/>
  <c r="N5" i="31"/>
  <c r="J4" i="31"/>
  <c r="BL4" i="31"/>
  <c r="BN5" i="31" s="1"/>
  <c r="BF4" i="31"/>
  <c r="AT4" i="31"/>
  <c r="AH4" i="31"/>
  <c r="AJ5" i="31" s="1"/>
  <c r="V4" i="31"/>
  <c r="X5" i="31" s="1"/>
  <c r="BF3" i="31"/>
  <c r="AT3" i="31"/>
  <c r="AH3" i="31"/>
  <c r="V3" i="31"/>
  <c r="AU49" i="31" l="1"/>
  <c r="BM62" i="31"/>
  <c r="AU66" i="31"/>
  <c r="E70" i="31"/>
  <c r="N17" i="31"/>
  <c r="BJ17" i="31"/>
  <c r="BD17" i="31"/>
  <c r="BC17" i="31"/>
  <c r="BB17" i="31"/>
  <c r="BA17" i="31"/>
  <c r="AZ17" i="31"/>
  <c r="AY17" i="31"/>
  <c r="BJ25" i="31"/>
  <c r="BL25" i="31" s="1"/>
  <c r="BD25" i="31"/>
  <c r="BC25" i="31"/>
  <c r="BB25" i="31"/>
  <c r="BA25" i="31"/>
  <c r="AY25" i="31"/>
  <c r="AZ25" i="31"/>
  <c r="AX25" i="31"/>
  <c r="AR25" i="31"/>
  <c r="AQ25" i="31"/>
  <c r="AP25" i="31"/>
  <c r="AO25" i="31"/>
  <c r="AN25" i="31"/>
  <c r="AE25" i="31"/>
  <c r="AA25" i="31"/>
  <c r="S25" i="31"/>
  <c r="O25" i="31"/>
  <c r="T25" i="31"/>
  <c r="P25" i="31"/>
  <c r="AD25" i="31"/>
  <c r="R25" i="31"/>
  <c r="AF25" i="31"/>
  <c r="AB25" i="31"/>
  <c r="AM25" i="31"/>
  <c r="Z25" i="31"/>
  <c r="AL25" i="31"/>
  <c r="AC25" i="31"/>
  <c r="Q25" i="31"/>
  <c r="BJ37" i="31"/>
  <c r="BL37" i="31" s="1"/>
  <c r="BD37" i="31"/>
  <c r="BC37" i="31"/>
  <c r="BB37" i="31"/>
  <c r="BA37" i="31"/>
  <c r="AY37" i="31"/>
  <c r="AZ37" i="31"/>
  <c r="AX37" i="31"/>
  <c r="AR37" i="31"/>
  <c r="AQ37" i="31"/>
  <c r="AP37" i="31"/>
  <c r="AO37" i="31"/>
  <c r="AN37" i="31"/>
  <c r="AL37" i="31"/>
  <c r="AD37" i="31"/>
  <c r="Z37" i="31"/>
  <c r="Q37" i="31"/>
  <c r="R37" i="31"/>
  <c r="AC37" i="31"/>
  <c r="T37" i="31"/>
  <c r="AM37" i="31"/>
  <c r="AE37" i="31"/>
  <c r="AA37" i="31"/>
  <c r="AF37" i="31"/>
  <c r="AB37" i="31"/>
  <c r="S37" i="31"/>
  <c r="O37" i="31"/>
  <c r="P37" i="31"/>
  <c r="BJ16" i="31"/>
  <c r="BL16" i="31" s="1"/>
  <c r="BD16" i="31"/>
  <c r="BC16" i="31"/>
  <c r="BB16" i="31"/>
  <c r="AY16" i="31"/>
  <c r="BA16" i="31"/>
  <c r="AZ16" i="31"/>
  <c r="AX16" i="31"/>
  <c r="AR16" i="31"/>
  <c r="AQ16" i="31"/>
  <c r="AP16" i="31"/>
  <c r="AO16" i="31"/>
  <c r="AN16" i="31"/>
  <c r="AC16" i="31"/>
  <c r="S16" i="31"/>
  <c r="O16" i="31"/>
  <c r="P16" i="31"/>
  <c r="AM16" i="31"/>
  <c r="AF16" i="31"/>
  <c r="R16" i="31"/>
  <c r="AD16" i="31"/>
  <c r="Z16" i="31"/>
  <c r="T16" i="31"/>
  <c r="AL16" i="31"/>
  <c r="AE16" i="31"/>
  <c r="AA16" i="31"/>
  <c r="Q16" i="31"/>
  <c r="AB16" i="31"/>
  <c r="BD24" i="31"/>
  <c r="BJ24" i="31"/>
  <c r="BC24" i="31"/>
  <c r="BB24" i="31"/>
  <c r="BA24" i="31"/>
  <c r="AY24" i="31"/>
  <c r="AZ24" i="31"/>
  <c r="BD28" i="31"/>
  <c r="BJ28" i="31"/>
  <c r="BL28" i="31" s="1"/>
  <c r="BC28" i="31"/>
  <c r="BB28" i="31"/>
  <c r="BA28" i="31"/>
  <c r="AZ28" i="31"/>
  <c r="AY28" i="31"/>
  <c r="AX28" i="31"/>
  <c r="AR28" i="31"/>
  <c r="AQ28" i="31"/>
  <c r="AP28" i="31"/>
  <c r="AO28" i="31"/>
  <c r="AN28" i="31"/>
  <c r="AL28" i="31"/>
  <c r="AD28" i="31"/>
  <c r="Z28" i="31"/>
  <c r="Q28" i="31"/>
  <c r="T28" i="31"/>
  <c r="AM28" i="31"/>
  <c r="AE28" i="31"/>
  <c r="AA28" i="31"/>
  <c r="R28" i="31"/>
  <c r="AC28" i="31"/>
  <c r="AF28" i="31"/>
  <c r="AB28" i="31"/>
  <c r="S28" i="31"/>
  <c r="O28" i="31"/>
  <c r="P28" i="31"/>
  <c r="BD32" i="31"/>
  <c r="BJ32" i="31"/>
  <c r="BL32" i="31" s="1"/>
  <c r="BC32" i="31"/>
  <c r="BB32" i="31"/>
  <c r="BA32" i="31"/>
  <c r="AY32" i="31"/>
  <c r="AZ32" i="31"/>
  <c r="AR32" i="31"/>
  <c r="AX32" i="31"/>
  <c r="AQ32" i="31"/>
  <c r="AP32" i="31"/>
  <c r="AO32" i="31"/>
  <c r="AN32" i="31"/>
  <c r="AC32" i="31"/>
  <c r="S32" i="31"/>
  <c r="O32" i="31"/>
  <c r="T32" i="31"/>
  <c r="P32" i="31"/>
  <c r="AF32" i="31"/>
  <c r="AD32" i="31"/>
  <c r="Z32" i="31"/>
  <c r="AM32" i="31"/>
  <c r="AL32" i="31"/>
  <c r="AE32" i="31"/>
  <c r="AA32" i="31"/>
  <c r="Q32" i="31"/>
  <c r="AB32" i="31"/>
  <c r="R32" i="31"/>
  <c r="BD36" i="31"/>
  <c r="BJ36" i="31"/>
  <c r="BC36" i="31"/>
  <c r="BB36" i="31"/>
  <c r="BA36" i="31"/>
  <c r="AY36" i="31"/>
  <c r="AZ36" i="31"/>
  <c r="AX36" i="31"/>
  <c r="AR36" i="31"/>
  <c r="AQ36" i="31"/>
  <c r="AP36" i="31"/>
  <c r="AO36" i="31"/>
  <c r="AN36" i="31"/>
  <c r="AC36" i="31"/>
  <c r="S36" i="31"/>
  <c r="O36" i="31"/>
  <c r="P36" i="31"/>
  <c r="R36" i="31"/>
  <c r="AD36" i="31"/>
  <c r="Z36" i="31"/>
  <c r="T36" i="31"/>
  <c r="AL36" i="31"/>
  <c r="AE36" i="31"/>
  <c r="AA36" i="31"/>
  <c r="Q36" i="31"/>
  <c r="AM36" i="31"/>
  <c r="AF36" i="31"/>
  <c r="AB36" i="31"/>
  <c r="F76" i="31"/>
  <c r="N25" i="31"/>
  <c r="BJ33" i="31"/>
  <c r="BD33" i="31"/>
  <c r="BC33" i="31"/>
  <c r="BB33" i="31"/>
  <c r="BA33" i="31"/>
  <c r="AZ33" i="31"/>
  <c r="AY33" i="31"/>
  <c r="AX33" i="31"/>
  <c r="AR33" i="31"/>
  <c r="AQ33" i="31"/>
  <c r="AP33" i="31"/>
  <c r="AO33" i="31"/>
  <c r="AN33" i="31"/>
  <c r="AL33" i="31"/>
  <c r="AD33" i="31"/>
  <c r="Z33" i="31"/>
  <c r="Q33" i="31"/>
  <c r="T33" i="31"/>
  <c r="AM33" i="31"/>
  <c r="AE33" i="31"/>
  <c r="AA33" i="31"/>
  <c r="R33" i="31"/>
  <c r="P33" i="31"/>
  <c r="AF33" i="31"/>
  <c r="AB33" i="31"/>
  <c r="S33" i="31"/>
  <c r="O33" i="31"/>
  <c r="AC33" i="31"/>
  <c r="N15" i="31"/>
  <c r="BD15" i="31"/>
  <c r="BJ15" i="31"/>
  <c r="BC15" i="31"/>
  <c r="BB15" i="31"/>
  <c r="BA15" i="31"/>
  <c r="AZ15" i="31"/>
  <c r="AY15" i="31"/>
  <c r="AX15" i="31"/>
  <c r="AR15" i="31"/>
  <c r="AP15" i="31"/>
  <c r="AQ15" i="31"/>
  <c r="AO15" i="31"/>
  <c r="AN15" i="31"/>
  <c r="AL15" i="31"/>
  <c r="AF15" i="31"/>
  <c r="AB15" i="31"/>
  <c r="Q15" i="31"/>
  <c r="AC15" i="31"/>
  <c r="R15" i="31"/>
  <c r="AE15" i="31"/>
  <c r="AM15" i="31"/>
  <c r="AA15" i="31"/>
  <c r="T15" i="31"/>
  <c r="AD15" i="31"/>
  <c r="Z15" i="31"/>
  <c r="S15" i="31"/>
  <c r="O15" i="31"/>
  <c r="P15" i="31"/>
  <c r="BD19" i="31"/>
  <c r="BJ19" i="31"/>
  <c r="BL19" i="31" s="1"/>
  <c r="BC19" i="31"/>
  <c r="BB19" i="31"/>
  <c r="BA19" i="31"/>
  <c r="AY19" i="31"/>
  <c r="AZ19" i="31"/>
  <c r="BD23" i="31"/>
  <c r="BJ23" i="31"/>
  <c r="BC23" i="31"/>
  <c r="BB23" i="31"/>
  <c r="BA23" i="31"/>
  <c r="AZ23" i="31"/>
  <c r="AY23" i="31"/>
  <c r="AX23" i="31"/>
  <c r="AR23" i="31"/>
  <c r="AQ23" i="31"/>
  <c r="AP23" i="31"/>
  <c r="AO23" i="31"/>
  <c r="AN23" i="31"/>
  <c r="AL23" i="31"/>
  <c r="AD23" i="31"/>
  <c r="Z23" i="31"/>
  <c r="Q23" i="31"/>
  <c r="AA23" i="31"/>
  <c r="R23" i="31"/>
  <c r="AM23" i="31"/>
  <c r="AE23" i="31"/>
  <c r="T23" i="31"/>
  <c r="AF23" i="31"/>
  <c r="AB23" i="31"/>
  <c r="S23" i="31"/>
  <c r="O23" i="31"/>
  <c r="AC23" i="31"/>
  <c r="P23" i="31"/>
  <c r="BD27" i="31"/>
  <c r="BJ27" i="31"/>
  <c r="BL27" i="31" s="1"/>
  <c r="BC27" i="31"/>
  <c r="BB27" i="31"/>
  <c r="BA27" i="31"/>
  <c r="AY27" i="31"/>
  <c r="AZ27" i="31"/>
  <c r="AX27" i="31"/>
  <c r="AR27" i="31"/>
  <c r="AQ27" i="31"/>
  <c r="AP27" i="31"/>
  <c r="AO27" i="31"/>
  <c r="AN27" i="31"/>
  <c r="AC27" i="31"/>
  <c r="S27" i="31"/>
  <c r="O27" i="31"/>
  <c r="T27" i="31"/>
  <c r="P27" i="31"/>
  <c r="AF27" i="31"/>
  <c r="R27" i="31"/>
  <c r="AD27" i="31"/>
  <c r="Z27" i="31"/>
  <c r="AL27" i="31"/>
  <c r="AE27" i="31"/>
  <c r="AA27" i="31"/>
  <c r="Q27" i="31"/>
  <c r="AM27" i="31"/>
  <c r="AB27" i="31"/>
  <c r="BD31" i="31"/>
  <c r="BJ31" i="31"/>
  <c r="BC31" i="31"/>
  <c r="BB31" i="31"/>
  <c r="BA31" i="31"/>
  <c r="AZ31" i="31"/>
  <c r="AY31" i="31"/>
  <c r="BD35" i="31"/>
  <c r="BJ35" i="31"/>
  <c r="BC35" i="31"/>
  <c r="BB35" i="31"/>
  <c r="BA35" i="31"/>
  <c r="AZ35" i="31"/>
  <c r="AY35" i="31"/>
  <c r="AX35" i="31"/>
  <c r="AR35" i="31"/>
  <c r="AP35" i="31"/>
  <c r="AQ35" i="31"/>
  <c r="AO35" i="31"/>
  <c r="AN35" i="31"/>
  <c r="AL35" i="31"/>
  <c r="AF35" i="31"/>
  <c r="AB35" i="31"/>
  <c r="Q35" i="31"/>
  <c r="AE35" i="31"/>
  <c r="P35" i="31"/>
  <c r="AM35" i="31"/>
  <c r="AC35" i="31"/>
  <c r="R35" i="31"/>
  <c r="T35" i="31"/>
  <c r="AD35" i="31"/>
  <c r="Z35" i="31"/>
  <c r="S35" i="31"/>
  <c r="O35" i="31"/>
  <c r="AA35" i="31"/>
  <c r="N33" i="31"/>
  <c r="N37" i="31"/>
  <c r="BJ21" i="31"/>
  <c r="BL21" i="31" s="1"/>
  <c r="BD21" i="31"/>
  <c r="BC21" i="31"/>
  <c r="BB21" i="31"/>
  <c r="BA21" i="31"/>
  <c r="AZ21" i="31"/>
  <c r="AY21" i="31"/>
  <c r="BJ29" i="31"/>
  <c r="BD29" i="31"/>
  <c r="BC29" i="31"/>
  <c r="BB29" i="31"/>
  <c r="BA29" i="31"/>
  <c r="AY29" i="31"/>
  <c r="AZ29" i="31"/>
  <c r="AX29" i="31"/>
  <c r="AR29" i="31"/>
  <c r="AQ29" i="31"/>
  <c r="AP29" i="31"/>
  <c r="AT29" i="31" s="1"/>
  <c r="AO29" i="31"/>
  <c r="AN29" i="31"/>
  <c r="AE29" i="31"/>
  <c r="AA29" i="31"/>
  <c r="S29" i="31"/>
  <c r="O29" i="31"/>
  <c r="T29" i="31"/>
  <c r="P29" i="31"/>
  <c r="AM29" i="31"/>
  <c r="AD29" i="31"/>
  <c r="AF29" i="31"/>
  <c r="AB29" i="31"/>
  <c r="R29" i="31"/>
  <c r="AL29" i="31"/>
  <c r="AC29" i="31"/>
  <c r="Q29" i="31"/>
  <c r="Z29" i="31"/>
  <c r="BD18" i="31"/>
  <c r="BJ18" i="31"/>
  <c r="BC18" i="31"/>
  <c r="BB18" i="31"/>
  <c r="BA18" i="31"/>
  <c r="AY18" i="31"/>
  <c r="AZ18" i="31"/>
  <c r="BJ22" i="31"/>
  <c r="BL22" i="31" s="1"/>
  <c r="BD22" i="31"/>
  <c r="BC22" i="31"/>
  <c r="BB22" i="31"/>
  <c r="BA22" i="31"/>
  <c r="AY22" i="31"/>
  <c r="AZ22" i="31"/>
  <c r="BD26" i="31"/>
  <c r="BJ26" i="31"/>
  <c r="BL26" i="31" s="1"/>
  <c r="BC26" i="31"/>
  <c r="BB26" i="31"/>
  <c r="BA26" i="31"/>
  <c r="AZ26" i="31"/>
  <c r="AY26" i="31"/>
  <c r="AR26" i="31"/>
  <c r="AX26" i="31"/>
  <c r="AP26" i="31"/>
  <c r="AQ26" i="31"/>
  <c r="AO26" i="31"/>
  <c r="AN26" i="31"/>
  <c r="AL26" i="31"/>
  <c r="AF26" i="31"/>
  <c r="AB26" i="31"/>
  <c r="Q26" i="31"/>
  <c r="AM26" i="31"/>
  <c r="AC26" i="31"/>
  <c r="R26" i="31"/>
  <c r="AE26" i="31"/>
  <c r="T26" i="31"/>
  <c r="AD26" i="31"/>
  <c r="Z26" i="31"/>
  <c r="S26" i="31"/>
  <c r="O26" i="31"/>
  <c r="AA26" i="31"/>
  <c r="P26" i="31"/>
  <c r="BJ30" i="31"/>
  <c r="BD30" i="31"/>
  <c r="BC30" i="31"/>
  <c r="BB30" i="31"/>
  <c r="BA30" i="31"/>
  <c r="AY30" i="31"/>
  <c r="AZ30" i="31"/>
  <c r="AX30" i="31"/>
  <c r="AR30" i="31"/>
  <c r="AP30" i="31"/>
  <c r="AQ30" i="31"/>
  <c r="AO30" i="31"/>
  <c r="AN30" i="31"/>
  <c r="AL30" i="31"/>
  <c r="AF30" i="31"/>
  <c r="AB30" i="31"/>
  <c r="Q30" i="31"/>
  <c r="T30" i="31"/>
  <c r="AM30" i="31"/>
  <c r="AC30" i="31"/>
  <c r="R30" i="31"/>
  <c r="AE30" i="31"/>
  <c r="AD30" i="31"/>
  <c r="Z30" i="31"/>
  <c r="S30" i="31"/>
  <c r="O30" i="31"/>
  <c r="AA30" i="31"/>
  <c r="P30" i="31"/>
  <c r="BJ34" i="31"/>
  <c r="BD34" i="31"/>
  <c r="BC34" i="31"/>
  <c r="BB34" i="31"/>
  <c r="BA34" i="31"/>
  <c r="AY34" i="31"/>
  <c r="AZ34" i="31"/>
  <c r="AX34" i="31"/>
  <c r="AR34" i="31"/>
  <c r="AQ34" i="31"/>
  <c r="AP34" i="31"/>
  <c r="AO34" i="31"/>
  <c r="AN34" i="31"/>
  <c r="AE34" i="31"/>
  <c r="AA34" i="31"/>
  <c r="S34" i="31"/>
  <c r="O34" i="31"/>
  <c r="T34" i="31"/>
  <c r="P34" i="31"/>
  <c r="AM34" i="31"/>
  <c r="Z34" i="31"/>
  <c r="AF34" i="31"/>
  <c r="AB34" i="31"/>
  <c r="AD34" i="31"/>
  <c r="AL34" i="31"/>
  <c r="AC34" i="31"/>
  <c r="Q34" i="31"/>
  <c r="R34" i="31"/>
  <c r="BD38" i="31"/>
  <c r="BJ38" i="31"/>
  <c r="BC38" i="31"/>
  <c r="BB38" i="31"/>
  <c r="BA38" i="31"/>
  <c r="AZ38" i="31"/>
  <c r="AY38" i="31"/>
  <c r="AX38" i="31"/>
  <c r="AR38" i="31"/>
  <c r="AQ38" i="31"/>
  <c r="AP38" i="31"/>
  <c r="AO38" i="31"/>
  <c r="AN38" i="31"/>
  <c r="AE38" i="31"/>
  <c r="AA38" i="31"/>
  <c r="S38" i="31"/>
  <c r="O38" i="31"/>
  <c r="P38" i="31"/>
  <c r="AF38" i="31"/>
  <c r="AB38" i="31"/>
  <c r="T38" i="31"/>
  <c r="AM38" i="31"/>
  <c r="R38" i="31"/>
  <c r="AL38" i="31"/>
  <c r="AC38" i="31"/>
  <c r="Q38" i="31"/>
  <c r="AD38" i="31"/>
  <c r="Z38" i="31"/>
  <c r="K46" i="31"/>
  <c r="N16" i="31"/>
  <c r="N23" i="31"/>
  <c r="N27" i="31"/>
  <c r="N32" i="31"/>
  <c r="N36" i="31"/>
  <c r="J68" i="31"/>
  <c r="BJ20" i="31"/>
  <c r="BD20" i="31"/>
  <c r="BC20" i="31"/>
  <c r="AY20" i="31"/>
  <c r="BA20" i="31"/>
  <c r="BB20" i="31"/>
  <c r="AZ20" i="31"/>
  <c r="AX20" i="31"/>
  <c r="AR20" i="31"/>
  <c r="AQ20" i="31"/>
  <c r="AP20" i="31"/>
  <c r="AO20" i="31"/>
  <c r="AN20" i="31"/>
  <c r="AM20" i="31"/>
  <c r="AL20" i="31"/>
  <c r="AC20" i="31"/>
  <c r="R20" i="31"/>
  <c r="AF20" i="31"/>
  <c r="AB20" i="31"/>
  <c r="Q20" i="31"/>
  <c r="AE20" i="31"/>
  <c r="AA20" i="31"/>
  <c r="T20" i="31"/>
  <c r="P20" i="31"/>
  <c r="AD20" i="31"/>
  <c r="Z20" i="31"/>
  <c r="S20" i="31"/>
  <c r="O20" i="31"/>
  <c r="BR70" i="32"/>
  <c r="AL85" i="32"/>
  <c r="AT75" i="32"/>
  <c r="Z85" i="32"/>
  <c r="AH75" i="32"/>
  <c r="AX85" i="32"/>
  <c r="AX80" i="32"/>
  <c r="BF75" i="32"/>
  <c r="BL85" i="32"/>
  <c r="BN85" i="32" s="1"/>
  <c r="V85" i="32"/>
  <c r="BR75" i="32"/>
  <c r="N87" i="32"/>
  <c r="N86" i="32"/>
  <c r="V80" i="32"/>
  <c r="AR22" i="31"/>
  <c r="AX22" i="31"/>
  <c r="AQ22" i="31"/>
  <c r="AP22" i="31"/>
  <c r="AO22" i="31"/>
  <c r="AN22" i="31"/>
  <c r="AD22" i="31"/>
  <c r="Z22" i="31"/>
  <c r="R22" i="31"/>
  <c r="AC22" i="31"/>
  <c r="Q22" i="31"/>
  <c r="AM22" i="31"/>
  <c r="AF22" i="31"/>
  <c r="AB22" i="31"/>
  <c r="T22" i="31"/>
  <c r="P22" i="31"/>
  <c r="BS22" i="31" s="1"/>
  <c r="BT22" i="31" s="1"/>
  <c r="AL22" i="31"/>
  <c r="AE22" i="31"/>
  <c r="AA22" i="31"/>
  <c r="S22" i="31"/>
  <c r="O22" i="31"/>
  <c r="N22" i="31"/>
  <c r="AX19" i="31"/>
  <c r="AR19" i="31"/>
  <c r="AQ19" i="31"/>
  <c r="AP19" i="31"/>
  <c r="AO19" i="31"/>
  <c r="AN19" i="31"/>
  <c r="AD19" i="31"/>
  <c r="Z19" i="31"/>
  <c r="S19" i="31"/>
  <c r="O19" i="31"/>
  <c r="AC19" i="31"/>
  <c r="R19" i="31"/>
  <c r="AM19" i="31"/>
  <c r="AF19" i="31"/>
  <c r="AB19" i="31"/>
  <c r="Q19" i="31"/>
  <c r="AL19" i="31"/>
  <c r="AE19" i="31"/>
  <c r="AA19" i="31"/>
  <c r="T19" i="31"/>
  <c r="P19" i="31"/>
  <c r="K35" i="31"/>
  <c r="K33" i="31"/>
  <c r="K15" i="31"/>
  <c r="AR17" i="31"/>
  <c r="AX17" i="31"/>
  <c r="AP17" i="31"/>
  <c r="AQ17" i="31"/>
  <c r="AO17" i="31"/>
  <c r="AN17" i="31"/>
  <c r="AC17" i="31"/>
  <c r="T17" i="31"/>
  <c r="P17" i="31"/>
  <c r="AE17" i="31"/>
  <c r="AL17" i="31"/>
  <c r="Z17" i="31"/>
  <c r="AF17" i="31"/>
  <c r="AB17" i="31"/>
  <c r="S17" i="31"/>
  <c r="O17" i="31"/>
  <c r="AM17" i="31"/>
  <c r="AA17" i="31"/>
  <c r="R17" i="31"/>
  <c r="AD17" i="31"/>
  <c r="Q17" i="31"/>
  <c r="AR31" i="31"/>
  <c r="AX31" i="31"/>
  <c r="AQ31" i="31"/>
  <c r="AP31" i="31"/>
  <c r="AO31" i="31"/>
  <c r="AN31" i="31"/>
  <c r="AM31" i="31"/>
  <c r="AE31" i="31"/>
  <c r="AA31" i="31"/>
  <c r="S31" i="31"/>
  <c r="O31" i="31"/>
  <c r="AL31" i="31"/>
  <c r="AD31" i="31"/>
  <c r="Z31" i="31"/>
  <c r="R31" i="31"/>
  <c r="AC31" i="31"/>
  <c r="Q31" i="31"/>
  <c r="AF31" i="31"/>
  <c r="AB31" i="31"/>
  <c r="T31" i="31"/>
  <c r="P31" i="31"/>
  <c r="K23" i="31"/>
  <c r="N31" i="31"/>
  <c r="AR24" i="31"/>
  <c r="AX24" i="31"/>
  <c r="AQ24" i="31"/>
  <c r="AP24" i="31"/>
  <c r="AO24" i="31"/>
  <c r="AN24" i="31"/>
  <c r="AD24" i="31"/>
  <c r="Z24" i="31"/>
  <c r="R24" i="31"/>
  <c r="AC24" i="31"/>
  <c r="Q24" i="31"/>
  <c r="AM24" i="31"/>
  <c r="AF24" i="31"/>
  <c r="AB24" i="31"/>
  <c r="T24" i="31"/>
  <c r="P24" i="31"/>
  <c r="AL24" i="31"/>
  <c r="AE24" i="31"/>
  <c r="AA24" i="31"/>
  <c r="S24" i="31"/>
  <c r="O24" i="31"/>
  <c r="K17" i="31"/>
  <c r="K27" i="31"/>
  <c r="K19" i="31"/>
  <c r="K25" i="31"/>
  <c r="AX21" i="31"/>
  <c r="AR21" i="31"/>
  <c r="AP21" i="31"/>
  <c r="AQ21" i="31"/>
  <c r="AO21" i="31"/>
  <c r="AN21" i="31"/>
  <c r="AM21" i="31"/>
  <c r="AC21" i="31"/>
  <c r="Q21" i="31"/>
  <c r="AL21" i="31"/>
  <c r="AF21" i="31"/>
  <c r="AB21" i="31"/>
  <c r="T21" i="31"/>
  <c r="P21" i="31"/>
  <c r="AE21" i="31"/>
  <c r="AA21" i="31"/>
  <c r="S21" i="31"/>
  <c r="O21" i="31"/>
  <c r="AD21" i="31"/>
  <c r="Z21" i="31"/>
  <c r="R21" i="31"/>
  <c r="AX18" i="31"/>
  <c r="AR18" i="31"/>
  <c r="AQ18" i="31"/>
  <c r="AP18" i="31"/>
  <c r="AO18" i="31"/>
  <c r="AN18" i="31"/>
  <c r="AM18" i="31"/>
  <c r="AE18" i="31"/>
  <c r="AA18" i="31"/>
  <c r="T18" i="31"/>
  <c r="P18" i="31"/>
  <c r="AL18" i="31"/>
  <c r="AD18" i="31"/>
  <c r="Z18" i="31"/>
  <c r="S18" i="31"/>
  <c r="O18" i="31"/>
  <c r="AC18" i="31"/>
  <c r="R18" i="31"/>
  <c r="AF18" i="31"/>
  <c r="AB18" i="31"/>
  <c r="Q18" i="31"/>
  <c r="C93" i="31"/>
  <c r="C94" i="31" s="1"/>
  <c r="BT4" i="31"/>
  <c r="N18" i="31"/>
  <c r="K21" i="31"/>
  <c r="K29" i="31"/>
  <c r="K37" i="31"/>
  <c r="BV3" i="31"/>
  <c r="BQ40" i="31"/>
  <c r="AT5" i="31"/>
  <c r="K16" i="31"/>
  <c r="K18" i="31"/>
  <c r="K20" i="31"/>
  <c r="K22" i="31"/>
  <c r="K24" i="31"/>
  <c r="K26" i="31"/>
  <c r="K28" i="31"/>
  <c r="K30" i="31"/>
  <c r="K32" i="31"/>
  <c r="K34" i="31"/>
  <c r="K36" i="31"/>
  <c r="K38" i="31"/>
  <c r="E44" i="31"/>
  <c r="K50" i="31"/>
  <c r="K53" i="31"/>
  <c r="K62" i="31"/>
  <c r="K63" i="31"/>
  <c r="K65" i="31"/>
  <c r="G76" i="31"/>
  <c r="E84" i="31"/>
  <c r="J84" i="31" s="1"/>
  <c r="K47" i="31"/>
  <c r="K48" i="31"/>
  <c r="K54" i="31"/>
  <c r="K60" i="31"/>
  <c r="AU62" i="31"/>
  <c r="K64" i="31"/>
  <c r="K66" i="31"/>
  <c r="C40" i="31"/>
  <c r="K4" i="31" s="1"/>
  <c r="K51" i="31"/>
  <c r="K52" i="31"/>
  <c r="K59" i="31"/>
  <c r="AU64" i="31"/>
  <c r="BG64" i="31"/>
  <c r="BG49" i="31"/>
  <c r="W53" i="31"/>
  <c r="AU53" i="31"/>
  <c r="BM49" i="31"/>
  <c r="BG53" i="31"/>
  <c r="V5" i="31"/>
  <c r="V75" i="31"/>
  <c r="AV5" i="31"/>
  <c r="BF5" i="31"/>
  <c r="BL5" i="31"/>
  <c r="BM31" i="31" s="1"/>
  <c r="BH5" i="31"/>
  <c r="AH5" i="31"/>
  <c r="J40" i="31"/>
  <c r="BG3" i="31" s="1"/>
  <c r="BM50" i="31"/>
  <c r="AU50" i="31"/>
  <c r="W50" i="31"/>
  <c r="AI50" i="31"/>
  <c r="BL24" i="31"/>
  <c r="BL29" i="31"/>
  <c r="AI46" i="31"/>
  <c r="BL31" i="31"/>
  <c r="F68" i="31"/>
  <c r="BM48" i="31"/>
  <c r="AU48" i="31"/>
  <c r="W48" i="31"/>
  <c r="AI48" i="31"/>
  <c r="BG48" i="31"/>
  <c r="BG55" i="31" s="1"/>
  <c r="J55" i="31"/>
  <c r="J70" i="31" s="1"/>
  <c r="BM46" i="31"/>
  <c r="AU46" i="31"/>
  <c r="W46" i="31"/>
  <c r="BL33" i="31"/>
  <c r="BL35" i="31"/>
  <c r="BM52" i="31"/>
  <c r="AU52" i="31"/>
  <c r="W52" i="31"/>
  <c r="BM54" i="31"/>
  <c r="AU54" i="31"/>
  <c r="W54" i="31"/>
  <c r="BM61" i="31"/>
  <c r="AU61" i="31"/>
  <c r="W61" i="31"/>
  <c r="AI61" i="31"/>
  <c r="BG60" i="31"/>
  <c r="BM60" i="31"/>
  <c r="AU60" i="31"/>
  <c r="W60" i="31"/>
  <c r="I68" i="31"/>
  <c r="AI52" i="31"/>
  <c r="AI54" i="31"/>
  <c r="BG61" i="31"/>
  <c r="G68" i="31"/>
  <c r="AI59" i="31"/>
  <c r="BG59" i="31"/>
  <c r="H84" i="31"/>
  <c r="G84" i="31"/>
  <c r="K84" i="31"/>
  <c r="F84" i="31"/>
  <c r="AI47" i="31"/>
  <c r="H68" i="31"/>
  <c r="AI49" i="31"/>
  <c r="AI51" i="31"/>
  <c r="AI53" i="31"/>
  <c r="AI62" i="31"/>
  <c r="W63" i="31"/>
  <c r="AU63" i="31"/>
  <c r="BM63" i="31"/>
  <c r="AI64" i="31"/>
  <c r="W65" i="31"/>
  <c r="AU65" i="31"/>
  <c r="BM65" i="31"/>
  <c r="AI66" i="31"/>
  <c r="K67" i="31"/>
  <c r="E72" i="31"/>
  <c r="BP75" i="31"/>
  <c r="BQ75" i="31" s="1"/>
  <c r="BG66" i="31"/>
  <c r="V76" i="31"/>
  <c r="BF76" i="31"/>
  <c r="AI63" i="31"/>
  <c r="AI65" i="31"/>
  <c r="AI67" i="31"/>
  <c r="AH76" i="31"/>
  <c r="K93" i="31"/>
  <c r="K94" i="31" s="1"/>
  <c r="H76" i="31"/>
  <c r="CA34" i="27"/>
  <c r="BU6" i="30"/>
  <c r="BL75" i="30"/>
  <c r="BL76" i="30" s="1"/>
  <c r="BK75" i="30"/>
  <c r="BK76" i="30" s="1"/>
  <c r="BJ75" i="30"/>
  <c r="BJ76" i="30" s="1"/>
  <c r="BL38" i="30"/>
  <c r="BK38" i="30"/>
  <c r="BJ38" i="30"/>
  <c r="BL37" i="30"/>
  <c r="BK37" i="30"/>
  <c r="BJ37" i="30"/>
  <c r="BL36" i="30"/>
  <c r="BK36" i="30"/>
  <c r="BJ36" i="30"/>
  <c r="BL35" i="30"/>
  <c r="BK35" i="30"/>
  <c r="BJ35" i="30"/>
  <c r="BL34" i="30"/>
  <c r="BK34" i="30"/>
  <c r="BJ34" i="30"/>
  <c r="BL33" i="30"/>
  <c r="BK33" i="30"/>
  <c r="BJ33" i="30"/>
  <c r="BL32" i="30"/>
  <c r="BK32" i="30"/>
  <c r="BJ32" i="30"/>
  <c r="BL31" i="30"/>
  <c r="BK31" i="30"/>
  <c r="BJ31" i="30"/>
  <c r="BL30" i="30"/>
  <c r="BK30" i="30"/>
  <c r="BJ30" i="30"/>
  <c r="BL29" i="30"/>
  <c r="BK29" i="30"/>
  <c r="BJ29" i="30"/>
  <c r="BL28" i="30"/>
  <c r="BK28" i="30"/>
  <c r="BJ28" i="30"/>
  <c r="BL27" i="30"/>
  <c r="BK27" i="30"/>
  <c r="BJ27" i="30"/>
  <c r="BL26" i="30"/>
  <c r="BK26" i="30"/>
  <c r="BJ26" i="30"/>
  <c r="BL25" i="30"/>
  <c r="BK25" i="30"/>
  <c r="BJ25" i="30"/>
  <c r="BK24" i="30"/>
  <c r="BL23" i="30"/>
  <c r="BL22" i="30"/>
  <c r="BK22" i="30"/>
  <c r="BJ22" i="30"/>
  <c r="BL20" i="30"/>
  <c r="BK20" i="30"/>
  <c r="BJ20" i="30"/>
  <c r="BK19" i="30"/>
  <c r="BL18" i="30"/>
  <c r="BK18" i="30"/>
  <c r="BJ18" i="30"/>
  <c r="BK17" i="30"/>
  <c r="BJ17" i="30"/>
  <c r="BL16" i="30"/>
  <c r="BK16" i="30"/>
  <c r="BJ16" i="30"/>
  <c r="BL15" i="30"/>
  <c r="BK15" i="30"/>
  <c r="BJ15" i="30"/>
  <c r="BN3" i="30"/>
  <c r="BK5" i="30"/>
  <c r="BD75" i="30"/>
  <c r="BD76" i="30" s="1"/>
  <c r="BD33" i="30"/>
  <c r="BC15" i="30"/>
  <c r="BC17" i="30"/>
  <c r="BC19" i="30"/>
  <c r="BC23" i="30"/>
  <c r="BC25" i="30"/>
  <c r="BC27" i="30"/>
  <c r="BC31" i="30"/>
  <c r="BC33" i="30"/>
  <c r="BC35" i="30"/>
  <c r="AZ75" i="30"/>
  <c r="BA75" i="30"/>
  <c r="BB75" i="30"/>
  <c r="BB76" i="30" s="1"/>
  <c r="BC75" i="30"/>
  <c r="BC76" i="30" s="1"/>
  <c r="AZ76" i="30"/>
  <c r="BA76" i="30"/>
  <c r="AY75" i="30"/>
  <c r="AY76" i="30" s="1"/>
  <c r="AY17" i="30"/>
  <c r="AX75" i="30"/>
  <c r="AX76" i="30" s="1"/>
  <c r="AX35" i="30"/>
  <c r="AX27" i="30"/>
  <c r="AX19" i="30"/>
  <c r="AR75" i="30"/>
  <c r="AR76" i="30" s="1"/>
  <c r="AR35" i="30"/>
  <c r="AR29" i="30"/>
  <c r="AR27" i="30"/>
  <c r="AP15" i="30"/>
  <c r="AO18" i="30"/>
  <c r="AQ18" i="30"/>
  <c r="AP23" i="30"/>
  <c r="AO26" i="30"/>
  <c r="AQ26" i="30"/>
  <c r="AP31" i="30"/>
  <c r="AO34" i="30"/>
  <c r="AQ34" i="30"/>
  <c r="AO75" i="30"/>
  <c r="AO76" i="30" s="1"/>
  <c r="AP75" i="30"/>
  <c r="AP76" i="30" s="1"/>
  <c r="AQ75" i="30"/>
  <c r="AQ76" i="30" s="1"/>
  <c r="AN15" i="30"/>
  <c r="AN31" i="30"/>
  <c r="AN37" i="30"/>
  <c r="AN75" i="30"/>
  <c r="AN76" i="30" s="1"/>
  <c r="AM75" i="30"/>
  <c r="AM76" i="30" s="1"/>
  <c r="AM35" i="30"/>
  <c r="AM33" i="30"/>
  <c r="AM27" i="30"/>
  <c r="AM17" i="30"/>
  <c r="AL75" i="30"/>
  <c r="AL76" i="30" s="1"/>
  <c r="AL35" i="30"/>
  <c r="AL30" i="30"/>
  <c r="AL26" i="30"/>
  <c r="AL25" i="30"/>
  <c r="AL22" i="30"/>
  <c r="AL17" i="30"/>
  <c r="AF75" i="30"/>
  <c r="AF76" i="30" s="1"/>
  <c r="AF35" i="30"/>
  <c r="AF32" i="30"/>
  <c r="AF31" i="30"/>
  <c r="AF27" i="30"/>
  <c r="AF23" i="30"/>
  <c r="AF16" i="30"/>
  <c r="AF15" i="30"/>
  <c r="AE18" i="30"/>
  <c r="AE22" i="30"/>
  <c r="AE26" i="30"/>
  <c r="AE29" i="30"/>
  <c r="AE30" i="30"/>
  <c r="AE34" i="30"/>
  <c r="AE37" i="30"/>
  <c r="AE38" i="30"/>
  <c r="AE75" i="30"/>
  <c r="AE76" i="30" s="1"/>
  <c r="AD15" i="30"/>
  <c r="AD16" i="30"/>
  <c r="AD27" i="30"/>
  <c r="AD31" i="30"/>
  <c r="AD32" i="30"/>
  <c r="AD35" i="30"/>
  <c r="AD75" i="30"/>
  <c r="AD76" i="30" s="1"/>
  <c r="AC75" i="30"/>
  <c r="AC76" i="30" s="1"/>
  <c r="S75" i="30"/>
  <c r="S76" i="30" s="1"/>
  <c r="AC38" i="30"/>
  <c r="AC34" i="30"/>
  <c r="AC33" i="30"/>
  <c r="AC30" i="30"/>
  <c r="AC26" i="30"/>
  <c r="AC25" i="30"/>
  <c r="AC22" i="30"/>
  <c r="AC18" i="30"/>
  <c r="AC17" i="30"/>
  <c r="C92" i="30"/>
  <c r="K92" i="30"/>
  <c r="E76" i="30"/>
  <c r="F76" i="30" s="1"/>
  <c r="J75" i="30"/>
  <c r="J76" i="30" s="1"/>
  <c r="J67" i="30"/>
  <c r="AI67" i="30" s="1"/>
  <c r="J66" i="30"/>
  <c r="BO66" i="30" s="1"/>
  <c r="J65" i="30"/>
  <c r="AU65" i="30" s="1"/>
  <c r="J64" i="30"/>
  <c r="W64" i="30" s="1"/>
  <c r="J63" i="30"/>
  <c r="BG63" i="30" s="1"/>
  <c r="J62" i="30"/>
  <c r="AI62" i="30" s="1"/>
  <c r="J61" i="30"/>
  <c r="BO61" i="30" s="1"/>
  <c r="J60" i="30"/>
  <c r="BO60" i="30" s="1"/>
  <c r="J59" i="30"/>
  <c r="BO59" i="30" s="1"/>
  <c r="J54" i="30"/>
  <c r="AU54" i="30" s="1"/>
  <c r="J53" i="30"/>
  <c r="AI53" i="30" s="1"/>
  <c r="J52" i="30"/>
  <c r="AI52" i="30" s="1"/>
  <c r="J51" i="30"/>
  <c r="AI51" i="30" s="1"/>
  <c r="J50" i="30"/>
  <c r="W50" i="30" s="1"/>
  <c r="J49" i="30"/>
  <c r="AU49" i="30" s="1"/>
  <c r="J48" i="30"/>
  <c r="BG48" i="30" s="1"/>
  <c r="J47" i="30"/>
  <c r="AI47" i="30" s="1"/>
  <c r="J46" i="30"/>
  <c r="BO46" i="30" s="1"/>
  <c r="S37" i="30"/>
  <c r="S32" i="30"/>
  <c r="S29" i="30"/>
  <c r="S16" i="30"/>
  <c r="S36" i="30"/>
  <c r="BD35" i="30"/>
  <c r="BA31" i="30"/>
  <c r="S28" i="30"/>
  <c r="BD27" i="30"/>
  <c r="BJ24" i="30"/>
  <c r="BA23" i="30"/>
  <c r="BK21" i="30"/>
  <c r="S20" i="30"/>
  <c r="BD19" i="30"/>
  <c r="AL18" i="30"/>
  <c r="BL17" i="30"/>
  <c r="BA15" i="30"/>
  <c r="CA21" i="30"/>
  <c r="CC23" i="30"/>
  <c r="I75" i="30"/>
  <c r="H75" i="30"/>
  <c r="G75" i="30"/>
  <c r="F75" i="30"/>
  <c r="BN72" i="30"/>
  <c r="BF72" i="30"/>
  <c r="E68" i="30"/>
  <c r="K63" i="30" s="1"/>
  <c r="BO67" i="30"/>
  <c r="I67" i="30"/>
  <c r="H67" i="30"/>
  <c r="G67" i="30"/>
  <c r="F67" i="30"/>
  <c r="BO65" i="30"/>
  <c r="K65" i="30"/>
  <c r="I65" i="30"/>
  <c r="H65" i="30"/>
  <c r="G65" i="30"/>
  <c r="F65" i="30"/>
  <c r="K64" i="30"/>
  <c r="I64" i="30"/>
  <c r="H64" i="30"/>
  <c r="G64" i="30"/>
  <c r="F64" i="30"/>
  <c r="I63" i="30"/>
  <c r="H63" i="30"/>
  <c r="G63" i="30"/>
  <c r="F63" i="30"/>
  <c r="I62" i="30"/>
  <c r="H62" i="30"/>
  <c r="G62" i="30"/>
  <c r="F62" i="30"/>
  <c r="K61" i="30"/>
  <c r="AU60" i="30"/>
  <c r="K60" i="30"/>
  <c r="I60" i="30"/>
  <c r="H60" i="30"/>
  <c r="G60" i="30"/>
  <c r="F60" i="30"/>
  <c r="I59" i="30"/>
  <c r="H59" i="30"/>
  <c r="G59" i="30"/>
  <c r="F59" i="30"/>
  <c r="E55" i="30"/>
  <c r="K48" i="30" s="1"/>
  <c r="BG54" i="30"/>
  <c r="I54" i="30"/>
  <c r="H54" i="30"/>
  <c r="G54" i="30"/>
  <c r="F54" i="30"/>
  <c r="I53" i="30"/>
  <c r="H53" i="30"/>
  <c r="G53" i="30"/>
  <c r="F53" i="30"/>
  <c r="BG52" i="30"/>
  <c r="I52" i="30"/>
  <c r="H52" i="30"/>
  <c r="G52" i="30"/>
  <c r="F52" i="30"/>
  <c r="I51" i="30"/>
  <c r="H51" i="30"/>
  <c r="G51" i="30"/>
  <c r="F51" i="30"/>
  <c r="BO50" i="30"/>
  <c r="I50" i="30"/>
  <c r="H50" i="30"/>
  <c r="G50" i="30"/>
  <c r="F50" i="30"/>
  <c r="I49" i="30"/>
  <c r="H49" i="30"/>
  <c r="G49" i="30"/>
  <c r="F49" i="30"/>
  <c r="BO48" i="30"/>
  <c r="AI48" i="30"/>
  <c r="I48" i="30"/>
  <c r="H48" i="30"/>
  <c r="G48" i="30"/>
  <c r="F48" i="30"/>
  <c r="AI46" i="30"/>
  <c r="I44" i="30"/>
  <c r="H44" i="30"/>
  <c r="G44" i="30"/>
  <c r="F44" i="30"/>
  <c r="BR40" i="30"/>
  <c r="I40" i="30"/>
  <c r="H40" i="30"/>
  <c r="G40" i="30"/>
  <c r="F40" i="30"/>
  <c r="BZ3" i="30"/>
  <c r="BS38" i="30"/>
  <c r="BS37" i="30"/>
  <c r="BS36" i="30"/>
  <c r="BS35" i="30"/>
  <c r="BS34" i="30"/>
  <c r="BS33" i="30"/>
  <c r="BS32" i="30"/>
  <c r="BS31" i="30"/>
  <c r="BS30" i="30"/>
  <c r="BS29" i="30"/>
  <c r="BS28" i="30"/>
  <c r="BS27" i="30"/>
  <c r="BS26" i="30"/>
  <c r="BS25" i="30"/>
  <c r="BS24" i="30"/>
  <c r="BS23" i="30"/>
  <c r="BS22" i="30"/>
  <c r="BS21" i="30"/>
  <c r="BS20" i="30"/>
  <c r="BS19" i="30"/>
  <c r="BS18" i="30"/>
  <c r="BS17" i="30"/>
  <c r="BS16" i="30"/>
  <c r="BS15" i="30"/>
  <c r="K9" i="30"/>
  <c r="BL5" i="30"/>
  <c r="BJ5" i="30"/>
  <c r="BD5" i="30"/>
  <c r="BC5" i="30"/>
  <c r="BB5" i="30"/>
  <c r="BA5" i="30"/>
  <c r="AZ5" i="30"/>
  <c r="AY5" i="30"/>
  <c r="AX5" i="30"/>
  <c r="AR5" i="30"/>
  <c r="AQ5" i="30"/>
  <c r="AP5" i="30"/>
  <c r="AO5" i="30"/>
  <c r="AN5" i="30"/>
  <c r="AM5" i="30"/>
  <c r="AL5" i="30"/>
  <c r="AF5" i="30"/>
  <c r="AE5" i="30"/>
  <c r="AD5" i="30"/>
  <c r="AC5" i="30"/>
  <c r="AB5" i="30"/>
  <c r="AA5" i="30"/>
  <c r="Z5" i="30"/>
  <c r="T5" i="30"/>
  <c r="S5" i="30"/>
  <c r="R5" i="30"/>
  <c r="Q5" i="30"/>
  <c r="P5" i="30"/>
  <c r="O5" i="30"/>
  <c r="N5" i="30"/>
  <c r="BU4" i="30"/>
  <c r="BV4" i="30" s="1"/>
  <c r="BN4" i="30"/>
  <c r="BF4" i="30"/>
  <c r="BH5" i="30" s="1"/>
  <c r="AT4" i="30"/>
  <c r="AH4" i="30"/>
  <c r="AJ5" i="30" s="1"/>
  <c r="V4" i="30"/>
  <c r="BU3" i="30"/>
  <c r="BF3" i="30"/>
  <c r="AT3" i="30"/>
  <c r="AH3" i="30"/>
  <c r="V3" i="30"/>
  <c r="G76" i="30" l="1"/>
  <c r="V19" i="31"/>
  <c r="V21" i="31"/>
  <c r="AH19" i="31"/>
  <c r="BG49" i="30"/>
  <c r="K62" i="30"/>
  <c r="K66" i="30"/>
  <c r="H76" i="30"/>
  <c r="I84" i="31"/>
  <c r="E84" i="30"/>
  <c r="J84" i="30" s="1"/>
  <c r="K84" i="30" s="1"/>
  <c r="BN32" i="30"/>
  <c r="BS24" i="31"/>
  <c r="BT24" i="31" s="1"/>
  <c r="BF26" i="31"/>
  <c r="V29" i="31"/>
  <c r="BS35" i="31"/>
  <c r="BT35" i="31" s="1"/>
  <c r="BF27" i="31"/>
  <c r="AH15" i="31"/>
  <c r="AT28" i="31"/>
  <c r="V37" i="31"/>
  <c r="AT37" i="31"/>
  <c r="BN15" i="30"/>
  <c r="BO47" i="30"/>
  <c r="AI59" i="30"/>
  <c r="AT21" i="31"/>
  <c r="BS31" i="31"/>
  <c r="BT31" i="31" s="1"/>
  <c r="BF31" i="31"/>
  <c r="AT17" i="31"/>
  <c r="AT19" i="31"/>
  <c r="V22" i="31"/>
  <c r="AZ40" i="31"/>
  <c r="AZ8" i="31" s="1"/>
  <c r="AZ9" i="31" s="1"/>
  <c r="AZ44" i="31" s="1"/>
  <c r="AZ47" i="31" s="1"/>
  <c r="BC40" i="31"/>
  <c r="BC8" i="31" s="1"/>
  <c r="BC9" i="31" s="1"/>
  <c r="BC44" i="31" s="1"/>
  <c r="BC54" i="31" s="1"/>
  <c r="AH30" i="31"/>
  <c r="BS26" i="31"/>
  <c r="BT26" i="31" s="1"/>
  <c r="AT26" i="31"/>
  <c r="BF21" i="31"/>
  <c r="V33" i="31"/>
  <c r="AH35" i="31"/>
  <c r="V35" i="31"/>
  <c r="BF35" i="31"/>
  <c r="AH27" i="31"/>
  <c r="AT27" i="31"/>
  <c r="AH36" i="31"/>
  <c r="V28" i="31"/>
  <c r="BS37" i="31"/>
  <c r="BT37" i="31" s="1"/>
  <c r="AH25" i="31"/>
  <c r="BF25" i="31"/>
  <c r="BX3" i="30"/>
  <c r="BV3" i="30"/>
  <c r="BZ1" i="30"/>
  <c r="CC3" i="30" s="1"/>
  <c r="K3" i="30"/>
  <c r="K4" i="30" s="1"/>
  <c r="BO52" i="30"/>
  <c r="K59" i="30"/>
  <c r="K68" i="30" s="1"/>
  <c r="W60" i="30"/>
  <c r="BO62" i="30"/>
  <c r="K67" i="30"/>
  <c r="BN16" i="30"/>
  <c r="BN22" i="30"/>
  <c r="BN26" i="30"/>
  <c r="BN30" i="30"/>
  <c r="BN34" i="30"/>
  <c r="BN38" i="30"/>
  <c r="BM19" i="31"/>
  <c r="V31" i="31"/>
  <c r="AT31" i="31"/>
  <c r="V17" i="31"/>
  <c r="AT22" i="31"/>
  <c r="AY40" i="31"/>
  <c r="AY8" i="31" s="1"/>
  <c r="AY9" i="31" s="1"/>
  <c r="AY44" i="31" s="1"/>
  <c r="AY52" i="31" s="1"/>
  <c r="V15" i="31"/>
  <c r="V24" i="31"/>
  <c r="BN76" i="30"/>
  <c r="BS21" i="31"/>
  <c r="BT21" i="31" s="1"/>
  <c r="V26" i="31"/>
  <c r="K55" i="31"/>
  <c r="BA40" i="31"/>
  <c r="BA8" i="31" s="1"/>
  <c r="BA9" i="31" s="1"/>
  <c r="BA44" i="31" s="1"/>
  <c r="BA50" i="31" s="1"/>
  <c r="BJ40" i="31"/>
  <c r="BJ8" i="31" s="1"/>
  <c r="BJ9" i="31" s="1"/>
  <c r="BJ44" i="31" s="1"/>
  <c r="BJ49" i="31" s="1"/>
  <c r="W54" i="30"/>
  <c r="BG60" i="30"/>
  <c r="AU68" i="31"/>
  <c r="BS28" i="31"/>
  <c r="BT28" i="31" s="1"/>
  <c r="AT24" i="31"/>
  <c r="BB40" i="31"/>
  <c r="BB8" i="31" s="1"/>
  <c r="BB9" i="31" s="1"/>
  <c r="BB44" i="31" s="1"/>
  <c r="BB50" i="31" s="1"/>
  <c r="BD40" i="31"/>
  <c r="BD8" i="31" s="1"/>
  <c r="BD9" i="31" s="1"/>
  <c r="BD44" i="31" s="1"/>
  <c r="BD53" i="31" s="1"/>
  <c r="BL20" i="31"/>
  <c r="BF20" i="31"/>
  <c r="AH20" i="31"/>
  <c r="BC49" i="31"/>
  <c r="BC52" i="31"/>
  <c r="BC47" i="31"/>
  <c r="BC53" i="31"/>
  <c r="BC46" i="31"/>
  <c r="BC51" i="31"/>
  <c r="BC48" i="31"/>
  <c r="BB46" i="31"/>
  <c r="BD47" i="31"/>
  <c r="BD51" i="31"/>
  <c r="BD48" i="31"/>
  <c r="BD54" i="31"/>
  <c r="BD50" i="31"/>
  <c r="BD52" i="31"/>
  <c r="BD46" i="31"/>
  <c r="AZ51" i="31"/>
  <c r="AZ49" i="31"/>
  <c r="AZ50" i="31"/>
  <c r="AZ52" i="31"/>
  <c r="AZ53" i="31"/>
  <c r="AZ46" i="31"/>
  <c r="BA46" i="31"/>
  <c r="BA54" i="31"/>
  <c r="BA53" i="31"/>
  <c r="BA52" i="31"/>
  <c r="BA48" i="31"/>
  <c r="BA47" i="31"/>
  <c r="BA51" i="31"/>
  <c r="BL87" i="32"/>
  <c r="BN87" i="32" s="1"/>
  <c r="BL86" i="32"/>
  <c r="BN86" i="32" s="1"/>
  <c r="AH85" i="32"/>
  <c r="V86" i="32"/>
  <c r="N89" i="32"/>
  <c r="V87" i="32"/>
  <c r="BR85" i="32"/>
  <c r="AL87" i="32"/>
  <c r="AT87" i="32" s="1"/>
  <c r="AL86" i="32"/>
  <c r="AT86" i="32" s="1"/>
  <c r="AT80" i="32"/>
  <c r="AX87" i="32"/>
  <c r="BF87" i="32" s="1"/>
  <c r="AX86" i="32"/>
  <c r="BF86" i="32" s="1"/>
  <c r="BF80" i="32"/>
  <c r="BF85" i="32"/>
  <c r="BR80" i="32"/>
  <c r="BS80" i="32" s="1"/>
  <c r="Z87" i="32"/>
  <c r="AH87" i="32" s="1"/>
  <c r="Z86" i="32"/>
  <c r="AH86" i="32" s="1"/>
  <c r="AH80" i="32"/>
  <c r="AT85" i="32"/>
  <c r="BM35" i="31"/>
  <c r="BN35" i="31" s="1"/>
  <c r="BM38" i="31"/>
  <c r="BM30" i="31"/>
  <c r="BM22" i="31"/>
  <c r="BN22" i="31" s="1"/>
  <c r="BM37" i="31"/>
  <c r="BN37" i="31" s="1"/>
  <c r="BM25" i="31"/>
  <c r="BM15" i="31"/>
  <c r="BM33" i="31"/>
  <c r="BN33" i="31" s="1"/>
  <c r="BM24" i="31"/>
  <c r="BN24" i="31" s="1"/>
  <c r="BM16" i="31"/>
  <c r="BN16" i="31" s="1"/>
  <c r="BM17" i="31"/>
  <c r="BM36" i="31"/>
  <c r="BM28" i="31"/>
  <c r="BN28" i="31" s="1"/>
  <c r="BM20" i="31"/>
  <c r="BM29" i="31"/>
  <c r="BN29" i="31" s="1"/>
  <c r="BM34" i="31"/>
  <c r="BM18" i="31"/>
  <c r="BM27" i="31"/>
  <c r="BN27" i="31" s="1"/>
  <c r="BM23" i="31"/>
  <c r="AX40" i="31"/>
  <c r="W35" i="31"/>
  <c r="X35" i="31" s="1"/>
  <c r="Q40" i="31"/>
  <c r="Q8" i="31" s="1"/>
  <c r="Q9" i="31" s="1"/>
  <c r="Q44" i="31" s="1"/>
  <c r="Q52" i="31" s="1"/>
  <c r="AO40" i="31"/>
  <c r="AO8" i="31" s="1"/>
  <c r="AO9" i="31" s="1"/>
  <c r="AO44" i="31" s="1"/>
  <c r="AO54" i="31" s="1"/>
  <c r="N40" i="31"/>
  <c r="N8" i="31" s="1"/>
  <c r="N9" i="31" s="1"/>
  <c r="N44" i="31" s="1"/>
  <c r="AF40" i="31"/>
  <c r="AF8" i="31" s="1"/>
  <c r="AF9" i="31" s="1"/>
  <c r="AF44" i="31" s="1"/>
  <c r="S40" i="31"/>
  <c r="S8" i="31" s="1"/>
  <c r="S9" i="31" s="1"/>
  <c r="S44" i="31" s="1"/>
  <c r="P40" i="31"/>
  <c r="P8" i="31" s="1"/>
  <c r="P9" i="31" s="1"/>
  <c r="P44" i="31" s="1"/>
  <c r="P49" i="31" s="1"/>
  <c r="AM40" i="31"/>
  <c r="AM8" i="31" s="1"/>
  <c r="AM9" i="31" s="1"/>
  <c r="AM44" i="31" s="1"/>
  <c r="AM54" i="31" s="1"/>
  <c r="BG27" i="31"/>
  <c r="AQ40" i="31"/>
  <c r="AQ8" i="31" s="1"/>
  <c r="AQ9" i="31" s="1"/>
  <c r="AQ44" i="31" s="1"/>
  <c r="AQ54" i="31" s="1"/>
  <c r="R40" i="31"/>
  <c r="R8" i="31" s="1"/>
  <c r="R9" i="31" s="1"/>
  <c r="R44" i="31" s="1"/>
  <c r="T40" i="31"/>
  <c r="T8" i="31" s="1"/>
  <c r="T9" i="31" s="1"/>
  <c r="T44" i="31" s="1"/>
  <c r="T50" i="31" s="1"/>
  <c r="AN40" i="31"/>
  <c r="AN8" i="31" s="1"/>
  <c r="AN9" i="31" s="1"/>
  <c r="AN44" i="31" s="1"/>
  <c r="AN50" i="31" s="1"/>
  <c r="AR40" i="31"/>
  <c r="P46" i="31"/>
  <c r="Z40" i="31"/>
  <c r="Z8" i="31" s="1"/>
  <c r="Z9" i="31" s="1"/>
  <c r="Z44" i="31" s="1"/>
  <c r="Z49" i="31" s="1"/>
  <c r="AU19" i="31"/>
  <c r="AV19" i="31" s="1"/>
  <c r="BX11" i="31"/>
  <c r="AC40" i="31"/>
  <c r="AC8" i="31" s="1"/>
  <c r="AD40" i="31"/>
  <c r="AD8" i="31" s="1"/>
  <c r="AD9" i="31" s="1"/>
  <c r="AD44" i="31" s="1"/>
  <c r="AD54" i="31" s="1"/>
  <c r="AA40" i="31"/>
  <c r="AA8" i="31" s="1"/>
  <c r="AA9" i="31" s="1"/>
  <c r="AA44" i="31" s="1"/>
  <c r="AA49" i="31" s="1"/>
  <c r="AB40" i="31"/>
  <c r="AB8" i="31" s="1"/>
  <c r="AB9" i="31" s="1"/>
  <c r="AB44" i="31" s="1"/>
  <c r="O40" i="31"/>
  <c r="O8" i="31" s="1"/>
  <c r="O9" i="31" s="1"/>
  <c r="O44" i="31" s="1"/>
  <c r="O53" i="31" s="1"/>
  <c r="AL40" i="31"/>
  <c r="AL8" i="31" s="1"/>
  <c r="AE40" i="31"/>
  <c r="AE8" i="31" s="1"/>
  <c r="AE9" i="31" s="1"/>
  <c r="AE44" i="31" s="1"/>
  <c r="AP40" i="31"/>
  <c r="AP8" i="31" s="1"/>
  <c r="AP9" i="31" s="1"/>
  <c r="AP44" i="31" s="1"/>
  <c r="AP49" i="31" s="1"/>
  <c r="J14" i="31"/>
  <c r="K14" i="31" s="1"/>
  <c r="AU3" i="31"/>
  <c r="AI3" i="31"/>
  <c r="W3" i="31"/>
  <c r="AI34" i="31"/>
  <c r="BM21" i="31"/>
  <c r="BN21" i="31" s="1"/>
  <c r="AA52" i="31"/>
  <c r="BG15" i="31"/>
  <c r="BG21" i="31"/>
  <c r="BH21" i="31" s="1"/>
  <c r="CA3" i="31"/>
  <c r="BZ1" i="31"/>
  <c r="CA3" i="30"/>
  <c r="CB3" i="30" s="1"/>
  <c r="BN36" i="30"/>
  <c r="BN18" i="30"/>
  <c r="BN20" i="30"/>
  <c r="BN28" i="30"/>
  <c r="BN17" i="30"/>
  <c r="BN25" i="30"/>
  <c r="BN27" i="30"/>
  <c r="BN29" i="30"/>
  <c r="BN31" i="30"/>
  <c r="BN33" i="30"/>
  <c r="BN35" i="30"/>
  <c r="BN37" i="30"/>
  <c r="CA31" i="31"/>
  <c r="BG16" i="31"/>
  <c r="BG33" i="31"/>
  <c r="BG22" i="31"/>
  <c r="BG34" i="31"/>
  <c r="BG32" i="31"/>
  <c r="AU25" i="31"/>
  <c r="AU33" i="31"/>
  <c r="AU30" i="31"/>
  <c r="AU22" i="31"/>
  <c r="AV22" i="31" s="1"/>
  <c r="AU20" i="31"/>
  <c r="AU38" i="31"/>
  <c r="AU34" i="31"/>
  <c r="AU28" i="31"/>
  <c r="AV28" i="31" s="1"/>
  <c r="AU16" i="31"/>
  <c r="AU23" i="31"/>
  <c r="AU29" i="31"/>
  <c r="AV29" i="31" s="1"/>
  <c r="AU35" i="31"/>
  <c r="AU21" i="31"/>
  <c r="AU17" i="31"/>
  <c r="AV17" i="31" s="1"/>
  <c r="AU36" i="31"/>
  <c r="AU37" i="31"/>
  <c r="AU26" i="31"/>
  <c r="AV26" i="31" s="1"/>
  <c r="AU15" i="31"/>
  <c r="AU18" i="31"/>
  <c r="AU27" i="31"/>
  <c r="AV27" i="31" s="1"/>
  <c r="AU32" i="31"/>
  <c r="AU31" i="31"/>
  <c r="AI25" i="31"/>
  <c r="AI36" i="31"/>
  <c r="AJ36" i="31" s="1"/>
  <c r="AI24" i="31"/>
  <c r="AI29" i="31"/>
  <c r="AI35" i="31"/>
  <c r="AD23" i="30"/>
  <c r="AN23" i="30"/>
  <c r="BJ23" i="30"/>
  <c r="BK23" i="30"/>
  <c r="BK40" i="30" s="1"/>
  <c r="BK8" i="30" s="1"/>
  <c r="BK9" i="30" s="1"/>
  <c r="BK44" i="30" s="1"/>
  <c r="S24" i="30"/>
  <c r="AD24" i="30"/>
  <c r="AF24" i="30"/>
  <c r="BL24" i="30"/>
  <c r="BN24" i="30" s="1"/>
  <c r="AE21" i="30"/>
  <c r="AN21" i="30"/>
  <c r="BL21" i="30"/>
  <c r="BJ21" i="30"/>
  <c r="S21" i="30"/>
  <c r="BV6" i="30"/>
  <c r="BL19" i="30"/>
  <c r="E44" i="30"/>
  <c r="AF19" i="30"/>
  <c r="K93" i="30"/>
  <c r="K94" i="30" s="1"/>
  <c r="AD19" i="30"/>
  <c r="AM19" i="30"/>
  <c r="AR19" i="30"/>
  <c r="BJ19" i="30"/>
  <c r="BZ11" i="30"/>
  <c r="W37" i="31"/>
  <c r="X37" i="31" s="1"/>
  <c r="AU24" i="31"/>
  <c r="BG29" i="31"/>
  <c r="BG24" i="31"/>
  <c r="BG18" i="31"/>
  <c r="BG35" i="31"/>
  <c r="BH35" i="31" s="1"/>
  <c r="BG36" i="31"/>
  <c r="K40" i="31"/>
  <c r="BM32" i="31"/>
  <c r="BN32" i="31" s="1"/>
  <c r="BG31" i="31"/>
  <c r="BH31" i="31" s="1"/>
  <c r="BG26" i="31"/>
  <c r="BH26" i="31" s="1"/>
  <c r="BG23" i="31"/>
  <c r="BG37" i="31"/>
  <c r="BG38" i="31"/>
  <c r="AI18" i="31"/>
  <c r="K68" i="31"/>
  <c r="BG25" i="31"/>
  <c r="BH25" i="31" s="1"/>
  <c r="W21" i="31"/>
  <c r="X21" i="31" s="1"/>
  <c r="BG17" i="31"/>
  <c r="BG19" i="31"/>
  <c r="BG28" i="31"/>
  <c r="BG30" i="31"/>
  <c r="BG20" i="31"/>
  <c r="W68" i="31"/>
  <c r="BG68" i="31"/>
  <c r="BG4" i="31"/>
  <c r="W25" i="31"/>
  <c r="W18" i="31"/>
  <c r="W27" i="31"/>
  <c r="W24" i="31"/>
  <c r="X24" i="31" s="1"/>
  <c r="W16" i="31"/>
  <c r="W29" i="31"/>
  <c r="X29" i="31" s="1"/>
  <c r="W30" i="31"/>
  <c r="W34" i="31"/>
  <c r="W31" i="31"/>
  <c r="W17" i="31"/>
  <c r="W38" i="31"/>
  <c r="W26" i="31"/>
  <c r="W33" i="31"/>
  <c r="W15" i="31"/>
  <c r="W32" i="31"/>
  <c r="W36" i="31"/>
  <c r="W23" i="31"/>
  <c r="W20" i="31"/>
  <c r="W22" i="31"/>
  <c r="W19" i="31"/>
  <c r="X19" i="31" s="1"/>
  <c r="W28" i="31"/>
  <c r="X28" i="31" s="1"/>
  <c r="AI31" i="31"/>
  <c r="AI26" i="31"/>
  <c r="AI23" i="31"/>
  <c r="AI37" i="31"/>
  <c r="AI38" i="31"/>
  <c r="AI17" i="31"/>
  <c r="AI19" i="31"/>
  <c r="AJ19" i="31" s="1"/>
  <c r="AI28" i="31"/>
  <c r="AI30" i="31"/>
  <c r="AI32" i="31"/>
  <c r="AI27" i="31"/>
  <c r="AI22" i="31"/>
  <c r="AI21" i="31"/>
  <c r="AI16" i="31"/>
  <c r="AI33" i="31"/>
  <c r="BM26" i="31"/>
  <c r="BN26" i="31" s="1"/>
  <c r="BA80" i="31"/>
  <c r="I72" i="31"/>
  <c r="I70" i="31"/>
  <c r="E80" i="31"/>
  <c r="J80" i="31" s="1"/>
  <c r="BX3" i="31"/>
  <c r="BT3" i="31" s="1"/>
  <c r="BF36" i="31"/>
  <c r="AH31" i="31"/>
  <c r="V34" i="31"/>
  <c r="BS34" i="31"/>
  <c r="BT34" i="31" s="1"/>
  <c r="BS30" i="31"/>
  <c r="BT30" i="31" s="1"/>
  <c r="V30" i="31"/>
  <c r="BL18" i="31"/>
  <c r="BP76" i="31"/>
  <c r="BQ76" i="31" s="1"/>
  <c r="E83" i="31"/>
  <c r="J83" i="31" s="1"/>
  <c r="AT35" i="31"/>
  <c r="J72" i="31"/>
  <c r="AH37" i="31"/>
  <c r="AH33" i="31"/>
  <c r="W55" i="31"/>
  <c r="BS27" i="31"/>
  <c r="BT27" i="31" s="1"/>
  <c r="V27" i="31"/>
  <c r="BS25" i="31"/>
  <c r="BT25" i="31" s="1"/>
  <c r="V25" i="31"/>
  <c r="BS20" i="31"/>
  <c r="BT20" i="31" s="1"/>
  <c r="V20" i="31"/>
  <c r="AT32" i="31"/>
  <c r="AT25" i="31"/>
  <c r="BF24" i="31"/>
  <c r="AI55" i="31"/>
  <c r="AH22" i="31"/>
  <c r="AH17" i="31"/>
  <c r="BN25" i="31"/>
  <c r="AH24" i="31"/>
  <c r="AH34" i="31"/>
  <c r="BF34" i="31"/>
  <c r="AH21" i="31"/>
  <c r="BF16" i="31"/>
  <c r="AT23" i="31"/>
  <c r="BL23" i="31"/>
  <c r="BS19" i="31"/>
  <c r="BT19" i="31" s="1"/>
  <c r="V18" i="31"/>
  <c r="BS18" i="31"/>
  <c r="BT18" i="31" s="1"/>
  <c r="BL15" i="31"/>
  <c r="AT38" i="31"/>
  <c r="BL38" i="31"/>
  <c r="G70" i="31"/>
  <c r="G72" i="31"/>
  <c r="BF30" i="31"/>
  <c r="AT18" i="31"/>
  <c r="J44" i="31"/>
  <c r="BM3" i="31"/>
  <c r="AT33" i="31"/>
  <c r="BF37" i="31"/>
  <c r="BF33" i="31"/>
  <c r="AU55" i="31"/>
  <c r="AT36" i="31"/>
  <c r="BL36" i="31"/>
  <c r="V32" i="31"/>
  <c r="BS32" i="31"/>
  <c r="BT32" i="31" s="1"/>
  <c r="AH29" i="31"/>
  <c r="BF22" i="31"/>
  <c r="BF17" i="31"/>
  <c r="BS15" i="31"/>
  <c r="AH26" i="31"/>
  <c r="BS17" i="31"/>
  <c r="BT17" i="31" s="1"/>
  <c r="AT16" i="31"/>
  <c r="AT15" i="31"/>
  <c r="AT30" i="31"/>
  <c r="BL17" i="31"/>
  <c r="V23" i="31"/>
  <c r="BS23" i="31"/>
  <c r="BT23" i="31" s="1"/>
  <c r="AH18" i="31"/>
  <c r="BF18" i="31"/>
  <c r="AH16" i="31"/>
  <c r="AI15" i="31"/>
  <c r="AI20" i="31"/>
  <c r="V38" i="31"/>
  <c r="BS38" i="31"/>
  <c r="BT38" i="31" s="1"/>
  <c r="BF15" i="31"/>
  <c r="V16" i="31"/>
  <c r="BS16" i="31"/>
  <c r="BT16" i="31" s="1"/>
  <c r="BN19" i="31"/>
  <c r="H72" i="31"/>
  <c r="H70" i="31"/>
  <c r="AI68" i="31"/>
  <c r="BM55" i="31"/>
  <c r="BM68" i="31" s="1"/>
  <c r="F72" i="31"/>
  <c r="F70" i="31"/>
  <c r="V36" i="31"/>
  <c r="BS36" i="31"/>
  <c r="BT36" i="31" s="1"/>
  <c r="AH32" i="31"/>
  <c r="BF32" i="31"/>
  <c r="BF28" i="31"/>
  <c r="AT20" i="31"/>
  <c r="BF19" i="31"/>
  <c r="BS33" i="31"/>
  <c r="BT33" i="31" s="1"/>
  <c r="BF29" i="31"/>
  <c r="AH28" i="31"/>
  <c r="BN31" i="31"/>
  <c r="AT34" i="31"/>
  <c r="BL34" i="31"/>
  <c r="BL30" i="31"/>
  <c r="BS29" i="31"/>
  <c r="BT29" i="31" s="1"/>
  <c r="AH23" i="31"/>
  <c r="BF23" i="31"/>
  <c r="AH38" i="31"/>
  <c r="BF38" i="31"/>
  <c r="CC28" i="30"/>
  <c r="CC31" i="30"/>
  <c r="BN75" i="30"/>
  <c r="V5" i="30"/>
  <c r="BN5" i="30"/>
  <c r="BP5" i="30"/>
  <c r="AZ17" i="30"/>
  <c r="AO17" i="30"/>
  <c r="BB17" i="30"/>
  <c r="AQ17" i="30"/>
  <c r="AX17" i="30"/>
  <c r="AR17" i="30"/>
  <c r="AN17" i="30"/>
  <c r="AD17" i="30"/>
  <c r="BA17" i="30"/>
  <c r="AP17" i="30"/>
  <c r="AF17" i="30"/>
  <c r="AZ21" i="30"/>
  <c r="AO21" i="30"/>
  <c r="BB21" i="30"/>
  <c r="AQ21" i="30"/>
  <c r="AP21" i="30"/>
  <c r="BD21" i="30"/>
  <c r="AY21" i="30"/>
  <c r="AD21" i="30"/>
  <c r="BA21" i="30"/>
  <c r="AX21" i="30"/>
  <c r="AM21" i="30"/>
  <c r="AF21" i="30"/>
  <c r="AZ25" i="30"/>
  <c r="AO25" i="30"/>
  <c r="BB25" i="30"/>
  <c r="AQ25" i="30"/>
  <c r="AX25" i="30"/>
  <c r="AR25" i="30"/>
  <c r="AN25" i="30"/>
  <c r="AD25" i="30"/>
  <c r="BA25" i="30"/>
  <c r="AP25" i="30"/>
  <c r="AF25" i="30"/>
  <c r="AZ29" i="30"/>
  <c r="AO29" i="30"/>
  <c r="BB29" i="30"/>
  <c r="AQ29" i="30"/>
  <c r="AP29" i="30"/>
  <c r="BD29" i="30"/>
  <c r="AY29" i="30"/>
  <c r="AD29" i="30"/>
  <c r="BA29" i="30"/>
  <c r="AX29" i="30"/>
  <c r="AM29" i="30"/>
  <c r="AF29" i="30"/>
  <c r="AZ33" i="30"/>
  <c r="AO33" i="30"/>
  <c r="BB33" i="30"/>
  <c r="AQ33" i="30"/>
  <c r="AX33" i="30"/>
  <c r="AR33" i="30"/>
  <c r="AN33" i="30"/>
  <c r="AL33" i="30"/>
  <c r="AD33" i="30"/>
  <c r="BA33" i="30"/>
  <c r="AP33" i="30"/>
  <c r="AF33" i="30"/>
  <c r="AZ37" i="30"/>
  <c r="AO37" i="30"/>
  <c r="BB37" i="30"/>
  <c r="AQ37" i="30"/>
  <c r="AP37" i="30"/>
  <c r="BD37" i="30"/>
  <c r="AY37" i="30"/>
  <c r="AD37" i="30"/>
  <c r="BA37" i="30"/>
  <c r="AX37" i="30"/>
  <c r="AM37" i="30"/>
  <c r="AF37" i="30"/>
  <c r="BO64" i="30"/>
  <c r="BG64" i="30"/>
  <c r="AU64" i="30"/>
  <c r="C93" i="30"/>
  <c r="AC21" i="30"/>
  <c r="AC29" i="30"/>
  <c r="AC37" i="30"/>
  <c r="AL21" i="30"/>
  <c r="AL29" i="30"/>
  <c r="AR21" i="30"/>
  <c r="AR37" i="30"/>
  <c r="AY33" i="30"/>
  <c r="BD25" i="30"/>
  <c r="BD16" i="30"/>
  <c r="AZ16" i="30"/>
  <c r="AY16" i="30"/>
  <c r="AR16" i="30"/>
  <c r="AN16" i="30"/>
  <c r="AM16" i="30"/>
  <c r="BB16" i="30"/>
  <c r="AX16" i="30"/>
  <c r="AP16" i="30"/>
  <c r="BA16" i="30"/>
  <c r="AO16" i="30"/>
  <c r="BC16" i="30"/>
  <c r="AQ16" i="30"/>
  <c r="AL16" i="30"/>
  <c r="AC16" i="30"/>
  <c r="AE16" i="30"/>
  <c r="BD20" i="30"/>
  <c r="AZ20" i="30"/>
  <c r="AY20" i="30"/>
  <c r="AR20" i="30"/>
  <c r="AN20" i="30"/>
  <c r="AM20" i="30"/>
  <c r="BB20" i="30"/>
  <c r="AX20" i="30"/>
  <c r="AP20" i="30"/>
  <c r="BA20" i="30"/>
  <c r="BC20" i="30"/>
  <c r="AL20" i="30"/>
  <c r="AC20" i="30"/>
  <c r="AO20" i="30"/>
  <c r="AE20" i="30"/>
  <c r="BD24" i="30"/>
  <c r="AZ24" i="30"/>
  <c r="AY24" i="30"/>
  <c r="AR24" i="30"/>
  <c r="AN24" i="30"/>
  <c r="AM24" i="30"/>
  <c r="BB24" i="30"/>
  <c r="AX24" i="30"/>
  <c r="AP24" i="30"/>
  <c r="BA24" i="30"/>
  <c r="AO24" i="30"/>
  <c r="BC24" i="30"/>
  <c r="AQ24" i="30"/>
  <c r="AL24" i="30"/>
  <c r="AC24" i="30"/>
  <c r="AE24" i="30"/>
  <c r="BD28" i="30"/>
  <c r="AZ28" i="30"/>
  <c r="AY28" i="30"/>
  <c r="AR28" i="30"/>
  <c r="AN28" i="30"/>
  <c r="AM28" i="30"/>
  <c r="BB28" i="30"/>
  <c r="AX28" i="30"/>
  <c r="AP28" i="30"/>
  <c r="BA28" i="30"/>
  <c r="BC28" i="30"/>
  <c r="AL28" i="30"/>
  <c r="AC28" i="30"/>
  <c r="AO28" i="30"/>
  <c r="AE28" i="30"/>
  <c r="BD32" i="30"/>
  <c r="AZ32" i="30"/>
  <c r="AY32" i="30"/>
  <c r="AR32" i="30"/>
  <c r="AN32" i="30"/>
  <c r="AM32" i="30"/>
  <c r="BB32" i="30"/>
  <c r="AX32" i="30"/>
  <c r="AP32" i="30"/>
  <c r="AL32" i="30"/>
  <c r="BA32" i="30"/>
  <c r="AO32" i="30"/>
  <c r="BC32" i="30"/>
  <c r="AQ32" i="30"/>
  <c r="AC32" i="30"/>
  <c r="AE32" i="30"/>
  <c r="BD36" i="30"/>
  <c r="AZ36" i="30"/>
  <c r="AY36" i="30"/>
  <c r="AR36" i="30"/>
  <c r="AN36" i="30"/>
  <c r="AM36" i="30"/>
  <c r="BB36" i="30"/>
  <c r="AX36" i="30"/>
  <c r="AP36" i="30"/>
  <c r="AL36" i="30"/>
  <c r="BA36" i="30"/>
  <c r="BC36" i="30"/>
  <c r="AC36" i="30"/>
  <c r="AO36" i="30"/>
  <c r="AE36" i="30"/>
  <c r="S17" i="30"/>
  <c r="S25" i="30"/>
  <c r="S33" i="30"/>
  <c r="V33" i="30" s="1"/>
  <c r="AD36" i="30"/>
  <c r="AD28" i="30"/>
  <c r="AD20" i="30"/>
  <c r="AE33" i="30"/>
  <c r="AE25" i="30"/>
  <c r="AE17" i="30"/>
  <c r="AF20" i="30"/>
  <c r="AF28" i="30"/>
  <c r="AF36" i="30"/>
  <c r="AL37" i="30"/>
  <c r="AM25" i="30"/>
  <c r="AN29" i="30"/>
  <c r="AQ36" i="30"/>
  <c r="AQ28" i="30"/>
  <c r="AQ20" i="30"/>
  <c r="AY25" i="30"/>
  <c r="BC37" i="30"/>
  <c r="BC29" i="30"/>
  <c r="BC21" i="30"/>
  <c r="BD17" i="30"/>
  <c r="AZ18" i="30"/>
  <c r="AX18" i="30"/>
  <c r="AP18" i="30"/>
  <c r="BD18" i="30"/>
  <c r="BB18" i="30"/>
  <c r="AY18" i="30"/>
  <c r="AR18" i="30"/>
  <c r="AN18" i="30"/>
  <c r="AM18" i="30"/>
  <c r="AZ22" i="30"/>
  <c r="AX22" i="30"/>
  <c r="AP22" i="30"/>
  <c r="BD22" i="30"/>
  <c r="BB22" i="30"/>
  <c r="AY22" i="30"/>
  <c r="AR22" i="30"/>
  <c r="AN22" i="30"/>
  <c r="AM22" i="30"/>
  <c r="AZ26" i="30"/>
  <c r="AX26" i="30"/>
  <c r="AP26" i="30"/>
  <c r="BD26" i="30"/>
  <c r="BB26" i="30"/>
  <c r="AY26" i="30"/>
  <c r="AR26" i="30"/>
  <c r="AN26" i="30"/>
  <c r="AM26" i="30"/>
  <c r="AZ30" i="30"/>
  <c r="AX30" i="30"/>
  <c r="AP30" i="30"/>
  <c r="BD30" i="30"/>
  <c r="BB30" i="30"/>
  <c r="AY30" i="30"/>
  <c r="AR30" i="30"/>
  <c r="AN30" i="30"/>
  <c r="AM30" i="30"/>
  <c r="AZ34" i="30"/>
  <c r="AX34" i="30"/>
  <c r="AP34" i="30"/>
  <c r="AL34" i="30"/>
  <c r="BD34" i="30"/>
  <c r="BB34" i="30"/>
  <c r="AY34" i="30"/>
  <c r="AR34" i="30"/>
  <c r="AN34" i="30"/>
  <c r="AM34" i="30"/>
  <c r="AZ38" i="30"/>
  <c r="AX38" i="30"/>
  <c r="AP38" i="30"/>
  <c r="AL38" i="30"/>
  <c r="BD38" i="30"/>
  <c r="BB38" i="30"/>
  <c r="AY38" i="30"/>
  <c r="AR38" i="30"/>
  <c r="AN38" i="30"/>
  <c r="AM38" i="30"/>
  <c r="S18" i="30"/>
  <c r="S22" i="30"/>
  <c r="V22" i="30" s="1"/>
  <c r="S26" i="30"/>
  <c r="V26" i="30" s="1"/>
  <c r="S30" i="30"/>
  <c r="S34" i="30"/>
  <c r="S38" i="30"/>
  <c r="AC15" i="30"/>
  <c r="AC19" i="30"/>
  <c r="AC23" i="30"/>
  <c r="AC27" i="30"/>
  <c r="AC31" i="30"/>
  <c r="AC35" i="30"/>
  <c r="AD38" i="30"/>
  <c r="AD34" i="30"/>
  <c r="AD30" i="30"/>
  <c r="AD26" i="30"/>
  <c r="AD22" i="30"/>
  <c r="AD18" i="30"/>
  <c r="AL15" i="30"/>
  <c r="AL19" i="30"/>
  <c r="AL23" i="30"/>
  <c r="AL27" i="30"/>
  <c r="AL31" i="30"/>
  <c r="AN35" i="30"/>
  <c r="AN27" i="30"/>
  <c r="AN19" i="30"/>
  <c r="AQ38" i="30"/>
  <c r="AQ30" i="30"/>
  <c r="AQ22" i="30"/>
  <c r="AR15" i="30"/>
  <c r="AR23" i="30"/>
  <c r="AR31" i="30"/>
  <c r="AY19" i="30"/>
  <c r="AY27" i="30"/>
  <c r="AY35" i="30"/>
  <c r="BA35" i="30"/>
  <c r="BA27" i="30"/>
  <c r="BA19" i="30"/>
  <c r="AZ15" i="30"/>
  <c r="AQ15" i="30"/>
  <c r="BB15" i="30"/>
  <c r="AO15" i="30"/>
  <c r="AZ19" i="30"/>
  <c r="AQ19" i="30"/>
  <c r="BB19" i="30"/>
  <c r="AO19" i="30"/>
  <c r="AZ23" i="30"/>
  <c r="AQ23" i="30"/>
  <c r="BB23" i="30"/>
  <c r="AO23" i="30"/>
  <c r="AZ27" i="30"/>
  <c r="AQ27" i="30"/>
  <c r="BB27" i="30"/>
  <c r="AO27" i="30"/>
  <c r="AZ31" i="30"/>
  <c r="AQ31" i="30"/>
  <c r="BB31" i="30"/>
  <c r="AO31" i="30"/>
  <c r="AZ35" i="30"/>
  <c r="AQ35" i="30"/>
  <c r="BB35" i="30"/>
  <c r="AO35" i="30"/>
  <c r="S15" i="30"/>
  <c r="S19" i="30"/>
  <c r="S23" i="30"/>
  <c r="S27" i="30"/>
  <c r="S31" i="30"/>
  <c r="S35" i="30"/>
  <c r="AE35" i="30"/>
  <c r="AE31" i="30"/>
  <c r="AE27" i="30"/>
  <c r="AE23" i="30"/>
  <c r="AE19" i="30"/>
  <c r="AE15" i="30"/>
  <c r="AF18" i="30"/>
  <c r="AF22" i="30"/>
  <c r="AF26" i="30"/>
  <c r="AF30" i="30"/>
  <c r="AF34" i="30"/>
  <c r="AF38" i="30"/>
  <c r="AM15" i="30"/>
  <c r="AM23" i="30"/>
  <c r="AM31" i="30"/>
  <c r="AO38" i="30"/>
  <c r="AP35" i="30"/>
  <c r="AO30" i="30"/>
  <c r="AP27" i="30"/>
  <c r="AO22" i="30"/>
  <c r="AP19" i="30"/>
  <c r="AX15" i="30"/>
  <c r="AX23" i="30"/>
  <c r="AX31" i="30"/>
  <c r="BC38" i="30"/>
  <c r="BC34" i="30"/>
  <c r="BC30" i="30"/>
  <c r="BC26" i="30"/>
  <c r="BC22" i="30"/>
  <c r="BC18" i="30"/>
  <c r="AY15" i="30"/>
  <c r="AY23" i="30"/>
  <c r="AY31" i="30"/>
  <c r="BA38" i="30"/>
  <c r="BA34" i="30"/>
  <c r="BA30" i="30"/>
  <c r="BA26" i="30"/>
  <c r="BA22" i="30"/>
  <c r="BA18" i="30"/>
  <c r="BD15" i="30"/>
  <c r="BD23" i="30"/>
  <c r="BD31" i="30"/>
  <c r="BG50" i="30"/>
  <c r="K50" i="30"/>
  <c r="K52" i="30"/>
  <c r="AU50" i="30"/>
  <c r="E72" i="30"/>
  <c r="E70" i="30"/>
  <c r="H68" i="30"/>
  <c r="H70" i="30" s="1"/>
  <c r="BG59" i="30"/>
  <c r="BO49" i="30"/>
  <c r="W49" i="30"/>
  <c r="AU47" i="30"/>
  <c r="K51" i="30"/>
  <c r="E83" i="30"/>
  <c r="J83" i="30" s="1"/>
  <c r="K83" i="30" s="1"/>
  <c r="K46" i="30"/>
  <c r="K47" i="30"/>
  <c r="W47" i="30"/>
  <c r="K31" i="30"/>
  <c r="K21" i="30"/>
  <c r="K22" i="30"/>
  <c r="K26" i="30"/>
  <c r="W26" i="30" s="1"/>
  <c r="K29" i="30"/>
  <c r="W29" i="30" s="1"/>
  <c r="K33" i="30"/>
  <c r="BO33" i="30" s="1"/>
  <c r="K15" i="30"/>
  <c r="K16" i="30"/>
  <c r="CC30" i="30"/>
  <c r="CC29" i="30"/>
  <c r="X5" i="30"/>
  <c r="J4" i="30"/>
  <c r="AH5" i="30"/>
  <c r="J3" i="30"/>
  <c r="BU5" i="30"/>
  <c r="E80" i="30"/>
  <c r="J80" i="30" s="1"/>
  <c r="K80" i="30" s="1"/>
  <c r="BF5" i="30"/>
  <c r="BO51" i="30"/>
  <c r="BG51" i="30"/>
  <c r="W51" i="30"/>
  <c r="AU51" i="30"/>
  <c r="AV5" i="30"/>
  <c r="AT5" i="30"/>
  <c r="AA40" i="30"/>
  <c r="AA8" i="30" s="1"/>
  <c r="AA9" i="30" s="1"/>
  <c r="AA44" i="30" s="1"/>
  <c r="K27" i="30"/>
  <c r="K19" i="30"/>
  <c r="K34" i="30"/>
  <c r="K17" i="30"/>
  <c r="K30" i="30"/>
  <c r="K24" i="30"/>
  <c r="K36" i="30"/>
  <c r="K20" i="30"/>
  <c r="K38" i="30"/>
  <c r="K28" i="30"/>
  <c r="K23" i="30"/>
  <c r="K35" i="30"/>
  <c r="K32" i="30"/>
  <c r="K37" i="30"/>
  <c r="K25" i="30"/>
  <c r="K18" i="30"/>
  <c r="W18" i="30" s="1"/>
  <c r="P40" i="30"/>
  <c r="P8" i="30" s="1"/>
  <c r="P9" i="30" s="1"/>
  <c r="P44" i="30" s="1"/>
  <c r="I68" i="30"/>
  <c r="BX5" i="30"/>
  <c r="Q40" i="30"/>
  <c r="Q8" i="30" s="1"/>
  <c r="Q9" i="30" s="1"/>
  <c r="Q44" i="30" s="1"/>
  <c r="V20" i="30"/>
  <c r="BS40" i="30"/>
  <c r="J55" i="30"/>
  <c r="AU46" i="30"/>
  <c r="W46" i="30"/>
  <c r="BG46" i="30"/>
  <c r="BG66" i="30"/>
  <c r="AU66" i="30"/>
  <c r="AI66" i="30"/>
  <c r="W66" i="30"/>
  <c r="F68" i="30"/>
  <c r="AU48" i="30"/>
  <c r="W48" i="30"/>
  <c r="AI49" i="30"/>
  <c r="AU52" i="30"/>
  <c r="W52" i="30"/>
  <c r="AU53" i="30"/>
  <c r="W53" i="30"/>
  <c r="BO53" i="30"/>
  <c r="BG53" i="30"/>
  <c r="K54" i="30"/>
  <c r="K53" i="30"/>
  <c r="K49" i="30"/>
  <c r="BG61" i="30"/>
  <c r="AU61" i="30"/>
  <c r="AI61" i="30"/>
  <c r="BF76" i="30"/>
  <c r="BG47" i="30"/>
  <c r="G68" i="30"/>
  <c r="W61" i="30"/>
  <c r="AU63" i="30"/>
  <c r="W63" i="30"/>
  <c r="BO63" i="30"/>
  <c r="AI63" i="30"/>
  <c r="AI50" i="30"/>
  <c r="AI54" i="30"/>
  <c r="BO54" i="30"/>
  <c r="J68" i="30"/>
  <c r="AU59" i="30"/>
  <c r="W59" i="30"/>
  <c r="AU62" i="30"/>
  <c r="W62" i="30"/>
  <c r="BG62" i="30"/>
  <c r="V75" i="30"/>
  <c r="AI60" i="30"/>
  <c r="AI64" i="30"/>
  <c r="AU67" i="30"/>
  <c r="W67" i="30"/>
  <c r="BG67" i="30"/>
  <c r="BG65" i="30"/>
  <c r="AI65" i="30"/>
  <c r="W65" i="30"/>
  <c r="BF75" i="30"/>
  <c r="F84" i="30"/>
  <c r="I84" i="30"/>
  <c r="H84" i="30"/>
  <c r="G84" i="30"/>
  <c r="BR75" i="30"/>
  <c r="BS75" i="30" s="1"/>
  <c r="AH75" i="30"/>
  <c r="AT75" i="30"/>
  <c r="I76" i="30"/>
  <c r="V76" i="30"/>
  <c r="AH76" i="30"/>
  <c r="AT76" i="30"/>
  <c r="BR76" i="30"/>
  <c r="BS76" i="30" s="1"/>
  <c r="V6" i="29"/>
  <c r="V7" i="29"/>
  <c r="X8" i="29" s="1"/>
  <c r="T8" i="29"/>
  <c r="S8" i="29"/>
  <c r="R8" i="29"/>
  <c r="Q8" i="29"/>
  <c r="P8" i="29"/>
  <c r="O8" i="29"/>
  <c r="N8" i="29"/>
  <c r="BQ70" i="29"/>
  <c r="BK70" i="29"/>
  <c r="BJ70" i="29"/>
  <c r="BD70" i="29"/>
  <c r="BC70" i="29"/>
  <c r="BB70" i="29"/>
  <c r="BA70" i="29"/>
  <c r="AZ70" i="29"/>
  <c r="I70" i="29"/>
  <c r="H70" i="29"/>
  <c r="G70" i="29"/>
  <c r="F70" i="29"/>
  <c r="E70" i="29"/>
  <c r="C70" i="29" s="1"/>
  <c r="BR68" i="29"/>
  <c r="BM68" i="29"/>
  <c r="BF68" i="29"/>
  <c r="AT68" i="29"/>
  <c r="AH68" i="29"/>
  <c r="J68" i="29"/>
  <c r="N68" i="29" s="1"/>
  <c r="BT68" i="29" s="1"/>
  <c r="BU68" i="29" s="1"/>
  <c r="BR67" i="29"/>
  <c r="BM67" i="29"/>
  <c r="BF67" i="29"/>
  <c r="AT67" i="29"/>
  <c r="AH67" i="29"/>
  <c r="J67" i="29"/>
  <c r="N67" i="29" s="1"/>
  <c r="BR66" i="29"/>
  <c r="BM66" i="29"/>
  <c r="BF66" i="29"/>
  <c r="AT66" i="29"/>
  <c r="J66" i="29"/>
  <c r="N66" i="29" s="1"/>
  <c r="BR65" i="29"/>
  <c r="BM65" i="29"/>
  <c r="BF65" i="29"/>
  <c r="AT65" i="29"/>
  <c r="AH65" i="29"/>
  <c r="J65" i="29"/>
  <c r="N65" i="29" s="1"/>
  <c r="BR64" i="29"/>
  <c r="BM64" i="29"/>
  <c r="J64" i="29"/>
  <c r="N64" i="29" s="1"/>
  <c r="BR63" i="29"/>
  <c r="BM63" i="29"/>
  <c r="J63" i="29"/>
  <c r="N63" i="29" s="1"/>
  <c r="BR62" i="29"/>
  <c r="BM62" i="29"/>
  <c r="BF62" i="29"/>
  <c r="AT62" i="29"/>
  <c r="J62" i="29"/>
  <c r="N62" i="29" s="1"/>
  <c r="BR61" i="29"/>
  <c r="BM61" i="29"/>
  <c r="J61" i="29"/>
  <c r="N61" i="29" s="1"/>
  <c r="BR60" i="29"/>
  <c r="BM60" i="29"/>
  <c r="J60" i="29"/>
  <c r="N60" i="29" s="1"/>
  <c r="BR59" i="29"/>
  <c r="BM59" i="29"/>
  <c r="BF59" i="29"/>
  <c r="AT59" i="29"/>
  <c r="AH59" i="29"/>
  <c r="J59" i="29"/>
  <c r="N59" i="29" s="1"/>
  <c r="BR58" i="29"/>
  <c r="BM58" i="29"/>
  <c r="J58" i="29"/>
  <c r="N58" i="29" s="1"/>
  <c r="BR57" i="29"/>
  <c r="BM57" i="29"/>
  <c r="J57" i="29"/>
  <c r="N57" i="29" s="1"/>
  <c r="BR56" i="29"/>
  <c r="BM56" i="29"/>
  <c r="BF56" i="29"/>
  <c r="J56" i="29"/>
  <c r="N56" i="29" s="1"/>
  <c r="BR55" i="29"/>
  <c r="BM55" i="29"/>
  <c r="BF55" i="29"/>
  <c r="AT55" i="29"/>
  <c r="AH55" i="29"/>
  <c r="J55" i="29"/>
  <c r="N55" i="29" s="1"/>
  <c r="V55" i="29" s="1"/>
  <c r="BR54" i="29"/>
  <c r="BM54" i="29"/>
  <c r="BF54" i="29"/>
  <c r="AH54" i="29"/>
  <c r="J54" i="29"/>
  <c r="N54" i="29" s="1"/>
  <c r="BR53" i="29"/>
  <c r="BM53" i="29"/>
  <c r="BF53" i="29"/>
  <c r="AT53" i="29"/>
  <c r="AH53" i="29"/>
  <c r="J53" i="29"/>
  <c r="N53" i="29" s="1"/>
  <c r="BR52" i="29"/>
  <c r="BM52" i="29"/>
  <c r="BF52" i="29"/>
  <c r="J52" i="29"/>
  <c r="N52" i="29" s="1"/>
  <c r="BR51" i="29"/>
  <c r="BM51" i="29"/>
  <c r="BF51" i="29"/>
  <c r="AT51" i="29"/>
  <c r="AH51" i="29"/>
  <c r="J51" i="29"/>
  <c r="N51" i="29" s="1"/>
  <c r="V51" i="29" s="1"/>
  <c r="BR50" i="29"/>
  <c r="BM50" i="29"/>
  <c r="BF50" i="29"/>
  <c r="AT50" i="29"/>
  <c r="AH50" i="29"/>
  <c r="J50" i="29"/>
  <c r="N50" i="29" s="1"/>
  <c r="BT50" i="29" s="1"/>
  <c r="BU50" i="29" s="1"/>
  <c r="BR49" i="29"/>
  <c r="BM49" i="29"/>
  <c r="BF49" i="29"/>
  <c r="AT49" i="29"/>
  <c r="AH49" i="29"/>
  <c r="J49" i="29"/>
  <c r="N49" i="29" s="1"/>
  <c r="V49" i="29" s="1"/>
  <c r="BR48" i="29"/>
  <c r="BM48" i="29"/>
  <c r="BF48" i="29"/>
  <c r="AT48" i="29"/>
  <c r="AH48" i="29"/>
  <c r="J48" i="29"/>
  <c r="N48" i="29" s="1"/>
  <c r="BT48" i="29" s="1"/>
  <c r="BU48" i="29" s="1"/>
  <c r="BR47" i="29"/>
  <c r="BM47" i="29"/>
  <c r="BF47" i="29"/>
  <c r="AT47" i="29"/>
  <c r="AH47" i="29"/>
  <c r="J47" i="29"/>
  <c r="N47" i="29" s="1"/>
  <c r="BT47" i="29" s="1"/>
  <c r="BU47" i="29" s="1"/>
  <c r="BR46" i="29"/>
  <c r="BM46" i="29"/>
  <c r="J46" i="29"/>
  <c r="N46" i="29" s="1"/>
  <c r="BR45" i="29"/>
  <c r="BM45" i="29"/>
  <c r="J45" i="29"/>
  <c r="N45" i="29" s="1"/>
  <c r="K120" i="29"/>
  <c r="BK113" i="29"/>
  <c r="BJ113" i="29"/>
  <c r="BD113" i="29"/>
  <c r="BC113" i="29"/>
  <c r="BB113" i="29"/>
  <c r="BA113" i="29"/>
  <c r="AZ113" i="29"/>
  <c r="BK112" i="29"/>
  <c r="BJ112" i="29"/>
  <c r="BD112" i="29"/>
  <c r="BC112" i="29"/>
  <c r="BB112" i="29"/>
  <c r="BA112" i="29"/>
  <c r="AZ112" i="29"/>
  <c r="BK111" i="29"/>
  <c r="BJ111" i="29"/>
  <c r="BD111" i="29"/>
  <c r="BC111" i="29"/>
  <c r="BB111" i="29"/>
  <c r="BA111" i="29"/>
  <c r="AZ111" i="29"/>
  <c r="BM106" i="29"/>
  <c r="BM104" i="29"/>
  <c r="E104" i="29"/>
  <c r="BM103" i="29"/>
  <c r="J103" i="29"/>
  <c r="AX103" i="29" s="1"/>
  <c r="I103" i="29"/>
  <c r="H103" i="29"/>
  <c r="G103" i="29"/>
  <c r="F103" i="29"/>
  <c r="BM101" i="29"/>
  <c r="BM100" i="29"/>
  <c r="BF100" i="29"/>
  <c r="E96" i="29"/>
  <c r="K94" i="29" s="1"/>
  <c r="J95" i="29"/>
  <c r="BN95" i="29" s="1"/>
  <c r="I95" i="29"/>
  <c r="H95" i="29"/>
  <c r="G95" i="29"/>
  <c r="F95" i="29"/>
  <c r="J94" i="29"/>
  <c r="BG94" i="29" s="1"/>
  <c r="J93" i="29"/>
  <c r="BN93" i="29" s="1"/>
  <c r="I93" i="29"/>
  <c r="H93" i="29"/>
  <c r="G93" i="29"/>
  <c r="F93" i="29"/>
  <c r="J92" i="29"/>
  <c r="BG92" i="29" s="1"/>
  <c r="I92" i="29"/>
  <c r="H92" i="29"/>
  <c r="G92" i="29"/>
  <c r="F92" i="29"/>
  <c r="J91" i="29"/>
  <c r="W91" i="29" s="1"/>
  <c r="I91" i="29"/>
  <c r="H91" i="29"/>
  <c r="G91" i="29"/>
  <c r="F91" i="29"/>
  <c r="J90" i="29"/>
  <c r="AU90" i="29" s="1"/>
  <c r="I90" i="29"/>
  <c r="H90" i="29"/>
  <c r="G90" i="29"/>
  <c r="F90" i="29"/>
  <c r="J89" i="29"/>
  <c r="AU89" i="29" s="1"/>
  <c r="J88" i="29"/>
  <c r="BG88" i="29" s="1"/>
  <c r="I88" i="29"/>
  <c r="H88" i="29"/>
  <c r="G88" i="29"/>
  <c r="F88" i="29"/>
  <c r="J87" i="29"/>
  <c r="I87" i="29"/>
  <c r="H87" i="29"/>
  <c r="G87" i="29"/>
  <c r="F87" i="29"/>
  <c r="E83" i="29"/>
  <c r="K82" i="29" s="1"/>
  <c r="J82" i="29"/>
  <c r="I82" i="29"/>
  <c r="H82" i="29"/>
  <c r="G82" i="29"/>
  <c r="F82" i="29"/>
  <c r="J81" i="29"/>
  <c r="AU81" i="29" s="1"/>
  <c r="I81" i="29"/>
  <c r="H81" i="29"/>
  <c r="G81" i="29"/>
  <c r="F81" i="29"/>
  <c r="K80" i="29"/>
  <c r="J80" i="29"/>
  <c r="BG80" i="29" s="1"/>
  <c r="I80" i="29"/>
  <c r="H80" i="29"/>
  <c r="G80" i="29"/>
  <c r="F80" i="29"/>
  <c r="J79" i="29"/>
  <c r="BN79" i="29" s="1"/>
  <c r="I79" i="29"/>
  <c r="H79" i="29"/>
  <c r="G79" i="29"/>
  <c r="F79" i="29"/>
  <c r="J78" i="29"/>
  <c r="AU78" i="29" s="1"/>
  <c r="I78" i="29"/>
  <c r="H78" i="29"/>
  <c r="G78" i="29"/>
  <c r="F78" i="29"/>
  <c r="J77" i="29"/>
  <c r="AU77" i="29" s="1"/>
  <c r="I77" i="29"/>
  <c r="H77" i="29"/>
  <c r="G77" i="29"/>
  <c r="F77" i="29"/>
  <c r="J76" i="29"/>
  <c r="BG76" i="29" s="1"/>
  <c r="I76" i="29"/>
  <c r="H76" i="29"/>
  <c r="G76" i="29"/>
  <c r="F76" i="29"/>
  <c r="J75" i="29"/>
  <c r="K74" i="29"/>
  <c r="J74" i="29"/>
  <c r="BK72" i="29"/>
  <c r="BJ72" i="29"/>
  <c r="BD72" i="29"/>
  <c r="BC72" i="29"/>
  <c r="BB72" i="29"/>
  <c r="BA72" i="29"/>
  <c r="AZ72" i="29"/>
  <c r="I72" i="29"/>
  <c r="H72" i="29"/>
  <c r="G72" i="29"/>
  <c r="F72" i="29"/>
  <c r="BQ42" i="29"/>
  <c r="BK42" i="29"/>
  <c r="BJ42" i="29"/>
  <c r="BD42" i="29"/>
  <c r="BC42" i="29"/>
  <c r="BB42" i="29"/>
  <c r="BA42" i="29"/>
  <c r="AZ42" i="29"/>
  <c r="I42" i="29"/>
  <c r="H42" i="29"/>
  <c r="G42" i="29"/>
  <c r="F42" i="29"/>
  <c r="E42" i="29"/>
  <c r="E72" i="29" s="1"/>
  <c r="BR40" i="29"/>
  <c r="BM40" i="29"/>
  <c r="J40" i="29"/>
  <c r="BR39" i="29"/>
  <c r="BM39" i="29"/>
  <c r="J39" i="29"/>
  <c r="BR38" i="29"/>
  <c r="BM38" i="29"/>
  <c r="J38" i="29"/>
  <c r="BR37" i="29"/>
  <c r="BM37" i="29"/>
  <c r="J37" i="29"/>
  <c r="BR36" i="29"/>
  <c r="BM36" i="29"/>
  <c r="J36" i="29"/>
  <c r="BR35" i="29"/>
  <c r="BM35" i="29"/>
  <c r="J35" i="29"/>
  <c r="BR34" i="29"/>
  <c r="BM34" i="29"/>
  <c r="J34" i="29"/>
  <c r="BR33" i="29"/>
  <c r="BM33" i="29"/>
  <c r="J33" i="29"/>
  <c r="BR32" i="29"/>
  <c r="BM32" i="29"/>
  <c r="J32" i="29"/>
  <c r="BR31" i="29"/>
  <c r="BM31" i="29"/>
  <c r="J31" i="29"/>
  <c r="BR30" i="29"/>
  <c r="BM30" i="29"/>
  <c r="J30" i="29"/>
  <c r="BR29" i="29"/>
  <c r="BM29" i="29"/>
  <c r="J29" i="29"/>
  <c r="BR28" i="29"/>
  <c r="BM28" i="29"/>
  <c r="J28" i="29"/>
  <c r="BR27" i="29"/>
  <c r="BM27" i="29"/>
  <c r="J27" i="29"/>
  <c r="BR26" i="29"/>
  <c r="BM26" i="29"/>
  <c r="J26" i="29"/>
  <c r="BR25" i="29"/>
  <c r="BM25" i="29"/>
  <c r="J25" i="29"/>
  <c r="BR24" i="29"/>
  <c r="BM24" i="29"/>
  <c r="J24" i="29"/>
  <c r="BZ23" i="29"/>
  <c r="BR23" i="29"/>
  <c r="BM23" i="29"/>
  <c r="J23" i="29"/>
  <c r="BR22" i="29"/>
  <c r="BM22" i="29"/>
  <c r="J22" i="29"/>
  <c r="BR21" i="29"/>
  <c r="BM21" i="29"/>
  <c r="J21" i="29"/>
  <c r="BR20" i="29"/>
  <c r="BM20" i="29"/>
  <c r="J20" i="29"/>
  <c r="BR19" i="29"/>
  <c r="BM19" i="29"/>
  <c r="J19" i="29"/>
  <c r="BR18" i="29"/>
  <c r="BM18" i="29"/>
  <c r="J18" i="29"/>
  <c r="BR17" i="29"/>
  <c r="BM17" i="29"/>
  <c r="J17" i="29"/>
  <c r="BM11" i="29"/>
  <c r="K11" i="29"/>
  <c r="BM10" i="29"/>
  <c r="BK5" i="29"/>
  <c r="BJ5" i="29"/>
  <c r="BD5" i="29"/>
  <c r="BC5" i="29"/>
  <c r="BB5" i="29"/>
  <c r="BA5" i="29"/>
  <c r="AZ5" i="29"/>
  <c r="AY5" i="29"/>
  <c r="AX5" i="29"/>
  <c r="AR5" i="29"/>
  <c r="AQ5" i="29"/>
  <c r="AP5" i="29"/>
  <c r="AO5" i="29"/>
  <c r="AN5" i="29"/>
  <c r="AM5" i="29"/>
  <c r="AL5" i="29"/>
  <c r="AF5" i="29"/>
  <c r="AE5" i="29"/>
  <c r="AD5" i="29"/>
  <c r="AC5" i="29"/>
  <c r="AB5" i="29"/>
  <c r="AA5" i="29"/>
  <c r="Z5" i="29"/>
  <c r="T5" i="29"/>
  <c r="S5" i="29"/>
  <c r="R5" i="29"/>
  <c r="Q5" i="29"/>
  <c r="P5" i="29"/>
  <c r="O5" i="29"/>
  <c r="N5" i="29"/>
  <c r="BT4" i="29"/>
  <c r="BW5" i="29" s="1"/>
  <c r="BM4" i="29"/>
  <c r="BO5" i="29" s="1"/>
  <c r="BF4" i="29"/>
  <c r="BH5" i="29" s="1"/>
  <c r="AT4" i="29"/>
  <c r="AV5" i="29" s="1"/>
  <c r="AH4" i="29"/>
  <c r="AJ5" i="29" s="1"/>
  <c r="V4" i="29"/>
  <c r="BT3" i="29"/>
  <c r="J3" i="29" s="1"/>
  <c r="BM3" i="29"/>
  <c r="BF3" i="29"/>
  <c r="AT3" i="29"/>
  <c r="AH3" i="29"/>
  <c r="V3" i="29"/>
  <c r="BT1" i="29"/>
  <c r="CB25" i="29" s="1"/>
  <c r="K78" i="29" l="1"/>
  <c r="W36" i="30"/>
  <c r="W15" i="30"/>
  <c r="AH38" i="30"/>
  <c r="K76" i="29"/>
  <c r="BT8" i="29"/>
  <c r="W24" i="30"/>
  <c r="BP33" i="30"/>
  <c r="AU92" i="29"/>
  <c r="W95" i="29"/>
  <c r="AH26" i="30"/>
  <c r="AJ30" i="31"/>
  <c r="X15" i="31"/>
  <c r="AV31" i="31"/>
  <c r="X33" i="31"/>
  <c r="AV21" i="31"/>
  <c r="BH27" i="31"/>
  <c r="K75" i="29"/>
  <c r="K77" i="29"/>
  <c r="K79" i="29"/>
  <c r="K83" i="29" s="1"/>
  <c r="K81" i="29"/>
  <c r="K91" i="29"/>
  <c r="BM112" i="29"/>
  <c r="AJ27" i="31"/>
  <c r="X26" i="31"/>
  <c r="AV24" i="31"/>
  <c r="AV37" i="31"/>
  <c r="BA49" i="31"/>
  <c r="BA55" i="31" s="1"/>
  <c r="BA57" i="31" s="1"/>
  <c r="AZ54" i="31"/>
  <c r="AZ48" i="31"/>
  <c r="BD49" i="31"/>
  <c r="BC50" i="31"/>
  <c r="BC55" i="31" s="1"/>
  <c r="BC57" i="31" s="1"/>
  <c r="AJ20" i="31"/>
  <c r="AJ37" i="31"/>
  <c r="X22" i="31"/>
  <c r="AJ35" i="31"/>
  <c r="AJ25" i="31"/>
  <c r="BB47" i="31"/>
  <c r="H96" i="29"/>
  <c r="K92" i="29"/>
  <c r="BM111" i="29"/>
  <c r="AU17" i="30"/>
  <c r="BB80" i="31"/>
  <c r="X17" i="31"/>
  <c r="BB49" i="31"/>
  <c r="BB51" i="31"/>
  <c r="C42" i="29"/>
  <c r="BB54" i="31"/>
  <c r="BN38" i="31"/>
  <c r="BB53" i="31"/>
  <c r="BB52" i="31"/>
  <c r="BJ51" i="31"/>
  <c r="AY46" i="31"/>
  <c r="BJ46" i="31"/>
  <c r="AY53" i="31"/>
  <c r="BB48" i="31"/>
  <c r="BB55" i="31" s="1"/>
  <c r="BB57" i="31" s="1"/>
  <c r="V53" i="29"/>
  <c r="BT53" i="29"/>
  <c r="BU53" i="29" s="1"/>
  <c r="V65" i="29"/>
  <c r="BT65" i="29"/>
  <c r="BU65" i="29" s="1"/>
  <c r="AT5" i="29"/>
  <c r="G96" i="29"/>
  <c r="K87" i="29"/>
  <c r="K89" i="29"/>
  <c r="W92" i="29"/>
  <c r="K93" i="29"/>
  <c r="K95" i="29"/>
  <c r="BM113" i="29"/>
  <c r="BM70" i="29"/>
  <c r="BF22" i="30"/>
  <c r="AH35" i="30"/>
  <c r="AH23" i="30"/>
  <c r="BU32" i="30"/>
  <c r="BV32" i="30" s="1"/>
  <c r="BF37" i="30"/>
  <c r="BF29" i="30"/>
  <c r="X31" i="31"/>
  <c r="AJ24" i="31"/>
  <c r="BJ47" i="31"/>
  <c r="BJ54" i="31"/>
  <c r="BJ52" i="31"/>
  <c r="AY50" i="31"/>
  <c r="AY54" i="31"/>
  <c r="J83" i="29"/>
  <c r="J98" i="29" s="1"/>
  <c r="W77" i="29"/>
  <c r="J96" i="29"/>
  <c r="W90" i="29"/>
  <c r="BJ53" i="31"/>
  <c r="BJ50" i="31"/>
  <c r="AY47" i="31"/>
  <c r="AY51" i="31"/>
  <c r="AY48" i="31"/>
  <c r="CA1" i="30"/>
  <c r="CB1" i="30" s="1"/>
  <c r="CC1" i="30" s="1"/>
  <c r="F96" i="29"/>
  <c r="I96" i="29"/>
  <c r="I98" i="29" s="1"/>
  <c r="E98" i="29"/>
  <c r="K88" i="29"/>
  <c r="K90" i="29"/>
  <c r="BN92" i="29"/>
  <c r="AU95" i="29"/>
  <c r="BG68" i="30"/>
  <c r="AH34" i="30"/>
  <c r="AJ26" i="31"/>
  <c r="BK54" i="30"/>
  <c r="BJ48" i="31"/>
  <c r="AY49" i="31"/>
  <c r="P47" i="31"/>
  <c r="AQ52" i="31"/>
  <c r="AO47" i="31"/>
  <c r="AQ53" i="31"/>
  <c r="AD52" i="31"/>
  <c r="BH20" i="31"/>
  <c r="AN47" i="31"/>
  <c r="AO49" i="31"/>
  <c r="P53" i="31"/>
  <c r="BN20" i="31"/>
  <c r="AN51" i="31"/>
  <c r="AR8" i="31"/>
  <c r="AZ55" i="31"/>
  <c r="AZ57" i="31" s="1"/>
  <c r="BD55" i="31"/>
  <c r="BD57" i="31" s="1"/>
  <c r="AX8" i="31"/>
  <c r="AX9" i="31" s="1"/>
  <c r="AX44" i="31" s="1"/>
  <c r="AX47" i="31" s="1"/>
  <c r="AN80" i="31"/>
  <c r="AM51" i="31"/>
  <c r="T49" i="31"/>
  <c r="AL89" i="32"/>
  <c r="AL91" i="32" s="1"/>
  <c r="AT91" i="32" s="1"/>
  <c r="AX89" i="32"/>
  <c r="BF89" i="32" s="1"/>
  <c r="BR87" i="32"/>
  <c r="V89" i="32"/>
  <c r="N91" i="32"/>
  <c r="BR86" i="32"/>
  <c r="BL89" i="32"/>
  <c r="BN89" i="32" s="1"/>
  <c r="Z89" i="32"/>
  <c r="BN23" i="31"/>
  <c r="BN36" i="31"/>
  <c r="BN34" i="31"/>
  <c r="BN30" i="31"/>
  <c r="BN17" i="31"/>
  <c r="BN15" i="31"/>
  <c r="BN18" i="31"/>
  <c r="BM40" i="31"/>
  <c r="BH16" i="31"/>
  <c r="Q51" i="31"/>
  <c r="Q49" i="31"/>
  <c r="Q46" i="31"/>
  <c r="AM48" i="31"/>
  <c r="T52" i="31"/>
  <c r="AO53" i="31"/>
  <c r="AO48" i="31"/>
  <c r="BH32" i="31"/>
  <c r="Q47" i="31"/>
  <c r="Q53" i="31"/>
  <c r="AO51" i="31"/>
  <c r="AO52" i="31"/>
  <c r="AO50" i="31"/>
  <c r="Q50" i="31"/>
  <c r="AD80" i="31"/>
  <c r="AN49" i="31"/>
  <c r="AQ46" i="31"/>
  <c r="AP54" i="31"/>
  <c r="Q54" i="31"/>
  <c r="AO46" i="31"/>
  <c r="N46" i="31"/>
  <c r="N53" i="31"/>
  <c r="N51" i="31"/>
  <c r="AQ80" i="31"/>
  <c r="AM50" i="31"/>
  <c r="AQ51" i="31"/>
  <c r="T80" i="31"/>
  <c r="T53" i="31"/>
  <c r="AJ34" i="31"/>
  <c r="AM53" i="31"/>
  <c r="AM52" i="31"/>
  <c r="AQ49" i="31"/>
  <c r="AQ47" i="31"/>
  <c r="T47" i="31"/>
  <c r="T48" i="31"/>
  <c r="P51" i="31"/>
  <c r="AJ17" i="31"/>
  <c r="AM49" i="31"/>
  <c r="AQ50" i="31"/>
  <c r="T46" i="31"/>
  <c r="P80" i="31"/>
  <c r="AM80" i="31"/>
  <c r="AM47" i="31"/>
  <c r="AM46" i="31"/>
  <c r="AQ48" i="31"/>
  <c r="P48" i="31"/>
  <c r="P54" i="31"/>
  <c r="Q48" i="31"/>
  <c r="Q80" i="31"/>
  <c r="AD50" i="31"/>
  <c r="N54" i="31"/>
  <c r="Z51" i="31"/>
  <c r="AD49" i="31"/>
  <c r="AN54" i="31"/>
  <c r="AN52" i="31"/>
  <c r="AA53" i="31"/>
  <c r="AD48" i="31"/>
  <c r="AN53" i="31"/>
  <c r="AN48" i="31"/>
  <c r="P50" i="31"/>
  <c r="P52" i="31"/>
  <c r="R51" i="31"/>
  <c r="R53" i="31"/>
  <c r="R80" i="31"/>
  <c r="R52" i="31"/>
  <c r="Z50" i="31"/>
  <c r="R48" i="31"/>
  <c r="AP53" i="31"/>
  <c r="R49" i="31"/>
  <c r="R46" i="31"/>
  <c r="Z54" i="31"/>
  <c r="AD51" i="31"/>
  <c r="AD53" i="31"/>
  <c r="AP51" i="31"/>
  <c r="R54" i="31"/>
  <c r="R47" i="31"/>
  <c r="Z47" i="31"/>
  <c r="Z53" i="31"/>
  <c r="AD46" i="31"/>
  <c r="AN46" i="31"/>
  <c r="AP52" i="31"/>
  <c r="R50" i="31"/>
  <c r="T54" i="31"/>
  <c r="T51" i="31"/>
  <c r="O52" i="31"/>
  <c r="O47" i="31"/>
  <c r="O46" i="31"/>
  <c r="O54" i="31"/>
  <c r="O49" i="31"/>
  <c r="O80" i="31"/>
  <c r="O50" i="31"/>
  <c r="O51" i="31"/>
  <c r="O48" i="31"/>
  <c r="AB52" i="31"/>
  <c r="AB50" i="31"/>
  <c r="AB54" i="31"/>
  <c r="AB48" i="31"/>
  <c r="AB80" i="31"/>
  <c r="AB51" i="31"/>
  <c r="AB46" i="31"/>
  <c r="AB47" i="31"/>
  <c r="AB53" i="31"/>
  <c r="AA46" i="31"/>
  <c r="AA47" i="31"/>
  <c r="AA54" i="31"/>
  <c r="AA48" i="31"/>
  <c r="AA50" i="31"/>
  <c r="AA80" i="31"/>
  <c r="AA51" i="31"/>
  <c r="BH33" i="31"/>
  <c r="Z48" i="31"/>
  <c r="Z52" i="31"/>
  <c r="AP48" i="31"/>
  <c r="AP46" i="31"/>
  <c r="BH38" i="31"/>
  <c r="Z46" i="31"/>
  <c r="AD47" i="31"/>
  <c r="AB49" i="31"/>
  <c r="AP47" i="31"/>
  <c r="AP50" i="31"/>
  <c r="BY3" i="31"/>
  <c r="N47" i="31"/>
  <c r="N50" i="31"/>
  <c r="BG40" i="31"/>
  <c r="BH29" i="31"/>
  <c r="BH28" i="31"/>
  <c r="BH18" i="31"/>
  <c r="BH37" i="31"/>
  <c r="BH22" i="31"/>
  <c r="BH23" i="31"/>
  <c r="BY2" i="31"/>
  <c r="AT22" i="30"/>
  <c r="AH32" i="30"/>
  <c r="BF30" i="30"/>
  <c r="BF27" i="30"/>
  <c r="BF19" i="30"/>
  <c r="AH30" i="30"/>
  <c r="BF38" i="30"/>
  <c r="AT20" i="30"/>
  <c r="AH20" i="30"/>
  <c r="AT36" i="30"/>
  <c r="BF28" i="30"/>
  <c r="AH16" i="30"/>
  <c r="AT16" i="30"/>
  <c r="AT21" i="30"/>
  <c r="BU37" i="30"/>
  <c r="BV37" i="30" s="1"/>
  <c r="AH33" i="30"/>
  <c r="AT33" i="30"/>
  <c r="AH25" i="30"/>
  <c r="BF25" i="30"/>
  <c r="AT17" i="30"/>
  <c r="AV17" i="30" s="1"/>
  <c r="BO3" i="30"/>
  <c r="BO4" i="30" s="1"/>
  <c r="W3" i="30"/>
  <c r="X3" i="30" s="1"/>
  <c r="BF35" i="30"/>
  <c r="BU26" i="30"/>
  <c r="BV26" i="30" s="1"/>
  <c r="BU27" i="30"/>
  <c r="BV27" i="30" s="1"/>
  <c r="AT27" i="30"/>
  <c r="AT34" i="30"/>
  <c r="BF34" i="30"/>
  <c r="AT37" i="30"/>
  <c r="BF32" i="30"/>
  <c r="AH24" i="30"/>
  <c r="BF21" i="30"/>
  <c r="BF17" i="30"/>
  <c r="BU21" i="30"/>
  <c r="BV21" i="30" s="1"/>
  <c r="BU22" i="30"/>
  <c r="BV22" i="30" s="1"/>
  <c r="AT18" i="30"/>
  <c r="BU33" i="30"/>
  <c r="BV33" i="30" s="1"/>
  <c r="BF26" i="30"/>
  <c r="BF20" i="30"/>
  <c r="BL40" i="30"/>
  <c r="BL8" i="30" s="1"/>
  <c r="BL9" i="30" s="1"/>
  <c r="BL44" i="30" s="1"/>
  <c r="BL52" i="30" s="1"/>
  <c r="AY40" i="30"/>
  <c r="AY8" i="30" s="1"/>
  <c r="AY9" i="30" s="1"/>
  <c r="AY44" i="30" s="1"/>
  <c r="AY47" i="30" s="1"/>
  <c r="AV25" i="31"/>
  <c r="AV23" i="31"/>
  <c r="AV35" i="31"/>
  <c r="CA29" i="31"/>
  <c r="CA28" i="31"/>
  <c r="BH30" i="31"/>
  <c r="BH34" i="31"/>
  <c r="BH17" i="31"/>
  <c r="BH36" i="31"/>
  <c r="AV16" i="31"/>
  <c r="AV33" i="31"/>
  <c r="AV36" i="31"/>
  <c r="AV30" i="31"/>
  <c r="AV20" i="31"/>
  <c r="AV34" i="31"/>
  <c r="AV38" i="31"/>
  <c r="AU40" i="31"/>
  <c r="AV32" i="31"/>
  <c r="AV18" i="31"/>
  <c r="AJ31" i="31"/>
  <c r="AJ16" i="31"/>
  <c r="AJ29" i="31"/>
  <c r="AJ38" i="31"/>
  <c r="AJ32" i="31"/>
  <c r="AJ21" i="31"/>
  <c r="AF51" i="31"/>
  <c r="AF47" i="31"/>
  <c r="AF52" i="31"/>
  <c r="AF48" i="31"/>
  <c r="AF54" i="31"/>
  <c r="AF53" i="31"/>
  <c r="AF49" i="31"/>
  <c r="AF50" i="31"/>
  <c r="AF46" i="31"/>
  <c r="AE54" i="31"/>
  <c r="AE50" i="31"/>
  <c r="AE46" i="31"/>
  <c r="AE53" i="31"/>
  <c r="AE51" i="31"/>
  <c r="AE47" i="31"/>
  <c r="AE49" i="31"/>
  <c r="AE52" i="31"/>
  <c r="AE48" i="31"/>
  <c r="AJ33" i="31"/>
  <c r="S53" i="31"/>
  <c r="S49" i="31"/>
  <c r="S54" i="31"/>
  <c r="S52" i="31"/>
  <c r="S50" i="31"/>
  <c r="S48" i="31"/>
  <c r="S46" i="31"/>
  <c r="S51" i="31"/>
  <c r="S47" i="31"/>
  <c r="X25" i="31"/>
  <c r="V9" i="31"/>
  <c r="AR40" i="30"/>
  <c r="AR8" i="30" s="1"/>
  <c r="AR9" i="30" s="1"/>
  <c r="AR44" i="30" s="1"/>
  <c r="AR50" i="30" s="1"/>
  <c r="AX40" i="30"/>
  <c r="AX8" i="30" s="1"/>
  <c r="BN23" i="30"/>
  <c r="BK51" i="30"/>
  <c r="BK48" i="30"/>
  <c r="AQ40" i="30"/>
  <c r="AQ8" i="30" s="1"/>
  <c r="AQ9" i="30" s="1"/>
  <c r="AQ44" i="30" s="1"/>
  <c r="BF24" i="30"/>
  <c r="AP40" i="30"/>
  <c r="AP8" i="30" s="1"/>
  <c r="AP9" i="30" s="1"/>
  <c r="AP44" i="30" s="1"/>
  <c r="AF40" i="30"/>
  <c r="AF8" i="30" s="1"/>
  <c r="AF9" i="30" s="1"/>
  <c r="AF44" i="30" s="1"/>
  <c r="BK47" i="30"/>
  <c r="BK53" i="30"/>
  <c r="AU33" i="30"/>
  <c r="AE40" i="30"/>
  <c r="AE8" i="30" s="1"/>
  <c r="AE9" i="30" s="1"/>
  <c r="AE44" i="30" s="1"/>
  <c r="AE49" i="30" s="1"/>
  <c r="BK50" i="30"/>
  <c r="BK80" i="30"/>
  <c r="AD40" i="30"/>
  <c r="AD8" i="30" s="1"/>
  <c r="AD9" i="30" s="1"/>
  <c r="AD44" i="30" s="1"/>
  <c r="AI36" i="30"/>
  <c r="BK46" i="30"/>
  <c r="BK52" i="30"/>
  <c r="BK49" i="30"/>
  <c r="BN21" i="30"/>
  <c r="BN19" i="30"/>
  <c r="BG33" i="30"/>
  <c r="AO40" i="30"/>
  <c r="AO8" i="30" s="1"/>
  <c r="AO9" i="30" s="1"/>
  <c r="AO44" i="30" s="1"/>
  <c r="AO46" i="30" s="1"/>
  <c r="W33" i="30"/>
  <c r="X33" i="30" s="1"/>
  <c r="BJ40" i="30"/>
  <c r="BJ8" i="30" s="1"/>
  <c r="BJ9" i="30" s="1"/>
  <c r="AM40" i="30"/>
  <c r="AM8" i="30" s="1"/>
  <c r="AM9" i="30" s="1"/>
  <c r="AM44" i="30" s="1"/>
  <c r="AM54" i="30" s="1"/>
  <c r="BD40" i="30"/>
  <c r="BD8" i="30" s="1"/>
  <c r="BD9" i="30" s="1"/>
  <c r="BD44" i="30" s="1"/>
  <c r="BD80" i="30" s="1"/>
  <c r="W28" i="30"/>
  <c r="AH18" i="30"/>
  <c r="BA40" i="30"/>
  <c r="BA8" i="30" s="1"/>
  <c r="BA9" i="30" s="1"/>
  <c r="BA44" i="30" s="1"/>
  <c r="BA80" i="30" s="1"/>
  <c r="BH24" i="31"/>
  <c r="N52" i="31"/>
  <c r="N48" i="31"/>
  <c r="X34" i="31"/>
  <c r="BH19" i="31"/>
  <c r="V8" i="31"/>
  <c r="N49" i="31"/>
  <c r="AJ22" i="31"/>
  <c r="X18" i="31"/>
  <c r="X30" i="31"/>
  <c r="X36" i="31"/>
  <c r="X27" i="31"/>
  <c r="W40" i="31"/>
  <c r="X32" i="31"/>
  <c r="X38" i="31"/>
  <c r="X23" i="31"/>
  <c r="X20" i="31"/>
  <c r="CA1" i="31"/>
  <c r="AH40" i="31"/>
  <c r="AJ23" i="31"/>
  <c r="AJ28" i="31"/>
  <c r="BF40" i="31"/>
  <c r="AI40" i="31"/>
  <c r="AJ15" i="31"/>
  <c r="N80" i="31"/>
  <c r="V44" i="31"/>
  <c r="BL8" i="31"/>
  <c r="AP80" i="31"/>
  <c r="BC80" i="31"/>
  <c r="V40" i="31"/>
  <c r="AE80" i="31"/>
  <c r="AT40" i="31"/>
  <c r="W4" i="31"/>
  <c r="X3" i="31"/>
  <c r="X4" i="31" s="1"/>
  <c r="AO80" i="31"/>
  <c r="AV15" i="31"/>
  <c r="BH3" i="31"/>
  <c r="BH4" i="31" s="1"/>
  <c r="AF80" i="31"/>
  <c r="AL9" i="31"/>
  <c r="AL44" i="31" s="1"/>
  <c r="BS40" i="31"/>
  <c r="BT40" i="31" s="1"/>
  <c r="BT15" i="31"/>
  <c r="AV3" i="31"/>
  <c r="AV4" i="31" s="1"/>
  <c r="AU4" i="31"/>
  <c r="X16" i="31"/>
  <c r="K80" i="31"/>
  <c r="E87" i="31"/>
  <c r="J87" i="31" s="1"/>
  <c r="K87" i="31" s="1"/>
  <c r="S80" i="31"/>
  <c r="AJ18" i="31"/>
  <c r="AC9" i="31"/>
  <c r="AC44" i="31" s="1"/>
  <c r="AH8" i="31"/>
  <c r="BH15" i="31"/>
  <c r="AZ80" i="31"/>
  <c r="BD80" i="31"/>
  <c r="BM4" i="31"/>
  <c r="BN3" i="31"/>
  <c r="BN4" i="31" s="1"/>
  <c r="AI4" i="31"/>
  <c r="AJ3" i="31"/>
  <c r="AJ4" i="31" s="1"/>
  <c r="BL40" i="31"/>
  <c r="Z80" i="31"/>
  <c r="H83" i="31"/>
  <c r="G83" i="31"/>
  <c r="F83" i="31"/>
  <c r="E85" i="31"/>
  <c r="I83" i="31"/>
  <c r="AY80" i="31"/>
  <c r="BO25" i="30"/>
  <c r="BP25" i="30" s="1"/>
  <c r="BO34" i="30"/>
  <c r="BP34" i="30" s="1"/>
  <c r="BO16" i="30"/>
  <c r="BP16" i="30" s="1"/>
  <c r="BO29" i="30"/>
  <c r="BP29" i="30" s="1"/>
  <c r="W68" i="30"/>
  <c r="AU3" i="30"/>
  <c r="AI3" i="30"/>
  <c r="AJ3" i="30" s="1"/>
  <c r="J14" i="30"/>
  <c r="K14" i="30" s="1"/>
  <c r="BG3" i="30"/>
  <c r="J44" i="30"/>
  <c r="AZ40" i="30"/>
  <c r="AZ8" i="30" s="1"/>
  <c r="AZ9" i="30" s="1"/>
  <c r="AZ44" i="30" s="1"/>
  <c r="AZ80" i="30" s="1"/>
  <c r="AN40" i="30"/>
  <c r="AN8" i="30" s="1"/>
  <c r="AN9" i="30" s="1"/>
  <c r="AN44" i="30" s="1"/>
  <c r="AL40" i="30"/>
  <c r="AL8" i="30" s="1"/>
  <c r="BC40" i="30"/>
  <c r="BC8" i="30" s="1"/>
  <c r="BC9" i="30" s="1"/>
  <c r="BC44" i="30" s="1"/>
  <c r="BC80" i="30" s="1"/>
  <c r="BF16" i="30"/>
  <c r="BB40" i="30"/>
  <c r="BB8" i="30" s="1"/>
  <c r="BB9" i="30" s="1"/>
  <c r="BB44" i="30" s="1"/>
  <c r="BB80" i="30" s="1"/>
  <c r="BF36" i="30"/>
  <c r="BF33" i="30"/>
  <c r="BG22" i="30"/>
  <c r="BH22" i="30" s="1"/>
  <c r="BG37" i="30"/>
  <c r="BH37" i="30" s="1"/>
  <c r="AI31" i="30"/>
  <c r="AI19" i="30"/>
  <c r="AI27" i="30"/>
  <c r="H72" i="30"/>
  <c r="J70" i="30"/>
  <c r="J72" i="30"/>
  <c r="AI68" i="30"/>
  <c r="AI55" i="30"/>
  <c r="BO55" i="30"/>
  <c r="BO68" i="30" s="1"/>
  <c r="K55" i="30"/>
  <c r="AI38" i="30"/>
  <c r="AI26" i="30"/>
  <c r="AJ26" i="30" s="1"/>
  <c r="BG35" i="30"/>
  <c r="BH35" i="30" s="1"/>
  <c r="BG25" i="30"/>
  <c r="BO32" i="30"/>
  <c r="BP32" i="30" s="1"/>
  <c r="W32" i="30"/>
  <c r="BO20" i="30"/>
  <c r="BP20" i="30" s="1"/>
  <c r="BG27" i="30"/>
  <c r="BO28" i="30"/>
  <c r="BP28" i="30" s="1"/>
  <c r="BO19" i="30"/>
  <c r="AI37" i="30"/>
  <c r="BO15" i="30"/>
  <c r="BP15" i="30" s="1"/>
  <c r="X26" i="30"/>
  <c r="W19" i="30"/>
  <c r="W35" i="30"/>
  <c r="BO26" i="30"/>
  <c r="BP26" i="30" s="1"/>
  <c r="W16" i="30"/>
  <c r="BG19" i="30"/>
  <c r="BO35" i="30"/>
  <c r="BP35" i="30" s="1"/>
  <c r="W25" i="30"/>
  <c r="AI35" i="30"/>
  <c r="AI25" i="30"/>
  <c r="AI20" i="30"/>
  <c r="BO37" i="30"/>
  <c r="BP37" i="30" s="1"/>
  <c r="W37" i="30"/>
  <c r="W31" i="30"/>
  <c r="AI16" i="30"/>
  <c r="AJ16" i="30" s="1"/>
  <c r="BO38" i="30"/>
  <c r="BP38" i="30" s="1"/>
  <c r="BO31" i="30"/>
  <c r="BP31" i="30" s="1"/>
  <c r="AU37" i="30"/>
  <c r="BG16" i="30"/>
  <c r="W20" i="30"/>
  <c r="X20" i="30" s="1"/>
  <c r="BG36" i="30"/>
  <c r="AU35" i="30"/>
  <c r="AU18" i="30"/>
  <c r="AU20" i="30"/>
  <c r="AU19" i="30"/>
  <c r="AU28" i="30"/>
  <c r="AU15" i="30"/>
  <c r="AU26" i="30"/>
  <c r="AU16" i="30"/>
  <c r="AU25" i="30"/>
  <c r="AU29" i="30"/>
  <c r="AI18" i="30"/>
  <c r="AI32" i="30"/>
  <c r="AJ32" i="30" s="1"/>
  <c r="AI15" i="30"/>
  <c r="AI17" i="30"/>
  <c r="AI33" i="30"/>
  <c r="AI30" i="30"/>
  <c r="AJ30" i="30" s="1"/>
  <c r="Q80" i="30"/>
  <c r="Q54" i="30"/>
  <c r="Q53" i="30"/>
  <c r="Q49" i="30"/>
  <c r="Q47" i="30"/>
  <c r="Q52" i="30"/>
  <c r="Q48" i="30"/>
  <c r="Q51" i="30"/>
  <c r="Q50" i="30"/>
  <c r="Q46" i="30"/>
  <c r="AA80" i="30"/>
  <c r="AA54" i="30"/>
  <c r="AA53" i="30"/>
  <c r="AA49" i="30"/>
  <c r="AA51" i="30"/>
  <c r="AA47" i="30"/>
  <c r="AA50" i="30"/>
  <c r="AA48" i="30"/>
  <c r="AA52" i="30"/>
  <c r="AA46" i="30"/>
  <c r="P80" i="30"/>
  <c r="P54" i="30"/>
  <c r="P50" i="30"/>
  <c r="P49" i="30"/>
  <c r="P47" i="30"/>
  <c r="P53" i="30"/>
  <c r="P52" i="30"/>
  <c r="P46" i="30"/>
  <c r="P51" i="30"/>
  <c r="P48" i="30"/>
  <c r="V36" i="30"/>
  <c r="X36" i="30" s="1"/>
  <c r="AT38" i="30"/>
  <c r="AI23" i="30"/>
  <c r="BG23" i="30"/>
  <c r="BO21" i="30"/>
  <c r="BG21" i="30"/>
  <c r="BH21" i="30" s="1"/>
  <c r="W21" i="30"/>
  <c r="AI34" i="30"/>
  <c r="W34" i="30"/>
  <c r="BU24" i="30"/>
  <c r="BV24" i="30" s="1"/>
  <c r="V24" i="30"/>
  <c r="X24" i="30" s="1"/>
  <c r="AH19" i="30"/>
  <c r="G72" i="30"/>
  <c r="G70" i="30"/>
  <c r="AT32" i="30"/>
  <c r="AT26" i="30"/>
  <c r="AI24" i="30"/>
  <c r="BG24" i="30"/>
  <c r="AH31" i="30"/>
  <c r="AH29" i="30"/>
  <c r="AT29" i="30"/>
  <c r="AU22" i="30"/>
  <c r="V17" i="30"/>
  <c r="AT15" i="30"/>
  <c r="O40" i="30"/>
  <c r="O8" i="30" s="1"/>
  <c r="O9" i="30" s="1"/>
  <c r="O44" i="30" s="1"/>
  <c r="V31" i="30"/>
  <c r="BU31" i="30"/>
  <c r="BV31" i="30" s="1"/>
  <c r="AT31" i="30"/>
  <c r="V27" i="30"/>
  <c r="BU36" i="30"/>
  <c r="BV36" i="30" s="1"/>
  <c r="BU23" i="30"/>
  <c r="BV23" i="30" s="1"/>
  <c r="V23" i="30"/>
  <c r="AT23" i="30"/>
  <c r="BU19" i="30"/>
  <c r="BV19" i="30" s="1"/>
  <c r="V19" i="30"/>
  <c r="AT19" i="30"/>
  <c r="BU30" i="30"/>
  <c r="BV30" i="30" s="1"/>
  <c r="V30" i="30"/>
  <c r="AT30" i="30"/>
  <c r="BG34" i="30"/>
  <c r="BG38" i="30"/>
  <c r="BU20" i="30"/>
  <c r="BV20" i="30" s="1"/>
  <c r="AU68" i="30"/>
  <c r="AH36" i="30"/>
  <c r="V35" i="30"/>
  <c r="BU35" i="30"/>
  <c r="BV35" i="30" s="1"/>
  <c r="AT35" i="30"/>
  <c r="BO30" i="30"/>
  <c r="BP30" i="30" s="1"/>
  <c r="W23" i="30"/>
  <c r="BO18" i="30"/>
  <c r="BP18" i="30" s="1"/>
  <c r="BU16" i="30"/>
  <c r="BV16" i="30" s="1"/>
  <c r="V16" i="30"/>
  <c r="V37" i="30"/>
  <c r="BG28" i="30"/>
  <c r="AI28" i="30"/>
  <c r="BO36" i="30"/>
  <c r="BP36" i="30" s="1"/>
  <c r="AU36" i="30"/>
  <c r="AV36" i="30" s="1"/>
  <c r="W27" i="30"/>
  <c r="BO27" i="30"/>
  <c r="BP27" i="30" s="1"/>
  <c r="BU34" i="30"/>
  <c r="BV34" i="30" s="1"/>
  <c r="V34" i="30"/>
  <c r="AU27" i="30"/>
  <c r="BG18" i="30"/>
  <c r="BU17" i="30"/>
  <c r="BV17" i="30" s="1"/>
  <c r="T40" i="30"/>
  <c r="T8" i="30" s="1"/>
  <c r="T9" i="30" s="1"/>
  <c r="T44" i="30" s="1"/>
  <c r="S40" i="30"/>
  <c r="S8" i="30" s="1"/>
  <c r="S9" i="30" s="1"/>
  <c r="S44" i="30" s="1"/>
  <c r="BF18" i="30"/>
  <c r="BU18" i="30"/>
  <c r="BV18" i="30" s="1"/>
  <c r="V18" i="30"/>
  <c r="X18" i="30" s="1"/>
  <c r="AU23" i="30"/>
  <c r="AU30" i="30"/>
  <c r="AU38" i="30"/>
  <c r="AH28" i="30"/>
  <c r="BG20" i="30"/>
  <c r="BG15" i="30"/>
  <c r="BG31" i="30"/>
  <c r="BF31" i="30"/>
  <c r="V21" i="30"/>
  <c r="AU21" i="30"/>
  <c r="W55" i="30"/>
  <c r="I83" i="30"/>
  <c r="H83" i="30"/>
  <c r="E85" i="30"/>
  <c r="C94" i="30" s="1"/>
  <c r="G83" i="30"/>
  <c r="F83" i="30"/>
  <c r="BU38" i="30"/>
  <c r="BV38" i="30" s="1"/>
  <c r="V38" i="30"/>
  <c r="AT24" i="30"/>
  <c r="AB40" i="30"/>
  <c r="AB8" i="30" s="1"/>
  <c r="AB9" i="30" s="1"/>
  <c r="AB44" i="30" s="1"/>
  <c r="Z40" i="30"/>
  <c r="Z8" i="30" s="1"/>
  <c r="AU34" i="30"/>
  <c r="BF23" i="30"/>
  <c r="E87" i="30"/>
  <c r="V32" i="30"/>
  <c r="F72" i="30"/>
  <c r="F70" i="30"/>
  <c r="AH37" i="30"/>
  <c r="AU55" i="30"/>
  <c r="BO23" i="30"/>
  <c r="BP23" i="30" s="1"/>
  <c r="I72" i="30"/>
  <c r="I70" i="30"/>
  <c r="AH22" i="30"/>
  <c r="AH21" i="30"/>
  <c r="W22" i="30"/>
  <c r="X22" i="30" s="1"/>
  <c r="BO22" i="30"/>
  <c r="BP22" i="30" s="1"/>
  <c r="BU29" i="30"/>
  <c r="BV29" i="30" s="1"/>
  <c r="V29" i="30"/>
  <c r="X29" i="30" s="1"/>
  <c r="BG55" i="30"/>
  <c r="W30" i="30"/>
  <c r="BO24" i="30"/>
  <c r="BP24" i="30" s="1"/>
  <c r="W38" i="30"/>
  <c r="AH27" i="30"/>
  <c r="AI22" i="30"/>
  <c r="AI21" i="30"/>
  <c r="AH17" i="30"/>
  <c r="AI29" i="30"/>
  <c r="BG29" i="30"/>
  <c r="W17" i="30"/>
  <c r="BO17" i="30"/>
  <c r="BP17" i="30" s="1"/>
  <c r="BG17" i="30"/>
  <c r="BH17" i="30" s="1"/>
  <c r="AU32" i="30"/>
  <c r="BG30" i="30"/>
  <c r="BF15" i="30"/>
  <c r="N40" i="30"/>
  <c r="N8" i="30" s="1"/>
  <c r="BU15" i="30"/>
  <c r="V15" i="30"/>
  <c r="R40" i="30"/>
  <c r="R8" i="30" s="1"/>
  <c r="R9" i="30" s="1"/>
  <c r="R44" i="30" s="1"/>
  <c r="AC40" i="30"/>
  <c r="AC8" i="30" s="1"/>
  <c r="AC9" i="30" s="1"/>
  <c r="AC44" i="30" s="1"/>
  <c r="BU25" i="30"/>
  <c r="BV25" i="30" s="1"/>
  <c r="V25" i="30"/>
  <c r="AT25" i="30"/>
  <c r="AH15" i="30"/>
  <c r="AU24" i="30"/>
  <c r="AU31" i="30"/>
  <c r="BU28" i="30"/>
  <c r="BV28" i="30" s="1"/>
  <c r="V28" i="30"/>
  <c r="AT28" i="30"/>
  <c r="K40" i="30"/>
  <c r="BG26" i="30"/>
  <c r="BG32" i="30"/>
  <c r="CA4" i="30"/>
  <c r="N70" i="29"/>
  <c r="J4" i="29"/>
  <c r="V8" i="29"/>
  <c r="V5" i="29"/>
  <c r="BY1" i="29"/>
  <c r="BW3" i="29"/>
  <c r="K3" i="29"/>
  <c r="BT64" i="29"/>
  <c r="BU64" i="29" s="1"/>
  <c r="BF64" i="29"/>
  <c r="V64" i="29"/>
  <c r="V63" i="29"/>
  <c r="AH63" i="29"/>
  <c r="BF63" i="29"/>
  <c r="AY70" i="29"/>
  <c r="BT61" i="29"/>
  <c r="BU61" i="29" s="1"/>
  <c r="S70" i="29"/>
  <c r="V61" i="29"/>
  <c r="AH61" i="29"/>
  <c r="AT60" i="29"/>
  <c r="BF60" i="29"/>
  <c r="AT58" i="29"/>
  <c r="K58" i="29"/>
  <c r="AH58" i="29"/>
  <c r="K59" i="29"/>
  <c r="K47" i="29"/>
  <c r="K55" i="29"/>
  <c r="K56" i="29"/>
  <c r="K57" i="29"/>
  <c r="R70" i="29"/>
  <c r="O70" i="29"/>
  <c r="BF58" i="29"/>
  <c r="K54" i="29"/>
  <c r="K61" i="29"/>
  <c r="K62" i="29"/>
  <c r="K63" i="29"/>
  <c r="K45" i="29"/>
  <c r="K48" i="29"/>
  <c r="K49" i="29"/>
  <c r="K50" i="29"/>
  <c r="BF57" i="29"/>
  <c r="K65" i="29"/>
  <c r="K66" i="29"/>
  <c r="K67" i="29"/>
  <c r="V46" i="29"/>
  <c r="BT46" i="29"/>
  <c r="BU46" i="29" s="1"/>
  <c r="AT46" i="29"/>
  <c r="BF46" i="29"/>
  <c r="AH46" i="29"/>
  <c r="K51" i="29"/>
  <c r="K52" i="29"/>
  <c r="K53" i="29"/>
  <c r="AU53" i="29" s="1"/>
  <c r="AV53" i="29" s="1"/>
  <c r="K60" i="29"/>
  <c r="K64" i="29"/>
  <c r="K68" i="29"/>
  <c r="K46" i="29"/>
  <c r="AC70" i="29"/>
  <c r="BT49" i="29"/>
  <c r="BU49" i="29" s="1"/>
  <c r="BT51" i="29"/>
  <c r="BU51" i="29" s="1"/>
  <c r="BT55" i="29"/>
  <c r="BU55" i="29" s="1"/>
  <c r="V48" i="29"/>
  <c r="BT54" i="29"/>
  <c r="BU54" i="29" s="1"/>
  <c r="V54" i="29"/>
  <c r="V45" i="29"/>
  <c r="AT45" i="29"/>
  <c r="BT45" i="29"/>
  <c r="AP70" i="29"/>
  <c r="BF45" i="29"/>
  <c r="AT54" i="29"/>
  <c r="BT59" i="29"/>
  <c r="BU59" i="29" s="1"/>
  <c r="V59" i="29"/>
  <c r="BT63" i="29"/>
  <c r="BU63" i="29" s="1"/>
  <c r="BT67" i="29"/>
  <c r="BU67" i="29" s="1"/>
  <c r="V67" i="29"/>
  <c r="AH45" i="29"/>
  <c r="V47" i="29"/>
  <c r="J70" i="29"/>
  <c r="AD70" i="29"/>
  <c r="AR70" i="29"/>
  <c r="V50" i="29"/>
  <c r="BT52" i="29"/>
  <c r="BU52" i="29" s="1"/>
  <c r="V52" i="29"/>
  <c r="AH52" i="29"/>
  <c r="AT52" i="29"/>
  <c r="BT56" i="29"/>
  <c r="BU56" i="29" s="1"/>
  <c r="V56" i="29"/>
  <c r="AH56" i="29"/>
  <c r="AT56" i="29"/>
  <c r="BT58" i="29"/>
  <c r="BU58" i="29" s="1"/>
  <c r="BT62" i="29"/>
  <c r="BU62" i="29" s="1"/>
  <c r="V62" i="29"/>
  <c r="AH62" i="29"/>
  <c r="BT66" i="29"/>
  <c r="BU66" i="29" s="1"/>
  <c r="V66" i="29"/>
  <c r="AH66" i="29"/>
  <c r="BR70" i="29"/>
  <c r="V60" i="29"/>
  <c r="V68" i="29"/>
  <c r="N23" i="29"/>
  <c r="BF23" i="29"/>
  <c r="N32" i="29"/>
  <c r="BF38" i="29"/>
  <c r="N38" i="29"/>
  <c r="BF24" i="29"/>
  <c r="BF33" i="29"/>
  <c r="N25" i="29"/>
  <c r="N34" i="29"/>
  <c r="N26" i="29"/>
  <c r="N39" i="29"/>
  <c r="N24" i="29"/>
  <c r="N30" i="29"/>
  <c r="N31" i="29"/>
  <c r="N33" i="29"/>
  <c r="BF34" i="29"/>
  <c r="N35" i="29"/>
  <c r="N20" i="29"/>
  <c r="K21" i="29"/>
  <c r="K22" i="29"/>
  <c r="AU22" i="29" s="1"/>
  <c r="K23" i="29"/>
  <c r="K24" i="29"/>
  <c r="N19" i="29"/>
  <c r="K35" i="29"/>
  <c r="AU35" i="29" s="1"/>
  <c r="BF19" i="29"/>
  <c r="K31" i="29"/>
  <c r="J42" i="29"/>
  <c r="K37" i="29"/>
  <c r="K38" i="29"/>
  <c r="BR42" i="29"/>
  <c r="BU4" i="29"/>
  <c r="BY13" i="29" s="1"/>
  <c r="BU8" i="29"/>
  <c r="K28" i="29"/>
  <c r="K17" i="29"/>
  <c r="K18" i="29"/>
  <c r="K19" i="29"/>
  <c r="AU19" i="29" s="1"/>
  <c r="K26" i="29"/>
  <c r="K32" i="29"/>
  <c r="K33" i="29"/>
  <c r="K20" i="29"/>
  <c r="K27" i="29"/>
  <c r="K34" i="29"/>
  <c r="K25" i="29"/>
  <c r="K29" i="29"/>
  <c r="AU29" i="29" s="1"/>
  <c r="K30" i="29"/>
  <c r="K36" i="29"/>
  <c r="K39" i="29"/>
  <c r="CB33" i="29"/>
  <c r="CB32" i="29"/>
  <c r="CB31" i="29"/>
  <c r="CB30" i="29"/>
  <c r="X5" i="29"/>
  <c r="AH5" i="29"/>
  <c r="BT5" i="29"/>
  <c r="BM42" i="29"/>
  <c r="N18" i="29"/>
  <c r="BF20" i="29"/>
  <c r="BF21" i="29"/>
  <c r="N22" i="29"/>
  <c r="BF25" i="29"/>
  <c r="BF26" i="29"/>
  <c r="N17" i="29"/>
  <c r="N21" i="29"/>
  <c r="N27" i="29"/>
  <c r="BF5" i="29"/>
  <c r="BM5" i="29"/>
  <c r="BF18" i="29"/>
  <c r="BF22" i="29"/>
  <c r="BF28" i="29"/>
  <c r="N29" i="29"/>
  <c r="BF35" i="29"/>
  <c r="BF36" i="29"/>
  <c r="N37" i="29"/>
  <c r="BF39" i="29"/>
  <c r="K40" i="29"/>
  <c r="BF40" i="29"/>
  <c r="AZ108" i="29"/>
  <c r="AZ115" i="29" s="1"/>
  <c r="AZ117" i="29" s="1"/>
  <c r="BD108" i="29"/>
  <c r="BD115" i="29" s="1"/>
  <c r="BD117" i="29" s="1"/>
  <c r="BM72" i="29"/>
  <c r="W74" i="29"/>
  <c r="AU74" i="29"/>
  <c r="BN75" i="29"/>
  <c r="BG75" i="29"/>
  <c r="AU75" i="29"/>
  <c r="W75" i="29"/>
  <c r="N28" i="29"/>
  <c r="N36" i="29"/>
  <c r="N40" i="29"/>
  <c r="BA108" i="29"/>
  <c r="BA115" i="29" s="1"/>
  <c r="BA117" i="29" s="1"/>
  <c r="BF29" i="29"/>
  <c r="BF37" i="29"/>
  <c r="BB108" i="29"/>
  <c r="BB115" i="29" s="1"/>
  <c r="BB117" i="29" s="1"/>
  <c r="BJ108" i="29"/>
  <c r="AI74" i="29"/>
  <c r="BG74" i="29"/>
  <c r="AI75" i="29"/>
  <c r="BC108" i="29"/>
  <c r="BC115" i="29" s="1"/>
  <c r="BC117" i="29" s="1"/>
  <c r="BC79" i="29"/>
  <c r="BK108" i="29"/>
  <c r="BK115" i="29" s="1"/>
  <c r="BK117" i="29" s="1"/>
  <c r="BN74" i="29"/>
  <c r="G100" i="29"/>
  <c r="G98" i="29"/>
  <c r="BN76" i="29"/>
  <c r="AI77" i="29"/>
  <c r="BG77" i="29"/>
  <c r="W79" i="29"/>
  <c r="AU79" i="29"/>
  <c r="BN80" i="29"/>
  <c r="AI81" i="29"/>
  <c r="BG81" i="29"/>
  <c r="H98" i="29"/>
  <c r="H100" i="29"/>
  <c r="W76" i="29"/>
  <c r="AU76" i="29"/>
  <c r="BN77" i="29"/>
  <c r="AI78" i="29"/>
  <c r="BG78" i="29"/>
  <c r="W80" i="29"/>
  <c r="AU80" i="29"/>
  <c r="BN81" i="29"/>
  <c r="BG82" i="29"/>
  <c r="AU82" i="29"/>
  <c r="BN82" i="29"/>
  <c r="AI82" i="29"/>
  <c r="BN78" i="29"/>
  <c r="AI79" i="29"/>
  <c r="BG79" i="29"/>
  <c r="W81" i="29"/>
  <c r="F100" i="29"/>
  <c r="F98" i="29"/>
  <c r="AI76" i="29"/>
  <c r="W78" i="29"/>
  <c r="AI80" i="29"/>
  <c r="W82" i="29"/>
  <c r="BN88" i="29"/>
  <c r="AI89" i="29"/>
  <c r="BG89" i="29"/>
  <c r="E100" i="29"/>
  <c r="AI87" i="29"/>
  <c r="BG87" i="29"/>
  <c r="W88" i="29"/>
  <c r="AU88" i="29"/>
  <c r="BN89" i="29"/>
  <c r="AI90" i="29"/>
  <c r="BG90" i="29"/>
  <c r="BN87" i="29"/>
  <c r="W89" i="29"/>
  <c r="BN90" i="29"/>
  <c r="BN91" i="29"/>
  <c r="BG91" i="29"/>
  <c r="AI91" i="29"/>
  <c r="W87" i="29"/>
  <c r="AU87" i="29"/>
  <c r="AI88" i="29"/>
  <c r="AU91" i="29"/>
  <c r="W93" i="29"/>
  <c r="AU93" i="29"/>
  <c r="BN94" i="29"/>
  <c r="AI95" i="29"/>
  <c r="BG95" i="29"/>
  <c r="AI92" i="29"/>
  <c r="W94" i="29"/>
  <c r="AU94" i="29"/>
  <c r="AI93" i="29"/>
  <c r="BG93" i="29"/>
  <c r="AI94" i="29"/>
  <c r="K121" i="29"/>
  <c r="K122" i="29" s="1"/>
  <c r="O103" i="29"/>
  <c r="S103" i="29"/>
  <c r="AA103" i="29"/>
  <c r="AE103" i="29"/>
  <c r="AM103" i="29"/>
  <c r="AQ103" i="29"/>
  <c r="AY103" i="29"/>
  <c r="BF103" i="29" s="1"/>
  <c r="H104" i="29"/>
  <c r="P103" i="29"/>
  <c r="T103" i="29"/>
  <c r="AB103" i="29"/>
  <c r="AF103" i="29"/>
  <c r="AN103" i="29"/>
  <c r="AR103" i="29"/>
  <c r="I104" i="29"/>
  <c r="Q103" i="29"/>
  <c r="AC103" i="29"/>
  <c r="AO103" i="29"/>
  <c r="F104" i="29"/>
  <c r="J104" i="29"/>
  <c r="E112" i="29"/>
  <c r="N103" i="29"/>
  <c r="R103" i="29"/>
  <c r="Z103" i="29"/>
  <c r="AD103" i="29"/>
  <c r="AL103" i="29"/>
  <c r="AP103" i="29"/>
  <c r="G104" i="29"/>
  <c r="AJ20" i="30" l="1"/>
  <c r="AV33" i="30"/>
  <c r="AV22" i="30"/>
  <c r="AR80" i="30"/>
  <c r="AV37" i="30"/>
  <c r="BH19" i="30"/>
  <c r="AY50" i="30"/>
  <c r="AJ23" i="30"/>
  <c r="AV16" i="30"/>
  <c r="AJ38" i="30"/>
  <c r="AR49" i="30"/>
  <c r="BS8" i="31"/>
  <c r="J8" i="31" s="1"/>
  <c r="K8" i="31" s="1"/>
  <c r="BJ81" i="29"/>
  <c r="AZ76" i="29"/>
  <c r="BH32" i="30"/>
  <c r="AJ18" i="30"/>
  <c r="BH26" i="30"/>
  <c r="AV21" i="30"/>
  <c r="BK76" i="29"/>
  <c r="BB77" i="29"/>
  <c r="BA76" i="29"/>
  <c r="BD82" i="29"/>
  <c r="AV27" i="30"/>
  <c r="AJ25" i="30"/>
  <c r="BK82" i="29"/>
  <c r="BJ79" i="29"/>
  <c r="BB79" i="29"/>
  <c r="BA78" i="29"/>
  <c r="BN65" i="29"/>
  <c r="BO65" i="29" s="1"/>
  <c r="BN61" i="29"/>
  <c r="BO61" i="29" s="1"/>
  <c r="BN47" i="29"/>
  <c r="BO47" i="29" s="1"/>
  <c r="BH30" i="30"/>
  <c r="BH28" i="30"/>
  <c r="BF8" i="31"/>
  <c r="AR9" i="31"/>
  <c r="AR44" i="31" s="1"/>
  <c r="AR50" i="31" s="1"/>
  <c r="BH29" i="30"/>
  <c r="AJ35" i="30"/>
  <c r="AI40" i="29"/>
  <c r="AI25" i="29"/>
  <c r="BC74" i="29"/>
  <c r="BC77" i="29"/>
  <c r="BD74" i="29"/>
  <c r="BD80" i="29"/>
  <c r="AZ78" i="29"/>
  <c r="AI34" i="29"/>
  <c r="AT8" i="31"/>
  <c r="AU50" i="29"/>
  <c r="AV50" i="29" s="1"/>
  <c r="BJ55" i="31"/>
  <c r="BJ57" i="31" s="1"/>
  <c r="BJ65" i="31" s="1"/>
  <c r="AY55" i="31"/>
  <c r="AY57" i="31" s="1"/>
  <c r="AY64" i="31" s="1"/>
  <c r="BL53" i="30"/>
  <c r="AR54" i="30"/>
  <c r="BL49" i="30"/>
  <c r="AY61" i="31"/>
  <c r="BK79" i="29"/>
  <c r="BM79" i="29" s="1"/>
  <c r="BO79" i="29" s="1"/>
  <c r="BK81" i="29"/>
  <c r="BC80" i="29"/>
  <c r="BC75" i="29"/>
  <c r="BJ75" i="29"/>
  <c r="BJ77" i="29"/>
  <c r="BB75" i="29"/>
  <c r="BB82" i="29"/>
  <c r="BA74" i="29"/>
  <c r="BA82" i="29"/>
  <c r="BA81" i="29"/>
  <c r="BD76" i="29"/>
  <c r="BD78" i="29"/>
  <c r="AZ79" i="29"/>
  <c r="AZ81" i="29"/>
  <c r="AU23" i="29"/>
  <c r="AU49" i="29"/>
  <c r="AV49" i="29" s="1"/>
  <c r="AI49" i="29"/>
  <c r="AJ49" i="29" s="1"/>
  <c r="AV34" i="30"/>
  <c r="AJ34" i="30"/>
  <c r="J44" i="29"/>
  <c r="K44" i="29" s="1"/>
  <c r="I100" i="29"/>
  <c r="BC78" i="29"/>
  <c r="BJ82" i="29"/>
  <c r="BM82" i="29" s="1"/>
  <c r="BO82" i="29" s="1"/>
  <c r="BA79" i="29"/>
  <c r="BD79" i="29"/>
  <c r="AZ75" i="29"/>
  <c r="AZ77" i="29"/>
  <c r="AU32" i="29"/>
  <c r="AU17" i="29"/>
  <c r="AI65" i="29"/>
  <c r="AJ65" i="29" s="1"/>
  <c r="BN67" i="29"/>
  <c r="BO67" i="29" s="1"/>
  <c r="BN50" i="29"/>
  <c r="BO50" i="29" s="1"/>
  <c r="BN63" i="29"/>
  <c r="BO63" i="29" s="1"/>
  <c r="AJ24" i="30"/>
  <c r="BH36" i="30"/>
  <c r="AX51" i="31"/>
  <c r="J72" i="29"/>
  <c r="W3" i="29"/>
  <c r="W6" i="29"/>
  <c r="X6" i="29" s="1"/>
  <c r="X7" i="29" s="1"/>
  <c r="AI3" i="29"/>
  <c r="AJ3" i="29" s="1"/>
  <c r="AJ4" i="29" s="1"/>
  <c r="J16" i="29"/>
  <c r="K16" i="29" s="1"/>
  <c r="AU3" i="29"/>
  <c r="AU4" i="29" s="1"/>
  <c r="BG3" i="29"/>
  <c r="J100" i="29"/>
  <c r="BK75" i="29"/>
  <c r="BK77" i="29"/>
  <c r="BC76" i="29"/>
  <c r="BJ80" i="29"/>
  <c r="BB78" i="29"/>
  <c r="BB80" i="29"/>
  <c r="BA77" i="29"/>
  <c r="AU83" i="29"/>
  <c r="BD81" i="29"/>
  <c r="BN24" i="29"/>
  <c r="BO24" i="29" s="1"/>
  <c r="BK78" i="29"/>
  <c r="BK80" i="29"/>
  <c r="BC81" i="29"/>
  <c r="BC82" i="29"/>
  <c r="BB74" i="29"/>
  <c r="BJ76" i="29"/>
  <c r="BM76" i="29" s="1"/>
  <c r="BO76" i="29" s="1"/>
  <c r="BJ78" i="29"/>
  <c r="BM78" i="29" s="1"/>
  <c r="BO78" i="29" s="1"/>
  <c r="BB81" i="29"/>
  <c r="BB76" i="29"/>
  <c r="BA75" i="29"/>
  <c r="BA80" i="29"/>
  <c r="AZ74" i="29"/>
  <c r="BD75" i="29"/>
  <c r="BD77" i="29"/>
  <c r="AZ80" i="29"/>
  <c r="AZ82" i="29"/>
  <c r="AU39" i="29"/>
  <c r="AU33" i="29"/>
  <c r="AU21" i="29"/>
  <c r="BN57" i="29"/>
  <c r="BO57" i="29" s="1"/>
  <c r="BN59" i="29"/>
  <c r="BO59" i="29" s="1"/>
  <c r="BH38" i="30"/>
  <c r="BK74" i="29"/>
  <c r="BJ74" i="29"/>
  <c r="K96" i="29"/>
  <c r="AT89" i="32"/>
  <c r="AY63" i="31"/>
  <c r="AQ55" i="31"/>
  <c r="AQ57" i="31" s="1"/>
  <c r="AQ67" i="31" s="1"/>
  <c r="AO55" i="31"/>
  <c r="AO57" i="31" s="1"/>
  <c r="AY60" i="31"/>
  <c r="AD55" i="31"/>
  <c r="AD57" i="31" s="1"/>
  <c r="AD67" i="31" s="1"/>
  <c r="BC63" i="31"/>
  <c r="BC66" i="31"/>
  <c r="BC61" i="31"/>
  <c r="BC59" i="31"/>
  <c r="BC65" i="31"/>
  <c r="BC67" i="31"/>
  <c r="BC60" i="31"/>
  <c r="BC64" i="31"/>
  <c r="BC62" i="31"/>
  <c r="AX52" i="31"/>
  <c r="AX48" i="31"/>
  <c r="AR53" i="31"/>
  <c r="AR80" i="31"/>
  <c r="AR54" i="31"/>
  <c r="AR51" i="31"/>
  <c r="AR49" i="31"/>
  <c r="Q55" i="31"/>
  <c r="Q57" i="31" s="1"/>
  <c r="Q67" i="31" s="1"/>
  <c r="AX54" i="31"/>
  <c r="AX53" i="31"/>
  <c r="BD64" i="31"/>
  <c r="BD59" i="31"/>
  <c r="BD67" i="31"/>
  <c r="BD61" i="31"/>
  <c r="BD60" i="31"/>
  <c r="BD66" i="31"/>
  <c r="BD65" i="31"/>
  <c r="BD62" i="31"/>
  <c r="BD63" i="31"/>
  <c r="AR48" i="31"/>
  <c r="AR52" i="31"/>
  <c r="AX49" i="31"/>
  <c r="AX46" i="31"/>
  <c r="BA60" i="31"/>
  <c r="BA67" i="31"/>
  <c r="BA65" i="31"/>
  <c r="BA66" i="31"/>
  <c r="BA62" i="31"/>
  <c r="BA64" i="31"/>
  <c r="BA61" i="31"/>
  <c r="BA63" i="31"/>
  <c r="BA59" i="31"/>
  <c r="AZ65" i="31"/>
  <c r="AZ66" i="31"/>
  <c r="AZ62" i="31"/>
  <c r="AZ63" i="31"/>
  <c r="AZ64" i="31"/>
  <c r="AZ60" i="31"/>
  <c r="AZ59" i="31"/>
  <c r="AZ61" i="31"/>
  <c r="AZ67" i="31"/>
  <c r="BB61" i="31"/>
  <c r="BB59" i="31"/>
  <c r="BB67" i="31"/>
  <c r="BB65" i="31"/>
  <c r="BB63" i="31"/>
  <c r="BB60" i="31"/>
  <c r="BB66" i="31"/>
  <c r="BB64" i="31"/>
  <c r="BB62" i="31"/>
  <c r="AR46" i="31"/>
  <c r="AR47" i="31"/>
  <c r="AX50" i="31"/>
  <c r="BN40" i="31"/>
  <c r="AX91" i="32"/>
  <c r="BF91" i="32" s="1"/>
  <c r="AH89" i="32"/>
  <c r="Z91" i="32"/>
  <c r="AH91" i="32" s="1"/>
  <c r="BL91" i="32"/>
  <c r="BN91" i="32" s="1"/>
  <c r="V91" i="32"/>
  <c r="BR89" i="32"/>
  <c r="AM55" i="31"/>
  <c r="AM57" i="31" s="1"/>
  <c r="AM66" i="31" s="1"/>
  <c r="T55" i="31"/>
  <c r="T57" i="31" s="1"/>
  <c r="T65" i="31" s="1"/>
  <c r="R55" i="31"/>
  <c r="R57" i="31" s="1"/>
  <c r="R59" i="31" s="1"/>
  <c r="AN55" i="31"/>
  <c r="AN57" i="31" s="1"/>
  <c r="AN62" i="31" s="1"/>
  <c r="P55" i="31"/>
  <c r="P57" i="31" s="1"/>
  <c r="P60" i="31" s="1"/>
  <c r="N55" i="31"/>
  <c r="N57" i="31" s="1"/>
  <c r="N61" i="31" s="1"/>
  <c r="Z55" i="31"/>
  <c r="Z57" i="31" s="1"/>
  <c r="Z67" i="31" s="1"/>
  <c r="AA55" i="31"/>
  <c r="AA57" i="31" s="1"/>
  <c r="AA65" i="31" s="1"/>
  <c r="O55" i="31"/>
  <c r="O57" i="31" s="1"/>
  <c r="O66" i="31" s="1"/>
  <c r="AB55" i="31"/>
  <c r="AB57" i="31" s="1"/>
  <c r="AB62" i="31" s="1"/>
  <c r="AP55" i="31"/>
  <c r="AP57" i="31" s="1"/>
  <c r="AP63" i="31" s="1"/>
  <c r="T64" i="31"/>
  <c r="AP61" i="31"/>
  <c r="AQ65" i="31"/>
  <c r="BY4" i="31"/>
  <c r="BZ3" i="31"/>
  <c r="BY5" i="31" s="1"/>
  <c r="AO60" i="31"/>
  <c r="AO65" i="31"/>
  <c r="AO59" i="31"/>
  <c r="AO64" i="31"/>
  <c r="AO66" i="31"/>
  <c r="AO63" i="31"/>
  <c r="AO62" i="31"/>
  <c r="AO67" i="31"/>
  <c r="AO61" i="31"/>
  <c r="BH40" i="31"/>
  <c r="BH34" i="30"/>
  <c r="BP21" i="30"/>
  <c r="AR53" i="30"/>
  <c r="AR47" i="30"/>
  <c r="BL54" i="30"/>
  <c r="BL48" i="30"/>
  <c r="AJ33" i="30"/>
  <c r="AV20" i="30"/>
  <c r="AR48" i="30"/>
  <c r="AR46" i="30"/>
  <c r="AR51" i="30"/>
  <c r="BL50" i="30"/>
  <c r="BL51" i="30"/>
  <c r="BH20" i="30"/>
  <c r="BH27" i="30"/>
  <c r="BH25" i="30"/>
  <c r="AR52" i="30"/>
  <c r="BL80" i="30"/>
  <c r="BL47" i="30"/>
  <c r="BL46" i="30"/>
  <c r="BA49" i="30"/>
  <c r="BA48" i="30"/>
  <c r="AE51" i="30"/>
  <c r="AY48" i="30"/>
  <c r="AY80" i="30"/>
  <c r="BH16" i="30"/>
  <c r="AY52" i="30"/>
  <c r="AY54" i="30"/>
  <c r="AV31" i="30"/>
  <c r="X31" i="30"/>
  <c r="AY49" i="30"/>
  <c r="AY51" i="30"/>
  <c r="AY46" i="30"/>
  <c r="AY53" i="30"/>
  <c r="AV40" i="31"/>
  <c r="AL51" i="31"/>
  <c r="AL47" i="31"/>
  <c r="AL54" i="31"/>
  <c r="AL52" i="31"/>
  <c r="AL50" i="31"/>
  <c r="AL48" i="31"/>
  <c r="AL46" i="31"/>
  <c r="AL53" i="31"/>
  <c r="AL49" i="31"/>
  <c r="AM65" i="31"/>
  <c r="AC52" i="31"/>
  <c r="AC48" i="31"/>
  <c r="AC47" i="31"/>
  <c r="AC53" i="31"/>
  <c r="AC49" i="31"/>
  <c r="AC51" i="31"/>
  <c r="AC54" i="31"/>
  <c r="AC50" i="31"/>
  <c r="AC46" i="31"/>
  <c r="Z66" i="31"/>
  <c r="AF55" i="31"/>
  <c r="AF57" i="31" s="1"/>
  <c r="AE55" i="31"/>
  <c r="AE57" i="31" s="1"/>
  <c r="S55" i="31"/>
  <c r="S57" i="31" s="1"/>
  <c r="AM51" i="30"/>
  <c r="BA52" i="30"/>
  <c r="BA47" i="30"/>
  <c r="AE46" i="30"/>
  <c r="AM48" i="30"/>
  <c r="BA54" i="30"/>
  <c r="AE47" i="30"/>
  <c r="AM50" i="30"/>
  <c r="BB48" i="30"/>
  <c r="BK55" i="30"/>
  <c r="BK57" i="30" s="1"/>
  <c r="BK64" i="30" s="1"/>
  <c r="BH24" i="30"/>
  <c r="BD54" i="30"/>
  <c r="AE80" i="30"/>
  <c r="AE52" i="30"/>
  <c r="AO53" i="30"/>
  <c r="BB51" i="30"/>
  <c r="BH33" i="30"/>
  <c r="AO49" i="30"/>
  <c r="AO50" i="30"/>
  <c r="AZ51" i="30"/>
  <c r="AO80" i="30"/>
  <c r="AE54" i="30"/>
  <c r="AE53" i="30"/>
  <c r="AE48" i="30"/>
  <c r="AM49" i="30"/>
  <c r="AO54" i="30"/>
  <c r="AO52" i="30"/>
  <c r="BC53" i="30"/>
  <c r="BA51" i="30"/>
  <c r="BA50" i="30"/>
  <c r="BN40" i="30"/>
  <c r="AJ36" i="30"/>
  <c r="AE50" i="30"/>
  <c r="AM47" i="30"/>
  <c r="AM53" i="30"/>
  <c r="AO47" i="30"/>
  <c r="AO48" i="30"/>
  <c r="BD51" i="30"/>
  <c r="BD53" i="30"/>
  <c r="W4" i="30"/>
  <c r="BP19" i="30"/>
  <c r="BP40" i="30" s="1"/>
  <c r="AZ52" i="30"/>
  <c r="AZ50" i="30"/>
  <c r="BN8" i="30"/>
  <c r="AZ49" i="30"/>
  <c r="AO51" i="30"/>
  <c r="BC49" i="30"/>
  <c r="BD46" i="30"/>
  <c r="AZ48" i="30"/>
  <c r="BC50" i="30"/>
  <c r="BC48" i="30"/>
  <c r="BC54" i="30"/>
  <c r="BC52" i="30"/>
  <c r="BK60" i="30"/>
  <c r="BJ44" i="30"/>
  <c r="BN9" i="30"/>
  <c r="X28" i="30"/>
  <c r="AJ31" i="30"/>
  <c r="BD49" i="30"/>
  <c r="BD48" i="30"/>
  <c r="BD47" i="30"/>
  <c r="BD50" i="30"/>
  <c r="AM80" i="30"/>
  <c r="AM46" i="30"/>
  <c r="AM52" i="30"/>
  <c r="BB46" i="30"/>
  <c r="BC51" i="30"/>
  <c r="BA46" i="30"/>
  <c r="BB52" i="30"/>
  <c r="BC47" i="30"/>
  <c r="BD52" i="30"/>
  <c r="BA53" i="30"/>
  <c r="BC46" i="30"/>
  <c r="X40" i="31"/>
  <c r="E89" i="31"/>
  <c r="K76" i="31"/>
  <c r="K44" i="31"/>
  <c r="K72" i="31"/>
  <c r="V53" i="31"/>
  <c r="X53" i="31" s="1"/>
  <c r="V48" i="31"/>
  <c r="X48" i="31" s="1"/>
  <c r="AT9" i="31"/>
  <c r="BL9" i="31"/>
  <c r="V51" i="31"/>
  <c r="X51" i="31" s="1"/>
  <c r="V54" i="31"/>
  <c r="X54" i="31" s="1"/>
  <c r="K83" i="31"/>
  <c r="K85" i="31" s="1"/>
  <c r="J85" i="31"/>
  <c r="AH9" i="31"/>
  <c r="V49" i="31"/>
  <c r="X49" i="31" s="1"/>
  <c r="V50" i="31"/>
  <c r="X50" i="31" s="1"/>
  <c r="V80" i="31"/>
  <c r="BF9" i="31"/>
  <c r="V47" i="31"/>
  <c r="X47" i="31" s="1"/>
  <c r="V46" i="31"/>
  <c r="V52" i="31"/>
  <c r="X52" i="31" s="1"/>
  <c r="AJ40" i="31"/>
  <c r="BB54" i="30"/>
  <c r="BB47" i="30"/>
  <c r="BB53" i="30"/>
  <c r="BB50" i="30"/>
  <c r="BB49" i="30"/>
  <c r="AZ53" i="30"/>
  <c r="AZ47" i="30"/>
  <c r="AZ46" i="30"/>
  <c r="X32" i="30"/>
  <c r="X27" i="30"/>
  <c r="AZ54" i="30"/>
  <c r="AQ46" i="30"/>
  <c r="AQ50" i="30"/>
  <c r="AQ54" i="30"/>
  <c r="AQ52" i="30"/>
  <c r="AQ47" i="30"/>
  <c r="AQ49" i="30"/>
  <c r="AQ53" i="30"/>
  <c r="AQ48" i="30"/>
  <c r="AQ51" i="30"/>
  <c r="AP49" i="30"/>
  <c r="AP53" i="30"/>
  <c r="AP47" i="30"/>
  <c r="AP50" i="30"/>
  <c r="AP48" i="30"/>
  <c r="AP52" i="30"/>
  <c r="AP51" i="30"/>
  <c r="AP46" i="30"/>
  <c r="AP54" i="30"/>
  <c r="AN48" i="30"/>
  <c r="AN52" i="30"/>
  <c r="AN49" i="30"/>
  <c r="AN53" i="30"/>
  <c r="AN46" i="30"/>
  <c r="AN50" i="30"/>
  <c r="AN54" i="30"/>
  <c r="AN47" i="30"/>
  <c r="AN51" i="30"/>
  <c r="AV38" i="30"/>
  <c r="AV30" i="30"/>
  <c r="AV26" i="30"/>
  <c r="AV32" i="30"/>
  <c r="AV23" i="30"/>
  <c r="AV29" i="30"/>
  <c r="AV15" i="30"/>
  <c r="AF53" i="30"/>
  <c r="AF49" i="30"/>
  <c r="AF52" i="30"/>
  <c r="AF48" i="30"/>
  <c r="AF51" i="30"/>
  <c r="AF47" i="30"/>
  <c r="AF54" i="30"/>
  <c r="AF50" i="30"/>
  <c r="AF46" i="30"/>
  <c r="AJ37" i="30"/>
  <c r="AD48" i="30"/>
  <c r="AD52" i="30"/>
  <c r="AD46" i="30"/>
  <c r="AD50" i="30"/>
  <c r="AD54" i="30"/>
  <c r="AD51" i="30"/>
  <c r="AD49" i="30"/>
  <c r="AD53" i="30"/>
  <c r="AD47" i="30"/>
  <c r="AJ19" i="30"/>
  <c r="AJ27" i="30"/>
  <c r="CA2" i="30"/>
  <c r="AJ22" i="30"/>
  <c r="J87" i="30"/>
  <c r="K87" i="30" s="1"/>
  <c r="E89" i="30"/>
  <c r="K70" i="30" s="1"/>
  <c r="X38" i="30"/>
  <c r="X23" i="30"/>
  <c r="BO40" i="30"/>
  <c r="X25" i="30"/>
  <c r="X16" i="30"/>
  <c r="AV19" i="30"/>
  <c r="X19" i="30"/>
  <c r="X35" i="30"/>
  <c r="AV28" i="30"/>
  <c r="AV18" i="30"/>
  <c r="X37" i="30"/>
  <c r="AV35" i="30"/>
  <c r="AV25" i="30"/>
  <c r="W40" i="30"/>
  <c r="X30" i="30"/>
  <c r="AJ29" i="30"/>
  <c r="AJ17" i="30"/>
  <c r="AH40" i="30"/>
  <c r="BU8" i="30"/>
  <c r="J8" i="30" s="1"/>
  <c r="K8" i="30" s="1"/>
  <c r="V8" i="30"/>
  <c r="N9" i="30"/>
  <c r="X4" i="30"/>
  <c r="AV24" i="30"/>
  <c r="R80" i="30"/>
  <c r="R53" i="30"/>
  <c r="R52" i="30"/>
  <c r="R48" i="30"/>
  <c r="R49" i="30"/>
  <c r="R54" i="30"/>
  <c r="R51" i="30"/>
  <c r="R46" i="30"/>
  <c r="R47" i="30"/>
  <c r="R50" i="30"/>
  <c r="BF40" i="30"/>
  <c r="BH31" i="30"/>
  <c r="BP3" i="30"/>
  <c r="BP4" i="30" s="1"/>
  <c r="AI4" i="30"/>
  <c r="AJ4" i="30"/>
  <c r="T80" i="30"/>
  <c r="T54" i="30"/>
  <c r="T50" i="30"/>
  <c r="T51" i="30"/>
  <c r="T53" i="30"/>
  <c r="T47" i="30"/>
  <c r="T49" i="30"/>
  <c r="T48" i="30"/>
  <c r="T46" i="30"/>
  <c r="T52" i="30"/>
  <c r="AT8" i="30"/>
  <c r="AL9" i="30"/>
  <c r="AL44" i="30" s="1"/>
  <c r="X34" i="30"/>
  <c r="P55" i="30"/>
  <c r="P57" i="30" s="1"/>
  <c r="Q55" i="30"/>
  <c r="Q57" i="30" s="1"/>
  <c r="AH8" i="30"/>
  <c r="Z9" i="30"/>
  <c r="AP80" i="30"/>
  <c r="O80" i="30"/>
  <c r="O51" i="30"/>
  <c r="O53" i="30"/>
  <c r="O50" i="30"/>
  <c r="O46" i="30"/>
  <c r="O49" i="30"/>
  <c r="O52" i="30"/>
  <c r="O54" i="30"/>
  <c r="O48" i="30"/>
  <c r="O47" i="30"/>
  <c r="AU40" i="30"/>
  <c r="V40" i="30"/>
  <c r="BF8" i="30"/>
  <c r="AX9" i="30"/>
  <c r="AX44" i="30" s="1"/>
  <c r="X17" i="30"/>
  <c r="AJ21" i="30"/>
  <c r="AB80" i="30"/>
  <c r="AB53" i="30"/>
  <c r="AB52" i="30"/>
  <c r="AB48" i="30"/>
  <c r="AB50" i="30"/>
  <c r="AB54" i="30"/>
  <c r="AB46" i="30"/>
  <c r="AB51" i="30"/>
  <c r="AB49" i="30"/>
  <c r="AB47" i="30"/>
  <c r="J85" i="30"/>
  <c r="K85" i="30"/>
  <c r="BG40" i="30"/>
  <c r="BH15" i="30"/>
  <c r="AJ15" i="30"/>
  <c r="BG4" i="30"/>
  <c r="BH3" i="30"/>
  <c r="BH4" i="30" s="1"/>
  <c r="X15" i="30"/>
  <c r="AT40" i="30"/>
  <c r="AN80" i="30"/>
  <c r="BH23" i="30"/>
  <c r="AA55" i="30"/>
  <c r="AA57" i="30" s="1"/>
  <c r="AC80" i="30"/>
  <c r="AC51" i="30"/>
  <c r="AC47" i="30"/>
  <c r="AC54" i="30"/>
  <c r="AC46" i="30"/>
  <c r="AC49" i="30"/>
  <c r="AC52" i="30"/>
  <c r="AC53" i="30"/>
  <c r="AC48" i="30"/>
  <c r="AC50" i="30"/>
  <c r="K76" i="30"/>
  <c r="K72" i="30"/>
  <c r="K44" i="30"/>
  <c r="BU40" i="30"/>
  <c r="BV40" i="30" s="1"/>
  <c r="BV15" i="30"/>
  <c r="AF80" i="30"/>
  <c r="AI40" i="30"/>
  <c r="AU4" i="30"/>
  <c r="AV3" i="30"/>
  <c r="AV4" i="30" s="1"/>
  <c r="S80" i="30"/>
  <c r="S51" i="30"/>
  <c r="S54" i="30"/>
  <c r="S52" i="30"/>
  <c r="S48" i="30"/>
  <c r="S46" i="30"/>
  <c r="S50" i="30"/>
  <c r="S49" i="30"/>
  <c r="S47" i="30"/>
  <c r="S53" i="30"/>
  <c r="BH18" i="30"/>
  <c r="AJ28" i="30"/>
  <c r="AQ80" i="30"/>
  <c r="AD80" i="30"/>
  <c r="X21" i="30"/>
  <c r="W36" i="29"/>
  <c r="W31" i="29"/>
  <c r="BG51" i="29"/>
  <c r="BH51" i="29" s="1"/>
  <c r="BG66" i="29"/>
  <c r="BH66" i="29" s="1"/>
  <c r="BG56" i="29"/>
  <c r="BH56" i="29" s="1"/>
  <c r="BG62" i="29"/>
  <c r="BH62" i="29" s="1"/>
  <c r="BG54" i="29"/>
  <c r="BH54" i="29" s="1"/>
  <c r="BG55" i="29"/>
  <c r="BH55" i="29" s="1"/>
  <c r="BG58" i="29"/>
  <c r="BH58" i="29" s="1"/>
  <c r="BG28" i="29"/>
  <c r="BH28" i="29" s="1"/>
  <c r="AI30" i="29"/>
  <c r="AI20" i="29"/>
  <c r="AI37" i="29"/>
  <c r="W27" i="29"/>
  <c r="W26" i="29"/>
  <c r="W38" i="29"/>
  <c r="W53" i="29"/>
  <c r="X53" i="29" s="1"/>
  <c r="W48" i="29"/>
  <c r="X48" i="29" s="1"/>
  <c r="BZ1" i="29"/>
  <c r="CA1" i="29" s="1"/>
  <c r="CB1" i="29" s="1"/>
  <c r="W45" i="29"/>
  <c r="X45" i="29" s="1"/>
  <c r="W7" i="29"/>
  <c r="W18" i="29"/>
  <c r="AH64" i="29"/>
  <c r="AT64" i="29"/>
  <c r="P70" i="29"/>
  <c r="BG47" i="29"/>
  <c r="BH47" i="29" s="1"/>
  <c r="AT63" i="29"/>
  <c r="W61" i="29"/>
  <c r="X61" i="29" s="1"/>
  <c r="W47" i="29"/>
  <c r="X47" i="29" s="1"/>
  <c r="BG53" i="29"/>
  <c r="BH53" i="29" s="1"/>
  <c r="AU61" i="29"/>
  <c r="AM70" i="29"/>
  <c r="BG63" i="29"/>
  <c r="BH63" i="29" s="1"/>
  <c r="AE70" i="29"/>
  <c r="AF70" i="29"/>
  <c r="BG57" i="29"/>
  <c r="BH57" i="29" s="1"/>
  <c r="BN45" i="29"/>
  <c r="BO45" i="29" s="1"/>
  <c r="BO70" i="29" s="1"/>
  <c r="BG59" i="29"/>
  <c r="BH59" i="29" s="1"/>
  <c r="Q70" i="29"/>
  <c r="BF61" i="29"/>
  <c r="BF70" i="29" s="1"/>
  <c r="W63" i="29"/>
  <c r="X63" i="29" s="1"/>
  <c r="BN56" i="29"/>
  <c r="BO56" i="29" s="1"/>
  <c r="AU56" i="29"/>
  <c r="AV56" i="29" s="1"/>
  <c r="AT61" i="29"/>
  <c r="BG67" i="29"/>
  <c r="BH67" i="29" s="1"/>
  <c r="BN66" i="29"/>
  <c r="BO66" i="29" s="1"/>
  <c r="T70" i="29"/>
  <c r="W56" i="29"/>
  <c r="X56" i="29" s="1"/>
  <c r="AH60" i="29"/>
  <c r="AI55" i="29"/>
  <c r="AJ55" i="29" s="1"/>
  <c r="W51" i="29"/>
  <c r="X51" i="29" s="1"/>
  <c r="AU58" i="29"/>
  <c r="AV58" i="29" s="1"/>
  <c r="AI54" i="29"/>
  <c r="AJ54" i="29" s="1"/>
  <c r="W65" i="29"/>
  <c r="X65" i="29" s="1"/>
  <c r="BG61" i="29"/>
  <c r="W55" i="29"/>
  <c r="X55" i="29" s="1"/>
  <c r="AI47" i="29"/>
  <c r="AJ47" i="29" s="1"/>
  <c r="AU62" i="29"/>
  <c r="AV62" i="29" s="1"/>
  <c r="AI58" i="29"/>
  <c r="AJ58" i="29" s="1"/>
  <c r="BT60" i="29"/>
  <c r="BU60" i="29" s="1"/>
  <c r="AI67" i="29"/>
  <c r="AJ67" i="29" s="1"/>
  <c r="BG65" i="29"/>
  <c r="BH65" i="29" s="1"/>
  <c r="AI61" i="29"/>
  <c r="AJ61" i="29" s="1"/>
  <c r="AU47" i="29"/>
  <c r="AV47" i="29" s="1"/>
  <c r="BN55" i="29"/>
  <c r="BO55" i="29" s="1"/>
  <c r="AU54" i="29"/>
  <c r="AN70" i="29"/>
  <c r="AA70" i="29"/>
  <c r="AL70" i="29"/>
  <c r="BN53" i="29"/>
  <c r="BO53" i="29" s="1"/>
  <c r="AI17" i="29"/>
  <c r="AU59" i="29"/>
  <c r="AV59" i="29" s="1"/>
  <c r="W57" i="29"/>
  <c r="AI57" i="29"/>
  <c r="AX70" i="29"/>
  <c r="Z70" i="29"/>
  <c r="BG45" i="29"/>
  <c r="BH45" i="29" s="1"/>
  <c r="AU45" i="29"/>
  <c r="AV45" i="29" s="1"/>
  <c r="AU67" i="29"/>
  <c r="AV67" i="29" s="1"/>
  <c r="W59" i="29"/>
  <c r="X59" i="29" s="1"/>
  <c r="AU57" i="29"/>
  <c r="W67" i="29"/>
  <c r="X67" i="29" s="1"/>
  <c r="AI59" i="29"/>
  <c r="AJ59" i="29" s="1"/>
  <c r="V58" i="29"/>
  <c r="AI45" i="29"/>
  <c r="AJ45" i="29" s="1"/>
  <c r="AU55" i="29"/>
  <c r="AV55" i="29" s="1"/>
  <c r="W49" i="29"/>
  <c r="X49" i="29" s="1"/>
  <c r="AO70" i="29"/>
  <c r="AI56" i="29"/>
  <c r="AJ56" i="29" s="1"/>
  <c r="AQ70" i="29"/>
  <c r="BN58" i="29"/>
  <c r="BO58" i="29" s="1"/>
  <c r="W58" i="29"/>
  <c r="X58" i="29" s="1"/>
  <c r="BT57" i="29"/>
  <c r="BU57" i="29" s="1"/>
  <c r="AU30" i="29"/>
  <c r="AU51" i="29"/>
  <c r="AV51" i="29" s="1"/>
  <c r="AU66" i="29"/>
  <c r="AV66" i="29" s="1"/>
  <c r="W50" i="29"/>
  <c r="X50" i="29" s="1"/>
  <c r="AI50" i="29"/>
  <c r="AJ50" i="29" s="1"/>
  <c r="AI63" i="29"/>
  <c r="AJ63" i="29" s="1"/>
  <c r="AU65" i="29"/>
  <c r="AV65" i="29" s="1"/>
  <c r="BN51" i="29"/>
  <c r="BO51" i="29" s="1"/>
  <c r="AV54" i="29"/>
  <c r="BG49" i="29"/>
  <c r="BH49" i="29" s="1"/>
  <c r="AI66" i="29"/>
  <c r="AJ66" i="29" s="1"/>
  <c r="AI62" i="29"/>
  <c r="AJ62" i="29" s="1"/>
  <c r="W54" i="29"/>
  <c r="X54" i="29" s="1"/>
  <c r="BN62" i="29"/>
  <c r="BO62" i="29" s="1"/>
  <c r="BG48" i="29"/>
  <c r="BH48" i="29" s="1"/>
  <c r="AI48" i="29"/>
  <c r="AJ48" i="29" s="1"/>
  <c r="AH57" i="29"/>
  <c r="V57" i="29"/>
  <c r="AU63" i="29"/>
  <c r="AV63" i="29" s="1"/>
  <c r="AI51" i="29"/>
  <c r="AJ51" i="29" s="1"/>
  <c r="AU48" i="29"/>
  <c r="AV48" i="29" s="1"/>
  <c r="BN49" i="29"/>
  <c r="BO49" i="29" s="1"/>
  <c r="BN48" i="29"/>
  <c r="BO48" i="29" s="1"/>
  <c r="W66" i="29"/>
  <c r="X66" i="29" s="1"/>
  <c r="W62" i="29"/>
  <c r="X62" i="29" s="1"/>
  <c r="BG50" i="29"/>
  <c r="BH50" i="29" s="1"/>
  <c r="BN54" i="29"/>
  <c r="BO54" i="29" s="1"/>
  <c r="AT57" i="29"/>
  <c r="BG64" i="29"/>
  <c r="BH64" i="29" s="1"/>
  <c r="BN64" i="29"/>
  <c r="BO64" i="29" s="1"/>
  <c r="AU64" i="29"/>
  <c r="AI64" i="29"/>
  <c r="W64" i="29"/>
  <c r="X64" i="29" s="1"/>
  <c r="K70" i="29"/>
  <c r="AI53" i="29"/>
  <c r="AJ53" i="29" s="1"/>
  <c r="BG68" i="29"/>
  <c r="BH68" i="29" s="1"/>
  <c r="BN68" i="29"/>
  <c r="BO68" i="29" s="1"/>
  <c r="AU68" i="29"/>
  <c r="AV68" i="29" s="1"/>
  <c r="AI68" i="29"/>
  <c r="AJ68" i="29" s="1"/>
  <c r="W68" i="29"/>
  <c r="X68" i="29" s="1"/>
  <c r="BG60" i="29"/>
  <c r="BH60" i="29" s="1"/>
  <c r="BN60" i="29"/>
  <c r="BO60" i="29" s="1"/>
  <c r="AU60" i="29"/>
  <c r="AV60" i="29" s="1"/>
  <c r="AI60" i="29"/>
  <c r="W60" i="29"/>
  <c r="X60" i="29" s="1"/>
  <c r="BG52" i="29"/>
  <c r="BH52" i="29" s="1"/>
  <c r="BN52" i="29"/>
  <c r="BO52" i="29" s="1"/>
  <c r="AU52" i="29"/>
  <c r="AV52" i="29" s="1"/>
  <c r="AI52" i="29"/>
  <c r="AJ52" i="29" s="1"/>
  <c r="W52" i="29"/>
  <c r="X52" i="29" s="1"/>
  <c r="AB70" i="29"/>
  <c r="BG46" i="29"/>
  <c r="BH46" i="29" s="1"/>
  <c r="AU46" i="29"/>
  <c r="AV46" i="29" s="1"/>
  <c r="AI46" i="29"/>
  <c r="AJ46" i="29" s="1"/>
  <c r="W46" i="29"/>
  <c r="X46" i="29" s="1"/>
  <c r="BN46" i="29"/>
  <c r="BO46" i="29" s="1"/>
  <c r="BU45" i="29"/>
  <c r="BN70" i="29"/>
  <c r="BH3" i="29"/>
  <c r="BH4" i="29" s="1"/>
  <c r="V25" i="29"/>
  <c r="BF31" i="29"/>
  <c r="AT35" i="29"/>
  <c r="AV35" i="29" s="1"/>
  <c r="AT24" i="29"/>
  <c r="V35" i="29"/>
  <c r="AT39" i="29"/>
  <c r="AV39" i="29" s="1"/>
  <c r="W21" i="29"/>
  <c r="BT30" i="29"/>
  <c r="BU30" i="29" s="1"/>
  <c r="BT23" i="29"/>
  <c r="BU23" i="29" s="1"/>
  <c r="BF32" i="29"/>
  <c r="AH35" i="29"/>
  <c r="AT34" i="29"/>
  <c r="BT33" i="29"/>
  <c r="BU33" i="29" s="1"/>
  <c r="BT31" i="29"/>
  <c r="BU31" i="29" s="1"/>
  <c r="AT23" i="29"/>
  <c r="AV23" i="29" s="1"/>
  <c r="AT31" i="29"/>
  <c r="BT39" i="29"/>
  <c r="BU39" i="29" s="1"/>
  <c r="V39" i="29"/>
  <c r="BT34" i="29"/>
  <c r="BU34" i="29" s="1"/>
  <c r="BF30" i="29"/>
  <c r="BT35" i="29"/>
  <c r="BU35" i="29" s="1"/>
  <c r="V24" i="29"/>
  <c r="AT26" i="29"/>
  <c r="V26" i="29"/>
  <c r="BT24" i="29"/>
  <c r="BU24" i="29" s="1"/>
  <c r="AI21" i="29"/>
  <c r="BN26" i="29"/>
  <c r="BO26" i="29" s="1"/>
  <c r="W25" i="29"/>
  <c r="X25" i="29" s="1"/>
  <c r="BG21" i="29"/>
  <c r="BH21" i="29" s="1"/>
  <c r="AT25" i="29"/>
  <c r="BT25" i="29"/>
  <c r="BU25" i="29" s="1"/>
  <c r="AI35" i="29"/>
  <c r="AT22" i="29"/>
  <c r="AV22" i="29" s="1"/>
  <c r="AU25" i="29"/>
  <c r="AV25" i="29" s="1"/>
  <c r="BG35" i="29"/>
  <c r="BH35" i="29" s="1"/>
  <c r="AT21" i="29"/>
  <c r="AI24" i="29"/>
  <c r="AU24" i="29"/>
  <c r="W22" i="29"/>
  <c r="W35" i="29"/>
  <c r="BT20" i="29"/>
  <c r="BU20" i="29" s="1"/>
  <c r="W24" i="29"/>
  <c r="AI31" i="29"/>
  <c r="AU31" i="29"/>
  <c r="W23" i="29"/>
  <c r="BG20" i="29"/>
  <c r="BH20" i="29" s="1"/>
  <c r="AI33" i="29"/>
  <c r="AU18" i="29"/>
  <c r="AU38" i="29"/>
  <c r="W33" i="29"/>
  <c r="W20" i="29"/>
  <c r="AI18" i="29"/>
  <c r="V20" i="29"/>
  <c r="AI38" i="29"/>
  <c r="AT20" i="29"/>
  <c r="W29" i="29"/>
  <c r="BG30" i="29"/>
  <c r="AU36" i="29"/>
  <c r="W30" i="29"/>
  <c r="BN3" i="29"/>
  <c r="BN4" i="29" s="1"/>
  <c r="W17" i="29"/>
  <c r="W37" i="29"/>
  <c r="AI27" i="29"/>
  <c r="AI23" i="29"/>
  <c r="W32" i="29"/>
  <c r="AU37" i="29"/>
  <c r="AI22" i="29"/>
  <c r="BG22" i="29"/>
  <c r="BH22" i="29" s="1"/>
  <c r="AT19" i="29"/>
  <c r="AV19" i="29" s="1"/>
  <c r="V19" i="29"/>
  <c r="AI26" i="29"/>
  <c r="W39" i="29"/>
  <c r="W19" i="29"/>
  <c r="AU34" i="29"/>
  <c r="AI19" i="29"/>
  <c r="W28" i="29"/>
  <c r="AU20" i="29"/>
  <c r="BG19" i="29"/>
  <c r="BH19" i="29" s="1"/>
  <c r="AI36" i="29"/>
  <c r="AU28" i="29"/>
  <c r="AI32" i="29"/>
  <c r="AI29" i="29"/>
  <c r="AU26" i="29"/>
  <c r="AV26" i="29" s="1"/>
  <c r="AU27" i="29"/>
  <c r="AI39" i="29"/>
  <c r="BG34" i="29"/>
  <c r="BH34" i="29" s="1"/>
  <c r="W34" i="29"/>
  <c r="AI28" i="29"/>
  <c r="BG96" i="29"/>
  <c r="AT36" i="29"/>
  <c r="BT36" i="29"/>
  <c r="BU36" i="29" s="1"/>
  <c r="V36" i="29"/>
  <c r="AH30" i="29"/>
  <c r="V38" i="29"/>
  <c r="P42" i="29"/>
  <c r="P72" i="29" s="1"/>
  <c r="AM42" i="29"/>
  <c r="AM10" i="29" s="1"/>
  <c r="AM11" i="29" s="1"/>
  <c r="AM72" i="29" s="1"/>
  <c r="BN28" i="29"/>
  <c r="BO28" i="29" s="1"/>
  <c r="BN32" i="29"/>
  <c r="BO32" i="29" s="1"/>
  <c r="AF42" i="29"/>
  <c r="AF72" i="29" s="1"/>
  <c r="N42" i="29"/>
  <c r="N10" i="29" s="1"/>
  <c r="BT17" i="29"/>
  <c r="V17" i="29"/>
  <c r="AH20" i="29"/>
  <c r="AT18" i="29"/>
  <c r="K42" i="29"/>
  <c r="BQ103" i="29"/>
  <c r="BR103" i="29" s="1"/>
  <c r="V103" i="29"/>
  <c r="AI96" i="29"/>
  <c r="AH40" i="29"/>
  <c r="AJ40" i="29" s="1"/>
  <c r="E108" i="29"/>
  <c r="K4" i="29"/>
  <c r="BY3" i="29"/>
  <c r="AH34" i="29"/>
  <c r="AJ34" i="29" s="1"/>
  <c r="AH31" i="29"/>
  <c r="BT28" i="29"/>
  <c r="BU28" i="29" s="1"/>
  <c r="V28" i="29"/>
  <c r="W83" i="29"/>
  <c r="AT38" i="29"/>
  <c r="V32" i="29"/>
  <c r="AT29" i="29"/>
  <c r="AV29" i="29" s="1"/>
  <c r="AD42" i="29"/>
  <c r="AD72" i="29" s="1"/>
  <c r="AH22" i="29"/>
  <c r="BN39" i="29"/>
  <c r="BO39" i="29" s="1"/>
  <c r="BT38" i="29"/>
  <c r="BU38" i="29" s="1"/>
  <c r="AB42" i="29"/>
  <c r="AB72" i="29" s="1"/>
  <c r="BG36" i="29"/>
  <c r="BH36" i="29" s="1"/>
  <c r="BN22" i="29"/>
  <c r="BO22" i="29" s="1"/>
  <c r="BT22" i="29"/>
  <c r="BU22" i="29" s="1"/>
  <c r="V22" i="29"/>
  <c r="AE42" i="29"/>
  <c r="AE72" i="29" s="1"/>
  <c r="W40" i="29"/>
  <c r="BT19" i="29"/>
  <c r="BU19" i="29" s="1"/>
  <c r="BG24" i="29"/>
  <c r="BH24" i="29" s="1"/>
  <c r="J112" i="29"/>
  <c r="K112" i="29" s="1"/>
  <c r="F112" i="29"/>
  <c r="I112" i="29"/>
  <c r="H112" i="29"/>
  <c r="G112" i="29"/>
  <c r="AT32" i="29"/>
  <c r="AH28" i="29"/>
  <c r="BG83" i="29"/>
  <c r="BM81" i="29"/>
  <c r="BO81" i="29" s="1"/>
  <c r="BJ115" i="29"/>
  <c r="BM108" i="29"/>
  <c r="AT40" i="29"/>
  <c r="BT40" i="29"/>
  <c r="BU40" i="29" s="1"/>
  <c r="V40" i="29"/>
  <c r="AH32" i="29"/>
  <c r="AT37" i="29"/>
  <c r="BT37" i="29"/>
  <c r="BU37" i="29" s="1"/>
  <c r="V37" i="29"/>
  <c r="V31" i="29"/>
  <c r="BT32" i="29"/>
  <c r="BU32" i="29" s="1"/>
  <c r="AH27" i="29"/>
  <c r="BF27" i="29"/>
  <c r="BG26" i="29"/>
  <c r="BH26" i="29" s="1"/>
  <c r="AH21" i="29"/>
  <c r="BN19" i="29"/>
  <c r="BO19" i="29" s="1"/>
  <c r="AR42" i="29"/>
  <c r="AR10" i="29" s="1"/>
  <c r="AR11" i="29" s="1"/>
  <c r="AR72" i="29" s="1"/>
  <c r="Z42" i="29"/>
  <c r="AH17" i="29"/>
  <c r="BN20" i="29"/>
  <c r="BO20" i="29" s="1"/>
  <c r="BG17" i="29"/>
  <c r="S42" i="29"/>
  <c r="S72" i="29" s="1"/>
  <c r="BN29" i="29"/>
  <c r="BO29" i="29" s="1"/>
  <c r="BN40" i="29"/>
  <c r="BO40" i="29" s="1"/>
  <c r="BN30" i="29"/>
  <c r="BO30" i="29" s="1"/>
  <c r="BN34" i="29"/>
  <c r="BO34" i="29" s="1"/>
  <c r="AT27" i="29"/>
  <c r="AH24" i="29"/>
  <c r="BG18" i="29"/>
  <c r="BH18" i="29" s="1"/>
  <c r="AP42" i="29"/>
  <c r="AP10" i="29" s="1"/>
  <c r="AP11" i="29" s="1"/>
  <c r="AP72" i="29" s="1"/>
  <c r="BG32" i="29"/>
  <c r="BG29" i="29"/>
  <c r="BH29" i="29" s="1"/>
  <c r="BG40" i="29"/>
  <c r="BH40" i="29" s="1"/>
  <c r="AA42" i="29"/>
  <c r="AA72" i="29" s="1"/>
  <c r="BT26" i="29"/>
  <c r="BU26" i="29" s="1"/>
  <c r="W96" i="29"/>
  <c r="BN83" i="29"/>
  <c r="BN96" i="29" s="1"/>
  <c r="AI83" i="29"/>
  <c r="AH29" i="29"/>
  <c r="V33" i="29"/>
  <c r="BN35" i="29"/>
  <c r="BO35" i="29" s="1"/>
  <c r="BN17" i="29"/>
  <c r="AO42" i="29"/>
  <c r="AO10" i="29" s="1"/>
  <c r="AO11" i="29" s="1"/>
  <c r="AO72" i="29" s="1"/>
  <c r="AT103" i="29"/>
  <c r="AT28" i="29"/>
  <c r="AH39" i="29"/>
  <c r="AT33" i="29"/>
  <c r="BT29" i="29"/>
  <c r="BU29" i="29" s="1"/>
  <c r="V29" i="29"/>
  <c r="AX42" i="29"/>
  <c r="AX10" i="29" s="1"/>
  <c r="BF17" i="29"/>
  <c r="AC42" i="29"/>
  <c r="AC72" i="29" s="1"/>
  <c r="BN36" i="29"/>
  <c r="BO36" i="29" s="1"/>
  <c r="BN33" i="29"/>
  <c r="BO33" i="29" s="1"/>
  <c r="AH23" i="29"/>
  <c r="BT21" i="29"/>
  <c r="BU21" i="29" s="1"/>
  <c r="V21" i="29"/>
  <c r="BG31" i="29"/>
  <c r="BG38" i="29"/>
  <c r="BH38" i="29" s="1"/>
  <c r="BG39" i="29"/>
  <c r="BH39" i="29" s="1"/>
  <c r="BN18" i="29"/>
  <c r="BO18" i="29" s="1"/>
  <c r="BT18" i="29"/>
  <c r="BU18" i="29" s="1"/>
  <c r="V18" i="29"/>
  <c r="AU40" i="29"/>
  <c r="BG4" i="29"/>
  <c r="AH103" i="29"/>
  <c r="AO104" i="29"/>
  <c r="AC104" i="29"/>
  <c r="Q104" i="29"/>
  <c r="AR104" i="29"/>
  <c r="AN104" i="29"/>
  <c r="AF104" i="29"/>
  <c r="AB104" i="29"/>
  <c r="T104" i="29"/>
  <c r="P104" i="29"/>
  <c r="AY104" i="29"/>
  <c r="AQ104" i="29"/>
  <c r="AM104" i="29"/>
  <c r="AE104" i="29"/>
  <c r="AA104" i="29"/>
  <c r="S104" i="29"/>
  <c r="O104" i="29"/>
  <c r="AX104" i="29"/>
  <c r="AP104" i="29"/>
  <c r="AL104" i="29"/>
  <c r="AD104" i="29"/>
  <c r="Z104" i="29"/>
  <c r="R104" i="29"/>
  <c r="N104" i="29"/>
  <c r="AU96" i="29"/>
  <c r="E111" i="29"/>
  <c r="AH36" i="29"/>
  <c r="AT30" i="29"/>
  <c r="AH37" i="29"/>
  <c r="AH38" i="29"/>
  <c r="AH33" i="29"/>
  <c r="V34" i="29"/>
  <c r="V30" i="29"/>
  <c r="BG25" i="29"/>
  <c r="BH25" i="29" s="1"/>
  <c r="BN23" i="29"/>
  <c r="BO23" i="29" s="1"/>
  <c r="AN42" i="29"/>
  <c r="AN10" i="29" s="1"/>
  <c r="AN11" i="29" s="1"/>
  <c r="AN72" i="29" s="1"/>
  <c r="T42" i="29"/>
  <c r="T72" i="29" s="1"/>
  <c r="BN25" i="29"/>
  <c r="BO25" i="29" s="1"/>
  <c r="V23" i="29"/>
  <c r="AH18" i="29"/>
  <c r="AQ42" i="29"/>
  <c r="AQ10" i="29" s="1"/>
  <c r="AQ11" i="29" s="1"/>
  <c r="AQ72" i="29" s="1"/>
  <c r="O42" i="29"/>
  <c r="O72" i="29" s="1"/>
  <c r="BN37" i="29"/>
  <c r="BO37" i="29" s="1"/>
  <c r="BN27" i="29"/>
  <c r="BO27" i="29" s="1"/>
  <c r="BN31" i="29"/>
  <c r="BO31" i="29" s="1"/>
  <c r="BN38" i="29"/>
  <c r="BO38" i="29" s="1"/>
  <c r="BT27" i="29"/>
  <c r="BU27" i="29" s="1"/>
  <c r="V27" i="29"/>
  <c r="AH19" i="29"/>
  <c r="AL42" i="29"/>
  <c r="AL10" i="29" s="1"/>
  <c r="AT17" i="29"/>
  <c r="R42" i="29"/>
  <c r="R72" i="29" s="1"/>
  <c r="BG33" i="29"/>
  <c r="BH33" i="29" s="1"/>
  <c r="BG37" i="29"/>
  <c r="BH37" i="29" s="1"/>
  <c r="BG27" i="29"/>
  <c r="AH26" i="29"/>
  <c r="AH25" i="29"/>
  <c r="AJ25" i="29" s="1"/>
  <c r="BG23" i="29"/>
  <c r="BH23" i="29" s="1"/>
  <c r="AY42" i="29"/>
  <c r="AY10" i="29" s="1"/>
  <c r="AY11" i="29" s="1"/>
  <c r="AY72" i="29" s="1"/>
  <c r="Q42" i="29"/>
  <c r="Q72" i="29" s="1"/>
  <c r="BN21" i="29"/>
  <c r="BO21" i="29" s="1"/>
  <c r="K92" i="28"/>
  <c r="R61" i="31" l="1"/>
  <c r="AZ83" i="29"/>
  <c r="AZ85" i="29" s="1"/>
  <c r="AV33" i="29"/>
  <c r="AJ64" i="29"/>
  <c r="AY65" i="31"/>
  <c r="AY66" i="31"/>
  <c r="AV32" i="29"/>
  <c r="AV64" i="29"/>
  <c r="T67" i="31"/>
  <c r="T59" i="31"/>
  <c r="AJ20" i="29"/>
  <c r="AV24" i="29"/>
  <c r="AQ64" i="31"/>
  <c r="Q63" i="31"/>
  <c r="Q64" i="31"/>
  <c r="Q59" i="31"/>
  <c r="T66" i="31"/>
  <c r="BC83" i="29"/>
  <c r="BC85" i="29" s="1"/>
  <c r="BC93" i="29" s="1"/>
  <c r="BB83" i="29"/>
  <c r="BB85" i="29" s="1"/>
  <c r="BB93" i="29" s="1"/>
  <c r="AV17" i="29"/>
  <c r="AV20" i="29"/>
  <c r="V70" i="29"/>
  <c r="X36" i="29"/>
  <c r="AV21" i="29"/>
  <c r="AJ35" i="29"/>
  <c r="AJ60" i="29"/>
  <c r="BD83" i="29"/>
  <c r="BD85" i="29" s="1"/>
  <c r="BD95" i="29" s="1"/>
  <c r="BA83" i="29"/>
  <c r="BA85" i="29" s="1"/>
  <c r="BA95" i="29" s="1"/>
  <c r="BJ66" i="31"/>
  <c r="AH70" i="29"/>
  <c r="BJ63" i="31"/>
  <c r="AQ66" i="31"/>
  <c r="AQ60" i="31"/>
  <c r="AQ63" i="31"/>
  <c r="Q61" i="31"/>
  <c r="BJ61" i="31"/>
  <c r="BJ59" i="31"/>
  <c r="BJ67" i="31"/>
  <c r="AQ62" i="31"/>
  <c r="AQ61" i="31"/>
  <c r="AY59" i="31"/>
  <c r="AY62" i="31"/>
  <c r="BJ60" i="31"/>
  <c r="BJ62" i="31"/>
  <c r="AQ59" i="31"/>
  <c r="Q60" i="31"/>
  <c r="AY67" i="31"/>
  <c r="BJ64" i="31"/>
  <c r="BL55" i="30"/>
  <c r="BL57" i="30" s="1"/>
  <c r="BL67" i="30" s="1"/>
  <c r="AR55" i="30"/>
  <c r="AR57" i="30" s="1"/>
  <c r="AR60" i="30" s="1"/>
  <c r="BM75" i="29"/>
  <c r="BO75" i="29" s="1"/>
  <c r="BJ83" i="29"/>
  <c r="BJ85" i="29" s="1"/>
  <c r="BJ94" i="29" s="1"/>
  <c r="BH61" i="29"/>
  <c r="AD62" i="31"/>
  <c r="BM74" i="29"/>
  <c r="BO74" i="29" s="1"/>
  <c r="BM77" i="29"/>
  <c r="BO77" i="29" s="1"/>
  <c r="AD61" i="31"/>
  <c r="BK83" i="29"/>
  <c r="BK85" i="29" s="1"/>
  <c r="AH104" i="29"/>
  <c r="BF104" i="29"/>
  <c r="X18" i="29"/>
  <c r="X31" i="29"/>
  <c r="BT70" i="29"/>
  <c r="BU70" i="29" s="1"/>
  <c r="X57" i="29"/>
  <c r="T61" i="31"/>
  <c r="T63" i="31"/>
  <c r="T60" i="31"/>
  <c r="T62" i="31"/>
  <c r="BM80" i="29"/>
  <c r="BO80" i="29" s="1"/>
  <c r="N59" i="31"/>
  <c r="AA61" i="31"/>
  <c r="N66" i="31"/>
  <c r="AP60" i="31"/>
  <c r="AD65" i="31"/>
  <c r="AD59" i="31"/>
  <c r="AM63" i="31"/>
  <c r="P59" i="31"/>
  <c r="AR55" i="31"/>
  <c r="AR57" i="31" s="1"/>
  <c r="AR64" i="31" s="1"/>
  <c r="AX55" i="31"/>
  <c r="AX57" i="31" s="1"/>
  <c r="AX64" i="31" s="1"/>
  <c r="AD60" i="31"/>
  <c r="AD63" i="31"/>
  <c r="AM60" i="31"/>
  <c r="AD66" i="31"/>
  <c r="AD64" i="31"/>
  <c r="AM64" i="31"/>
  <c r="R64" i="31"/>
  <c r="AM59" i="31"/>
  <c r="AM62" i="31"/>
  <c r="AB63" i="31"/>
  <c r="AA67" i="31"/>
  <c r="AN63" i="31"/>
  <c r="AN60" i="31"/>
  <c r="AN61" i="31"/>
  <c r="P63" i="31"/>
  <c r="Q66" i="31"/>
  <c r="Q62" i="31"/>
  <c r="AB59" i="31"/>
  <c r="AN67" i="31"/>
  <c r="AN64" i="31"/>
  <c r="P67" i="31"/>
  <c r="AN65" i="31"/>
  <c r="BA68" i="31"/>
  <c r="BA70" i="31" s="1"/>
  <c r="BA73" i="31" s="1"/>
  <c r="BA78" i="31" s="1"/>
  <c r="BD68" i="31"/>
  <c r="BD70" i="31" s="1"/>
  <c r="BD73" i="31" s="1"/>
  <c r="BD78" i="31" s="1"/>
  <c r="Z65" i="31"/>
  <c r="AM61" i="31"/>
  <c r="AM67" i="31"/>
  <c r="P62" i="31"/>
  <c r="AN66" i="31"/>
  <c r="Q65" i="31"/>
  <c r="BB68" i="31"/>
  <c r="BB70" i="31" s="1"/>
  <c r="BB73" i="31" s="1"/>
  <c r="BB78" i="31" s="1"/>
  <c r="AZ68" i="31"/>
  <c r="AZ70" i="31" s="1"/>
  <c r="AZ73" i="31" s="1"/>
  <c r="AZ78" i="31" s="1"/>
  <c r="BC68" i="31"/>
  <c r="BC70" i="31" s="1"/>
  <c r="BC73" i="31" s="1"/>
  <c r="BC78" i="31" s="1"/>
  <c r="BR91" i="32"/>
  <c r="BS91" i="32" s="1"/>
  <c r="P61" i="31"/>
  <c r="P65" i="31"/>
  <c r="AN59" i="31"/>
  <c r="P64" i="31"/>
  <c r="P66" i="31"/>
  <c r="Z59" i="31"/>
  <c r="R60" i="31"/>
  <c r="Z60" i="31"/>
  <c r="Z63" i="31"/>
  <c r="AB65" i="31"/>
  <c r="R62" i="31"/>
  <c r="R67" i="31"/>
  <c r="Z62" i="31"/>
  <c r="R66" i="31"/>
  <c r="R63" i="31"/>
  <c r="R65" i="31"/>
  <c r="Z61" i="31"/>
  <c r="Z64" i="31"/>
  <c r="AR60" i="31"/>
  <c r="AR65" i="31"/>
  <c r="N63" i="31"/>
  <c r="N60" i="31"/>
  <c r="AP67" i="31"/>
  <c r="AP62" i="31"/>
  <c r="O61" i="31"/>
  <c r="AA60" i="31"/>
  <c r="AA64" i="31"/>
  <c r="N65" i="31"/>
  <c r="N67" i="31"/>
  <c r="N64" i="31"/>
  <c r="AP64" i="31"/>
  <c r="AP66" i="31"/>
  <c r="AP59" i="31"/>
  <c r="O64" i="31"/>
  <c r="AA66" i="31"/>
  <c r="AA62" i="31"/>
  <c r="N62" i="31"/>
  <c r="AP65" i="31"/>
  <c r="AA59" i="31"/>
  <c r="AA63" i="31"/>
  <c r="O62" i="31"/>
  <c r="O67" i="31"/>
  <c r="O65" i="31"/>
  <c r="O63" i="31"/>
  <c r="AB66" i="31"/>
  <c r="AB67" i="31"/>
  <c r="AB61" i="31"/>
  <c r="AB60" i="31"/>
  <c r="AB64" i="31"/>
  <c r="O60" i="31"/>
  <c r="O59" i="31"/>
  <c r="AL55" i="31"/>
  <c r="AL57" i="31" s="1"/>
  <c r="AL61" i="31" s="1"/>
  <c r="AO68" i="31"/>
  <c r="AO70" i="31" s="1"/>
  <c r="AO73" i="31" s="1"/>
  <c r="AO78" i="31" s="1"/>
  <c r="AY55" i="30"/>
  <c r="AY57" i="30" s="1"/>
  <c r="AY65" i="30" s="1"/>
  <c r="BK66" i="30"/>
  <c r="BK67" i="30"/>
  <c r="BK59" i="30"/>
  <c r="BK65" i="30"/>
  <c r="BL59" i="30"/>
  <c r="BK61" i="30"/>
  <c r="BK62" i="30"/>
  <c r="BK63" i="30"/>
  <c r="AC55" i="31"/>
  <c r="AC57" i="31" s="1"/>
  <c r="AC66" i="31" s="1"/>
  <c r="AE64" i="31"/>
  <c r="AE60" i="31"/>
  <c r="AE67" i="31"/>
  <c r="AE65" i="31"/>
  <c r="AE61" i="31"/>
  <c r="AE63" i="31"/>
  <c r="AE66" i="31"/>
  <c r="AE62" i="31"/>
  <c r="AE59" i="31"/>
  <c r="AF65" i="31"/>
  <c r="AF61" i="31"/>
  <c r="AF60" i="31"/>
  <c r="AF66" i="31"/>
  <c r="AF62" i="31"/>
  <c r="AF67" i="31"/>
  <c r="AF63" i="31"/>
  <c r="AF59" i="31"/>
  <c r="AF64" i="31"/>
  <c r="S63" i="31"/>
  <c r="S59" i="31"/>
  <c r="S66" i="31"/>
  <c r="S64" i="31"/>
  <c r="S62" i="31"/>
  <c r="S60" i="31"/>
  <c r="S67" i="31"/>
  <c r="S65" i="31"/>
  <c r="S61" i="31"/>
  <c r="BL62" i="30"/>
  <c r="AO55" i="30"/>
  <c r="AO57" i="30" s="1"/>
  <c r="AO66" i="30" s="1"/>
  <c r="BL64" i="30"/>
  <c r="AE55" i="30"/>
  <c r="AE57" i="30" s="1"/>
  <c r="AE61" i="30" s="1"/>
  <c r="BA55" i="30"/>
  <c r="BA57" i="30" s="1"/>
  <c r="BA59" i="30" s="1"/>
  <c r="AM55" i="30"/>
  <c r="AM57" i="30" s="1"/>
  <c r="AM63" i="30" s="1"/>
  <c r="BC55" i="30"/>
  <c r="BC57" i="30" s="1"/>
  <c r="BC59" i="30" s="1"/>
  <c r="BD55" i="30"/>
  <c r="BD57" i="30" s="1"/>
  <c r="BD61" i="30" s="1"/>
  <c r="BB55" i="30"/>
  <c r="BB57" i="30" s="1"/>
  <c r="BB60" i="30" s="1"/>
  <c r="BJ47" i="30"/>
  <c r="BN47" i="30" s="1"/>
  <c r="BP47" i="30" s="1"/>
  <c r="BJ51" i="30"/>
  <c r="BN51" i="30" s="1"/>
  <c r="BP51" i="30" s="1"/>
  <c r="BJ80" i="30"/>
  <c r="BN80" i="30" s="1"/>
  <c r="BJ54" i="30"/>
  <c r="BN54" i="30" s="1"/>
  <c r="BP54" i="30" s="1"/>
  <c r="BN44" i="30"/>
  <c r="BJ46" i="30"/>
  <c r="BJ52" i="30"/>
  <c r="BN52" i="30" s="1"/>
  <c r="BP52" i="30" s="1"/>
  <c r="BJ49" i="30"/>
  <c r="BN49" i="30" s="1"/>
  <c r="BP49" i="30" s="1"/>
  <c r="BJ48" i="30"/>
  <c r="BN48" i="30" s="1"/>
  <c r="BP48" i="30" s="1"/>
  <c r="BJ50" i="30"/>
  <c r="BN50" i="30" s="1"/>
  <c r="BP50" i="30" s="1"/>
  <c r="BJ53" i="30"/>
  <c r="BN53" i="30" s="1"/>
  <c r="BP53" i="30" s="1"/>
  <c r="X46" i="31"/>
  <c r="X55" i="31" s="1"/>
  <c r="V55" i="31"/>
  <c r="BJ80" i="31"/>
  <c r="BL54" i="31"/>
  <c r="BN54" i="31" s="1"/>
  <c r="BL52" i="31"/>
  <c r="BN52" i="31" s="1"/>
  <c r="BL50" i="31"/>
  <c r="BN50" i="31" s="1"/>
  <c r="BL48" i="31"/>
  <c r="BN48" i="31" s="1"/>
  <c r="BL53" i="31"/>
  <c r="BN53" i="31" s="1"/>
  <c r="BL51" i="31"/>
  <c r="BN51" i="31" s="1"/>
  <c r="BL44" i="31"/>
  <c r="BL49" i="31"/>
  <c r="BN49" i="31" s="1"/>
  <c r="BL47" i="31"/>
  <c r="BN47" i="31" s="1"/>
  <c r="AC80" i="31"/>
  <c r="AH44" i="31"/>
  <c r="BP44" i="31"/>
  <c r="AL80" i="31"/>
  <c r="AT54" i="31"/>
  <c r="AV54" i="31" s="1"/>
  <c r="AT52" i="31"/>
  <c r="AV52" i="31" s="1"/>
  <c r="AT50" i="31"/>
  <c r="AV50" i="31" s="1"/>
  <c r="AT48" i="31"/>
  <c r="AV48" i="31" s="1"/>
  <c r="AT53" i="31"/>
  <c r="AV53" i="31" s="1"/>
  <c r="AT51" i="31"/>
  <c r="AV51" i="31" s="1"/>
  <c r="AT49" i="31"/>
  <c r="AV49" i="31" s="1"/>
  <c r="AT47" i="31"/>
  <c r="AV47" i="31" s="1"/>
  <c r="AT44" i="31"/>
  <c r="AX80" i="31"/>
  <c r="BF53" i="31"/>
  <c r="BH53" i="31" s="1"/>
  <c r="BF51" i="31"/>
  <c r="BH51" i="31" s="1"/>
  <c r="BF49" i="31"/>
  <c r="BH49" i="31" s="1"/>
  <c r="BF47" i="31"/>
  <c r="BH47" i="31" s="1"/>
  <c r="BF54" i="31"/>
  <c r="BH54" i="31" s="1"/>
  <c r="BF52" i="31"/>
  <c r="BH52" i="31" s="1"/>
  <c r="BF50" i="31"/>
  <c r="BH50" i="31" s="1"/>
  <c r="BF44" i="31"/>
  <c r="BF48" i="31"/>
  <c r="BH48" i="31" s="1"/>
  <c r="K75" i="31"/>
  <c r="K70" i="31"/>
  <c r="AZ55" i="30"/>
  <c r="AZ57" i="30" s="1"/>
  <c r="AZ65" i="30" s="1"/>
  <c r="AD55" i="30"/>
  <c r="AD57" i="30" s="1"/>
  <c r="AD64" i="30" s="1"/>
  <c r="AE64" i="30"/>
  <c r="AY64" i="30"/>
  <c r="BH40" i="30"/>
  <c r="AX51" i="30"/>
  <c r="AX47" i="30"/>
  <c r="AX54" i="30"/>
  <c r="AX50" i="30"/>
  <c r="AX46" i="30"/>
  <c r="AX53" i="30"/>
  <c r="AX49" i="30"/>
  <c r="AX52" i="30"/>
  <c r="AX48" i="30"/>
  <c r="AR64" i="30"/>
  <c r="AR59" i="30"/>
  <c r="AQ55" i="30"/>
  <c r="AQ57" i="30" s="1"/>
  <c r="AP55" i="30"/>
  <c r="AP57" i="30" s="1"/>
  <c r="AN55" i="30"/>
  <c r="AN57" i="30" s="1"/>
  <c r="AV40" i="30"/>
  <c r="AL53" i="30"/>
  <c r="AL49" i="30"/>
  <c r="AL52" i="30"/>
  <c r="AL48" i="30"/>
  <c r="AL51" i="30"/>
  <c r="AL47" i="30"/>
  <c r="AL54" i="30"/>
  <c r="AL50" i="30"/>
  <c r="AL46" i="30"/>
  <c r="AF55" i="30"/>
  <c r="AF57" i="30" s="1"/>
  <c r="T55" i="30"/>
  <c r="T57" i="30" s="1"/>
  <c r="T67" i="30" s="1"/>
  <c r="R55" i="30"/>
  <c r="R57" i="30" s="1"/>
  <c r="R59" i="30" s="1"/>
  <c r="X40" i="30"/>
  <c r="AC55" i="30"/>
  <c r="AC57" i="30" s="1"/>
  <c r="AA64" i="30"/>
  <c r="AA66" i="30"/>
  <c r="AA63" i="30"/>
  <c r="AA67" i="30"/>
  <c r="AA65" i="30"/>
  <c r="AA61" i="30"/>
  <c r="AA62" i="30"/>
  <c r="AA60" i="30"/>
  <c r="AA59" i="30"/>
  <c r="O55" i="30"/>
  <c r="O57" i="30" s="1"/>
  <c r="Z44" i="30"/>
  <c r="AH9" i="30"/>
  <c r="Q65" i="30"/>
  <c r="Q64" i="30"/>
  <c r="Q63" i="30"/>
  <c r="Q66" i="30"/>
  <c r="Q62" i="30"/>
  <c r="Q59" i="30"/>
  <c r="Q60" i="30"/>
  <c r="Q67" i="30"/>
  <c r="Q61" i="30"/>
  <c r="N44" i="30"/>
  <c r="V9" i="30"/>
  <c r="AT9" i="30"/>
  <c r="S55" i="30"/>
  <c r="S57" i="30" s="1"/>
  <c r="K75" i="30"/>
  <c r="AJ40" i="30"/>
  <c r="AB55" i="30"/>
  <c r="AB57" i="30" s="1"/>
  <c r="BF9" i="30"/>
  <c r="P65" i="30"/>
  <c r="P66" i="30"/>
  <c r="P64" i="30"/>
  <c r="P60" i="30"/>
  <c r="P63" i="30"/>
  <c r="P67" i="30"/>
  <c r="P59" i="30"/>
  <c r="P62" i="30"/>
  <c r="P61" i="30"/>
  <c r="X27" i="29"/>
  <c r="AV57" i="29"/>
  <c r="AV61" i="29"/>
  <c r="AT70" i="29"/>
  <c r="X19" i="29"/>
  <c r="X39" i="29"/>
  <c r="AJ30" i="29"/>
  <c r="AJ37" i="29"/>
  <c r="BZ2" i="29"/>
  <c r="X38" i="29"/>
  <c r="X26" i="29"/>
  <c r="AV30" i="29"/>
  <c r="X21" i="29"/>
  <c r="AJ57" i="29"/>
  <c r="AJ70" i="29" s="1"/>
  <c r="AJ17" i="29"/>
  <c r="AU70" i="29"/>
  <c r="W70" i="29"/>
  <c r="V10" i="29"/>
  <c r="BH70" i="29"/>
  <c r="BG70" i="29"/>
  <c r="AV70" i="29"/>
  <c r="AI70" i="29"/>
  <c r="X70" i="29"/>
  <c r="BH31" i="29"/>
  <c r="BH27" i="29"/>
  <c r="AI4" i="29"/>
  <c r="AJ21" i="29"/>
  <c r="AV18" i="29"/>
  <c r="AV28" i="29"/>
  <c r="X33" i="29"/>
  <c r="BO3" i="29"/>
  <c r="BO4" i="29" s="1"/>
  <c r="X32" i="29"/>
  <c r="X17" i="29"/>
  <c r="BH30" i="29"/>
  <c r="AV38" i="29"/>
  <c r="X24" i="29"/>
  <c r="AJ24" i="29"/>
  <c r="AV40" i="29"/>
  <c r="AV34" i="29"/>
  <c r="AV31" i="29"/>
  <c r="X35" i="29"/>
  <c r="X34" i="29"/>
  <c r="AJ39" i="29"/>
  <c r="AJ32" i="29"/>
  <c r="X20" i="29"/>
  <c r="AJ29" i="29"/>
  <c r="BH32" i="29"/>
  <c r="X40" i="29"/>
  <c r="X28" i="29"/>
  <c r="AV37" i="29"/>
  <c r="X37" i="29"/>
  <c r="AV36" i="29"/>
  <c r="AJ31" i="29"/>
  <c r="AJ27" i="29"/>
  <c r="BF42" i="29"/>
  <c r="AJ22" i="29"/>
  <c r="AJ18" i="29"/>
  <c r="X29" i="29"/>
  <c r="AV3" i="29"/>
  <c r="AV4" i="29" s="1"/>
  <c r="X22" i="29"/>
  <c r="X23" i="29"/>
  <c r="X30" i="29"/>
  <c r="AJ38" i="29"/>
  <c r="AJ33" i="29"/>
  <c r="AV27" i="29"/>
  <c r="AJ26" i="29"/>
  <c r="AU42" i="29"/>
  <c r="AJ23" i="29"/>
  <c r="W42" i="29"/>
  <c r="AI42" i="29"/>
  <c r="W4" i="29"/>
  <c r="X3" i="29"/>
  <c r="X4" i="29" s="1"/>
  <c r="AJ36" i="29"/>
  <c r="AJ19" i="29"/>
  <c r="AJ28" i="29"/>
  <c r="Q108" i="29"/>
  <c r="Q79" i="29"/>
  <c r="Q82" i="29"/>
  <c r="Q78" i="29"/>
  <c r="Q81" i="29"/>
  <c r="Q77" i="29"/>
  <c r="Q80" i="29"/>
  <c r="Q76" i="29"/>
  <c r="Q75" i="29"/>
  <c r="Q74" i="29"/>
  <c r="R108" i="29"/>
  <c r="R82" i="29"/>
  <c r="R78" i="29"/>
  <c r="R81" i="29"/>
  <c r="R77" i="29"/>
  <c r="R80" i="29"/>
  <c r="R76" i="29"/>
  <c r="R79" i="29"/>
  <c r="R75" i="29"/>
  <c r="R74" i="29"/>
  <c r="AN108" i="29"/>
  <c r="AN80" i="29"/>
  <c r="AN76" i="29"/>
  <c r="AN79" i="29"/>
  <c r="AN75" i="29"/>
  <c r="AN82" i="29"/>
  <c r="AN78" i="29"/>
  <c r="AN81" i="29"/>
  <c r="AN77" i="29"/>
  <c r="AN74" i="29"/>
  <c r="AT42" i="29"/>
  <c r="AQ108" i="29"/>
  <c r="AQ82" i="29"/>
  <c r="AQ81" i="29"/>
  <c r="AQ77" i="29"/>
  <c r="AQ80" i="29"/>
  <c r="AQ76" i="29"/>
  <c r="AQ79" i="29"/>
  <c r="AQ75" i="29"/>
  <c r="AQ78" i="29"/>
  <c r="AQ74" i="29"/>
  <c r="AX11" i="29"/>
  <c r="BF10" i="29"/>
  <c r="AO108" i="29"/>
  <c r="AO79" i="29"/>
  <c r="AO75" i="29"/>
  <c r="AO82" i="29"/>
  <c r="AO78" i="29"/>
  <c r="AO81" i="29"/>
  <c r="AO77" i="29"/>
  <c r="AO80" i="29"/>
  <c r="AO76" i="29"/>
  <c r="AO74" i="29"/>
  <c r="BN42" i="29"/>
  <c r="BO17" i="29"/>
  <c r="BO42" i="29" s="1"/>
  <c r="BG42" i="29"/>
  <c r="BH17" i="29"/>
  <c r="AH42" i="29"/>
  <c r="AD108" i="29"/>
  <c r="AD80" i="29"/>
  <c r="AD76" i="29"/>
  <c r="AD79" i="29"/>
  <c r="AD82" i="29"/>
  <c r="AD78" i="29"/>
  <c r="AD81" i="29"/>
  <c r="AD77" i="29"/>
  <c r="AD74" i="29"/>
  <c r="AD75" i="29"/>
  <c r="J108" i="29"/>
  <c r="K108" i="29" s="1"/>
  <c r="E115" i="29"/>
  <c r="V42" i="29"/>
  <c r="BB94" i="29"/>
  <c r="BB95" i="29"/>
  <c r="BB91" i="29"/>
  <c r="BB87" i="29"/>
  <c r="BB89" i="29"/>
  <c r="AT10" i="29"/>
  <c r="AL11" i="29"/>
  <c r="AZ95" i="29"/>
  <c r="AZ94" i="29"/>
  <c r="AZ93" i="29"/>
  <c r="AZ92" i="29"/>
  <c r="AZ90" i="29"/>
  <c r="AZ87" i="29"/>
  <c r="AZ89" i="29"/>
  <c r="AZ91" i="29"/>
  <c r="AZ88" i="29"/>
  <c r="V104" i="29"/>
  <c r="BQ104" i="29"/>
  <c r="BR104" i="29" s="1"/>
  <c r="AT104" i="29"/>
  <c r="AH10" i="29"/>
  <c r="BM115" i="29"/>
  <c r="BJ117" i="29"/>
  <c r="BM117" i="29" s="1"/>
  <c r="AB108" i="29"/>
  <c r="AB82" i="29"/>
  <c r="AB78" i="29"/>
  <c r="AB81" i="29"/>
  <c r="AB77" i="29"/>
  <c r="AB80" i="29"/>
  <c r="AB76" i="29"/>
  <c r="AB79" i="29"/>
  <c r="AB75" i="29"/>
  <c r="AB74" i="29"/>
  <c r="BT42" i="29"/>
  <c r="BU42" i="29" s="1"/>
  <c r="BU17" i="29"/>
  <c r="P108" i="29"/>
  <c r="P80" i="29"/>
  <c r="P76" i="29"/>
  <c r="P79" i="29"/>
  <c r="P82" i="29"/>
  <c r="P78" i="29"/>
  <c r="P81" i="29"/>
  <c r="P77" i="29"/>
  <c r="P75" i="29"/>
  <c r="P74" i="29"/>
  <c r="T108" i="29"/>
  <c r="T80" i="29"/>
  <c r="T76" i="29"/>
  <c r="T79" i="29"/>
  <c r="T82" i="29"/>
  <c r="T78" i="29"/>
  <c r="T81" i="29"/>
  <c r="T77" i="29"/>
  <c r="T74" i="29"/>
  <c r="T75" i="29"/>
  <c r="AA108" i="29"/>
  <c r="AA79" i="29"/>
  <c r="AA82" i="29"/>
  <c r="AA78" i="29"/>
  <c r="AA81" i="29"/>
  <c r="AA77" i="29"/>
  <c r="AA80" i="29"/>
  <c r="AA76" i="29"/>
  <c r="AA75" i="29"/>
  <c r="AA74" i="29"/>
  <c r="AP108" i="29"/>
  <c r="AP82" i="29"/>
  <c r="AP78" i="29"/>
  <c r="AP81" i="29"/>
  <c r="AP77" i="29"/>
  <c r="AP80" i="29"/>
  <c r="AP76" i="29"/>
  <c r="AP79" i="29"/>
  <c r="AP75" i="29"/>
  <c r="AP74" i="29"/>
  <c r="AR108" i="29"/>
  <c r="AR80" i="29"/>
  <c r="AR76" i="29"/>
  <c r="AR79" i="29"/>
  <c r="AR75" i="29"/>
  <c r="AR78" i="29"/>
  <c r="AR82" i="29"/>
  <c r="AR81" i="29"/>
  <c r="AR77" i="29"/>
  <c r="AR74" i="29"/>
  <c r="BD91" i="29"/>
  <c r="AE108" i="29"/>
  <c r="AE79" i="29"/>
  <c r="AE82" i="29"/>
  <c r="AE78" i="29"/>
  <c r="AE81" i="29"/>
  <c r="AE77" i="29"/>
  <c r="AE80" i="29"/>
  <c r="AE76" i="29"/>
  <c r="AE74" i="29"/>
  <c r="AE75" i="29"/>
  <c r="BU3" i="29"/>
  <c r="BZ3" i="29"/>
  <c r="BT10" i="29"/>
  <c r="J10" i="29" s="1"/>
  <c r="K10" i="29" s="1"/>
  <c r="N11" i="29"/>
  <c r="AY108" i="29"/>
  <c r="AY79" i="29"/>
  <c r="AY75" i="29"/>
  <c r="AY78" i="29"/>
  <c r="AY81" i="29"/>
  <c r="AY77" i="29"/>
  <c r="AY82" i="29"/>
  <c r="AY80" i="29"/>
  <c r="AY76" i="29"/>
  <c r="AY74" i="29"/>
  <c r="O108" i="29"/>
  <c r="O81" i="29"/>
  <c r="O77" i="29"/>
  <c r="O80" i="29"/>
  <c r="O76" i="29"/>
  <c r="O79" i="29"/>
  <c r="O75" i="29"/>
  <c r="O82" i="29"/>
  <c r="O78" i="29"/>
  <c r="O74" i="29"/>
  <c r="I111" i="29"/>
  <c r="H111" i="29"/>
  <c r="E113" i="29"/>
  <c r="E120" i="29" s="1"/>
  <c r="C120" i="29" s="1"/>
  <c r="C121" i="29" s="1"/>
  <c r="C122" i="29" s="1"/>
  <c r="G111" i="29"/>
  <c r="J111" i="29"/>
  <c r="F111" i="29"/>
  <c r="AC108" i="29"/>
  <c r="AC81" i="29"/>
  <c r="AC77" i="29"/>
  <c r="AC80" i="29"/>
  <c r="AC76" i="29"/>
  <c r="AC79" i="29"/>
  <c r="AC75" i="29"/>
  <c r="AC82" i="29"/>
  <c r="AC78" i="29"/>
  <c r="AC74" i="29"/>
  <c r="BC94" i="29"/>
  <c r="BC92" i="29"/>
  <c r="S108" i="29"/>
  <c r="S81" i="29"/>
  <c r="S77" i="29"/>
  <c r="S80" i="29"/>
  <c r="S76" i="29"/>
  <c r="S79" i="29"/>
  <c r="S75" i="29"/>
  <c r="S82" i="29"/>
  <c r="S78" i="29"/>
  <c r="S74" i="29"/>
  <c r="BJ95" i="29"/>
  <c r="BJ87" i="29"/>
  <c r="BJ88" i="29"/>
  <c r="BA92" i="29"/>
  <c r="BA90" i="29"/>
  <c r="AF108" i="29"/>
  <c r="AF82" i="29"/>
  <c r="AF78" i="29"/>
  <c r="AF81" i="29"/>
  <c r="AF77" i="29"/>
  <c r="AF80" i="29"/>
  <c r="AF76" i="29"/>
  <c r="AF79" i="29"/>
  <c r="AF75" i="29"/>
  <c r="AF74" i="29"/>
  <c r="AM108" i="29"/>
  <c r="AM81" i="29"/>
  <c r="AM77" i="29"/>
  <c r="AM80" i="29"/>
  <c r="AM76" i="29"/>
  <c r="AM79" i="29"/>
  <c r="AM75" i="29"/>
  <c r="AM82" i="29"/>
  <c r="AM78" i="29"/>
  <c r="AM74" i="29"/>
  <c r="AY5" i="28"/>
  <c r="BJ91" i="29" l="1"/>
  <c r="BA88" i="29"/>
  <c r="BJ90" i="29"/>
  <c r="BJ89" i="29"/>
  <c r="BJ96" i="29" s="1"/>
  <c r="BB92" i="29"/>
  <c r="BA93" i="29"/>
  <c r="BA91" i="29"/>
  <c r="BA94" i="29"/>
  <c r="BJ93" i="29"/>
  <c r="BB90" i="29"/>
  <c r="BA87" i="29"/>
  <c r="BA89" i="29"/>
  <c r="BJ92" i="29"/>
  <c r="BD92" i="29"/>
  <c r="BB88" i="29"/>
  <c r="AY59" i="30"/>
  <c r="AL65" i="31"/>
  <c r="BC91" i="29"/>
  <c r="AR63" i="30"/>
  <c r="AR61" i="30"/>
  <c r="AR68" i="30" s="1"/>
  <c r="AR70" i="30" s="1"/>
  <c r="AR73" i="30" s="1"/>
  <c r="AR78" i="30" s="1"/>
  <c r="AR59" i="31"/>
  <c r="AR62" i="30"/>
  <c r="AR67" i="30"/>
  <c r="AR65" i="30"/>
  <c r="AL63" i="31"/>
  <c r="AR66" i="31"/>
  <c r="AR67" i="31"/>
  <c r="BC89" i="29"/>
  <c r="BC87" i="29"/>
  <c r="BC95" i="29"/>
  <c r="BC88" i="29"/>
  <c r="BC90" i="29"/>
  <c r="AR66" i="30"/>
  <c r="AL66" i="31"/>
  <c r="AR61" i="31"/>
  <c r="AR62" i="31"/>
  <c r="AR68" i="31" s="1"/>
  <c r="AR70" i="31" s="1"/>
  <c r="AR73" i="31" s="1"/>
  <c r="AR78" i="31" s="1"/>
  <c r="T68" i="31"/>
  <c r="T70" i="31" s="1"/>
  <c r="T73" i="31" s="1"/>
  <c r="BO83" i="29"/>
  <c r="AY68" i="31"/>
  <c r="AY70" i="31" s="1"/>
  <c r="AY73" i="31" s="1"/>
  <c r="AY78" i="31" s="1"/>
  <c r="BD89" i="29"/>
  <c r="BD93" i="29"/>
  <c r="BD87" i="29"/>
  <c r="BD94" i="29"/>
  <c r="BD88" i="29"/>
  <c r="BD96" i="29" s="1"/>
  <c r="BD98" i="29" s="1"/>
  <c r="BD90" i="29"/>
  <c r="AL67" i="31"/>
  <c r="AQ68" i="31"/>
  <c r="AQ70" i="31" s="1"/>
  <c r="AQ73" i="31" s="1"/>
  <c r="AQ78" i="31" s="1"/>
  <c r="AQ85" i="31" s="1"/>
  <c r="AL59" i="31"/>
  <c r="AL64" i="31"/>
  <c r="AR63" i="31"/>
  <c r="BJ68" i="31"/>
  <c r="BJ70" i="31" s="1"/>
  <c r="BJ73" i="31" s="1"/>
  <c r="BJ78" i="31" s="1"/>
  <c r="AL62" i="31"/>
  <c r="AX65" i="31"/>
  <c r="AX67" i="31"/>
  <c r="BB61" i="30"/>
  <c r="BL60" i="30"/>
  <c r="BL61" i="30"/>
  <c r="BL65" i="30"/>
  <c r="BL66" i="30"/>
  <c r="BL63" i="30"/>
  <c r="T78" i="31"/>
  <c r="T85" i="31" s="1"/>
  <c r="T83" i="31"/>
  <c r="BM94" i="29"/>
  <c r="BO94" i="29" s="1"/>
  <c r="AX61" i="31"/>
  <c r="AX59" i="31"/>
  <c r="AX62" i="31"/>
  <c r="AX60" i="31"/>
  <c r="AX66" i="31"/>
  <c r="AD68" i="31"/>
  <c r="AD70" i="31" s="1"/>
  <c r="AD73" i="31" s="1"/>
  <c r="AD78" i="31" s="1"/>
  <c r="AD85" i="31" s="1"/>
  <c r="BK94" i="29"/>
  <c r="BK91" i="29"/>
  <c r="BM91" i="29" s="1"/>
  <c r="BO91" i="29" s="1"/>
  <c r="BK93" i="29"/>
  <c r="BM93" i="29" s="1"/>
  <c r="BO93" i="29" s="1"/>
  <c r="BK88" i="29"/>
  <c r="BM88" i="29" s="1"/>
  <c r="BO88" i="29" s="1"/>
  <c r="BK95" i="29"/>
  <c r="BM95" i="29" s="1"/>
  <c r="BO95" i="29" s="1"/>
  <c r="BK89" i="29"/>
  <c r="BK87" i="29"/>
  <c r="BM87" i="29" s="1"/>
  <c r="BO87" i="29" s="1"/>
  <c r="BK92" i="29"/>
  <c r="BM92" i="29" s="1"/>
  <c r="BO92" i="29" s="1"/>
  <c r="BK90" i="29"/>
  <c r="BM90" i="29" s="1"/>
  <c r="BO90" i="29" s="1"/>
  <c r="BM83" i="29"/>
  <c r="AZ96" i="29"/>
  <c r="AZ98" i="29" s="1"/>
  <c r="AX63" i="31"/>
  <c r="Q68" i="31"/>
  <c r="Q70" i="31" s="1"/>
  <c r="Q73" i="31" s="1"/>
  <c r="Q83" i="31" s="1"/>
  <c r="AM68" i="31"/>
  <c r="AM70" i="31" s="1"/>
  <c r="AM73" i="31" s="1"/>
  <c r="AM78" i="31" s="1"/>
  <c r="AM85" i="31" s="1"/>
  <c r="Z68" i="31"/>
  <c r="Z70" i="31" s="1"/>
  <c r="Z73" i="31" s="1"/>
  <c r="Z83" i="31" s="1"/>
  <c r="P68" i="31"/>
  <c r="P70" i="31" s="1"/>
  <c r="P73" i="31" s="1"/>
  <c r="P78" i="31" s="1"/>
  <c r="P84" i="31" s="1"/>
  <c r="AC64" i="31"/>
  <c r="AA68" i="31"/>
  <c r="AA70" i="31" s="1"/>
  <c r="AA73" i="31" s="1"/>
  <c r="AA78" i="31" s="1"/>
  <c r="AA84" i="31" s="1"/>
  <c r="AN68" i="31"/>
  <c r="AN70" i="31" s="1"/>
  <c r="AN73" i="31" s="1"/>
  <c r="AN78" i="31" s="1"/>
  <c r="R68" i="31"/>
  <c r="R70" i="31" s="1"/>
  <c r="R73" i="31" s="1"/>
  <c r="R83" i="31" s="1"/>
  <c r="N68" i="31"/>
  <c r="N70" i="31" s="1"/>
  <c r="N73" i="31" s="1"/>
  <c r="N78" i="31" s="1"/>
  <c r="N84" i="31" s="1"/>
  <c r="AC67" i="31"/>
  <c r="AL60" i="31"/>
  <c r="AP68" i="31"/>
  <c r="AP70" i="31" s="1"/>
  <c r="AP73" i="31" s="1"/>
  <c r="AP78" i="31" s="1"/>
  <c r="AB68" i="31"/>
  <c r="AB70" i="31" s="1"/>
  <c r="AB73" i="31" s="1"/>
  <c r="AB78" i="31" s="1"/>
  <c r="O68" i="31"/>
  <c r="O70" i="31" s="1"/>
  <c r="O73" i="31" s="1"/>
  <c r="AC65" i="31"/>
  <c r="AC62" i="31"/>
  <c r="AC61" i="31"/>
  <c r="AC59" i="31"/>
  <c r="AC60" i="31"/>
  <c r="AC63" i="31"/>
  <c r="AY60" i="30"/>
  <c r="AY66" i="30"/>
  <c r="BD67" i="30"/>
  <c r="AY63" i="30"/>
  <c r="AY61" i="30"/>
  <c r="BC63" i="30"/>
  <c r="AY62" i="30"/>
  <c r="AY67" i="30"/>
  <c r="BD60" i="30"/>
  <c r="AO62" i="30"/>
  <c r="AM62" i="30"/>
  <c r="AM67" i="30"/>
  <c r="AM64" i="30"/>
  <c r="AM66" i="30"/>
  <c r="AM60" i="30"/>
  <c r="AM61" i="30"/>
  <c r="AM59" i="30"/>
  <c r="AM65" i="30"/>
  <c r="BB65" i="30"/>
  <c r="AD66" i="30"/>
  <c r="BK68" i="30"/>
  <c r="BK70" i="30" s="1"/>
  <c r="BK73" i="30" s="1"/>
  <c r="BK78" i="30" s="1"/>
  <c r="BK85" i="30" s="1"/>
  <c r="BC65" i="30"/>
  <c r="BC61" i="30"/>
  <c r="BA63" i="30"/>
  <c r="BA60" i="30"/>
  <c r="BB63" i="30"/>
  <c r="BA65" i="30"/>
  <c r="BC64" i="30"/>
  <c r="BC66" i="30"/>
  <c r="BA67" i="30"/>
  <c r="BA64" i="30"/>
  <c r="BB66" i="30"/>
  <c r="BB67" i="30"/>
  <c r="AO61" i="30"/>
  <c r="BC60" i="30"/>
  <c r="BC67" i="30"/>
  <c r="AO65" i="30"/>
  <c r="AO64" i="30"/>
  <c r="BB64" i="30"/>
  <c r="BB59" i="30"/>
  <c r="AE68" i="31"/>
  <c r="AE70" i="31" s="1"/>
  <c r="AE73" i="31" s="1"/>
  <c r="AE78" i="31" s="1"/>
  <c r="AF68" i="31"/>
  <c r="AF70" i="31" s="1"/>
  <c r="AF73" i="31" s="1"/>
  <c r="AF78" i="31" s="1"/>
  <c r="S68" i="31"/>
  <c r="S70" i="31" s="1"/>
  <c r="S73" i="31" s="1"/>
  <c r="S78" i="31" s="1"/>
  <c r="AD59" i="30"/>
  <c r="BC62" i="30"/>
  <c r="AE67" i="30"/>
  <c r="AO59" i="30"/>
  <c r="AO60" i="30"/>
  <c r="AO67" i="30"/>
  <c r="BB62" i="30"/>
  <c r="BA61" i="30"/>
  <c r="AO63" i="30"/>
  <c r="AZ60" i="30"/>
  <c r="AE65" i="30"/>
  <c r="AE59" i="30"/>
  <c r="AZ59" i="30"/>
  <c r="BA66" i="30"/>
  <c r="BA62" i="30"/>
  <c r="AE60" i="30"/>
  <c r="AE62" i="30"/>
  <c r="AE63" i="30"/>
  <c r="AE66" i="30"/>
  <c r="AZ66" i="30"/>
  <c r="AZ64" i="30"/>
  <c r="AZ61" i="30"/>
  <c r="BD66" i="30"/>
  <c r="BD62" i="30"/>
  <c r="BD64" i="30"/>
  <c r="BD63" i="30"/>
  <c r="BD59" i="30"/>
  <c r="BD65" i="30"/>
  <c r="AD65" i="30"/>
  <c r="AZ67" i="30"/>
  <c r="AZ62" i="30"/>
  <c r="BJ55" i="30"/>
  <c r="BJ57" i="30" s="1"/>
  <c r="BN46" i="30"/>
  <c r="AD60" i="30"/>
  <c r="AZ63" i="30"/>
  <c r="BC83" i="31"/>
  <c r="BC85" i="31"/>
  <c r="BF46" i="31"/>
  <c r="AH53" i="31"/>
  <c r="AJ53" i="31" s="1"/>
  <c r="BS53" i="31"/>
  <c r="BT53" i="31" s="1"/>
  <c r="AH80" i="31"/>
  <c r="BP80" i="31"/>
  <c r="BA83" i="31"/>
  <c r="V63" i="31"/>
  <c r="X63" i="31" s="1"/>
  <c r="V64" i="31"/>
  <c r="X64" i="31" s="1"/>
  <c r="BS47" i="31"/>
  <c r="BT47" i="31" s="1"/>
  <c r="AH47" i="31"/>
  <c r="AJ47" i="31" s="1"/>
  <c r="BS50" i="31"/>
  <c r="BT50" i="31" s="1"/>
  <c r="AH50" i="31"/>
  <c r="AJ50" i="31" s="1"/>
  <c r="BL80" i="31"/>
  <c r="V62" i="31"/>
  <c r="X62" i="31" s="1"/>
  <c r="V60" i="31"/>
  <c r="X60" i="31" s="1"/>
  <c r="V65" i="31"/>
  <c r="X65" i="31" s="1"/>
  <c r="V66" i="31"/>
  <c r="X66" i="31" s="1"/>
  <c r="AT46" i="31"/>
  <c r="AH48" i="31"/>
  <c r="AJ48" i="31" s="1"/>
  <c r="BS48" i="31"/>
  <c r="BT48" i="31" s="1"/>
  <c r="AH49" i="31"/>
  <c r="AJ49" i="31" s="1"/>
  <c r="BS49" i="31"/>
  <c r="BT49" i="31" s="1"/>
  <c r="BS52" i="31"/>
  <c r="BT52" i="31" s="1"/>
  <c r="AH52" i="31"/>
  <c r="AJ52" i="31" s="1"/>
  <c r="BB83" i="31"/>
  <c r="V61" i="31"/>
  <c r="X61" i="31" s="1"/>
  <c r="BF80" i="31"/>
  <c r="V59" i="31"/>
  <c r="V67" i="31"/>
  <c r="X67" i="31" s="1"/>
  <c r="AT80" i="31"/>
  <c r="AH46" i="31"/>
  <c r="BS46" i="31"/>
  <c r="AH51" i="31"/>
  <c r="AJ51" i="31" s="1"/>
  <c r="BS51" i="31"/>
  <c r="BT51" i="31" s="1"/>
  <c r="AH54" i="31"/>
  <c r="AJ54" i="31" s="1"/>
  <c r="BS54" i="31"/>
  <c r="BT54" i="31" s="1"/>
  <c r="BL46" i="31"/>
  <c r="BC84" i="31"/>
  <c r="AQ84" i="31"/>
  <c r="AD67" i="30"/>
  <c r="AD61" i="30"/>
  <c r="AD62" i="30"/>
  <c r="AD63" i="30"/>
  <c r="T64" i="30"/>
  <c r="AX55" i="30"/>
  <c r="AX57" i="30" s="1"/>
  <c r="AP59" i="30"/>
  <c r="AP63" i="30"/>
  <c r="AP67" i="30"/>
  <c r="AP65" i="30"/>
  <c r="AP64" i="30"/>
  <c r="AP62" i="30"/>
  <c r="AP66" i="30"/>
  <c r="AP61" i="30"/>
  <c r="AP60" i="30"/>
  <c r="AQ60" i="30"/>
  <c r="AQ64" i="30"/>
  <c r="AQ62" i="30"/>
  <c r="AQ61" i="30"/>
  <c r="AQ59" i="30"/>
  <c r="AQ63" i="30"/>
  <c r="AQ67" i="30"/>
  <c r="AQ66" i="30"/>
  <c r="AQ65" i="30"/>
  <c r="AN62" i="30"/>
  <c r="AN66" i="30"/>
  <c r="AN59" i="30"/>
  <c r="AN63" i="30"/>
  <c r="AN67" i="30"/>
  <c r="AN60" i="30"/>
  <c r="AN64" i="30"/>
  <c r="AN61" i="30"/>
  <c r="AN65" i="30"/>
  <c r="AL55" i="30"/>
  <c r="AL57" i="30" s="1"/>
  <c r="AF67" i="30"/>
  <c r="AF63" i="30"/>
  <c r="AF59" i="30"/>
  <c r="AF66" i="30"/>
  <c r="AF62" i="30"/>
  <c r="AF65" i="30"/>
  <c r="AF61" i="30"/>
  <c r="AF64" i="30"/>
  <c r="AF60" i="30"/>
  <c r="T59" i="30"/>
  <c r="R60" i="30"/>
  <c r="R62" i="30"/>
  <c r="R61" i="30"/>
  <c r="R63" i="30"/>
  <c r="R64" i="30"/>
  <c r="R67" i="30"/>
  <c r="R66" i="30"/>
  <c r="T61" i="30"/>
  <c r="T65" i="30"/>
  <c r="T63" i="30"/>
  <c r="T66" i="30"/>
  <c r="T60" i="30"/>
  <c r="T62" i="30"/>
  <c r="R65" i="30"/>
  <c r="Q68" i="30"/>
  <c r="Q70" i="30" s="1"/>
  <c r="Q83" i="30"/>
  <c r="AX80" i="30"/>
  <c r="BF54" i="30"/>
  <c r="BH54" i="30" s="1"/>
  <c r="BF50" i="30"/>
  <c r="BH50" i="30" s="1"/>
  <c r="BF49" i="30"/>
  <c r="BH49" i="30" s="1"/>
  <c r="BF44" i="30"/>
  <c r="BF53" i="30"/>
  <c r="BH53" i="30" s="1"/>
  <c r="BF48" i="30"/>
  <c r="BH48" i="30" s="1"/>
  <c r="BF52" i="30"/>
  <c r="BH52" i="30" s="1"/>
  <c r="BF51" i="30"/>
  <c r="BH51" i="30" s="1"/>
  <c r="BF47" i="30"/>
  <c r="BH47" i="30" s="1"/>
  <c r="AL80" i="30"/>
  <c r="AT53" i="30"/>
  <c r="AV53" i="30" s="1"/>
  <c r="AT52" i="30"/>
  <c r="AV52" i="30" s="1"/>
  <c r="AT48" i="30"/>
  <c r="AV48" i="30" s="1"/>
  <c r="AT49" i="30"/>
  <c r="AV49" i="30" s="1"/>
  <c r="AT44" i="30"/>
  <c r="AT54" i="30"/>
  <c r="AV54" i="30" s="1"/>
  <c r="AT51" i="30"/>
  <c r="AV51" i="30" s="1"/>
  <c r="AT47" i="30"/>
  <c r="AV47" i="30" s="1"/>
  <c r="AT50" i="30"/>
  <c r="AV50" i="30" s="1"/>
  <c r="AA68" i="30"/>
  <c r="AA70" i="30" s="1"/>
  <c r="Z80" i="30"/>
  <c r="Z54" i="30"/>
  <c r="AH54" i="30" s="1"/>
  <c r="AJ54" i="30" s="1"/>
  <c r="Z50" i="30"/>
  <c r="AH50" i="30" s="1"/>
  <c r="AJ50" i="30" s="1"/>
  <c r="Z52" i="30"/>
  <c r="AH52" i="30" s="1"/>
  <c r="AJ52" i="30" s="1"/>
  <c r="Z48" i="30"/>
  <c r="AH48" i="30" s="1"/>
  <c r="AJ48" i="30" s="1"/>
  <c r="AH44" i="30"/>
  <c r="Z51" i="30"/>
  <c r="AH51" i="30" s="1"/>
  <c r="AJ51" i="30" s="1"/>
  <c r="Z47" i="30"/>
  <c r="AH47" i="30" s="1"/>
  <c r="AJ47" i="30" s="1"/>
  <c r="Z53" i="30"/>
  <c r="AH53" i="30" s="1"/>
  <c r="AJ53" i="30" s="1"/>
  <c r="Z49" i="30"/>
  <c r="AH49" i="30" s="1"/>
  <c r="AJ49" i="30" s="1"/>
  <c r="Z46" i="30"/>
  <c r="P68" i="30"/>
  <c r="P70" i="30" s="1"/>
  <c r="O67" i="30"/>
  <c r="O66" i="30"/>
  <c r="O62" i="30"/>
  <c r="O65" i="30"/>
  <c r="O61" i="30"/>
  <c r="O60" i="30"/>
  <c r="O63" i="30"/>
  <c r="O59" i="30"/>
  <c r="O64" i="30"/>
  <c r="AB67" i="30"/>
  <c r="AB66" i="30"/>
  <c r="AB63" i="30"/>
  <c r="AB65" i="30"/>
  <c r="AB62" i="30"/>
  <c r="AB59" i="30"/>
  <c r="AB60" i="30"/>
  <c r="AB64" i="30"/>
  <c r="AB61" i="30"/>
  <c r="S67" i="30"/>
  <c r="S66" i="30"/>
  <c r="S62" i="30"/>
  <c r="S61" i="30"/>
  <c r="S64" i="30"/>
  <c r="S59" i="30"/>
  <c r="S60" i="30"/>
  <c r="S65" i="30"/>
  <c r="S63" i="30"/>
  <c r="N80" i="30"/>
  <c r="N53" i="30"/>
  <c r="N52" i="30"/>
  <c r="N48" i="30"/>
  <c r="N51" i="30"/>
  <c r="BR44" i="30"/>
  <c r="V44" i="30"/>
  <c r="N50" i="30"/>
  <c r="N46" i="30"/>
  <c r="N47" i="30"/>
  <c r="N49" i="30"/>
  <c r="N54" i="30"/>
  <c r="AC67" i="30"/>
  <c r="AC66" i="30"/>
  <c r="AC65" i="30"/>
  <c r="AC62" i="30"/>
  <c r="AC61" i="30"/>
  <c r="AC64" i="30"/>
  <c r="AC63" i="30"/>
  <c r="AC60" i="30"/>
  <c r="AC59" i="30"/>
  <c r="AV42" i="29"/>
  <c r="BH42" i="29"/>
  <c r="X42" i="29"/>
  <c r="AJ42" i="29"/>
  <c r="AY83" i="29"/>
  <c r="AY85" i="29" s="1"/>
  <c r="AY95" i="29" s="1"/>
  <c r="AP83" i="29"/>
  <c r="AP85" i="29" s="1"/>
  <c r="AP95" i="29" s="1"/>
  <c r="P83" i="29"/>
  <c r="P85" i="29" s="1"/>
  <c r="P93" i="29" s="1"/>
  <c r="AN83" i="29"/>
  <c r="AN85" i="29" s="1"/>
  <c r="AN94" i="29" s="1"/>
  <c r="AA83" i="29"/>
  <c r="AA85" i="29" s="1"/>
  <c r="AA94" i="29" s="1"/>
  <c r="AO83" i="29"/>
  <c r="AO85" i="29" s="1"/>
  <c r="AO91" i="29" s="1"/>
  <c r="AQ83" i="29"/>
  <c r="AQ85" i="29" s="1"/>
  <c r="AQ94" i="29" s="1"/>
  <c r="AF83" i="29"/>
  <c r="AF85" i="29" s="1"/>
  <c r="AF92" i="29" s="1"/>
  <c r="AC83" i="29"/>
  <c r="AC85" i="29" s="1"/>
  <c r="AC95" i="29" s="1"/>
  <c r="AM83" i="29"/>
  <c r="AM85" i="29" s="1"/>
  <c r="O83" i="29"/>
  <c r="O85" i="29" s="1"/>
  <c r="AE83" i="29"/>
  <c r="AE85" i="29" s="1"/>
  <c r="AR83" i="29"/>
  <c r="AR85" i="29" s="1"/>
  <c r="T83" i="29"/>
  <c r="T85" i="29" s="1"/>
  <c r="AB83" i="29"/>
  <c r="AB85" i="29" s="1"/>
  <c r="BA96" i="29"/>
  <c r="BA98" i="29" s="1"/>
  <c r="S83" i="29"/>
  <c r="S85" i="29" s="1"/>
  <c r="BZ4" i="29"/>
  <c r="CA3" i="29"/>
  <c r="Z72" i="29"/>
  <c r="AH11" i="29"/>
  <c r="BB96" i="29"/>
  <c r="BB98" i="29" s="1"/>
  <c r="Q83" i="29"/>
  <c r="Q85" i="29" s="1"/>
  <c r="N72" i="29"/>
  <c r="V72" i="29" s="1"/>
  <c r="V11" i="29"/>
  <c r="AL72" i="29"/>
  <c r="AT11" i="29"/>
  <c r="AD83" i="29"/>
  <c r="AD85" i="29" s="1"/>
  <c r="AX72" i="29"/>
  <c r="BF11" i="29"/>
  <c r="R83" i="29"/>
  <c r="R85" i="29" s="1"/>
  <c r="J113" i="29"/>
  <c r="K111" i="29"/>
  <c r="K113" i="29" s="1"/>
  <c r="E117" i="29"/>
  <c r="J115" i="29"/>
  <c r="K115" i="29" s="1"/>
  <c r="K104" i="29"/>
  <c r="K72" i="29"/>
  <c r="K100" i="29"/>
  <c r="AX5" i="28"/>
  <c r="BM89" i="29" l="1"/>
  <c r="BO89" i="29" s="1"/>
  <c r="BC96" i="29"/>
  <c r="BC98" i="29" s="1"/>
  <c r="BL68" i="30"/>
  <c r="BL70" i="30" s="1"/>
  <c r="BL73" i="30" s="1"/>
  <c r="BL83" i="30" s="1"/>
  <c r="AL68" i="31"/>
  <c r="AL70" i="31" s="1"/>
  <c r="AL73" i="31" s="1"/>
  <c r="AL78" i="31" s="1"/>
  <c r="AQ83" i="31"/>
  <c r="AE83" i="31"/>
  <c r="AX68" i="31"/>
  <c r="AX70" i="31" s="1"/>
  <c r="AX73" i="31" s="1"/>
  <c r="AX78" i="31" s="1"/>
  <c r="AM84" i="31"/>
  <c r="AM87" i="31" s="1"/>
  <c r="AM89" i="31" s="1"/>
  <c r="AD83" i="31"/>
  <c r="AD84" i="31"/>
  <c r="AD87" i="31" s="1"/>
  <c r="AD89" i="31" s="1"/>
  <c r="AM83" i="31"/>
  <c r="AY68" i="30"/>
  <c r="AY70" i="30" s="1"/>
  <c r="AY73" i="30" s="1"/>
  <c r="AY78" i="30" s="1"/>
  <c r="T84" i="31"/>
  <c r="T87" i="31" s="1"/>
  <c r="T89" i="31" s="1"/>
  <c r="Z78" i="31"/>
  <c r="Z85" i="31" s="1"/>
  <c r="AR83" i="31"/>
  <c r="AN83" i="31"/>
  <c r="Q78" i="31"/>
  <c r="BO96" i="29"/>
  <c r="BK96" i="29"/>
  <c r="BK98" i="29" s="1"/>
  <c r="AA83" i="31"/>
  <c r="AP83" i="31"/>
  <c r="AA85" i="31"/>
  <c r="P83" i="31"/>
  <c r="P85" i="31"/>
  <c r="R78" i="31"/>
  <c r="AB83" i="31"/>
  <c r="AC68" i="31"/>
  <c r="AC70" i="31" s="1"/>
  <c r="AC73" i="31" s="1"/>
  <c r="AC78" i="31" s="1"/>
  <c r="O78" i="31"/>
  <c r="O83" i="31"/>
  <c r="AB85" i="31"/>
  <c r="AB84" i="31"/>
  <c r="AQ87" i="31"/>
  <c r="AQ89" i="31" s="1"/>
  <c r="AR83" i="30"/>
  <c r="AM68" i="30"/>
  <c r="AM70" i="30" s="1"/>
  <c r="AM73" i="30" s="1"/>
  <c r="AM78" i="30" s="1"/>
  <c r="BK84" i="30"/>
  <c r="AO68" i="30"/>
  <c r="AO70" i="30" s="1"/>
  <c r="AO73" i="30" s="1"/>
  <c r="AO78" i="30" s="1"/>
  <c r="BK83" i="30"/>
  <c r="BB68" i="30"/>
  <c r="BB70" i="30" s="1"/>
  <c r="BB73" i="30" s="1"/>
  <c r="BB78" i="30" s="1"/>
  <c r="BB85" i="30" s="1"/>
  <c r="BC68" i="30"/>
  <c r="BC70" i="30" s="1"/>
  <c r="BC73" i="30" s="1"/>
  <c r="BC78" i="30" s="1"/>
  <c r="BC84" i="30" s="1"/>
  <c r="BL78" i="30"/>
  <c r="BL84" i="30" s="1"/>
  <c r="BA68" i="30"/>
  <c r="BA70" i="30" s="1"/>
  <c r="BA73" i="30" s="1"/>
  <c r="BA78" i="30" s="1"/>
  <c r="BA85" i="30" s="1"/>
  <c r="AE68" i="30"/>
  <c r="AE70" i="30" s="1"/>
  <c r="AE73" i="30" s="1"/>
  <c r="AE78" i="30" s="1"/>
  <c r="AE85" i="30" s="1"/>
  <c r="BD68" i="30"/>
  <c r="BD70" i="30" s="1"/>
  <c r="BD73" i="30" s="1"/>
  <c r="BD83" i="30" s="1"/>
  <c r="AD68" i="30"/>
  <c r="AD70" i="30" s="1"/>
  <c r="AD73" i="30" s="1"/>
  <c r="AD78" i="30" s="1"/>
  <c r="BN55" i="30"/>
  <c r="BP46" i="30"/>
  <c r="BP55" i="30" s="1"/>
  <c r="AZ68" i="30"/>
  <c r="AZ70" i="30" s="1"/>
  <c r="AZ73" i="30" s="1"/>
  <c r="BJ59" i="30"/>
  <c r="BN59" i="30" s="1"/>
  <c r="BP59" i="30" s="1"/>
  <c r="BJ63" i="30"/>
  <c r="BN63" i="30" s="1"/>
  <c r="BP63" i="30" s="1"/>
  <c r="BJ67" i="30"/>
  <c r="BN67" i="30" s="1"/>
  <c r="BP67" i="30" s="1"/>
  <c r="BJ61" i="30"/>
  <c r="BN61" i="30" s="1"/>
  <c r="BP61" i="30" s="1"/>
  <c r="BJ60" i="30"/>
  <c r="BN60" i="30" s="1"/>
  <c r="BP60" i="30" s="1"/>
  <c r="BJ64" i="30"/>
  <c r="BJ65" i="30"/>
  <c r="BN65" i="30" s="1"/>
  <c r="BP65" i="30" s="1"/>
  <c r="BJ66" i="30"/>
  <c r="BN66" i="30" s="1"/>
  <c r="BP66" i="30" s="1"/>
  <c r="BJ62" i="30"/>
  <c r="BN62" i="30" s="1"/>
  <c r="BP62" i="30" s="1"/>
  <c r="N83" i="31"/>
  <c r="N85" i="31"/>
  <c r="BC87" i="31"/>
  <c r="BC89" i="31" s="1"/>
  <c r="BD83" i="31"/>
  <c r="AH55" i="31"/>
  <c r="AJ46" i="31"/>
  <c r="BN46" i="31"/>
  <c r="BL55" i="31"/>
  <c r="AF83" i="31"/>
  <c r="AR85" i="31"/>
  <c r="AR84" i="31"/>
  <c r="AT67" i="31"/>
  <c r="AV67" i="31" s="1"/>
  <c r="AT66" i="31"/>
  <c r="AV66" i="31" s="1"/>
  <c r="AT64" i="31"/>
  <c r="AV64" i="31" s="1"/>
  <c r="AT62" i="31"/>
  <c r="AV62" i="31" s="1"/>
  <c r="AT65" i="31"/>
  <c r="AV65" i="31" s="1"/>
  <c r="AT63" i="31"/>
  <c r="AV63" i="31" s="1"/>
  <c r="AT61" i="31"/>
  <c r="AV61" i="31" s="1"/>
  <c r="AT60" i="31"/>
  <c r="AV60" i="31" s="1"/>
  <c r="BA85" i="31"/>
  <c r="BA84" i="31"/>
  <c r="BD85" i="31"/>
  <c r="BD84" i="31"/>
  <c r="AT55" i="31"/>
  <c r="AV46" i="31"/>
  <c r="BL66" i="31"/>
  <c r="BN66" i="31" s="1"/>
  <c r="BL64" i="31"/>
  <c r="BN64" i="31" s="1"/>
  <c r="BL62" i="31"/>
  <c r="BN62" i="31" s="1"/>
  <c r="BL67" i="31"/>
  <c r="BN67" i="31" s="1"/>
  <c r="BL65" i="31"/>
  <c r="BN65" i="31" s="1"/>
  <c r="BL63" i="31"/>
  <c r="BN63" i="31" s="1"/>
  <c r="BL61" i="31"/>
  <c r="BN61" i="31" s="1"/>
  <c r="BL60" i="31"/>
  <c r="BN60" i="31" s="1"/>
  <c r="AY83" i="31"/>
  <c r="S83" i="31"/>
  <c r="V73" i="31"/>
  <c r="AN85" i="31"/>
  <c r="AN84" i="31"/>
  <c r="BF55" i="31"/>
  <c r="BH46" i="31"/>
  <c r="AZ83" i="31"/>
  <c r="AE85" i="31"/>
  <c r="AE84" i="31"/>
  <c r="BT46" i="31"/>
  <c r="BS55" i="31"/>
  <c r="BT55" i="31" s="1"/>
  <c r="BV46" i="31" s="1"/>
  <c r="V68" i="31"/>
  <c r="X59" i="31"/>
  <c r="X68" i="31" s="1"/>
  <c r="AP85" i="31"/>
  <c r="AP84" i="31"/>
  <c r="BB85" i="31"/>
  <c r="BB84" i="31"/>
  <c r="AO83" i="31"/>
  <c r="BF67" i="31"/>
  <c r="BH67" i="31" s="1"/>
  <c r="BF65" i="31"/>
  <c r="BH65" i="31" s="1"/>
  <c r="BF63" i="31"/>
  <c r="BH63" i="31" s="1"/>
  <c r="BF66" i="31"/>
  <c r="BH66" i="31" s="1"/>
  <c r="BF64" i="31"/>
  <c r="BH64" i="31" s="1"/>
  <c r="BF62" i="31"/>
  <c r="BH62" i="31" s="1"/>
  <c r="BF60" i="31"/>
  <c r="BH60" i="31" s="1"/>
  <c r="BF61" i="31"/>
  <c r="BH61" i="31" s="1"/>
  <c r="BC85" i="30"/>
  <c r="AX65" i="30"/>
  <c r="AX61" i="30"/>
  <c r="AX64" i="30"/>
  <c r="AX60" i="30"/>
  <c r="AX67" i="30"/>
  <c r="AX63" i="30"/>
  <c r="AX59" i="30"/>
  <c r="AX66" i="30"/>
  <c r="AX62" i="30"/>
  <c r="AQ68" i="30"/>
  <c r="AQ70" i="30" s="1"/>
  <c r="AQ73" i="30" s="1"/>
  <c r="AQ78" i="30" s="1"/>
  <c r="AP68" i="30"/>
  <c r="AP70" i="30" s="1"/>
  <c r="AP73" i="30" s="1"/>
  <c r="AP78" i="30" s="1"/>
  <c r="AN68" i="30"/>
  <c r="AN70" i="30" s="1"/>
  <c r="AN73" i="30" s="1"/>
  <c r="AN78" i="30" s="1"/>
  <c r="AL67" i="30"/>
  <c r="AL63" i="30"/>
  <c r="AL59" i="30"/>
  <c r="AL66" i="30"/>
  <c r="AL62" i="30"/>
  <c r="AL65" i="30"/>
  <c r="AL61" i="30"/>
  <c r="AL64" i="30"/>
  <c r="AL60" i="30"/>
  <c r="AF68" i="30"/>
  <c r="AF70" i="30" s="1"/>
  <c r="AF73" i="30" s="1"/>
  <c r="AF78" i="30" s="1"/>
  <c r="R68" i="30"/>
  <c r="R70" i="30" s="1"/>
  <c r="T68" i="30"/>
  <c r="T70" i="30" s="1"/>
  <c r="S68" i="30"/>
  <c r="S70" i="30" s="1"/>
  <c r="S73" i="30" s="1"/>
  <c r="S78" i="30" s="1"/>
  <c r="BU51" i="30"/>
  <c r="BV51" i="30" s="1"/>
  <c r="V51" i="30"/>
  <c r="X51" i="30" s="1"/>
  <c r="R83" i="30"/>
  <c r="V54" i="30"/>
  <c r="X54" i="30" s="1"/>
  <c r="BU54" i="30"/>
  <c r="BV54" i="30" s="1"/>
  <c r="V50" i="30"/>
  <c r="X50" i="30" s="1"/>
  <c r="BU50" i="30"/>
  <c r="BV50" i="30" s="1"/>
  <c r="BU48" i="30"/>
  <c r="BV48" i="30" s="1"/>
  <c r="V48" i="30"/>
  <c r="X48" i="30" s="1"/>
  <c r="BR80" i="30"/>
  <c r="V80" i="30"/>
  <c r="AB68" i="30"/>
  <c r="AB70" i="30" s="1"/>
  <c r="T83" i="30"/>
  <c r="Z55" i="30"/>
  <c r="Z57" i="30" s="1"/>
  <c r="AH46" i="30"/>
  <c r="AT46" i="30"/>
  <c r="BF46" i="30"/>
  <c r="BF80" i="30"/>
  <c r="AR84" i="30"/>
  <c r="AR85" i="30"/>
  <c r="V49" i="30"/>
  <c r="X49" i="30" s="1"/>
  <c r="BU49" i="30"/>
  <c r="BV49" i="30" s="1"/>
  <c r="BU52" i="30"/>
  <c r="BV52" i="30" s="1"/>
  <c r="V52" i="30"/>
  <c r="X52" i="30" s="1"/>
  <c r="Q85" i="30"/>
  <c r="Q84" i="30"/>
  <c r="N55" i="30"/>
  <c r="N57" i="30" s="1"/>
  <c r="BU46" i="30"/>
  <c r="V46" i="30"/>
  <c r="AC68" i="30"/>
  <c r="AC70" i="30" s="1"/>
  <c r="AC73" i="30" s="1"/>
  <c r="AC78" i="30" s="1"/>
  <c r="BU47" i="30"/>
  <c r="BV47" i="30" s="1"/>
  <c r="V47" i="30"/>
  <c r="X47" i="30" s="1"/>
  <c r="V53" i="30"/>
  <c r="X53" i="30" s="1"/>
  <c r="BU53" i="30"/>
  <c r="BV53" i="30" s="1"/>
  <c r="O68" i="30"/>
  <c r="O70" i="30" s="1"/>
  <c r="P83" i="30"/>
  <c r="AH80" i="30"/>
  <c r="AA83" i="30"/>
  <c r="AT80" i="30"/>
  <c r="P88" i="29"/>
  <c r="AQ93" i="29"/>
  <c r="P95" i="29"/>
  <c r="AC93" i="29"/>
  <c r="AA91" i="29"/>
  <c r="AY89" i="29"/>
  <c r="AF94" i="29"/>
  <c r="AN87" i="29"/>
  <c r="AQ87" i="29"/>
  <c r="AN90" i="29"/>
  <c r="AQ92" i="29"/>
  <c r="AF89" i="29"/>
  <c r="AN92" i="29"/>
  <c r="AQ90" i="29"/>
  <c r="AO90" i="29"/>
  <c r="P89" i="29"/>
  <c r="P92" i="29"/>
  <c r="AQ89" i="29"/>
  <c r="P87" i="29"/>
  <c r="AP91" i="29"/>
  <c r="AP92" i="29"/>
  <c r="AA95" i="29"/>
  <c r="AF87" i="29"/>
  <c r="AQ88" i="29"/>
  <c r="AQ95" i="29"/>
  <c r="AC92" i="29"/>
  <c r="AF93" i="29"/>
  <c r="AN95" i="29"/>
  <c r="P90" i="29"/>
  <c r="P94" i="29"/>
  <c r="AY92" i="29"/>
  <c r="AA89" i="29"/>
  <c r="AC90" i="29"/>
  <c r="AF88" i="29"/>
  <c r="AF90" i="29"/>
  <c r="AF95" i="29"/>
  <c r="AN88" i="29"/>
  <c r="AN93" i="29"/>
  <c r="AY94" i="29"/>
  <c r="AQ91" i="29"/>
  <c r="AA87" i="29"/>
  <c r="AC91" i="29"/>
  <c r="AF91" i="29"/>
  <c r="AN89" i="29"/>
  <c r="AN91" i="29"/>
  <c r="P91" i="29"/>
  <c r="AY88" i="29"/>
  <c r="AY93" i="29"/>
  <c r="AP93" i="29"/>
  <c r="AA88" i="29"/>
  <c r="AA90" i="29"/>
  <c r="AA93" i="29"/>
  <c r="AC88" i="29"/>
  <c r="AC94" i="29"/>
  <c r="AP87" i="29"/>
  <c r="AP94" i="29"/>
  <c r="AY87" i="29"/>
  <c r="AY91" i="29"/>
  <c r="AO95" i="29"/>
  <c r="AP89" i="29"/>
  <c r="AA92" i="29"/>
  <c r="AC87" i="29"/>
  <c r="AC89" i="29"/>
  <c r="AP88" i="29"/>
  <c r="AP90" i="29"/>
  <c r="AY90" i="29"/>
  <c r="AO88" i="29"/>
  <c r="AO92" i="29"/>
  <c r="AO93" i="29"/>
  <c r="AO89" i="29"/>
  <c r="AO94" i="29"/>
  <c r="AO87" i="29"/>
  <c r="K103" i="29"/>
  <c r="K98" i="29"/>
  <c r="Z108" i="29"/>
  <c r="Z80" i="29"/>
  <c r="AH80" i="29" s="1"/>
  <c r="AJ80" i="29" s="1"/>
  <c r="Z76" i="29"/>
  <c r="AH76" i="29" s="1"/>
  <c r="AJ76" i="29" s="1"/>
  <c r="Z79" i="29"/>
  <c r="AH79" i="29" s="1"/>
  <c r="AJ79" i="29" s="1"/>
  <c r="Z82" i="29"/>
  <c r="AH82" i="29" s="1"/>
  <c r="AJ82" i="29" s="1"/>
  <c r="Z78" i="29"/>
  <c r="AH78" i="29" s="1"/>
  <c r="AJ78" i="29" s="1"/>
  <c r="Z81" i="29"/>
  <c r="AH81" i="29" s="1"/>
  <c r="AJ81" i="29" s="1"/>
  <c r="Z77" i="29"/>
  <c r="AH77" i="29" s="1"/>
  <c r="AJ77" i="29" s="1"/>
  <c r="Z75" i="29"/>
  <c r="AH75" i="29" s="1"/>
  <c r="AJ75" i="29" s="1"/>
  <c r="Z74" i="29"/>
  <c r="AH72" i="29"/>
  <c r="AL108" i="29"/>
  <c r="AL82" i="29"/>
  <c r="AT82" i="29" s="1"/>
  <c r="AV82" i="29" s="1"/>
  <c r="AL78" i="29"/>
  <c r="AT78" i="29" s="1"/>
  <c r="AV78" i="29" s="1"/>
  <c r="AL81" i="29"/>
  <c r="AT81" i="29" s="1"/>
  <c r="AV81" i="29" s="1"/>
  <c r="AL77" i="29"/>
  <c r="AT77" i="29" s="1"/>
  <c r="AV77" i="29" s="1"/>
  <c r="AL80" i="29"/>
  <c r="AT80" i="29" s="1"/>
  <c r="AV80" i="29" s="1"/>
  <c r="AL76" i="29"/>
  <c r="AT76" i="29" s="1"/>
  <c r="AV76" i="29" s="1"/>
  <c r="AL79" i="29"/>
  <c r="AT79" i="29" s="1"/>
  <c r="AV79" i="29" s="1"/>
  <c r="AL75" i="29"/>
  <c r="AT75" i="29" s="1"/>
  <c r="AV75" i="29" s="1"/>
  <c r="AT72" i="29"/>
  <c r="AL74" i="29"/>
  <c r="N108" i="29"/>
  <c r="N82" i="29"/>
  <c r="N78" i="29"/>
  <c r="N81" i="29"/>
  <c r="N77" i="29"/>
  <c r="N80" i="29"/>
  <c r="N76" i="29"/>
  <c r="N79" i="29"/>
  <c r="N75" i="29"/>
  <c r="BQ72" i="29"/>
  <c r="N74" i="29"/>
  <c r="AM95" i="29"/>
  <c r="AM94" i="29"/>
  <c r="AM93" i="29"/>
  <c r="AM92" i="29"/>
  <c r="AM89" i="29"/>
  <c r="AM88" i="29"/>
  <c r="AM91" i="29"/>
  <c r="AM90" i="29"/>
  <c r="AM87" i="29"/>
  <c r="R95" i="29"/>
  <c r="R94" i="29"/>
  <c r="R93" i="29"/>
  <c r="R90" i="29"/>
  <c r="R87" i="29"/>
  <c r="R89" i="29"/>
  <c r="R92" i="29"/>
  <c r="R88" i="29"/>
  <c r="R91" i="29"/>
  <c r="AX108" i="29"/>
  <c r="AX82" i="29"/>
  <c r="BF82" i="29" s="1"/>
  <c r="BH82" i="29" s="1"/>
  <c r="AX80" i="29"/>
  <c r="BF80" i="29" s="1"/>
  <c r="BH80" i="29" s="1"/>
  <c r="AX76" i="29"/>
  <c r="BF76" i="29" s="1"/>
  <c r="BH76" i="29" s="1"/>
  <c r="AX79" i="29"/>
  <c r="BF79" i="29" s="1"/>
  <c r="BH79" i="29" s="1"/>
  <c r="AX75" i="29"/>
  <c r="BF75" i="29" s="1"/>
  <c r="BH75" i="29" s="1"/>
  <c r="AX78" i="29"/>
  <c r="BF78" i="29" s="1"/>
  <c r="BH78" i="29" s="1"/>
  <c r="AX81" i="29"/>
  <c r="BF81" i="29" s="1"/>
  <c r="BH81" i="29" s="1"/>
  <c r="AX77" i="29"/>
  <c r="BF77" i="29" s="1"/>
  <c r="BH77" i="29" s="1"/>
  <c r="AX74" i="29"/>
  <c r="BF72" i="29"/>
  <c r="S95" i="29"/>
  <c r="S94" i="29"/>
  <c r="S93" i="29"/>
  <c r="S92" i="29"/>
  <c r="S89" i="29"/>
  <c r="S88" i="29"/>
  <c r="S91" i="29"/>
  <c r="S90" i="29"/>
  <c r="S87" i="29"/>
  <c r="AR94" i="29"/>
  <c r="AR93" i="29"/>
  <c r="AR92" i="29"/>
  <c r="AR95" i="29"/>
  <c r="AR91" i="29"/>
  <c r="AR88" i="29"/>
  <c r="AR90" i="29"/>
  <c r="AR87" i="29"/>
  <c r="AR89" i="29"/>
  <c r="AD94" i="29"/>
  <c r="AD93" i="29"/>
  <c r="AD92" i="29"/>
  <c r="AD95" i="29"/>
  <c r="AD91" i="29"/>
  <c r="AD88" i="29"/>
  <c r="AD90" i="29"/>
  <c r="AD87" i="29"/>
  <c r="AD89" i="29"/>
  <c r="Q93" i="29"/>
  <c r="Q95" i="29"/>
  <c r="Q94" i="29"/>
  <c r="Q91" i="29"/>
  <c r="Q90" i="29"/>
  <c r="Q87" i="29"/>
  <c r="Q89" i="29"/>
  <c r="Q92" i="29"/>
  <c r="Q88" i="29"/>
  <c r="AB95" i="29"/>
  <c r="AB94" i="29"/>
  <c r="AB93" i="29"/>
  <c r="AB91" i="29"/>
  <c r="AB90" i="29"/>
  <c r="AB87" i="29"/>
  <c r="AB89" i="29"/>
  <c r="AB92" i="29"/>
  <c r="AB88" i="29"/>
  <c r="AE93" i="29"/>
  <c r="AE95" i="29"/>
  <c r="AE91" i="29"/>
  <c r="AE94" i="29"/>
  <c r="AE92" i="29"/>
  <c r="AE90" i="29"/>
  <c r="AE87" i="29"/>
  <c r="AE89" i="29"/>
  <c r="AE88" i="29"/>
  <c r="T94" i="29"/>
  <c r="T93" i="29"/>
  <c r="T92" i="29"/>
  <c r="T95" i="29"/>
  <c r="T88" i="29"/>
  <c r="T91" i="29"/>
  <c r="T90" i="29"/>
  <c r="T87" i="29"/>
  <c r="T89" i="29"/>
  <c r="O95" i="29"/>
  <c r="O94" i="29"/>
  <c r="O93" i="29"/>
  <c r="O92" i="29"/>
  <c r="O89" i="29"/>
  <c r="O88" i="29"/>
  <c r="O91" i="29"/>
  <c r="O90" i="29"/>
  <c r="O87" i="29"/>
  <c r="BM96" i="29"/>
  <c r="BJ98" i="29"/>
  <c r="AN5" i="28"/>
  <c r="AO5" i="28"/>
  <c r="AP5" i="28"/>
  <c r="AQ5" i="28"/>
  <c r="AR5" i="28"/>
  <c r="Z84" i="31" l="1"/>
  <c r="AA87" i="31"/>
  <c r="AA89" i="31" s="1"/>
  <c r="AY83" i="30"/>
  <c r="Q85" i="31"/>
  <c r="Q84" i="31"/>
  <c r="Q87" i="30"/>
  <c r="Q89" i="30" s="1"/>
  <c r="N87" i="31"/>
  <c r="N89" i="31" s="1"/>
  <c r="P87" i="31"/>
  <c r="P89" i="31" s="1"/>
  <c r="R85" i="31"/>
  <c r="R84" i="31"/>
  <c r="AB87" i="31"/>
  <c r="AB89" i="31" s="1"/>
  <c r="O84" i="31"/>
  <c r="O85" i="31"/>
  <c r="AE87" i="31"/>
  <c r="AE89" i="31" s="1"/>
  <c r="AP87" i="31"/>
  <c r="AP89" i="31" s="1"/>
  <c r="BC83" i="30"/>
  <c r="BC87" i="30" s="1"/>
  <c r="BC89" i="30" s="1"/>
  <c r="BL85" i="30"/>
  <c r="BK87" i="30"/>
  <c r="BK89" i="30" s="1"/>
  <c r="AM83" i="30"/>
  <c r="AO83" i="30"/>
  <c r="BA84" i="30"/>
  <c r="BB84" i="30"/>
  <c r="BB83" i="30"/>
  <c r="AE83" i="30"/>
  <c r="AE84" i="30"/>
  <c r="BA83" i="30"/>
  <c r="AN87" i="31"/>
  <c r="AN89" i="31" s="1"/>
  <c r="Z87" i="31"/>
  <c r="Z89" i="31" s="1"/>
  <c r="BD78" i="30"/>
  <c r="BD85" i="30" s="1"/>
  <c r="AF83" i="30"/>
  <c r="AQ83" i="30"/>
  <c r="AD83" i="30"/>
  <c r="BL87" i="30"/>
  <c r="BL89" i="30" s="1"/>
  <c r="AZ78" i="30"/>
  <c r="AZ83" i="30"/>
  <c r="BJ68" i="30"/>
  <c r="BN64" i="30"/>
  <c r="BP64" i="30" s="1"/>
  <c r="BP68" i="30" s="1"/>
  <c r="AR87" i="31"/>
  <c r="AR89" i="31" s="1"/>
  <c r="BB87" i="31"/>
  <c r="BB89" i="31" s="1"/>
  <c r="BD87" i="31"/>
  <c r="BD89" i="31" s="1"/>
  <c r="BA87" i="31"/>
  <c r="BA89" i="31" s="1"/>
  <c r="BF59" i="31"/>
  <c r="BH59" i="31" s="1"/>
  <c r="V83" i="31"/>
  <c r="AY85" i="31"/>
  <c r="AY84" i="31"/>
  <c r="AV55" i="31"/>
  <c r="BS67" i="31"/>
  <c r="BT67" i="31" s="1"/>
  <c r="AH67" i="31"/>
  <c r="AJ67" i="31" s="1"/>
  <c r="AH61" i="31"/>
  <c r="AJ61" i="31" s="1"/>
  <c r="BS61" i="31"/>
  <c r="BT61" i="31" s="1"/>
  <c r="AH59" i="31"/>
  <c r="AJ59" i="31" s="1"/>
  <c r="BS59" i="31"/>
  <c r="AO85" i="31"/>
  <c r="AO84" i="31"/>
  <c r="AF85" i="31"/>
  <c r="AF84" i="31"/>
  <c r="BS66" i="31"/>
  <c r="BT66" i="31" s="1"/>
  <c r="AH66" i="31"/>
  <c r="AJ66" i="31" s="1"/>
  <c r="AH63" i="31"/>
  <c r="AJ63" i="31" s="1"/>
  <c r="BS63" i="31"/>
  <c r="BT63" i="31" s="1"/>
  <c r="BN55" i="31"/>
  <c r="AJ55" i="31"/>
  <c r="BP55" i="31" s="1"/>
  <c r="AZ84" i="31"/>
  <c r="AZ85" i="31"/>
  <c r="BS64" i="31"/>
  <c r="BT64" i="31" s="1"/>
  <c r="AH64" i="31"/>
  <c r="AJ64" i="31" s="1"/>
  <c r="BH55" i="31"/>
  <c r="S85" i="31"/>
  <c r="S84" i="31"/>
  <c r="V78" i="31"/>
  <c r="BL59" i="31"/>
  <c r="BN59" i="31" s="1"/>
  <c r="AT59" i="31"/>
  <c r="AV59" i="31" s="1"/>
  <c r="BS62" i="31"/>
  <c r="BT62" i="31" s="1"/>
  <c r="AH62" i="31"/>
  <c r="AJ62" i="31" s="1"/>
  <c r="BS60" i="31"/>
  <c r="BT60" i="31" s="1"/>
  <c r="AH60" i="31"/>
  <c r="AJ60" i="31" s="1"/>
  <c r="BS65" i="31"/>
  <c r="BT65" i="31" s="1"/>
  <c r="AH65" i="31"/>
  <c r="AJ65" i="31" s="1"/>
  <c r="AX68" i="30"/>
  <c r="AX70" i="30" s="1"/>
  <c r="AX73" i="30" s="1"/>
  <c r="AX78" i="30" s="1"/>
  <c r="AP83" i="30"/>
  <c r="AL68" i="30"/>
  <c r="AL70" i="30" s="1"/>
  <c r="AL73" i="30" s="1"/>
  <c r="AL78" i="30" s="1"/>
  <c r="S83" i="30"/>
  <c r="AR87" i="30"/>
  <c r="AR89" i="30" s="1"/>
  <c r="O83" i="30"/>
  <c r="AM84" i="30"/>
  <c r="AM85" i="30"/>
  <c r="AQ84" i="30"/>
  <c r="AQ85" i="30"/>
  <c r="BF55" i="30"/>
  <c r="BH46" i="30"/>
  <c r="AV46" i="30"/>
  <c r="AT55" i="30"/>
  <c r="AN83" i="30"/>
  <c r="AD84" i="30"/>
  <c r="AD85" i="30"/>
  <c r="X46" i="30"/>
  <c r="X55" i="30" s="1"/>
  <c r="V55" i="30"/>
  <c r="BF65" i="30"/>
  <c r="BH65" i="30" s="1"/>
  <c r="BF61" i="30"/>
  <c r="BH61" i="30" s="1"/>
  <c r="BF67" i="30"/>
  <c r="BH67" i="30" s="1"/>
  <c r="BF64" i="30"/>
  <c r="BH64" i="30" s="1"/>
  <c r="BF60" i="30"/>
  <c r="BH60" i="30" s="1"/>
  <c r="BF62" i="30"/>
  <c r="BH62" i="30" s="1"/>
  <c r="BF66" i="30"/>
  <c r="BH66" i="30" s="1"/>
  <c r="BF63" i="30"/>
  <c r="BH63" i="30" s="1"/>
  <c r="AT67" i="30"/>
  <c r="AV67" i="30" s="1"/>
  <c r="AT63" i="30"/>
  <c r="AV63" i="30" s="1"/>
  <c r="AT62" i="30"/>
  <c r="AV62" i="30" s="1"/>
  <c r="AT65" i="30"/>
  <c r="AV65" i="30" s="1"/>
  <c r="AT64" i="30"/>
  <c r="AV64" i="30" s="1"/>
  <c r="AT61" i="30"/>
  <c r="AV61" i="30" s="1"/>
  <c r="AT66" i="30"/>
  <c r="AV66" i="30" s="1"/>
  <c r="AT60" i="30"/>
  <c r="AV60" i="30" s="1"/>
  <c r="T84" i="30"/>
  <c r="T85" i="30"/>
  <c r="R84" i="30"/>
  <c r="R85" i="30"/>
  <c r="AO85" i="30"/>
  <c r="AO84" i="30"/>
  <c r="AH55" i="30"/>
  <c r="AJ46" i="30"/>
  <c r="AP84" i="30"/>
  <c r="AP85" i="30"/>
  <c r="S84" i="30"/>
  <c r="S85" i="30"/>
  <c r="AA84" i="30"/>
  <c r="AA85" i="30"/>
  <c r="BU55" i="30"/>
  <c r="BV55" i="30" s="1"/>
  <c r="BX46" i="30" s="1"/>
  <c r="BV46" i="30"/>
  <c r="AF84" i="30"/>
  <c r="AF85" i="30"/>
  <c r="AY84" i="30"/>
  <c r="AY85" i="30"/>
  <c r="P84" i="30"/>
  <c r="P85" i="30"/>
  <c r="AC83" i="30"/>
  <c r="N67" i="30"/>
  <c r="N63" i="30"/>
  <c r="N66" i="30"/>
  <c r="N62" i="30"/>
  <c r="N59" i="30"/>
  <c r="N65" i="30"/>
  <c r="N61" i="30"/>
  <c r="N60" i="30"/>
  <c r="N64" i="30"/>
  <c r="Z65" i="30"/>
  <c r="AH65" i="30" s="1"/>
  <c r="AJ65" i="30" s="1"/>
  <c r="Z64" i="30"/>
  <c r="AH64" i="30" s="1"/>
  <c r="AJ64" i="30" s="1"/>
  <c r="Z60" i="30"/>
  <c r="AH60" i="30" s="1"/>
  <c r="AJ60" i="30" s="1"/>
  <c r="Z63" i="30"/>
  <c r="AH63" i="30" s="1"/>
  <c r="AJ63" i="30" s="1"/>
  <c r="Z59" i="30"/>
  <c r="Z67" i="30"/>
  <c r="AH67" i="30" s="1"/>
  <c r="AJ67" i="30" s="1"/>
  <c r="Z61" i="30"/>
  <c r="AH61" i="30" s="1"/>
  <c r="AJ61" i="30" s="1"/>
  <c r="Z62" i="30"/>
  <c r="AH62" i="30" s="1"/>
  <c r="AJ62" i="30" s="1"/>
  <c r="Z66" i="30"/>
  <c r="AH66" i="30" s="1"/>
  <c r="AJ66" i="30" s="1"/>
  <c r="AB83" i="30"/>
  <c r="AP96" i="29"/>
  <c r="AP98" i="29" s="1"/>
  <c r="AP101" i="29" s="1"/>
  <c r="AP111" i="29" s="1"/>
  <c r="P96" i="29"/>
  <c r="P98" i="29" s="1"/>
  <c r="P101" i="29" s="1"/>
  <c r="P111" i="29" s="1"/>
  <c r="AN96" i="29"/>
  <c r="AN98" i="29" s="1"/>
  <c r="AN101" i="29" s="1"/>
  <c r="AN111" i="29" s="1"/>
  <c r="AQ96" i="29"/>
  <c r="AQ98" i="29" s="1"/>
  <c r="AQ101" i="29" s="1"/>
  <c r="AQ111" i="29" s="1"/>
  <c r="AC96" i="29"/>
  <c r="AC98" i="29" s="1"/>
  <c r="AC101" i="29" s="1"/>
  <c r="AC111" i="29" s="1"/>
  <c r="AO96" i="29"/>
  <c r="AO98" i="29" s="1"/>
  <c r="AO101" i="29" s="1"/>
  <c r="AO111" i="29" s="1"/>
  <c r="AA96" i="29"/>
  <c r="AA98" i="29" s="1"/>
  <c r="AA101" i="29" s="1"/>
  <c r="AA111" i="29" s="1"/>
  <c r="AY96" i="29"/>
  <c r="AY98" i="29" s="1"/>
  <c r="AY101" i="29" s="1"/>
  <c r="AY111" i="29" s="1"/>
  <c r="AF96" i="29"/>
  <c r="AF98" i="29" s="1"/>
  <c r="AF101" i="29" s="1"/>
  <c r="AF111" i="29" s="1"/>
  <c r="O96" i="29"/>
  <c r="O98" i="29" s="1"/>
  <c r="O101" i="29" s="1"/>
  <c r="O111" i="29" s="1"/>
  <c r="AE96" i="29"/>
  <c r="AE98" i="29" s="1"/>
  <c r="AE101" i="29" s="1"/>
  <c r="AE111" i="29" s="1"/>
  <c r="T96" i="29"/>
  <c r="T98" i="29" s="1"/>
  <c r="T101" i="29" s="1"/>
  <c r="T111" i="29" s="1"/>
  <c r="S96" i="29"/>
  <c r="S98" i="29" s="1"/>
  <c r="S101" i="29" s="1"/>
  <c r="S111" i="29" s="1"/>
  <c r="AM96" i="29"/>
  <c r="AM98" i="29" s="1"/>
  <c r="AM101" i="29" s="1"/>
  <c r="AM106" i="29" s="1"/>
  <c r="BT75" i="29"/>
  <c r="BU75" i="29" s="1"/>
  <c r="V75" i="29"/>
  <c r="X75" i="29" s="1"/>
  <c r="BT77" i="29"/>
  <c r="BU77" i="29" s="1"/>
  <c r="V77" i="29"/>
  <c r="X77" i="29" s="1"/>
  <c r="AB96" i="29"/>
  <c r="AB98" i="29" s="1"/>
  <c r="AB101" i="29" s="1"/>
  <c r="BF108" i="29"/>
  <c r="N83" i="29"/>
  <c r="N85" i="29" s="1"/>
  <c r="V74" i="29"/>
  <c r="BT74" i="29"/>
  <c r="V79" i="29"/>
  <c r="X79" i="29" s="1"/>
  <c r="BT79" i="29"/>
  <c r="BU79" i="29" s="1"/>
  <c r="BT81" i="29"/>
  <c r="BU81" i="29" s="1"/>
  <c r="V81" i="29"/>
  <c r="X81" i="29" s="1"/>
  <c r="BQ108" i="29"/>
  <c r="V108" i="29"/>
  <c r="AT108" i="29"/>
  <c r="AH108" i="29"/>
  <c r="R96" i="29"/>
  <c r="R98" i="29" s="1"/>
  <c r="R101" i="29" s="1"/>
  <c r="BT76" i="29"/>
  <c r="BU76" i="29" s="1"/>
  <c r="V76" i="29"/>
  <c r="X76" i="29" s="1"/>
  <c r="V78" i="29"/>
  <c r="X78" i="29" s="1"/>
  <c r="BT78" i="29"/>
  <c r="BU78" i="29" s="1"/>
  <c r="AL83" i="29"/>
  <c r="AL85" i="29" s="1"/>
  <c r="AT74" i="29"/>
  <c r="Q96" i="29"/>
  <c r="Q98" i="29" s="1"/>
  <c r="Q101" i="29" s="1"/>
  <c r="AD96" i="29"/>
  <c r="AD98" i="29" s="1"/>
  <c r="AD101" i="29" s="1"/>
  <c r="AR96" i="29"/>
  <c r="AR98" i="29" s="1"/>
  <c r="AR101" i="29" s="1"/>
  <c r="AX83" i="29"/>
  <c r="AX85" i="29" s="1"/>
  <c r="BF74" i="29"/>
  <c r="BT80" i="29"/>
  <c r="BU80" i="29" s="1"/>
  <c r="V80" i="29"/>
  <c r="X80" i="29" s="1"/>
  <c r="BT82" i="29"/>
  <c r="BU82" i="29" s="1"/>
  <c r="V82" i="29"/>
  <c r="X82" i="29" s="1"/>
  <c r="Z83" i="29"/>
  <c r="Z85" i="29" s="1"/>
  <c r="AH74" i="29"/>
  <c r="AM5" i="28"/>
  <c r="Q87" i="31" l="1"/>
  <c r="Q89" i="31" s="1"/>
  <c r="R87" i="31"/>
  <c r="R89" i="31" s="1"/>
  <c r="O87" i="31"/>
  <c r="O89" i="31" s="1"/>
  <c r="BA87" i="30"/>
  <c r="BA89" i="30" s="1"/>
  <c r="BB87" i="30"/>
  <c r="BB89" i="30" s="1"/>
  <c r="AE87" i="30"/>
  <c r="AE89" i="30" s="1"/>
  <c r="BD84" i="30"/>
  <c r="BD87" i="30" s="1"/>
  <c r="BD89" i="30" s="1"/>
  <c r="BJ70" i="30"/>
  <c r="BJ73" i="30" s="1"/>
  <c r="BN68" i="30"/>
  <c r="AZ84" i="30"/>
  <c r="AZ85" i="30"/>
  <c r="AF87" i="31"/>
  <c r="AF89" i="31" s="1"/>
  <c r="AY87" i="31"/>
  <c r="AY89" i="31" s="1"/>
  <c r="BN68" i="31"/>
  <c r="AV68" i="31"/>
  <c r="AO87" i="31"/>
  <c r="AO89" i="31" s="1"/>
  <c r="BH68" i="31"/>
  <c r="AZ87" i="31"/>
  <c r="AZ89" i="31" s="1"/>
  <c r="AH68" i="31"/>
  <c r="AT68" i="31"/>
  <c r="V84" i="31"/>
  <c r="AJ68" i="31"/>
  <c r="BS68" i="31"/>
  <c r="BT68" i="31" s="1"/>
  <c r="BV59" i="31" s="1"/>
  <c r="BT59" i="31"/>
  <c r="S87" i="31"/>
  <c r="BL68" i="31"/>
  <c r="V85" i="31"/>
  <c r="BF68" i="31"/>
  <c r="AY87" i="30"/>
  <c r="AY89" i="30" s="1"/>
  <c r="AP87" i="30"/>
  <c r="AP89" i="30" s="1"/>
  <c r="AQ87" i="30"/>
  <c r="AQ89" i="30" s="1"/>
  <c r="AM87" i="30"/>
  <c r="AM89" i="30" s="1"/>
  <c r="AO87" i="30"/>
  <c r="AO89" i="30" s="1"/>
  <c r="AD87" i="30"/>
  <c r="AD89" i="30" s="1"/>
  <c r="AA87" i="30"/>
  <c r="AA89" i="30" s="1"/>
  <c r="T87" i="30"/>
  <c r="T89" i="30" s="1"/>
  <c r="R87" i="30"/>
  <c r="R89" i="30" s="1"/>
  <c r="S87" i="30"/>
  <c r="S89" i="30" s="1"/>
  <c r="P87" i="30"/>
  <c r="P89" i="30" s="1"/>
  <c r="AF87" i="30"/>
  <c r="AF89" i="30" s="1"/>
  <c r="BH55" i="30"/>
  <c r="BU61" i="30"/>
  <c r="BV61" i="30" s="1"/>
  <c r="V61" i="30"/>
  <c r="X61" i="30" s="1"/>
  <c r="BU66" i="30"/>
  <c r="BV66" i="30" s="1"/>
  <c r="V66" i="30"/>
  <c r="X66" i="30" s="1"/>
  <c r="AC85" i="30"/>
  <c r="AC84" i="30"/>
  <c r="AJ55" i="30"/>
  <c r="AN84" i="30"/>
  <c r="AN85" i="30"/>
  <c r="AB84" i="30"/>
  <c r="AB85" i="30"/>
  <c r="V60" i="30"/>
  <c r="X60" i="30" s="1"/>
  <c r="BU60" i="30"/>
  <c r="BV60" i="30" s="1"/>
  <c r="Z68" i="30"/>
  <c r="AH59" i="30"/>
  <c r="AJ59" i="30" s="1"/>
  <c r="AJ68" i="30" s="1"/>
  <c r="BU65" i="30"/>
  <c r="BV65" i="30" s="1"/>
  <c r="V65" i="30"/>
  <c r="X65" i="30" s="1"/>
  <c r="V63" i="30"/>
  <c r="X63" i="30" s="1"/>
  <c r="BU63" i="30"/>
  <c r="BV63" i="30" s="1"/>
  <c r="O84" i="30"/>
  <c r="O85" i="30"/>
  <c r="BU62" i="30"/>
  <c r="BV62" i="30" s="1"/>
  <c r="V62" i="30"/>
  <c r="X62" i="30" s="1"/>
  <c r="AT59" i="30"/>
  <c r="AV59" i="30" s="1"/>
  <c r="V64" i="30"/>
  <c r="X64" i="30" s="1"/>
  <c r="BU64" i="30"/>
  <c r="BV64" i="30" s="1"/>
  <c r="N68" i="30"/>
  <c r="N70" i="30" s="1"/>
  <c r="V59" i="30"/>
  <c r="BU59" i="30"/>
  <c r="BU67" i="30"/>
  <c r="BV67" i="30" s="1"/>
  <c r="V67" i="30"/>
  <c r="X67" i="30" s="1"/>
  <c r="BF59" i="30"/>
  <c r="BH59" i="30" s="1"/>
  <c r="AV55" i="30"/>
  <c r="AN106" i="29"/>
  <c r="AC106" i="29"/>
  <c r="AC112" i="29" s="1"/>
  <c r="AO106" i="29"/>
  <c r="AO113" i="29" s="1"/>
  <c r="P106" i="29"/>
  <c r="AP106" i="29"/>
  <c r="AP112" i="29" s="1"/>
  <c r="AF106" i="29"/>
  <c r="AF112" i="29" s="1"/>
  <c r="AA106" i="29"/>
  <c r="AA112" i="29" s="1"/>
  <c r="AQ106" i="29"/>
  <c r="AQ113" i="29" s="1"/>
  <c r="AY106" i="29"/>
  <c r="AY113" i="29" s="1"/>
  <c r="AC113" i="29"/>
  <c r="AC115" i="29" s="1"/>
  <c r="AC117" i="29" s="1"/>
  <c r="AM111" i="29"/>
  <c r="AE106" i="29"/>
  <c r="AE113" i="29" s="1"/>
  <c r="T106" i="29"/>
  <c r="T112" i="29" s="1"/>
  <c r="S106" i="29"/>
  <c r="S113" i="29" s="1"/>
  <c r="O106" i="29"/>
  <c r="O112" i="29" s="1"/>
  <c r="AT83" i="29"/>
  <c r="AV74" i="29"/>
  <c r="AH83" i="29"/>
  <c r="AJ74" i="29"/>
  <c r="AR111" i="29"/>
  <c r="AR106" i="29"/>
  <c r="AL95" i="29"/>
  <c r="AT95" i="29" s="1"/>
  <c r="AV95" i="29" s="1"/>
  <c r="AL94" i="29"/>
  <c r="AT94" i="29" s="1"/>
  <c r="AV94" i="29" s="1"/>
  <c r="AL93" i="29"/>
  <c r="AT93" i="29" s="1"/>
  <c r="AV93" i="29" s="1"/>
  <c r="AL91" i="29"/>
  <c r="AT91" i="29" s="1"/>
  <c r="AV91" i="29" s="1"/>
  <c r="AL90" i="29"/>
  <c r="AT90" i="29" s="1"/>
  <c r="AV90" i="29" s="1"/>
  <c r="AL87" i="29"/>
  <c r="AL89" i="29"/>
  <c r="AT89" i="29" s="1"/>
  <c r="AV89" i="29" s="1"/>
  <c r="AL92" i="29"/>
  <c r="AT92" i="29" s="1"/>
  <c r="AV92" i="29" s="1"/>
  <c r="AL88" i="29"/>
  <c r="AT88" i="29" s="1"/>
  <c r="AV88" i="29" s="1"/>
  <c r="BT83" i="29"/>
  <c r="BU83" i="29" s="1"/>
  <c r="BW74" i="29" s="1"/>
  <c r="BU74" i="29"/>
  <c r="AN112" i="29"/>
  <c r="AN113" i="29"/>
  <c r="Z94" i="29"/>
  <c r="AH94" i="29" s="1"/>
  <c r="AJ94" i="29" s="1"/>
  <c r="Z93" i="29"/>
  <c r="AH93" i="29" s="1"/>
  <c r="AJ93" i="29" s="1"/>
  <c r="Z92" i="29"/>
  <c r="AH92" i="29" s="1"/>
  <c r="AJ92" i="29" s="1"/>
  <c r="Z95" i="29"/>
  <c r="AH95" i="29" s="1"/>
  <c r="AJ95" i="29" s="1"/>
  <c r="Z88" i="29"/>
  <c r="AH88" i="29" s="1"/>
  <c r="AJ88" i="29" s="1"/>
  <c r="Z91" i="29"/>
  <c r="AH91" i="29" s="1"/>
  <c r="AJ91" i="29" s="1"/>
  <c r="Z90" i="29"/>
  <c r="AH90" i="29" s="1"/>
  <c r="AJ90" i="29" s="1"/>
  <c r="Z87" i="29"/>
  <c r="Z89" i="29"/>
  <c r="AH89" i="29" s="1"/>
  <c r="AJ89" i="29" s="1"/>
  <c r="AD111" i="29"/>
  <c r="AD106" i="29"/>
  <c r="V83" i="29"/>
  <c r="X74" i="29"/>
  <c r="X83" i="29" s="1"/>
  <c r="AB111" i="29"/>
  <c r="AB106" i="29"/>
  <c r="BF83" i="29"/>
  <c r="BH74" i="29"/>
  <c r="N95" i="29"/>
  <c r="N94" i="29"/>
  <c r="N93" i="29"/>
  <c r="N92" i="29"/>
  <c r="N90" i="29"/>
  <c r="N87" i="29"/>
  <c r="N89" i="29"/>
  <c r="N88" i="29"/>
  <c r="N91" i="29"/>
  <c r="AM112" i="29"/>
  <c r="AM113" i="29"/>
  <c r="Q111" i="29"/>
  <c r="Q106" i="29"/>
  <c r="AX94" i="29"/>
  <c r="BF94" i="29" s="1"/>
  <c r="BH94" i="29" s="1"/>
  <c r="AX93" i="29"/>
  <c r="BF93" i="29" s="1"/>
  <c r="BH93" i="29" s="1"/>
  <c r="AX92" i="29"/>
  <c r="BF92" i="29" s="1"/>
  <c r="BH92" i="29" s="1"/>
  <c r="AX95" i="29"/>
  <c r="BF95" i="29" s="1"/>
  <c r="BH95" i="29" s="1"/>
  <c r="AX91" i="29"/>
  <c r="BF91" i="29" s="1"/>
  <c r="BH91" i="29" s="1"/>
  <c r="AX88" i="29"/>
  <c r="BF88" i="29" s="1"/>
  <c r="BH88" i="29" s="1"/>
  <c r="AX90" i="29"/>
  <c r="BF90" i="29" s="1"/>
  <c r="BH90" i="29" s="1"/>
  <c r="AX87" i="29"/>
  <c r="AX89" i="29"/>
  <c r="BF89" i="29" s="1"/>
  <c r="BH89" i="29" s="1"/>
  <c r="R111" i="29"/>
  <c r="R106" i="29"/>
  <c r="AL5" i="28"/>
  <c r="AF5" i="28"/>
  <c r="AZ87" i="30" l="1"/>
  <c r="AZ89" i="30" s="1"/>
  <c r="BJ83" i="30"/>
  <c r="BN73" i="30"/>
  <c r="BJ78" i="30"/>
  <c r="BP68" i="31"/>
  <c r="AX83" i="31"/>
  <c r="BF73" i="31"/>
  <c r="AL83" i="31"/>
  <c r="AT73" i="31"/>
  <c r="S89" i="31"/>
  <c r="V87" i="31"/>
  <c r="BJ83" i="31"/>
  <c r="BL73" i="31"/>
  <c r="AC83" i="31"/>
  <c r="AH73" i="31"/>
  <c r="BP73" i="31"/>
  <c r="AV68" i="30"/>
  <c r="BH68" i="30"/>
  <c r="AN87" i="30"/>
  <c r="AN89" i="30" s="1"/>
  <c r="AC87" i="30"/>
  <c r="AC89" i="30" s="1"/>
  <c r="O87" i="30"/>
  <c r="O89" i="30" s="1"/>
  <c r="AB87" i="30"/>
  <c r="AB89" i="30" s="1"/>
  <c r="N83" i="30"/>
  <c r="V73" i="30"/>
  <c r="AH68" i="30"/>
  <c r="Z70" i="30"/>
  <c r="BR55" i="30"/>
  <c r="BF68" i="30"/>
  <c r="AT68" i="30"/>
  <c r="V68" i="30"/>
  <c r="X59" i="30"/>
  <c r="X68" i="30" s="1"/>
  <c r="BU68" i="30"/>
  <c r="BV68" i="30" s="1"/>
  <c r="BX59" i="30" s="1"/>
  <c r="BV59" i="30"/>
  <c r="AO112" i="29"/>
  <c r="AO115" i="29" s="1"/>
  <c r="AO117" i="29" s="1"/>
  <c r="AA113" i="29"/>
  <c r="AA115" i="29" s="1"/>
  <c r="AA117" i="29" s="1"/>
  <c r="AQ112" i="29"/>
  <c r="AQ115" i="29" s="1"/>
  <c r="AQ117" i="29" s="1"/>
  <c r="AF113" i="29"/>
  <c r="AF115" i="29" s="1"/>
  <c r="AF117" i="29" s="1"/>
  <c r="AP113" i="29"/>
  <c r="AP115" i="29" s="1"/>
  <c r="AP117" i="29" s="1"/>
  <c r="P112" i="29"/>
  <c r="P113" i="29"/>
  <c r="AE112" i="29"/>
  <c r="AY112" i="29"/>
  <c r="AY115" i="29" s="1"/>
  <c r="AY117" i="29" s="1"/>
  <c r="T113" i="29"/>
  <c r="T115" i="29" s="1"/>
  <c r="T117" i="29" s="1"/>
  <c r="S112" i="29"/>
  <c r="S115" i="29" s="1"/>
  <c r="S117" i="29" s="1"/>
  <c r="AE115" i="29"/>
  <c r="AE117" i="29" s="1"/>
  <c r="AM115" i="29"/>
  <c r="AM117" i="29" s="1"/>
  <c r="O113" i="29"/>
  <c r="O115" i="29" s="1"/>
  <c r="O117" i="29" s="1"/>
  <c r="AN115" i="29"/>
  <c r="AN117" i="29" s="1"/>
  <c r="R112" i="29"/>
  <c r="R113" i="29"/>
  <c r="BT89" i="29"/>
  <c r="BU89" i="29" s="1"/>
  <c r="V89" i="29"/>
  <c r="X89" i="29" s="1"/>
  <c r="Z96" i="29"/>
  <c r="AH87" i="29"/>
  <c r="AJ87" i="29" s="1"/>
  <c r="AL96" i="29"/>
  <c r="AT87" i="29"/>
  <c r="AV87" i="29" s="1"/>
  <c r="AR112" i="29"/>
  <c r="AR113" i="29"/>
  <c r="AV83" i="29"/>
  <c r="N96" i="29"/>
  <c r="N98" i="29" s="1"/>
  <c r="N101" i="29" s="1"/>
  <c r="V87" i="29"/>
  <c r="BT87" i="29"/>
  <c r="BT94" i="29"/>
  <c r="BU94" i="29" s="1"/>
  <c r="V94" i="29"/>
  <c r="X94" i="29" s="1"/>
  <c r="BH83" i="29"/>
  <c r="AD112" i="29"/>
  <c r="AD113" i="29"/>
  <c r="Q113" i="29"/>
  <c r="Q112" i="29"/>
  <c r="V91" i="29"/>
  <c r="X91" i="29" s="1"/>
  <c r="BT91" i="29"/>
  <c r="BU91" i="29" s="1"/>
  <c r="BT95" i="29"/>
  <c r="BU95" i="29" s="1"/>
  <c r="V95" i="29"/>
  <c r="X95" i="29" s="1"/>
  <c r="AJ83" i="29"/>
  <c r="V93" i="29"/>
  <c r="X93" i="29" s="1"/>
  <c r="BT93" i="29"/>
  <c r="BU93" i="29" s="1"/>
  <c r="V90" i="29"/>
  <c r="X90" i="29" s="1"/>
  <c r="BT90" i="29"/>
  <c r="BU90" i="29" s="1"/>
  <c r="AX96" i="29"/>
  <c r="BF87" i="29"/>
  <c r="BH87" i="29" s="1"/>
  <c r="BT88" i="29"/>
  <c r="BU88" i="29" s="1"/>
  <c r="V88" i="29"/>
  <c r="X88" i="29" s="1"/>
  <c r="BT92" i="29"/>
  <c r="BU92" i="29" s="1"/>
  <c r="V92" i="29"/>
  <c r="X92" i="29" s="1"/>
  <c r="AB112" i="29"/>
  <c r="AB113" i="29"/>
  <c r="AE5" i="28"/>
  <c r="BN83" i="30" l="1"/>
  <c r="BJ85" i="30"/>
  <c r="BN85" i="30" s="1"/>
  <c r="BJ84" i="30"/>
  <c r="BN84" i="30" s="1"/>
  <c r="BN78" i="30"/>
  <c r="AC85" i="31"/>
  <c r="AC84" i="31"/>
  <c r="AH78" i="31"/>
  <c r="BP78" i="31"/>
  <c r="BQ78" i="31" s="1"/>
  <c r="BJ85" i="31"/>
  <c r="BL85" i="31" s="1"/>
  <c r="BJ84" i="31"/>
  <c r="BL84" i="31" s="1"/>
  <c r="BL78" i="31"/>
  <c r="V89" i="31"/>
  <c r="BL83" i="31"/>
  <c r="AX85" i="31"/>
  <c r="BF85" i="31" s="1"/>
  <c r="AX84" i="31"/>
  <c r="BF84" i="31" s="1"/>
  <c r="BF78" i="31"/>
  <c r="AT83" i="31"/>
  <c r="AH83" i="31"/>
  <c r="BP83" i="31"/>
  <c r="AL85" i="31"/>
  <c r="AT85" i="31" s="1"/>
  <c r="AL84" i="31"/>
  <c r="AT84" i="31" s="1"/>
  <c r="AT78" i="31"/>
  <c r="BF83" i="31"/>
  <c r="BR68" i="30"/>
  <c r="BR73" i="30"/>
  <c r="AL83" i="30"/>
  <c r="AT73" i="30"/>
  <c r="Z83" i="30"/>
  <c r="AH73" i="30"/>
  <c r="N84" i="30"/>
  <c r="V78" i="30"/>
  <c r="N85" i="30"/>
  <c r="AX83" i="30"/>
  <c r="BF73" i="30"/>
  <c r="V83" i="30"/>
  <c r="P115" i="29"/>
  <c r="P117" i="29" s="1"/>
  <c r="AB115" i="29"/>
  <c r="AB117" i="29" s="1"/>
  <c r="AD115" i="29"/>
  <c r="AD117" i="29" s="1"/>
  <c r="Q115" i="29"/>
  <c r="Q117" i="29" s="1"/>
  <c r="BH96" i="29"/>
  <c r="AR115" i="29"/>
  <c r="AR117" i="29" s="1"/>
  <c r="R115" i="29"/>
  <c r="R117" i="29" s="1"/>
  <c r="AJ96" i="29"/>
  <c r="AV96" i="29"/>
  <c r="V96" i="29"/>
  <c r="X87" i="29"/>
  <c r="X96" i="29" s="1"/>
  <c r="BF96" i="29"/>
  <c r="AX98" i="29"/>
  <c r="AX101" i="29" s="1"/>
  <c r="V101" i="29"/>
  <c r="N111" i="29"/>
  <c r="N106" i="29"/>
  <c r="AT96" i="29"/>
  <c r="AL98" i="29"/>
  <c r="AL101" i="29" s="1"/>
  <c r="BQ83" i="29"/>
  <c r="BT96" i="29"/>
  <c r="BU96" i="29" s="1"/>
  <c r="BW87" i="29" s="1"/>
  <c r="BU87" i="29"/>
  <c r="AH96" i="29"/>
  <c r="Z98" i="29"/>
  <c r="Z101" i="29" s="1"/>
  <c r="AD5" i="28"/>
  <c r="AC87" i="31" l="1"/>
  <c r="AH87" i="31" s="1"/>
  <c r="BR83" i="30"/>
  <c r="BJ87" i="30"/>
  <c r="BJ87" i="31"/>
  <c r="BL87" i="31" s="1"/>
  <c r="AH84" i="31"/>
  <c r="BP84" i="31"/>
  <c r="AX87" i="31"/>
  <c r="AL87" i="31"/>
  <c r="AH85" i="31"/>
  <c r="BP85" i="31"/>
  <c r="AX84" i="30"/>
  <c r="BF84" i="30" s="1"/>
  <c r="AX85" i="30"/>
  <c r="BF85" i="30" s="1"/>
  <c r="BF78" i="30"/>
  <c r="BF83" i="30"/>
  <c r="BR78" i="30"/>
  <c r="BS78" i="30" s="1"/>
  <c r="V84" i="30"/>
  <c r="AL84" i="30"/>
  <c r="AT84" i="30" s="1"/>
  <c r="AT78" i="30"/>
  <c r="AL85" i="30"/>
  <c r="AT85" i="30" s="1"/>
  <c r="N87" i="30"/>
  <c r="AH83" i="30"/>
  <c r="V85" i="30"/>
  <c r="Z84" i="30"/>
  <c r="AH84" i="30" s="1"/>
  <c r="AH78" i="30"/>
  <c r="Z85" i="30"/>
  <c r="AH85" i="30" s="1"/>
  <c r="AT83" i="30"/>
  <c r="BQ96" i="29"/>
  <c r="BQ101" i="29"/>
  <c r="AH101" i="29"/>
  <c r="Z111" i="29"/>
  <c r="Z106" i="29"/>
  <c r="N112" i="29"/>
  <c r="V106" i="29"/>
  <c r="N113" i="29"/>
  <c r="AX111" i="29"/>
  <c r="AX106" i="29"/>
  <c r="BF101" i="29"/>
  <c r="AT101" i="29"/>
  <c r="AL111" i="29"/>
  <c r="AL106" i="29"/>
  <c r="V111" i="29"/>
  <c r="AC5" i="28"/>
  <c r="AC89" i="31" l="1"/>
  <c r="AH89" i="31" s="1"/>
  <c r="BJ89" i="30"/>
  <c r="BN89" i="30" s="1"/>
  <c r="BN87" i="30"/>
  <c r="BJ89" i="31"/>
  <c r="BL89" i="31" s="1"/>
  <c r="BF87" i="31"/>
  <c r="AX89" i="31"/>
  <c r="BF89" i="31" s="1"/>
  <c r="AT87" i="31"/>
  <c r="AL89" i="31"/>
  <c r="AT89" i="31" s="1"/>
  <c r="BP87" i="31"/>
  <c r="BR84" i="30"/>
  <c r="V87" i="30"/>
  <c r="N89" i="30"/>
  <c r="Z87" i="30"/>
  <c r="BR85" i="30"/>
  <c r="AL87" i="30"/>
  <c r="AX87" i="30"/>
  <c r="N115" i="29"/>
  <c r="V115" i="29" s="1"/>
  <c r="BQ106" i="29"/>
  <c r="BR106" i="29" s="1"/>
  <c r="AT111" i="29"/>
  <c r="V113" i="29"/>
  <c r="Z112" i="29"/>
  <c r="AH112" i="29" s="1"/>
  <c r="AH106" i="29"/>
  <c r="Z113" i="29"/>
  <c r="AH113" i="29" s="1"/>
  <c r="BQ111" i="29"/>
  <c r="AH111" i="29"/>
  <c r="BF111" i="29"/>
  <c r="AL112" i="29"/>
  <c r="AT112" i="29" s="1"/>
  <c r="AT106" i="29"/>
  <c r="AL113" i="29"/>
  <c r="AT113" i="29" s="1"/>
  <c r="AX112" i="29"/>
  <c r="BF112" i="29" s="1"/>
  <c r="AX113" i="29"/>
  <c r="BF113" i="29" s="1"/>
  <c r="BF106" i="29"/>
  <c r="V112" i="29"/>
  <c r="AB5" i="28"/>
  <c r="BP89" i="31" l="1"/>
  <c r="BQ89" i="31" s="1"/>
  <c r="BF87" i="30"/>
  <c r="AX89" i="30"/>
  <c r="BF89" i="30" s="1"/>
  <c r="AT87" i="30"/>
  <c r="AL89" i="30"/>
  <c r="AT89" i="30" s="1"/>
  <c r="AH87" i="30"/>
  <c r="Z89" i="30"/>
  <c r="AH89" i="30" s="1"/>
  <c r="V89" i="30"/>
  <c r="BR87" i="30"/>
  <c r="N117" i="29"/>
  <c r="V117" i="29" s="1"/>
  <c r="AX115" i="29"/>
  <c r="BQ113" i="29"/>
  <c r="BQ112" i="29"/>
  <c r="Z115" i="29"/>
  <c r="AL115" i="29"/>
  <c r="AA5" i="28"/>
  <c r="BR89" i="30" l="1"/>
  <c r="BS89" i="30" s="1"/>
  <c r="AH115" i="29"/>
  <c r="Z117" i="29"/>
  <c r="BQ115" i="29"/>
  <c r="AT115" i="29"/>
  <c r="AL117" i="29"/>
  <c r="AT117" i="29" s="1"/>
  <c r="BF115" i="29"/>
  <c r="AX117" i="29"/>
  <c r="BF117" i="29" s="1"/>
  <c r="Z5" i="28"/>
  <c r="T5" i="28"/>
  <c r="AH117" i="29" l="1"/>
  <c r="BQ117" i="29"/>
  <c r="BR117" i="29" s="1"/>
  <c r="S5" i="28"/>
  <c r="R5" i="28" l="1"/>
  <c r="Q5" i="28" l="1"/>
  <c r="P5" i="28" l="1"/>
  <c r="O5" i="28" l="1"/>
  <c r="V4" i="28" l="1"/>
  <c r="BS53" i="27" l="1"/>
  <c r="BS52" i="27"/>
  <c r="AL53" i="27"/>
  <c r="J47" i="27"/>
  <c r="J53" i="27"/>
  <c r="AZ53" i="27" s="1"/>
  <c r="J52" i="27"/>
  <c r="AC52" i="27" s="1"/>
  <c r="AC53" i="27"/>
  <c r="Z53" i="27"/>
  <c r="P53" i="27"/>
  <c r="T53" i="27"/>
  <c r="BJ53" i="27" l="1"/>
  <c r="AO53" i="27"/>
  <c r="BC53" i="27"/>
  <c r="AY53" i="27"/>
  <c r="AP52" i="27"/>
  <c r="AX52" i="27"/>
  <c r="BB53" i="27"/>
  <c r="BD52" i="27"/>
  <c r="AZ52" i="27"/>
  <c r="BL53" i="27"/>
  <c r="AM52" i="27"/>
  <c r="BA52" i="27"/>
  <c r="AR53" i="27"/>
  <c r="N52" i="27"/>
  <c r="R53" i="27"/>
  <c r="T52" i="27"/>
  <c r="AE53" i="27"/>
  <c r="AA53" i="27"/>
  <c r="AQ53" i="27"/>
  <c r="AM53" i="27"/>
  <c r="AO52" i="27"/>
  <c r="AX53" i="27"/>
  <c r="BA53" i="27"/>
  <c r="BC52" i="27"/>
  <c r="AY52" i="27"/>
  <c r="BK53" i="27"/>
  <c r="AQ52" i="27"/>
  <c r="BK52" i="27"/>
  <c r="S53" i="27"/>
  <c r="O53" i="27"/>
  <c r="AF53" i="27"/>
  <c r="AB53" i="27"/>
  <c r="AH53" i="27" s="1"/>
  <c r="AN53" i="27"/>
  <c r="N53" i="27"/>
  <c r="Q53" i="27"/>
  <c r="P52" i="27"/>
  <c r="AD53" i="27"/>
  <c r="AD52" i="27"/>
  <c r="AL52" i="27"/>
  <c r="AP53" i="27"/>
  <c r="AR52" i="27"/>
  <c r="AN52" i="27"/>
  <c r="BD53" i="27"/>
  <c r="BB52" i="27"/>
  <c r="BF52" i="27" s="1"/>
  <c r="BJ52" i="27"/>
  <c r="BL52" i="27"/>
  <c r="R52" i="27"/>
  <c r="Z52" i="27"/>
  <c r="AF52" i="27"/>
  <c r="AB52" i="27"/>
  <c r="Q52" i="27"/>
  <c r="AE52" i="27"/>
  <c r="AA52" i="27"/>
  <c r="S52" i="27"/>
  <c r="O52" i="27"/>
  <c r="BS49" i="27"/>
  <c r="BS48" i="27"/>
  <c r="BS47" i="27"/>
  <c r="BS46" i="27"/>
  <c r="BS45" i="27"/>
  <c r="J54" i="27"/>
  <c r="T54" i="27" s="1"/>
  <c r="J36" i="27"/>
  <c r="BC36" i="27" s="1"/>
  <c r="J48" i="27"/>
  <c r="AD48" i="27" s="1"/>
  <c r="J51" i="27"/>
  <c r="J49" i="27"/>
  <c r="T49" i="27" s="1"/>
  <c r="V53" i="27" l="1"/>
  <c r="BN53" i="27"/>
  <c r="AT52" i="27"/>
  <c r="AH52" i="27"/>
  <c r="BF53" i="27"/>
  <c r="R49" i="27"/>
  <c r="P48" i="27"/>
  <c r="BU53" i="27"/>
  <c r="BV53" i="27" s="1"/>
  <c r="BU52" i="27"/>
  <c r="BV52" i="27" s="1"/>
  <c r="AZ51" i="27"/>
  <c r="P51" i="27"/>
  <c r="BN52" i="27"/>
  <c r="AT53" i="27"/>
  <c r="V52" i="27"/>
  <c r="P49" i="27"/>
  <c r="N48" i="27"/>
  <c r="T48" i="27"/>
  <c r="R48" i="27"/>
  <c r="R54" i="27"/>
  <c r="P54" i="27"/>
  <c r="R51" i="27"/>
  <c r="BL49" i="27"/>
  <c r="AY49" i="27"/>
  <c r="BC49" i="27"/>
  <c r="AP49" i="27"/>
  <c r="BB49" i="27"/>
  <c r="AO49" i="27"/>
  <c r="AL49" i="27"/>
  <c r="BK49" i="27"/>
  <c r="BJ49" i="27"/>
  <c r="BD49" i="27"/>
  <c r="AQ49" i="27"/>
  <c r="AZ49" i="27"/>
  <c r="AX49" i="27"/>
  <c r="AM49" i="27"/>
  <c r="AR49" i="27"/>
  <c r="BA54" i="27"/>
  <c r="AX54" i="27"/>
  <c r="AN54" i="27"/>
  <c r="AZ54" i="27"/>
  <c r="AM54" i="27"/>
  <c r="AR54" i="27"/>
  <c r="BK54" i="27"/>
  <c r="BB54" i="27"/>
  <c r="AO54" i="27"/>
  <c r="AL54" i="27"/>
  <c r="BL54" i="27"/>
  <c r="BC54" i="27"/>
  <c r="AP54" i="27"/>
  <c r="S54" i="27"/>
  <c r="O54" i="27"/>
  <c r="Q51" i="27"/>
  <c r="Q49" i="27"/>
  <c r="S48" i="27"/>
  <c r="O48" i="27"/>
  <c r="S36" i="27"/>
  <c r="O36" i="27"/>
  <c r="Z36" i="27"/>
  <c r="AE54" i="27"/>
  <c r="AA54" i="27"/>
  <c r="AC51" i="27"/>
  <c r="AC49" i="27"/>
  <c r="AE48" i="27"/>
  <c r="AA48" i="27"/>
  <c r="AC36" i="27"/>
  <c r="AR51" i="27"/>
  <c r="AO48" i="27"/>
  <c r="BL51" i="27"/>
  <c r="BJ51" i="27"/>
  <c r="AY51" i="27"/>
  <c r="BC51" i="27"/>
  <c r="AP51" i="27"/>
  <c r="BK51" i="27"/>
  <c r="BA51" i="27"/>
  <c r="AX51" i="27"/>
  <c r="AN51" i="27"/>
  <c r="BB51" i="27"/>
  <c r="AO51" i="27"/>
  <c r="BD51" i="27"/>
  <c r="AQ51" i="27"/>
  <c r="AL51" i="27"/>
  <c r="R36" i="27"/>
  <c r="Z51" i="27"/>
  <c r="AD54" i="27"/>
  <c r="AF51" i="27"/>
  <c r="AB51" i="27"/>
  <c r="AF49" i="27"/>
  <c r="AB49" i="27"/>
  <c r="AM51" i="27"/>
  <c r="BJ54" i="27"/>
  <c r="T51" i="27"/>
  <c r="BA48" i="27"/>
  <c r="AX48" i="27"/>
  <c r="AN48" i="27"/>
  <c r="AR48" i="27"/>
  <c r="BL48" i="27"/>
  <c r="BC48" i="27"/>
  <c r="AP48" i="27"/>
  <c r="AY48" i="27"/>
  <c r="BD48" i="27"/>
  <c r="AQ48" i="27"/>
  <c r="AL48" i="27"/>
  <c r="BJ48" i="27"/>
  <c r="AZ48" i="27"/>
  <c r="AM48" i="27"/>
  <c r="N49" i="27"/>
  <c r="Q54" i="27"/>
  <c r="S51" i="27"/>
  <c r="O51" i="27"/>
  <c r="S49" i="27"/>
  <c r="O49" i="27"/>
  <c r="Q48" i="27"/>
  <c r="Q36" i="27"/>
  <c r="Z48" i="27"/>
  <c r="Z54" i="27"/>
  <c r="AC54" i="27"/>
  <c r="AE51" i="27"/>
  <c r="AA51" i="27"/>
  <c r="AE49" i="27"/>
  <c r="AA49" i="27"/>
  <c r="AC48" i="27"/>
  <c r="BD54" i="27"/>
  <c r="BA49" i="27"/>
  <c r="BA36" i="27"/>
  <c r="AN36" i="27"/>
  <c r="AR36" i="27"/>
  <c r="BK36" i="27"/>
  <c r="AY36" i="27"/>
  <c r="BD36" i="27"/>
  <c r="AQ36" i="27"/>
  <c r="AA36" i="27"/>
  <c r="AE36" i="27"/>
  <c r="BL36" i="27"/>
  <c r="BJ36" i="27"/>
  <c r="AZ36" i="27"/>
  <c r="AM36" i="27"/>
  <c r="AB36" i="27"/>
  <c r="AF36" i="27"/>
  <c r="BB36" i="27"/>
  <c r="AX36" i="27"/>
  <c r="AO36" i="27"/>
  <c r="T36" i="27"/>
  <c r="P36" i="27"/>
  <c r="Z49" i="27"/>
  <c r="AF54" i="27"/>
  <c r="AB54" i="27"/>
  <c r="AD51" i="27"/>
  <c r="AD49" i="27"/>
  <c r="AF48" i="27"/>
  <c r="AB48" i="27"/>
  <c r="AD36" i="27"/>
  <c r="AL36" i="27"/>
  <c r="AQ54" i="27"/>
  <c r="AN49" i="27"/>
  <c r="AP36" i="27"/>
  <c r="AY54" i="27"/>
  <c r="BB48" i="27"/>
  <c r="BK48" i="27"/>
  <c r="BK44" i="28"/>
  <c r="BJ44" i="28"/>
  <c r="BD44" i="28"/>
  <c r="BC44" i="28"/>
  <c r="BB44" i="28"/>
  <c r="BA44" i="28"/>
  <c r="AZ44" i="28"/>
  <c r="E76" i="28"/>
  <c r="E84" i="28" s="1"/>
  <c r="J84" i="28" s="1"/>
  <c r="K84" i="28" s="1"/>
  <c r="BZ21" i="28"/>
  <c r="E40" i="28"/>
  <c r="J75" i="28"/>
  <c r="J67" i="28"/>
  <c r="AI67" i="28" s="1"/>
  <c r="J66" i="28"/>
  <c r="AU66" i="28" s="1"/>
  <c r="J65" i="28"/>
  <c r="W65" i="28" s="1"/>
  <c r="J64" i="28"/>
  <c r="AI64" i="28" s="1"/>
  <c r="J63" i="28"/>
  <c r="AI63" i="28" s="1"/>
  <c r="J62" i="28"/>
  <c r="BN62" i="28" s="1"/>
  <c r="J61" i="28"/>
  <c r="AU61" i="28" s="1"/>
  <c r="J60" i="28"/>
  <c r="BN60" i="28" s="1"/>
  <c r="J59" i="28"/>
  <c r="AI59" i="28" s="1"/>
  <c r="J54" i="28"/>
  <c r="BN54" i="28" s="1"/>
  <c r="J53" i="28"/>
  <c r="AU53" i="28" s="1"/>
  <c r="J52" i="28"/>
  <c r="AI52" i="28" s="1"/>
  <c r="J51" i="28"/>
  <c r="AI51" i="28" s="1"/>
  <c r="J50" i="28"/>
  <c r="AU50" i="28" s="1"/>
  <c r="J49" i="28"/>
  <c r="BN49" i="28" s="1"/>
  <c r="J48" i="28"/>
  <c r="AI48" i="28" s="1"/>
  <c r="J47" i="28"/>
  <c r="BN47" i="28" s="1"/>
  <c r="J46" i="28"/>
  <c r="AU46" i="28" s="1"/>
  <c r="BR35" i="28"/>
  <c r="BR34" i="28"/>
  <c r="BR33" i="28"/>
  <c r="BR32" i="28"/>
  <c r="BR31" i="28"/>
  <c r="BR30" i="28"/>
  <c r="BR29" i="28"/>
  <c r="BM35" i="28"/>
  <c r="BM34" i="28"/>
  <c r="BM33" i="28"/>
  <c r="BM32" i="28"/>
  <c r="BM31" i="28"/>
  <c r="BM30" i="28"/>
  <c r="BM29" i="28"/>
  <c r="BM3" i="28"/>
  <c r="J38" i="28"/>
  <c r="J37" i="28"/>
  <c r="J30" i="28"/>
  <c r="J26" i="28"/>
  <c r="J29" i="28"/>
  <c r="J36" i="28"/>
  <c r="J35" i="28"/>
  <c r="J34" i="28"/>
  <c r="J33" i="28"/>
  <c r="J32" i="28"/>
  <c r="J31" i="28"/>
  <c r="J28" i="28"/>
  <c r="J24" i="28"/>
  <c r="J23" i="28"/>
  <c r="J27" i="28"/>
  <c r="J22" i="28"/>
  <c r="J21" i="28"/>
  <c r="J20" i="28"/>
  <c r="J19" i="28"/>
  <c r="J25" i="28"/>
  <c r="J18" i="28"/>
  <c r="J17" i="28"/>
  <c r="J16" i="28"/>
  <c r="J15" i="28"/>
  <c r="I75" i="28"/>
  <c r="H75" i="28"/>
  <c r="G75" i="28"/>
  <c r="F75" i="28"/>
  <c r="BM72" i="28"/>
  <c r="BF72" i="28"/>
  <c r="E68" i="28"/>
  <c r="K67" i="28" s="1"/>
  <c r="I67" i="28"/>
  <c r="H67" i="28"/>
  <c r="G67" i="28"/>
  <c r="F67" i="28"/>
  <c r="BN66" i="28"/>
  <c r="I65" i="28"/>
  <c r="H65" i="28"/>
  <c r="G65" i="28"/>
  <c r="F65" i="28"/>
  <c r="I64" i="28"/>
  <c r="H64" i="28"/>
  <c r="G64" i="28"/>
  <c r="F64" i="28"/>
  <c r="I63" i="28"/>
  <c r="H63" i="28"/>
  <c r="G63" i="28"/>
  <c r="F63" i="28"/>
  <c r="I62" i="28"/>
  <c r="H62" i="28"/>
  <c r="G62" i="28"/>
  <c r="F62" i="28"/>
  <c r="I60" i="28"/>
  <c r="H60" i="28"/>
  <c r="G60" i="28"/>
  <c r="F60" i="28"/>
  <c r="I59" i="28"/>
  <c r="H59" i="28"/>
  <c r="G59" i="28"/>
  <c r="F59" i="28"/>
  <c r="E55" i="28"/>
  <c r="K49" i="28" s="1"/>
  <c r="I54" i="28"/>
  <c r="H54" i="28"/>
  <c r="G54" i="28"/>
  <c r="F54" i="28"/>
  <c r="I53" i="28"/>
  <c r="H53" i="28"/>
  <c r="G53" i="28"/>
  <c r="F53" i="28"/>
  <c r="I52" i="28"/>
  <c r="H52" i="28"/>
  <c r="G52" i="28"/>
  <c r="F52" i="28"/>
  <c r="I51" i="28"/>
  <c r="H51" i="28"/>
  <c r="G51" i="28"/>
  <c r="F51" i="28"/>
  <c r="W50" i="28"/>
  <c r="I50" i="28"/>
  <c r="H50" i="28"/>
  <c r="G50" i="28"/>
  <c r="F50" i="28"/>
  <c r="I49" i="28"/>
  <c r="H49" i="28"/>
  <c r="G49" i="28"/>
  <c r="F49" i="28"/>
  <c r="I48" i="28"/>
  <c r="H48" i="28"/>
  <c r="G48" i="28"/>
  <c r="F48" i="28"/>
  <c r="BQ40" i="28"/>
  <c r="I40" i="28"/>
  <c r="H40" i="28"/>
  <c r="G40" i="28"/>
  <c r="F40" i="28"/>
  <c r="BR38" i="28"/>
  <c r="BR37" i="28"/>
  <c r="BR36" i="28"/>
  <c r="BR28" i="28"/>
  <c r="BR27" i="28"/>
  <c r="BR26" i="28"/>
  <c r="BR25" i="28"/>
  <c r="BR24" i="28"/>
  <c r="BR23" i="28"/>
  <c r="BR22" i="28"/>
  <c r="BR21" i="28"/>
  <c r="BR20" i="28"/>
  <c r="BR19" i="28"/>
  <c r="BR18" i="28"/>
  <c r="BR17" i="28"/>
  <c r="BR16" i="28"/>
  <c r="BR15" i="28"/>
  <c r="K9" i="28"/>
  <c r="BT6" i="28"/>
  <c r="BK5" i="28"/>
  <c r="BJ5" i="28"/>
  <c r="BD5" i="28"/>
  <c r="BC5" i="28"/>
  <c r="BB5" i="28"/>
  <c r="BA5" i="28"/>
  <c r="AZ5" i="28"/>
  <c r="N5" i="28"/>
  <c r="BT4" i="28"/>
  <c r="BM4" i="28"/>
  <c r="BO5" i="28" s="1"/>
  <c r="BF4" i="28"/>
  <c r="BH5" i="28" s="1"/>
  <c r="AT4" i="28"/>
  <c r="AV5" i="28" s="1"/>
  <c r="AH4" i="28"/>
  <c r="AJ5" i="28" s="1"/>
  <c r="X5" i="28"/>
  <c r="BT3" i="28"/>
  <c r="BY1" i="28" s="1"/>
  <c r="BF3" i="28"/>
  <c r="AT3" i="28"/>
  <c r="AH3" i="28"/>
  <c r="V3" i="28"/>
  <c r="BN59" i="28" l="1"/>
  <c r="AI65" i="28"/>
  <c r="BG49" i="28"/>
  <c r="AI61" i="28"/>
  <c r="W53" i="28"/>
  <c r="BG65" i="28"/>
  <c r="N35" i="28"/>
  <c r="AY35" i="28"/>
  <c r="AX35" i="28"/>
  <c r="AR35" i="28"/>
  <c r="AO35" i="28"/>
  <c r="AQ35" i="28"/>
  <c r="AP35" i="28"/>
  <c r="AN35" i="28"/>
  <c r="AM35" i="28"/>
  <c r="AL35" i="28"/>
  <c r="AF35" i="28"/>
  <c r="AE35" i="28"/>
  <c r="AD35" i="28"/>
  <c r="AC35" i="28"/>
  <c r="AB35" i="28"/>
  <c r="AA35" i="28"/>
  <c r="T35" i="28"/>
  <c r="Z35" i="28"/>
  <c r="S35" i="28"/>
  <c r="R35" i="28"/>
  <c r="Q35" i="28"/>
  <c r="P35" i="28"/>
  <c r="O35" i="28"/>
  <c r="AY22" i="28"/>
  <c r="AX22" i="28"/>
  <c r="AR22" i="28"/>
  <c r="AO22" i="28"/>
  <c r="AP22" i="28"/>
  <c r="AQ22" i="28"/>
  <c r="AN22" i="28"/>
  <c r="AM22" i="28"/>
  <c r="AF22" i="28"/>
  <c r="AL22" i="28"/>
  <c r="AE22" i="28"/>
  <c r="AD22" i="28"/>
  <c r="AC22" i="28"/>
  <c r="AB22" i="28"/>
  <c r="AA22" i="28"/>
  <c r="Z22" i="28"/>
  <c r="T22" i="28"/>
  <c r="S22" i="28"/>
  <c r="R22" i="28"/>
  <c r="Q22" i="28"/>
  <c r="P22" i="28"/>
  <c r="O22" i="28"/>
  <c r="AY28" i="28"/>
  <c r="AX28" i="28"/>
  <c r="AR28" i="28"/>
  <c r="AO28" i="28"/>
  <c r="AQ28" i="28"/>
  <c r="AP28" i="28"/>
  <c r="AN28" i="28"/>
  <c r="AM28" i="28"/>
  <c r="AL28" i="28"/>
  <c r="AF28" i="28"/>
  <c r="AE28" i="28"/>
  <c r="AD28" i="28"/>
  <c r="AC28" i="28"/>
  <c r="AB28" i="28"/>
  <c r="AA28" i="28"/>
  <c r="Z28" i="28"/>
  <c r="T28" i="28"/>
  <c r="S28" i="28"/>
  <c r="R28" i="28"/>
  <c r="Q28" i="28"/>
  <c r="P28" i="28"/>
  <c r="O28" i="28"/>
  <c r="AY26" i="28"/>
  <c r="AX26" i="28"/>
  <c r="AR26" i="28"/>
  <c r="AO26" i="28"/>
  <c r="AP26" i="28"/>
  <c r="AQ26" i="28"/>
  <c r="AM26" i="28"/>
  <c r="AN26" i="28"/>
  <c r="AL26" i="28"/>
  <c r="AF26" i="28"/>
  <c r="AE26" i="28"/>
  <c r="AD26" i="28"/>
  <c r="AC26" i="28"/>
  <c r="AB26" i="28"/>
  <c r="AA26" i="28"/>
  <c r="T26" i="28"/>
  <c r="Z26" i="28"/>
  <c r="S26" i="28"/>
  <c r="R26" i="28"/>
  <c r="Q26" i="28"/>
  <c r="P26" i="28"/>
  <c r="O26" i="28"/>
  <c r="AU47" i="28"/>
  <c r="AU63" i="28"/>
  <c r="AY27" i="28"/>
  <c r="AX27" i="28"/>
  <c r="AR27" i="28"/>
  <c r="AO27" i="28"/>
  <c r="AQ27" i="28"/>
  <c r="AP27" i="28"/>
  <c r="AN27" i="28"/>
  <c r="AM27" i="28"/>
  <c r="AL27" i="28"/>
  <c r="AF27" i="28"/>
  <c r="AE27" i="28"/>
  <c r="AD27" i="28"/>
  <c r="AC27" i="28"/>
  <c r="AB27" i="28"/>
  <c r="AA27" i="28"/>
  <c r="AH27" i="28" s="1"/>
  <c r="Z27" i="28"/>
  <c r="T27" i="28"/>
  <c r="S27" i="28"/>
  <c r="R27" i="28"/>
  <c r="Q27" i="28"/>
  <c r="P27" i="28"/>
  <c r="O27" i="28"/>
  <c r="AY30" i="28"/>
  <c r="AX30" i="28"/>
  <c r="AR30" i="28"/>
  <c r="AO30" i="28"/>
  <c r="AQ30" i="28"/>
  <c r="AP30" i="28"/>
  <c r="AM30" i="28"/>
  <c r="AN30" i="28"/>
  <c r="AL30" i="28"/>
  <c r="AF30" i="28"/>
  <c r="AE30" i="28"/>
  <c r="AD30" i="28"/>
  <c r="AC30" i="28"/>
  <c r="AB30" i="28"/>
  <c r="AA30" i="28"/>
  <c r="T30" i="28"/>
  <c r="Z30" i="28"/>
  <c r="S30" i="28"/>
  <c r="R30" i="28"/>
  <c r="Q30" i="28"/>
  <c r="P30" i="28"/>
  <c r="O30" i="28"/>
  <c r="AY33" i="28"/>
  <c r="AX33" i="28"/>
  <c r="AR33" i="28"/>
  <c r="AO33" i="28"/>
  <c r="AP33" i="28"/>
  <c r="AQ33" i="28"/>
  <c r="AN33" i="28"/>
  <c r="AM33" i="28"/>
  <c r="AL33" i="28"/>
  <c r="AF33" i="28"/>
  <c r="AE33" i="28"/>
  <c r="AD33" i="28"/>
  <c r="AC33" i="28"/>
  <c r="AB33" i="28"/>
  <c r="AA33" i="28"/>
  <c r="Z33" i="28"/>
  <c r="T33" i="28"/>
  <c r="S33" i="28"/>
  <c r="R33" i="28"/>
  <c r="Q33" i="28"/>
  <c r="P33" i="28"/>
  <c r="O33" i="28"/>
  <c r="AY29" i="28"/>
  <c r="AX29" i="28"/>
  <c r="AR29" i="28"/>
  <c r="AO29" i="28"/>
  <c r="AP29" i="28"/>
  <c r="AQ29" i="28"/>
  <c r="AM29" i="28"/>
  <c r="AN29" i="28"/>
  <c r="AF29" i="28"/>
  <c r="AL29" i="28"/>
  <c r="AE29" i="28"/>
  <c r="AD29" i="28"/>
  <c r="AC29" i="28"/>
  <c r="AB29" i="28"/>
  <c r="AA29" i="28"/>
  <c r="Z29" i="28"/>
  <c r="T29" i="28"/>
  <c r="S29" i="28"/>
  <c r="R29" i="28"/>
  <c r="Q29" i="28"/>
  <c r="P29" i="28"/>
  <c r="O29" i="28"/>
  <c r="AY38" i="28"/>
  <c r="AX38" i="28"/>
  <c r="AR38" i="28"/>
  <c r="AO38" i="28"/>
  <c r="AP38" i="28"/>
  <c r="AQ38" i="28"/>
  <c r="AM38" i="28"/>
  <c r="AN38" i="28"/>
  <c r="AL38" i="28"/>
  <c r="AF38" i="28"/>
  <c r="AE38" i="28"/>
  <c r="AD38" i="28"/>
  <c r="AC38" i="28"/>
  <c r="AB38" i="28"/>
  <c r="AA38" i="28"/>
  <c r="T38" i="28"/>
  <c r="Z38" i="28"/>
  <c r="S38" i="28"/>
  <c r="R38" i="28"/>
  <c r="Q38" i="28"/>
  <c r="P38" i="28"/>
  <c r="O38" i="28"/>
  <c r="BG61" i="28"/>
  <c r="AU59" i="28"/>
  <c r="AI53" i="28"/>
  <c r="AY19" i="28"/>
  <c r="AX19" i="28"/>
  <c r="AR19" i="28"/>
  <c r="AO19" i="28"/>
  <c r="AQ19" i="28"/>
  <c r="AP19" i="28"/>
  <c r="AN19" i="28"/>
  <c r="AM19" i="28"/>
  <c r="AF19" i="28"/>
  <c r="AL19" i="28"/>
  <c r="AE19" i="28"/>
  <c r="AD19" i="28"/>
  <c r="AC19" i="28"/>
  <c r="AB19" i="28"/>
  <c r="AA19" i="28"/>
  <c r="Z19" i="28"/>
  <c r="T19" i="28"/>
  <c r="S19" i="28"/>
  <c r="R19" i="28"/>
  <c r="Q19" i="28"/>
  <c r="P19" i="28"/>
  <c r="O19" i="28"/>
  <c r="AY23" i="28"/>
  <c r="AX23" i="28"/>
  <c r="AR23" i="28"/>
  <c r="AO23" i="28"/>
  <c r="AQ23" i="28"/>
  <c r="AP23" i="28"/>
  <c r="AM23" i="28"/>
  <c r="AN23" i="28"/>
  <c r="AF23" i="28"/>
  <c r="AL23" i="28"/>
  <c r="AE23" i="28"/>
  <c r="AD23" i="28"/>
  <c r="AC23" i="28"/>
  <c r="AB23" i="28"/>
  <c r="AA23" i="28"/>
  <c r="Z23" i="28"/>
  <c r="T23" i="28"/>
  <c r="S23" i="28"/>
  <c r="R23" i="28"/>
  <c r="Q23" i="28"/>
  <c r="P23" i="28"/>
  <c r="O23" i="28"/>
  <c r="AY37" i="28"/>
  <c r="AX37" i="28"/>
  <c r="AR37" i="28"/>
  <c r="AO37" i="28"/>
  <c r="AQ37" i="28"/>
  <c r="AP37" i="28"/>
  <c r="AM37" i="28"/>
  <c r="AN37" i="28"/>
  <c r="AF37" i="28"/>
  <c r="AL37" i="28"/>
  <c r="AE37" i="28"/>
  <c r="AD37" i="28"/>
  <c r="AC37" i="28"/>
  <c r="AB37" i="28"/>
  <c r="AA37" i="28"/>
  <c r="Z37" i="28"/>
  <c r="T37" i="28"/>
  <c r="S37" i="28"/>
  <c r="R37" i="28"/>
  <c r="Q37" i="28"/>
  <c r="P37" i="28"/>
  <c r="O37" i="28"/>
  <c r="AY75" i="28"/>
  <c r="AX75" i="28"/>
  <c r="AR75" i="28"/>
  <c r="AO75" i="28"/>
  <c r="AQ75" i="28"/>
  <c r="AP75" i="28"/>
  <c r="AN75" i="28"/>
  <c r="AM75" i="28"/>
  <c r="AF75" i="28"/>
  <c r="AL75" i="28"/>
  <c r="AE75" i="28"/>
  <c r="AD75" i="28"/>
  <c r="AC75" i="28"/>
  <c r="AB75" i="28"/>
  <c r="AA75" i="28"/>
  <c r="Z75" i="28"/>
  <c r="T75" i="28"/>
  <c r="N75" i="28"/>
  <c r="S75" i="28"/>
  <c r="R75" i="28"/>
  <c r="Q75" i="28"/>
  <c r="O75" i="28"/>
  <c r="P75" i="28"/>
  <c r="AU67" i="28"/>
  <c r="BN51" i="28"/>
  <c r="K59" i="28"/>
  <c r="BG53" i="28"/>
  <c r="AU51" i="28"/>
  <c r="AI49" i="28"/>
  <c r="N33" i="28"/>
  <c r="AY36" i="28"/>
  <c r="AX36" i="28"/>
  <c r="AR36" i="28"/>
  <c r="AP36" i="28"/>
  <c r="AO36" i="28"/>
  <c r="AQ36" i="28"/>
  <c r="AN36" i="28"/>
  <c r="AM36" i="28"/>
  <c r="AL36" i="28"/>
  <c r="AF36" i="28"/>
  <c r="AE36" i="28"/>
  <c r="AD36" i="28"/>
  <c r="AC36" i="28"/>
  <c r="AB36" i="28"/>
  <c r="AA36" i="28"/>
  <c r="Z36" i="28"/>
  <c r="T36" i="28"/>
  <c r="S36" i="28"/>
  <c r="R36" i="28"/>
  <c r="Q36" i="28"/>
  <c r="P36" i="28"/>
  <c r="O36" i="28"/>
  <c r="AY34" i="28"/>
  <c r="AX34" i="28"/>
  <c r="AO34" i="28"/>
  <c r="AR34" i="28"/>
  <c r="AQ34" i="28"/>
  <c r="AP34" i="28"/>
  <c r="AN34" i="28"/>
  <c r="AM34" i="28"/>
  <c r="AF34" i="28"/>
  <c r="AL34" i="28"/>
  <c r="AE34" i="28"/>
  <c r="AD34" i="28"/>
  <c r="AC34" i="28"/>
  <c r="AB34" i="28"/>
  <c r="AA34" i="28"/>
  <c r="Z34" i="28"/>
  <c r="T34" i="28"/>
  <c r="S34" i="28"/>
  <c r="R34" i="28"/>
  <c r="Q34" i="28"/>
  <c r="P34" i="28"/>
  <c r="O34" i="28"/>
  <c r="AY32" i="28"/>
  <c r="AX32" i="28"/>
  <c r="AR32" i="28"/>
  <c r="AP32" i="28"/>
  <c r="AO32" i="28"/>
  <c r="AQ32" i="28"/>
  <c r="AN32" i="28"/>
  <c r="AM32" i="28"/>
  <c r="AL32" i="28"/>
  <c r="AF32" i="28"/>
  <c r="AE32" i="28"/>
  <c r="AD32" i="28"/>
  <c r="AC32" i="28"/>
  <c r="AB32" i="28"/>
  <c r="AA32" i="28"/>
  <c r="T32" i="28"/>
  <c r="Z32" i="28"/>
  <c r="S32" i="28"/>
  <c r="R32" i="28"/>
  <c r="Q32" i="28"/>
  <c r="P32" i="28"/>
  <c r="O32" i="28"/>
  <c r="AY31" i="28"/>
  <c r="AX31" i="28"/>
  <c r="AO31" i="28"/>
  <c r="AR31" i="28"/>
  <c r="AQ31" i="28"/>
  <c r="AP31" i="28"/>
  <c r="AM31" i="28"/>
  <c r="AN31" i="28"/>
  <c r="AF31" i="28"/>
  <c r="AL31" i="28"/>
  <c r="AE31" i="28"/>
  <c r="AD31" i="28"/>
  <c r="AC31" i="28"/>
  <c r="AB31" i="28"/>
  <c r="AA31" i="28"/>
  <c r="Z31" i="28"/>
  <c r="T31" i="28"/>
  <c r="S31" i="28"/>
  <c r="R31" i="28"/>
  <c r="Q31" i="28"/>
  <c r="P31" i="28"/>
  <c r="O31" i="28"/>
  <c r="N26" i="28"/>
  <c r="AY25" i="28"/>
  <c r="AX25" i="28"/>
  <c r="AR25" i="28"/>
  <c r="AP25" i="28"/>
  <c r="AQ25" i="28"/>
  <c r="AO25" i="28"/>
  <c r="AM25" i="28"/>
  <c r="AN25" i="28"/>
  <c r="AL25" i="28"/>
  <c r="AF25" i="28"/>
  <c r="AE25" i="28"/>
  <c r="AD25" i="28"/>
  <c r="AC25" i="28"/>
  <c r="AB25" i="28"/>
  <c r="AA25" i="28"/>
  <c r="Z25" i="28"/>
  <c r="T25" i="28"/>
  <c r="S25" i="28"/>
  <c r="R25" i="28"/>
  <c r="Q25" i="28"/>
  <c r="P25" i="28"/>
  <c r="O25" i="28"/>
  <c r="AY24" i="28"/>
  <c r="AX24" i="28"/>
  <c r="AO24" i="28"/>
  <c r="AR24" i="28"/>
  <c r="AQ24" i="28"/>
  <c r="AP24" i="28"/>
  <c r="AN24" i="28"/>
  <c r="AM24" i="28"/>
  <c r="AL24" i="28"/>
  <c r="AF24" i="28"/>
  <c r="AE24" i="28"/>
  <c r="AD24" i="28"/>
  <c r="AC24" i="28"/>
  <c r="AB24" i="28"/>
  <c r="AA24" i="28"/>
  <c r="T24" i="28"/>
  <c r="Z24" i="28"/>
  <c r="S24" i="28"/>
  <c r="R24" i="28"/>
  <c r="Q24" i="28"/>
  <c r="P24" i="28"/>
  <c r="O24" i="28"/>
  <c r="AY17" i="28"/>
  <c r="AX17" i="28"/>
  <c r="AR17" i="28"/>
  <c r="AQ17" i="28"/>
  <c r="AO17" i="28"/>
  <c r="AP17" i="28"/>
  <c r="AN17" i="28"/>
  <c r="AM17" i="28"/>
  <c r="AL17" i="28"/>
  <c r="AF17" i="28"/>
  <c r="AE17" i="28"/>
  <c r="AD17" i="28"/>
  <c r="AC17" i="28"/>
  <c r="AB17" i="28"/>
  <c r="AA17" i="28"/>
  <c r="T17" i="28"/>
  <c r="Z17" i="28"/>
  <c r="S17" i="28"/>
  <c r="R17" i="28"/>
  <c r="Q17" i="28"/>
  <c r="P17" i="28"/>
  <c r="O17" i="28"/>
  <c r="AY16" i="28"/>
  <c r="AX16" i="28"/>
  <c r="AR16" i="28"/>
  <c r="AQ16" i="28"/>
  <c r="AP16" i="28"/>
  <c r="AO16" i="28"/>
  <c r="AN16" i="28"/>
  <c r="AM16" i="28"/>
  <c r="AF16" i="28"/>
  <c r="AL16" i="28"/>
  <c r="AE16" i="28"/>
  <c r="AD16" i="28"/>
  <c r="AC16" i="28"/>
  <c r="AB16" i="28"/>
  <c r="AA16" i="28"/>
  <c r="T16" i="28"/>
  <c r="Z16" i="28"/>
  <c r="S16" i="28"/>
  <c r="R16" i="28"/>
  <c r="Q16" i="28"/>
  <c r="P16" i="28"/>
  <c r="O16" i="28"/>
  <c r="C40" i="28"/>
  <c r="K93" i="28"/>
  <c r="K94" i="28" s="1"/>
  <c r="AY21" i="28"/>
  <c r="AX21" i="28"/>
  <c r="AR21" i="28"/>
  <c r="AO21" i="28"/>
  <c r="AQ21" i="28"/>
  <c r="AP21" i="28"/>
  <c r="AM21" i="28"/>
  <c r="AN21" i="28"/>
  <c r="AL21" i="28"/>
  <c r="AF21" i="28"/>
  <c r="AE21" i="28"/>
  <c r="AD21" i="28"/>
  <c r="AC21" i="28"/>
  <c r="AB21" i="28"/>
  <c r="AA21" i="28"/>
  <c r="Z21" i="28"/>
  <c r="T21" i="28"/>
  <c r="S21" i="28"/>
  <c r="R21" i="28"/>
  <c r="Q21" i="28"/>
  <c r="P21" i="28"/>
  <c r="O21" i="28"/>
  <c r="BU4" i="28"/>
  <c r="N21" i="28"/>
  <c r="AY20" i="28"/>
  <c r="AX20" i="28"/>
  <c r="AR20" i="28"/>
  <c r="AP20" i="28"/>
  <c r="AO20" i="28"/>
  <c r="AQ20" i="28"/>
  <c r="AN20" i="28"/>
  <c r="AM20" i="28"/>
  <c r="AL20" i="28"/>
  <c r="AF20" i="28"/>
  <c r="AE20" i="28"/>
  <c r="AD20" i="28"/>
  <c r="AC20" i="28"/>
  <c r="AB20" i="28"/>
  <c r="AA20" i="28"/>
  <c r="Z20" i="28"/>
  <c r="T20" i="28"/>
  <c r="S20" i="28"/>
  <c r="R20" i="28"/>
  <c r="Q20" i="28"/>
  <c r="P20" i="28"/>
  <c r="O20" i="28"/>
  <c r="AY18" i="28"/>
  <c r="AX18" i="28"/>
  <c r="AR18" i="28"/>
  <c r="AQ18" i="28"/>
  <c r="AP18" i="28"/>
  <c r="AO18" i="28"/>
  <c r="AN18" i="28"/>
  <c r="AM18" i="28"/>
  <c r="AF18" i="28"/>
  <c r="AL18" i="28"/>
  <c r="AE18" i="28"/>
  <c r="AD18" i="28"/>
  <c r="AC18" i="28"/>
  <c r="AB18" i="28"/>
  <c r="AA18" i="28"/>
  <c r="Z18" i="28"/>
  <c r="T18" i="28"/>
  <c r="S18" i="28"/>
  <c r="R18" i="28"/>
  <c r="Q18" i="28"/>
  <c r="P18" i="28"/>
  <c r="O18" i="28"/>
  <c r="AY15" i="28"/>
  <c r="AX15" i="28"/>
  <c r="AQ15" i="28"/>
  <c r="AP15" i="28"/>
  <c r="AO15" i="28"/>
  <c r="AR15" i="28"/>
  <c r="AM15" i="28"/>
  <c r="AN15" i="28"/>
  <c r="AF15" i="28"/>
  <c r="AL15" i="28"/>
  <c r="AE15" i="28"/>
  <c r="AD15" i="28"/>
  <c r="AC15" i="28"/>
  <c r="AB15" i="28"/>
  <c r="AA15" i="28"/>
  <c r="Z15" i="28"/>
  <c r="T15" i="28"/>
  <c r="S15" i="28"/>
  <c r="R15" i="28"/>
  <c r="Q15" i="28"/>
  <c r="P15" i="28"/>
  <c r="O15" i="28"/>
  <c r="BN49" i="27"/>
  <c r="BW5" i="28"/>
  <c r="BN48" i="28"/>
  <c r="BG46" i="28"/>
  <c r="BG50" i="28"/>
  <c r="BG54" i="28"/>
  <c r="BG62" i="28"/>
  <c r="BG66" i="28"/>
  <c r="AU48" i="28"/>
  <c r="AU52" i="28"/>
  <c r="AU60" i="28"/>
  <c r="AU64" i="28"/>
  <c r="AI46" i="28"/>
  <c r="AI50" i="28"/>
  <c r="AI54" i="28"/>
  <c r="AI62" i="28"/>
  <c r="AI66" i="28"/>
  <c r="K51" i="28"/>
  <c r="E72" i="28"/>
  <c r="E83" i="28" s="1"/>
  <c r="J83" i="28" s="1"/>
  <c r="K46" i="28"/>
  <c r="BN46" i="28"/>
  <c r="BG47" i="28"/>
  <c r="BG51" i="28"/>
  <c r="BG59" i="28"/>
  <c r="BG63" i="28"/>
  <c r="BG67" i="28"/>
  <c r="AU49" i="28"/>
  <c r="AU65" i="28"/>
  <c r="AI47" i="28"/>
  <c r="K61" i="28"/>
  <c r="K68" i="28" s="1"/>
  <c r="K47" i="28"/>
  <c r="BG48" i="28"/>
  <c r="BG52" i="28"/>
  <c r="BG60" i="28"/>
  <c r="BG64" i="28"/>
  <c r="AU54" i="28"/>
  <c r="AU62" i="28"/>
  <c r="AI60" i="28"/>
  <c r="V49" i="27"/>
  <c r="V48" i="27"/>
  <c r="BF51" i="27"/>
  <c r="BU48" i="27"/>
  <c r="BV48" i="27" s="1"/>
  <c r="AH49" i="27"/>
  <c r="BF48" i="27"/>
  <c r="BF49" i="27"/>
  <c r="BN48" i="27"/>
  <c r="AH48" i="27"/>
  <c r="BU49" i="27"/>
  <c r="BV49" i="27" s="1"/>
  <c r="AT48" i="27"/>
  <c r="AT49" i="27"/>
  <c r="N31" i="28"/>
  <c r="N29" i="28"/>
  <c r="N30" i="28"/>
  <c r="N34" i="28"/>
  <c r="N32" i="28"/>
  <c r="BT1" i="28"/>
  <c r="CB23" i="28" s="1"/>
  <c r="CB28" i="28" s="1"/>
  <c r="BW3" i="28"/>
  <c r="K65" i="28"/>
  <c r="K63" i="28"/>
  <c r="K60" i="28"/>
  <c r="K62" i="28"/>
  <c r="K64" i="28"/>
  <c r="K66" i="28"/>
  <c r="J76" i="28"/>
  <c r="E44" i="28"/>
  <c r="K23" i="28"/>
  <c r="W46" i="28"/>
  <c r="E70" i="28"/>
  <c r="K50" i="28"/>
  <c r="K48" i="28"/>
  <c r="G76" i="28"/>
  <c r="W47" i="28"/>
  <c r="W59" i="28"/>
  <c r="W63" i="28"/>
  <c r="W67" i="28"/>
  <c r="W51" i="28"/>
  <c r="W48" i="28"/>
  <c r="W52" i="28"/>
  <c r="W60" i="28"/>
  <c r="W64" i="28"/>
  <c r="G68" i="28"/>
  <c r="G70" i="28" s="1"/>
  <c r="W49" i="28"/>
  <c r="W61" i="28"/>
  <c r="W54" i="28"/>
  <c r="W62" i="28"/>
  <c r="W66" i="28"/>
  <c r="H68" i="28"/>
  <c r="H70" i="28" s="1"/>
  <c r="K53" i="28"/>
  <c r="I68" i="28"/>
  <c r="I70" i="28" s="1"/>
  <c r="BN61" i="28"/>
  <c r="BN64" i="28"/>
  <c r="BF5" i="28"/>
  <c r="N27" i="28"/>
  <c r="BR40" i="28"/>
  <c r="J55" i="28"/>
  <c r="F68" i="28"/>
  <c r="F70" i="28" s="1"/>
  <c r="K52" i="28"/>
  <c r="F76" i="28"/>
  <c r="K19" i="28"/>
  <c r="K33" i="28"/>
  <c r="K35" i="28"/>
  <c r="K29" i="28"/>
  <c r="BU6" i="28"/>
  <c r="K18" i="28"/>
  <c r="K17" i="28"/>
  <c r="K32" i="28"/>
  <c r="K34" i="28"/>
  <c r="K36" i="28"/>
  <c r="K26" i="28"/>
  <c r="J3" i="28"/>
  <c r="J4" i="28"/>
  <c r="K3" i="28"/>
  <c r="BM22" i="28"/>
  <c r="G44" i="28"/>
  <c r="N17" i="28"/>
  <c r="N18" i="28"/>
  <c r="N22" i="28"/>
  <c r="J40" i="28"/>
  <c r="N23" i="28"/>
  <c r="N37" i="28"/>
  <c r="N38" i="28"/>
  <c r="K37" i="28"/>
  <c r="K16" i="28"/>
  <c r="K27" i="28"/>
  <c r="K38" i="28"/>
  <c r="K22" i="28"/>
  <c r="K31" i="28"/>
  <c r="K15" i="28"/>
  <c r="K28" i="28"/>
  <c r="K30" i="28"/>
  <c r="K25" i="28"/>
  <c r="K20" i="28"/>
  <c r="K21" i="28"/>
  <c r="K24" i="28"/>
  <c r="V5" i="28"/>
  <c r="BM5" i="28"/>
  <c r="AH5" i="28"/>
  <c r="AT5" i="28"/>
  <c r="BT5" i="28"/>
  <c r="N16" i="28"/>
  <c r="BM17" i="28"/>
  <c r="N20" i="28"/>
  <c r="N25" i="28"/>
  <c r="N15" i="28"/>
  <c r="N19" i="28"/>
  <c r="N24" i="28"/>
  <c r="N28" i="28"/>
  <c r="N36" i="28"/>
  <c r="BN50" i="28"/>
  <c r="BN52" i="28"/>
  <c r="BN53" i="28"/>
  <c r="BN63" i="28"/>
  <c r="K54" i="28"/>
  <c r="J68" i="28"/>
  <c r="BN65" i="28"/>
  <c r="BN67" i="28"/>
  <c r="I84" i="28"/>
  <c r="H84" i="28"/>
  <c r="G84" i="28"/>
  <c r="F84" i="28"/>
  <c r="I76" i="28"/>
  <c r="H76" i="28"/>
  <c r="BN4" i="27"/>
  <c r="BL5" i="27"/>
  <c r="BU4" i="27"/>
  <c r="BK5" i="27"/>
  <c r="BJ5" i="27"/>
  <c r="BD5" i="27"/>
  <c r="BC5" i="27"/>
  <c r="BB5" i="27"/>
  <c r="BA5" i="27"/>
  <c r="AY5" i="27"/>
  <c r="AX5" i="27"/>
  <c r="AL5" i="27"/>
  <c r="AR5" i="27"/>
  <c r="AQ5" i="27"/>
  <c r="AP5" i="27"/>
  <c r="AO5" i="27"/>
  <c r="AN5" i="27"/>
  <c r="AM5" i="27"/>
  <c r="AA5" i="27"/>
  <c r="AB5" i="27"/>
  <c r="AC5" i="27"/>
  <c r="AD5" i="27"/>
  <c r="AE5" i="27"/>
  <c r="AF5" i="27"/>
  <c r="BF33" i="28" l="1"/>
  <c r="BT33" i="28"/>
  <c r="BU33" i="28" s="1"/>
  <c r="V29" i="28"/>
  <c r="AH29" i="28"/>
  <c r="V35" i="28"/>
  <c r="BT32" i="28"/>
  <c r="BU32" i="28" s="1"/>
  <c r="BF32" i="28"/>
  <c r="AH30" i="28"/>
  <c r="AT30" i="28"/>
  <c r="AH35" i="28"/>
  <c r="AT35" i="28"/>
  <c r="AY76" i="28"/>
  <c r="AX76" i="28"/>
  <c r="AR76" i="28"/>
  <c r="AO76" i="28"/>
  <c r="AP76" i="28"/>
  <c r="AQ76" i="28"/>
  <c r="AN76" i="28"/>
  <c r="AM76" i="28"/>
  <c r="AF76" i="28"/>
  <c r="AL76" i="28"/>
  <c r="AE76" i="28"/>
  <c r="AD76" i="28"/>
  <c r="AC76" i="28"/>
  <c r="AB76" i="28"/>
  <c r="AA76" i="28"/>
  <c r="Z76" i="28"/>
  <c r="T76" i="28"/>
  <c r="N76" i="28"/>
  <c r="S76" i="28"/>
  <c r="R76" i="28"/>
  <c r="Q76" i="28"/>
  <c r="O76" i="28"/>
  <c r="P76" i="28"/>
  <c r="V30" i="28"/>
  <c r="BT35" i="28"/>
  <c r="BU35" i="28" s="1"/>
  <c r="BT29" i="28"/>
  <c r="BU29" i="28" s="1"/>
  <c r="AT29" i="28"/>
  <c r="BF29" i="28"/>
  <c r="AH33" i="28"/>
  <c r="BF30" i="28"/>
  <c r="BF28" i="28"/>
  <c r="BF35" i="28"/>
  <c r="V22" i="28"/>
  <c r="V23" i="28"/>
  <c r="BF31" i="28"/>
  <c r="BF34" i="28"/>
  <c r="V33" i="28"/>
  <c r="AT33" i="28"/>
  <c r="K4" i="28"/>
  <c r="AT34" i="28"/>
  <c r="V34" i="28"/>
  <c r="AH34" i="28"/>
  <c r="AH32" i="28"/>
  <c r="AT32" i="28"/>
  <c r="V32" i="28"/>
  <c r="V31" i="28"/>
  <c r="AT31" i="28"/>
  <c r="AH31" i="28"/>
  <c r="O40" i="28"/>
  <c r="O8" i="28" s="1"/>
  <c r="O9" i="28" s="1"/>
  <c r="O44" i="28" s="1"/>
  <c r="S40" i="28"/>
  <c r="S8" i="28" s="1"/>
  <c r="S9" i="28" s="1"/>
  <c r="S44" i="28" s="1"/>
  <c r="S49" i="28" s="1"/>
  <c r="AB40" i="28"/>
  <c r="AB8" i="28" s="1"/>
  <c r="AB9" i="28" s="1"/>
  <c r="AB44" i="28" s="1"/>
  <c r="AB47" i="28" s="1"/>
  <c r="AL40" i="28"/>
  <c r="AL8" i="28" s="1"/>
  <c r="AL9" i="28" s="1"/>
  <c r="AL44" i="28" s="1"/>
  <c r="AL50" i="28" s="1"/>
  <c r="AX40" i="28"/>
  <c r="AX8" i="28" s="1"/>
  <c r="AX9" i="28" s="1"/>
  <c r="AX44" i="28" s="1"/>
  <c r="AX48" i="28" s="1"/>
  <c r="AO40" i="28"/>
  <c r="AO8" i="28" s="1"/>
  <c r="AO9" i="28" s="1"/>
  <c r="AO44" i="28" s="1"/>
  <c r="AO47" i="28" s="1"/>
  <c r="P40" i="28"/>
  <c r="P8" i="28" s="1"/>
  <c r="P9" i="28" s="1"/>
  <c r="P44" i="28" s="1"/>
  <c r="P46" i="28" s="1"/>
  <c r="T40" i="28"/>
  <c r="T8" i="28" s="1"/>
  <c r="T9" i="28" s="1"/>
  <c r="T44" i="28" s="1"/>
  <c r="T46" i="28" s="1"/>
  <c r="AC40" i="28"/>
  <c r="AC8" i="28" s="1"/>
  <c r="AC9" i="28" s="1"/>
  <c r="AC44" i="28" s="1"/>
  <c r="AC51" i="28" s="1"/>
  <c r="AY40" i="28"/>
  <c r="AY8" i="28" s="1"/>
  <c r="AY9" i="28" s="1"/>
  <c r="AY44" i="28" s="1"/>
  <c r="AY54" i="28" s="1"/>
  <c r="AP40" i="28"/>
  <c r="AP8" i="28" s="1"/>
  <c r="AP9" i="28" s="1"/>
  <c r="AP44" i="28" s="1"/>
  <c r="AP47" i="28" s="1"/>
  <c r="AR40" i="28"/>
  <c r="AR8" i="28" s="1"/>
  <c r="AR9" i="28" s="1"/>
  <c r="AR44" i="28" s="1"/>
  <c r="AR48" i="28" s="1"/>
  <c r="AF40" i="28"/>
  <c r="AF8" i="28" s="1"/>
  <c r="AF9" i="28" s="1"/>
  <c r="AF44" i="28" s="1"/>
  <c r="AF52" i="28" s="1"/>
  <c r="Q40" i="28"/>
  <c r="Q8" i="28" s="1"/>
  <c r="Q9" i="28" s="1"/>
  <c r="Q44" i="28" s="1"/>
  <c r="Q54" i="28" s="1"/>
  <c r="Z40" i="28"/>
  <c r="Z8" i="28" s="1"/>
  <c r="Z9" i="28" s="1"/>
  <c r="Z44" i="28" s="1"/>
  <c r="Z46" i="28" s="1"/>
  <c r="AD40" i="28"/>
  <c r="AD8" i="28" s="1"/>
  <c r="AD9" i="28" s="1"/>
  <c r="AD44" i="28" s="1"/>
  <c r="AD51" i="28" s="1"/>
  <c r="AN40" i="28"/>
  <c r="AN8" i="28" s="1"/>
  <c r="AN9" i="28" s="1"/>
  <c r="AN44" i="28" s="1"/>
  <c r="V18" i="28"/>
  <c r="R40" i="28"/>
  <c r="R8" i="28" s="1"/>
  <c r="R9" i="28" s="1"/>
  <c r="R44" i="28" s="1"/>
  <c r="R54" i="28" s="1"/>
  <c r="AA40" i="28"/>
  <c r="AA8" i="28" s="1"/>
  <c r="AA9" i="28" s="1"/>
  <c r="AA44" i="28" s="1"/>
  <c r="AE40" i="28"/>
  <c r="AE8" i="28" s="1"/>
  <c r="AE9" i="28" s="1"/>
  <c r="AE44" i="28" s="1"/>
  <c r="AE46" i="28" s="1"/>
  <c r="AM40" i="28"/>
  <c r="AM8" i="28" s="1"/>
  <c r="AM9" i="28" s="1"/>
  <c r="AM44" i="28" s="1"/>
  <c r="AM51" i="28" s="1"/>
  <c r="AQ40" i="28"/>
  <c r="AQ8" i="28" s="1"/>
  <c r="AQ9" i="28" s="1"/>
  <c r="AQ44" i="28" s="1"/>
  <c r="AQ48" i="28" s="1"/>
  <c r="AL47" i="28"/>
  <c r="AX47" i="28"/>
  <c r="BG3" i="28"/>
  <c r="AU3" i="28"/>
  <c r="AV3" i="28" s="1"/>
  <c r="AV4" i="28" s="1"/>
  <c r="AI3" i="28"/>
  <c r="AJ3" i="28" s="1"/>
  <c r="AJ4" i="28" s="1"/>
  <c r="W3" i="28"/>
  <c r="W4" i="28" s="1"/>
  <c r="BG38" i="28"/>
  <c r="BZ1" i="28"/>
  <c r="BT31" i="28"/>
  <c r="BU31" i="28" s="1"/>
  <c r="J44" i="28"/>
  <c r="BT34" i="28"/>
  <c r="BU34" i="28" s="1"/>
  <c r="J72" i="28"/>
  <c r="BL47" i="27"/>
  <c r="BJ47" i="27"/>
  <c r="AY47" i="27"/>
  <c r="BC47" i="27"/>
  <c r="AP47" i="27"/>
  <c r="BD47" i="27"/>
  <c r="AQ47" i="27"/>
  <c r="AZ47" i="27"/>
  <c r="AM47" i="27"/>
  <c r="AR47" i="27"/>
  <c r="BK47" i="27"/>
  <c r="BA47" i="27"/>
  <c r="AN47" i="27"/>
  <c r="AL47" i="27"/>
  <c r="AD47" i="27"/>
  <c r="AA47" i="27"/>
  <c r="AE47" i="27"/>
  <c r="O47" i="27"/>
  <c r="S47" i="27"/>
  <c r="P47" i="27"/>
  <c r="T47" i="27"/>
  <c r="AX47" i="27"/>
  <c r="AO47" i="27"/>
  <c r="AB47" i="27"/>
  <c r="AF47" i="27"/>
  <c r="Z47" i="27"/>
  <c r="BB47" i="27"/>
  <c r="AC47" i="27"/>
  <c r="Q47" i="27"/>
  <c r="N47" i="27"/>
  <c r="R47" i="27"/>
  <c r="BT30" i="28"/>
  <c r="BU30" i="28" s="1"/>
  <c r="BG22" i="28"/>
  <c r="AU25" i="28"/>
  <c r="BN25" i="28"/>
  <c r="BG25" i="28"/>
  <c r="CB29" i="28"/>
  <c r="CB31" i="28"/>
  <c r="CB30" i="28"/>
  <c r="BY11" i="28"/>
  <c r="AU27" i="28"/>
  <c r="AU30" i="28"/>
  <c r="AV30" i="28" s="1"/>
  <c r="K83" i="28"/>
  <c r="J85" i="28"/>
  <c r="W15" i="28"/>
  <c r="BG19" i="28"/>
  <c r="BG34" i="28"/>
  <c r="BH34" i="28" s="1"/>
  <c r="AU23" i="28"/>
  <c r="AU32" i="28"/>
  <c r="AV32" i="28" s="1"/>
  <c r="AU16" i="28"/>
  <c r="BN37" i="28"/>
  <c r="BN18" i="28"/>
  <c r="AI16" i="28"/>
  <c r="AU21" i="28"/>
  <c r="BN15" i="28"/>
  <c r="BG24" i="28"/>
  <c r="AU29" i="28"/>
  <c r="BG20" i="28"/>
  <c r="W68" i="28"/>
  <c r="BN31" i="28"/>
  <c r="BO31" i="28" s="1"/>
  <c r="BN22" i="28"/>
  <c r="BO22" i="28" s="1"/>
  <c r="BN19" i="28"/>
  <c r="BN28" i="28"/>
  <c r="BN35" i="28"/>
  <c r="BO35" i="28" s="1"/>
  <c r="BG32" i="28"/>
  <c r="BH32" i="28" s="1"/>
  <c r="BN27" i="28"/>
  <c r="BN16" i="28"/>
  <c r="BG26" i="28"/>
  <c r="AU36" i="28"/>
  <c r="BG23" i="28"/>
  <c r="AU37" i="28"/>
  <c r="BG18" i="28"/>
  <c r="BN32" i="28"/>
  <c r="BO32" i="28" s="1"/>
  <c r="BG16" i="28"/>
  <c r="BG35" i="28"/>
  <c r="BH35" i="28" s="1"/>
  <c r="BG29" i="28"/>
  <c r="BH29" i="28" s="1"/>
  <c r="BN24" i="28"/>
  <c r="AU17" i="28"/>
  <c r="BN21" i="28"/>
  <c r="AU28" i="28"/>
  <c r="BN36" i="28"/>
  <c r="BN20" i="28"/>
  <c r="BG28" i="28"/>
  <c r="AU35" i="28"/>
  <c r="AV35" i="28" s="1"/>
  <c r="AU19" i="28"/>
  <c r="BN23" i="28"/>
  <c r="BG31" i="28"/>
  <c r="BG15" i="28"/>
  <c r="AU26" i="28"/>
  <c r="AU33" i="28"/>
  <c r="AV33" i="28" s="1"/>
  <c r="BN33" i="28"/>
  <c r="BO33" i="28" s="1"/>
  <c r="BN17" i="28"/>
  <c r="BO17" i="28" s="1"/>
  <c r="BG21" i="28"/>
  <c r="AU24" i="28"/>
  <c r="AU31" i="28"/>
  <c r="AU15" i="28"/>
  <c r="BN34" i="28"/>
  <c r="BO34" i="28" s="1"/>
  <c r="BG27" i="28"/>
  <c r="AU38" i="28"/>
  <c r="AU22" i="28"/>
  <c r="BN38" i="28"/>
  <c r="J14" i="28"/>
  <c r="K14" i="28" s="1"/>
  <c r="BN3" i="28"/>
  <c r="BO3" i="28" s="1"/>
  <c r="BO4" i="28" s="1"/>
  <c r="BG30" i="28"/>
  <c r="BH30" i="28" s="1"/>
  <c r="BN29" i="28"/>
  <c r="BO29" i="28" s="1"/>
  <c r="BG33" i="28"/>
  <c r="BH33" i="28" s="1"/>
  <c r="BG17" i="28"/>
  <c r="AU20" i="28"/>
  <c r="BG36" i="28"/>
  <c r="BN26" i="28"/>
  <c r="AU34" i="28"/>
  <c r="AU18" i="28"/>
  <c r="BN30" i="28"/>
  <c r="BO30" i="28" s="1"/>
  <c r="BG37" i="28"/>
  <c r="AU55" i="28"/>
  <c r="K55" i="28"/>
  <c r="BM75" i="28"/>
  <c r="F72" i="28"/>
  <c r="BT27" i="28"/>
  <c r="BU27" i="28" s="1"/>
  <c r="AI22" i="28"/>
  <c r="AI36" i="28"/>
  <c r="AI18" i="28"/>
  <c r="AI32" i="28"/>
  <c r="AI29" i="28"/>
  <c r="AI20" i="28"/>
  <c r="AI34" i="28"/>
  <c r="AI25" i="28"/>
  <c r="AI35" i="28"/>
  <c r="AJ35" i="28" s="1"/>
  <c r="AI27" i="28"/>
  <c r="AJ27" i="28" s="1"/>
  <c r="AI23" i="28"/>
  <c r="AI19" i="28"/>
  <c r="AI31" i="28"/>
  <c r="AJ31" i="28" s="1"/>
  <c r="AI15" i="28"/>
  <c r="AI30" i="28"/>
  <c r="AJ30" i="28" s="1"/>
  <c r="AI37" i="28"/>
  <c r="AI21" i="28"/>
  <c r="AI28" i="28"/>
  <c r="AI38" i="28"/>
  <c r="AI26" i="28"/>
  <c r="AI33" i="28"/>
  <c r="AI17" i="28"/>
  <c r="AI24" i="28"/>
  <c r="BF25" i="28"/>
  <c r="F44" i="28"/>
  <c r="BF27" i="28"/>
  <c r="W55" i="28"/>
  <c r="BM37" i="28"/>
  <c r="BF75" i="28"/>
  <c r="AU68" i="28"/>
  <c r="BM21" i="28"/>
  <c r="W16" i="28"/>
  <c r="W17" i="28"/>
  <c r="W38" i="28"/>
  <c r="W34" i="28"/>
  <c r="W30" i="28"/>
  <c r="X30" i="28" s="1"/>
  <c r="W26" i="28"/>
  <c r="W22" i="28"/>
  <c r="W18" i="28"/>
  <c r="W32" i="28"/>
  <c r="W35" i="28"/>
  <c r="X35" i="28" s="1"/>
  <c r="W27" i="28"/>
  <c r="W23" i="28"/>
  <c r="X23" i="28" s="1"/>
  <c r="W37" i="28"/>
  <c r="W33" i="28"/>
  <c r="W29" i="28"/>
  <c r="X29" i="28" s="1"/>
  <c r="W25" i="28"/>
  <c r="W21" i="28"/>
  <c r="W36" i="28"/>
  <c r="W28" i="28"/>
  <c r="W24" i="28"/>
  <c r="W20" i="28"/>
  <c r="W31" i="28"/>
  <c r="W19" i="28"/>
  <c r="G72" i="28"/>
  <c r="BF38" i="28"/>
  <c r="AH38" i="28"/>
  <c r="V37" i="28"/>
  <c r="AT36" i="28"/>
  <c r="BF24" i="28"/>
  <c r="AH24" i="28"/>
  <c r="BT23" i="28"/>
  <c r="BU23" i="28" s="1"/>
  <c r="AT22" i="28"/>
  <c r="BT22" i="28"/>
  <c r="BU22" i="28" s="1"/>
  <c r="AT21" i="28"/>
  <c r="BT21" i="28"/>
  <c r="BU21" i="28" s="1"/>
  <c r="AT37" i="28"/>
  <c r="AT38" i="28"/>
  <c r="V38" i="28"/>
  <c r="BM26" i="28"/>
  <c r="BM36" i="28"/>
  <c r="BM23" i="28"/>
  <c r="AT23" i="28"/>
  <c r="BM18" i="28"/>
  <c r="AT18" i="28"/>
  <c r="BT18" i="28"/>
  <c r="BU18" i="28" s="1"/>
  <c r="E80" i="28"/>
  <c r="J80" i="28" s="1"/>
  <c r="K80" i="28" s="1"/>
  <c r="BY3" i="28"/>
  <c r="K40" i="28"/>
  <c r="AH75" i="28"/>
  <c r="AI68" i="28"/>
  <c r="BG55" i="28"/>
  <c r="BT36" i="28"/>
  <c r="BU36" i="28" s="1"/>
  <c r="V36" i="28"/>
  <c r="BM38" i="28"/>
  <c r="BM27" i="28"/>
  <c r="AT27" i="28"/>
  <c r="BF15" i="28"/>
  <c r="AH15" i="28"/>
  <c r="AH25" i="28"/>
  <c r="BF16" i="28"/>
  <c r="AH16" i="28"/>
  <c r="BA40" i="28"/>
  <c r="BT26" i="28"/>
  <c r="BU26" i="28" s="1"/>
  <c r="BF23" i="28"/>
  <c r="AH23" i="28"/>
  <c r="BF18" i="28"/>
  <c r="AH18" i="28"/>
  <c r="BM16" i="28"/>
  <c r="AT16" i="28"/>
  <c r="BT16" i="28"/>
  <c r="BU16" i="28" s="1"/>
  <c r="V16" i="28"/>
  <c r="H72" i="28"/>
  <c r="H44" i="28"/>
  <c r="AI55" i="28"/>
  <c r="AT26" i="28"/>
  <c r="BN55" i="28"/>
  <c r="BN68" i="28" s="1"/>
  <c r="V26" i="28"/>
  <c r="BM28" i="28"/>
  <c r="AT28" i="28"/>
  <c r="BT28" i="28"/>
  <c r="BU28" i="28" s="1"/>
  <c r="V28" i="28"/>
  <c r="BM24" i="28"/>
  <c r="AT24" i="28"/>
  <c r="BT24" i="28"/>
  <c r="BU24" i="28" s="1"/>
  <c r="V24" i="28"/>
  <c r="BF22" i="28"/>
  <c r="AH22" i="28"/>
  <c r="BF21" i="28"/>
  <c r="AH21" i="28"/>
  <c r="AT17" i="28"/>
  <c r="V17" i="28"/>
  <c r="BJ40" i="28"/>
  <c r="BM15" i="28"/>
  <c r="AT15" i="28"/>
  <c r="N40" i="28"/>
  <c r="BT15" i="28"/>
  <c r="V15" i="28"/>
  <c r="BC40" i="28"/>
  <c r="I72" i="28"/>
  <c r="I44" i="28"/>
  <c r="AT75" i="28"/>
  <c r="BQ75" i="28"/>
  <c r="BR75" i="28" s="1"/>
  <c r="V75" i="28"/>
  <c r="J70" i="28"/>
  <c r="AH28" i="28"/>
  <c r="BF36" i="28"/>
  <c r="AH36" i="28"/>
  <c r="BF19" i="28"/>
  <c r="AH19" i="28"/>
  <c r="BK40" i="28"/>
  <c r="BT38" i="28"/>
  <c r="BU38" i="28" s="1"/>
  <c r="BF20" i="28"/>
  <c r="AH20" i="28"/>
  <c r="BD40" i="28"/>
  <c r="BG68" i="28"/>
  <c r="E85" i="28"/>
  <c r="I83" i="28"/>
  <c r="H83" i="28"/>
  <c r="G83" i="28"/>
  <c r="F83" i="28"/>
  <c r="BF37" i="28"/>
  <c r="AH37" i="28"/>
  <c r="V27" i="28"/>
  <c r="BF26" i="28"/>
  <c r="AH26" i="28"/>
  <c r="BB40" i="28"/>
  <c r="BM25" i="28"/>
  <c r="BT37" i="28"/>
  <c r="BU37" i="28" s="1"/>
  <c r="V21" i="28"/>
  <c r="BM19" i="28"/>
  <c r="AT19" i="28"/>
  <c r="BT19" i="28"/>
  <c r="BU19" i="28" s="1"/>
  <c r="V19" i="28"/>
  <c r="BF17" i="28"/>
  <c r="AH17" i="28"/>
  <c r="AZ40" i="28"/>
  <c r="AT25" i="28"/>
  <c r="BT25" i="28"/>
  <c r="BU25" i="28" s="1"/>
  <c r="V25" i="28"/>
  <c r="BM20" i="28"/>
  <c r="AT20" i="28"/>
  <c r="BT20" i="28"/>
  <c r="BU20" i="28" s="1"/>
  <c r="V20" i="28"/>
  <c r="BT17" i="28"/>
  <c r="BU17" i="28" s="1"/>
  <c r="BX5" i="27"/>
  <c r="X22" i="28" l="1"/>
  <c r="AJ29" i="28"/>
  <c r="X33" i="28"/>
  <c r="AJ33" i="28"/>
  <c r="AV29" i="28"/>
  <c r="AJ32" i="28"/>
  <c r="BH31" i="28"/>
  <c r="AJ34" i="28"/>
  <c r="AV34" i="28"/>
  <c r="X34" i="28"/>
  <c r="AX54" i="28"/>
  <c r="X32" i="28"/>
  <c r="AX50" i="28"/>
  <c r="X31" i="28"/>
  <c r="AV31" i="28"/>
  <c r="AL49" i="28"/>
  <c r="S50" i="28"/>
  <c r="AX46" i="28"/>
  <c r="AX51" i="28"/>
  <c r="S46" i="28"/>
  <c r="S53" i="28"/>
  <c r="AX52" i="28"/>
  <c r="AX53" i="28"/>
  <c r="AB52" i="28"/>
  <c r="S48" i="28"/>
  <c r="AL48" i="28"/>
  <c r="AL53" i="28"/>
  <c r="AL54" i="28"/>
  <c r="AL46" i="28"/>
  <c r="AL51" i="28"/>
  <c r="AL52" i="28"/>
  <c r="AB51" i="28"/>
  <c r="AB46" i="28"/>
  <c r="AB54" i="28"/>
  <c r="AB50" i="28"/>
  <c r="AB49" i="28"/>
  <c r="AB48" i="28"/>
  <c r="S52" i="28"/>
  <c r="S47" i="28"/>
  <c r="AO54" i="28"/>
  <c r="AX49" i="28"/>
  <c r="AB53" i="28"/>
  <c r="S54" i="28"/>
  <c r="S51" i="28"/>
  <c r="AP51" i="28"/>
  <c r="AD48" i="28"/>
  <c r="AO53" i="28"/>
  <c r="AO49" i="28"/>
  <c r="P48" i="28"/>
  <c r="AP46" i="28"/>
  <c r="AO50" i="28"/>
  <c r="P54" i="28"/>
  <c r="T52" i="28"/>
  <c r="T50" i="28"/>
  <c r="AD46" i="28"/>
  <c r="AO46" i="28"/>
  <c r="T47" i="28"/>
  <c r="T48" i="28"/>
  <c r="T49" i="28"/>
  <c r="T51" i="28"/>
  <c r="AR52" i="28"/>
  <c r="AC48" i="28"/>
  <c r="T53" i="28"/>
  <c r="AP50" i="28"/>
  <c r="AP48" i="28"/>
  <c r="P50" i="28"/>
  <c r="P53" i="28"/>
  <c r="AP49" i="28"/>
  <c r="AP54" i="28"/>
  <c r="AP52" i="28"/>
  <c r="AO48" i="28"/>
  <c r="AO52" i="28"/>
  <c r="P51" i="28"/>
  <c r="P47" i="28"/>
  <c r="P52" i="28"/>
  <c r="AP53" i="28"/>
  <c r="AO51" i="28"/>
  <c r="P49" i="28"/>
  <c r="AD47" i="28"/>
  <c r="AR49" i="28"/>
  <c r="AC50" i="28"/>
  <c r="AY46" i="28"/>
  <c r="AC53" i="28"/>
  <c r="Q52" i="28"/>
  <c r="AY48" i="28"/>
  <c r="AC49" i="28"/>
  <c r="AY52" i="28"/>
  <c r="AY53" i="28"/>
  <c r="AY47" i="28"/>
  <c r="AM50" i="28"/>
  <c r="AY49" i="28"/>
  <c r="AY51" i="28"/>
  <c r="AC52" i="28"/>
  <c r="AC54" i="28"/>
  <c r="AM49" i="28"/>
  <c r="X18" i="28"/>
  <c r="Q51" i="28"/>
  <c r="AY50" i="28"/>
  <c r="AC46" i="28"/>
  <c r="AC47" i="28"/>
  <c r="T54" i="28"/>
  <c r="AR53" i="28"/>
  <c r="AF48" i="28"/>
  <c r="AQ54" i="28"/>
  <c r="AM47" i="28"/>
  <c r="Q48" i="28"/>
  <c r="Z51" i="28"/>
  <c r="Q50" i="28"/>
  <c r="AF53" i="28"/>
  <c r="AQ52" i="28"/>
  <c r="AM48" i="28"/>
  <c r="AF49" i="28"/>
  <c r="AF54" i="28"/>
  <c r="AD53" i="28"/>
  <c r="AF47" i="28"/>
  <c r="AF46" i="28"/>
  <c r="AF50" i="28"/>
  <c r="AR46" i="28"/>
  <c r="AD49" i="28"/>
  <c r="Z52" i="28"/>
  <c r="AF51" i="28"/>
  <c r="AR50" i="28"/>
  <c r="AR54" i="28"/>
  <c r="R49" i="28"/>
  <c r="R48" i="28"/>
  <c r="Z47" i="28"/>
  <c r="Z53" i="28"/>
  <c r="Z50" i="28"/>
  <c r="AQ47" i="28"/>
  <c r="AQ49" i="28"/>
  <c r="R52" i="28"/>
  <c r="R50" i="28"/>
  <c r="Z49" i="28"/>
  <c r="Z48" i="28"/>
  <c r="Q46" i="28"/>
  <c r="Q49" i="28"/>
  <c r="Q47" i="28"/>
  <c r="AR51" i="28"/>
  <c r="AR47" i="28"/>
  <c r="AQ46" i="28"/>
  <c r="AQ51" i="28"/>
  <c r="AQ53" i="28"/>
  <c r="AM54" i="28"/>
  <c r="AM46" i="28"/>
  <c r="R51" i="28"/>
  <c r="R53" i="28"/>
  <c r="Z54" i="28"/>
  <c r="Q53" i="28"/>
  <c r="AQ50" i="28"/>
  <c r="AM52" i="28"/>
  <c r="AM53" i="28"/>
  <c r="R47" i="28"/>
  <c r="R46" i="28"/>
  <c r="AE51" i="28"/>
  <c r="AD52" i="28"/>
  <c r="AD50" i="28"/>
  <c r="AE49" i="28"/>
  <c r="AE48" i="28"/>
  <c r="AE53" i="28"/>
  <c r="AE54" i="28"/>
  <c r="AE47" i="28"/>
  <c r="AE50" i="28"/>
  <c r="AD54" i="28"/>
  <c r="AE52" i="28"/>
  <c r="AN47" i="28"/>
  <c r="AN48" i="28"/>
  <c r="AN50" i="28"/>
  <c r="AN54" i="28"/>
  <c r="AN49" i="28"/>
  <c r="AN46" i="28"/>
  <c r="AN51" i="28"/>
  <c r="AN52" i="28"/>
  <c r="AN53" i="28"/>
  <c r="BH38" i="28"/>
  <c r="X3" i="28"/>
  <c r="X4" i="28" s="1"/>
  <c r="BH25" i="28"/>
  <c r="AH47" i="27"/>
  <c r="AT47" i="27"/>
  <c r="BN47" i="27"/>
  <c r="BU47" i="27"/>
  <c r="BV47" i="27" s="1"/>
  <c r="BF47" i="27"/>
  <c r="V47" i="27"/>
  <c r="AV25" i="28"/>
  <c r="BO25" i="28"/>
  <c r="AV37" i="28"/>
  <c r="W40" i="28"/>
  <c r="BH26" i="28"/>
  <c r="E92" i="28"/>
  <c r="C92" i="28" s="1"/>
  <c r="C93" i="28" s="1"/>
  <c r="AV16" i="28"/>
  <c r="AV21" i="28"/>
  <c r="BO37" i="28"/>
  <c r="AJ25" i="28"/>
  <c r="BH27" i="28"/>
  <c r="AV38" i="28"/>
  <c r="BH20" i="28"/>
  <c r="AV36" i="28"/>
  <c r="AV17" i="28"/>
  <c r="BO38" i="28"/>
  <c r="BH15" i="28"/>
  <c r="BH24" i="28"/>
  <c r="BO23" i="28"/>
  <c r="AJ24" i="28"/>
  <c r="AJ38" i="28"/>
  <c r="AJ18" i="28"/>
  <c r="AJ26" i="28"/>
  <c r="BO36" i="28"/>
  <c r="AV22" i="28"/>
  <c r="AV19" i="28"/>
  <c r="AV28" i="28"/>
  <c r="BH28" i="28"/>
  <c r="BO27" i="28"/>
  <c r="X24" i="28"/>
  <c r="BO21" i="28"/>
  <c r="BO18" i="28"/>
  <c r="BH16" i="28"/>
  <c r="AJ36" i="28"/>
  <c r="AJ20" i="28"/>
  <c r="AJ28" i="28"/>
  <c r="AJ37" i="28"/>
  <c r="X25" i="28"/>
  <c r="BO26" i="28"/>
  <c r="AV23" i="28"/>
  <c r="BH18" i="28"/>
  <c r="X38" i="28"/>
  <c r="AV18" i="28"/>
  <c r="BO16" i="28"/>
  <c r="BO19" i="28"/>
  <c r="BH23" i="28"/>
  <c r="BH17" i="28"/>
  <c r="AJ16" i="28"/>
  <c r="X36" i="28"/>
  <c r="X27" i="28"/>
  <c r="X26" i="28"/>
  <c r="X37" i="28"/>
  <c r="X20" i="28"/>
  <c r="AV26" i="28"/>
  <c r="BO20" i="28"/>
  <c r="BH36" i="28"/>
  <c r="X19" i="28"/>
  <c r="X21" i="28"/>
  <c r="X17" i="28"/>
  <c r="AV20" i="28"/>
  <c r="AV27" i="28"/>
  <c r="AU40" i="28"/>
  <c r="AV15" i="28"/>
  <c r="BH37" i="28"/>
  <c r="BH19" i="28"/>
  <c r="AJ23" i="28"/>
  <c r="BH21" i="28"/>
  <c r="X28" i="28"/>
  <c r="AJ17" i="28"/>
  <c r="BN40" i="28"/>
  <c r="BO15" i="28"/>
  <c r="BN4" i="28"/>
  <c r="AJ19" i="28"/>
  <c r="X16" i="28"/>
  <c r="BH22" i="28"/>
  <c r="BO28" i="28"/>
  <c r="AI40" i="28"/>
  <c r="BG4" i="28"/>
  <c r="BH3" i="28"/>
  <c r="BH4" i="28" s="1"/>
  <c r="AI4" i="28"/>
  <c r="AV24" i="28"/>
  <c r="AU4" i="28"/>
  <c r="E87" i="28"/>
  <c r="BG40" i="28"/>
  <c r="BO24" i="28"/>
  <c r="BZ3" i="28"/>
  <c r="BZ4" i="28" s="1"/>
  <c r="BU3" i="28"/>
  <c r="BK80" i="28"/>
  <c r="BK54" i="28"/>
  <c r="BK52" i="28"/>
  <c r="BK50" i="28"/>
  <c r="BK53" i="28"/>
  <c r="BK51" i="28"/>
  <c r="BK47" i="28"/>
  <c r="BK46" i="28"/>
  <c r="BK48" i="28"/>
  <c r="BK49" i="28"/>
  <c r="AC80" i="28"/>
  <c r="AM80" i="28"/>
  <c r="BT40" i="28"/>
  <c r="BU40" i="28" s="1"/>
  <c r="BU15" i="28"/>
  <c r="AT8" i="28"/>
  <c r="AE80" i="28"/>
  <c r="BA80" i="28"/>
  <c r="BA53" i="28"/>
  <c r="BA51" i="28"/>
  <c r="BA54" i="28"/>
  <c r="BA52" i="28"/>
  <c r="BA47" i="28"/>
  <c r="BA46" i="28"/>
  <c r="BA48" i="28"/>
  <c r="BA50" i="28"/>
  <c r="BA49" i="28"/>
  <c r="AH40" i="28"/>
  <c r="AJ15" i="28"/>
  <c r="AY80" i="28"/>
  <c r="AN80" i="28"/>
  <c r="AH76" i="28"/>
  <c r="BF76" i="28"/>
  <c r="BC80" i="28"/>
  <c r="BC54" i="28"/>
  <c r="BC52" i="28"/>
  <c r="BC53" i="28"/>
  <c r="BC50" i="28"/>
  <c r="BC51" i="28"/>
  <c r="BC48" i="28"/>
  <c r="BC49" i="28"/>
  <c r="BC47" i="28"/>
  <c r="BC46" i="28"/>
  <c r="N8" i="28"/>
  <c r="BT8" i="28" s="1"/>
  <c r="BM40" i="28"/>
  <c r="AR80" i="28"/>
  <c r="AP80" i="28"/>
  <c r="AB80" i="28"/>
  <c r="AD80" i="28"/>
  <c r="AF80" i="28"/>
  <c r="BZ2" i="28"/>
  <c r="CA1" i="28"/>
  <c r="CB1" i="28" s="1"/>
  <c r="AO80" i="28"/>
  <c r="AZ80" i="28"/>
  <c r="AZ54" i="28"/>
  <c r="AZ52" i="28"/>
  <c r="AZ51" i="28"/>
  <c r="AZ53" i="28"/>
  <c r="AZ50" i="28"/>
  <c r="AZ49" i="28"/>
  <c r="AZ47" i="28"/>
  <c r="AZ46" i="28"/>
  <c r="AZ48" i="28"/>
  <c r="BB80" i="28"/>
  <c r="BB54" i="28"/>
  <c r="BB53" i="28"/>
  <c r="BB52" i="28"/>
  <c r="BB51" i="28"/>
  <c r="BB47" i="28"/>
  <c r="BB46" i="28"/>
  <c r="BB48" i="28"/>
  <c r="BB50" i="28"/>
  <c r="BB49" i="28"/>
  <c r="K85" i="28"/>
  <c r="BD80" i="28"/>
  <c r="BD54" i="28"/>
  <c r="BD52" i="28"/>
  <c r="BD51" i="28"/>
  <c r="BD53" i="28"/>
  <c r="BD50" i="28"/>
  <c r="BD49" i="28"/>
  <c r="BD47" i="28"/>
  <c r="BD46" i="28"/>
  <c r="BD48" i="28"/>
  <c r="AT40" i="28"/>
  <c r="BF40" i="28"/>
  <c r="O80" i="28"/>
  <c r="O53" i="28"/>
  <c r="O54" i="28"/>
  <c r="O51" i="28"/>
  <c r="O52" i="28"/>
  <c r="O50" i="28"/>
  <c r="O47" i="28"/>
  <c r="O46" i="28"/>
  <c r="O48" i="28"/>
  <c r="O49" i="28"/>
  <c r="BQ76" i="28"/>
  <c r="BR76" i="28" s="1"/>
  <c r="V76" i="28"/>
  <c r="AT76" i="28"/>
  <c r="BM76" i="28"/>
  <c r="AA80" i="28"/>
  <c r="AA54" i="28"/>
  <c r="AA52" i="28"/>
  <c r="AA53" i="28"/>
  <c r="AA51" i="28"/>
  <c r="AA48" i="28"/>
  <c r="AA49" i="28"/>
  <c r="AA50" i="28"/>
  <c r="AA47" i="28"/>
  <c r="AA46" i="28"/>
  <c r="V40" i="28"/>
  <c r="BM8" i="28"/>
  <c r="AQ80" i="28"/>
  <c r="X15" i="28"/>
  <c r="BF8" i="28"/>
  <c r="V4" i="27"/>
  <c r="X5" i="27" s="1"/>
  <c r="S55" i="28" l="1"/>
  <c r="S57" i="28" s="1"/>
  <c r="S62" i="28" s="1"/>
  <c r="AX55" i="28"/>
  <c r="AX57" i="28" s="1"/>
  <c r="AX62" i="28" s="1"/>
  <c r="AB55" i="28"/>
  <c r="AB57" i="28" s="1"/>
  <c r="AB64" i="28" s="1"/>
  <c r="AL55" i="28"/>
  <c r="AL57" i="28" s="1"/>
  <c r="AL67" i="28" s="1"/>
  <c r="AO55" i="28"/>
  <c r="AO57" i="28" s="1"/>
  <c r="AO64" i="28" s="1"/>
  <c r="T55" i="28"/>
  <c r="T57" i="28" s="1"/>
  <c r="T62" i="28" s="1"/>
  <c r="C94" i="28"/>
  <c r="P55" i="28"/>
  <c r="P57" i="28" s="1"/>
  <c r="P62" i="28" s="1"/>
  <c r="AP55" i="28"/>
  <c r="AP57" i="28" s="1"/>
  <c r="AP65" i="28" s="1"/>
  <c r="AC55" i="28"/>
  <c r="AC57" i="28" s="1"/>
  <c r="AC59" i="28" s="1"/>
  <c r="AY55" i="28"/>
  <c r="AY57" i="28" s="1"/>
  <c r="AY65" i="28" s="1"/>
  <c r="AR55" i="28"/>
  <c r="AR57" i="28" s="1"/>
  <c r="AR61" i="28" s="1"/>
  <c r="AM55" i="28"/>
  <c r="AM57" i="28" s="1"/>
  <c r="AM60" i="28" s="1"/>
  <c r="AQ55" i="28"/>
  <c r="AQ57" i="28" s="1"/>
  <c r="AQ61" i="28" s="1"/>
  <c r="AF55" i="28"/>
  <c r="AF57" i="28" s="1"/>
  <c r="AF67" i="28" s="1"/>
  <c r="AD55" i="28"/>
  <c r="AD57" i="28" s="1"/>
  <c r="AD66" i="28" s="1"/>
  <c r="Q55" i="28"/>
  <c r="Q57" i="28" s="1"/>
  <c r="Q66" i="28" s="1"/>
  <c r="R55" i="28"/>
  <c r="R57" i="28" s="1"/>
  <c r="R61" i="28" s="1"/>
  <c r="Z55" i="28"/>
  <c r="Z57" i="28" s="1"/>
  <c r="Z60" i="28" s="1"/>
  <c r="AE55" i="28"/>
  <c r="AE57" i="28" s="1"/>
  <c r="AE59" i="28" s="1"/>
  <c r="S64" i="28"/>
  <c r="AX64" i="28"/>
  <c r="AN55" i="28"/>
  <c r="AN57" i="28" s="1"/>
  <c r="K44" i="28"/>
  <c r="E89" i="28"/>
  <c r="K76" i="28"/>
  <c r="J87" i="28"/>
  <c r="K87" i="28" s="1"/>
  <c r="BD55" i="28"/>
  <c r="BD57" i="28" s="1"/>
  <c r="BD64" i="28" s="1"/>
  <c r="AV40" i="28"/>
  <c r="BH40" i="28"/>
  <c r="X40" i="28"/>
  <c r="BO40" i="28"/>
  <c r="CA3" i="28"/>
  <c r="K72" i="28"/>
  <c r="AT9" i="28"/>
  <c r="Q80" i="28"/>
  <c r="AA55" i="28"/>
  <c r="AA57" i="28" s="1"/>
  <c r="AH8" i="28"/>
  <c r="AJ21" i="28" s="1"/>
  <c r="BK55" i="28"/>
  <c r="BK57" i="28" s="1"/>
  <c r="BF9" i="28"/>
  <c r="V8" i="28"/>
  <c r="N9" i="28"/>
  <c r="N44" i="28" s="1"/>
  <c r="N46" i="28" s="1"/>
  <c r="J8" i="28"/>
  <c r="K8" i="28" s="1"/>
  <c r="BA55" i="28"/>
  <c r="BA57" i="28" s="1"/>
  <c r="T80" i="28"/>
  <c r="BM9" i="28"/>
  <c r="S80" i="28"/>
  <c r="O55" i="28"/>
  <c r="O57" i="28" s="1"/>
  <c r="R80" i="28"/>
  <c r="BB55" i="28"/>
  <c r="BB57" i="28" s="1"/>
  <c r="AZ55" i="28"/>
  <c r="AZ57" i="28" s="1"/>
  <c r="P80" i="28"/>
  <c r="BC55" i="28"/>
  <c r="BC57" i="28" s="1"/>
  <c r="O5" i="27"/>
  <c r="P5" i="27"/>
  <c r="Q5" i="27"/>
  <c r="R5" i="27"/>
  <c r="S5" i="27"/>
  <c r="T5" i="27"/>
  <c r="N5" i="27"/>
  <c r="AB61" i="28" l="1"/>
  <c r="AL64" i="28"/>
  <c r="AX65" i="28"/>
  <c r="S66" i="28"/>
  <c r="S59" i="28"/>
  <c r="S67" i="28"/>
  <c r="S63" i="28"/>
  <c r="S60" i="28"/>
  <c r="S65" i="28"/>
  <c r="AL61" i="28"/>
  <c r="AX66" i="28"/>
  <c r="AL62" i="28"/>
  <c r="AX60" i="28"/>
  <c r="AX59" i="28"/>
  <c r="AL65" i="28"/>
  <c r="S61" i="28"/>
  <c r="AL60" i="28"/>
  <c r="AL66" i="28"/>
  <c r="AL63" i="28"/>
  <c r="AX61" i="28"/>
  <c r="AX63" i="28"/>
  <c r="AL59" i="28"/>
  <c r="AX67" i="28"/>
  <c r="AO63" i="28"/>
  <c r="AO59" i="28"/>
  <c r="AO62" i="28"/>
  <c r="AB59" i="28"/>
  <c r="AB60" i="28"/>
  <c r="AB62" i="28"/>
  <c r="AB67" i="28"/>
  <c r="AB63" i="28"/>
  <c r="AB66" i="28"/>
  <c r="AB65" i="28"/>
  <c r="T64" i="28"/>
  <c r="P66" i="28"/>
  <c r="AC63" i="28"/>
  <c r="T67" i="28"/>
  <c r="AC64" i="28"/>
  <c r="AO67" i="28"/>
  <c r="AC66" i="28"/>
  <c r="AC61" i="28"/>
  <c r="T66" i="28"/>
  <c r="T63" i="28"/>
  <c r="T65" i="28"/>
  <c r="AC65" i="28"/>
  <c r="AO61" i="28"/>
  <c r="AO65" i="28"/>
  <c r="AO66" i="28"/>
  <c r="T60" i="28"/>
  <c r="T61" i="28"/>
  <c r="AC67" i="28"/>
  <c r="AC62" i="28"/>
  <c r="AO60" i="28"/>
  <c r="AE66" i="28"/>
  <c r="T59" i="28"/>
  <c r="AY60" i="28"/>
  <c r="AR66" i="28"/>
  <c r="P61" i="28"/>
  <c r="P63" i="28"/>
  <c r="Z59" i="28"/>
  <c r="AP59" i="28"/>
  <c r="P60" i="28"/>
  <c r="P64" i="28"/>
  <c r="AP63" i="28"/>
  <c r="AQ60" i="28"/>
  <c r="P65" i="28"/>
  <c r="P59" i="28"/>
  <c r="AP67" i="28"/>
  <c r="AP60" i="28"/>
  <c r="AP66" i="28"/>
  <c r="Q59" i="28"/>
  <c r="P67" i="28"/>
  <c r="AP62" i="28"/>
  <c r="AP61" i="28"/>
  <c r="AP64" i="28"/>
  <c r="AY59" i="28"/>
  <c r="AR67" i="28"/>
  <c r="AY63" i="28"/>
  <c r="AD65" i="28"/>
  <c r="AY62" i="28"/>
  <c r="AC60" i="28"/>
  <c r="AM67" i="28"/>
  <c r="AR59" i="28"/>
  <c r="Z62" i="28"/>
  <c r="AR63" i="28"/>
  <c r="Q63" i="28"/>
  <c r="AY61" i="28"/>
  <c r="AY66" i="28"/>
  <c r="AQ67" i="28"/>
  <c r="AQ65" i="28"/>
  <c r="AD64" i="28"/>
  <c r="AY64" i="28"/>
  <c r="AY67" i="28"/>
  <c r="AQ62" i="28"/>
  <c r="AF64" i="28"/>
  <c r="AF61" i="28"/>
  <c r="Q60" i="28"/>
  <c r="AF62" i="28"/>
  <c r="AQ59" i="28"/>
  <c r="AQ64" i="28"/>
  <c r="AQ66" i="28"/>
  <c r="R65" i="28"/>
  <c r="Q62" i="28"/>
  <c r="Q67" i="28"/>
  <c r="AF63" i="28"/>
  <c r="AQ63" i="28"/>
  <c r="AD62" i="28"/>
  <c r="AR65" i="28"/>
  <c r="AR62" i="28"/>
  <c r="AD61" i="28"/>
  <c r="AD67" i="28"/>
  <c r="AD60" i="28"/>
  <c r="AM59" i="28"/>
  <c r="AR64" i="28"/>
  <c r="AR60" i="28"/>
  <c r="AD59" i="28"/>
  <c r="AE64" i="28"/>
  <c r="AD63" i="28"/>
  <c r="AM63" i="28"/>
  <c r="AM65" i="28"/>
  <c r="AM64" i="28"/>
  <c r="AM61" i="28"/>
  <c r="AM66" i="28"/>
  <c r="AM62" i="28"/>
  <c r="AE61" i="28"/>
  <c r="AF59" i="28"/>
  <c r="AF60" i="28"/>
  <c r="Z65" i="28"/>
  <c r="Z66" i="28"/>
  <c r="AE67" i="28"/>
  <c r="AE62" i="28"/>
  <c r="R63" i="28"/>
  <c r="Z64" i="28"/>
  <c r="Z67" i="28"/>
  <c r="AE65" i="28"/>
  <c r="AF65" i="28"/>
  <c r="AF66" i="28"/>
  <c r="Z61" i="28"/>
  <c r="Z63" i="28"/>
  <c r="AE63" i="28"/>
  <c r="R59" i="28"/>
  <c r="R64" i="28"/>
  <c r="Q64" i="28"/>
  <c r="Q61" i="28"/>
  <c r="R66" i="28"/>
  <c r="R67" i="28"/>
  <c r="R62" i="28"/>
  <c r="Q65" i="28"/>
  <c r="R60" i="28"/>
  <c r="AE60" i="28"/>
  <c r="AN67" i="28"/>
  <c r="AN64" i="28"/>
  <c r="AN65" i="28"/>
  <c r="AN59" i="28"/>
  <c r="AN63" i="28"/>
  <c r="AN61" i="28"/>
  <c r="AN66" i="28"/>
  <c r="AN60" i="28"/>
  <c r="AN62" i="28"/>
  <c r="K75" i="28"/>
  <c r="K70" i="28"/>
  <c r="BD67" i="28"/>
  <c r="BD63" i="28"/>
  <c r="BD60" i="28"/>
  <c r="BD65" i="28"/>
  <c r="BD59" i="28"/>
  <c r="BD62" i="28"/>
  <c r="BD66" i="28"/>
  <c r="BD61" i="28"/>
  <c r="O67" i="28"/>
  <c r="O66" i="28"/>
  <c r="O65" i="28"/>
  <c r="O63" i="28"/>
  <c r="O61" i="28"/>
  <c r="O64" i="28"/>
  <c r="O60" i="28"/>
  <c r="O62" i="28"/>
  <c r="O59" i="28"/>
  <c r="BC66" i="28"/>
  <c r="BC59" i="28"/>
  <c r="BC64" i="28"/>
  <c r="BC62" i="28"/>
  <c r="BC60" i="28"/>
  <c r="BC61" i="28"/>
  <c r="BC65" i="28"/>
  <c r="BC63" i="28"/>
  <c r="BC67" i="28"/>
  <c r="AZ66" i="28"/>
  <c r="AZ67" i="28"/>
  <c r="AZ65" i="28"/>
  <c r="AZ64" i="28"/>
  <c r="AZ62" i="28"/>
  <c r="AZ60" i="28"/>
  <c r="AZ63" i="28"/>
  <c r="AZ61" i="28"/>
  <c r="AZ59" i="28"/>
  <c r="BA67" i="28"/>
  <c r="BA65" i="28"/>
  <c r="BA66" i="28"/>
  <c r="BA63" i="28"/>
  <c r="BA61" i="28"/>
  <c r="BA60" i="28"/>
  <c r="BA62" i="28"/>
  <c r="BA64" i="28"/>
  <c r="BA59" i="28"/>
  <c r="V9" i="28"/>
  <c r="BK67" i="28"/>
  <c r="BK65" i="28"/>
  <c r="BK66" i="28"/>
  <c r="BK63" i="28"/>
  <c r="BK61" i="28"/>
  <c r="BK59" i="28"/>
  <c r="BK64" i="28"/>
  <c r="BK62" i="28"/>
  <c r="BK60" i="28"/>
  <c r="AH9" i="28"/>
  <c r="AJ22" i="28" s="1"/>
  <c r="AA66" i="28"/>
  <c r="AA59" i="28"/>
  <c r="AA67" i="28"/>
  <c r="AA64" i="28"/>
  <c r="AA62" i="28"/>
  <c r="AA60" i="28"/>
  <c r="AA63" i="28"/>
  <c r="AA65" i="28"/>
  <c r="AA61" i="28"/>
  <c r="BJ80" i="28"/>
  <c r="BJ54" i="28"/>
  <c r="BM54" i="28" s="1"/>
  <c r="BO54" i="28" s="1"/>
  <c r="BJ53" i="28"/>
  <c r="BM53" i="28" s="1"/>
  <c r="BO53" i="28" s="1"/>
  <c r="BJ51" i="28"/>
  <c r="BM51" i="28" s="1"/>
  <c r="BO51" i="28" s="1"/>
  <c r="BJ52" i="28"/>
  <c r="BM52" i="28" s="1"/>
  <c r="BO52" i="28" s="1"/>
  <c r="BJ50" i="28"/>
  <c r="BM50" i="28" s="1"/>
  <c r="BO50" i="28" s="1"/>
  <c r="BJ49" i="28"/>
  <c r="BM49" i="28" s="1"/>
  <c r="BO49" i="28" s="1"/>
  <c r="BJ47" i="28"/>
  <c r="BM47" i="28" s="1"/>
  <c r="BO47" i="28" s="1"/>
  <c r="BJ46" i="28"/>
  <c r="BJ48" i="28"/>
  <c r="BM48" i="28" s="1"/>
  <c r="BO48" i="28" s="1"/>
  <c r="BM44" i="28"/>
  <c r="BB67" i="28"/>
  <c r="BB65" i="28"/>
  <c r="BB66" i="28"/>
  <c r="BB63" i="28"/>
  <c r="BB61" i="28"/>
  <c r="BB59" i="28"/>
  <c r="BB64" i="28"/>
  <c r="BB62" i="28"/>
  <c r="BB60" i="28"/>
  <c r="AL80" i="28"/>
  <c r="AT52" i="28"/>
  <c r="AV52" i="28" s="1"/>
  <c r="AT51" i="28"/>
  <c r="AV51" i="28" s="1"/>
  <c r="AT54" i="28"/>
  <c r="AV54" i="28" s="1"/>
  <c r="AT53" i="28"/>
  <c r="AV53" i="28" s="1"/>
  <c r="AT50" i="28"/>
  <c r="AV50" i="28" s="1"/>
  <c r="AT49" i="28"/>
  <c r="AV49" i="28" s="1"/>
  <c r="AT47" i="28"/>
  <c r="AV47" i="28" s="1"/>
  <c r="AT48" i="28"/>
  <c r="AV48" i="28" s="1"/>
  <c r="AT44" i="28"/>
  <c r="AX80" i="28"/>
  <c r="BF53" i="28"/>
  <c r="BH53" i="28" s="1"/>
  <c r="BF52" i="28"/>
  <c r="BH52" i="28" s="1"/>
  <c r="BF54" i="28"/>
  <c r="BH54" i="28" s="1"/>
  <c r="BF51" i="28"/>
  <c r="BH51" i="28" s="1"/>
  <c r="BF50" i="28"/>
  <c r="BH50" i="28" s="1"/>
  <c r="BF47" i="28"/>
  <c r="BH47" i="28" s="1"/>
  <c r="BF48" i="28"/>
  <c r="BH48" i="28" s="1"/>
  <c r="BF49" i="28"/>
  <c r="BH49" i="28" s="1"/>
  <c r="BF44" i="28"/>
  <c r="BN3" i="27"/>
  <c r="S68" i="28" l="1"/>
  <c r="S70" i="28" s="1"/>
  <c r="S73" i="28" s="1"/>
  <c r="S78" i="28" s="1"/>
  <c r="AL68" i="28"/>
  <c r="AL70" i="28" s="1"/>
  <c r="AL73" i="28" s="1"/>
  <c r="AL78" i="28" s="1"/>
  <c r="AB68" i="28"/>
  <c r="AB70" i="28" s="1"/>
  <c r="AB73" i="28" s="1"/>
  <c r="AB78" i="28" s="1"/>
  <c r="AX68" i="28"/>
  <c r="AX70" i="28" s="1"/>
  <c r="AX73" i="28" s="1"/>
  <c r="AX78" i="28" s="1"/>
  <c r="T68" i="28"/>
  <c r="T70" i="28" s="1"/>
  <c r="T73" i="28" s="1"/>
  <c r="T78" i="28" s="1"/>
  <c r="AC68" i="28"/>
  <c r="AC70" i="28" s="1"/>
  <c r="AC73" i="28" s="1"/>
  <c r="AC78" i="28" s="1"/>
  <c r="AO68" i="28"/>
  <c r="AO70" i="28" s="1"/>
  <c r="AO73" i="28" s="1"/>
  <c r="AO78" i="28" s="1"/>
  <c r="P68" i="28"/>
  <c r="P70" i="28" s="1"/>
  <c r="P73" i="28" s="1"/>
  <c r="P78" i="28" s="1"/>
  <c r="AP68" i="28"/>
  <c r="AP70" i="28" s="1"/>
  <c r="AP73" i="28" s="1"/>
  <c r="AP78" i="28" s="1"/>
  <c r="AY68" i="28"/>
  <c r="AY70" i="28" s="1"/>
  <c r="AY73" i="28" s="1"/>
  <c r="AY78" i="28" s="1"/>
  <c r="AQ68" i="28"/>
  <c r="AQ70" i="28" s="1"/>
  <c r="AQ73" i="28" s="1"/>
  <c r="AQ78" i="28" s="1"/>
  <c r="AE68" i="28"/>
  <c r="AE70" i="28" s="1"/>
  <c r="AE73" i="28" s="1"/>
  <c r="AE78" i="28" s="1"/>
  <c r="AR68" i="28"/>
  <c r="AR70" i="28" s="1"/>
  <c r="AR73" i="28" s="1"/>
  <c r="AR78" i="28" s="1"/>
  <c r="AD68" i="28"/>
  <c r="AD70" i="28" s="1"/>
  <c r="AD73" i="28" s="1"/>
  <c r="AD78" i="28" s="1"/>
  <c r="AM68" i="28"/>
  <c r="AM70" i="28" s="1"/>
  <c r="AM73" i="28" s="1"/>
  <c r="AM78" i="28" s="1"/>
  <c r="Z68" i="28"/>
  <c r="Z70" i="28" s="1"/>
  <c r="Z73" i="28" s="1"/>
  <c r="Z78" i="28" s="1"/>
  <c r="AF68" i="28"/>
  <c r="AF70" i="28" s="1"/>
  <c r="AF73" i="28" s="1"/>
  <c r="AF78" i="28" s="1"/>
  <c r="R68" i="28"/>
  <c r="R70" i="28" s="1"/>
  <c r="R73" i="28" s="1"/>
  <c r="R78" i="28" s="1"/>
  <c r="Q68" i="28"/>
  <c r="Q70" i="28" s="1"/>
  <c r="Q73" i="28" s="1"/>
  <c r="Q78" i="28" s="1"/>
  <c r="AN68" i="28"/>
  <c r="AN70" i="28" s="1"/>
  <c r="AN73" i="28" s="1"/>
  <c r="AN78" i="28" s="1"/>
  <c r="BN5" i="27"/>
  <c r="AC83" i="28"/>
  <c r="AQ83" i="28"/>
  <c r="BD68" i="28"/>
  <c r="BD70" i="28" s="1"/>
  <c r="BD83" i="28" s="1"/>
  <c r="AJ40" i="28"/>
  <c r="BA68" i="28"/>
  <c r="BA70" i="28" s="1"/>
  <c r="BA83" i="28" s="1"/>
  <c r="BB68" i="28"/>
  <c r="BB70" i="28" s="1"/>
  <c r="AA68" i="28"/>
  <c r="AA70" i="28" s="1"/>
  <c r="AA73" i="28" s="1"/>
  <c r="AA78" i="28" s="1"/>
  <c r="BF46" i="28"/>
  <c r="BF80" i="28"/>
  <c r="BJ55" i="28"/>
  <c r="BJ57" i="28" s="1"/>
  <c r="BM46" i="28"/>
  <c r="AT46" i="28"/>
  <c r="BM80" i="28"/>
  <c r="AZ68" i="28"/>
  <c r="AZ70" i="28" s="1"/>
  <c r="O68" i="28"/>
  <c r="O70" i="28" s="1"/>
  <c r="O73" i="28" s="1"/>
  <c r="O78" i="28" s="1"/>
  <c r="AT80" i="28"/>
  <c r="Z80" i="28"/>
  <c r="AH52" i="28"/>
  <c r="AJ52" i="28" s="1"/>
  <c r="AH54" i="28"/>
  <c r="AJ54" i="28" s="1"/>
  <c r="AH53" i="28"/>
  <c r="AJ53" i="28" s="1"/>
  <c r="AH51" i="28"/>
  <c r="AJ51" i="28" s="1"/>
  <c r="AH50" i="28"/>
  <c r="AJ50" i="28" s="1"/>
  <c r="AH47" i="28"/>
  <c r="AJ47" i="28" s="1"/>
  <c r="AH48" i="28"/>
  <c r="AJ48" i="28" s="1"/>
  <c r="AH49" i="28"/>
  <c r="AJ49" i="28" s="1"/>
  <c r="AH44" i="28"/>
  <c r="BK68" i="28"/>
  <c r="BK70" i="28" s="1"/>
  <c r="N80" i="28"/>
  <c r="N52" i="28"/>
  <c r="N54" i="28"/>
  <c r="N51" i="28"/>
  <c r="N53" i="28"/>
  <c r="N49" i="28"/>
  <c r="N50" i="28"/>
  <c r="N47" i="28"/>
  <c r="BQ44" i="28"/>
  <c r="N48" i="28"/>
  <c r="V44" i="28"/>
  <c r="BC68" i="28"/>
  <c r="BC70" i="28" s="1"/>
  <c r="AC85" i="28" l="1"/>
  <c r="AR83" i="28"/>
  <c r="BD84" i="28"/>
  <c r="AQ85" i="28"/>
  <c r="BB83" i="28"/>
  <c r="BA85" i="28"/>
  <c r="AN83" i="28"/>
  <c r="BK83" i="28"/>
  <c r="AH80" i="28"/>
  <c r="AP83" i="28"/>
  <c r="AD83" i="28"/>
  <c r="BF67" i="28"/>
  <c r="BH67" i="28" s="1"/>
  <c r="BF66" i="28"/>
  <c r="BH66" i="28" s="1"/>
  <c r="BF63" i="28"/>
  <c r="BH63" i="28" s="1"/>
  <c r="BF61" i="28"/>
  <c r="BH61" i="28" s="1"/>
  <c r="BF65" i="28"/>
  <c r="BH65" i="28" s="1"/>
  <c r="BF64" i="28"/>
  <c r="BH64" i="28" s="1"/>
  <c r="BF62" i="28"/>
  <c r="BH62" i="28" s="1"/>
  <c r="BF60" i="28"/>
  <c r="BH60" i="28" s="1"/>
  <c r="V49" i="28"/>
  <c r="X49" i="28" s="1"/>
  <c r="BT49" i="28"/>
  <c r="BU49" i="28" s="1"/>
  <c r="V52" i="28"/>
  <c r="X52" i="28" s="1"/>
  <c r="BT52" i="28"/>
  <c r="BU52" i="28" s="1"/>
  <c r="O83" i="28"/>
  <c r="AO83" i="28"/>
  <c r="AT66" i="28"/>
  <c r="AV66" i="28" s="1"/>
  <c r="AT67" i="28"/>
  <c r="AV67" i="28" s="1"/>
  <c r="AT64" i="28"/>
  <c r="AV64" i="28" s="1"/>
  <c r="AT62" i="28"/>
  <c r="AV62" i="28" s="1"/>
  <c r="AT60" i="28"/>
  <c r="AV60" i="28" s="1"/>
  <c r="AT65" i="28"/>
  <c r="AV65" i="28" s="1"/>
  <c r="AT63" i="28"/>
  <c r="AV63" i="28" s="1"/>
  <c r="AT61" i="28"/>
  <c r="AV61" i="28" s="1"/>
  <c r="BM55" i="28"/>
  <c r="BO46" i="28"/>
  <c r="AA83" i="28"/>
  <c r="BC83" i="28"/>
  <c r="BT50" i="28"/>
  <c r="BU50" i="28" s="1"/>
  <c r="V50" i="28"/>
  <c r="X50" i="28" s="1"/>
  <c r="AZ83" i="28"/>
  <c r="AM83" i="28"/>
  <c r="T83" i="28"/>
  <c r="BJ66" i="28"/>
  <c r="BM66" i="28" s="1"/>
  <c r="BO66" i="28" s="1"/>
  <c r="BJ67" i="28"/>
  <c r="BM67" i="28" s="1"/>
  <c r="BO67" i="28" s="1"/>
  <c r="BJ65" i="28"/>
  <c r="BM65" i="28" s="1"/>
  <c r="BO65" i="28" s="1"/>
  <c r="BJ64" i="28"/>
  <c r="BM64" i="28" s="1"/>
  <c r="BO64" i="28" s="1"/>
  <c r="BJ62" i="28"/>
  <c r="BM62" i="28" s="1"/>
  <c r="BO62" i="28" s="1"/>
  <c r="BJ60" i="28"/>
  <c r="BM60" i="28" s="1"/>
  <c r="BO60" i="28" s="1"/>
  <c r="BJ63" i="28"/>
  <c r="BM63" i="28" s="1"/>
  <c r="BO63" i="28" s="1"/>
  <c r="BJ61" i="28"/>
  <c r="BM61" i="28" s="1"/>
  <c r="BO61" i="28" s="1"/>
  <c r="BJ59" i="28"/>
  <c r="AR85" i="28"/>
  <c r="AR84" i="28"/>
  <c r="BB85" i="28"/>
  <c r="BB84" i="28"/>
  <c r="V48" i="28"/>
  <c r="X48" i="28" s="1"/>
  <c r="BT48" i="28"/>
  <c r="BU48" i="28" s="1"/>
  <c r="V54" i="28"/>
  <c r="X54" i="28" s="1"/>
  <c r="BT54" i="28"/>
  <c r="BU54" i="28" s="1"/>
  <c r="AH46" i="28"/>
  <c r="AT55" i="28"/>
  <c r="AV46" i="28"/>
  <c r="N55" i="28"/>
  <c r="N57" i="28" s="1"/>
  <c r="BT46" i="28"/>
  <c r="V46" i="28"/>
  <c r="BT53" i="28"/>
  <c r="BU53" i="28" s="1"/>
  <c r="V53" i="28"/>
  <c r="X53" i="28" s="1"/>
  <c r="P83" i="28"/>
  <c r="BT47" i="28"/>
  <c r="BU47" i="28" s="1"/>
  <c r="V47" i="28"/>
  <c r="X47" i="28" s="1"/>
  <c r="BT51" i="28"/>
  <c r="BU51" i="28" s="1"/>
  <c r="V51" i="28"/>
  <c r="X51" i="28" s="1"/>
  <c r="BQ80" i="28"/>
  <c r="V80" i="28"/>
  <c r="AF83" i="28"/>
  <c r="AY83" i="28"/>
  <c r="AB83" i="28"/>
  <c r="BF55" i="28"/>
  <c r="BH46" i="28"/>
  <c r="AE83" i="28"/>
  <c r="AN85" i="28"/>
  <c r="AN84" i="28"/>
  <c r="BP5" i="27"/>
  <c r="AC84" i="28" l="1"/>
  <c r="AC87" i="28" s="1"/>
  <c r="AC89" i="28" s="1"/>
  <c r="BD85" i="28"/>
  <c r="BD87" i="28" s="1"/>
  <c r="BD89" i="28" s="1"/>
  <c r="AR87" i="28"/>
  <c r="AR89" i="28" s="1"/>
  <c r="BA84" i="28"/>
  <c r="BA87" i="28" s="1"/>
  <c r="BA89" i="28" s="1"/>
  <c r="AQ84" i="28"/>
  <c r="AQ87" i="28" s="1"/>
  <c r="AQ89" i="28" s="1"/>
  <c r="BB87" i="28"/>
  <c r="BB89" i="28" s="1"/>
  <c r="AN87" i="28"/>
  <c r="AN89" i="28" s="1"/>
  <c r="V55" i="28"/>
  <c r="X46" i="28"/>
  <c r="X55" i="28" s="1"/>
  <c r="AO85" i="28"/>
  <c r="AO84" i="28"/>
  <c r="AB85" i="28"/>
  <c r="AB84" i="28"/>
  <c r="AF85" i="28"/>
  <c r="AF84" i="28"/>
  <c r="P85" i="28"/>
  <c r="P84" i="28"/>
  <c r="BT55" i="28"/>
  <c r="BU55" i="28" s="1"/>
  <c r="BW46" i="28" s="1"/>
  <c r="BU46" i="28"/>
  <c r="Q83" i="28"/>
  <c r="BM59" i="28"/>
  <c r="BO59" i="28" s="1"/>
  <c r="BJ68" i="28"/>
  <c r="AM85" i="28"/>
  <c r="AM84" i="28"/>
  <c r="AZ85" i="28"/>
  <c r="AZ84" i="28"/>
  <c r="AA85" i="28"/>
  <c r="AA84" i="28"/>
  <c r="BF59" i="28"/>
  <c r="BH59" i="28" s="1"/>
  <c r="T85" i="28"/>
  <c r="T84" i="28"/>
  <c r="AD85" i="28"/>
  <c r="AD84" i="28"/>
  <c r="BH55" i="28"/>
  <c r="AY85" i="28"/>
  <c r="AY84" i="28"/>
  <c r="N66" i="28"/>
  <c r="N67" i="28"/>
  <c r="N64" i="28"/>
  <c r="N62" i="28"/>
  <c r="N60" i="28"/>
  <c r="N65" i="28"/>
  <c r="N63" i="28"/>
  <c r="N61" i="28"/>
  <c r="N59" i="28"/>
  <c r="AH55" i="28"/>
  <c r="AJ46" i="28"/>
  <c r="BC85" i="28"/>
  <c r="BC84" i="28"/>
  <c r="AT59" i="28"/>
  <c r="AV59" i="28" s="1"/>
  <c r="O85" i="28"/>
  <c r="O84" i="28"/>
  <c r="AP85" i="28"/>
  <c r="AP84" i="28"/>
  <c r="AE85" i="28"/>
  <c r="AE84" i="28"/>
  <c r="BO55" i="28"/>
  <c r="R83" i="28"/>
  <c r="S83" i="28"/>
  <c r="AV55" i="28"/>
  <c r="AH67" i="28"/>
  <c r="AJ67" i="28" s="1"/>
  <c r="AH66" i="28"/>
  <c r="AJ66" i="28" s="1"/>
  <c r="AH65" i="28"/>
  <c r="AJ65" i="28" s="1"/>
  <c r="AH63" i="28"/>
  <c r="AJ63" i="28" s="1"/>
  <c r="AH61" i="28"/>
  <c r="AJ61" i="28" s="1"/>
  <c r="AH64" i="28"/>
  <c r="AJ64" i="28" s="1"/>
  <c r="AH62" i="28"/>
  <c r="AJ62" i="28" s="1"/>
  <c r="AH60" i="28"/>
  <c r="AJ60" i="28" s="1"/>
  <c r="BK85" i="28"/>
  <c r="BK84" i="28"/>
  <c r="AX28" i="27"/>
  <c r="AE87" i="28" l="1"/>
  <c r="AE89" i="28" s="1"/>
  <c r="AF87" i="28"/>
  <c r="AF89" i="28" s="1"/>
  <c r="BC87" i="28"/>
  <c r="BC89" i="28" s="1"/>
  <c r="BO68" i="28"/>
  <c r="AO87" i="28"/>
  <c r="AO89" i="28" s="1"/>
  <c r="AV68" i="28"/>
  <c r="BK87" i="28"/>
  <c r="BK89" i="28" s="1"/>
  <c r="BH68" i="28"/>
  <c r="AM87" i="28"/>
  <c r="AM89" i="28" s="1"/>
  <c r="AY87" i="28"/>
  <c r="AY89" i="28" s="1"/>
  <c r="T87" i="28"/>
  <c r="T89" i="28" s="1"/>
  <c r="P87" i="28"/>
  <c r="P89" i="28" s="1"/>
  <c r="AB87" i="28"/>
  <c r="AB89" i="28" s="1"/>
  <c r="AA87" i="28"/>
  <c r="AA89" i="28" s="1"/>
  <c r="O87" i="28"/>
  <c r="O89" i="28" s="1"/>
  <c r="AD87" i="28"/>
  <c r="AD89" i="28" s="1"/>
  <c r="AP87" i="28"/>
  <c r="AP89" i="28" s="1"/>
  <c r="AZ87" i="28"/>
  <c r="AZ89" i="28" s="1"/>
  <c r="R85" i="28"/>
  <c r="R84" i="28"/>
  <c r="V64" i="28"/>
  <c r="X64" i="28" s="1"/>
  <c r="BT64" i="28"/>
  <c r="BU64" i="28" s="1"/>
  <c r="AH59" i="28"/>
  <c r="AJ59" i="28" s="1"/>
  <c r="BT67" i="28"/>
  <c r="BU67" i="28" s="1"/>
  <c r="V67" i="28"/>
  <c r="X67" i="28" s="1"/>
  <c r="Q85" i="28"/>
  <c r="Q84" i="28"/>
  <c r="V59" i="28"/>
  <c r="N68" i="28"/>
  <c r="N70" i="28" s="1"/>
  <c r="N73" i="28" s="1"/>
  <c r="BT59" i="28"/>
  <c r="V66" i="28"/>
  <c r="X66" i="28" s="1"/>
  <c r="BT66" i="28"/>
  <c r="BU66" i="28" s="1"/>
  <c r="BT63" i="28"/>
  <c r="BU63" i="28" s="1"/>
  <c r="V63" i="28"/>
  <c r="X63" i="28" s="1"/>
  <c r="BT65" i="28"/>
  <c r="BU65" i="28" s="1"/>
  <c r="V65" i="28"/>
  <c r="X65" i="28" s="1"/>
  <c r="S85" i="28"/>
  <c r="S84" i="28"/>
  <c r="AT68" i="28"/>
  <c r="V60" i="28"/>
  <c r="X60" i="28" s="1"/>
  <c r="BT60" i="28"/>
  <c r="BU60" i="28" s="1"/>
  <c r="BF68" i="28"/>
  <c r="AJ55" i="28"/>
  <c r="BQ55" i="28" s="1"/>
  <c r="BT61" i="28"/>
  <c r="BU61" i="28" s="1"/>
  <c r="V61" i="28"/>
  <c r="X61" i="28" s="1"/>
  <c r="V62" i="28"/>
  <c r="X62" i="28" s="1"/>
  <c r="BT62" i="28"/>
  <c r="BU62" i="28" s="1"/>
  <c r="BM68" i="28"/>
  <c r="BJ70" i="28"/>
  <c r="AZ5" i="27"/>
  <c r="BF4" i="27"/>
  <c r="K9" i="27"/>
  <c r="N78" i="28" l="1"/>
  <c r="V78" i="28" s="1"/>
  <c r="V73" i="28"/>
  <c r="R87" i="28"/>
  <c r="R89" i="28" s="1"/>
  <c r="Q87" i="28"/>
  <c r="Q89" i="28" s="1"/>
  <c r="S87" i="28"/>
  <c r="S89" i="28" s="1"/>
  <c r="AJ68" i="28"/>
  <c r="BT68" i="28"/>
  <c r="BU68" i="28" s="1"/>
  <c r="BW59" i="28" s="1"/>
  <c r="BU59" i="28"/>
  <c r="BJ83" i="28"/>
  <c r="BM73" i="28"/>
  <c r="AX83" i="28"/>
  <c r="BF73" i="28"/>
  <c r="AL83" i="28"/>
  <c r="AT73" i="28"/>
  <c r="N83" i="28"/>
  <c r="AH68" i="28"/>
  <c r="BQ73" i="28"/>
  <c r="V68" i="28"/>
  <c r="X59" i="28"/>
  <c r="X68" i="28" s="1"/>
  <c r="BH5" i="27"/>
  <c r="BQ68" i="28" l="1"/>
  <c r="BM83" i="28"/>
  <c r="AT83" i="28"/>
  <c r="BJ85" i="28"/>
  <c r="BM85" i="28" s="1"/>
  <c r="BJ84" i="28"/>
  <c r="BM84" i="28" s="1"/>
  <c r="BM78" i="28"/>
  <c r="AL85" i="28"/>
  <c r="AT85" i="28" s="1"/>
  <c r="AL84" i="28"/>
  <c r="AT84" i="28" s="1"/>
  <c r="AT78" i="28"/>
  <c r="N85" i="28"/>
  <c r="N84" i="28"/>
  <c r="BF83" i="28"/>
  <c r="Z83" i="28"/>
  <c r="AH73" i="28"/>
  <c r="BQ78" i="28"/>
  <c r="BR78" i="28" s="1"/>
  <c r="V83" i="28"/>
  <c r="AX85" i="28"/>
  <c r="BF85" i="28" s="1"/>
  <c r="AX84" i="28"/>
  <c r="BF84" i="28" s="1"/>
  <c r="BF78" i="28"/>
  <c r="AT4" i="27"/>
  <c r="AH83" i="28" l="1"/>
  <c r="BQ83" i="28"/>
  <c r="V84" i="28"/>
  <c r="AL87" i="28"/>
  <c r="Z85" i="28"/>
  <c r="AH85" i="28" s="1"/>
  <c r="Z84" i="28"/>
  <c r="AH84" i="28" s="1"/>
  <c r="AH78" i="28"/>
  <c r="AX87" i="28"/>
  <c r="V85" i="28"/>
  <c r="N87" i="28"/>
  <c r="N89" i="28" s="1"/>
  <c r="BJ87" i="28"/>
  <c r="AV5" i="27"/>
  <c r="V87" i="28" l="1"/>
  <c r="BQ84" i="28"/>
  <c r="BQ85" i="28"/>
  <c r="BM87" i="28"/>
  <c r="BJ89" i="28"/>
  <c r="BM89" i="28" s="1"/>
  <c r="BF87" i="28"/>
  <c r="AX89" i="28"/>
  <c r="BF89" i="28" s="1"/>
  <c r="AT87" i="28"/>
  <c r="AL89" i="28"/>
  <c r="AT89" i="28" s="1"/>
  <c r="Z87" i="28"/>
  <c r="AH87" i="28" l="1"/>
  <c r="Z89" i="28"/>
  <c r="AH89" i="28" s="1"/>
  <c r="V89" i="28"/>
  <c r="BQ87" i="28"/>
  <c r="AB28" i="27"/>
  <c r="BQ89" i="28" l="1"/>
  <c r="BR89" i="28" s="1"/>
  <c r="AH4" i="27" l="1"/>
  <c r="Z5" i="27"/>
  <c r="AJ5" i="27" l="1"/>
  <c r="J4" i="27"/>
  <c r="J35" i="27" l="1"/>
  <c r="BL35" i="27" l="1"/>
  <c r="AY35" i="27"/>
  <c r="BC35" i="27"/>
  <c r="AP35" i="27"/>
  <c r="AZ35" i="27"/>
  <c r="AM35" i="27"/>
  <c r="AR35" i="27"/>
  <c r="AL35" i="27"/>
  <c r="AC35" i="27"/>
  <c r="BA35" i="27"/>
  <c r="AN35" i="27"/>
  <c r="AD35" i="27"/>
  <c r="BJ35" i="27"/>
  <c r="BB35" i="27"/>
  <c r="AO35" i="27"/>
  <c r="BK35" i="27"/>
  <c r="BD35" i="27"/>
  <c r="AX35" i="27"/>
  <c r="AB35" i="27"/>
  <c r="Z35" i="27"/>
  <c r="R35" i="27"/>
  <c r="AE35" i="27"/>
  <c r="O35" i="27"/>
  <c r="S35" i="27"/>
  <c r="AF35" i="27"/>
  <c r="P35" i="27"/>
  <c r="T35" i="27"/>
  <c r="AQ35" i="27"/>
  <c r="AA35" i="27"/>
  <c r="Q35" i="27"/>
  <c r="BF3" i="26"/>
  <c r="AT3" i="26"/>
  <c r="AH3" i="26"/>
  <c r="V3" i="26"/>
  <c r="BK4" i="26" l="1"/>
  <c r="BJ4" i="26" l="1"/>
  <c r="BM3" i="26"/>
  <c r="BM4" i="26" l="1"/>
  <c r="BD4" i="26"/>
  <c r="J65" i="27" l="1"/>
  <c r="J64" i="27"/>
  <c r="J93" i="27"/>
  <c r="J85" i="27"/>
  <c r="J84" i="27"/>
  <c r="J83" i="27"/>
  <c r="J82" i="27"/>
  <c r="J81" i="27"/>
  <c r="J80" i="27"/>
  <c r="J79" i="27"/>
  <c r="J78" i="27"/>
  <c r="J77" i="27"/>
  <c r="J67" i="27"/>
  <c r="J71" i="27"/>
  <c r="J70" i="27"/>
  <c r="J69" i="27"/>
  <c r="J68" i="27"/>
  <c r="J66" i="27"/>
  <c r="J72" i="27"/>
  <c r="J50" i="27"/>
  <c r="J45" i="27"/>
  <c r="J42" i="27"/>
  <c r="J40" i="27"/>
  <c r="J46" i="27"/>
  <c r="J41" i="27"/>
  <c r="J39" i="27"/>
  <c r="J37" i="27"/>
  <c r="J43" i="27"/>
  <c r="J44" i="27"/>
  <c r="J34" i="27"/>
  <c r="J33" i="27"/>
  <c r="J32" i="27"/>
  <c r="J38" i="27"/>
  <c r="J31" i="27"/>
  <c r="BN19" i="27"/>
  <c r="E94" i="27"/>
  <c r="I93" i="27"/>
  <c r="H93" i="27"/>
  <c r="G93" i="27"/>
  <c r="F93" i="27"/>
  <c r="BN90" i="27"/>
  <c r="BF90" i="27"/>
  <c r="E86" i="27"/>
  <c r="I85" i="27"/>
  <c r="H85" i="27"/>
  <c r="G85" i="27"/>
  <c r="F85" i="27"/>
  <c r="I83" i="27"/>
  <c r="H83" i="27"/>
  <c r="G83" i="27"/>
  <c r="F83" i="27"/>
  <c r="I82" i="27"/>
  <c r="H82" i="27"/>
  <c r="G82" i="27"/>
  <c r="F82" i="27"/>
  <c r="I81" i="27"/>
  <c r="H81" i="27"/>
  <c r="G81" i="27"/>
  <c r="F81" i="27"/>
  <c r="I80" i="27"/>
  <c r="H80" i="27"/>
  <c r="G80" i="27"/>
  <c r="F80" i="27"/>
  <c r="I78" i="27"/>
  <c r="H78" i="27"/>
  <c r="G78" i="27"/>
  <c r="F78" i="27"/>
  <c r="I77" i="27"/>
  <c r="H77" i="27"/>
  <c r="G77" i="27"/>
  <c r="F77" i="27"/>
  <c r="E73" i="27"/>
  <c r="K67" i="27" s="1"/>
  <c r="I67" i="27"/>
  <c r="H67" i="27"/>
  <c r="G67" i="27"/>
  <c r="F67" i="27"/>
  <c r="I71" i="27"/>
  <c r="H71" i="27"/>
  <c r="G71" i="27"/>
  <c r="F71" i="27"/>
  <c r="I70" i="27"/>
  <c r="H70" i="27"/>
  <c r="G70" i="27"/>
  <c r="F70" i="27"/>
  <c r="I69" i="27"/>
  <c r="H69" i="27"/>
  <c r="G69" i="27"/>
  <c r="F69" i="27"/>
  <c r="I68" i="27"/>
  <c r="H68" i="27"/>
  <c r="G68" i="27"/>
  <c r="F68" i="27"/>
  <c r="I66" i="27"/>
  <c r="H66" i="27"/>
  <c r="G66" i="27"/>
  <c r="F66" i="27"/>
  <c r="I72" i="27"/>
  <c r="H72" i="27"/>
  <c r="G72" i="27"/>
  <c r="F72" i="27"/>
  <c r="BR60" i="27"/>
  <c r="BR56" i="27"/>
  <c r="I56" i="27"/>
  <c r="H56" i="27"/>
  <c r="G56" i="27"/>
  <c r="F56" i="27"/>
  <c r="BN54" i="27"/>
  <c r="BS51" i="27"/>
  <c r="BS50" i="27"/>
  <c r="BS44" i="27"/>
  <c r="BS43" i="27"/>
  <c r="BS42" i="27"/>
  <c r="BS41" i="27"/>
  <c r="BS40" i="27"/>
  <c r="CA37" i="27"/>
  <c r="BS39" i="27"/>
  <c r="BS38" i="27"/>
  <c r="BS37" i="27"/>
  <c r="BS36" i="27"/>
  <c r="BS35" i="27"/>
  <c r="BS34" i="27"/>
  <c r="BS33" i="27"/>
  <c r="BS32" i="27"/>
  <c r="BS31" i="27"/>
  <c r="BR28" i="27"/>
  <c r="BL28" i="27"/>
  <c r="BJ28" i="27"/>
  <c r="BD28" i="27"/>
  <c r="BC28" i="27"/>
  <c r="AQ28" i="27"/>
  <c r="AE28" i="27"/>
  <c r="S28" i="27"/>
  <c r="E28" i="27"/>
  <c r="K19" i="27" s="1"/>
  <c r="BS26" i="27"/>
  <c r="BN26" i="27"/>
  <c r="J26" i="27"/>
  <c r="I26" i="27"/>
  <c r="H26" i="27"/>
  <c r="G26" i="27"/>
  <c r="F26" i="27"/>
  <c r="BS25" i="27"/>
  <c r="BN25" i="27"/>
  <c r="J25" i="27"/>
  <c r="BS24" i="27"/>
  <c r="BN24" i="27"/>
  <c r="J24" i="27"/>
  <c r="I24" i="27"/>
  <c r="H24" i="27"/>
  <c r="G24" i="27"/>
  <c r="F24" i="27"/>
  <c r="BS23" i="27"/>
  <c r="BN23" i="27"/>
  <c r="J23" i="27"/>
  <c r="I23" i="27"/>
  <c r="H23" i="27"/>
  <c r="G23" i="27"/>
  <c r="F23" i="27"/>
  <c r="BS22" i="27"/>
  <c r="BN22" i="27"/>
  <c r="J22" i="27"/>
  <c r="I22" i="27"/>
  <c r="H22" i="27"/>
  <c r="G22" i="27"/>
  <c r="F22" i="27"/>
  <c r="BS21" i="27"/>
  <c r="BN21" i="27"/>
  <c r="J21" i="27"/>
  <c r="I21" i="27"/>
  <c r="H21" i="27"/>
  <c r="G21" i="27"/>
  <c r="F21" i="27"/>
  <c r="BS20" i="27"/>
  <c r="BN20" i="27"/>
  <c r="J20" i="27"/>
  <c r="I20" i="27"/>
  <c r="H20" i="27"/>
  <c r="G20" i="27"/>
  <c r="F20" i="27"/>
  <c r="BS19" i="27"/>
  <c r="J19" i="27"/>
  <c r="BS18" i="27"/>
  <c r="BN18" i="27"/>
  <c r="J18" i="27"/>
  <c r="BS17" i="27"/>
  <c r="BN17" i="27"/>
  <c r="J17" i="27"/>
  <c r="BS16" i="27"/>
  <c r="BN16" i="27"/>
  <c r="J16" i="27"/>
  <c r="I16" i="27"/>
  <c r="H16" i="27"/>
  <c r="G16" i="27"/>
  <c r="F16" i="27"/>
  <c r="BS15" i="27"/>
  <c r="BN15" i="27"/>
  <c r="J15" i="27"/>
  <c r="I15" i="27"/>
  <c r="H15" i="27"/>
  <c r="G15" i="27"/>
  <c r="F15" i="27"/>
  <c r="BU3" i="27"/>
  <c r="BZ1" i="27" s="1"/>
  <c r="CB3" i="29" s="1"/>
  <c r="BF3" i="27"/>
  <c r="AT3" i="27"/>
  <c r="AH3" i="27"/>
  <c r="V3" i="27"/>
  <c r="BC4" i="26"/>
  <c r="AT5" i="27" l="1"/>
  <c r="BO69" i="27"/>
  <c r="BG69" i="27"/>
  <c r="BG81" i="27"/>
  <c r="BO81" i="27"/>
  <c r="BF5" i="27"/>
  <c r="BO72" i="27"/>
  <c r="BG72" i="27"/>
  <c r="J94" i="27"/>
  <c r="AX94" i="27" s="1"/>
  <c r="BL93" i="27"/>
  <c r="BK93" i="27"/>
  <c r="BD93" i="27"/>
  <c r="BJ93" i="27"/>
  <c r="BC93" i="27"/>
  <c r="BB93" i="27"/>
  <c r="V5" i="27"/>
  <c r="CB3" i="28"/>
  <c r="BO66" i="27"/>
  <c r="BG66" i="27"/>
  <c r="BG71" i="27"/>
  <c r="BO71" i="27"/>
  <c r="BO83" i="27"/>
  <c r="BG83" i="27"/>
  <c r="BO64" i="27"/>
  <c r="BG64" i="27"/>
  <c r="BO77" i="27"/>
  <c r="BG77" i="27"/>
  <c r="BG85" i="27"/>
  <c r="BO85" i="27"/>
  <c r="BG70" i="27"/>
  <c r="BO70" i="27"/>
  <c r="BG82" i="27"/>
  <c r="BO82" i="27"/>
  <c r="AH5" i="27"/>
  <c r="BG68" i="27"/>
  <c r="BO68" i="27"/>
  <c r="BG67" i="27"/>
  <c r="BO67" i="27"/>
  <c r="BO80" i="27"/>
  <c r="BG80" i="27"/>
  <c r="BG84" i="27"/>
  <c r="BO84" i="27"/>
  <c r="BO65" i="27"/>
  <c r="BG65" i="27"/>
  <c r="BG79" i="27"/>
  <c r="BO79" i="27"/>
  <c r="BO78" i="27"/>
  <c r="BG78" i="27"/>
  <c r="BA32" i="27"/>
  <c r="AN32" i="27"/>
  <c r="AR32" i="27"/>
  <c r="BJ32" i="27"/>
  <c r="BB32" i="27"/>
  <c r="AO32" i="27"/>
  <c r="AA32" i="27"/>
  <c r="AE32" i="27"/>
  <c r="BC32" i="27"/>
  <c r="AX32" i="27"/>
  <c r="AP32" i="27"/>
  <c r="AB32" i="27"/>
  <c r="AF32" i="27"/>
  <c r="BK32" i="27"/>
  <c r="AY32" i="27"/>
  <c r="BD32" i="27"/>
  <c r="AQ32" i="27"/>
  <c r="AC32" i="27"/>
  <c r="AZ32" i="27"/>
  <c r="P32" i="27"/>
  <c r="T32" i="27"/>
  <c r="AL32" i="27"/>
  <c r="AD32" i="27"/>
  <c r="Q32" i="27"/>
  <c r="R32" i="27"/>
  <c r="BL32" i="27"/>
  <c r="AM32" i="27"/>
  <c r="Z32" i="27"/>
  <c r="O32" i="27"/>
  <c r="S32" i="27"/>
  <c r="BL43" i="27"/>
  <c r="BJ43" i="27"/>
  <c r="AY43" i="27"/>
  <c r="BC43" i="27"/>
  <c r="AP43" i="27"/>
  <c r="BK43" i="27"/>
  <c r="BA43" i="27"/>
  <c r="AN43" i="27"/>
  <c r="BB43" i="27"/>
  <c r="AO43" i="27"/>
  <c r="BD43" i="27"/>
  <c r="AX43" i="27"/>
  <c r="AQ43" i="27"/>
  <c r="AL43" i="27"/>
  <c r="AD43" i="27"/>
  <c r="R43" i="27"/>
  <c r="AM43" i="27"/>
  <c r="AA43" i="27"/>
  <c r="AE43" i="27"/>
  <c r="O43" i="27"/>
  <c r="S43" i="27"/>
  <c r="AZ43" i="27"/>
  <c r="AR43" i="27"/>
  <c r="AB43" i="27"/>
  <c r="AF43" i="27"/>
  <c r="Z43" i="27"/>
  <c r="P43" i="27"/>
  <c r="T43" i="27"/>
  <c r="AC43" i="27"/>
  <c r="Q43" i="27"/>
  <c r="BA46" i="27"/>
  <c r="AN46" i="27"/>
  <c r="AR46" i="27"/>
  <c r="BK46" i="27"/>
  <c r="AY46" i="27"/>
  <c r="BD46" i="27"/>
  <c r="AX46" i="27"/>
  <c r="AQ46" i="27"/>
  <c r="BL46" i="27"/>
  <c r="AZ46" i="27"/>
  <c r="AM46" i="27"/>
  <c r="BB46" i="27"/>
  <c r="AO46" i="27"/>
  <c r="AB46" i="27"/>
  <c r="AF46" i="27"/>
  <c r="T46" i="27"/>
  <c r="AP46" i="27"/>
  <c r="AC46" i="27"/>
  <c r="Q46" i="27"/>
  <c r="BC46" i="27"/>
  <c r="AL46" i="27"/>
  <c r="AD46" i="27"/>
  <c r="R46" i="27"/>
  <c r="BJ46" i="27"/>
  <c r="AA46" i="27"/>
  <c r="AE46" i="27"/>
  <c r="Z46" i="27"/>
  <c r="O46" i="27"/>
  <c r="S46" i="27"/>
  <c r="P46" i="27"/>
  <c r="N46" i="27"/>
  <c r="BA50" i="27"/>
  <c r="AN50" i="27"/>
  <c r="AR50" i="27"/>
  <c r="BJ50" i="27"/>
  <c r="BB50" i="27"/>
  <c r="AO50" i="27"/>
  <c r="BC50" i="27"/>
  <c r="AX50" i="27"/>
  <c r="AP50" i="27"/>
  <c r="BK50" i="27"/>
  <c r="AY50" i="27"/>
  <c r="BD50" i="27"/>
  <c r="AQ50" i="27"/>
  <c r="AB50" i="27"/>
  <c r="AF50" i="27"/>
  <c r="T50" i="27"/>
  <c r="BL50" i="27"/>
  <c r="AM50" i="27"/>
  <c r="AL50" i="27"/>
  <c r="AC50" i="27"/>
  <c r="Q50" i="27"/>
  <c r="R50" i="27"/>
  <c r="AZ50" i="27"/>
  <c r="AD50" i="27"/>
  <c r="AA50" i="27"/>
  <c r="AE50" i="27"/>
  <c r="Z50" i="27"/>
  <c r="O50" i="27"/>
  <c r="S50" i="27"/>
  <c r="P50" i="27"/>
  <c r="BL33" i="27"/>
  <c r="BJ33" i="27"/>
  <c r="AY33" i="27"/>
  <c r="BC33" i="27"/>
  <c r="AP33" i="27"/>
  <c r="BK33" i="27"/>
  <c r="BA33" i="27"/>
  <c r="AX33" i="27"/>
  <c r="AN33" i="27"/>
  <c r="AC33" i="27"/>
  <c r="BB33" i="27"/>
  <c r="AO33" i="27"/>
  <c r="AD33" i="27"/>
  <c r="BD33" i="27"/>
  <c r="AQ33" i="27"/>
  <c r="AL33" i="27"/>
  <c r="AA33" i="27"/>
  <c r="AM33" i="27"/>
  <c r="AF33" i="27"/>
  <c r="R33" i="27"/>
  <c r="AZ33" i="27"/>
  <c r="AR33" i="27"/>
  <c r="O33" i="27"/>
  <c r="S33" i="27"/>
  <c r="AB33" i="27"/>
  <c r="Z33" i="27"/>
  <c r="P33" i="27"/>
  <c r="T33" i="27"/>
  <c r="AE33" i="27"/>
  <c r="Q33" i="27"/>
  <c r="BL37" i="27"/>
  <c r="BJ37" i="27"/>
  <c r="AY37" i="27"/>
  <c r="BC37" i="27"/>
  <c r="AP37" i="27"/>
  <c r="BD37" i="27"/>
  <c r="AQ37" i="27"/>
  <c r="AC37" i="27"/>
  <c r="AZ37" i="27"/>
  <c r="AX37" i="27"/>
  <c r="AM37" i="27"/>
  <c r="AR37" i="27"/>
  <c r="AD37" i="27"/>
  <c r="BK37" i="27"/>
  <c r="BA37" i="27"/>
  <c r="AN37" i="27"/>
  <c r="AL37" i="27"/>
  <c r="AF37" i="27"/>
  <c r="R37" i="27"/>
  <c r="AO37" i="27"/>
  <c r="AA37" i="27"/>
  <c r="O37" i="27"/>
  <c r="S37" i="27"/>
  <c r="BB37" i="27"/>
  <c r="AB37" i="27"/>
  <c r="Z37" i="27"/>
  <c r="P37" i="27"/>
  <c r="T37" i="27"/>
  <c r="AE37" i="27"/>
  <c r="Q37" i="27"/>
  <c r="BL31" i="27"/>
  <c r="AY31" i="27"/>
  <c r="BC31" i="27"/>
  <c r="AP31" i="27"/>
  <c r="BB31" i="27"/>
  <c r="AO31" i="27"/>
  <c r="AL31" i="27"/>
  <c r="AC31" i="27"/>
  <c r="BK31" i="27"/>
  <c r="BJ31" i="27"/>
  <c r="BD31" i="27"/>
  <c r="AQ31" i="27"/>
  <c r="AD31" i="27"/>
  <c r="AZ31" i="27"/>
  <c r="AX31" i="27"/>
  <c r="AM31" i="27"/>
  <c r="AR31" i="27"/>
  <c r="AA31" i="27"/>
  <c r="AE31" i="27"/>
  <c r="AF31" i="27"/>
  <c r="Z31" i="27"/>
  <c r="R31" i="27"/>
  <c r="O31" i="27"/>
  <c r="S31" i="27"/>
  <c r="AN31" i="27"/>
  <c r="P31" i="27"/>
  <c r="T31" i="27"/>
  <c r="BA31" i="27"/>
  <c r="AB31" i="27"/>
  <c r="Q31" i="27"/>
  <c r="BA34" i="27"/>
  <c r="AX34" i="27"/>
  <c r="AN34" i="27"/>
  <c r="AR34" i="27"/>
  <c r="AZ34" i="27"/>
  <c r="AM34" i="27"/>
  <c r="AA34" i="27"/>
  <c r="AE34" i="27"/>
  <c r="BK34" i="27"/>
  <c r="BB34" i="27"/>
  <c r="AO34" i="27"/>
  <c r="AL34" i="27"/>
  <c r="AB34" i="27"/>
  <c r="AF34" i="27"/>
  <c r="BL34" i="27"/>
  <c r="BC34" i="27"/>
  <c r="AP34" i="27"/>
  <c r="P34" i="27"/>
  <c r="T34" i="27"/>
  <c r="BJ34" i="27"/>
  <c r="AC34" i="27"/>
  <c r="Z34" i="27"/>
  <c r="Q34" i="27"/>
  <c r="AY34" i="27"/>
  <c r="AQ34" i="27"/>
  <c r="AD34" i="27"/>
  <c r="R34" i="27"/>
  <c r="BD34" i="27"/>
  <c r="O34" i="27"/>
  <c r="S34" i="27"/>
  <c r="BL39" i="27"/>
  <c r="AY39" i="27"/>
  <c r="BC39" i="27"/>
  <c r="AP39" i="27"/>
  <c r="BB39" i="27"/>
  <c r="AX39" i="27"/>
  <c r="AO39" i="27"/>
  <c r="AL39" i="27"/>
  <c r="AC39" i="27"/>
  <c r="BK39" i="27"/>
  <c r="BD39" i="27"/>
  <c r="AQ39" i="27"/>
  <c r="AD39" i="27"/>
  <c r="AZ39" i="27"/>
  <c r="AM39" i="27"/>
  <c r="AR39" i="27"/>
  <c r="BJ39" i="27"/>
  <c r="BA39" i="27"/>
  <c r="AB39" i="27"/>
  <c r="Z39" i="27"/>
  <c r="R39" i="27"/>
  <c r="AE39" i="27"/>
  <c r="O39" i="27"/>
  <c r="S39" i="27"/>
  <c r="AF39" i="27"/>
  <c r="P39" i="27"/>
  <c r="T39" i="27"/>
  <c r="AN39" i="27"/>
  <c r="AA39" i="27"/>
  <c r="Q39" i="27"/>
  <c r="BA38" i="27"/>
  <c r="AX38" i="27"/>
  <c r="AN38" i="27"/>
  <c r="AR38" i="27"/>
  <c r="BL38" i="27"/>
  <c r="BJ38" i="27"/>
  <c r="BC38" i="27"/>
  <c r="AP38" i="27"/>
  <c r="AA38" i="27"/>
  <c r="AE38" i="27"/>
  <c r="AY38" i="27"/>
  <c r="BD38" i="27"/>
  <c r="AQ38" i="27"/>
  <c r="AL38" i="27"/>
  <c r="AB38" i="27"/>
  <c r="AF38" i="27"/>
  <c r="AZ38" i="27"/>
  <c r="AM38" i="27"/>
  <c r="P38" i="27"/>
  <c r="T38" i="27"/>
  <c r="BK38" i="27"/>
  <c r="AC38" i="27"/>
  <c r="Z38" i="27"/>
  <c r="Q38" i="27"/>
  <c r="AO38" i="27"/>
  <c r="AD38" i="27"/>
  <c r="R38" i="27"/>
  <c r="BB38" i="27"/>
  <c r="O38" i="27"/>
  <c r="S38" i="27"/>
  <c r="BA44" i="27"/>
  <c r="AX44" i="27"/>
  <c r="AN44" i="27"/>
  <c r="AR44" i="27"/>
  <c r="AZ44" i="27"/>
  <c r="AM44" i="27"/>
  <c r="BK44" i="27"/>
  <c r="BJ44" i="27"/>
  <c r="BB44" i="27"/>
  <c r="AO44" i="27"/>
  <c r="AL44" i="27"/>
  <c r="BL44" i="27"/>
  <c r="BC44" i="27"/>
  <c r="AP44" i="27"/>
  <c r="BD44" i="27"/>
  <c r="AB44" i="27"/>
  <c r="AF44" i="27"/>
  <c r="P44" i="27"/>
  <c r="AC44" i="27"/>
  <c r="Z44" i="27"/>
  <c r="Q44" i="27"/>
  <c r="N44" i="27"/>
  <c r="AD44" i="27"/>
  <c r="R44" i="27"/>
  <c r="AY44" i="27"/>
  <c r="AQ44" i="27"/>
  <c r="AA44" i="27"/>
  <c r="AE44" i="27"/>
  <c r="O44" i="27"/>
  <c r="S44" i="27"/>
  <c r="T44" i="27"/>
  <c r="BA41" i="27"/>
  <c r="AN41" i="27"/>
  <c r="AR41" i="27"/>
  <c r="BB41" i="27"/>
  <c r="AO41" i="27"/>
  <c r="AA41" i="27"/>
  <c r="AE41" i="27"/>
  <c r="BC41" i="27"/>
  <c r="AP41" i="27"/>
  <c r="AB41" i="27"/>
  <c r="AF41" i="27"/>
  <c r="BK41" i="27"/>
  <c r="BJ41" i="27"/>
  <c r="AY41" i="27"/>
  <c r="BD41" i="27"/>
  <c r="AQ41" i="27"/>
  <c r="AM41" i="27"/>
  <c r="AD41" i="27"/>
  <c r="P41" i="27"/>
  <c r="T41" i="27"/>
  <c r="AZ41" i="27"/>
  <c r="Q41" i="27"/>
  <c r="BL41" i="27"/>
  <c r="R41" i="27"/>
  <c r="AX41" i="27"/>
  <c r="AL41" i="27"/>
  <c r="AC41" i="27"/>
  <c r="Z41" i="27"/>
  <c r="O41" i="27"/>
  <c r="S41" i="27"/>
  <c r="BL45" i="27"/>
  <c r="AY45" i="27"/>
  <c r="BC45" i="27"/>
  <c r="AP45" i="27"/>
  <c r="BJ45" i="27"/>
  <c r="AZ45" i="27"/>
  <c r="AM45" i="27"/>
  <c r="AR45" i="27"/>
  <c r="AL45" i="27"/>
  <c r="BA45" i="27"/>
  <c r="AX45" i="27"/>
  <c r="AN45" i="27"/>
  <c r="BB45" i="27"/>
  <c r="AO45" i="27"/>
  <c r="AQ45" i="27"/>
  <c r="AD45" i="27"/>
  <c r="Z45" i="27"/>
  <c r="R45" i="27"/>
  <c r="BD45" i="27"/>
  <c r="AA45" i="27"/>
  <c r="AE45" i="27"/>
  <c r="O45" i="27"/>
  <c r="S45" i="27"/>
  <c r="N45" i="27"/>
  <c r="P45" i="27"/>
  <c r="T45" i="27"/>
  <c r="AB45" i="27"/>
  <c r="AF45" i="27"/>
  <c r="BK45" i="27"/>
  <c r="AC45" i="27"/>
  <c r="Q45" i="27"/>
  <c r="BA40" i="27"/>
  <c r="AO40" i="27"/>
  <c r="AC40" i="27"/>
  <c r="BJ40" i="27"/>
  <c r="BB40" i="27"/>
  <c r="AX40" i="27"/>
  <c r="AP40" i="27"/>
  <c r="AL40" i="27"/>
  <c r="AD40" i="27"/>
  <c r="Z40" i="27"/>
  <c r="O40" i="27"/>
  <c r="S40" i="27"/>
  <c r="BK40" i="27"/>
  <c r="AY40" i="27"/>
  <c r="BC40" i="27"/>
  <c r="AM40" i="27"/>
  <c r="AQ40" i="27"/>
  <c r="AA40" i="27"/>
  <c r="AE40" i="27"/>
  <c r="P40" i="27"/>
  <c r="T40" i="27"/>
  <c r="BL40" i="27"/>
  <c r="AZ40" i="27"/>
  <c r="BD40" i="27"/>
  <c r="AN40" i="27"/>
  <c r="AR40" i="27"/>
  <c r="AB40" i="27"/>
  <c r="AF40" i="27"/>
  <c r="Q40" i="27"/>
  <c r="R40" i="27"/>
  <c r="BK42" i="27"/>
  <c r="BJ42" i="27"/>
  <c r="AY42" i="27"/>
  <c r="BC42" i="27"/>
  <c r="AX42" i="27"/>
  <c r="AM42" i="27"/>
  <c r="AQ42" i="27"/>
  <c r="AL42" i="27"/>
  <c r="AB42" i="27"/>
  <c r="AF42" i="27"/>
  <c r="R42" i="27"/>
  <c r="AD42" i="27"/>
  <c r="P42" i="27"/>
  <c r="AP42" i="27"/>
  <c r="AA42" i="27"/>
  <c r="Z42" i="27"/>
  <c r="BL42" i="27"/>
  <c r="AZ42" i="27"/>
  <c r="BD42" i="27"/>
  <c r="AN42" i="27"/>
  <c r="AR42" i="27"/>
  <c r="AC42" i="27"/>
  <c r="O42" i="27"/>
  <c r="S42" i="27"/>
  <c r="BA42" i="27"/>
  <c r="AO42" i="27"/>
  <c r="T42" i="27"/>
  <c r="BB42" i="27"/>
  <c r="AE42" i="27"/>
  <c r="Q42" i="27"/>
  <c r="BN35" i="27"/>
  <c r="BU5" i="27"/>
  <c r="AU79" i="27"/>
  <c r="W79" i="27"/>
  <c r="J86" i="27"/>
  <c r="AU66" i="27"/>
  <c r="AU71" i="27"/>
  <c r="BA94" i="27"/>
  <c r="AR94" i="27"/>
  <c r="AN94" i="27"/>
  <c r="AD94" i="27"/>
  <c r="AA94" i="27"/>
  <c r="R94" i="27"/>
  <c r="AU68" i="27"/>
  <c r="AU67" i="27"/>
  <c r="AU80" i="27"/>
  <c r="AI80" i="27"/>
  <c r="W80" i="27"/>
  <c r="AU84" i="27"/>
  <c r="AI84" i="27"/>
  <c r="W84" i="27"/>
  <c r="AU77" i="27"/>
  <c r="AI77" i="27"/>
  <c r="W77" i="27"/>
  <c r="AU81" i="27"/>
  <c r="AI81" i="27"/>
  <c r="W81" i="27"/>
  <c r="AU85" i="27"/>
  <c r="AI85" i="27"/>
  <c r="W85" i="27"/>
  <c r="AU64" i="27"/>
  <c r="AU83" i="27"/>
  <c r="AI83" i="27"/>
  <c r="W83" i="27"/>
  <c r="AU72" i="27"/>
  <c r="AU70" i="27"/>
  <c r="AU82" i="27"/>
  <c r="AI82" i="27"/>
  <c r="W82" i="27"/>
  <c r="BA93" i="27"/>
  <c r="AZ93" i="27"/>
  <c r="AY93" i="27"/>
  <c r="AX93" i="27"/>
  <c r="AR93" i="27"/>
  <c r="AQ93" i="27"/>
  <c r="AP93" i="27"/>
  <c r="AO93" i="27"/>
  <c r="AN93" i="27"/>
  <c r="AM93" i="27"/>
  <c r="AL93" i="27"/>
  <c r="AF93" i="27"/>
  <c r="AE93" i="27"/>
  <c r="AD93" i="27"/>
  <c r="AC93" i="27"/>
  <c r="AB93" i="27"/>
  <c r="AA93" i="27"/>
  <c r="T93" i="27"/>
  <c r="Z93" i="27"/>
  <c r="S93" i="27"/>
  <c r="R93" i="27"/>
  <c r="Q93" i="27"/>
  <c r="P93" i="27"/>
  <c r="O93" i="27"/>
  <c r="AU65" i="27"/>
  <c r="AU69" i="27"/>
  <c r="N37" i="27"/>
  <c r="AU78" i="27"/>
  <c r="AI78" i="27"/>
  <c r="W78" i="27"/>
  <c r="AI71" i="27"/>
  <c r="W71" i="27"/>
  <c r="AI67" i="27"/>
  <c r="W67" i="27"/>
  <c r="AI69" i="27"/>
  <c r="W69" i="27"/>
  <c r="AI72" i="27"/>
  <c r="W72" i="27"/>
  <c r="AI70" i="27"/>
  <c r="W70" i="27"/>
  <c r="AI65" i="27"/>
  <c r="W65" i="27"/>
  <c r="AI68" i="27"/>
  <c r="W68" i="27"/>
  <c r="AI66" i="27"/>
  <c r="W66" i="27"/>
  <c r="AI64" i="27"/>
  <c r="W64" i="27"/>
  <c r="AI79" i="27"/>
  <c r="BX3" i="27"/>
  <c r="K3" i="27"/>
  <c r="BU1" i="27"/>
  <c r="N38" i="27"/>
  <c r="BO19" i="27"/>
  <c r="BP19" i="27" s="1"/>
  <c r="K64" i="27"/>
  <c r="K65" i="27"/>
  <c r="K70" i="27"/>
  <c r="K66" i="27"/>
  <c r="K69" i="27"/>
  <c r="K71" i="27"/>
  <c r="K72" i="27"/>
  <c r="K68" i="27"/>
  <c r="K18" i="27"/>
  <c r="AU18" i="27" s="1"/>
  <c r="K17" i="27"/>
  <c r="AU17" i="27" s="1"/>
  <c r="K15" i="27"/>
  <c r="BG15" i="27" s="1"/>
  <c r="N33" i="27"/>
  <c r="N43" i="27"/>
  <c r="K16" i="27"/>
  <c r="AU16" i="27" s="1"/>
  <c r="N31" i="27"/>
  <c r="K23" i="27"/>
  <c r="AI23" i="27" s="1"/>
  <c r="N32" i="27"/>
  <c r="I86" i="27"/>
  <c r="I88" i="27" s="1"/>
  <c r="BU25" i="27"/>
  <c r="BV25" i="27" s="1"/>
  <c r="BF21" i="27"/>
  <c r="H86" i="27"/>
  <c r="H88" i="27" s="1"/>
  <c r="J3" i="27"/>
  <c r="I60" i="27"/>
  <c r="AH16" i="27"/>
  <c r="W19" i="27"/>
  <c r="E90" i="27"/>
  <c r="K83" i="27"/>
  <c r="K79" i="27"/>
  <c r="K82" i="27"/>
  <c r="K85" i="27"/>
  <c r="K81" i="27"/>
  <c r="K84" i="27"/>
  <c r="K78" i="27"/>
  <c r="K77" i="27"/>
  <c r="K80" i="27"/>
  <c r="H60" i="27"/>
  <c r="H28" i="27"/>
  <c r="N35" i="27"/>
  <c r="BU6" i="27"/>
  <c r="BG19" i="27"/>
  <c r="F60" i="27"/>
  <c r="F28" i="27"/>
  <c r="J28" i="27"/>
  <c r="V15" i="27"/>
  <c r="AN28" i="27"/>
  <c r="AT19" i="27"/>
  <c r="V19" i="27"/>
  <c r="AI19" i="27"/>
  <c r="C28" i="27"/>
  <c r="K24" i="27"/>
  <c r="AI24" i="27" s="1"/>
  <c r="K20" i="27"/>
  <c r="AI20" i="27" s="1"/>
  <c r="K25" i="27"/>
  <c r="AI25" i="27" s="1"/>
  <c r="K21" i="27"/>
  <c r="AI21" i="27" s="1"/>
  <c r="K26" i="27"/>
  <c r="W26" i="27" s="1"/>
  <c r="K22" i="27"/>
  <c r="BG22" i="27" s="1"/>
  <c r="N34" i="27"/>
  <c r="AU19" i="27"/>
  <c r="G60" i="27"/>
  <c r="G28" i="27"/>
  <c r="AH15" i="27"/>
  <c r="BN28" i="27"/>
  <c r="BU15" i="27"/>
  <c r="AC28" i="27"/>
  <c r="O28" i="27"/>
  <c r="T28" i="27"/>
  <c r="AH17" i="27"/>
  <c r="AD28" i="27"/>
  <c r="AO28" i="27"/>
  <c r="R28" i="27"/>
  <c r="AT22" i="27"/>
  <c r="AT26" i="27"/>
  <c r="I28" i="27"/>
  <c r="BS28" i="27"/>
  <c r="N41" i="27"/>
  <c r="BU20" i="27"/>
  <c r="BV20" i="27" s="1"/>
  <c r="BU21" i="27"/>
  <c r="BV21" i="27" s="1"/>
  <c r="V21" i="27"/>
  <c r="AH21" i="27"/>
  <c r="V25" i="27"/>
  <c r="AH25" i="27"/>
  <c r="N36" i="27"/>
  <c r="N51" i="27"/>
  <c r="AT24" i="27"/>
  <c r="BU24" i="27"/>
  <c r="BV24" i="27" s="1"/>
  <c r="N42" i="27"/>
  <c r="J73" i="27"/>
  <c r="N39" i="27"/>
  <c r="N40" i="27"/>
  <c r="N50" i="27"/>
  <c r="F86" i="27"/>
  <c r="F88" i="27" s="1"/>
  <c r="E88" i="27"/>
  <c r="G86" i="27"/>
  <c r="G88" i="27" s="1"/>
  <c r="F94" i="27"/>
  <c r="E102" i="27"/>
  <c r="J102" i="27" s="1"/>
  <c r="K102" i="27" s="1"/>
  <c r="I94" i="27"/>
  <c r="G94" i="27"/>
  <c r="H94" i="27"/>
  <c r="N93" i="27"/>
  <c r="BA4" i="26"/>
  <c r="BB4" i="26"/>
  <c r="Q94" i="27" l="1"/>
  <c r="T94" i="27"/>
  <c r="AE94" i="27"/>
  <c r="AM94" i="27"/>
  <c r="AQ94" i="27"/>
  <c r="AZ94" i="27"/>
  <c r="P94" i="27"/>
  <c r="Z94" i="27"/>
  <c r="AB94" i="27"/>
  <c r="AL94" i="27"/>
  <c r="AP94" i="27"/>
  <c r="AY94" i="27"/>
  <c r="O94" i="27"/>
  <c r="S94" i="27"/>
  <c r="AC94" i="27"/>
  <c r="AF94" i="27"/>
  <c r="AO94" i="27"/>
  <c r="BN31" i="27"/>
  <c r="BN33" i="27"/>
  <c r="BN32" i="27"/>
  <c r="W15" i="27"/>
  <c r="X15" i="27" s="1"/>
  <c r="BN38" i="27"/>
  <c r="BN46" i="27"/>
  <c r="BN93" i="27"/>
  <c r="BL94" i="27"/>
  <c r="BK94" i="27"/>
  <c r="BD94" i="27"/>
  <c r="BJ94" i="27"/>
  <c r="BC94" i="27"/>
  <c r="BB94" i="27"/>
  <c r="AI15" i="27"/>
  <c r="AJ15" i="27" s="1"/>
  <c r="V45" i="27"/>
  <c r="AT45" i="27"/>
  <c r="BU46" i="27"/>
  <c r="BV46" i="27" s="1"/>
  <c r="AH46" i="27"/>
  <c r="BF46" i="27"/>
  <c r="W86" i="27"/>
  <c r="BN43" i="27"/>
  <c r="AH45" i="27"/>
  <c r="BN45" i="27"/>
  <c r="V46" i="27"/>
  <c r="BU45" i="27"/>
  <c r="BV45" i="27" s="1"/>
  <c r="BF45" i="27"/>
  <c r="AT46" i="27"/>
  <c r="AT33" i="27"/>
  <c r="BN39" i="27"/>
  <c r="AH32" i="27"/>
  <c r="BN37" i="27"/>
  <c r="BL60" i="27"/>
  <c r="BN41" i="27"/>
  <c r="BN50" i="27"/>
  <c r="BN42" i="27"/>
  <c r="BF42" i="27"/>
  <c r="BF34" i="27"/>
  <c r="BL56" i="27"/>
  <c r="BL8" i="27" s="1"/>
  <c r="BL9" i="27" s="1"/>
  <c r="BL62" i="27" s="1"/>
  <c r="BL98" i="27" s="1"/>
  <c r="BN40" i="27"/>
  <c r="BN51" i="27"/>
  <c r="CA1" i="27"/>
  <c r="V44" i="27"/>
  <c r="BN44" i="27"/>
  <c r="AN56" i="27"/>
  <c r="AN8" i="27" s="1"/>
  <c r="AN9" i="27" s="1"/>
  <c r="AN62" i="27" s="1"/>
  <c r="BN36" i="27"/>
  <c r="BD56" i="27"/>
  <c r="BD8" i="27" s="1"/>
  <c r="BD9" i="27" s="1"/>
  <c r="BD62" i="27" s="1"/>
  <c r="BD98" i="27" s="1"/>
  <c r="BD60" i="27"/>
  <c r="AH34" i="27"/>
  <c r="BB56" i="27"/>
  <c r="BB8" i="27" s="1"/>
  <c r="BB9" i="27" s="1"/>
  <c r="BB60" i="27"/>
  <c r="BK60" i="27"/>
  <c r="BK56" i="27"/>
  <c r="BK8" i="27" s="1"/>
  <c r="BK9" i="27" s="1"/>
  <c r="BK62" i="27" s="1"/>
  <c r="BK98" i="27" s="1"/>
  <c r="BC56" i="27"/>
  <c r="BC8" i="27" s="1"/>
  <c r="BC9" i="27" s="1"/>
  <c r="BC62" i="27" s="1"/>
  <c r="BC60" i="27"/>
  <c r="BJ56" i="27"/>
  <c r="BJ8" i="27" s="1"/>
  <c r="BJ60" i="27"/>
  <c r="BN34" i="27"/>
  <c r="AI86" i="27"/>
  <c r="BG86" i="27"/>
  <c r="AU86" i="27"/>
  <c r="W73" i="27"/>
  <c r="AT41" i="27"/>
  <c r="AN60" i="27"/>
  <c r="AU15" i="27"/>
  <c r="BU37" i="27"/>
  <c r="BV37" i="27" s="1"/>
  <c r="AO56" i="27"/>
  <c r="AO8" i="27" s="1"/>
  <c r="AO9" i="27" s="1"/>
  <c r="AO62" i="27" s="1"/>
  <c r="V38" i="27"/>
  <c r="AH41" i="27"/>
  <c r="BA60" i="27"/>
  <c r="BA56" i="27"/>
  <c r="BA8" i="27" s="1"/>
  <c r="BA9" i="27" s="1"/>
  <c r="AX56" i="27"/>
  <c r="AX8" i="27" s="1"/>
  <c r="AX9" i="27" s="1"/>
  <c r="AX62" i="27" s="1"/>
  <c r="AX60" i="27"/>
  <c r="AO60" i="27"/>
  <c r="V37" i="27"/>
  <c r="AP60" i="27"/>
  <c r="AP56" i="27"/>
  <c r="AP8" i="27" s="1"/>
  <c r="AP9" i="27" s="1"/>
  <c r="AY56" i="27"/>
  <c r="AY8" i="27" s="1"/>
  <c r="AY9" i="27" s="1"/>
  <c r="AY60" i="27"/>
  <c r="AQ60" i="27"/>
  <c r="AQ56" i="27"/>
  <c r="AQ8" i="27" s="1"/>
  <c r="AQ9" i="27" s="1"/>
  <c r="AQ62" i="27" s="1"/>
  <c r="AZ56" i="27"/>
  <c r="AZ8" i="27" s="1"/>
  <c r="AZ9" i="27" s="1"/>
  <c r="AZ60" i="27"/>
  <c r="AR60" i="27"/>
  <c r="AR56" i="27"/>
  <c r="AR8" i="27" s="1"/>
  <c r="AR9" i="27" s="1"/>
  <c r="AT38" i="27"/>
  <c r="BU32" i="27"/>
  <c r="BV32" i="27" s="1"/>
  <c r="Q56" i="27"/>
  <c r="Q8" i="27" s="1"/>
  <c r="Q9" i="27" s="1"/>
  <c r="Q62" i="27" s="1"/>
  <c r="Q66" i="27" s="1"/>
  <c r="AH42" i="27"/>
  <c r="T56" i="27"/>
  <c r="T8" i="27" s="1"/>
  <c r="T9" i="27" s="1"/>
  <c r="T62" i="27" s="1"/>
  <c r="Z56" i="27"/>
  <c r="R56" i="27"/>
  <c r="R8" i="27" s="1"/>
  <c r="R9" i="27" s="1"/>
  <c r="R62" i="27" s="1"/>
  <c r="R66" i="27" s="1"/>
  <c r="AA56" i="27"/>
  <c r="AA8" i="27" s="1"/>
  <c r="AA9" i="27" s="1"/>
  <c r="AA62" i="27" s="1"/>
  <c r="AA65" i="27" s="1"/>
  <c r="S56" i="27"/>
  <c r="S8" i="27" s="1"/>
  <c r="S9" i="27" s="1"/>
  <c r="S62" i="27" s="1"/>
  <c r="AB56" i="27"/>
  <c r="AB8" i="27" s="1"/>
  <c r="AB9" i="27" s="1"/>
  <c r="AB62" i="27" s="1"/>
  <c r="V33" i="27"/>
  <c r="AF56" i="27"/>
  <c r="AF8" i="27" s="1"/>
  <c r="AF9" i="27" s="1"/>
  <c r="AF62" i="27" s="1"/>
  <c r="AF65" i="27" s="1"/>
  <c r="AF60" i="27"/>
  <c r="Z8" i="27"/>
  <c r="Z9" i="27" s="1"/>
  <c r="Z62" i="27" s="1"/>
  <c r="Z67" i="27" s="1"/>
  <c r="AC56" i="27"/>
  <c r="AC8" i="27" s="1"/>
  <c r="AC9" i="27" s="1"/>
  <c r="AC62" i="27" s="1"/>
  <c r="AC69" i="27" s="1"/>
  <c r="AC60" i="27"/>
  <c r="AL56" i="27"/>
  <c r="AL8" i="27" s="1"/>
  <c r="AL9" i="27" s="1"/>
  <c r="AL62" i="27" s="1"/>
  <c r="AL71" i="27" s="1"/>
  <c r="AL60" i="27"/>
  <c r="O56" i="27"/>
  <c r="O8" i="27" s="1"/>
  <c r="O9" i="27" s="1"/>
  <c r="O62" i="27" s="1"/>
  <c r="O67" i="27" s="1"/>
  <c r="AE56" i="27"/>
  <c r="AE8" i="27" s="1"/>
  <c r="AE9" i="27" s="1"/>
  <c r="AE62" i="27" s="1"/>
  <c r="AE67" i="27" s="1"/>
  <c r="AE60" i="27"/>
  <c r="AM60" i="27"/>
  <c r="AM56" i="27"/>
  <c r="AM8" i="27" s="1"/>
  <c r="AM9" i="27" s="1"/>
  <c r="AM62" i="27" s="1"/>
  <c r="P56" i="27"/>
  <c r="P8" i="27" s="1"/>
  <c r="P9" i="27" s="1"/>
  <c r="P62" i="27" s="1"/>
  <c r="P66" i="27" s="1"/>
  <c r="AD56" i="27"/>
  <c r="AD8" i="27" s="1"/>
  <c r="AD9" i="27" s="1"/>
  <c r="AD62" i="27" s="1"/>
  <c r="AD71" i="27" s="1"/>
  <c r="AD60" i="27"/>
  <c r="AU73" i="27"/>
  <c r="CC43" i="27"/>
  <c r="CC48" i="27" s="1"/>
  <c r="BS54" i="27"/>
  <c r="E60" i="27"/>
  <c r="E56" i="27"/>
  <c r="BG25" i="27"/>
  <c r="AU22" i="27"/>
  <c r="AV22" i="27" s="1"/>
  <c r="W18" i="27"/>
  <c r="V32" i="27"/>
  <c r="BG18" i="27"/>
  <c r="AV19" i="27"/>
  <c r="K73" i="27"/>
  <c r="W23" i="27"/>
  <c r="W25" i="27"/>
  <c r="X25" i="27" s="1"/>
  <c r="W22" i="27"/>
  <c r="AU20" i="27"/>
  <c r="AI18" i="27"/>
  <c r="AU25" i="27"/>
  <c r="AI22" i="27"/>
  <c r="AU23" i="27"/>
  <c r="BG23" i="27"/>
  <c r="BF43" i="27"/>
  <c r="BU38" i="27"/>
  <c r="BV38" i="27" s="1"/>
  <c r="AT32" i="27"/>
  <c r="BF23" i="27"/>
  <c r="AY28" i="27"/>
  <c r="BF25" i="27"/>
  <c r="W16" i="27"/>
  <c r="BG20" i="27"/>
  <c r="W17" i="27"/>
  <c r="W20" i="27"/>
  <c r="BG16" i="27"/>
  <c r="AT37" i="27"/>
  <c r="BG17" i="27"/>
  <c r="BU19" i="27"/>
  <c r="BV19" i="27" s="1"/>
  <c r="AI17" i="27"/>
  <c r="AJ17" i="27" s="1"/>
  <c r="AT44" i="27"/>
  <c r="BU44" i="27"/>
  <c r="BV44" i="27" s="1"/>
  <c r="BF24" i="27"/>
  <c r="BU33" i="27"/>
  <c r="BV33" i="27" s="1"/>
  <c r="AI16" i="27"/>
  <c r="AJ16" i="27" s="1"/>
  <c r="J90" i="27"/>
  <c r="BF33" i="27"/>
  <c r="BF32" i="27"/>
  <c r="BF26" i="27"/>
  <c r="BF19" i="27"/>
  <c r="BH19" i="27" s="1"/>
  <c r="BF35" i="27"/>
  <c r="W21" i="27"/>
  <c r="X21" i="27" s="1"/>
  <c r="AJ21" i="27"/>
  <c r="AI73" i="27"/>
  <c r="BG73" i="27"/>
  <c r="BU41" i="27"/>
  <c r="BV41" i="27" s="1"/>
  <c r="V41" i="27"/>
  <c r="BU22" i="27"/>
  <c r="BV22" i="27" s="1"/>
  <c r="V22" i="27"/>
  <c r="G90" i="27"/>
  <c r="G62" i="27"/>
  <c r="AT20" i="27"/>
  <c r="BU51" i="27"/>
  <c r="BV51" i="27" s="1"/>
  <c r="V51" i="27"/>
  <c r="AT36" i="27"/>
  <c r="AP28" i="27"/>
  <c r="F62" i="27"/>
  <c r="F90" i="27"/>
  <c r="AJ25" i="27"/>
  <c r="N28" i="27"/>
  <c r="BF93" i="27"/>
  <c r="AH54" i="27"/>
  <c r="BU50" i="27"/>
  <c r="BV50" i="27" s="1"/>
  <c r="V50" i="27"/>
  <c r="BU43" i="27"/>
  <c r="BV43" i="27" s="1"/>
  <c r="V43" i="27"/>
  <c r="AT39" i="27"/>
  <c r="BU39" i="27"/>
  <c r="BV39" i="27" s="1"/>
  <c r="V39" i="27"/>
  <c r="AT43" i="27"/>
  <c r="AH51" i="27"/>
  <c r="AH38" i="27"/>
  <c r="BF41" i="27"/>
  <c r="AM28" i="27"/>
  <c r="AU26" i="27"/>
  <c r="AV26" i="27" s="1"/>
  <c r="AT35" i="27"/>
  <c r="Z28" i="27"/>
  <c r="AU21" i="27"/>
  <c r="H102" i="27"/>
  <c r="F102" i="27"/>
  <c r="I102" i="27"/>
  <c r="G102" i="27"/>
  <c r="AH50" i="27"/>
  <c r="N94" i="27"/>
  <c r="AT51" i="27"/>
  <c r="BU36" i="27"/>
  <c r="BV36" i="27" s="1"/>
  <c r="V36" i="27"/>
  <c r="BV15" i="27"/>
  <c r="AR28" i="27"/>
  <c r="AH93" i="27"/>
  <c r="BF54" i="27"/>
  <c r="AT50" i="27"/>
  <c r="AH33" i="27"/>
  <c r="V23" i="27"/>
  <c r="BU23" i="27"/>
  <c r="BV23" i="27" s="1"/>
  <c r="Q28" i="27"/>
  <c r="AH35" i="27"/>
  <c r="AH26" i="27"/>
  <c r="V20" i="27"/>
  <c r="BU18" i="27"/>
  <c r="BV18" i="27" s="1"/>
  <c r="V18" i="27"/>
  <c r="BF16" i="27"/>
  <c r="AL28" i="27"/>
  <c r="AT15" i="27"/>
  <c r="P28" i="27"/>
  <c r="BU35" i="27"/>
  <c r="BV35" i="27" s="1"/>
  <c r="V35" i="27"/>
  <c r="BF18" i="27"/>
  <c r="X19" i="27"/>
  <c r="BF50" i="27"/>
  <c r="BF38" i="27"/>
  <c r="AT25" i="27"/>
  <c r="AH24" i="27"/>
  <c r="AJ24" i="27" s="1"/>
  <c r="V31" i="27"/>
  <c r="BF22" i="27"/>
  <c r="BH22" i="27" s="1"/>
  <c r="BB28" i="27"/>
  <c r="K28" i="27"/>
  <c r="AU24" i="27"/>
  <c r="AV24" i="27" s="1"/>
  <c r="BU26" i="27"/>
  <c r="BV26" i="27" s="1"/>
  <c r="V26" i="27"/>
  <c r="X26" i="27" s="1"/>
  <c r="AF28" i="27"/>
  <c r="J14" i="27"/>
  <c r="BG26" i="27"/>
  <c r="H90" i="27"/>
  <c r="H62" i="27"/>
  <c r="AI26" i="27"/>
  <c r="K86" i="27"/>
  <c r="E101" i="27"/>
  <c r="J101" i="27" s="1"/>
  <c r="K101" i="27" s="1"/>
  <c r="V24" i="27"/>
  <c r="BF17" i="27"/>
  <c r="AT16" i="27"/>
  <c r="AV16" i="27" s="1"/>
  <c r="AZ28" i="27"/>
  <c r="AT93" i="27"/>
  <c r="BR93" i="27"/>
  <c r="BS93" i="27" s="1"/>
  <c r="V93" i="27"/>
  <c r="AT54" i="27"/>
  <c r="AH43" i="27"/>
  <c r="AT40" i="27"/>
  <c r="BU40" i="27"/>
  <c r="BV40" i="27" s="1"/>
  <c r="V40" i="27"/>
  <c r="J88" i="27"/>
  <c r="BF44" i="27"/>
  <c r="AH44" i="27"/>
  <c r="BF40" i="27"/>
  <c r="AH40" i="27"/>
  <c r="BF39" i="27"/>
  <c r="AH39" i="27"/>
  <c r="BF36" i="27"/>
  <c r="AH36" i="27"/>
  <c r="AT23" i="27"/>
  <c r="BF20" i="27"/>
  <c r="BU42" i="27"/>
  <c r="BV42" i="27" s="1"/>
  <c r="V42" i="27"/>
  <c r="AT42" i="27"/>
  <c r="BF37" i="27"/>
  <c r="AH37" i="27"/>
  <c r="BF31" i="27"/>
  <c r="AH31" i="27"/>
  <c r="AH23" i="27"/>
  <c r="AJ23" i="27" s="1"/>
  <c r="AT21" i="27"/>
  <c r="AH20" i="27"/>
  <c r="BU31" i="27"/>
  <c r="AH22" i="27"/>
  <c r="BG21" i="27"/>
  <c r="BH21" i="27" s="1"/>
  <c r="BU16" i="27"/>
  <c r="BV16" i="27" s="1"/>
  <c r="V16" i="27"/>
  <c r="BF15" i="27"/>
  <c r="AB60" i="27"/>
  <c r="AT17" i="27"/>
  <c r="AV17" i="27" s="1"/>
  <c r="BU34" i="27"/>
  <c r="BV34" i="27" s="1"/>
  <c r="V34" i="27"/>
  <c r="AT34" i="27"/>
  <c r="AH19" i="27"/>
  <c r="AJ19" i="27" s="1"/>
  <c r="AH18" i="27"/>
  <c r="BU17" i="27"/>
  <c r="BV17" i="27" s="1"/>
  <c r="V17" i="27"/>
  <c r="BA28" i="27"/>
  <c r="AA60" i="27"/>
  <c r="AA28" i="27"/>
  <c r="BG24" i="27"/>
  <c r="AT18" i="27"/>
  <c r="AV18" i="27" s="1"/>
  <c r="I90" i="27"/>
  <c r="I62" i="27"/>
  <c r="W24" i="27"/>
  <c r="AT31" i="27"/>
  <c r="CA2" i="27" l="1"/>
  <c r="CB1" i="27"/>
  <c r="CC1" i="27" s="1"/>
  <c r="K53" i="27"/>
  <c r="K52" i="27"/>
  <c r="BN94" i="27"/>
  <c r="BB62" i="27"/>
  <c r="BB67" i="27" s="1"/>
  <c r="K54" i="27"/>
  <c r="K48" i="27"/>
  <c r="K49" i="27"/>
  <c r="K36" i="27"/>
  <c r="K51" i="27"/>
  <c r="BG51" i="27" s="1"/>
  <c r="BH51" i="27" s="1"/>
  <c r="BL67" i="27"/>
  <c r="BL64" i="27"/>
  <c r="BL65" i="27"/>
  <c r="BL66" i="27"/>
  <c r="BL68" i="27"/>
  <c r="BL71" i="27"/>
  <c r="BL69" i="27"/>
  <c r="BL70" i="27"/>
  <c r="BL72" i="27"/>
  <c r="BD66" i="27"/>
  <c r="Q60" i="27"/>
  <c r="BD65" i="27"/>
  <c r="BN56" i="27"/>
  <c r="BD64" i="27"/>
  <c r="BD68" i="27"/>
  <c r="BD67" i="27"/>
  <c r="BJ9" i="27"/>
  <c r="BN8" i="27"/>
  <c r="BD72" i="27"/>
  <c r="BD70" i="27"/>
  <c r="BD69" i="27"/>
  <c r="BD71" i="27"/>
  <c r="BN60" i="27"/>
  <c r="BK65" i="27"/>
  <c r="BK70" i="27"/>
  <c r="BK72" i="27"/>
  <c r="BK66" i="27"/>
  <c r="BK68" i="27"/>
  <c r="BK64" i="27"/>
  <c r="BK69" i="27"/>
  <c r="BK71" i="27"/>
  <c r="BK67" i="27"/>
  <c r="BC64" i="27"/>
  <c r="BC72" i="27"/>
  <c r="BC65" i="27"/>
  <c r="BC69" i="27"/>
  <c r="BC67" i="27"/>
  <c r="BC71" i="27"/>
  <c r="BC66" i="27"/>
  <c r="BC70" i="27"/>
  <c r="BC68" i="27"/>
  <c r="BB69" i="27"/>
  <c r="AP62" i="27"/>
  <c r="AP68" i="27" s="1"/>
  <c r="BH17" i="27"/>
  <c r="X22" i="27"/>
  <c r="Z60" i="27"/>
  <c r="AH60" i="27" s="1"/>
  <c r="AZ62" i="27"/>
  <c r="AZ71" i="27" s="1"/>
  <c r="AY62" i="27"/>
  <c r="AY72" i="27" s="1"/>
  <c r="BA62" i="27"/>
  <c r="BA98" i="27" s="1"/>
  <c r="AQ65" i="27"/>
  <c r="AQ66" i="27"/>
  <c r="AN65" i="27"/>
  <c r="AN66" i="27"/>
  <c r="AX65" i="27"/>
  <c r="AX68" i="27"/>
  <c r="AX67" i="27"/>
  <c r="AX64" i="27"/>
  <c r="AX66" i="27"/>
  <c r="AX71" i="27"/>
  <c r="AX69" i="27"/>
  <c r="AX72" i="27"/>
  <c r="AX70" i="27"/>
  <c r="AO66" i="27"/>
  <c r="AO65" i="27"/>
  <c r="BH23" i="27"/>
  <c r="BH25" i="27"/>
  <c r="AL65" i="27"/>
  <c r="AC67" i="27"/>
  <c r="AL69" i="27"/>
  <c r="AA66" i="27"/>
  <c r="P60" i="27"/>
  <c r="Z66" i="27"/>
  <c r="AE72" i="27"/>
  <c r="AE64" i="27"/>
  <c r="R60" i="27"/>
  <c r="Z71" i="27"/>
  <c r="AL66" i="27"/>
  <c r="Z72" i="27"/>
  <c r="AD68" i="27"/>
  <c r="AL64" i="27"/>
  <c r="Z64" i="27"/>
  <c r="Z65" i="27"/>
  <c r="AE65" i="27"/>
  <c r="AL68" i="27"/>
  <c r="AL67" i="27"/>
  <c r="AC64" i="27"/>
  <c r="Z70" i="27"/>
  <c r="Z69" i="27"/>
  <c r="AD72" i="27"/>
  <c r="AE66" i="27"/>
  <c r="AL72" i="27"/>
  <c r="AB66" i="27"/>
  <c r="AB65" i="27"/>
  <c r="T65" i="27"/>
  <c r="T66" i="27"/>
  <c r="AF66" i="27"/>
  <c r="AC65" i="27"/>
  <c r="AC70" i="27"/>
  <c r="AD65" i="27"/>
  <c r="AD64" i="27"/>
  <c r="AD67" i="27"/>
  <c r="AC66" i="27"/>
  <c r="AC68" i="27"/>
  <c r="AC72" i="27"/>
  <c r="AE70" i="27"/>
  <c r="AE69" i="27"/>
  <c r="AD66" i="27"/>
  <c r="AD70" i="27"/>
  <c r="AM66" i="27"/>
  <c r="AM67" i="27"/>
  <c r="AM70" i="27"/>
  <c r="AM71" i="27"/>
  <c r="AM65" i="27"/>
  <c r="AM72" i="27"/>
  <c r="AM69" i="27"/>
  <c r="AM64" i="27"/>
  <c r="AM68" i="27"/>
  <c r="O60" i="27"/>
  <c r="Z68" i="27"/>
  <c r="AC71" i="27"/>
  <c r="AD69" i="27"/>
  <c r="AE68" i="27"/>
  <c r="AE71" i="27"/>
  <c r="AL70" i="27"/>
  <c r="BV6" i="27"/>
  <c r="C56" i="27"/>
  <c r="BV4" i="27"/>
  <c r="BZ11" i="27" s="1"/>
  <c r="O72" i="27"/>
  <c r="O69" i="27"/>
  <c r="O66" i="27"/>
  <c r="O65" i="27"/>
  <c r="O64" i="27"/>
  <c r="Q68" i="27"/>
  <c r="Q69" i="27"/>
  <c r="Q72" i="27"/>
  <c r="Q70" i="27"/>
  <c r="Q67" i="27"/>
  <c r="Q71" i="27"/>
  <c r="Q64" i="27"/>
  <c r="Q65" i="27"/>
  <c r="O70" i="27"/>
  <c r="O71" i="27"/>
  <c r="O68" i="27"/>
  <c r="R72" i="27"/>
  <c r="R67" i="27"/>
  <c r="R65" i="27"/>
  <c r="R71" i="27"/>
  <c r="R64" i="27"/>
  <c r="R69" i="27"/>
  <c r="R68" i="27"/>
  <c r="R70" i="27"/>
  <c r="CC49" i="27"/>
  <c r="CC46" i="27"/>
  <c r="CC47" i="27"/>
  <c r="K40" i="27"/>
  <c r="K31" i="27"/>
  <c r="K44" i="27"/>
  <c r="K47" i="27"/>
  <c r="K43" i="27"/>
  <c r="K38" i="27"/>
  <c r="K34" i="27"/>
  <c r="K42" i="27"/>
  <c r="K46" i="27"/>
  <c r="K33" i="27"/>
  <c r="K39" i="27"/>
  <c r="K50" i="27"/>
  <c r="K45" i="27"/>
  <c r="K37" i="27"/>
  <c r="BS56" i="27"/>
  <c r="K41" i="27"/>
  <c r="K32" i="27"/>
  <c r="N54" i="27"/>
  <c r="N56" i="27" s="1"/>
  <c r="J56" i="27"/>
  <c r="E62" i="27"/>
  <c r="BS60" i="27"/>
  <c r="K35" i="27"/>
  <c r="X17" i="27"/>
  <c r="X18" i="27"/>
  <c r="BH26" i="27"/>
  <c r="BH24" i="27"/>
  <c r="X16" i="27"/>
  <c r="AV25" i="27"/>
  <c r="BH18" i="27"/>
  <c r="BH16" i="27"/>
  <c r="X20" i="27"/>
  <c r="AJ18" i="27"/>
  <c r="X23" i="27"/>
  <c r="AJ22" i="27"/>
  <c r="AV23" i="27"/>
  <c r="AV20" i="27"/>
  <c r="X24" i="27"/>
  <c r="BH20" i="27"/>
  <c r="BF94" i="27"/>
  <c r="BF56" i="27"/>
  <c r="AM98" i="27"/>
  <c r="AH28" i="27"/>
  <c r="AB98" i="27"/>
  <c r="AB68" i="27"/>
  <c r="AB67" i="27"/>
  <c r="AB64" i="27"/>
  <c r="AB71" i="27"/>
  <c r="AB69" i="27"/>
  <c r="AB72" i="27"/>
  <c r="AB70" i="27"/>
  <c r="AF98" i="27"/>
  <c r="AF68" i="27"/>
  <c r="AF67" i="27"/>
  <c r="AF71" i="27"/>
  <c r="AF69" i="27"/>
  <c r="AF72" i="27"/>
  <c r="AF70" i="27"/>
  <c r="AF64" i="27"/>
  <c r="Q98" i="27"/>
  <c r="AD98" i="27"/>
  <c r="AN98" i="27"/>
  <c r="AN72" i="27"/>
  <c r="AN71" i="27"/>
  <c r="AN70" i="27"/>
  <c r="AN69" i="27"/>
  <c r="AN64" i="27"/>
  <c r="AN68" i="27"/>
  <c r="AN67" i="27"/>
  <c r="BF60" i="27"/>
  <c r="AH56" i="27"/>
  <c r="AJ26" i="27"/>
  <c r="AT28" i="27"/>
  <c r="AQ98" i="27"/>
  <c r="AQ67" i="27"/>
  <c r="AQ72" i="27"/>
  <c r="AQ71" i="27"/>
  <c r="AQ70" i="27"/>
  <c r="AQ69" i="27"/>
  <c r="AQ64" i="27"/>
  <c r="AQ68" i="27"/>
  <c r="AR62" i="27"/>
  <c r="AT94" i="27"/>
  <c r="AH94" i="27"/>
  <c r="AC98" i="27"/>
  <c r="AV15" i="27"/>
  <c r="AJ20" i="27"/>
  <c r="V28" i="27"/>
  <c r="AT56" i="27"/>
  <c r="BV31" i="27"/>
  <c r="S60" i="27"/>
  <c r="AH8" i="27"/>
  <c r="BG28" i="27"/>
  <c r="BU28" i="27"/>
  <c r="BV28" i="27" s="1"/>
  <c r="BR94" i="27"/>
  <c r="BS94" i="27" s="1"/>
  <c r="V94" i="27"/>
  <c r="BC98" i="27"/>
  <c r="AV21" i="27"/>
  <c r="AU28" i="27"/>
  <c r="W28" i="27"/>
  <c r="T98" i="27"/>
  <c r="T72" i="27"/>
  <c r="T71" i="27"/>
  <c r="T70" i="27"/>
  <c r="T69" i="27"/>
  <c r="T64" i="27"/>
  <c r="T68" i="27"/>
  <c r="T67" i="27"/>
  <c r="T60" i="27"/>
  <c r="BF8" i="27"/>
  <c r="AE98" i="27"/>
  <c r="BF28" i="27"/>
  <c r="BH15" i="27"/>
  <c r="E103" i="27"/>
  <c r="G101" i="27"/>
  <c r="I101" i="27"/>
  <c r="H101" i="27"/>
  <c r="F101" i="27"/>
  <c r="AT60" i="27"/>
  <c r="P65" i="27"/>
  <c r="AT8" i="27"/>
  <c r="AI28" i="27"/>
  <c r="AO98" i="27"/>
  <c r="AO72" i="27"/>
  <c r="AO71" i="27"/>
  <c r="AO70" i="27"/>
  <c r="AO69" i="27"/>
  <c r="AO64" i="27"/>
  <c r="AO68" i="27"/>
  <c r="AO67" i="27"/>
  <c r="O98" i="27"/>
  <c r="R98" i="27"/>
  <c r="AZ4" i="26"/>
  <c r="BB66" i="27" l="1"/>
  <c r="BB68" i="27"/>
  <c r="BB64" i="27"/>
  <c r="BB70" i="27"/>
  <c r="BO52" i="27"/>
  <c r="BP52" i="27" s="1"/>
  <c r="BG52" i="27"/>
  <c r="BH52" i="27" s="1"/>
  <c r="AU52" i="27"/>
  <c r="AV52" i="27" s="1"/>
  <c r="AI52" i="27"/>
  <c r="AJ52" i="27" s="1"/>
  <c r="W52" i="27"/>
  <c r="X52" i="27" s="1"/>
  <c r="BO53" i="27"/>
  <c r="BP53" i="27" s="1"/>
  <c r="AU53" i="27"/>
  <c r="AV53" i="27" s="1"/>
  <c r="W53" i="27"/>
  <c r="X53" i="27" s="1"/>
  <c r="BG53" i="27"/>
  <c r="BH53" i="27" s="1"/>
  <c r="AI53" i="27"/>
  <c r="AJ53" i="27" s="1"/>
  <c r="BB65" i="27"/>
  <c r="BB71" i="27"/>
  <c r="BB72" i="27"/>
  <c r="BO45" i="27"/>
  <c r="BP45" i="27" s="1"/>
  <c r="BG45" i="27"/>
  <c r="BH45" i="27" s="1"/>
  <c r="AU45" i="27"/>
  <c r="AV45" i="27" s="1"/>
  <c r="AI45" i="27"/>
  <c r="AJ45" i="27" s="1"/>
  <c r="W45" i="27"/>
  <c r="X45" i="27" s="1"/>
  <c r="BO47" i="27"/>
  <c r="BP47" i="27" s="1"/>
  <c r="BG47" i="27"/>
  <c r="BH47" i="27" s="1"/>
  <c r="AU47" i="27"/>
  <c r="AV47" i="27" s="1"/>
  <c r="W47" i="27"/>
  <c r="X47" i="27" s="1"/>
  <c r="AI47" i="27"/>
  <c r="AJ47" i="27" s="1"/>
  <c r="W46" i="27"/>
  <c r="X46" i="27" s="1"/>
  <c r="BO46" i="27"/>
  <c r="BP46" i="27" s="1"/>
  <c r="BG46" i="27"/>
  <c r="BH46" i="27" s="1"/>
  <c r="AU46" i="27"/>
  <c r="AV46" i="27" s="1"/>
  <c r="AI46" i="27"/>
  <c r="AJ46" i="27" s="1"/>
  <c r="BG49" i="27"/>
  <c r="BH49" i="27" s="1"/>
  <c r="AU49" i="27"/>
  <c r="AV49" i="27" s="1"/>
  <c r="BO49" i="27"/>
  <c r="BP49" i="27" s="1"/>
  <c r="AI49" i="27"/>
  <c r="AJ49" i="27" s="1"/>
  <c r="W49" i="27"/>
  <c r="X49" i="27" s="1"/>
  <c r="BG48" i="27"/>
  <c r="BH48" i="27" s="1"/>
  <c r="W48" i="27"/>
  <c r="X48" i="27" s="1"/>
  <c r="BO48" i="27"/>
  <c r="BP48" i="27" s="1"/>
  <c r="AI48" i="27"/>
  <c r="AJ48" i="27" s="1"/>
  <c r="AU48" i="27"/>
  <c r="AV48" i="27" s="1"/>
  <c r="BL73" i="27"/>
  <c r="BL75" i="27" s="1"/>
  <c r="BL83" i="27" s="1"/>
  <c r="AY69" i="27"/>
  <c r="AY65" i="27"/>
  <c r="AY67" i="27"/>
  <c r="AP70" i="27"/>
  <c r="BK73" i="27"/>
  <c r="BK75" i="27" s="1"/>
  <c r="BK81" i="27" s="1"/>
  <c r="BD73" i="27"/>
  <c r="BD75" i="27" s="1"/>
  <c r="BD80" i="27" s="1"/>
  <c r="BO3" i="27"/>
  <c r="BO4" i="27" s="1"/>
  <c r="AI3" i="27"/>
  <c r="AI4" i="27" s="1"/>
  <c r="AU3" i="27"/>
  <c r="AU4" i="27" s="1"/>
  <c r="BG3" i="27"/>
  <c r="BG4" i="27" s="1"/>
  <c r="W3" i="27"/>
  <c r="W4" i="27" s="1"/>
  <c r="BJ62" i="27"/>
  <c r="BN9" i="27"/>
  <c r="AY70" i="27"/>
  <c r="AY98" i="27"/>
  <c r="AP98" i="27"/>
  <c r="AP66" i="27"/>
  <c r="AP69" i="27"/>
  <c r="AP72" i="27"/>
  <c r="AP65" i="27"/>
  <c r="AP71" i="27"/>
  <c r="AP67" i="27"/>
  <c r="AP64" i="27"/>
  <c r="BC73" i="27"/>
  <c r="BC75" i="27" s="1"/>
  <c r="AZ67" i="27"/>
  <c r="AZ64" i="27"/>
  <c r="AZ98" i="27"/>
  <c r="AZ72" i="27"/>
  <c r="AY68" i="27"/>
  <c r="AY71" i="27"/>
  <c r="AY66" i="27"/>
  <c r="AY64" i="27"/>
  <c r="AZ66" i="27"/>
  <c r="AZ68" i="27"/>
  <c r="AZ70" i="27"/>
  <c r="AZ65" i="27"/>
  <c r="AZ69" i="27"/>
  <c r="BA68" i="27"/>
  <c r="BA66" i="27"/>
  <c r="BA71" i="27"/>
  <c r="BA72" i="27"/>
  <c r="BA70" i="27"/>
  <c r="BA65" i="27"/>
  <c r="BA67" i="27"/>
  <c r="BA64" i="27"/>
  <c r="BA69" i="27"/>
  <c r="AX73" i="27"/>
  <c r="AX75" i="27" s="1"/>
  <c r="AR66" i="27"/>
  <c r="AR65" i="27"/>
  <c r="AH66" i="27"/>
  <c r="AJ66" i="27" s="1"/>
  <c r="AD73" i="27"/>
  <c r="AD75" i="27" s="1"/>
  <c r="AD81" i="27" s="1"/>
  <c r="AC73" i="27"/>
  <c r="AC75" i="27" s="1"/>
  <c r="AC79" i="27" s="1"/>
  <c r="AL73" i="27"/>
  <c r="AL75" i="27" s="1"/>
  <c r="AL83" i="27" s="1"/>
  <c r="AM73" i="27"/>
  <c r="AM75" i="27" s="1"/>
  <c r="AM77" i="27" s="1"/>
  <c r="Z73" i="27"/>
  <c r="Z75" i="27" s="1"/>
  <c r="Z80" i="27" s="1"/>
  <c r="AH65" i="27"/>
  <c r="AJ65" i="27" s="1"/>
  <c r="AE73" i="27"/>
  <c r="AE75" i="27" s="1"/>
  <c r="AE78" i="27" s="1"/>
  <c r="W40" i="27"/>
  <c r="X40" i="27" s="1"/>
  <c r="AI40" i="27"/>
  <c r="AJ40" i="27" s="1"/>
  <c r="W51" i="27"/>
  <c r="X51" i="27" s="1"/>
  <c r="AI51" i="27"/>
  <c r="AJ51" i="27" s="1"/>
  <c r="W43" i="27"/>
  <c r="X43" i="27" s="1"/>
  <c r="AI43" i="27"/>
  <c r="AJ43" i="27" s="1"/>
  <c r="W44" i="27"/>
  <c r="X44" i="27" s="1"/>
  <c r="AI44" i="27"/>
  <c r="AJ44" i="27" s="1"/>
  <c r="AM82" i="27"/>
  <c r="W39" i="27"/>
  <c r="X39" i="27" s="1"/>
  <c r="AI39" i="27"/>
  <c r="AJ39" i="27" s="1"/>
  <c r="W34" i="27"/>
  <c r="X34" i="27" s="1"/>
  <c r="AI34" i="27"/>
  <c r="AJ34" i="27" s="1"/>
  <c r="W37" i="27"/>
  <c r="X37" i="27" s="1"/>
  <c r="AI37" i="27"/>
  <c r="AJ37" i="27" s="1"/>
  <c r="W54" i="27"/>
  <c r="AI54" i="27"/>
  <c r="AJ54" i="27" s="1"/>
  <c r="W38" i="27"/>
  <c r="X38" i="27" s="1"/>
  <c r="AI38" i="27"/>
  <c r="AJ38" i="27" s="1"/>
  <c r="W33" i="27"/>
  <c r="X33" i="27" s="1"/>
  <c r="AI33" i="27"/>
  <c r="AJ33" i="27" s="1"/>
  <c r="W35" i="27"/>
  <c r="X35" i="27" s="1"/>
  <c r="AI35" i="27"/>
  <c r="AJ35" i="27" s="1"/>
  <c r="W31" i="27"/>
  <c r="AI31" i="27"/>
  <c r="W32" i="27"/>
  <c r="X32" i="27" s="1"/>
  <c r="AI32" i="27"/>
  <c r="AJ32" i="27" s="1"/>
  <c r="W50" i="27"/>
  <c r="X50" i="27" s="1"/>
  <c r="AI50" i="27"/>
  <c r="AJ50" i="27" s="1"/>
  <c r="W41" i="27"/>
  <c r="X41" i="27" s="1"/>
  <c r="AI41" i="27"/>
  <c r="AJ41" i="27" s="1"/>
  <c r="W36" i="27"/>
  <c r="X36" i="27" s="1"/>
  <c r="AI36" i="27"/>
  <c r="AJ36" i="27" s="1"/>
  <c r="W42" i="27"/>
  <c r="X42" i="27" s="1"/>
  <c r="AI42" i="27"/>
  <c r="AJ42" i="27" s="1"/>
  <c r="S66" i="27"/>
  <c r="S65" i="27"/>
  <c r="J30" i="27"/>
  <c r="K30" i="27" s="1"/>
  <c r="O73" i="27"/>
  <c r="O75" i="27" s="1"/>
  <c r="O78" i="27" s="1"/>
  <c r="R73" i="27"/>
  <c r="R75" i="27" s="1"/>
  <c r="R84" i="27" s="1"/>
  <c r="Q73" i="27"/>
  <c r="Q75" i="27" s="1"/>
  <c r="X28" i="27"/>
  <c r="BO73" i="27"/>
  <c r="BO86" i="27" s="1"/>
  <c r="BU54" i="27"/>
  <c r="V54" i="27"/>
  <c r="AU39" i="27"/>
  <c r="AV39" i="27" s="1"/>
  <c r="BG39" i="27"/>
  <c r="BH39" i="27" s="1"/>
  <c r="BZ3" i="27"/>
  <c r="BV3" i="27" s="1"/>
  <c r="E99" i="27"/>
  <c r="BG35" i="27"/>
  <c r="BH35" i="27" s="1"/>
  <c r="AU32" i="27"/>
  <c r="AV32" i="27" s="1"/>
  <c r="BG32" i="27"/>
  <c r="BH32" i="27" s="1"/>
  <c r="BG50" i="27"/>
  <c r="BH50" i="27" s="1"/>
  <c r="AU50" i="27"/>
  <c r="AV50" i="27" s="1"/>
  <c r="BG41" i="27"/>
  <c r="BH41" i="27" s="1"/>
  <c r="AU41" i="27"/>
  <c r="AV41" i="27" s="1"/>
  <c r="BG36" i="27"/>
  <c r="BH36" i="27" s="1"/>
  <c r="AU36" i="27"/>
  <c r="AV36" i="27" s="1"/>
  <c r="BO31" i="27"/>
  <c r="AU31" i="27"/>
  <c r="BG31" i="27"/>
  <c r="K56" i="27"/>
  <c r="AU35" i="27"/>
  <c r="AV35" i="27" s="1"/>
  <c r="AU34" i="27"/>
  <c r="AV34" i="27" s="1"/>
  <c r="BG34" i="27"/>
  <c r="BH34" i="27" s="1"/>
  <c r="BG54" i="27"/>
  <c r="BH54" i="27" s="1"/>
  <c r="AU54" i="27"/>
  <c r="AV54" i="27" s="1"/>
  <c r="AU38" i="27"/>
  <c r="AV38" i="27" s="1"/>
  <c r="BG38" i="27"/>
  <c r="BH38" i="27" s="1"/>
  <c r="BG33" i="27"/>
  <c r="BH33" i="27" s="1"/>
  <c r="AU33" i="27"/>
  <c r="AV33" i="27" s="1"/>
  <c r="BG37" i="27"/>
  <c r="BH37" i="27" s="1"/>
  <c r="AU37" i="27"/>
  <c r="AV37" i="27" s="1"/>
  <c r="J60" i="27"/>
  <c r="J62" i="27" s="1"/>
  <c r="BG40" i="27"/>
  <c r="BH40" i="27" s="1"/>
  <c r="AU40" i="27"/>
  <c r="AV40" i="27" s="1"/>
  <c r="AU51" i="27"/>
  <c r="AV51" i="27" s="1"/>
  <c r="AU43" i="27"/>
  <c r="AV43" i="27" s="1"/>
  <c r="BG43" i="27"/>
  <c r="BH43" i="27" s="1"/>
  <c r="AU44" i="27"/>
  <c r="AV44" i="27" s="1"/>
  <c r="BG44" i="27"/>
  <c r="BH44" i="27" s="1"/>
  <c r="BG42" i="27"/>
  <c r="BH42" i="27" s="1"/>
  <c r="AU42" i="27"/>
  <c r="AV42" i="27" s="1"/>
  <c r="BO40" i="27"/>
  <c r="BP40" i="27" s="1"/>
  <c r="AO73" i="27"/>
  <c r="AO75" i="27" s="1"/>
  <c r="AO83" i="27" s="1"/>
  <c r="AT9" i="27"/>
  <c r="BF9" i="27"/>
  <c r="P98" i="27"/>
  <c r="P72" i="27"/>
  <c r="P71" i="27"/>
  <c r="P70" i="27"/>
  <c r="P69" i="27"/>
  <c r="P64" i="27"/>
  <c r="P68" i="27"/>
  <c r="P67" i="27"/>
  <c r="AJ28" i="27"/>
  <c r="AQ73" i="27"/>
  <c r="AQ75" i="27" s="1"/>
  <c r="BB98" i="27"/>
  <c r="BO25" i="27"/>
  <c r="BP25" i="27" s="1"/>
  <c r="BO21" i="27"/>
  <c r="BP21" i="27" s="1"/>
  <c r="BO26" i="27"/>
  <c r="BP26" i="27" s="1"/>
  <c r="BO22" i="27"/>
  <c r="BP22" i="27" s="1"/>
  <c r="BO23" i="27"/>
  <c r="BP23" i="27" s="1"/>
  <c r="BO18" i="27"/>
  <c r="BP18" i="27" s="1"/>
  <c r="BO24" i="27"/>
  <c r="BP24" i="27" s="1"/>
  <c r="BO16" i="27"/>
  <c r="BP16" i="27" s="1"/>
  <c r="BO17" i="27"/>
  <c r="BP17" i="27" s="1"/>
  <c r="BO15" i="27"/>
  <c r="BO20" i="27"/>
  <c r="BP20" i="27" s="1"/>
  <c r="BH28" i="27"/>
  <c r="T73" i="27"/>
  <c r="T75" i="27" s="1"/>
  <c r="AA98" i="27"/>
  <c r="AA72" i="27"/>
  <c r="AA71" i="27"/>
  <c r="AA70" i="27"/>
  <c r="AA69" i="27"/>
  <c r="AA64" i="27"/>
  <c r="AA68" i="27"/>
  <c r="AA67" i="27"/>
  <c r="AH9" i="27"/>
  <c r="BO50" i="27"/>
  <c r="BP50" i="27" s="1"/>
  <c r="BO51" i="27"/>
  <c r="BP51" i="27" s="1"/>
  <c r="BO42" i="27"/>
  <c r="BP42" i="27" s="1"/>
  <c r="BO43" i="27"/>
  <c r="BP43" i="27" s="1"/>
  <c r="BO38" i="27"/>
  <c r="BP38" i="27" s="1"/>
  <c r="BO35" i="27"/>
  <c r="BP35" i="27" s="1"/>
  <c r="BO34" i="27"/>
  <c r="BP34" i="27" s="1"/>
  <c r="BO37" i="27"/>
  <c r="BP37" i="27" s="1"/>
  <c r="AN73" i="27"/>
  <c r="AN75" i="27" s="1"/>
  <c r="AB73" i="27"/>
  <c r="AB75" i="27" s="1"/>
  <c r="S98" i="27"/>
  <c r="S67" i="27"/>
  <c r="S72" i="27"/>
  <c r="S71" i="27"/>
  <c r="S70" i="27"/>
  <c r="S69" i="27"/>
  <c r="S64" i="27"/>
  <c r="S68" i="27"/>
  <c r="AV28" i="27"/>
  <c r="K103" i="27"/>
  <c r="J103" i="27"/>
  <c r="AR98" i="27"/>
  <c r="AR72" i="27"/>
  <c r="AR71" i="27"/>
  <c r="AR70" i="27"/>
  <c r="AR69" i="27"/>
  <c r="AR64" i="27"/>
  <c r="AR68" i="27"/>
  <c r="AR67" i="27"/>
  <c r="AF73" i="27"/>
  <c r="AF75" i="27" s="1"/>
  <c r="AY4" i="26"/>
  <c r="BB73" i="27" l="1"/>
  <c r="BB75" i="27" s="1"/>
  <c r="BB84" i="27" s="1"/>
  <c r="BL77" i="27"/>
  <c r="BL82" i="27"/>
  <c r="BL81" i="27"/>
  <c r="BL85" i="27"/>
  <c r="BL79" i="27"/>
  <c r="BL84" i="27"/>
  <c r="BL80" i="27"/>
  <c r="BL78" i="27"/>
  <c r="BD83" i="27"/>
  <c r="BK77" i="27"/>
  <c r="BK79" i="27"/>
  <c r="BD85" i="27"/>
  <c r="BD82" i="27"/>
  <c r="BD84" i="27"/>
  <c r="BK83" i="27"/>
  <c r="AT66" i="27"/>
  <c r="AV66" i="27" s="1"/>
  <c r="BD81" i="27"/>
  <c r="BK80" i="27"/>
  <c r="BK78" i="27"/>
  <c r="BD77" i="27"/>
  <c r="BD78" i="27"/>
  <c r="BD79" i="27"/>
  <c r="BK84" i="27"/>
  <c r="BK85" i="27"/>
  <c r="BK82" i="27"/>
  <c r="AP73" i="27"/>
  <c r="AP75" i="27" s="1"/>
  <c r="AP84" i="27" s="1"/>
  <c r="BJ71" i="27"/>
  <c r="BN71" i="27" s="1"/>
  <c r="BP71" i="27" s="1"/>
  <c r="BJ64" i="27"/>
  <c r="BN64" i="27" s="1"/>
  <c r="BJ70" i="27"/>
  <c r="BN70" i="27" s="1"/>
  <c r="BP70" i="27" s="1"/>
  <c r="BJ68" i="27"/>
  <c r="BN68" i="27" s="1"/>
  <c r="BP68" i="27" s="1"/>
  <c r="BJ69" i="27"/>
  <c r="BN69" i="27" s="1"/>
  <c r="BP69" i="27" s="1"/>
  <c r="BJ67" i="27"/>
  <c r="BN67" i="27" s="1"/>
  <c r="BP67" i="27" s="1"/>
  <c r="BJ65" i="27"/>
  <c r="BN65" i="27" s="1"/>
  <c r="BP65" i="27" s="1"/>
  <c r="BJ72" i="27"/>
  <c r="BN72" i="27" s="1"/>
  <c r="BP72" i="27" s="1"/>
  <c r="BJ66" i="27"/>
  <c r="BN66" i="27" s="1"/>
  <c r="BP66" i="27" s="1"/>
  <c r="BJ98" i="27"/>
  <c r="BN98" i="27" s="1"/>
  <c r="BN62" i="27"/>
  <c r="AT65" i="27"/>
  <c r="AV65" i="27" s="1"/>
  <c r="AC81" i="27"/>
  <c r="BC79" i="27"/>
  <c r="BC83" i="27"/>
  <c r="BC81" i="27"/>
  <c r="BC78" i="27"/>
  <c r="BC80" i="27"/>
  <c r="BC84" i="27"/>
  <c r="BC77" i="27"/>
  <c r="BC85" i="27"/>
  <c r="BC82" i="27"/>
  <c r="BB79" i="27"/>
  <c r="AY73" i="27"/>
  <c r="AY75" i="27" s="1"/>
  <c r="AY79" i="27" s="1"/>
  <c r="AZ73" i="27"/>
  <c r="AZ75" i="27" s="1"/>
  <c r="AZ84" i="27" s="1"/>
  <c r="BF65" i="27"/>
  <c r="BH65" i="27" s="1"/>
  <c r="BF66" i="27"/>
  <c r="BH66" i="27" s="1"/>
  <c r="BA73" i="27"/>
  <c r="BA75" i="27" s="1"/>
  <c r="AX77" i="27"/>
  <c r="AX83" i="27"/>
  <c r="AX79" i="27"/>
  <c r="AX82" i="27"/>
  <c r="AX80" i="27"/>
  <c r="AX78" i="27"/>
  <c r="AX81" i="27"/>
  <c r="AX84" i="27"/>
  <c r="AX85" i="27"/>
  <c r="X54" i="27"/>
  <c r="Z85" i="27"/>
  <c r="AD85" i="27"/>
  <c r="AD80" i="27"/>
  <c r="Z82" i="27"/>
  <c r="AC85" i="27"/>
  <c r="Z78" i="27"/>
  <c r="AC82" i="27"/>
  <c r="AL82" i="27"/>
  <c r="AC77" i="27"/>
  <c r="AC84" i="27"/>
  <c r="Z77" i="27"/>
  <c r="Z79" i="27"/>
  <c r="AD82" i="27"/>
  <c r="AD79" i="27"/>
  <c r="Z81" i="27"/>
  <c r="Z84" i="27"/>
  <c r="AD78" i="27"/>
  <c r="AD83" i="27"/>
  <c r="AD77" i="27"/>
  <c r="Z83" i="27"/>
  <c r="AD84" i="27"/>
  <c r="AL77" i="27"/>
  <c r="AE79" i="27"/>
  <c r="AC83" i="27"/>
  <c r="AC78" i="27"/>
  <c r="AE82" i="27"/>
  <c r="AC80" i="27"/>
  <c r="AL78" i="27"/>
  <c r="AE84" i="27"/>
  <c r="AE85" i="27"/>
  <c r="AM81" i="27"/>
  <c r="AL80" i="27"/>
  <c r="AE83" i="27"/>
  <c r="AM83" i="27"/>
  <c r="AM79" i="27"/>
  <c r="AM84" i="27"/>
  <c r="AL81" i="27"/>
  <c r="AL84" i="27"/>
  <c r="AE81" i="27"/>
  <c r="AE77" i="27"/>
  <c r="AM80" i="27"/>
  <c r="AM78" i="27"/>
  <c r="AL79" i="27"/>
  <c r="AL85" i="27"/>
  <c r="AE80" i="27"/>
  <c r="AM85" i="27"/>
  <c r="N8" i="27"/>
  <c r="E105" i="27"/>
  <c r="E107" i="27" s="1"/>
  <c r="E110" i="27"/>
  <c r="C110" i="27" s="1"/>
  <c r="O84" i="27"/>
  <c r="O83" i="27"/>
  <c r="O79" i="27"/>
  <c r="O80" i="27"/>
  <c r="O77" i="27"/>
  <c r="O85" i="27"/>
  <c r="O82" i="27"/>
  <c r="AO79" i="27"/>
  <c r="AT67" i="27"/>
  <c r="AV67" i="27" s="1"/>
  <c r="R79" i="27"/>
  <c r="R80" i="27"/>
  <c r="O81" i="27"/>
  <c r="R83" i="27"/>
  <c r="R77" i="27"/>
  <c r="R85" i="27"/>
  <c r="R81" i="27"/>
  <c r="R78" i="27"/>
  <c r="R82" i="27"/>
  <c r="Q82" i="27"/>
  <c r="Q79" i="27"/>
  <c r="Q84" i="27"/>
  <c r="Q83" i="27"/>
  <c r="Q77" i="27"/>
  <c r="Q80" i="27"/>
  <c r="Q78" i="27"/>
  <c r="Q85" i="27"/>
  <c r="Q81" i="27"/>
  <c r="X3" i="27"/>
  <c r="X31" i="27"/>
  <c r="W56" i="27"/>
  <c r="W60" i="27"/>
  <c r="AU60" i="27"/>
  <c r="AU56" i="27"/>
  <c r="AV31" i="27"/>
  <c r="CA3" i="27"/>
  <c r="CB3" i="27" s="1"/>
  <c r="V60" i="27"/>
  <c r="V56" i="27"/>
  <c r="AJ3" i="27"/>
  <c r="BH3" i="27"/>
  <c r="BG56" i="27"/>
  <c r="BG60" i="27"/>
  <c r="BH31" i="27"/>
  <c r="N60" i="27"/>
  <c r="AV3" i="27"/>
  <c r="AJ31" i="27"/>
  <c r="AI60" i="27"/>
  <c r="AI56" i="27"/>
  <c r="J99" i="27"/>
  <c r="K99" i="27" s="1"/>
  <c r="BV54" i="27"/>
  <c r="BU56" i="27"/>
  <c r="BV56" i="27" s="1"/>
  <c r="BU60" i="27"/>
  <c r="BV60" i="27" s="1"/>
  <c r="AO85" i="27"/>
  <c r="AO80" i="27"/>
  <c r="AO84" i="27"/>
  <c r="BO36" i="27"/>
  <c r="BP36" i="27" s="1"/>
  <c r="BO32" i="27"/>
  <c r="BP32" i="27" s="1"/>
  <c r="BO54" i="27"/>
  <c r="BP54" i="27" s="1"/>
  <c r="BO39" i="27"/>
  <c r="BP39" i="27" s="1"/>
  <c r="BP3" i="27"/>
  <c r="BO44" i="27"/>
  <c r="BP44" i="27" s="1"/>
  <c r="BO33" i="27"/>
  <c r="BP33" i="27" s="1"/>
  <c r="BO41" i="27"/>
  <c r="BP41" i="27" s="1"/>
  <c r="AO78" i="27"/>
  <c r="AO82" i="27"/>
  <c r="AO77" i="27"/>
  <c r="AO81" i="27"/>
  <c r="BO28" i="27"/>
  <c r="BP15" i="27"/>
  <c r="S73" i="27"/>
  <c r="S75" i="27" s="1"/>
  <c r="T84" i="27"/>
  <c r="T80" i="27"/>
  <c r="T83" i="27"/>
  <c r="T82" i="27"/>
  <c r="T78" i="27"/>
  <c r="T81" i="27"/>
  <c r="T85" i="27"/>
  <c r="T79" i="27"/>
  <c r="T77" i="27"/>
  <c r="AQ85" i="27"/>
  <c r="AQ81" i="27"/>
  <c r="AQ84" i="27"/>
  <c r="AQ83" i="27"/>
  <c r="AQ79" i="27"/>
  <c r="AQ78" i="27"/>
  <c r="AQ77" i="27"/>
  <c r="AQ80" i="27"/>
  <c r="AQ82" i="27"/>
  <c r="AX98" i="27"/>
  <c r="BF72" i="27"/>
  <c r="BH72" i="27" s="1"/>
  <c r="BF71" i="27"/>
  <c r="BH71" i="27" s="1"/>
  <c r="BF70" i="27"/>
  <c r="BH70" i="27" s="1"/>
  <c r="BF69" i="27"/>
  <c r="BH69" i="27" s="1"/>
  <c r="BF68" i="27"/>
  <c r="BH68" i="27" s="1"/>
  <c r="BF67" i="27"/>
  <c r="BH67" i="27" s="1"/>
  <c r="BF62" i="27"/>
  <c r="AN84" i="27"/>
  <c r="AN80" i="27"/>
  <c r="AN83" i="27"/>
  <c r="AN82" i="27"/>
  <c r="AN78" i="27"/>
  <c r="AN81" i="27"/>
  <c r="AN85" i="27"/>
  <c r="AN79" i="27"/>
  <c r="AN77" i="27"/>
  <c r="AF82" i="27"/>
  <c r="AF78" i="27"/>
  <c r="AF85" i="27"/>
  <c r="AF84" i="27"/>
  <c r="AF80" i="27"/>
  <c r="AF83" i="27"/>
  <c r="AF77" i="27"/>
  <c r="AF79" i="27"/>
  <c r="AF81" i="27"/>
  <c r="AB82" i="27"/>
  <c r="AB78" i="27"/>
  <c r="AB85" i="27"/>
  <c r="AB84" i="27"/>
  <c r="AB80" i="27"/>
  <c r="AB79" i="27"/>
  <c r="AB83" i="27"/>
  <c r="AB81" i="27"/>
  <c r="AB77" i="27"/>
  <c r="Z98" i="27"/>
  <c r="AH72" i="27"/>
  <c r="AJ72" i="27" s="1"/>
  <c r="AH71" i="27"/>
  <c r="AJ71" i="27" s="1"/>
  <c r="AH70" i="27"/>
  <c r="AJ70" i="27" s="1"/>
  <c r="AH69" i="27"/>
  <c r="AJ69" i="27" s="1"/>
  <c r="AH68" i="27"/>
  <c r="AJ68" i="27" s="1"/>
  <c r="AH62" i="27"/>
  <c r="AH67" i="27"/>
  <c r="AJ67" i="27" s="1"/>
  <c r="AA73" i="27"/>
  <c r="AA75" i="27" s="1"/>
  <c r="P73" i="27"/>
  <c r="P75" i="27" s="1"/>
  <c r="BP31" i="27"/>
  <c r="AR73" i="27"/>
  <c r="AR75" i="27" s="1"/>
  <c r="AL98" i="27"/>
  <c r="AT68" i="27"/>
  <c r="AV68" i="27" s="1"/>
  <c r="AT72" i="27"/>
  <c r="AV72" i="27" s="1"/>
  <c r="AT70" i="27"/>
  <c r="AV70" i="27" s="1"/>
  <c r="AT62" i="27"/>
  <c r="AT71" i="27"/>
  <c r="AV71" i="27" s="1"/>
  <c r="AT69" i="27"/>
  <c r="AV69" i="27" s="1"/>
  <c r="AX4" i="26"/>
  <c r="BB83" i="27" l="1"/>
  <c r="BB80" i="27"/>
  <c r="BB81" i="27"/>
  <c r="BB85" i="27"/>
  <c r="BB86" i="27" s="1"/>
  <c r="BB88" i="27" s="1"/>
  <c r="BB91" i="27" s="1"/>
  <c r="BB96" i="27" s="1"/>
  <c r="BB82" i="27"/>
  <c r="BB77" i="27"/>
  <c r="BB78" i="27"/>
  <c r="BL86" i="27"/>
  <c r="BL88" i="27" s="1"/>
  <c r="BL91" i="27" s="1"/>
  <c r="BL96" i="27" s="1"/>
  <c r="CA4" i="27"/>
  <c r="BD86" i="27"/>
  <c r="BD88" i="27" s="1"/>
  <c r="BD91" i="27" s="1"/>
  <c r="BD96" i="27" s="1"/>
  <c r="AP77" i="27"/>
  <c r="AY85" i="27"/>
  <c r="BK86" i="27"/>
  <c r="BK88" i="27" s="1"/>
  <c r="BK91" i="27" s="1"/>
  <c r="AP85" i="27"/>
  <c r="AY78" i="27"/>
  <c r="AP78" i="27"/>
  <c r="AY77" i="27"/>
  <c r="AP83" i="27"/>
  <c r="AP81" i="27"/>
  <c r="AP80" i="27"/>
  <c r="AP82" i="27"/>
  <c r="AZ82" i="27"/>
  <c r="AP79" i="27"/>
  <c r="AY81" i="27"/>
  <c r="AY82" i="27"/>
  <c r="AZ83" i="27"/>
  <c r="BJ73" i="27"/>
  <c r="BJ75" i="27" s="1"/>
  <c r="AZ81" i="27"/>
  <c r="AZ78" i="27"/>
  <c r="AY84" i="27"/>
  <c r="AY80" i="27"/>
  <c r="AY83" i="27"/>
  <c r="BH4" i="27"/>
  <c r="BU8" i="27"/>
  <c r="J8" i="27" s="1"/>
  <c r="BP4" i="27"/>
  <c r="BC86" i="27"/>
  <c r="BC88" i="27" s="1"/>
  <c r="BC91" i="27" s="1"/>
  <c r="BC96" i="27" s="1"/>
  <c r="AZ80" i="27"/>
  <c r="AZ79" i="27"/>
  <c r="AZ85" i="27"/>
  <c r="AZ77" i="27"/>
  <c r="BA78" i="27"/>
  <c r="BA80" i="27"/>
  <c r="BA85" i="27"/>
  <c r="BA84" i="27"/>
  <c r="BA83" i="27"/>
  <c r="BA82" i="27"/>
  <c r="BA79" i="27"/>
  <c r="BA77" i="27"/>
  <c r="BA81" i="27"/>
  <c r="AX86" i="27"/>
  <c r="AX88" i="27" s="1"/>
  <c r="AX91" i="27" s="1"/>
  <c r="AX96" i="27" s="1"/>
  <c r="AD86" i="27"/>
  <c r="AD88" i="27" s="1"/>
  <c r="AD91" i="27" s="1"/>
  <c r="AD96" i="27" s="1"/>
  <c r="AD103" i="27" s="1"/>
  <c r="Z86" i="27"/>
  <c r="Z88" i="27" s="1"/>
  <c r="Z91" i="27" s="1"/>
  <c r="Z96" i="27" s="1"/>
  <c r="AC86" i="27"/>
  <c r="AC88" i="27" s="1"/>
  <c r="AC91" i="27" s="1"/>
  <c r="AC96" i="27" s="1"/>
  <c r="AM86" i="27"/>
  <c r="AM88" i="27" s="1"/>
  <c r="AM91" i="27" s="1"/>
  <c r="AM96" i="27" s="1"/>
  <c r="J105" i="27"/>
  <c r="K105" i="27" s="1"/>
  <c r="AE86" i="27"/>
  <c r="AE88" i="27" s="1"/>
  <c r="AE91" i="27" s="1"/>
  <c r="AE96" i="27" s="1"/>
  <c r="AL86" i="27"/>
  <c r="AL88" i="27" s="1"/>
  <c r="AL91" i="27" s="1"/>
  <c r="AL96" i="27" s="1"/>
  <c r="N9" i="27"/>
  <c r="N62" i="27" s="1"/>
  <c r="O86" i="27"/>
  <c r="O88" i="27" s="1"/>
  <c r="O91" i="27" s="1"/>
  <c r="O96" i="27" s="1"/>
  <c r="AV4" i="27"/>
  <c r="AJ4" i="27"/>
  <c r="X4" i="27"/>
  <c r="R86" i="27"/>
  <c r="R88" i="27" s="1"/>
  <c r="R91" i="27" s="1"/>
  <c r="R96" i="27" s="1"/>
  <c r="Q86" i="27"/>
  <c r="Q88" i="27" s="1"/>
  <c r="Q91" i="27" s="1"/>
  <c r="Q96" i="27" s="1"/>
  <c r="BH56" i="27"/>
  <c r="BH60" i="27"/>
  <c r="AV56" i="27"/>
  <c r="AV60" i="27"/>
  <c r="X56" i="27"/>
  <c r="X60" i="27"/>
  <c r="K94" i="27"/>
  <c r="K62" i="27"/>
  <c r="K90" i="27"/>
  <c r="K88" i="27"/>
  <c r="AJ56" i="27"/>
  <c r="AJ60" i="27"/>
  <c r="V8" i="27"/>
  <c r="AO86" i="27"/>
  <c r="AO88" i="27" s="1"/>
  <c r="AO91" i="27" s="1"/>
  <c r="AO96" i="27" s="1"/>
  <c r="BO56" i="27"/>
  <c r="BO60" i="27"/>
  <c r="BP56" i="27"/>
  <c r="BP60" i="27"/>
  <c r="BP28" i="27"/>
  <c r="AR84" i="27"/>
  <c r="AR80" i="27"/>
  <c r="AR83" i="27"/>
  <c r="AR82" i="27"/>
  <c r="AR78" i="27"/>
  <c r="AR85" i="27"/>
  <c r="AR79" i="27"/>
  <c r="AR81" i="27"/>
  <c r="AR77" i="27"/>
  <c r="P84" i="27"/>
  <c r="P80" i="27"/>
  <c r="P83" i="27"/>
  <c r="P82" i="27"/>
  <c r="P78" i="27"/>
  <c r="P79" i="27"/>
  <c r="P85" i="27"/>
  <c r="P81" i="27"/>
  <c r="P77" i="27"/>
  <c r="AH64" i="27"/>
  <c r="AB86" i="27"/>
  <c r="AB88" i="27" s="1"/>
  <c r="AB91" i="27" s="1"/>
  <c r="AB96" i="27" s="1"/>
  <c r="AN86" i="27"/>
  <c r="AN88" i="27" s="1"/>
  <c r="AN91" i="27" s="1"/>
  <c r="AN96" i="27" s="1"/>
  <c r="BF98" i="27"/>
  <c r="AQ86" i="27"/>
  <c r="AQ88" i="27" s="1"/>
  <c r="AQ91" i="27" s="1"/>
  <c r="AQ96" i="27" s="1"/>
  <c r="T86" i="27"/>
  <c r="T88" i="27" s="1"/>
  <c r="T91" i="27" s="1"/>
  <c r="T96" i="27" s="1"/>
  <c r="S85" i="27"/>
  <c r="S81" i="27"/>
  <c r="S84" i="27"/>
  <c r="S83" i="27"/>
  <c r="S79" i="27"/>
  <c r="S80" i="27"/>
  <c r="S77" i="27"/>
  <c r="S78" i="27"/>
  <c r="S82" i="27"/>
  <c r="AT98" i="27"/>
  <c r="AA83" i="27"/>
  <c r="AA79" i="27"/>
  <c r="AA82" i="27"/>
  <c r="AA85" i="27"/>
  <c r="AA81" i="27"/>
  <c r="AA84" i="27"/>
  <c r="AA80" i="27"/>
  <c r="AA77" i="27"/>
  <c r="AA78" i="27"/>
  <c r="AT64" i="27"/>
  <c r="AH98" i="27"/>
  <c r="AF86" i="27"/>
  <c r="AF88" i="27" s="1"/>
  <c r="AF91" i="27" s="1"/>
  <c r="AF96" i="27" s="1"/>
  <c r="BF64" i="27"/>
  <c r="AR4" i="26"/>
  <c r="BL101" i="27" l="1"/>
  <c r="BK96" i="27"/>
  <c r="BK101" i="27"/>
  <c r="BD101" i="27"/>
  <c r="BL103" i="27"/>
  <c r="BL102" i="27"/>
  <c r="AP86" i="27"/>
  <c r="AP88" i="27" s="1"/>
  <c r="AP91" i="27" s="1"/>
  <c r="AP96" i="27" s="1"/>
  <c r="AP102" i="27" s="1"/>
  <c r="AY86" i="27"/>
  <c r="AY88" i="27" s="1"/>
  <c r="AY91" i="27" s="1"/>
  <c r="AY96" i="27" s="1"/>
  <c r="AY103" i="27" s="1"/>
  <c r="BP64" i="27"/>
  <c r="BN73" i="27"/>
  <c r="BJ81" i="27"/>
  <c r="BN81" i="27" s="1"/>
  <c r="BP81" i="27" s="1"/>
  <c r="BJ79" i="27"/>
  <c r="BN79" i="27" s="1"/>
  <c r="BP79" i="27" s="1"/>
  <c r="BJ80" i="27"/>
  <c r="BN80" i="27" s="1"/>
  <c r="BP80" i="27" s="1"/>
  <c r="BJ78" i="27"/>
  <c r="BN78" i="27" s="1"/>
  <c r="BP78" i="27" s="1"/>
  <c r="BJ82" i="27"/>
  <c r="BN82" i="27" s="1"/>
  <c r="BP82" i="27" s="1"/>
  <c r="BJ83" i="27"/>
  <c r="BN83" i="27" s="1"/>
  <c r="BP83" i="27" s="1"/>
  <c r="BJ84" i="27"/>
  <c r="BN84" i="27" s="1"/>
  <c r="BP84" i="27" s="1"/>
  <c r="BJ85" i="27"/>
  <c r="BN85" i="27" s="1"/>
  <c r="BP85" i="27" s="1"/>
  <c r="BJ77" i="27"/>
  <c r="BD102" i="27"/>
  <c r="BD103" i="27"/>
  <c r="AZ86" i="27"/>
  <c r="AZ88" i="27" s="1"/>
  <c r="AZ91" i="27" s="1"/>
  <c r="AZ96" i="27" s="1"/>
  <c r="BC101" i="27"/>
  <c r="AD101" i="27"/>
  <c r="AD102" i="27"/>
  <c r="BA86" i="27"/>
  <c r="BA88" i="27" s="1"/>
  <c r="BA91" i="27" s="1"/>
  <c r="BA96" i="27" s="1"/>
  <c r="AE101" i="27"/>
  <c r="O101" i="27"/>
  <c r="K93" i="27"/>
  <c r="K60" i="27"/>
  <c r="N64" i="27"/>
  <c r="V9" i="27"/>
  <c r="AO101" i="27"/>
  <c r="AO103" i="27"/>
  <c r="AO102" i="27"/>
  <c r="BC102" i="27"/>
  <c r="Q101" i="27"/>
  <c r="BF73" i="27"/>
  <c r="BH64" i="27"/>
  <c r="BF84" i="27"/>
  <c r="BH84" i="27" s="1"/>
  <c r="BF80" i="27"/>
  <c r="BH80" i="27" s="1"/>
  <c r="BF83" i="27"/>
  <c r="BH83" i="27" s="1"/>
  <c r="BF82" i="27"/>
  <c r="BH82" i="27" s="1"/>
  <c r="BF78" i="27"/>
  <c r="BH78" i="27" s="1"/>
  <c r="BF81" i="27"/>
  <c r="BH81" i="27" s="1"/>
  <c r="BF85" i="27"/>
  <c r="BH85" i="27" s="1"/>
  <c r="BF79" i="27"/>
  <c r="BH79" i="27" s="1"/>
  <c r="AF101" i="27"/>
  <c r="R101" i="27"/>
  <c r="AT82" i="27"/>
  <c r="AV82" i="27" s="1"/>
  <c r="AT78" i="27"/>
  <c r="AV78" i="27" s="1"/>
  <c r="AT85" i="27"/>
  <c r="AV85" i="27" s="1"/>
  <c r="AT84" i="27"/>
  <c r="AV84" i="27" s="1"/>
  <c r="AT80" i="27"/>
  <c r="AV80" i="27" s="1"/>
  <c r="AT79" i="27"/>
  <c r="AV79" i="27" s="1"/>
  <c r="AT81" i="27"/>
  <c r="AV81" i="27" s="1"/>
  <c r="AT83" i="27"/>
  <c r="AV83" i="27" s="1"/>
  <c r="AA86" i="27"/>
  <c r="AA88" i="27" s="1"/>
  <c r="AA91" i="27" s="1"/>
  <c r="AA96" i="27" s="1"/>
  <c r="AJ64" i="27"/>
  <c r="AH73" i="27"/>
  <c r="AM101" i="27"/>
  <c r="AB101" i="27"/>
  <c r="O103" i="27"/>
  <c r="O102" i="27"/>
  <c r="AE103" i="27"/>
  <c r="AE102" i="27"/>
  <c r="AC101" i="27"/>
  <c r="AV64" i="27"/>
  <c r="AT73" i="27"/>
  <c r="AH84" i="27"/>
  <c r="AJ84" i="27" s="1"/>
  <c r="AH80" i="27"/>
  <c r="AJ80" i="27" s="1"/>
  <c r="AH83" i="27"/>
  <c r="AJ83" i="27" s="1"/>
  <c r="AH82" i="27"/>
  <c r="AJ82" i="27" s="1"/>
  <c r="AH78" i="27"/>
  <c r="AJ78" i="27" s="1"/>
  <c r="AH85" i="27"/>
  <c r="AJ85" i="27" s="1"/>
  <c r="AH79" i="27"/>
  <c r="AJ79" i="27" s="1"/>
  <c r="AH81" i="27"/>
  <c r="AJ81" i="27" s="1"/>
  <c r="AR86" i="27"/>
  <c r="AR88" i="27" s="1"/>
  <c r="AR91" i="27" s="1"/>
  <c r="AR96" i="27" s="1"/>
  <c r="Q103" i="27"/>
  <c r="Q102" i="27"/>
  <c r="AQ101" i="27"/>
  <c r="S86" i="27"/>
  <c r="S88" i="27" s="1"/>
  <c r="S91" i="27" s="1"/>
  <c r="S96" i="27" s="1"/>
  <c r="T101" i="27"/>
  <c r="AN101" i="27"/>
  <c r="P86" i="27"/>
  <c r="P88" i="27" s="1"/>
  <c r="P91" i="27" s="1"/>
  <c r="P96" i="27" s="1"/>
  <c r="AQ4" i="26"/>
  <c r="AY102" i="27" l="1"/>
  <c r="AP103" i="27"/>
  <c r="BK103" i="27"/>
  <c r="BK102" i="27"/>
  <c r="BL105" i="27"/>
  <c r="BL107" i="27" s="1"/>
  <c r="AP101" i="27"/>
  <c r="BD105" i="27"/>
  <c r="BD107" i="27" s="1"/>
  <c r="AY101" i="27"/>
  <c r="BJ86" i="27"/>
  <c r="BN77" i="27"/>
  <c r="BP77" i="27" s="1"/>
  <c r="BP73" i="27"/>
  <c r="AZ101" i="27"/>
  <c r="AD105" i="27"/>
  <c r="AD107" i="27" s="1"/>
  <c r="BA101" i="27"/>
  <c r="AT86" i="27"/>
  <c r="AE105" i="27"/>
  <c r="AE107" i="27" s="1"/>
  <c r="N66" i="27"/>
  <c r="N65" i="27"/>
  <c r="V65" i="27" s="1"/>
  <c r="N71" i="27"/>
  <c r="N70" i="27"/>
  <c r="V62" i="27"/>
  <c r="N67" i="27"/>
  <c r="N72" i="27"/>
  <c r="N98" i="27"/>
  <c r="N69" i="27"/>
  <c r="N68" i="27"/>
  <c r="BR62" i="27"/>
  <c r="BA103" i="27"/>
  <c r="BC103" i="27"/>
  <c r="BC105" i="27" s="1"/>
  <c r="BC107" i="27" s="1"/>
  <c r="AO105" i="27"/>
  <c r="AO107" i="27" s="1"/>
  <c r="Q105" i="27"/>
  <c r="Q107" i="27" s="1"/>
  <c r="O105" i="27"/>
  <c r="O107" i="27" s="1"/>
  <c r="BB101" i="27"/>
  <c r="T102" i="27"/>
  <c r="T103" i="27"/>
  <c r="AZ102" i="27"/>
  <c r="AZ103" i="27"/>
  <c r="AB102" i="27"/>
  <c r="AB103" i="27"/>
  <c r="AT77" i="27"/>
  <c r="AV77" i="27" s="1"/>
  <c r="AF102" i="27"/>
  <c r="AF103" i="27"/>
  <c r="AH77" i="27"/>
  <c r="AJ77" i="27" s="1"/>
  <c r="S101" i="27"/>
  <c r="AJ73" i="27"/>
  <c r="BH73" i="27"/>
  <c r="AQ103" i="27"/>
  <c r="AQ102" i="27"/>
  <c r="BF77" i="27"/>
  <c r="BH77" i="27" s="1"/>
  <c r="P101" i="27"/>
  <c r="AN102" i="27"/>
  <c r="AN103" i="27"/>
  <c r="AR101" i="27"/>
  <c r="AV73" i="27"/>
  <c r="AC103" i="27"/>
  <c r="AC102" i="27"/>
  <c r="AM103" i="27"/>
  <c r="AM102" i="27"/>
  <c r="AA101" i="27"/>
  <c r="R102" i="27"/>
  <c r="R103" i="27"/>
  <c r="AY105" i="27" l="1"/>
  <c r="AY107" i="27" s="1"/>
  <c r="AP105" i="27"/>
  <c r="AP107" i="27" s="1"/>
  <c r="BK105" i="27"/>
  <c r="BK107" i="27" s="1"/>
  <c r="BP86" i="27"/>
  <c r="BJ88" i="27"/>
  <c r="BJ91" i="27" s="1"/>
  <c r="BN86" i="27"/>
  <c r="T105" i="27"/>
  <c r="T107" i="27" s="1"/>
  <c r="V72" i="27"/>
  <c r="X72" i="27" s="1"/>
  <c r="BU72" i="27"/>
  <c r="BV72" i="27" s="1"/>
  <c r="V68" i="27"/>
  <c r="X68" i="27" s="1"/>
  <c r="BU68" i="27"/>
  <c r="BV68" i="27" s="1"/>
  <c r="N73" i="27"/>
  <c r="N75" i="27" s="1"/>
  <c r="V64" i="27"/>
  <c r="X64" i="27" s="1"/>
  <c r="BU64" i="27"/>
  <c r="V69" i="27"/>
  <c r="X69" i="27" s="1"/>
  <c r="BU69" i="27"/>
  <c r="BV69" i="27" s="1"/>
  <c r="X65" i="27"/>
  <c r="BU65" i="27"/>
  <c r="BV65" i="27" s="1"/>
  <c r="V71" i="27"/>
  <c r="X71" i="27" s="1"/>
  <c r="BU71" i="27"/>
  <c r="BV71" i="27" s="1"/>
  <c r="V67" i="27"/>
  <c r="X67" i="27" s="1"/>
  <c r="BU67" i="27"/>
  <c r="BV67" i="27" s="1"/>
  <c r="V98" i="27"/>
  <c r="BR98" i="27"/>
  <c r="V70" i="27"/>
  <c r="X70" i="27" s="1"/>
  <c r="BU70" i="27"/>
  <c r="BV70" i="27" s="1"/>
  <c r="BU66" i="27"/>
  <c r="BV66" i="27" s="1"/>
  <c r="V66" i="27"/>
  <c r="X66" i="27" s="1"/>
  <c r="BA102" i="27"/>
  <c r="BA105" i="27" s="1"/>
  <c r="BA107" i="27" s="1"/>
  <c r="AN105" i="27"/>
  <c r="AN107" i="27" s="1"/>
  <c r="AM105" i="27"/>
  <c r="AM107" i="27" s="1"/>
  <c r="AJ86" i="27"/>
  <c r="AV86" i="27"/>
  <c r="AZ105" i="27"/>
  <c r="AZ107" i="27" s="1"/>
  <c r="BH86" i="27"/>
  <c r="AQ105" i="27"/>
  <c r="AQ107" i="27" s="1"/>
  <c r="AB105" i="27"/>
  <c r="AB107" i="27" s="1"/>
  <c r="R105" i="27"/>
  <c r="R107" i="27" s="1"/>
  <c r="AF105" i="27"/>
  <c r="AF107" i="27" s="1"/>
  <c r="AC105" i="27"/>
  <c r="AC107" i="27" s="1"/>
  <c r="P102" i="27"/>
  <c r="P103" i="27"/>
  <c r="AA103" i="27"/>
  <c r="AA102" i="27"/>
  <c r="BF86" i="27"/>
  <c r="AR102" i="27"/>
  <c r="AR103" i="27"/>
  <c r="S103" i="27"/>
  <c r="S102" i="27"/>
  <c r="AH86" i="27"/>
  <c r="BB102" i="27"/>
  <c r="BB103" i="27"/>
  <c r="AP4" i="26"/>
  <c r="BJ96" i="27" l="1"/>
  <c r="BN91" i="27"/>
  <c r="BJ101" i="27"/>
  <c r="P105" i="27"/>
  <c r="P107" i="27" s="1"/>
  <c r="V73" i="27"/>
  <c r="X73" i="27"/>
  <c r="BR73" i="27" s="1"/>
  <c r="BU73" i="27"/>
  <c r="BV73" i="27" s="1"/>
  <c r="BX64" i="27" s="1"/>
  <c r="BV64" i="27"/>
  <c r="N84" i="27"/>
  <c r="N79" i="27"/>
  <c r="N83" i="27"/>
  <c r="N77" i="27"/>
  <c r="N82" i="27"/>
  <c r="N80" i="27"/>
  <c r="N81" i="27"/>
  <c r="N78" i="27"/>
  <c r="N85" i="27"/>
  <c r="BB105" i="27"/>
  <c r="BB107" i="27" s="1"/>
  <c r="AR105" i="27"/>
  <c r="AR107" i="27" s="1"/>
  <c r="S105" i="27"/>
  <c r="S107" i="27" s="1"/>
  <c r="AA105" i="27"/>
  <c r="AA107" i="27" s="1"/>
  <c r="AX101" i="27"/>
  <c r="BF91" i="27"/>
  <c r="AL101" i="27"/>
  <c r="AT91" i="27"/>
  <c r="Z101" i="27"/>
  <c r="AH91" i="27"/>
  <c r="AO4" i="26"/>
  <c r="BN101" i="27" l="1"/>
  <c r="BJ103" i="27"/>
  <c r="BN103" i="27" s="1"/>
  <c r="BN96" i="27"/>
  <c r="BJ102" i="27"/>
  <c r="BN102" i="27" s="1"/>
  <c r="V78" i="27"/>
  <c r="X78" i="27" s="1"/>
  <c r="BU78" i="27"/>
  <c r="BV78" i="27" s="1"/>
  <c r="V77" i="27"/>
  <c r="N86" i="27"/>
  <c r="N88" i="27" s="1"/>
  <c r="N91" i="27" s="1"/>
  <c r="BR91" i="27" s="1"/>
  <c r="BU77" i="27"/>
  <c r="V81" i="27"/>
  <c r="X81" i="27" s="1"/>
  <c r="BU81" i="27"/>
  <c r="BV81" i="27" s="1"/>
  <c r="V83" i="27"/>
  <c r="X83" i="27" s="1"/>
  <c r="BU83" i="27"/>
  <c r="BV83" i="27" s="1"/>
  <c r="V80" i="27"/>
  <c r="X80" i="27" s="1"/>
  <c r="BU80" i="27"/>
  <c r="BV80" i="27" s="1"/>
  <c r="V79" i="27"/>
  <c r="X79" i="27" s="1"/>
  <c r="BU79" i="27"/>
  <c r="BV79" i="27" s="1"/>
  <c r="V85" i="27"/>
  <c r="X85" i="27" s="1"/>
  <c r="BU85" i="27"/>
  <c r="BV85" i="27" s="1"/>
  <c r="V82" i="27"/>
  <c r="X82" i="27" s="1"/>
  <c r="BU82" i="27"/>
  <c r="BV82" i="27" s="1"/>
  <c r="V84" i="27"/>
  <c r="X84" i="27" s="1"/>
  <c r="BU84" i="27"/>
  <c r="BV84" i="27" s="1"/>
  <c r="AT101" i="27"/>
  <c r="BF101" i="27"/>
  <c r="Z102" i="27"/>
  <c r="Z103" i="27"/>
  <c r="AH96" i="27"/>
  <c r="AH101" i="27"/>
  <c r="AL102" i="27"/>
  <c r="AT102" i="27" s="1"/>
  <c r="AL103" i="27"/>
  <c r="AT103" i="27" s="1"/>
  <c r="AT96" i="27"/>
  <c r="AX102" i="27"/>
  <c r="BF102" i="27" s="1"/>
  <c r="AX103" i="27"/>
  <c r="BF103" i="27" s="1"/>
  <c r="BF96" i="27"/>
  <c r="AN4" i="26"/>
  <c r="BJ105" i="27" l="1"/>
  <c r="BU86" i="27"/>
  <c r="BV86" i="27" s="1"/>
  <c r="BX77" i="27" s="1"/>
  <c r="V91" i="27"/>
  <c r="N96" i="27"/>
  <c r="BR96" i="27" s="1"/>
  <c r="N101" i="27"/>
  <c r="BR101" i="27" s="1"/>
  <c r="V86" i="27"/>
  <c r="X77" i="27"/>
  <c r="X86" i="27" s="1"/>
  <c r="BR86" i="27" s="1"/>
  <c r="BV77" i="27"/>
  <c r="AX105" i="27"/>
  <c r="AH102" i="27"/>
  <c r="Z105" i="27"/>
  <c r="AH103" i="27"/>
  <c r="AL105" i="27"/>
  <c r="AM4" i="26"/>
  <c r="BJ107" i="27" l="1"/>
  <c r="BN107" i="27" s="1"/>
  <c r="BN105" i="27"/>
  <c r="V101" i="27"/>
  <c r="N102" i="27"/>
  <c r="BR102" i="27" s="1"/>
  <c r="V96" i="27"/>
  <c r="N103" i="27"/>
  <c r="BR103" i="27" s="1"/>
  <c r="BS96" i="27"/>
  <c r="Z107" i="27"/>
  <c r="AH105" i="27"/>
  <c r="AL107" i="27"/>
  <c r="AT107" i="27" s="1"/>
  <c r="AT105" i="27"/>
  <c r="AX107" i="27"/>
  <c r="BF107" i="27" s="1"/>
  <c r="BF105" i="27"/>
  <c r="AE26" i="26"/>
  <c r="V102" i="27" l="1"/>
  <c r="V103" i="27"/>
  <c r="N105" i="27"/>
  <c r="BR105" i="27" s="1"/>
  <c r="AH107" i="27"/>
  <c r="V105" i="27" l="1"/>
  <c r="N107" i="27"/>
  <c r="AQ26" i="26"/>
  <c r="AL4" i="26"/>
  <c r="AF4" i="26"/>
  <c r="V107" i="27" l="1"/>
  <c r="BR107" i="27"/>
  <c r="BS107" i="27" s="1"/>
  <c r="AE4" i="26"/>
  <c r="AA4" i="26" l="1"/>
  <c r="AB4" i="26"/>
  <c r="AC4" i="26"/>
  <c r="AD4" i="26"/>
  <c r="J24" i="26" l="1"/>
  <c r="J23" i="26"/>
  <c r="BK23" i="26" s="1"/>
  <c r="J22" i="26"/>
  <c r="BK22" i="26" s="1"/>
  <c r="J21" i="26"/>
  <c r="J20" i="26"/>
  <c r="BK20" i="26" s="1"/>
  <c r="J19" i="26"/>
  <c r="J18" i="26"/>
  <c r="J17" i="26"/>
  <c r="BK17" i="26" s="1"/>
  <c r="J16" i="26"/>
  <c r="BK16" i="26" s="1"/>
  <c r="J15" i="26"/>
  <c r="BK15" i="26" s="1"/>
  <c r="J14" i="26"/>
  <c r="J13" i="26"/>
  <c r="BK13" i="26" l="1"/>
  <c r="BD13" i="26"/>
  <c r="BJ13" i="26"/>
  <c r="BA13" i="26"/>
  <c r="BB13" i="26"/>
  <c r="AZ13" i="26"/>
  <c r="AY13" i="26"/>
  <c r="AX13" i="26"/>
  <c r="AP13" i="26"/>
  <c r="AR13" i="26"/>
  <c r="AO13" i="26"/>
  <c r="AN13" i="26"/>
  <c r="AM13" i="26"/>
  <c r="AL13" i="26"/>
  <c r="AD13" i="26"/>
  <c r="Z13" i="26"/>
  <c r="AC13" i="26"/>
  <c r="AF13" i="26"/>
  <c r="AB13" i="26"/>
  <c r="T13" i="26"/>
  <c r="AA13" i="26"/>
  <c r="BK14" i="26"/>
  <c r="BD14" i="26"/>
  <c r="BJ14" i="26"/>
  <c r="BA14" i="26"/>
  <c r="BB14" i="26"/>
  <c r="AZ14" i="26"/>
  <c r="AY14" i="26"/>
  <c r="AX14" i="26"/>
  <c r="AP14" i="26"/>
  <c r="AR14" i="26"/>
  <c r="AO14" i="26"/>
  <c r="AN14" i="26"/>
  <c r="AM14" i="26"/>
  <c r="AC14" i="26"/>
  <c r="AF14" i="26"/>
  <c r="AB14" i="26"/>
  <c r="T14" i="26"/>
  <c r="AA14" i="26"/>
  <c r="AL14" i="26"/>
  <c r="AD14" i="26"/>
  <c r="Z14" i="26"/>
  <c r="BK18" i="26"/>
  <c r="BJ18" i="26"/>
  <c r="BD18" i="26"/>
  <c r="BA18" i="26"/>
  <c r="BB18" i="26"/>
  <c r="AZ18" i="26"/>
  <c r="AY18" i="26"/>
  <c r="AX18" i="26"/>
  <c r="AP18" i="26"/>
  <c r="AR18" i="26"/>
  <c r="BK19" i="26"/>
  <c r="BJ19" i="26"/>
  <c r="BD19" i="26"/>
  <c r="BA19" i="26"/>
  <c r="BB19" i="26"/>
  <c r="AZ19" i="26"/>
  <c r="AY19" i="26"/>
  <c r="AX19" i="26"/>
  <c r="AR19" i="26"/>
  <c r="AP19" i="26"/>
  <c r="BK24" i="26"/>
  <c r="BJ24" i="26"/>
  <c r="BD24" i="26"/>
  <c r="BA24" i="26"/>
  <c r="BB24" i="26"/>
  <c r="AZ24" i="26"/>
  <c r="AY24" i="26"/>
  <c r="AX24" i="26"/>
  <c r="AP24" i="26"/>
  <c r="AR24" i="26"/>
  <c r="BK21" i="26"/>
  <c r="BJ21" i="26"/>
  <c r="BD21" i="26"/>
  <c r="BA21" i="26"/>
  <c r="BB21" i="26"/>
  <c r="AZ21" i="26"/>
  <c r="AY21" i="26"/>
  <c r="AX21" i="26"/>
  <c r="AP21" i="26"/>
  <c r="AR21" i="26"/>
  <c r="BJ23" i="26"/>
  <c r="BD23" i="26"/>
  <c r="BA23" i="26"/>
  <c r="BB23" i="26"/>
  <c r="AZ23" i="26"/>
  <c r="AY23" i="26"/>
  <c r="BD22" i="26"/>
  <c r="BJ22" i="26"/>
  <c r="BA22" i="26"/>
  <c r="BB22" i="26"/>
  <c r="AZ22" i="26"/>
  <c r="AY22" i="26"/>
  <c r="BJ20" i="26"/>
  <c r="BD20" i="26"/>
  <c r="BB20" i="26"/>
  <c r="BA20" i="26"/>
  <c r="AZ20" i="26"/>
  <c r="AY20" i="26"/>
  <c r="BD17" i="26"/>
  <c r="BJ17" i="26"/>
  <c r="BM17" i="26" s="1"/>
  <c r="BB17" i="26"/>
  <c r="BA17" i="26"/>
  <c r="AZ17" i="26"/>
  <c r="AY17" i="26"/>
  <c r="AX17" i="26"/>
  <c r="AR17" i="26"/>
  <c r="AP17" i="26"/>
  <c r="BJ16" i="26"/>
  <c r="BD16" i="26"/>
  <c r="BB16" i="26"/>
  <c r="BA16" i="26"/>
  <c r="AZ16" i="26"/>
  <c r="AY16" i="26"/>
  <c r="BJ15" i="26"/>
  <c r="BD15" i="26"/>
  <c r="BA15" i="26"/>
  <c r="BB15" i="26"/>
  <c r="AZ15" i="26"/>
  <c r="AY15" i="26"/>
  <c r="AX23" i="26"/>
  <c r="AP23" i="26"/>
  <c r="AR23" i="26"/>
  <c r="AX22" i="26"/>
  <c r="AR22" i="26"/>
  <c r="AP22" i="26"/>
  <c r="AX20" i="26"/>
  <c r="AP20" i="26"/>
  <c r="AR20" i="26"/>
  <c r="AX16" i="26"/>
  <c r="AP16" i="26"/>
  <c r="AR16" i="26"/>
  <c r="AX15" i="26"/>
  <c r="AP15" i="26"/>
  <c r="AR15" i="26"/>
  <c r="AO22" i="26"/>
  <c r="AN22" i="26"/>
  <c r="AM22" i="26"/>
  <c r="AA22" i="26"/>
  <c r="T22" i="26"/>
  <c r="AD22" i="26"/>
  <c r="Z22" i="26"/>
  <c r="AF22" i="26"/>
  <c r="AC22" i="26"/>
  <c r="AL22" i="26"/>
  <c r="AB22" i="26"/>
  <c r="AO16" i="26"/>
  <c r="AN16" i="26"/>
  <c r="AM16" i="26"/>
  <c r="AO15" i="26"/>
  <c r="AN15" i="26"/>
  <c r="AM15" i="26"/>
  <c r="AO18" i="26"/>
  <c r="AN18" i="26"/>
  <c r="AM18" i="26"/>
  <c r="AC18" i="26"/>
  <c r="AB18" i="26"/>
  <c r="AA18" i="26"/>
  <c r="AL18" i="26"/>
  <c r="AF18" i="26"/>
  <c r="AD18" i="26"/>
  <c r="Z18" i="26"/>
  <c r="T18" i="26"/>
  <c r="AO19" i="26"/>
  <c r="AN19" i="26"/>
  <c r="AM19" i="26"/>
  <c r="AD19" i="26"/>
  <c r="Z19" i="26"/>
  <c r="AC19" i="26"/>
  <c r="T19" i="26"/>
  <c r="AL19" i="26"/>
  <c r="AB19" i="26"/>
  <c r="AF19" i="26"/>
  <c r="AA19" i="26"/>
  <c r="AO20" i="26"/>
  <c r="AN20" i="26"/>
  <c r="AM20" i="26"/>
  <c r="AF20" i="26"/>
  <c r="AB20" i="26"/>
  <c r="T20" i="26"/>
  <c r="AA20" i="26"/>
  <c r="AL20" i="26"/>
  <c r="AD20" i="26"/>
  <c r="Z20" i="26"/>
  <c r="AC20" i="26"/>
  <c r="AO21" i="26"/>
  <c r="AN21" i="26"/>
  <c r="AM21" i="26"/>
  <c r="AD21" i="26"/>
  <c r="Z21" i="26"/>
  <c r="AF21" i="26"/>
  <c r="AC21" i="26"/>
  <c r="AL21" i="26"/>
  <c r="AB21" i="26"/>
  <c r="AA21" i="26"/>
  <c r="T21" i="26"/>
  <c r="AO23" i="26"/>
  <c r="AN23" i="26"/>
  <c r="AM23" i="26"/>
  <c r="AA23" i="26"/>
  <c r="AF23" i="26"/>
  <c r="AD23" i="26"/>
  <c r="T23" i="26"/>
  <c r="AC23" i="26"/>
  <c r="AL23" i="26"/>
  <c r="Z23" i="26"/>
  <c r="AB23" i="26"/>
  <c r="AO24" i="26"/>
  <c r="AN24" i="26"/>
  <c r="AM24" i="26"/>
  <c r="AC24" i="26"/>
  <c r="T24" i="26"/>
  <c r="AA24" i="26"/>
  <c r="Z24" i="26"/>
  <c r="AL24" i="26"/>
  <c r="AB24" i="26"/>
  <c r="AF24" i="26"/>
  <c r="AD24" i="26"/>
  <c r="AO17" i="26"/>
  <c r="AN17" i="26"/>
  <c r="AM17" i="26"/>
  <c r="AA17" i="26"/>
  <c r="AL17" i="26"/>
  <c r="AD17" i="26"/>
  <c r="Z17" i="26"/>
  <c r="AC17" i="26"/>
  <c r="AF17" i="26"/>
  <c r="AB17" i="26"/>
  <c r="T17" i="26"/>
  <c r="AL16" i="26"/>
  <c r="AB16" i="26"/>
  <c r="AA16" i="26"/>
  <c r="T16" i="26"/>
  <c r="AD16" i="26"/>
  <c r="Z16" i="26"/>
  <c r="AF16" i="26"/>
  <c r="AC16" i="26"/>
  <c r="AC15" i="26"/>
  <c r="Z15" i="26"/>
  <c r="AB15" i="26"/>
  <c r="AA15" i="26"/>
  <c r="AL15" i="26"/>
  <c r="AF15" i="26"/>
  <c r="AD15" i="26"/>
  <c r="T15" i="26"/>
  <c r="Z4" i="26"/>
  <c r="BK26" i="26" l="1"/>
  <c r="AY26" i="26"/>
  <c r="BD26" i="26"/>
  <c r="BB26" i="26"/>
  <c r="BA26" i="26"/>
  <c r="AZ26" i="26"/>
  <c r="BJ26" i="26"/>
  <c r="AX26" i="26"/>
  <c r="AR26" i="26"/>
  <c r="AP26" i="26"/>
  <c r="T26" i="26"/>
  <c r="AF26" i="26"/>
  <c r="AO26" i="26"/>
  <c r="AM26" i="26"/>
  <c r="AN26" i="26"/>
  <c r="Z26" i="26"/>
  <c r="AL26" i="26"/>
  <c r="AA26" i="26"/>
  <c r="AD26" i="26"/>
  <c r="AB26" i="26"/>
  <c r="AC26" i="26"/>
  <c r="T4" i="26" l="1"/>
  <c r="S26" i="26" l="1"/>
  <c r="S4" i="26"/>
  <c r="Q13" i="26" l="1"/>
  <c r="R13" i="26"/>
  <c r="Q14" i="26"/>
  <c r="R14" i="26"/>
  <c r="Q15" i="26"/>
  <c r="R15" i="26"/>
  <c r="Q16" i="26"/>
  <c r="R16" i="26"/>
  <c r="Q17" i="26"/>
  <c r="R17" i="26"/>
  <c r="Q18" i="26"/>
  <c r="R18" i="26"/>
  <c r="Q19" i="26"/>
  <c r="R19" i="26"/>
  <c r="Q20" i="26"/>
  <c r="R20" i="26"/>
  <c r="Q21" i="26"/>
  <c r="R21" i="26"/>
  <c r="Q22" i="26"/>
  <c r="R22" i="26"/>
  <c r="Q23" i="26"/>
  <c r="R23" i="26"/>
  <c r="Q24" i="26"/>
  <c r="R24" i="26"/>
  <c r="R4" i="26"/>
  <c r="Q4" i="26"/>
  <c r="Q26" i="26" l="1"/>
  <c r="R26" i="26"/>
  <c r="BZ32" i="26"/>
  <c r="BT1" i="26" s="1"/>
  <c r="O13" i="26"/>
  <c r="P13" i="26"/>
  <c r="O14" i="26"/>
  <c r="P14" i="26"/>
  <c r="O15" i="26"/>
  <c r="P15" i="26"/>
  <c r="O16" i="26"/>
  <c r="P16" i="26"/>
  <c r="O17" i="26"/>
  <c r="P17" i="26"/>
  <c r="O18" i="26"/>
  <c r="P18" i="26"/>
  <c r="O19" i="26"/>
  <c r="P19" i="26"/>
  <c r="O20" i="26"/>
  <c r="P20" i="26"/>
  <c r="O21" i="26"/>
  <c r="P21" i="26"/>
  <c r="O22" i="26"/>
  <c r="P22" i="26"/>
  <c r="O23" i="26"/>
  <c r="P23" i="26"/>
  <c r="O24" i="26"/>
  <c r="P24" i="26"/>
  <c r="N13" i="26"/>
  <c r="P4" i="26"/>
  <c r="O4" i="26"/>
  <c r="P26" i="26" l="1"/>
  <c r="O26" i="26"/>
  <c r="BZ19" i="23" l="1"/>
  <c r="BZ18" i="23"/>
  <c r="BZ17" i="23"/>
  <c r="BZ16" i="23"/>
  <c r="BZ22" i="23" s="1"/>
  <c r="BK52" i="23"/>
  <c r="BL4" i="23"/>
  <c r="BL9" i="23" s="1"/>
  <c r="BK4" i="23" l="1"/>
  <c r="BK9" i="23" s="1"/>
  <c r="J27" i="23" l="1"/>
  <c r="BL27" i="23" s="1"/>
  <c r="J26" i="23"/>
  <c r="BL26" i="23" s="1"/>
  <c r="J25" i="23"/>
  <c r="BL25" i="23" s="1"/>
  <c r="J24" i="23"/>
  <c r="BL24" i="23" s="1"/>
  <c r="J23" i="23"/>
  <c r="BL23" i="23" s="1"/>
  <c r="J22" i="23"/>
  <c r="BL22" i="23" s="1"/>
  <c r="J21" i="23"/>
  <c r="BL21" i="23" s="1"/>
  <c r="J20" i="23"/>
  <c r="BL20" i="23" s="1"/>
  <c r="J19" i="23"/>
  <c r="BL19" i="23" s="1"/>
  <c r="J18" i="23"/>
  <c r="BL18" i="23" s="1"/>
  <c r="J17" i="23"/>
  <c r="BL17" i="23" s="1"/>
  <c r="J16" i="23"/>
  <c r="BL16" i="23" s="1"/>
  <c r="BL52" i="23" l="1"/>
  <c r="BL29" i="23"/>
  <c r="BJ7" i="23" l="1"/>
  <c r="BJ4" i="23"/>
  <c r="BN6" i="23"/>
  <c r="BN3" i="23"/>
  <c r="J39" i="26"/>
  <c r="J38" i="26"/>
  <c r="J34" i="26"/>
  <c r="J33" i="26"/>
  <c r="J36" i="26"/>
  <c r="J45" i="26"/>
  <c r="J44" i="26"/>
  <c r="J43" i="26"/>
  <c r="J42" i="26"/>
  <c r="J41" i="26"/>
  <c r="J40" i="26"/>
  <c r="J37" i="26"/>
  <c r="J35" i="26"/>
  <c r="J32" i="26"/>
  <c r="J31" i="26"/>
  <c r="J30" i="26"/>
  <c r="J29" i="26"/>
  <c r="E47" i="26"/>
  <c r="BK45" i="26" l="1"/>
  <c r="BD45" i="26"/>
  <c r="BJ45" i="26"/>
  <c r="BC45" i="26"/>
  <c r="BA45" i="26"/>
  <c r="BB45" i="26"/>
  <c r="AZ45" i="26"/>
  <c r="AY45" i="26"/>
  <c r="AX45" i="26"/>
  <c r="AR45" i="26"/>
  <c r="AP45" i="26"/>
  <c r="AQ45" i="26"/>
  <c r="AO45" i="26"/>
  <c r="AN45" i="26"/>
  <c r="AM45" i="26"/>
  <c r="BK29" i="26"/>
  <c r="BD29" i="26"/>
  <c r="BJ29" i="26"/>
  <c r="BC29" i="26"/>
  <c r="AZ29" i="26"/>
  <c r="BA29" i="26"/>
  <c r="BB29" i="26"/>
  <c r="AY29" i="26"/>
  <c r="AX29" i="26"/>
  <c r="AR29" i="26"/>
  <c r="AP29" i="26"/>
  <c r="AQ29" i="26"/>
  <c r="BK35" i="26"/>
  <c r="BJ35" i="26"/>
  <c r="BD35" i="26"/>
  <c r="BC35" i="26"/>
  <c r="BA35" i="26"/>
  <c r="BB35" i="26"/>
  <c r="AZ35" i="26"/>
  <c r="AY35" i="26"/>
  <c r="AX35" i="26"/>
  <c r="AR35" i="26"/>
  <c r="AP35" i="26"/>
  <c r="AQ35" i="26"/>
  <c r="BK41" i="26"/>
  <c r="BJ41" i="26"/>
  <c r="BD41" i="26"/>
  <c r="BC41" i="26"/>
  <c r="BB41" i="26"/>
  <c r="AZ41" i="26"/>
  <c r="BA41" i="26"/>
  <c r="AY41" i="26"/>
  <c r="AX41" i="26"/>
  <c r="AR41" i="26"/>
  <c r="AP41" i="26"/>
  <c r="AQ41" i="26"/>
  <c r="BK36" i="26"/>
  <c r="BJ36" i="26"/>
  <c r="BD36" i="26"/>
  <c r="BC36" i="26"/>
  <c r="BB36" i="26"/>
  <c r="AZ36" i="26"/>
  <c r="BA36" i="26"/>
  <c r="AY36" i="26"/>
  <c r="AX36" i="26"/>
  <c r="AP36" i="26"/>
  <c r="AR36" i="26"/>
  <c r="AQ36" i="26"/>
  <c r="BK33" i="26"/>
  <c r="BD33" i="26"/>
  <c r="BJ33" i="26"/>
  <c r="BC33" i="26"/>
  <c r="AZ33" i="26"/>
  <c r="BA33" i="26"/>
  <c r="BB33" i="26"/>
  <c r="AY33" i="26"/>
  <c r="AX33" i="26"/>
  <c r="AR33" i="26"/>
  <c r="AP33" i="26"/>
  <c r="AQ33" i="26"/>
  <c r="BK34" i="26"/>
  <c r="BJ34" i="26"/>
  <c r="BD34" i="26"/>
  <c r="BC34" i="26"/>
  <c r="AZ34" i="26"/>
  <c r="BA34" i="26"/>
  <c r="BB34" i="26"/>
  <c r="AY34" i="26"/>
  <c r="AX34" i="26"/>
  <c r="AP34" i="26"/>
  <c r="AR34" i="26"/>
  <c r="AQ34" i="26"/>
  <c r="BK30" i="26"/>
  <c r="BJ30" i="26"/>
  <c r="BD30" i="26"/>
  <c r="BC30" i="26"/>
  <c r="AZ30" i="26"/>
  <c r="BA30" i="26"/>
  <c r="BB30" i="26"/>
  <c r="AY30" i="26"/>
  <c r="AX30" i="26"/>
  <c r="AP30" i="26"/>
  <c r="AR30" i="26"/>
  <c r="AQ30" i="26"/>
  <c r="BK42" i="26"/>
  <c r="BD42" i="26"/>
  <c r="BJ42" i="26"/>
  <c r="BC42" i="26"/>
  <c r="AZ42" i="26"/>
  <c r="BA42" i="26"/>
  <c r="BB42" i="26"/>
  <c r="AY42" i="26"/>
  <c r="AX42" i="26"/>
  <c r="AR42" i="26"/>
  <c r="AP42" i="26"/>
  <c r="AQ42" i="26"/>
  <c r="BK31" i="26"/>
  <c r="BD31" i="26"/>
  <c r="BJ31" i="26"/>
  <c r="BC31" i="26"/>
  <c r="BA31" i="26"/>
  <c r="BB31" i="26"/>
  <c r="AZ31" i="26"/>
  <c r="AY31" i="26"/>
  <c r="AX31" i="26"/>
  <c r="AR31" i="26"/>
  <c r="AP31" i="26"/>
  <c r="AQ31" i="26"/>
  <c r="BK39" i="26"/>
  <c r="BJ39" i="26"/>
  <c r="BD39" i="26"/>
  <c r="BC39" i="26"/>
  <c r="AZ39" i="26"/>
  <c r="BA39" i="26"/>
  <c r="BB39" i="26"/>
  <c r="AY39" i="26"/>
  <c r="AX39" i="26"/>
  <c r="AP39" i="26"/>
  <c r="AR39" i="26"/>
  <c r="AQ39" i="26"/>
  <c r="BK32" i="26"/>
  <c r="BJ32" i="26"/>
  <c r="BD32" i="26"/>
  <c r="BC32" i="26"/>
  <c r="BB32" i="26"/>
  <c r="AZ32" i="26"/>
  <c r="BA32" i="26"/>
  <c r="AY32" i="26"/>
  <c r="AX32" i="26"/>
  <c r="AP32" i="26"/>
  <c r="AR32" i="26"/>
  <c r="AQ32" i="26"/>
  <c r="BK40" i="26"/>
  <c r="BJ40" i="26"/>
  <c r="BD40" i="26"/>
  <c r="BC40" i="26"/>
  <c r="BA40" i="26"/>
  <c r="BB40" i="26"/>
  <c r="AZ40" i="26"/>
  <c r="AY40" i="26"/>
  <c r="AX40" i="26"/>
  <c r="AR40" i="26"/>
  <c r="AP40" i="26"/>
  <c r="AQ40" i="26"/>
  <c r="BK38" i="26"/>
  <c r="BD38" i="26"/>
  <c r="BJ38" i="26"/>
  <c r="BC38" i="26"/>
  <c r="AZ38" i="26"/>
  <c r="BA38" i="26"/>
  <c r="BB38" i="26"/>
  <c r="AY38" i="26"/>
  <c r="AX38" i="26"/>
  <c r="AR38" i="26"/>
  <c r="AP38" i="26"/>
  <c r="AQ38" i="26"/>
  <c r="BK44" i="26"/>
  <c r="BJ44" i="26"/>
  <c r="BD44" i="26"/>
  <c r="BC44" i="26"/>
  <c r="BB44" i="26"/>
  <c r="AZ44" i="26"/>
  <c r="BA44" i="26"/>
  <c r="AY44" i="26"/>
  <c r="AX44" i="26"/>
  <c r="AR44" i="26"/>
  <c r="AP44" i="26"/>
  <c r="AQ44" i="26"/>
  <c r="BK43" i="26"/>
  <c r="BJ43" i="26"/>
  <c r="BD43" i="26"/>
  <c r="BC43" i="26"/>
  <c r="AZ43" i="26"/>
  <c r="BA43" i="26"/>
  <c r="BB43" i="26"/>
  <c r="AY43" i="26"/>
  <c r="AX43" i="26"/>
  <c r="AP43" i="26"/>
  <c r="AR43" i="26"/>
  <c r="AQ43" i="26"/>
  <c r="BK37" i="26"/>
  <c r="BJ37" i="26"/>
  <c r="BD37" i="26"/>
  <c r="BC37" i="26"/>
  <c r="BB37" i="26"/>
  <c r="AZ37" i="26"/>
  <c r="BA37" i="26"/>
  <c r="AY37" i="26"/>
  <c r="AX37" i="26"/>
  <c r="AR37" i="26"/>
  <c r="AP37" i="26"/>
  <c r="AQ37" i="26"/>
  <c r="AO41" i="26"/>
  <c r="AN41" i="26"/>
  <c r="AM41" i="26"/>
  <c r="AO33" i="26"/>
  <c r="AN33" i="26"/>
  <c r="AM33" i="26"/>
  <c r="AO34" i="26"/>
  <c r="AN34" i="26"/>
  <c r="AM34" i="26"/>
  <c r="AO29" i="26"/>
  <c r="AN29" i="26"/>
  <c r="AM29" i="26"/>
  <c r="AO35" i="26"/>
  <c r="AN35" i="26"/>
  <c r="AM35" i="26"/>
  <c r="AO40" i="26"/>
  <c r="AN40" i="26"/>
  <c r="AM40" i="26"/>
  <c r="AO30" i="26"/>
  <c r="AN30" i="26"/>
  <c r="AM30" i="26"/>
  <c r="AO36" i="26"/>
  <c r="AN36" i="26"/>
  <c r="AM36" i="26"/>
  <c r="AO31" i="26"/>
  <c r="AN31" i="26"/>
  <c r="AM31" i="26"/>
  <c r="AO38" i="26"/>
  <c r="AN38" i="26"/>
  <c r="AM38" i="26"/>
  <c r="AO32" i="26"/>
  <c r="AN32" i="26"/>
  <c r="AM32" i="26"/>
  <c r="AO39" i="26"/>
  <c r="AN39" i="26"/>
  <c r="AM39" i="26"/>
  <c r="AO37" i="26"/>
  <c r="AN37" i="26"/>
  <c r="AM37" i="26"/>
  <c r="AO44" i="26"/>
  <c r="AN44" i="26"/>
  <c r="AM44" i="26"/>
  <c r="AO43" i="26"/>
  <c r="AN43" i="26"/>
  <c r="AM43" i="26"/>
  <c r="AO42" i="26"/>
  <c r="AN42" i="26"/>
  <c r="AM42" i="26"/>
  <c r="K39" i="26"/>
  <c r="K36" i="26"/>
  <c r="K42" i="26"/>
  <c r="K35" i="26"/>
  <c r="K29" i="26"/>
  <c r="K38" i="26"/>
  <c r="K45" i="26"/>
  <c r="K41" i="26"/>
  <c r="K32" i="26"/>
  <c r="K34" i="26"/>
  <c r="K44" i="26"/>
  <c r="K40" i="26"/>
  <c r="K31" i="26"/>
  <c r="K33" i="26"/>
  <c r="K43" i="26"/>
  <c r="K37" i="26"/>
  <c r="K30" i="26"/>
  <c r="AL35" i="26"/>
  <c r="AF35" i="26"/>
  <c r="AE35" i="26"/>
  <c r="AD35" i="26"/>
  <c r="AC35" i="26"/>
  <c r="AB35" i="26"/>
  <c r="AA35" i="26"/>
  <c r="Z35" i="26"/>
  <c r="T35" i="26"/>
  <c r="S35" i="26"/>
  <c r="Q35" i="26"/>
  <c r="R35" i="26"/>
  <c r="P35" i="26"/>
  <c r="O35" i="26"/>
  <c r="AF39" i="26"/>
  <c r="AL39" i="26"/>
  <c r="AE39" i="26"/>
  <c r="AD39" i="26"/>
  <c r="AC39" i="26"/>
  <c r="AB39" i="26"/>
  <c r="AA39" i="26"/>
  <c r="AL43" i="26"/>
  <c r="AF43" i="26"/>
  <c r="AE43" i="26"/>
  <c r="AD43" i="26"/>
  <c r="AC43" i="26"/>
  <c r="AA43" i="26"/>
  <c r="AB43" i="26"/>
  <c r="Z43" i="26"/>
  <c r="T43" i="26"/>
  <c r="S43" i="26"/>
  <c r="Q43" i="26"/>
  <c r="R43" i="26"/>
  <c r="O43" i="26"/>
  <c r="P43" i="26"/>
  <c r="AL29" i="26"/>
  <c r="AF29" i="26"/>
  <c r="AE29" i="26"/>
  <c r="AD29" i="26"/>
  <c r="AB29" i="26"/>
  <c r="AA29" i="26"/>
  <c r="AC29" i="26"/>
  <c r="Z29" i="26"/>
  <c r="T29" i="26"/>
  <c r="S29" i="26"/>
  <c r="Q29" i="26"/>
  <c r="R29" i="26"/>
  <c r="P29" i="26"/>
  <c r="O29" i="26"/>
  <c r="AF45" i="26"/>
  <c r="AL45" i="26"/>
  <c r="AE45" i="26"/>
  <c r="AD45" i="26"/>
  <c r="AC45" i="26"/>
  <c r="AA45" i="26"/>
  <c r="AB45" i="26"/>
  <c r="Z45" i="26"/>
  <c r="T45" i="26"/>
  <c r="S45" i="26"/>
  <c r="Q45" i="26"/>
  <c r="R45" i="26"/>
  <c r="O45" i="26"/>
  <c r="P45" i="26"/>
  <c r="AL38" i="26"/>
  <c r="AF38" i="26"/>
  <c r="AE38" i="26"/>
  <c r="AD38" i="26"/>
  <c r="AA38" i="26"/>
  <c r="AC38" i="26"/>
  <c r="AB38" i="26"/>
  <c r="AF31" i="26"/>
  <c r="AL31" i="26"/>
  <c r="AE31" i="26"/>
  <c r="AD31" i="26"/>
  <c r="AC31" i="26"/>
  <c r="AB31" i="26"/>
  <c r="AA31" i="26"/>
  <c r="AF32" i="26"/>
  <c r="AL32" i="26"/>
  <c r="AE32" i="26"/>
  <c r="AD32" i="26"/>
  <c r="AB32" i="26"/>
  <c r="AA32" i="26"/>
  <c r="AC32" i="26"/>
  <c r="Z32" i="26"/>
  <c r="T32" i="26"/>
  <c r="S32" i="26"/>
  <c r="Q32" i="26"/>
  <c r="R32" i="26"/>
  <c r="P32" i="26"/>
  <c r="O32" i="26"/>
  <c r="AF40" i="26"/>
  <c r="AL40" i="26"/>
  <c r="AE40" i="26"/>
  <c r="AD40" i="26"/>
  <c r="AB40" i="26"/>
  <c r="AA40" i="26"/>
  <c r="AC40" i="26"/>
  <c r="AL44" i="26"/>
  <c r="AF44" i="26"/>
  <c r="AE44" i="26"/>
  <c r="AD44" i="26"/>
  <c r="AA44" i="26"/>
  <c r="AC44" i="26"/>
  <c r="AB44" i="26"/>
  <c r="Z44" i="26"/>
  <c r="T44" i="26"/>
  <c r="S44" i="26"/>
  <c r="Q44" i="26"/>
  <c r="R44" i="26"/>
  <c r="P44" i="26"/>
  <c r="O44" i="26"/>
  <c r="AF36" i="26"/>
  <c r="AL36" i="26"/>
  <c r="AE36" i="26"/>
  <c r="AA36" i="26"/>
  <c r="AD36" i="26"/>
  <c r="AC36" i="26"/>
  <c r="AB36" i="26"/>
  <c r="Z36" i="26"/>
  <c r="T36" i="26"/>
  <c r="S36" i="26"/>
  <c r="Q36" i="26"/>
  <c r="R36" i="26"/>
  <c r="P36" i="26"/>
  <c r="O36" i="26"/>
  <c r="AF41" i="26"/>
  <c r="AL41" i="26"/>
  <c r="AE41" i="26"/>
  <c r="AD41" i="26"/>
  <c r="AB41" i="26"/>
  <c r="AC41" i="26"/>
  <c r="AA41" i="26"/>
  <c r="AF42" i="26"/>
  <c r="AL42" i="26"/>
  <c r="AE42" i="26"/>
  <c r="AD42" i="26"/>
  <c r="AA42" i="26"/>
  <c r="AC42" i="26"/>
  <c r="AB42" i="26"/>
  <c r="Z42" i="26"/>
  <c r="T42" i="26"/>
  <c r="S42" i="26"/>
  <c r="Q42" i="26"/>
  <c r="R42" i="26"/>
  <c r="P42" i="26"/>
  <c r="O42" i="26"/>
  <c r="AF37" i="26"/>
  <c r="AL37" i="26"/>
  <c r="AE37" i="26"/>
  <c r="AD37" i="26"/>
  <c r="AC37" i="26"/>
  <c r="AB37" i="26"/>
  <c r="AA37" i="26"/>
  <c r="AL34" i="26"/>
  <c r="AF34" i="26"/>
  <c r="AE34" i="26"/>
  <c r="AA34" i="26"/>
  <c r="AD34" i="26"/>
  <c r="AC34" i="26"/>
  <c r="AB34" i="26"/>
  <c r="Z34" i="26"/>
  <c r="T34" i="26"/>
  <c r="S34" i="26"/>
  <c r="Q34" i="26"/>
  <c r="R34" i="26"/>
  <c r="O34" i="26"/>
  <c r="P34" i="26"/>
  <c r="AL33" i="26"/>
  <c r="AF33" i="26"/>
  <c r="AE33" i="26"/>
  <c r="AA33" i="26"/>
  <c r="AD33" i="26"/>
  <c r="AC33" i="26"/>
  <c r="AB33" i="26"/>
  <c r="Z33" i="26"/>
  <c r="T33" i="26"/>
  <c r="S33" i="26"/>
  <c r="Q33" i="26"/>
  <c r="R33" i="26"/>
  <c r="O33" i="26"/>
  <c r="P33" i="26"/>
  <c r="AF30" i="26"/>
  <c r="AL30" i="26"/>
  <c r="AE30" i="26"/>
  <c r="AC30" i="26"/>
  <c r="AB30" i="26"/>
  <c r="AA30" i="26"/>
  <c r="AD30" i="26"/>
  <c r="Z37" i="26"/>
  <c r="T37" i="26"/>
  <c r="S37" i="26"/>
  <c r="Q37" i="26"/>
  <c r="R37" i="26"/>
  <c r="O37" i="26"/>
  <c r="P37" i="26"/>
  <c r="Z38" i="26"/>
  <c r="T38" i="26"/>
  <c r="S38" i="26"/>
  <c r="R38" i="26"/>
  <c r="Q38" i="26"/>
  <c r="O38" i="26"/>
  <c r="P38" i="26"/>
  <c r="Z39" i="26"/>
  <c r="T39" i="26"/>
  <c r="S39" i="26"/>
  <c r="Q39" i="26"/>
  <c r="R39" i="26"/>
  <c r="O39" i="26"/>
  <c r="P39" i="26"/>
  <c r="Z40" i="26"/>
  <c r="T40" i="26"/>
  <c r="S40" i="26"/>
  <c r="R40" i="26"/>
  <c r="Q40" i="26"/>
  <c r="O40" i="26"/>
  <c r="P40" i="26"/>
  <c r="Z41" i="26"/>
  <c r="T41" i="26"/>
  <c r="S41" i="26"/>
  <c r="Q41" i="26"/>
  <c r="R41" i="26"/>
  <c r="O41" i="26"/>
  <c r="P41" i="26"/>
  <c r="Z30" i="26"/>
  <c r="T30" i="26"/>
  <c r="S30" i="26"/>
  <c r="Q30" i="26"/>
  <c r="R30" i="26"/>
  <c r="P30" i="26"/>
  <c r="O30" i="26"/>
  <c r="Z31" i="26"/>
  <c r="T31" i="26"/>
  <c r="S31" i="26"/>
  <c r="Q31" i="26"/>
  <c r="R31" i="26"/>
  <c r="O31" i="26"/>
  <c r="P31" i="26"/>
  <c r="J47" i="26"/>
  <c r="BN4" i="23"/>
  <c r="BJ27" i="23"/>
  <c r="BJ26" i="23"/>
  <c r="BJ25" i="23"/>
  <c r="BJ24" i="23"/>
  <c r="BJ23" i="23"/>
  <c r="BJ22" i="23"/>
  <c r="BJ21" i="23"/>
  <c r="BJ20" i="23"/>
  <c r="BN20" i="23" s="1"/>
  <c r="BJ19" i="23"/>
  <c r="BJ18" i="23"/>
  <c r="BJ17" i="23"/>
  <c r="BJ16" i="23"/>
  <c r="BD16" i="23"/>
  <c r="BD17" i="23"/>
  <c r="BD18" i="23"/>
  <c r="BD19" i="23"/>
  <c r="BD20" i="23"/>
  <c r="BD21" i="23"/>
  <c r="BD22" i="23"/>
  <c r="BD23" i="23"/>
  <c r="BD24" i="23"/>
  <c r="BD25" i="23"/>
  <c r="BD26" i="23"/>
  <c r="BD27" i="23"/>
  <c r="BD4" i="23"/>
  <c r="BD7" i="23"/>
  <c r="BN3" i="26" l="1"/>
  <c r="BG3" i="26"/>
  <c r="AU3" i="26"/>
  <c r="BC49" i="26"/>
  <c r="BC47" i="26"/>
  <c r="BC6" i="26" s="1"/>
  <c r="BC7" i="26" s="1"/>
  <c r="BD47" i="26"/>
  <c r="BD6" i="26" s="1"/>
  <c r="BD7" i="26" s="1"/>
  <c r="BD51" i="26" s="1"/>
  <c r="BD49" i="26"/>
  <c r="AR47" i="26"/>
  <c r="AR6" i="26" s="1"/>
  <c r="AR7" i="26" s="1"/>
  <c r="AR51" i="26" s="1"/>
  <c r="AR49" i="26"/>
  <c r="AZ47" i="26"/>
  <c r="AZ6" i="26" s="1"/>
  <c r="AZ7" i="26" s="1"/>
  <c r="AZ51" i="26" s="1"/>
  <c r="AZ49" i="26"/>
  <c r="BJ47" i="26"/>
  <c r="BJ6" i="26" s="1"/>
  <c r="BJ49" i="26"/>
  <c r="AQ49" i="26"/>
  <c r="AQ47" i="26"/>
  <c r="AQ6" i="26" s="1"/>
  <c r="AQ7" i="26" s="1"/>
  <c r="AQ51" i="26" s="1"/>
  <c r="AY47" i="26"/>
  <c r="AY6" i="26" s="1"/>
  <c r="AY7" i="26" s="1"/>
  <c r="AY51" i="26" s="1"/>
  <c r="AY49" i="26"/>
  <c r="AP47" i="26"/>
  <c r="AP6" i="26" s="1"/>
  <c r="AP7" i="26" s="1"/>
  <c r="AP51" i="26" s="1"/>
  <c r="AP49" i="26"/>
  <c r="BA47" i="26"/>
  <c r="BA6" i="26" s="1"/>
  <c r="BA7" i="26" s="1"/>
  <c r="BA51" i="26" s="1"/>
  <c r="BA49" i="26"/>
  <c r="AX47" i="26"/>
  <c r="AX6" i="26" s="1"/>
  <c r="AX7" i="26" s="1"/>
  <c r="AX51" i="26" s="1"/>
  <c r="AX49" i="26"/>
  <c r="BB47" i="26"/>
  <c r="BB6" i="26" s="1"/>
  <c r="BB7" i="26" s="1"/>
  <c r="BB51" i="26" s="1"/>
  <c r="BB49" i="26"/>
  <c r="BK47" i="26"/>
  <c r="BK6" i="26" s="1"/>
  <c r="BK7" i="26" s="1"/>
  <c r="BK51" i="26" s="1"/>
  <c r="BK49" i="26"/>
  <c r="AM49" i="26"/>
  <c r="AM47" i="26"/>
  <c r="AM6" i="26" s="1"/>
  <c r="AM7" i="26" s="1"/>
  <c r="AM51" i="26" s="1"/>
  <c r="AN47" i="26"/>
  <c r="AN6" i="26" s="1"/>
  <c r="AN7" i="26" s="1"/>
  <c r="AN51" i="26" s="1"/>
  <c r="AN49" i="26"/>
  <c r="AO49" i="26"/>
  <c r="AO47" i="26"/>
  <c r="AO6" i="26" s="1"/>
  <c r="AO7" i="26" s="1"/>
  <c r="AO51" i="26" s="1"/>
  <c r="AB47" i="26"/>
  <c r="AB6" i="26" s="1"/>
  <c r="AB7" i="26" s="1"/>
  <c r="AA47" i="26"/>
  <c r="AA6" i="26" s="1"/>
  <c r="AA7" i="26" s="1"/>
  <c r="AC47" i="26"/>
  <c r="AC6" i="26" s="1"/>
  <c r="AC7" i="26" s="1"/>
  <c r="AD47" i="26"/>
  <c r="AD6" i="26" s="1"/>
  <c r="AD7" i="26" s="1"/>
  <c r="AL49" i="26"/>
  <c r="AL47" i="26"/>
  <c r="AL6" i="26" s="1"/>
  <c r="AL7" i="26" s="1"/>
  <c r="AL51" i="26" s="1"/>
  <c r="AI3" i="26"/>
  <c r="AF49" i="26"/>
  <c r="AF47" i="26"/>
  <c r="AF6" i="26" s="1"/>
  <c r="AF7" i="26" s="1"/>
  <c r="AF51" i="26" s="1"/>
  <c r="AE47" i="26"/>
  <c r="AE6" i="26" s="1"/>
  <c r="AE7" i="26" s="1"/>
  <c r="AE51" i="26" s="1"/>
  <c r="AE49" i="26"/>
  <c r="R47" i="26"/>
  <c r="R6" i="26" s="1"/>
  <c r="R7" i="26" s="1"/>
  <c r="R51" i="26" s="1"/>
  <c r="Z47" i="26"/>
  <c r="Z49" i="26" s="1"/>
  <c r="P47" i="26"/>
  <c r="P6" i="26" s="1"/>
  <c r="P7" i="26" s="1"/>
  <c r="P51" i="26" s="1"/>
  <c r="S47" i="26"/>
  <c r="S49" i="26" s="1"/>
  <c r="Q47" i="26"/>
  <c r="Q49" i="26" s="1"/>
  <c r="O47" i="26"/>
  <c r="O49" i="26" s="1"/>
  <c r="T47" i="26"/>
  <c r="T49" i="26" s="1"/>
  <c r="W3" i="26"/>
  <c r="BJ29" i="23"/>
  <c r="BD29" i="23"/>
  <c r="BM35" i="26"/>
  <c r="BM34" i="26"/>
  <c r="N24" i="26"/>
  <c r="N23" i="26"/>
  <c r="N22" i="26"/>
  <c r="N21" i="26"/>
  <c r="N20" i="26"/>
  <c r="N19" i="26"/>
  <c r="N18" i="26"/>
  <c r="N17" i="26"/>
  <c r="N16" i="26"/>
  <c r="N15" i="26"/>
  <c r="N14" i="26"/>
  <c r="N4" i="26"/>
  <c r="AC49" i="26"/>
  <c r="BJ7" i="26" l="1"/>
  <c r="BM6" i="26"/>
  <c r="P49" i="26"/>
  <c r="Z6" i="26"/>
  <c r="Q6" i="26"/>
  <c r="Q7" i="26" s="1"/>
  <c r="Q51" i="26" s="1"/>
  <c r="R49" i="26"/>
  <c r="T6" i="26"/>
  <c r="T7" i="26" s="1"/>
  <c r="T51" i="26" s="1"/>
  <c r="S6" i="26"/>
  <c r="S7" i="26" s="1"/>
  <c r="S51" i="26" s="1"/>
  <c r="O6" i="26"/>
  <c r="O7" i="26" s="1"/>
  <c r="O51" i="26" s="1"/>
  <c r="E81" i="26"/>
  <c r="J80" i="26"/>
  <c r="I80" i="26"/>
  <c r="H80" i="26"/>
  <c r="G80" i="26"/>
  <c r="F80" i="26"/>
  <c r="BM77" i="26"/>
  <c r="BF77" i="26"/>
  <c r="E73" i="26"/>
  <c r="K68" i="26" s="1"/>
  <c r="J72" i="26"/>
  <c r="I72" i="26"/>
  <c r="H72" i="26"/>
  <c r="G72" i="26"/>
  <c r="F72" i="26"/>
  <c r="J69" i="26"/>
  <c r="I69" i="26"/>
  <c r="H69" i="26"/>
  <c r="G69" i="26"/>
  <c r="F69" i="26"/>
  <c r="J71" i="26"/>
  <c r="J70" i="26"/>
  <c r="I70" i="26"/>
  <c r="H70" i="26"/>
  <c r="G70" i="26"/>
  <c r="F70" i="26"/>
  <c r="J67" i="26"/>
  <c r="I67" i="26"/>
  <c r="H67" i="26"/>
  <c r="G67" i="26"/>
  <c r="F67" i="26"/>
  <c r="J68" i="26"/>
  <c r="I68" i="26"/>
  <c r="H68" i="26"/>
  <c r="G68" i="26"/>
  <c r="F68" i="26"/>
  <c r="J66" i="26"/>
  <c r="AU66" i="26" s="1"/>
  <c r="J65" i="26"/>
  <c r="AU65" i="26" s="1"/>
  <c r="I65" i="26"/>
  <c r="H65" i="26"/>
  <c r="G65" i="26"/>
  <c r="F65" i="26"/>
  <c r="J64" i="26"/>
  <c r="I64" i="26"/>
  <c r="H64" i="26"/>
  <c r="G64" i="26"/>
  <c r="F64" i="26"/>
  <c r="E60" i="26"/>
  <c r="K59" i="26" s="1"/>
  <c r="J59" i="26"/>
  <c r="I59" i="26"/>
  <c r="H59" i="26"/>
  <c r="G59" i="26"/>
  <c r="F59" i="26"/>
  <c r="J58" i="26"/>
  <c r="I58" i="26"/>
  <c r="H58" i="26"/>
  <c r="G58" i="26"/>
  <c r="F58" i="26"/>
  <c r="J57" i="26"/>
  <c r="I57" i="26"/>
  <c r="H57" i="26"/>
  <c r="G57" i="26"/>
  <c r="F57" i="26"/>
  <c r="J56" i="26"/>
  <c r="I56" i="26"/>
  <c r="H56" i="26"/>
  <c r="G56" i="26"/>
  <c r="F56" i="26"/>
  <c r="J55" i="26"/>
  <c r="I55" i="26"/>
  <c r="H55" i="26"/>
  <c r="G55" i="26"/>
  <c r="F55" i="26"/>
  <c r="J54" i="26"/>
  <c r="I54" i="26"/>
  <c r="H54" i="26"/>
  <c r="G54" i="26"/>
  <c r="F54" i="26"/>
  <c r="J53" i="26"/>
  <c r="I53" i="26"/>
  <c r="H53" i="26"/>
  <c r="G53" i="26"/>
  <c r="F53" i="26"/>
  <c r="BQ49" i="26"/>
  <c r="BQ47" i="26"/>
  <c r="BR45" i="26"/>
  <c r="BM45" i="26"/>
  <c r="N45" i="26"/>
  <c r="BT45" i="26" s="1"/>
  <c r="BR44" i="26"/>
  <c r="BM44" i="26"/>
  <c r="N44" i="26"/>
  <c r="BR43" i="26"/>
  <c r="BM43" i="26"/>
  <c r="N43" i="26"/>
  <c r="BR42" i="26"/>
  <c r="BM42" i="26"/>
  <c r="N42" i="26"/>
  <c r="BR41" i="26"/>
  <c r="BM41" i="26"/>
  <c r="N41" i="26"/>
  <c r="BR40" i="26"/>
  <c r="BM40" i="26"/>
  <c r="N40" i="26"/>
  <c r="BR39" i="26"/>
  <c r="BM39" i="26"/>
  <c r="N39" i="26"/>
  <c r="BR38" i="26"/>
  <c r="BM38" i="26"/>
  <c r="N38" i="26"/>
  <c r="BZ39" i="26"/>
  <c r="BR37" i="26"/>
  <c r="BM37" i="26"/>
  <c r="N37" i="26"/>
  <c r="BR36" i="26"/>
  <c r="BM36" i="26"/>
  <c r="N36" i="26"/>
  <c r="BR35" i="26"/>
  <c r="N35" i="26"/>
  <c r="BR34" i="26"/>
  <c r="N34" i="26"/>
  <c r="BR33" i="26"/>
  <c r="BM33" i="26"/>
  <c r="N33" i="26"/>
  <c r="BR32" i="26"/>
  <c r="BM32" i="26"/>
  <c r="N32" i="26"/>
  <c r="BR31" i="26"/>
  <c r="BM31" i="26"/>
  <c r="N31" i="26"/>
  <c r="BR30" i="26"/>
  <c r="BM30" i="26"/>
  <c r="BM29" i="26"/>
  <c r="N29" i="26"/>
  <c r="BQ26" i="26"/>
  <c r="E26" i="26"/>
  <c r="BR24" i="26"/>
  <c r="BM24" i="26"/>
  <c r="I24" i="26"/>
  <c r="H24" i="26"/>
  <c r="G24" i="26"/>
  <c r="F24" i="26"/>
  <c r="BR23" i="26"/>
  <c r="BM23" i="26"/>
  <c r="BR22" i="26"/>
  <c r="BM22" i="26"/>
  <c r="I22" i="26"/>
  <c r="H22" i="26"/>
  <c r="G22" i="26"/>
  <c r="F22" i="26"/>
  <c r="BR21" i="26"/>
  <c r="BM21" i="26"/>
  <c r="I21" i="26"/>
  <c r="H21" i="26"/>
  <c r="G21" i="26"/>
  <c r="F21" i="26"/>
  <c r="BR20" i="26"/>
  <c r="BM20" i="26"/>
  <c r="I20" i="26"/>
  <c r="H20" i="26"/>
  <c r="G20" i="26"/>
  <c r="F20" i="26"/>
  <c r="BR19" i="26"/>
  <c r="BM19" i="26"/>
  <c r="I19" i="26"/>
  <c r="H19" i="26"/>
  <c r="G19" i="26"/>
  <c r="F19" i="26"/>
  <c r="BR18" i="26"/>
  <c r="BM18" i="26"/>
  <c r="I18" i="26"/>
  <c r="H18" i="26"/>
  <c r="G18" i="26"/>
  <c r="F18" i="26"/>
  <c r="BR17" i="26"/>
  <c r="BR16" i="26"/>
  <c r="BM16" i="26"/>
  <c r="BR15" i="26"/>
  <c r="BM15" i="26"/>
  <c r="BR14" i="26"/>
  <c r="BM14" i="26"/>
  <c r="I14" i="26"/>
  <c r="H14" i="26"/>
  <c r="G14" i="26"/>
  <c r="F14" i="26"/>
  <c r="BR13" i="26"/>
  <c r="BM13" i="26"/>
  <c r="I13" i="26"/>
  <c r="H13" i="26"/>
  <c r="G13" i="26"/>
  <c r="F13" i="26"/>
  <c r="K7" i="26"/>
  <c r="AT4" i="26"/>
  <c r="AC51" i="26"/>
  <c r="AH4" i="26"/>
  <c r="BT4" i="26"/>
  <c r="BY4" i="26" s="1"/>
  <c r="V4" i="26"/>
  <c r="BT3" i="26"/>
  <c r="BN53" i="26" l="1"/>
  <c r="BG53" i="26"/>
  <c r="AU53" i="26"/>
  <c r="BN65" i="26"/>
  <c r="BN64" i="26"/>
  <c r="BN66" i="26"/>
  <c r="BG64" i="26"/>
  <c r="BG66" i="26"/>
  <c r="BG65" i="26"/>
  <c r="AU64" i="26"/>
  <c r="AI64" i="26"/>
  <c r="W64" i="26"/>
  <c r="BN54" i="26"/>
  <c r="BG54" i="26"/>
  <c r="AU54" i="26"/>
  <c r="BN58" i="26"/>
  <c r="BG58" i="26"/>
  <c r="AU58" i="26"/>
  <c r="BN70" i="26"/>
  <c r="BG70" i="26"/>
  <c r="AU70" i="26"/>
  <c r="BN57" i="26"/>
  <c r="BG57" i="26"/>
  <c r="AU57" i="26"/>
  <c r="BN67" i="26"/>
  <c r="BG67" i="26"/>
  <c r="AU67" i="26"/>
  <c r="BN55" i="26"/>
  <c r="BG55" i="26"/>
  <c r="AU55" i="26"/>
  <c r="BN59" i="26"/>
  <c r="BG59" i="26"/>
  <c r="AU59" i="26"/>
  <c r="BN71" i="26"/>
  <c r="BG71" i="26"/>
  <c r="AU71" i="26"/>
  <c r="AI71" i="26"/>
  <c r="W71" i="26"/>
  <c r="BN72" i="26"/>
  <c r="BG72" i="26"/>
  <c r="AU72" i="26"/>
  <c r="AI72" i="26"/>
  <c r="W72" i="26"/>
  <c r="BK80" i="26"/>
  <c r="BD80" i="26"/>
  <c r="BJ80" i="26"/>
  <c r="BC80" i="26"/>
  <c r="BA80" i="26"/>
  <c r="BB80" i="26"/>
  <c r="AZ80" i="26"/>
  <c r="AY80" i="26"/>
  <c r="AX80" i="26"/>
  <c r="AR80" i="26"/>
  <c r="AP80" i="26"/>
  <c r="AQ80" i="26"/>
  <c r="AO80" i="26"/>
  <c r="AN80" i="26"/>
  <c r="AM80" i="26"/>
  <c r="AL80" i="26"/>
  <c r="AF80" i="26"/>
  <c r="AE80" i="26"/>
  <c r="AD80" i="26"/>
  <c r="AC80" i="26"/>
  <c r="AB80" i="26"/>
  <c r="AA80" i="26"/>
  <c r="Z80" i="26"/>
  <c r="T80" i="26"/>
  <c r="S80" i="26"/>
  <c r="Q80" i="26"/>
  <c r="R80" i="26"/>
  <c r="P80" i="26"/>
  <c r="O80" i="26"/>
  <c r="BN56" i="26"/>
  <c r="BG56" i="26"/>
  <c r="AU56" i="26"/>
  <c r="BN68" i="26"/>
  <c r="BG68" i="26"/>
  <c r="AU68" i="26"/>
  <c r="BN69" i="26"/>
  <c r="BG69" i="26"/>
  <c r="AU69" i="26"/>
  <c r="AI69" i="26"/>
  <c r="W69" i="26"/>
  <c r="BM7" i="26"/>
  <c r="BJ51" i="26"/>
  <c r="BJ85" i="26" s="1"/>
  <c r="W45" i="26"/>
  <c r="W40" i="26"/>
  <c r="AI66" i="26"/>
  <c r="W66" i="26"/>
  <c r="AI67" i="26"/>
  <c r="W67" i="26"/>
  <c r="AI59" i="26"/>
  <c r="W59" i="26"/>
  <c r="AI68" i="26"/>
  <c r="W68" i="26"/>
  <c r="K19" i="26"/>
  <c r="BG19" i="26" s="1"/>
  <c r="K13" i="26"/>
  <c r="AI13" i="26" s="1"/>
  <c r="AI53" i="26"/>
  <c r="W53" i="26"/>
  <c r="AI54" i="26"/>
  <c r="W54" i="26"/>
  <c r="AI56" i="26"/>
  <c r="W56" i="26"/>
  <c r="AI57" i="26"/>
  <c r="W57" i="26"/>
  <c r="AI70" i="26"/>
  <c r="AI65" i="26"/>
  <c r="W65" i="26"/>
  <c r="AI55" i="26"/>
  <c r="W55" i="26"/>
  <c r="AI58" i="26"/>
  <c r="W58" i="26"/>
  <c r="Z7" i="26"/>
  <c r="Z51" i="26" s="1"/>
  <c r="K3" i="26"/>
  <c r="W70" i="26"/>
  <c r="BY2" i="26"/>
  <c r="BZ2" i="26" s="1"/>
  <c r="CA2" i="26" s="1"/>
  <c r="BY1" i="26"/>
  <c r="BM26" i="26"/>
  <c r="J81" i="26"/>
  <c r="K23" i="26"/>
  <c r="AI23" i="26" s="1"/>
  <c r="K14" i="26"/>
  <c r="AU14" i="26" s="1"/>
  <c r="K16" i="26"/>
  <c r="AI16" i="26" s="1"/>
  <c r="C26" i="26"/>
  <c r="BR26" i="26"/>
  <c r="BW3" i="26"/>
  <c r="K15" i="26"/>
  <c r="AU15" i="26" s="1"/>
  <c r="K18" i="26"/>
  <c r="AI18" i="26" s="1"/>
  <c r="K22" i="26"/>
  <c r="W22" i="26" s="1"/>
  <c r="F47" i="26"/>
  <c r="K54" i="26"/>
  <c r="K56" i="26"/>
  <c r="K58" i="26"/>
  <c r="J60" i="26"/>
  <c r="K21" i="26"/>
  <c r="AU21" i="26" s="1"/>
  <c r="K17" i="26"/>
  <c r="K20" i="26"/>
  <c r="W20" i="26" s="1"/>
  <c r="K24" i="26"/>
  <c r="AI24" i="26" s="1"/>
  <c r="BM49" i="26"/>
  <c r="K53" i="26"/>
  <c r="K55" i="26"/>
  <c r="K57" i="26"/>
  <c r="N80" i="26"/>
  <c r="F73" i="26"/>
  <c r="F75" i="26" s="1"/>
  <c r="H73" i="26"/>
  <c r="H75" i="26" s="1"/>
  <c r="AC85" i="26"/>
  <c r="AH17" i="26"/>
  <c r="J4" i="26"/>
  <c r="AH14" i="26"/>
  <c r="BF4" i="26"/>
  <c r="F26" i="26"/>
  <c r="J26" i="26"/>
  <c r="AH13" i="26"/>
  <c r="AH15" i="26"/>
  <c r="AT15" i="26"/>
  <c r="AT17" i="26"/>
  <c r="BF17" i="26"/>
  <c r="BT19" i="26"/>
  <c r="BU19" i="26" s="1"/>
  <c r="BT21" i="26"/>
  <c r="BU21" i="26" s="1"/>
  <c r="V23" i="26"/>
  <c r="I26" i="26"/>
  <c r="BF19" i="26"/>
  <c r="BF21" i="26"/>
  <c r="AT31" i="26"/>
  <c r="AH31" i="26"/>
  <c r="BF18" i="26"/>
  <c r="BF22" i="26"/>
  <c r="J3" i="26"/>
  <c r="H26" i="26"/>
  <c r="AT14" i="26"/>
  <c r="BF14" i="26"/>
  <c r="AH16" i="26"/>
  <c r="BF16" i="26"/>
  <c r="AH18" i="26"/>
  <c r="AT18" i="26"/>
  <c r="AH20" i="26"/>
  <c r="V21" i="26"/>
  <c r="AH22" i="26"/>
  <c r="AT22" i="26"/>
  <c r="BT23" i="26"/>
  <c r="BU23" i="26" s="1"/>
  <c r="G26" i="26"/>
  <c r="H47" i="26"/>
  <c r="G49" i="26"/>
  <c r="N30" i="26"/>
  <c r="F49" i="26"/>
  <c r="BF39" i="26"/>
  <c r="AT39" i="26"/>
  <c r="AH39" i="26"/>
  <c r="E49" i="26"/>
  <c r="BR49" i="26" s="1"/>
  <c r="I47" i="26"/>
  <c r="V29" i="26"/>
  <c r="BR29" i="26"/>
  <c r="BT32" i="26"/>
  <c r="BU32" i="26" s="1"/>
  <c r="BF33" i="26"/>
  <c r="AT34" i="26"/>
  <c r="BF36" i="26"/>
  <c r="AT37" i="26"/>
  <c r="BT38" i="26"/>
  <c r="BU38" i="26" s="1"/>
  <c r="AT38" i="26"/>
  <c r="AH42" i="26"/>
  <c r="BM47" i="26"/>
  <c r="V35" i="26"/>
  <c r="AT40" i="26"/>
  <c r="AH40" i="26"/>
  <c r="BD85" i="26"/>
  <c r="G81" i="26"/>
  <c r="F81" i="26"/>
  <c r="E89" i="26"/>
  <c r="I81" i="26"/>
  <c r="H81" i="26"/>
  <c r="AH24" i="26"/>
  <c r="V32" i="26"/>
  <c r="AH34" i="26"/>
  <c r="BT35" i="26"/>
  <c r="BU35" i="26" s="1"/>
  <c r="AH37" i="26"/>
  <c r="I73" i="26"/>
  <c r="I75" i="26" s="1"/>
  <c r="BT41" i="26"/>
  <c r="BU41" i="26" s="1"/>
  <c r="BF43" i="26"/>
  <c r="V45" i="26"/>
  <c r="BT43" i="26"/>
  <c r="BU43" i="26" s="1"/>
  <c r="G73" i="26"/>
  <c r="G75" i="26" s="1"/>
  <c r="AT45" i="26"/>
  <c r="K72" i="26"/>
  <c r="K71" i="26"/>
  <c r="E77" i="26"/>
  <c r="K69" i="26"/>
  <c r="K67" i="26"/>
  <c r="K70" i="26"/>
  <c r="K65" i="26"/>
  <c r="K64" i="26"/>
  <c r="K66" i="26"/>
  <c r="E75" i="26"/>
  <c r="J73" i="26"/>
  <c r="BC16" i="23"/>
  <c r="BC17" i="23"/>
  <c r="BC18" i="23"/>
  <c r="BC19" i="23"/>
  <c r="BC20" i="23"/>
  <c r="BC21" i="23"/>
  <c r="BC22" i="23"/>
  <c r="BC23" i="23"/>
  <c r="BC24" i="23"/>
  <c r="BC25" i="23"/>
  <c r="BC26" i="23"/>
  <c r="BC27" i="23"/>
  <c r="BC4" i="23"/>
  <c r="BC7" i="23"/>
  <c r="AH80" i="26" l="1"/>
  <c r="BM51" i="26"/>
  <c r="AT80" i="26"/>
  <c r="CC3" i="27"/>
  <c r="BB56" i="26"/>
  <c r="BB59" i="26"/>
  <c r="AY56" i="26"/>
  <c r="AY59" i="26"/>
  <c r="BK56" i="26"/>
  <c r="BK55" i="26"/>
  <c r="AX56" i="26"/>
  <c r="AX55" i="26"/>
  <c r="AZ55" i="26"/>
  <c r="AZ58" i="26"/>
  <c r="BD54" i="26"/>
  <c r="BA56" i="26"/>
  <c r="BA55" i="26"/>
  <c r="AR58" i="26"/>
  <c r="AR56" i="26"/>
  <c r="AP58" i="26"/>
  <c r="AP55" i="26"/>
  <c r="AY57" i="26"/>
  <c r="BB54" i="26"/>
  <c r="BB58" i="26"/>
  <c r="AY58" i="26"/>
  <c r="AY54" i="26"/>
  <c r="BK59" i="26"/>
  <c r="BK57" i="26"/>
  <c r="AX57" i="26"/>
  <c r="AX53" i="26"/>
  <c r="AX60" i="26" s="1"/>
  <c r="AX62" i="26" s="1"/>
  <c r="AX69" i="26" s="1"/>
  <c r="AZ54" i="26"/>
  <c r="BD58" i="26"/>
  <c r="BD59" i="26"/>
  <c r="BA57" i="26"/>
  <c r="BA59" i="26"/>
  <c r="AR59" i="26"/>
  <c r="AR54" i="26"/>
  <c r="AP54" i="26"/>
  <c r="AY53" i="26"/>
  <c r="AY60" i="26" s="1"/>
  <c r="AY62" i="26" s="1"/>
  <c r="AY67" i="26" s="1"/>
  <c r="AX58" i="26"/>
  <c r="AZ57" i="26"/>
  <c r="BD53" i="26"/>
  <c r="BD60" i="26" s="1"/>
  <c r="BD62" i="26" s="1"/>
  <c r="BD70" i="26" s="1"/>
  <c r="BA58" i="26"/>
  <c r="AR55" i="26"/>
  <c r="AP57" i="26"/>
  <c r="BB57" i="26"/>
  <c r="BB53" i="26"/>
  <c r="BB60" i="26" s="1"/>
  <c r="BB62" i="26" s="1"/>
  <c r="BB66" i="26" s="1"/>
  <c r="AY55" i="26"/>
  <c r="BK53" i="26"/>
  <c r="BK60" i="26" s="1"/>
  <c r="BK62" i="26" s="1"/>
  <c r="BK66" i="26" s="1"/>
  <c r="BK54" i="26"/>
  <c r="AX59" i="26"/>
  <c r="AZ53" i="26"/>
  <c r="AZ60" i="26" s="1"/>
  <c r="AZ62" i="26" s="1"/>
  <c r="AZ72" i="26" s="1"/>
  <c r="AZ59" i="26"/>
  <c r="BD56" i="26"/>
  <c r="BD55" i="26"/>
  <c r="BA54" i="26"/>
  <c r="BA53" i="26"/>
  <c r="BA60" i="26" s="1"/>
  <c r="BA62" i="26" s="1"/>
  <c r="BA70" i="26" s="1"/>
  <c r="AR53" i="26"/>
  <c r="AR60" i="26" s="1"/>
  <c r="AR62" i="26" s="1"/>
  <c r="AR71" i="26" s="1"/>
  <c r="AP53" i="26"/>
  <c r="AP60" i="26" s="1"/>
  <c r="AP62" i="26" s="1"/>
  <c r="AP67" i="26" s="1"/>
  <c r="AP59" i="26"/>
  <c r="BB55" i="26"/>
  <c r="BK58" i="26"/>
  <c r="AX54" i="26"/>
  <c r="AZ56" i="26"/>
  <c r="BD57" i="26"/>
  <c r="AR57" i="26"/>
  <c r="AP56" i="26"/>
  <c r="BM80" i="26"/>
  <c r="V80" i="26"/>
  <c r="N81" i="26"/>
  <c r="BK81" i="26"/>
  <c r="BJ81" i="26"/>
  <c r="BD81" i="26"/>
  <c r="BC81" i="26"/>
  <c r="BB81" i="26"/>
  <c r="AZ81" i="26"/>
  <c r="BA81" i="26"/>
  <c r="AY81" i="26"/>
  <c r="AX81" i="26"/>
  <c r="AP81" i="26"/>
  <c r="AR81" i="26"/>
  <c r="AQ81" i="26"/>
  <c r="AO81" i="26"/>
  <c r="AN81" i="26"/>
  <c r="AM81" i="26"/>
  <c r="AL81" i="26"/>
  <c r="AF81" i="26"/>
  <c r="AE81" i="26"/>
  <c r="AD81" i="26"/>
  <c r="AB81" i="26"/>
  <c r="AC81" i="26"/>
  <c r="AA81" i="26"/>
  <c r="Z81" i="26"/>
  <c r="T81" i="26"/>
  <c r="S81" i="26"/>
  <c r="Q81" i="26"/>
  <c r="R81" i="26"/>
  <c r="O81" i="26"/>
  <c r="P81" i="26"/>
  <c r="AY66" i="26"/>
  <c r="BD68" i="26"/>
  <c r="BD64" i="26"/>
  <c r="BK67" i="26"/>
  <c r="BK65" i="26"/>
  <c r="BB72" i="26"/>
  <c r="BB69" i="26"/>
  <c r="AX66" i="26"/>
  <c r="AX72" i="26"/>
  <c r="AX64" i="26"/>
  <c r="AZ66" i="26"/>
  <c r="AZ65" i="26"/>
  <c r="AR68" i="26"/>
  <c r="AR72" i="26"/>
  <c r="BJ55" i="26"/>
  <c r="BM55" i="26" s="1"/>
  <c r="BO55" i="26" s="1"/>
  <c r="BJ56" i="26"/>
  <c r="BM56" i="26" s="1"/>
  <c r="BO56" i="26" s="1"/>
  <c r="BJ59" i="26"/>
  <c r="BM59" i="26" s="1"/>
  <c r="BO59" i="26" s="1"/>
  <c r="BJ57" i="26"/>
  <c r="BM57" i="26" s="1"/>
  <c r="BO57" i="26" s="1"/>
  <c r="BJ53" i="26"/>
  <c r="BJ58" i="26"/>
  <c r="BM58" i="26" s="1"/>
  <c r="BO58" i="26" s="1"/>
  <c r="BJ54" i="26"/>
  <c r="BM54" i="26" s="1"/>
  <c r="BO54" i="26" s="1"/>
  <c r="BA66" i="26"/>
  <c r="W17" i="26"/>
  <c r="BN17" i="26"/>
  <c r="BO17" i="26" s="1"/>
  <c r="AP72" i="26"/>
  <c r="AP71" i="26"/>
  <c r="AP64" i="26"/>
  <c r="AP68" i="26"/>
  <c r="AQ57" i="26"/>
  <c r="AQ58" i="26"/>
  <c r="AQ55" i="26"/>
  <c r="AQ56" i="26"/>
  <c r="AQ59" i="26"/>
  <c r="AQ53" i="26"/>
  <c r="AQ54" i="26"/>
  <c r="Q59" i="26"/>
  <c r="AO59" i="26"/>
  <c r="AO53" i="26"/>
  <c r="AM56" i="26"/>
  <c r="AM53" i="26"/>
  <c r="AN55" i="26"/>
  <c r="AO58" i="26"/>
  <c r="AM54" i="26"/>
  <c r="AN53" i="26"/>
  <c r="AO55" i="26"/>
  <c r="AO56" i="26"/>
  <c r="AM58" i="26"/>
  <c r="AO57" i="26"/>
  <c r="AO54" i="26"/>
  <c r="AM55" i="26"/>
  <c r="AN57" i="26"/>
  <c r="AN56" i="26"/>
  <c r="AM57" i="26"/>
  <c r="AN58" i="26"/>
  <c r="AM59" i="26"/>
  <c r="AN59" i="26"/>
  <c r="AN54" i="26"/>
  <c r="BW4" i="26"/>
  <c r="W19" i="26"/>
  <c r="AU19" i="26"/>
  <c r="AU13" i="26"/>
  <c r="AI19" i="26"/>
  <c r="Q55" i="26"/>
  <c r="O59" i="26"/>
  <c r="T58" i="26"/>
  <c r="AC57" i="26"/>
  <c r="AC56" i="26"/>
  <c r="S58" i="26"/>
  <c r="AC54" i="26"/>
  <c r="O57" i="26"/>
  <c r="S59" i="26"/>
  <c r="Q54" i="26"/>
  <c r="S55" i="26"/>
  <c r="BZ1" i="26"/>
  <c r="CA1" i="26" s="1"/>
  <c r="CB1" i="26" s="1"/>
  <c r="O53" i="26"/>
  <c r="S54" i="26"/>
  <c r="T53" i="26"/>
  <c r="AC59" i="26"/>
  <c r="O55" i="26"/>
  <c r="O58" i="26"/>
  <c r="AE57" i="26"/>
  <c r="AF59" i="26"/>
  <c r="AF58" i="26"/>
  <c r="AL58" i="26"/>
  <c r="AL53" i="26"/>
  <c r="P58" i="26"/>
  <c r="R55" i="26"/>
  <c r="R59" i="26"/>
  <c r="AE56" i="26"/>
  <c r="AE55" i="26"/>
  <c r="AF53" i="26"/>
  <c r="AF56" i="26"/>
  <c r="AL55" i="26"/>
  <c r="AL56" i="26"/>
  <c r="P54" i="26"/>
  <c r="P57" i="26"/>
  <c r="R57" i="26"/>
  <c r="R54" i="26"/>
  <c r="AE54" i="26"/>
  <c r="AE53" i="26"/>
  <c r="AF55" i="26"/>
  <c r="AF57" i="26"/>
  <c r="AL59" i="26"/>
  <c r="P53" i="26"/>
  <c r="P56" i="26"/>
  <c r="R56" i="26"/>
  <c r="R53" i="26"/>
  <c r="AE59" i="26"/>
  <c r="AE58" i="26"/>
  <c r="AF54" i="26"/>
  <c r="AL57" i="26"/>
  <c r="AL54" i="26"/>
  <c r="P59" i="26"/>
  <c r="P55" i="26"/>
  <c r="R58" i="26"/>
  <c r="O56" i="26"/>
  <c r="O54" i="26"/>
  <c r="T54" i="26"/>
  <c r="T59" i="26"/>
  <c r="Q56" i="26"/>
  <c r="Q57" i="26"/>
  <c r="AC58" i="26"/>
  <c r="S56" i="26"/>
  <c r="T56" i="26"/>
  <c r="S53" i="26"/>
  <c r="T55" i="26"/>
  <c r="T57" i="26"/>
  <c r="Q53" i="26"/>
  <c r="Q58" i="26"/>
  <c r="AC55" i="26"/>
  <c r="AC53" i="26"/>
  <c r="S57" i="26"/>
  <c r="Z58" i="26"/>
  <c r="Z59" i="26"/>
  <c r="Z55" i="26"/>
  <c r="Z53" i="26"/>
  <c r="Z57" i="26"/>
  <c r="Z54" i="26"/>
  <c r="Z56" i="26"/>
  <c r="BG23" i="26"/>
  <c r="CB47" i="26"/>
  <c r="CB54" i="26" s="1"/>
  <c r="BC29" i="23"/>
  <c r="W60" i="26"/>
  <c r="J77" i="26"/>
  <c r="K60" i="26"/>
  <c r="AU23" i="26"/>
  <c r="W23" i="26"/>
  <c r="X23" i="26" s="1"/>
  <c r="AI14" i="26"/>
  <c r="AJ14" i="26" s="1"/>
  <c r="W18" i="26"/>
  <c r="AJ16" i="26"/>
  <c r="W13" i="26"/>
  <c r="W14" i="26"/>
  <c r="BG14" i="26"/>
  <c r="BH14" i="26" s="1"/>
  <c r="AU16" i="26"/>
  <c r="BH19" i="26"/>
  <c r="BG18" i="26"/>
  <c r="BH18" i="26" s="1"/>
  <c r="W16" i="26"/>
  <c r="AU22" i="26"/>
  <c r="AV22" i="26" s="1"/>
  <c r="AI15" i="26"/>
  <c r="AJ15" i="26" s="1"/>
  <c r="BG16" i="26"/>
  <c r="BH16" i="26" s="1"/>
  <c r="BG15" i="26"/>
  <c r="BG13" i="26"/>
  <c r="W15" i="26"/>
  <c r="W24" i="26"/>
  <c r="E85" i="26"/>
  <c r="AI21" i="26"/>
  <c r="AU17" i="26"/>
  <c r="AV17" i="26" s="1"/>
  <c r="BG20" i="26"/>
  <c r="AI17" i="26"/>
  <c r="AJ17" i="26" s="1"/>
  <c r="AI22" i="26"/>
  <c r="AJ22" i="26" s="1"/>
  <c r="AI20" i="26"/>
  <c r="AJ20" i="26" s="1"/>
  <c r="BG21" i="26"/>
  <c r="BH21" i="26" s="1"/>
  <c r="W21" i="26"/>
  <c r="X21" i="26" s="1"/>
  <c r="BG22" i="26"/>
  <c r="BH22" i="26" s="1"/>
  <c r="AU20" i="26"/>
  <c r="AJ13" i="26"/>
  <c r="BN4" i="26"/>
  <c r="BR47" i="26"/>
  <c r="BZ4" i="26"/>
  <c r="CA4" i="26" s="1"/>
  <c r="K26" i="26"/>
  <c r="BK85" i="26"/>
  <c r="BM85" i="26" s="1"/>
  <c r="AU18" i="26"/>
  <c r="AV18" i="26" s="1"/>
  <c r="BG24" i="26"/>
  <c r="AU24" i="26"/>
  <c r="BG17" i="26"/>
  <c r="I49" i="26"/>
  <c r="I77" i="26" s="1"/>
  <c r="K73" i="26"/>
  <c r="G47" i="26"/>
  <c r="AV14" i="26"/>
  <c r="F77" i="26"/>
  <c r="F51" i="26"/>
  <c r="G77" i="26"/>
  <c r="G51" i="26"/>
  <c r="V43" i="26"/>
  <c r="BT34" i="26"/>
  <c r="BU34" i="26" s="1"/>
  <c r="V34" i="26"/>
  <c r="BF42" i="26"/>
  <c r="V19" i="26"/>
  <c r="BT18" i="26"/>
  <c r="BU18" i="26" s="1"/>
  <c r="V18" i="26"/>
  <c r="BF44" i="26"/>
  <c r="J12" i="26"/>
  <c r="BY10" i="26"/>
  <c r="BQ80" i="26"/>
  <c r="BR80" i="26" s="1"/>
  <c r="E88" i="26"/>
  <c r="AT43" i="26"/>
  <c r="AH41" i="26"/>
  <c r="BG60" i="26"/>
  <c r="BG73" i="26" s="1"/>
  <c r="BF45" i="26"/>
  <c r="AT35" i="26"/>
  <c r="AT32" i="26"/>
  <c r="BF24" i="26"/>
  <c r="BU45" i="26"/>
  <c r="V42" i="26"/>
  <c r="BT42" i="26"/>
  <c r="BU42" i="26" s="1"/>
  <c r="BF29" i="26"/>
  <c r="E51" i="26"/>
  <c r="H49" i="26"/>
  <c r="AT13" i="26"/>
  <c r="V44" i="26"/>
  <c r="BT44" i="26"/>
  <c r="BU44" i="26" s="1"/>
  <c r="AH23" i="26"/>
  <c r="AJ23" i="26" s="1"/>
  <c r="AT21" i="26"/>
  <c r="AV21" i="26" s="1"/>
  <c r="AH19" i="26"/>
  <c r="BF15" i="26"/>
  <c r="BC26" i="26"/>
  <c r="BC51" i="26" s="1"/>
  <c r="V38" i="26"/>
  <c r="G89" i="26"/>
  <c r="J89" i="26"/>
  <c r="K89" i="26" s="1"/>
  <c r="F89" i="26"/>
  <c r="I89" i="26"/>
  <c r="H89" i="26"/>
  <c r="C47" i="26"/>
  <c r="BT17" i="26"/>
  <c r="BU17" i="26" s="1"/>
  <c r="V17" i="26"/>
  <c r="BT22" i="26"/>
  <c r="BU22" i="26" s="1"/>
  <c r="V22" i="26"/>
  <c r="X22" i="26" s="1"/>
  <c r="AT41" i="26"/>
  <c r="AH43" i="26"/>
  <c r="AI60" i="26"/>
  <c r="AI73" i="26" s="1"/>
  <c r="BF40" i="26"/>
  <c r="AT42" i="26"/>
  <c r="BT37" i="26"/>
  <c r="BU37" i="26" s="1"/>
  <c r="V37" i="26"/>
  <c r="AH33" i="26"/>
  <c r="BF32" i="26"/>
  <c r="BT24" i="26"/>
  <c r="BU24" i="26" s="1"/>
  <c r="V24" i="26"/>
  <c r="AB51" i="26"/>
  <c r="AD49" i="26"/>
  <c r="AT20" i="26"/>
  <c r="BF31" i="26"/>
  <c r="BT20" i="26"/>
  <c r="BU20" i="26" s="1"/>
  <c r="V20" i="26"/>
  <c r="X20" i="26" s="1"/>
  <c r="AH44" i="26"/>
  <c r="AT44" i="26"/>
  <c r="BF13" i="26"/>
  <c r="BU4" i="26"/>
  <c r="BY9" i="26" s="1"/>
  <c r="BT29" i="26"/>
  <c r="V41" i="26"/>
  <c r="BT14" i="26"/>
  <c r="BU14" i="26" s="1"/>
  <c r="V14" i="26"/>
  <c r="BF80" i="26"/>
  <c r="AU60" i="26"/>
  <c r="AU73" i="26" s="1"/>
  <c r="W73" i="26"/>
  <c r="AH45" i="26"/>
  <c r="J75" i="26"/>
  <c r="BF41" i="26"/>
  <c r="V36" i="26"/>
  <c r="BT36" i="26"/>
  <c r="BU36" i="26" s="1"/>
  <c r="V33" i="26"/>
  <c r="BT33" i="26"/>
  <c r="BU33" i="26" s="1"/>
  <c r="AT29" i="26"/>
  <c r="AT24" i="26"/>
  <c r="V40" i="26"/>
  <c r="X40" i="26" s="1"/>
  <c r="BT40" i="26"/>
  <c r="BU40" i="26" s="1"/>
  <c r="AH38" i="26"/>
  <c r="BF37" i="26"/>
  <c r="AT36" i="26"/>
  <c r="AH35" i="26"/>
  <c r="BF34" i="26"/>
  <c r="AT33" i="26"/>
  <c r="AH32" i="26"/>
  <c r="AH29" i="26"/>
  <c r="BF38" i="26"/>
  <c r="AH36" i="26"/>
  <c r="BF35" i="26"/>
  <c r="BT39" i="26"/>
  <c r="BU39" i="26" s="1"/>
  <c r="V39" i="26"/>
  <c r="AT16" i="26"/>
  <c r="AV15" i="26"/>
  <c r="BT15" i="26"/>
  <c r="BU15" i="26" s="1"/>
  <c r="V15" i="26"/>
  <c r="N26" i="26"/>
  <c r="BT13" i="26"/>
  <c r="V13" i="26"/>
  <c r="V31" i="26"/>
  <c r="BT31" i="26"/>
  <c r="BU31" i="26" s="1"/>
  <c r="AJ24" i="26"/>
  <c r="BF23" i="26"/>
  <c r="AT23" i="26"/>
  <c r="AH21" i="26"/>
  <c r="AT19" i="26"/>
  <c r="AJ18" i="26"/>
  <c r="BT16" i="26"/>
  <c r="BU16" i="26" s="1"/>
  <c r="V16" i="26"/>
  <c r="BF20" i="26"/>
  <c r="BB16" i="23"/>
  <c r="BB17" i="23"/>
  <c r="BB18" i="23"/>
  <c r="BB19" i="23"/>
  <c r="BB20" i="23"/>
  <c r="BB21" i="23"/>
  <c r="BB22" i="23"/>
  <c r="BB23" i="23"/>
  <c r="BB24" i="23"/>
  <c r="BB25" i="23"/>
  <c r="BB26" i="23"/>
  <c r="BB27" i="23"/>
  <c r="BB4" i="23"/>
  <c r="BB7" i="23"/>
  <c r="AP69" i="26" l="1"/>
  <c r="AP70" i="26"/>
  <c r="BB64" i="26"/>
  <c r="AY69" i="26"/>
  <c r="AP66" i="26"/>
  <c r="AP65" i="26"/>
  <c r="BA72" i="26"/>
  <c r="BB67" i="26"/>
  <c r="BK72" i="26"/>
  <c r="AY65" i="26"/>
  <c r="AZ70" i="26"/>
  <c r="AZ67" i="26"/>
  <c r="AZ69" i="26"/>
  <c r="AZ64" i="26"/>
  <c r="AZ71" i="26"/>
  <c r="AZ68" i="26"/>
  <c r="V81" i="26"/>
  <c r="BA68" i="26"/>
  <c r="BA65" i="26"/>
  <c r="BK64" i="26"/>
  <c r="BK70" i="26"/>
  <c r="AT81" i="26"/>
  <c r="BF81" i="26"/>
  <c r="BQ81" i="26"/>
  <c r="BR81" i="26" s="1"/>
  <c r="BA67" i="26"/>
  <c r="BA71" i="26"/>
  <c r="BA64" i="26"/>
  <c r="BK68" i="26"/>
  <c r="BK69" i="26"/>
  <c r="BA69" i="26"/>
  <c r="BK71" i="26"/>
  <c r="AR67" i="26"/>
  <c r="AR66" i="26"/>
  <c r="AX71" i="26"/>
  <c r="AX70" i="26"/>
  <c r="BB70" i="26"/>
  <c r="BB71" i="26"/>
  <c r="BB68" i="26"/>
  <c r="BD69" i="26"/>
  <c r="BD72" i="26"/>
  <c r="AY70" i="26"/>
  <c r="AY64" i="26"/>
  <c r="AY73" i="26" s="1"/>
  <c r="AY75" i="26" s="1"/>
  <c r="AY78" i="26" s="1"/>
  <c r="AY83" i="26" s="1"/>
  <c r="AH81" i="26"/>
  <c r="AR70" i="26"/>
  <c r="AR64" i="26"/>
  <c r="AR69" i="26"/>
  <c r="AX65" i="26"/>
  <c r="AX68" i="26"/>
  <c r="BB65" i="26"/>
  <c r="BD71" i="26"/>
  <c r="BD67" i="26"/>
  <c r="AY68" i="26"/>
  <c r="BM81" i="26"/>
  <c r="AR65" i="26"/>
  <c r="AX67" i="26"/>
  <c r="BD66" i="26"/>
  <c r="BD65" i="26"/>
  <c r="AY72" i="26"/>
  <c r="AY71" i="26"/>
  <c r="BK73" i="26"/>
  <c r="BK75" i="26" s="1"/>
  <c r="BK78" i="26" s="1"/>
  <c r="BK83" i="26" s="1"/>
  <c r="AR73" i="26"/>
  <c r="AR75" i="26" s="1"/>
  <c r="AR78" i="26" s="1"/>
  <c r="AR83" i="26" s="1"/>
  <c r="AZ73" i="26"/>
  <c r="AZ75" i="26" s="1"/>
  <c r="AZ78" i="26" s="1"/>
  <c r="AZ83" i="26" s="1"/>
  <c r="BA73" i="26"/>
  <c r="BA75" i="26" s="1"/>
  <c r="BA78" i="26" s="1"/>
  <c r="BA83" i="26" s="1"/>
  <c r="BM53" i="26"/>
  <c r="BO53" i="26" s="1"/>
  <c r="BJ60" i="26"/>
  <c r="BJ62" i="26" s="1"/>
  <c r="AX73" i="26"/>
  <c r="AX75" i="26" s="1"/>
  <c r="AX78" i="26" s="1"/>
  <c r="AX83" i="26" s="1"/>
  <c r="BB73" i="26"/>
  <c r="BB75" i="26" s="1"/>
  <c r="BB78" i="26" s="1"/>
  <c r="BB83" i="26" s="1"/>
  <c r="BD73" i="26"/>
  <c r="BD75" i="26" s="1"/>
  <c r="BD78" i="26" s="1"/>
  <c r="BC56" i="26"/>
  <c r="BC57" i="26"/>
  <c r="BC54" i="26"/>
  <c r="BC55" i="26"/>
  <c r="BC58" i="26"/>
  <c r="BC59" i="26"/>
  <c r="BC53" i="26"/>
  <c r="X17" i="26"/>
  <c r="AP73" i="26"/>
  <c r="AP75" i="26" s="1"/>
  <c r="AP78" i="26" s="1"/>
  <c r="AP83" i="26" s="1"/>
  <c r="AQ60" i="26"/>
  <c r="AQ62" i="26" s="1"/>
  <c r="AN60" i="26"/>
  <c r="AN62" i="26" s="1"/>
  <c r="AM60" i="26"/>
  <c r="AM62" i="26" s="1"/>
  <c r="AO60" i="26"/>
  <c r="AO62" i="26" s="1"/>
  <c r="X19" i="26"/>
  <c r="AV13" i="26"/>
  <c r="AV19" i="26"/>
  <c r="AJ19" i="26"/>
  <c r="BH23" i="26"/>
  <c r="X13" i="26"/>
  <c r="S60" i="26"/>
  <c r="S62" i="26" s="1"/>
  <c r="S65" i="26" s="1"/>
  <c r="O60" i="26"/>
  <c r="O62" i="26" s="1"/>
  <c r="O71" i="26" s="1"/>
  <c r="Q60" i="26"/>
  <c r="Q62" i="26" s="1"/>
  <c r="Q72" i="26" s="1"/>
  <c r="AC60" i="26"/>
  <c r="AC62" i="26" s="1"/>
  <c r="AC68" i="26" s="1"/>
  <c r="T60" i="26"/>
  <c r="T62" i="26" s="1"/>
  <c r="T68" i="26" s="1"/>
  <c r="AL60" i="26"/>
  <c r="AL62" i="26" s="1"/>
  <c r="P60" i="26"/>
  <c r="P62" i="26" s="1"/>
  <c r="AE60" i="26"/>
  <c r="AE62" i="26" s="1"/>
  <c r="R60" i="26"/>
  <c r="R62" i="26" s="1"/>
  <c r="AF60" i="26"/>
  <c r="AF62" i="26" s="1"/>
  <c r="Z60" i="26"/>
  <c r="Z62" i="26" s="1"/>
  <c r="Z66" i="26" s="1"/>
  <c r="AB59" i="26"/>
  <c r="AB58" i="26"/>
  <c r="AB57" i="26"/>
  <c r="AB56" i="26"/>
  <c r="AB55" i="26"/>
  <c r="AB54" i="26"/>
  <c r="AB53" i="26"/>
  <c r="CB53" i="26"/>
  <c r="CB52" i="26"/>
  <c r="CB55" i="26"/>
  <c r="BB29" i="23"/>
  <c r="AV23" i="26"/>
  <c r="X18" i="26"/>
  <c r="AJ21" i="26"/>
  <c r="AV16" i="26"/>
  <c r="BH13" i="26"/>
  <c r="BH24" i="26"/>
  <c r="X14" i="26"/>
  <c r="X24" i="26"/>
  <c r="BH15" i="26"/>
  <c r="X16" i="26"/>
  <c r="W26" i="26"/>
  <c r="AI26" i="26"/>
  <c r="AV24" i="26"/>
  <c r="X15" i="26"/>
  <c r="AU26" i="26"/>
  <c r="BH20" i="26"/>
  <c r="AV20" i="26"/>
  <c r="F85" i="26"/>
  <c r="I85" i="26"/>
  <c r="G85" i="26"/>
  <c r="J85" i="26"/>
  <c r="K85" i="26" s="1"/>
  <c r="H85" i="26"/>
  <c r="BG26" i="26"/>
  <c r="BH17" i="26"/>
  <c r="J49" i="26"/>
  <c r="J51" i="26" s="1"/>
  <c r="AU4" i="26"/>
  <c r="I51" i="26"/>
  <c r="J28" i="26"/>
  <c r="K28" i="26" s="1"/>
  <c r="W4" i="26"/>
  <c r="AA51" i="26"/>
  <c r="S85" i="26"/>
  <c r="BC85" i="26"/>
  <c r="AH6" i="26"/>
  <c r="AO85" i="26"/>
  <c r="T85" i="26"/>
  <c r="AN85" i="26"/>
  <c r="BG32" i="26"/>
  <c r="BH32" i="26" s="1"/>
  <c r="AI32" i="26"/>
  <c r="AJ32" i="26" s="1"/>
  <c r="W32" i="26"/>
  <c r="X32" i="26" s="1"/>
  <c r="AU32" i="26"/>
  <c r="AV32" i="26" s="1"/>
  <c r="BG40" i="26"/>
  <c r="BH40" i="26" s="1"/>
  <c r="AI40" i="26"/>
  <c r="AJ40" i="26" s="1"/>
  <c r="AU40" i="26"/>
  <c r="AV40" i="26" s="1"/>
  <c r="AD51" i="26"/>
  <c r="V26" i="26"/>
  <c r="K47" i="26"/>
  <c r="BG29" i="26"/>
  <c r="AI29" i="26"/>
  <c r="W29" i="26"/>
  <c r="X29" i="26" s="1"/>
  <c r="AU29" i="26"/>
  <c r="BN60" i="26"/>
  <c r="BN73" i="26" s="1"/>
  <c r="AA49" i="26"/>
  <c r="BF30" i="26"/>
  <c r="BF47" i="26" s="1"/>
  <c r="V30" i="26"/>
  <c r="BT30" i="26"/>
  <c r="BU30" i="26" s="1"/>
  <c r="N47" i="26"/>
  <c r="N6" i="26" s="1"/>
  <c r="BT6" i="26" s="1"/>
  <c r="AQ85" i="26"/>
  <c r="AI4" i="26"/>
  <c r="AJ3" i="26"/>
  <c r="AJ4" i="26" s="1"/>
  <c r="AI30" i="26"/>
  <c r="W30" i="26"/>
  <c r="BG30" i="26"/>
  <c r="AU30" i="26"/>
  <c r="BG39" i="26"/>
  <c r="BH39" i="26" s="1"/>
  <c r="W39" i="26"/>
  <c r="X39" i="26" s="1"/>
  <c r="AU39" i="26"/>
  <c r="AV39" i="26" s="1"/>
  <c r="AI39" i="26"/>
  <c r="AJ39" i="26" s="1"/>
  <c r="AU35" i="26"/>
  <c r="AV35" i="26" s="1"/>
  <c r="W35" i="26"/>
  <c r="X35" i="26" s="1"/>
  <c r="AI35" i="26"/>
  <c r="AJ35" i="26" s="1"/>
  <c r="BG35" i="26"/>
  <c r="BH35" i="26" s="1"/>
  <c r="W42" i="26"/>
  <c r="X42" i="26" s="1"/>
  <c r="AI42" i="26"/>
  <c r="AJ42" i="26" s="1"/>
  <c r="AU42" i="26"/>
  <c r="AV42" i="26" s="1"/>
  <c r="BG42" i="26"/>
  <c r="BH42" i="26" s="1"/>
  <c r="BG45" i="26"/>
  <c r="BH45" i="26" s="1"/>
  <c r="AU45" i="26"/>
  <c r="AV45" i="26" s="1"/>
  <c r="AI45" i="26"/>
  <c r="AJ45" i="26" s="1"/>
  <c r="X45" i="26"/>
  <c r="AB49" i="26"/>
  <c r="AF85" i="26"/>
  <c r="BU29" i="26"/>
  <c r="AH30" i="26"/>
  <c r="AH47" i="26" s="1"/>
  <c r="AT30" i="26"/>
  <c r="AT47" i="26" s="1"/>
  <c r="R85" i="26"/>
  <c r="BA85" i="26"/>
  <c r="AE85" i="26"/>
  <c r="AI37" i="26"/>
  <c r="AJ37" i="26" s="1"/>
  <c r="AU37" i="26"/>
  <c r="AV37" i="26" s="1"/>
  <c r="W37" i="26"/>
  <c r="X37" i="26" s="1"/>
  <c r="BG37" i="26"/>
  <c r="BH37" i="26" s="1"/>
  <c r="W33" i="26"/>
  <c r="X33" i="26" s="1"/>
  <c r="AU33" i="26"/>
  <c r="AV33" i="26" s="1"/>
  <c r="AI33" i="26"/>
  <c r="AJ33" i="26" s="1"/>
  <c r="BG33" i="26"/>
  <c r="BH33" i="26" s="1"/>
  <c r="AI38" i="26"/>
  <c r="AJ38" i="26" s="1"/>
  <c r="W38" i="26"/>
  <c r="X38" i="26" s="1"/>
  <c r="AU38" i="26"/>
  <c r="AV38" i="26" s="1"/>
  <c r="BG38" i="26"/>
  <c r="BH38" i="26" s="1"/>
  <c r="W44" i="26"/>
  <c r="X44" i="26" s="1"/>
  <c r="AI44" i="26"/>
  <c r="AJ44" i="26" s="1"/>
  <c r="AU44" i="26"/>
  <c r="AV44" i="26" s="1"/>
  <c r="BG44" i="26"/>
  <c r="BH44" i="26" s="1"/>
  <c r="AT26" i="26"/>
  <c r="H77" i="26"/>
  <c r="H51" i="26"/>
  <c r="G88" i="26"/>
  <c r="J88" i="26"/>
  <c r="I88" i="26"/>
  <c r="H88" i="26"/>
  <c r="E90" i="26"/>
  <c r="F88" i="26"/>
  <c r="AH26" i="26"/>
  <c r="AY85" i="26"/>
  <c r="W31" i="26"/>
  <c r="X31" i="26" s="1"/>
  <c r="BG31" i="26"/>
  <c r="BH31" i="26" s="1"/>
  <c r="AI31" i="26"/>
  <c r="AJ31" i="26" s="1"/>
  <c r="AU31" i="26"/>
  <c r="AV31" i="26" s="1"/>
  <c r="AI43" i="26"/>
  <c r="AJ43" i="26" s="1"/>
  <c r="W43" i="26"/>
  <c r="X43" i="26" s="1"/>
  <c r="AU43" i="26"/>
  <c r="AV43" i="26" s="1"/>
  <c r="BG43" i="26"/>
  <c r="BH43" i="26" s="1"/>
  <c r="BT26" i="26"/>
  <c r="BU26" i="26" s="1"/>
  <c r="BU13" i="26"/>
  <c r="BF26" i="26"/>
  <c r="BB85" i="26"/>
  <c r="AB85" i="26"/>
  <c r="BH3" i="26"/>
  <c r="BH4" i="26" s="1"/>
  <c r="BG4" i="26"/>
  <c r="AU34" i="26"/>
  <c r="AV34" i="26" s="1"/>
  <c r="AI34" i="26"/>
  <c r="AJ34" i="26" s="1"/>
  <c r="W34" i="26"/>
  <c r="X34" i="26" s="1"/>
  <c r="BG34" i="26"/>
  <c r="BH34" i="26" s="1"/>
  <c r="AU36" i="26"/>
  <c r="AV36" i="26" s="1"/>
  <c r="BG36" i="26"/>
  <c r="BH36" i="26" s="1"/>
  <c r="AI36" i="26"/>
  <c r="AJ36" i="26" s="1"/>
  <c r="W36" i="26"/>
  <c r="X36" i="26" s="1"/>
  <c r="E86" i="26"/>
  <c r="BY3" i="26"/>
  <c r="AI41" i="26"/>
  <c r="AJ41" i="26" s="1"/>
  <c r="BG41" i="26"/>
  <c r="BH41" i="26" s="1"/>
  <c r="AU41" i="26"/>
  <c r="AV41" i="26" s="1"/>
  <c r="W41" i="26"/>
  <c r="X41" i="26" s="1"/>
  <c r="BF49" i="26"/>
  <c r="E97" i="26" l="1"/>
  <c r="BK88" i="26"/>
  <c r="BJ64" i="26"/>
  <c r="BJ68" i="26"/>
  <c r="BM68" i="26" s="1"/>
  <c r="BO68" i="26" s="1"/>
  <c r="BJ71" i="26"/>
  <c r="BM71" i="26" s="1"/>
  <c r="BO71" i="26" s="1"/>
  <c r="BJ66" i="26"/>
  <c r="BM66" i="26" s="1"/>
  <c r="BO66" i="26" s="1"/>
  <c r="BJ65" i="26"/>
  <c r="BM65" i="26" s="1"/>
  <c r="BO65" i="26" s="1"/>
  <c r="BJ67" i="26"/>
  <c r="BM67" i="26" s="1"/>
  <c r="BO67" i="26" s="1"/>
  <c r="BJ70" i="26"/>
  <c r="BM70" i="26" s="1"/>
  <c r="BO70" i="26" s="1"/>
  <c r="BJ69" i="26"/>
  <c r="BM69" i="26" s="1"/>
  <c r="BO69" i="26" s="1"/>
  <c r="BJ72" i="26"/>
  <c r="BM72" i="26" s="1"/>
  <c r="BO72" i="26" s="1"/>
  <c r="BD83" i="26"/>
  <c r="BD88" i="26"/>
  <c r="C97" i="26"/>
  <c r="C98" i="26" s="1"/>
  <c r="C99" i="26" s="1"/>
  <c r="J99" i="26"/>
  <c r="BC60" i="26"/>
  <c r="BC62" i="26" s="1"/>
  <c r="AJ26" i="26"/>
  <c r="AQ71" i="26"/>
  <c r="AQ64" i="26"/>
  <c r="AQ72" i="26"/>
  <c r="AQ68" i="26"/>
  <c r="AQ65" i="26"/>
  <c r="AQ69" i="26"/>
  <c r="AQ67" i="26"/>
  <c r="AQ70" i="26"/>
  <c r="AQ66" i="26"/>
  <c r="AM68" i="26"/>
  <c r="AM66" i="26"/>
  <c r="AM70" i="26"/>
  <c r="AM65" i="26"/>
  <c r="AM72" i="26"/>
  <c r="AM69" i="26"/>
  <c r="AM71" i="26"/>
  <c r="AM67" i="26"/>
  <c r="AM64" i="26"/>
  <c r="AO64" i="26"/>
  <c r="AO67" i="26"/>
  <c r="AO66" i="26"/>
  <c r="AO71" i="26"/>
  <c r="AO70" i="26"/>
  <c r="AO72" i="26"/>
  <c r="AO68" i="26"/>
  <c r="AO69" i="26"/>
  <c r="AO65" i="26"/>
  <c r="AN69" i="26"/>
  <c r="AN70" i="26"/>
  <c r="AN66" i="26"/>
  <c r="AN64" i="26"/>
  <c r="AN68" i="26"/>
  <c r="AN67" i="26"/>
  <c r="AN72" i="26"/>
  <c r="AN71" i="26"/>
  <c r="AN65" i="26"/>
  <c r="S70" i="26"/>
  <c r="T67" i="26"/>
  <c r="O68" i="26"/>
  <c r="O66" i="26"/>
  <c r="T72" i="26"/>
  <c r="Q67" i="26"/>
  <c r="O64" i="26"/>
  <c r="Q68" i="26"/>
  <c r="Q64" i="26"/>
  <c r="T70" i="26"/>
  <c r="Q70" i="26"/>
  <c r="AC66" i="26"/>
  <c r="T71" i="26"/>
  <c r="Q69" i="26"/>
  <c r="AC67" i="26"/>
  <c r="Q66" i="26"/>
  <c r="T69" i="26"/>
  <c r="AC71" i="26"/>
  <c r="S68" i="26"/>
  <c r="Q71" i="26"/>
  <c r="Q65" i="26"/>
  <c r="AC65" i="26"/>
  <c r="AC72" i="26"/>
  <c r="O72" i="26"/>
  <c r="S69" i="26"/>
  <c r="S66" i="26"/>
  <c r="O69" i="26"/>
  <c r="S72" i="26"/>
  <c r="S67" i="26"/>
  <c r="S71" i="26"/>
  <c r="S64" i="26"/>
  <c r="O70" i="26"/>
  <c r="O65" i="26"/>
  <c r="O67" i="26"/>
  <c r="AC69" i="26"/>
  <c r="AC64" i="26"/>
  <c r="T66" i="26"/>
  <c r="T65" i="26"/>
  <c r="T64" i="26"/>
  <c r="AC70" i="26"/>
  <c r="AE69" i="26"/>
  <c r="AE70" i="26"/>
  <c r="AE65" i="26"/>
  <c r="AE67" i="26"/>
  <c r="AE71" i="26"/>
  <c r="AE64" i="26"/>
  <c r="AE66" i="26"/>
  <c r="AE68" i="26"/>
  <c r="AE72" i="26"/>
  <c r="AF64" i="26"/>
  <c r="AF69" i="26"/>
  <c r="AF68" i="26"/>
  <c r="AF72" i="26"/>
  <c r="AF67" i="26"/>
  <c r="AF70" i="26"/>
  <c r="AF71" i="26"/>
  <c r="AF66" i="26"/>
  <c r="AF65" i="26"/>
  <c r="P67" i="26"/>
  <c r="P68" i="26"/>
  <c r="P69" i="26"/>
  <c r="P71" i="26"/>
  <c r="P72" i="26"/>
  <c r="P70" i="26"/>
  <c r="P64" i="26"/>
  <c r="P65" i="26"/>
  <c r="P66" i="26"/>
  <c r="Z71" i="26"/>
  <c r="Z65" i="26"/>
  <c r="R66" i="26"/>
  <c r="R69" i="26"/>
  <c r="R65" i="26"/>
  <c r="R64" i="26"/>
  <c r="R70" i="26"/>
  <c r="R71" i="26"/>
  <c r="R68" i="26"/>
  <c r="R72" i="26"/>
  <c r="R67" i="26"/>
  <c r="AL69" i="26"/>
  <c r="AL71" i="26"/>
  <c r="AL65" i="26"/>
  <c r="AL70" i="26"/>
  <c r="AL64" i="26"/>
  <c r="AL72" i="26"/>
  <c r="AL67" i="26"/>
  <c r="AL68" i="26"/>
  <c r="AL66" i="26"/>
  <c r="Z69" i="26"/>
  <c r="Z72" i="26"/>
  <c r="Z70" i="26"/>
  <c r="Z68" i="26"/>
  <c r="Z67" i="26"/>
  <c r="Z64" i="26"/>
  <c r="AA85" i="26"/>
  <c r="AA59" i="26"/>
  <c r="AA55" i="26"/>
  <c r="AA56" i="26"/>
  <c r="AA57" i="26"/>
  <c r="AA53" i="26"/>
  <c r="AA58" i="26"/>
  <c r="AA54" i="26"/>
  <c r="AD57" i="26"/>
  <c r="AD53" i="26"/>
  <c r="AD58" i="26"/>
  <c r="AD54" i="26"/>
  <c r="AD59" i="26"/>
  <c r="AD55" i="26"/>
  <c r="AD56" i="26"/>
  <c r="AB60" i="26"/>
  <c r="AB62" i="26" s="1"/>
  <c r="V47" i="26"/>
  <c r="X30" i="26"/>
  <c r="BM60" i="26"/>
  <c r="BO60" i="26"/>
  <c r="X3" i="26"/>
  <c r="X4" i="26" s="1"/>
  <c r="AV26" i="26"/>
  <c r="BH26" i="26"/>
  <c r="BN15" i="26"/>
  <c r="BO15" i="26" s="1"/>
  <c r="BN16" i="26"/>
  <c r="BO16" i="26" s="1"/>
  <c r="BN23" i="26"/>
  <c r="BO23" i="26" s="1"/>
  <c r="BN19" i="26"/>
  <c r="BO19" i="26" s="1"/>
  <c r="BN20" i="26"/>
  <c r="BO20" i="26" s="1"/>
  <c r="BN22" i="26"/>
  <c r="BO22" i="26" s="1"/>
  <c r="BN14" i="26"/>
  <c r="BO14" i="26" s="1"/>
  <c r="BN21" i="26"/>
  <c r="BO21" i="26" s="1"/>
  <c r="BN13" i="26"/>
  <c r="BN24" i="26"/>
  <c r="BO24" i="26" s="1"/>
  <c r="BN18" i="26"/>
  <c r="BO18" i="26" s="1"/>
  <c r="AV3" i="26"/>
  <c r="AV4" i="26" s="1"/>
  <c r="AH49" i="26"/>
  <c r="BT49" i="26"/>
  <c r="BU49" i="26" s="1"/>
  <c r="AT49" i="26"/>
  <c r="BT47" i="26"/>
  <c r="BU47" i="26" s="1"/>
  <c r="BH30" i="26"/>
  <c r="BK90" i="26"/>
  <c r="BK89" i="26"/>
  <c r="W47" i="26"/>
  <c r="W49" i="26"/>
  <c r="J86" i="26"/>
  <c r="E92" i="26"/>
  <c r="E94" i="26" s="1"/>
  <c r="AT6" i="26"/>
  <c r="AM85" i="26"/>
  <c r="E96" i="26"/>
  <c r="C96" i="26" s="1"/>
  <c r="AD85" i="26"/>
  <c r="K88" i="26"/>
  <c r="K90" i="26" s="1"/>
  <c r="J90" i="26"/>
  <c r="V6" i="26"/>
  <c r="N7" i="26"/>
  <c r="BT7" i="26" s="1"/>
  <c r="N49" i="26"/>
  <c r="P85" i="26"/>
  <c r="AR85" i="26"/>
  <c r="AV30" i="26"/>
  <c r="AJ30" i="26"/>
  <c r="AI47" i="26"/>
  <c r="AJ29" i="26"/>
  <c r="AI49" i="26"/>
  <c r="V49" i="26"/>
  <c r="AZ85" i="26"/>
  <c r="O85" i="26"/>
  <c r="BZ3" i="26"/>
  <c r="CA3" i="26" s="1"/>
  <c r="BU3" i="26"/>
  <c r="AP85" i="26"/>
  <c r="BF6" i="26"/>
  <c r="X26" i="26"/>
  <c r="Q85" i="26"/>
  <c r="AU47" i="26"/>
  <c r="AV29" i="26"/>
  <c r="AU49" i="26"/>
  <c r="BG47" i="26"/>
  <c r="BH29" i="26"/>
  <c r="BG49" i="26"/>
  <c r="AH7" i="26"/>
  <c r="BA16" i="23"/>
  <c r="BA17" i="23"/>
  <c r="BA18" i="23"/>
  <c r="BA19" i="23"/>
  <c r="BA20" i="23"/>
  <c r="BA21" i="23"/>
  <c r="BA22" i="23"/>
  <c r="BA23" i="23"/>
  <c r="BA24" i="23"/>
  <c r="BA25" i="23"/>
  <c r="BA26" i="23"/>
  <c r="BA27" i="23"/>
  <c r="BA4" i="23"/>
  <c r="BA7" i="23"/>
  <c r="K86" i="26" l="1"/>
  <c r="J97" i="26"/>
  <c r="BD90" i="26"/>
  <c r="BD89" i="26"/>
  <c r="BD92" i="26" s="1"/>
  <c r="BD94" i="26" s="1"/>
  <c r="BM64" i="26"/>
  <c r="BO64" i="26" s="1"/>
  <c r="BO73" i="26" s="1"/>
  <c r="BJ73" i="26"/>
  <c r="BJ75" i="26" s="1"/>
  <c r="BJ78" i="26" s="1"/>
  <c r="BC65" i="26"/>
  <c r="BC72" i="26"/>
  <c r="BC66" i="26"/>
  <c r="BC69" i="26"/>
  <c r="BC67" i="26"/>
  <c r="BC64" i="26"/>
  <c r="BC70" i="26"/>
  <c r="BC71" i="26"/>
  <c r="BC68" i="26"/>
  <c r="AO73" i="26"/>
  <c r="AO75" i="26" s="1"/>
  <c r="AO78" i="26" s="1"/>
  <c r="AO83" i="26" s="1"/>
  <c r="AQ73" i="26"/>
  <c r="AQ75" i="26" s="1"/>
  <c r="AQ78" i="26" s="1"/>
  <c r="AQ83" i="26" s="1"/>
  <c r="AN73" i="26"/>
  <c r="AN75" i="26" s="1"/>
  <c r="AN78" i="26" s="1"/>
  <c r="AN83" i="26" s="1"/>
  <c r="AM73" i="26"/>
  <c r="AM75" i="26" s="1"/>
  <c r="AM78" i="26" s="1"/>
  <c r="AM83" i="26" s="1"/>
  <c r="J96" i="26"/>
  <c r="E62" i="26"/>
  <c r="T73" i="26"/>
  <c r="T75" i="26" s="1"/>
  <c r="O73" i="26"/>
  <c r="O75" i="26" s="1"/>
  <c r="Q73" i="26"/>
  <c r="Q75" i="26" s="1"/>
  <c r="S73" i="26"/>
  <c r="S75" i="26" s="1"/>
  <c r="AC73" i="26"/>
  <c r="AC75" i="26" s="1"/>
  <c r="AL73" i="26"/>
  <c r="AL75" i="26" s="1"/>
  <c r="R73" i="26"/>
  <c r="R75" i="26" s="1"/>
  <c r="AF73" i="26"/>
  <c r="AF75" i="26" s="1"/>
  <c r="AE73" i="26"/>
  <c r="AE75" i="26" s="1"/>
  <c r="P73" i="26"/>
  <c r="P75" i="26" s="1"/>
  <c r="Z73" i="26"/>
  <c r="Z75" i="26" s="1"/>
  <c r="N51" i="26"/>
  <c r="BQ51" i="26" s="1"/>
  <c r="K6" i="26" s="1"/>
  <c r="J7" i="26"/>
  <c r="AD60" i="26"/>
  <c r="AD62" i="26" s="1"/>
  <c r="AA60" i="26"/>
  <c r="AA62" i="26" s="1"/>
  <c r="AB70" i="26"/>
  <c r="AB66" i="26"/>
  <c r="AB68" i="26"/>
  <c r="AB71" i="26"/>
  <c r="AB67" i="26"/>
  <c r="AB69" i="26"/>
  <c r="AB65" i="26"/>
  <c r="AB72" i="26"/>
  <c r="AB64" i="26"/>
  <c r="K4" i="26"/>
  <c r="J6" i="26"/>
  <c r="BA29" i="23"/>
  <c r="BK92" i="26"/>
  <c r="BK94" i="26" s="1"/>
  <c r="BO13" i="26"/>
  <c r="BO26" i="26" s="1"/>
  <c r="BN26" i="26"/>
  <c r="X47" i="26"/>
  <c r="BO3" i="26"/>
  <c r="BO4" i="26" s="1"/>
  <c r="BN44" i="26"/>
  <c r="BO44" i="26" s="1"/>
  <c r="BN32" i="26"/>
  <c r="BO32" i="26" s="1"/>
  <c r="BN30" i="26"/>
  <c r="BO30" i="26" s="1"/>
  <c r="BN45" i="26"/>
  <c r="BO45" i="26" s="1"/>
  <c r="BN37" i="26"/>
  <c r="BO37" i="26" s="1"/>
  <c r="BN34" i="26"/>
  <c r="BO34" i="26" s="1"/>
  <c r="BN40" i="26"/>
  <c r="BO40" i="26" s="1"/>
  <c r="BN39" i="26"/>
  <c r="BO39" i="26" s="1"/>
  <c r="BN33" i="26"/>
  <c r="BO33" i="26" s="1"/>
  <c r="BN36" i="26"/>
  <c r="BO36" i="26" s="1"/>
  <c r="BN29" i="26"/>
  <c r="BN43" i="26"/>
  <c r="BO43" i="26" s="1"/>
  <c r="BN35" i="26"/>
  <c r="BO35" i="26" s="1"/>
  <c r="BN38" i="26"/>
  <c r="BO38" i="26" s="1"/>
  <c r="BN41" i="26"/>
  <c r="BO41" i="26" s="1"/>
  <c r="BN31" i="26"/>
  <c r="BO31" i="26" s="1"/>
  <c r="BN42" i="26"/>
  <c r="BO42" i="26" s="1"/>
  <c r="X49" i="26"/>
  <c r="J92" i="26"/>
  <c r="K92" i="26" s="1"/>
  <c r="K81" i="26"/>
  <c r="K77" i="26"/>
  <c r="K75" i="26"/>
  <c r="K51" i="26"/>
  <c r="AJ47" i="26"/>
  <c r="AJ49" i="26"/>
  <c r="AT7" i="26"/>
  <c r="Z85" i="26"/>
  <c r="AH59" i="26"/>
  <c r="AJ59" i="26" s="1"/>
  <c r="AH57" i="26"/>
  <c r="AJ57" i="26" s="1"/>
  <c r="AH55" i="26"/>
  <c r="AJ55" i="26" s="1"/>
  <c r="AH58" i="26"/>
  <c r="AJ58" i="26" s="1"/>
  <c r="AH56" i="26"/>
  <c r="AJ56" i="26" s="1"/>
  <c r="AH51" i="26"/>
  <c r="AH54" i="26"/>
  <c r="AJ54" i="26" s="1"/>
  <c r="AV47" i="26"/>
  <c r="AV49" i="26"/>
  <c r="BF7" i="26"/>
  <c r="BH47" i="26"/>
  <c r="BH49" i="26"/>
  <c r="V7" i="26"/>
  <c r="AZ27" i="23"/>
  <c r="AZ26" i="23"/>
  <c r="AZ25" i="23"/>
  <c r="AZ24" i="23"/>
  <c r="AZ23" i="23"/>
  <c r="AZ22" i="23"/>
  <c r="AZ21" i="23"/>
  <c r="AZ20" i="23"/>
  <c r="AZ19" i="23"/>
  <c r="AZ18" i="23"/>
  <c r="AZ17" i="23"/>
  <c r="AZ16" i="23"/>
  <c r="AZ7" i="23"/>
  <c r="AZ4" i="23"/>
  <c r="AQ88" i="26" l="1"/>
  <c r="BJ83" i="26"/>
  <c r="BJ88" i="26"/>
  <c r="BM78" i="26"/>
  <c r="BC73" i="26"/>
  <c r="BC75" i="26" s="1"/>
  <c r="BC78" i="26" s="1"/>
  <c r="BC83" i="26" s="1"/>
  <c r="AF78" i="26"/>
  <c r="AF83" i="26" s="1"/>
  <c r="T78" i="26"/>
  <c r="T83" i="26" s="1"/>
  <c r="S78" i="26"/>
  <c r="S83" i="26" s="1"/>
  <c r="P78" i="26"/>
  <c r="P83" i="26" s="1"/>
  <c r="Q78" i="26"/>
  <c r="Q83" i="26" s="1"/>
  <c r="AC78" i="26"/>
  <c r="AC83" i="26" s="1"/>
  <c r="AC90" i="26" s="1"/>
  <c r="Z78" i="26"/>
  <c r="Z83" i="26" s="1"/>
  <c r="R78" i="26"/>
  <c r="R83" i="26" s="1"/>
  <c r="AE78" i="26"/>
  <c r="AE83" i="26" s="1"/>
  <c r="AL78" i="26"/>
  <c r="AL83" i="26" s="1"/>
  <c r="O78" i="26"/>
  <c r="O83" i="26" s="1"/>
  <c r="AB73" i="26"/>
  <c r="AB75" i="26" s="1"/>
  <c r="AA71" i="26"/>
  <c r="AA67" i="26"/>
  <c r="AA70" i="26"/>
  <c r="AA66" i="26"/>
  <c r="AA69" i="26"/>
  <c r="AA65" i="26"/>
  <c r="AA72" i="26"/>
  <c r="AA68" i="26"/>
  <c r="AA64" i="26"/>
  <c r="AD69" i="26"/>
  <c r="AD65" i="26"/>
  <c r="AD72" i="26"/>
  <c r="AD68" i="26"/>
  <c r="AD64" i="26"/>
  <c r="AD71" i="26"/>
  <c r="AD67" i="26"/>
  <c r="AD70" i="26"/>
  <c r="AD66" i="26"/>
  <c r="BM73" i="26"/>
  <c r="AZ29" i="23"/>
  <c r="BN47" i="26"/>
  <c r="BO29" i="26"/>
  <c r="BN49" i="26"/>
  <c r="N53" i="26"/>
  <c r="N57" i="26"/>
  <c r="N55" i="26"/>
  <c r="N54" i="26"/>
  <c r="N58" i="26"/>
  <c r="N85" i="26"/>
  <c r="N59" i="26"/>
  <c r="N56" i="26"/>
  <c r="AQ90" i="26"/>
  <c r="AX85" i="26"/>
  <c r="BF59" i="26"/>
  <c r="BH59" i="26" s="1"/>
  <c r="BF57" i="26"/>
  <c r="BH57" i="26" s="1"/>
  <c r="BF55" i="26"/>
  <c r="BH55" i="26" s="1"/>
  <c r="BF58" i="26"/>
  <c r="BH58" i="26" s="1"/>
  <c r="BF56" i="26"/>
  <c r="BH56" i="26" s="1"/>
  <c r="BF54" i="26"/>
  <c r="BH54" i="26" s="1"/>
  <c r="BF51" i="26"/>
  <c r="AQ89" i="26"/>
  <c r="AH53" i="26"/>
  <c r="AL85" i="26"/>
  <c r="AT58" i="26"/>
  <c r="AV58" i="26" s="1"/>
  <c r="AT56" i="26"/>
  <c r="AV56" i="26" s="1"/>
  <c r="AT59" i="26"/>
  <c r="AV59" i="26" s="1"/>
  <c r="AT57" i="26"/>
  <c r="AV57" i="26" s="1"/>
  <c r="AT54" i="26"/>
  <c r="AV54" i="26" s="1"/>
  <c r="AT51" i="26"/>
  <c r="AT55" i="26"/>
  <c r="AV55" i="26" s="1"/>
  <c r="K80" i="26"/>
  <c r="K49" i="26"/>
  <c r="V51" i="26"/>
  <c r="AH85" i="26"/>
  <c r="BM88" i="26" l="1"/>
  <c r="BJ89" i="26"/>
  <c r="BM89" i="26" s="1"/>
  <c r="BM83" i="26"/>
  <c r="BJ90" i="26"/>
  <c r="BM90" i="26" s="1"/>
  <c r="S88" i="26"/>
  <c r="AC89" i="26"/>
  <c r="AC88" i="26"/>
  <c r="AB78" i="26"/>
  <c r="AB88" i="26" s="1"/>
  <c r="AA73" i="26"/>
  <c r="AA75" i="26" s="1"/>
  <c r="AA78" i="26" s="1"/>
  <c r="AD73" i="26"/>
  <c r="AD75" i="26" s="1"/>
  <c r="C75" i="26"/>
  <c r="BO47" i="26"/>
  <c r="BO49" i="26"/>
  <c r="AQ92" i="26"/>
  <c r="AQ94" i="26" s="1"/>
  <c r="AY88" i="26"/>
  <c r="V55" i="26"/>
  <c r="X55" i="26" s="1"/>
  <c r="BT55" i="26"/>
  <c r="BU55" i="26" s="1"/>
  <c r="BA88" i="26"/>
  <c r="BB88" i="26"/>
  <c r="BT57" i="26"/>
  <c r="BU57" i="26" s="1"/>
  <c r="V57" i="26"/>
  <c r="X57" i="26" s="1"/>
  <c r="V58" i="26"/>
  <c r="X58" i="26" s="1"/>
  <c r="BT58" i="26"/>
  <c r="BU58" i="26" s="1"/>
  <c r="AN88" i="26"/>
  <c r="AH60" i="26"/>
  <c r="AJ53" i="26"/>
  <c r="BF53" i="26"/>
  <c r="R88" i="26"/>
  <c r="S89" i="26"/>
  <c r="S90" i="26"/>
  <c r="V53" i="26"/>
  <c r="N60" i="26"/>
  <c r="N62" i="26" s="1"/>
  <c r="BT53" i="26"/>
  <c r="BT59" i="26"/>
  <c r="BU59" i="26" s="1"/>
  <c r="V59" i="26"/>
  <c r="X59" i="26" s="1"/>
  <c r="V85" i="26"/>
  <c r="BQ85" i="26"/>
  <c r="AO88" i="26"/>
  <c r="AT53" i="26"/>
  <c r="AH71" i="26"/>
  <c r="AJ71" i="26" s="1"/>
  <c r="AH72" i="26"/>
  <c r="AJ72" i="26" s="1"/>
  <c r="AH69" i="26"/>
  <c r="AJ69" i="26" s="1"/>
  <c r="AH67" i="26"/>
  <c r="AJ67" i="26" s="1"/>
  <c r="AH68" i="26"/>
  <c r="AJ68" i="26" s="1"/>
  <c r="AH70" i="26"/>
  <c r="AJ70" i="26" s="1"/>
  <c r="AH65" i="26"/>
  <c r="AJ65" i="26" s="1"/>
  <c r="AH66" i="26"/>
  <c r="AJ66" i="26" s="1"/>
  <c r="BF85" i="26"/>
  <c r="V56" i="26"/>
  <c r="X56" i="26" s="1"/>
  <c r="BT56" i="26"/>
  <c r="BU56" i="26" s="1"/>
  <c r="AT85" i="26"/>
  <c r="BT54" i="26"/>
  <c r="BU54" i="26" s="1"/>
  <c r="V54" i="26"/>
  <c r="X54" i="26" s="1"/>
  <c r="T88" i="26"/>
  <c r="AE88" i="26"/>
  <c r="AF88" i="26"/>
  <c r="AY90" i="26"/>
  <c r="AY89" i="26"/>
  <c r="E33" i="23"/>
  <c r="BJ92" i="26" l="1"/>
  <c r="AC92" i="26"/>
  <c r="AC94" i="26" s="1"/>
  <c r="AD78" i="26"/>
  <c r="AD83" i="26" s="1"/>
  <c r="AB83" i="26"/>
  <c r="AB89" i="26" s="1"/>
  <c r="AA83" i="26"/>
  <c r="AA88" i="26"/>
  <c r="S92" i="26"/>
  <c r="S94" i="26" s="1"/>
  <c r="AY92" i="26"/>
  <c r="AY94" i="26" s="1"/>
  <c r="BC88" i="26"/>
  <c r="BF71" i="26"/>
  <c r="BH71" i="26" s="1"/>
  <c r="BF72" i="26"/>
  <c r="BH72" i="26" s="1"/>
  <c r="BF69" i="26"/>
  <c r="BH69" i="26" s="1"/>
  <c r="BF67" i="26"/>
  <c r="BH67" i="26" s="1"/>
  <c r="BF70" i="26"/>
  <c r="BH70" i="26" s="1"/>
  <c r="BF68" i="26"/>
  <c r="BH68" i="26" s="1"/>
  <c r="BF65" i="26"/>
  <c r="BH65" i="26" s="1"/>
  <c r="BF66" i="26"/>
  <c r="BH66" i="26" s="1"/>
  <c r="AM88" i="26"/>
  <c r="AE89" i="26"/>
  <c r="AE90" i="26"/>
  <c r="O88" i="26"/>
  <c r="AH64" i="26"/>
  <c r="AJ64" i="26" s="1"/>
  <c r="AT60" i="26"/>
  <c r="AV53" i="26"/>
  <c r="AR88" i="26"/>
  <c r="V60" i="26"/>
  <c r="X53" i="26"/>
  <c r="X60" i="26" s="1"/>
  <c r="P88" i="26"/>
  <c r="BB90" i="26"/>
  <c r="BB89" i="26"/>
  <c r="N70" i="26"/>
  <c r="N71" i="26"/>
  <c r="N69" i="26"/>
  <c r="N65" i="26"/>
  <c r="N64" i="26"/>
  <c r="N66" i="26"/>
  <c r="N67" i="26"/>
  <c r="N72" i="26"/>
  <c r="N68" i="26"/>
  <c r="AJ60" i="26"/>
  <c r="AT70" i="26"/>
  <c r="AV70" i="26" s="1"/>
  <c r="AT71" i="26"/>
  <c r="AV71" i="26" s="1"/>
  <c r="AT65" i="26"/>
  <c r="AV65" i="26" s="1"/>
  <c r="AT66" i="26"/>
  <c r="AV66" i="26" s="1"/>
  <c r="AT72" i="26"/>
  <c r="AV72" i="26" s="1"/>
  <c r="AT69" i="26"/>
  <c r="AV69" i="26" s="1"/>
  <c r="AT67" i="26"/>
  <c r="AV67" i="26" s="1"/>
  <c r="AT68" i="26"/>
  <c r="AV68" i="26" s="1"/>
  <c r="AP88" i="26"/>
  <c r="AZ88" i="26"/>
  <c r="Q88" i="26"/>
  <c r="AF90" i="26"/>
  <c r="AF89" i="26"/>
  <c r="BA90" i="26"/>
  <c r="BA89" i="26"/>
  <c r="T90" i="26"/>
  <c r="T89" i="26"/>
  <c r="AO90" i="26"/>
  <c r="AO89" i="26"/>
  <c r="BT60" i="26"/>
  <c r="BU60" i="26" s="1"/>
  <c r="BW53" i="26" s="1"/>
  <c r="BU53" i="26"/>
  <c r="R90" i="26"/>
  <c r="R89" i="26"/>
  <c r="BF60" i="26"/>
  <c r="BH53" i="26"/>
  <c r="AN90" i="26"/>
  <c r="AN89" i="26"/>
  <c r="AY4" i="23"/>
  <c r="AY7" i="23"/>
  <c r="BM92" i="26" l="1"/>
  <c r="BJ94" i="26"/>
  <c r="BM94" i="26" s="1"/>
  <c r="AB90" i="26"/>
  <c r="AB92" i="26" s="1"/>
  <c r="AB94" i="26" s="1"/>
  <c r="AD88" i="26"/>
  <c r="AD90" i="26"/>
  <c r="AD89" i="26"/>
  <c r="AA90" i="26"/>
  <c r="AA89" i="26"/>
  <c r="AJ73" i="26"/>
  <c r="R92" i="26"/>
  <c r="R94" i="26" s="1"/>
  <c r="T92" i="26"/>
  <c r="T94" i="26" s="1"/>
  <c r="AE92" i="26"/>
  <c r="AE94" i="26" s="1"/>
  <c r="AF92" i="26"/>
  <c r="AF94" i="26" s="1"/>
  <c r="AN92" i="26"/>
  <c r="AN94" i="26" s="1"/>
  <c r="AO92" i="26"/>
  <c r="AO94" i="26" s="1"/>
  <c r="BC89" i="26"/>
  <c r="BC90" i="26"/>
  <c r="BA92" i="26"/>
  <c r="BA94" i="26" s="1"/>
  <c r="BB92" i="26"/>
  <c r="BB94" i="26" s="1"/>
  <c r="Q90" i="26"/>
  <c r="Q89" i="26"/>
  <c r="BT68" i="26"/>
  <c r="BU68" i="26" s="1"/>
  <c r="V68" i="26"/>
  <c r="X68" i="26" s="1"/>
  <c r="BT70" i="26"/>
  <c r="BU70" i="26" s="1"/>
  <c r="V70" i="26"/>
  <c r="X70" i="26" s="1"/>
  <c r="AP90" i="26"/>
  <c r="AP89" i="26"/>
  <c r="V72" i="26"/>
  <c r="X72" i="26" s="1"/>
  <c r="BT72" i="26"/>
  <c r="BU72" i="26" s="1"/>
  <c r="BT65" i="26"/>
  <c r="BU65" i="26" s="1"/>
  <c r="V65" i="26"/>
  <c r="X65" i="26" s="1"/>
  <c r="AT64" i="26"/>
  <c r="AV64" i="26" s="1"/>
  <c r="AM90" i="26"/>
  <c r="AM89" i="26"/>
  <c r="BT67" i="26"/>
  <c r="BU67" i="26" s="1"/>
  <c r="V67" i="26"/>
  <c r="X67" i="26" s="1"/>
  <c r="BT69" i="26"/>
  <c r="BU69" i="26" s="1"/>
  <c r="V69" i="26"/>
  <c r="X69" i="26" s="1"/>
  <c r="P90" i="26"/>
  <c r="P89" i="26"/>
  <c r="AR90" i="26"/>
  <c r="AR89" i="26"/>
  <c r="AH73" i="26"/>
  <c r="BH60" i="26"/>
  <c r="N73" i="26"/>
  <c r="N75" i="26" s="1"/>
  <c r="BT64" i="26"/>
  <c r="V64" i="26"/>
  <c r="AZ90" i="26"/>
  <c r="AZ89" i="26"/>
  <c r="BT66" i="26"/>
  <c r="BU66" i="26" s="1"/>
  <c r="V66" i="26"/>
  <c r="X66" i="26" s="1"/>
  <c r="BT71" i="26"/>
  <c r="BU71" i="26" s="1"/>
  <c r="V71" i="26"/>
  <c r="X71" i="26" s="1"/>
  <c r="AV60" i="26"/>
  <c r="BQ60" i="26" s="1"/>
  <c r="O90" i="26"/>
  <c r="O89" i="26"/>
  <c r="BF64" i="26"/>
  <c r="BH64" i="26" s="1"/>
  <c r="AX27" i="23"/>
  <c r="AX26" i="23"/>
  <c r="AX25" i="23"/>
  <c r="AX24" i="23"/>
  <c r="AX23" i="23"/>
  <c r="AX22" i="23"/>
  <c r="AX21" i="23"/>
  <c r="AX20" i="23"/>
  <c r="BF20" i="23" s="1"/>
  <c r="AX19" i="23"/>
  <c r="AX18" i="23"/>
  <c r="AX17" i="23"/>
  <c r="AX16" i="23"/>
  <c r="AX7" i="23"/>
  <c r="AX4" i="23"/>
  <c r="AR16" i="23"/>
  <c r="AR17" i="23"/>
  <c r="AR18" i="23"/>
  <c r="AR19" i="23"/>
  <c r="AR20" i="23"/>
  <c r="AR21" i="23"/>
  <c r="AR22" i="23"/>
  <c r="AR23" i="23"/>
  <c r="AR24" i="23"/>
  <c r="AR25" i="23"/>
  <c r="AR26" i="23"/>
  <c r="AR27" i="23"/>
  <c r="AD92" i="26" l="1"/>
  <c r="AD94" i="26" s="1"/>
  <c r="N78" i="26"/>
  <c r="N83" i="26" s="1"/>
  <c r="AA92" i="26"/>
  <c r="AA94" i="26" s="1"/>
  <c r="Q92" i="26"/>
  <c r="Q94" i="26" s="1"/>
  <c r="O92" i="26"/>
  <c r="O94" i="26" s="1"/>
  <c r="P92" i="26"/>
  <c r="P94" i="26" s="1"/>
  <c r="AM92" i="26"/>
  <c r="AM94" i="26" s="1"/>
  <c r="AR92" i="26"/>
  <c r="AR94" i="26" s="1"/>
  <c r="AP92" i="26"/>
  <c r="AP94" i="26" s="1"/>
  <c r="BH73" i="26"/>
  <c r="BC92" i="26"/>
  <c r="BC94" i="26" s="1"/>
  <c r="AZ92" i="26"/>
  <c r="AZ94" i="26" s="1"/>
  <c r="AH78" i="26"/>
  <c r="Z88" i="26"/>
  <c r="BT73" i="26"/>
  <c r="BU73" i="26" s="1"/>
  <c r="BW64" i="26" s="1"/>
  <c r="BU64" i="26"/>
  <c r="BF73" i="26"/>
  <c r="AV73" i="26"/>
  <c r="V73" i="26"/>
  <c r="X64" i="26"/>
  <c r="X73" i="26" s="1"/>
  <c r="AT73" i="26"/>
  <c r="AX29" i="23"/>
  <c r="AR29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V78" i="26" l="1"/>
  <c r="N88" i="26"/>
  <c r="V88" i="26" s="1"/>
  <c r="AT78" i="26"/>
  <c r="AL88" i="26"/>
  <c r="BQ83" i="26"/>
  <c r="BR83" i="26" s="1"/>
  <c r="AX88" i="26"/>
  <c r="BF78" i="26"/>
  <c r="AH83" i="26"/>
  <c r="Z90" i="26"/>
  <c r="AH90" i="26" s="1"/>
  <c r="Z89" i="26"/>
  <c r="AH89" i="26" s="1"/>
  <c r="BQ73" i="26"/>
  <c r="AH88" i="26"/>
  <c r="BQ78" i="26"/>
  <c r="N90" i="26"/>
  <c r="V83" i="26"/>
  <c r="N89" i="26"/>
  <c r="AQ29" i="23"/>
  <c r="J73" i="23"/>
  <c r="BO73" i="23" s="1"/>
  <c r="BQ88" i="26" l="1"/>
  <c r="BG73" i="23"/>
  <c r="Z92" i="26"/>
  <c r="AL90" i="26"/>
  <c r="AT90" i="26" s="1"/>
  <c r="AT83" i="26"/>
  <c r="AL89" i="26"/>
  <c r="AT89" i="26" s="1"/>
  <c r="BF88" i="26"/>
  <c r="AT88" i="26"/>
  <c r="V89" i="26"/>
  <c r="V90" i="26"/>
  <c r="N92" i="26"/>
  <c r="BF83" i="26"/>
  <c r="AX90" i="26"/>
  <c r="BF90" i="26" s="1"/>
  <c r="AX89" i="26"/>
  <c r="BF89" i="26" s="1"/>
  <c r="AU73" i="23"/>
  <c r="BQ90" i="26" l="1"/>
  <c r="AL92" i="26"/>
  <c r="BQ89" i="26"/>
  <c r="AX92" i="26"/>
  <c r="V92" i="26"/>
  <c r="N94" i="26"/>
  <c r="AH92" i="26"/>
  <c r="Z94" i="26"/>
  <c r="AH94" i="26" s="1"/>
  <c r="AP4" i="23"/>
  <c r="AQ4" i="23"/>
  <c r="AR4" i="23"/>
  <c r="AP7" i="23"/>
  <c r="AQ7" i="23"/>
  <c r="AR7" i="23"/>
  <c r="AO4" i="23"/>
  <c r="AO7" i="23"/>
  <c r="BF92" i="26" l="1"/>
  <c r="AX94" i="26"/>
  <c r="BF94" i="26" s="1"/>
  <c r="BQ92" i="26"/>
  <c r="V94" i="26"/>
  <c r="AT92" i="26"/>
  <c r="AL94" i="26"/>
  <c r="AT94" i="26" s="1"/>
  <c r="AN7" i="23"/>
  <c r="AN4" i="23"/>
  <c r="BQ94" i="26" l="1"/>
  <c r="BR94" i="26" s="1"/>
  <c r="BS20" i="23" l="1"/>
  <c r="AB20" i="23"/>
  <c r="AA20" i="23"/>
  <c r="S20" i="23"/>
  <c r="R20" i="23"/>
  <c r="N20" i="23"/>
  <c r="AL20" i="23"/>
  <c r="AP20" i="23" l="1"/>
  <c r="AO20" i="23"/>
  <c r="AN20" i="23"/>
  <c r="Q20" i="23"/>
  <c r="Z20" i="23"/>
  <c r="AF20" i="23"/>
  <c r="P20" i="23"/>
  <c r="T20" i="23"/>
  <c r="AD20" i="23"/>
  <c r="E84" i="23"/>
  <c r="K10" i="23"/>
  <c r="AC4" i="23"/>
  <c r="AC7" i="23"/>
  <c r="AH6" i="23"/>
  <c r="AM4" i="23"/>
  <c r="AM7" i="23"/>
  <c r="J62" i="23"/>
  <c r="J61" i="23"/>
  <c r="W61" i="23" s="1"/>
  <c r="J60" i="23"/>
  <c r="J59" i="23"/>
  <c r="J58" i="23"/>
  <c r="J57" i="23"/>
  <c r="J56" i="23"/>
  <c r="BO56" i="23" s="1"/>
  <c r="AD18" i="23"/>
  <c r="AL19" i="23"/>
  <c r="AF19" i="23"/>
  <c r="AF17" i="23"/>
  <c r="AD19" i="23"/>
  <c r="AL7" i="23"/>
  <c r="AL4" i="23"/>
  <c r="BO59" i="23" l="1"/>
  <c r="BG59" i="23"/>
  <c r="AU59" i="23"/>
  <c r="BO58" i="23"/>
  <c r="BG58" i="23"/>
  <c r="AU58" i="23"/>
  <c r="BO57" i="23"/>
  <c r="BG57" i="23"/>
  <c r="AU57" i="23"/>
  <c r="AI62" i="23"/>
  <c r="BO62" i="23"/>
  <c r="BG62" i="23"/>
  <c r="AU62" i="23"/>
  <c r="BO61" i="23"/>
  <c r="BG61" i="23"/>
  <c r="AU61" i="23"/>
  <c r="BO60" i="23"/>
  <c r="BG60" i="23"/>
  <c r="AU60" i="23"/>
  <c r="BG56" i="23"/>
  <c r="W56" i="23"/>
  <c r="AU56" i="23"/>
  <c r="V20" i="23"/>
  <c r="AT20" i="23"/>
  <c r="W57" i="23"/>
  <c r="AL17" i="23"/>
  <c r="AP17" i="23"/>
  <c r="AO17" i="23"/>
  <c r="AN17" i="23"/>
  <c r="AP19" i="23"/>
  <c r="AO19" i="23"/>
  <c r="AN19" i="23"/>
  <c r="AH20" i="23"/>
  <c r="AF16" i="23"/>
  <c r="AP16" i="23"/>
  <c r="AO16" i="23"/>
  <c r="AN16" i="23"/>
  <c r="AP18" i="23"/>
  <c r="AO18" i="23"/>
  <c r="AN18" i="23"/>
  <c r="BU20" i="23"/>
  <c r="BV20" i="23" s="1"/>
  <c r="W58" i="23"/>
  <c r="AF22" i="23"/>
  <c r="AP22" i="23"/>
  <c r="AO22" i="23"/>
  <c r="AN22" i="23"/>
  <c r="W59" i="23"/>
  <c r="AL23" i="23"/>
  <c r="AP23" i="23"/>
  <c r="AO23" i="23"/>
  <c r="AN23" i="23"/>
  <c r="AF27" i="23"/>
  <c r="AP27" i="23"/>
  <c r="AO27" i="23"/>
  <c r="AN27" i="23"/>
  <c r="AI57" i="23"/>
  <c r="W62" i="23"/>
  <c r="AD26" i="23"/>
  <c r="AP26" i="23"/>
  <c r="AO26" i="23"/>
  <c r="AN26" i="23"/>
  <c r="AI56" i="23"/>
  <c r="AI60" i="23"/>
  <c r="AL24" i="23"/>
  <c r="AP24" i="23"/>
  <c r="AO24" i="23"/>
  <c r="AN24" i="23"/>
  <c r="AI58" i="23"/>
  <c r="W60" i="23"/>
  <c r="AF21" i="23"/>
  <c r="AP21" i="23"/>
  <c r="AO21" i="23"/>
  <c r="AN21" i="23"/>
  <c r="AF25" i="23"/>
  <c r="AP25" i="23"/>
  <c r="AO25" i="23"/>
  <c r="AN25" i="23"/>
  <c r="AI61" i="23"/>
  <c r="AF24" i="23"/>
  <c r="AD24" i="23"/>
  <c r="AL27" i="23"/>
  <c r="AD27" i="23"/>
  <c r="AD16" i="23"/>
  <c r="AL25" i="23"/>
  <c r="AD17" i="23"/>
  <c r="AI59" i="23"/>
  <c r="AD25" i="23"/>
  <c r="AL16" i="23"/>
  <c r="AF26" i="23"/>
  <c r="AL26" i="23"/>
  <c r="AD23" i="23"/>
  <c r="AF23" i="23"/>
  <c r="AL22" i="23"/>
  <c r="AD22" i="23"/>
  <c r="AD21" i="23"/>
  <c r="AL21" i="23"/>
  <c r="AF18" i="23"/>
  <c r="AL18" i="23"/>
  <c r="AE4" i="23"/>
  <c r="AF4" i="23"/>
  <c r="AE7" i="23"/>
  <c r="AF7" i="23"/>
  <c r="AD7" i="23"/>
  <c r="AD4" i="23"/>
  <c r="BS38" i="23"/>
  <c r="J46" i="23"/>
  <c r="BJ46" i="23" s="1"/>
  <c r="I46" i="23"/>
  <c r="H46" i="23"/>
  <c r="G46" i="23"/>
  <c r="F46" i="23"/>
  <c r="J38" i="23"/>
  <c r="BJ38" i="23" s="1"/>
  <c r="BN38" i="23" s="1"/>
  <c r="I38" i="23"/>
  <c r="H38" i="23"/>
  <c r="G38" i="23"/>
  <c r="F38" i="23"/>
  <c r="J39" i="23"/>
  <c r="BJ39" i="23" s="1"/>
  <c r="I39" i="23"/>
  <c r="H39" i="23"/>
  <c r="G39" i="23"/>
  <c r="F39" i="23"/>
  <c r="J45" i="23"/>
  <c r="BJ45" i="23" s="1"/>
  <c r="J44" i="23"/>
  <c r="BJ44" i="23" s="1"/>
  <c r="BD46" i="23" l="1"/>
  <c r="BC46" i="23"/>
  <c r="BB46" i="23"/>
  <c r="BA46" i="23"/>
  <c r="AZ46" i="23"/>
  <c r="AY46" i="23"/>
  <c r="AX46" i="23"/>
  <c r="AR46" i="23"/>
  <c r="AQ46" i="23"/>
  <c r="BD45" i="23"/>
  <c r="BC45" i="23"/>
  <c r="BB45" i="23"/>
  <c r="BA45" i="23"/>
  <c r="AZ45" i="23"/>
  <c r="AY45" i="23"/>
  <c r="AX45" i="23"/>
  <c r="AR45" i="23"/>
  <c r="AQ45" i="23"/>
  <c r="BC39" i="23"/>
  <c r="BB39" i="23"/>
  <c r="AY39" i="23"/>
  <c r="AX39" i="23"/>
  <c r="BD38" i="23"/>
  <c r="BC38" i="23"/>
  <c r="BB38" i="23"/>
  <c r="BA38" i="23"/>
  <c r="AZ38" i="23"/>
  <c r="AY38" i="23"/>
  <c r="AX38" i="23"/>
  <c r="AR38" i="23"/>
  <c r="AQ38" i="23"/>
  <c r="AO29" i="23"/>
  <c r="R38" i="23"/>
  <c r="AP38" i="23"/>
  <c r="AO38" i="23"/>
  <c r="AN38" i="23"/>
  <c r="AM38" i="23"/>
  <c r="AO39" i="23"/>
  <c r="AN39" i="23"/>
  <c r="AB38" i="23"/>
  <c r="AP29" i="23"/>
  <c r="O38" i="23"/>
  <c r="AF29" i="23"/>
  <c r="AN29" i="23"/>
  <c r="S38" i="23"/>
  <c r="Z38" i="23"/>
  <c r="AL29" i="23"/>
  <c r="AD29" i="23"/>
  <c r="AL38" i="23"/>
  <c r="AD38" i="23"/>
  <c r="AE38" i="23"/>
  <c r="AF38" i="23"/>
  <c r="AA38" i="23"/>
  <c r="N38" i="23"/>
  <c r="Q38" i="23"/>
  <c r="AE39" i="23"/>
  <c r="AD39" i="23"/>
  <c r="T38" i="23"/>
  <c r="P38" i="23"/>
  <c r="J83" i="23"/>
  <c r="J75" i="23"/>
  <c r="BO75" i="23" s="1"/>
  <c r="J74" i="23"/>
  <c r="BO74" i="23" s="1"/>
  <c r="J72" i="23"/>
  <c r="BO72" i="23" s="1"/>
  <c r="J71" i="23"/>
  <c r="J70" i="23"/>
  <c r="J69" i="23"/>
  <c r="AU69" i="23" s="1"/>
  <c r="J68" i="23"/>
  <c r="AU68" i="23" s="1"/>
  <c r="J67" i="23"/>
  <c r="J43" i="23"/>
  <c r="BJ43" i="23" s="1"/>
  <c r="J42" i="23"/>
  <c r="BJ42" i="23" s="1"/>
  <c r="J41" i="23"/>
  <c r="AL41" i="23" s="1"/>
  <c r="J40" i="23"/>
  <c r="J48" i="23"/>
  <c r="BJ48" i="23" s="1"/>
  <c r="J47" i="23"/>
  <c r="BJ47" i="23" s="1"/>
  <c r="J37" i="23"/>
  <c r="BJ37" i="23" s="1"/>
  <c r="BN37" i="23" s="1"/>
  <c r="J36" i="23"/>
  <c r="BJ36" i="23" s="1"/>
  <c r="J35" i="23"/>
  <c r="BJ35" i="23" s="1"/>
  <c r="J33" i="23"/>
  <c r="BJ33" i="23" s="1"/>
  <c r="AC50" i="23"/>
  <c r="AC9" i="23" s="1"/>
  <c r="AC10" i="23" s="1"/>
  <c r="AC29" i="23"/>
  <c r="AC52" i="23"/>
  <c r="AF42" i="23" l="1"/>
  <c r="BO69" i="23"/>
  <c r="BO67" i="23"/>
  <c r="BO68" i="23"/>
  <c r="BG67" i="23"/>
  <c r="BG68" i="23"/>
  <c r="BG69" i="23"/>
  <c r="AU67" i="23"/>
  <c r="BO71" i="23"/>
  <c r="BG71" i="23"/>
  <c r="AU71" i="23"/>
  <c r="BK83" i="23"/>
  <c r="BJ83" i="23"/>
  <c r="BD83" i="23"/>
  <c r="BC83" i="23"/>
  <c r="BB83" i="23"/>
  <c r="BA83" i="23"/>
  <c r="AZ83" i="23"/>
  <c r="AY83" i="23"/>
  <c r="AX83" i="23"/>
  <c r="AR83" i="23"/>
  <c r="AQ83" i="23"/>
  <c r="AX42" i="23"/>
  <c r="AP42" i="23"/>
  <c r="AR42" i="23"/>
  <c r="AO42" i="23"/>
  <c r="BB42" i="23"/>
  <c r="BD39" i="23"/>
  <c r="BJ40" i="23"/>
  <c r="BO70" i="23"/>
  <c r="BG70" i="23"/>
  <c r="BA41" i="23"/>
  <c r="BJ41" i="23"/>
  <c r="AE42" i="23"/>
  <c r="BA42" i="23"/>
  <c r="BG75" i="23"/>
  <c r="BG74" i="23"/>
  <c r="AU74" i="23"/>
  <c r="BG72" i="23"/>
  <c r="AP41" i="23"/>
  <c r="BC41" i="23"/>
  <c r="AD42" i="23"/>
  <c r="AM42" i="23"/>
  <c r="AY42" i="23"/>
  <c r="BC42" i="23"/>
  <c r="AO40" i="23"/>
  <c r="AX41" i="23"/>
  <c r="AL42" i="23"/>
  <c r="AN42" i="23"/>
  <c r="AQ42" i="23"/>
  <c r="AZ42" i="23"/>
  <c r="BD42" i="23"/>
  <c r="BD37" i="23"/>
  <c r="BC37" i="23"/>
  <c r="BB37" i="23"/>
  <c r="BA37" i="23"/>
  <c r="AZ37" i="23"/>
  <c r="AY37" i="23"/>
  <c r="AR37" i="23"/>
  <c r="AX37" i="23"/>
  <c r="AQ37" i="23"/>
  <c r="BD33" i="23"/>
  <c r="BC33" i="23"/>
  <c r="BB33" i="23"/>
  <c r="BA33" i="23"/>
  <c r="AZ33" i="23"/>
  <c r="AY33" i="23"/>
  <c r="AE41" i="23"/>
  <c r="AM40" i="23"/>
  <c r="AR41" i="23"/>
  <c r="BD36" i="23"/>
  <c r="BC36" i="23"/>
  <c r="BB36" i="23"/>
  <c r="BA36" i="23"/>
  <c r="AZ36" i="23"/>
  <c r="AY36" i="23"/>
  <c r="AL39" i="23"/>
  <c r="AL40" i="23"/>
  <c r="AF41" i="23"/>
  <c r="AO41" i="23"/>
  <c r="AM39" i="23"/>
  <c r="AR39" i="23"/>
  <c r="BA39" i="23"/>
  <c r="AQ41" i="23"/>
  <c r="AZ41" i="23"/>
  <c r="BD41" i="23"/>
  <c r="BD40" i="23"/>
  <c r="BC40" i="23"/>
  <c r="BB40" i="23"/>
  <c r="BA40" i="23"/>
  <c r="AZ40" i="23"/>
  <c r="AY40" i="23"/>
  <c r="AX40" i="23"/>
  <c r="AR40" i="23"/>
  <c r="AQ40" i="23"/>
  <c r="AE40" i="23"/>
  <c r="AP40" i="23"/>
  <c r="BD47" i="23"/>
  <c r="BC47" i="23"/>
  <c r="BB47" i="23"/>
  <c r="BA47" i="23"/>
  <c r="AZ47" i="23"/>
  <c r="AY47" i="23"/>
  <c r="AR47" i="23"/>
  <c r="AX47" i="23"/>
  <c r="AQ47" i="23"/>
  <c r="AF40" i="23"/>
  <c r="AM41" i="23"/>
  <c r="BB41" i="23"/>
  <c r="BD35" i="23"/>
  <c r="BC35" i="23"/>
  <c r="BB35" i="23"/>
  <c r="BA35" i="23"/>
  <c r="AZ35" i="23"/>
  <c r="AY35" i="23"/>
  <c r="BD48" i="23"/>
  <c r="BC48" i="23"/>
  <c r="BB48" i="23"/>
  <c r="BA48" i="23"/>
  <c r="AZ48" i="23"/>
  <c r="AY48" i="23"/>
  <c r="AX48" i="23"/>
  <c r="AR48" i="23"/>
  <c r="AQ48" i="23"/>
  <c r="AF39" i="23"/>
  <c r="AD40" i="23"/>
  <c r="AD41" i="23"/>
  <c r="AN41" i="23"/>
  <c r="AN40" i="23"/>
  <c r="AP39" i="23"/>
  <c r="AQ39" i="23"/>
  <c r="AZ39" i="23"/>
  <c r="AY41" i="23"/>
  <c r="BD44" i="23"/>
  <c r="BC44" i="23"/>
  <c r="BB44" i="23"/>
  <c r="BA44" i="23"/>
  <c r="AZ44" i="23"/>
  <c r="AY44" i="23"/>
  <c r="AR44" i="23"/>
  <c r="AX44" i="23"/>
  <c r="AQ44" i="23"/>
  <c r="BD43" i="23"/>
  <c r="BC43" i="23"/>
  <c r="BB43" i="23"/>
  <c r="BA43" i="23"/>
  <c r="AZ43" i="23"/>
  <c r="AY43" i="23"/>
  <c r="AX43" i="23"/>
  <c r="AR43" i="23"/>
  <c r="AQ43" i="23"/>
  <c r="AU75" i="23"/>
  <c r="BF38" i="23"/>
  <c r="AR35" i="23"/>
  <c r="AX35" i="23"/>
  <c r="AQ35" i="23"/>
  <c r="AR36" i="23"/>
  <c r="AX36" i="23"/>
  <c r="AQ36" i="23"/>
  <c r="AP33" i="23"/>
  <c r="AX33" i="23"/>
  <c r="AR33" i="23"/>
  <c r="AQ33" i="23"/>
  <c r="AU70" i="23"/>
  <c r="AU72" i="23"/>
  <c r="AP83" i="23"/>
  <c r="AO83" i="23"/>
  <c r="AN83" i="23"/>
  <c r="AM83" i="23"/>
  <c r="AC54" i="23"/>
  <c r="AT38" i="23"/>
  <c r="AP43" i="23"/>
  <c r="AO43" i="23"/>
  <c r="AN43" i="23"/>
  <c r="AM43" i="23"/>
  <c r="AP35" i="23"/>
  <c r="AO35" i="23"/>
  <c r="AN35" i="23"/>
  <c r="AM35" i="23"/>
  <c r="AP44" i="23"/>
  <c r="AO44" i="23"/>
  <c r="AN44" i="23"/>
  <c r="AM44" i="23"/>
  <c r="AP48" i="23"/>
  <c r="AO48" i="23"/>
  <c r="AN48" i="23"/>
  <c r="AM48" i="23"/>
  <c r="AI74" i="23"/>
  <c r="AI67" i="23"/>
  <c r="AP47" i="23"/>
  <c r="AO47" i="23"/>
  <c r="AN47" i="23"/>
  <c r="AM47" i="23"/>
  <c r="AP36" i="23"/>
  <c r="AO36" i="23"/>
  <c r="AN36" i="23"/>
  <c r="AM36" i="23"/>
  <c r="AP45" i="23"/>
  <c r="AO45" i="23"/>
  <c r="AN45" i="23"/>
  <c r="AM45" i="23"/>
  <c r="W71" i="23"/>
  <c r="AI71" i="23"/>
  <c r="AI75" i="23"/>
  <c r="AP37" i="23"/>
  <c r="AO37" i="23"/>
  <c r="AN37" i="23"/>
  <c r="AM37" i="23"/>
  <c r="AP46" i="23"/>
  <c r="AO46" i="23"/>
  <c r="AN46" i="23"/>
  <c r="AM46" i="23"/>
  <c r="AI68" i="23"/>
  <c r="W68" i="23"/>
  <c r="AI72" i="23"/>
  <c r="W72" i="23"/>
  <c r="AO33" i="23"/>
  <c r="AN33" i="23"/>
  <c r="AM33" i="23"/>
  <c r="AI73" i="23"/>
  <c r="AI69" i="23"/>
  <c r="W69" i="23"/>
  <c r="W70" i="23"/>
  <c r="AI70" i="23"/>
  <c r="V38" i="23"/>
  <c r="AH38" i="23"/>
  <c r="AL45" i="23"/>
  <c r="AF45" i="23"/>
  <c r="AD45" i="23"/>
  <c r="AE45" i="23"/>
  <c r="AL33" i="23"/>
  <c r="AF33" i="23"/>
  <c r="AD33" i="23"/>
  <c r="AE33" i="23"/>
  <c r="AL46" i="23"/>
  <c r="AD46" i="23"/>
  <c r="AE46" i="23"/>
  <c r="AF46" i="23"/>
  <c r="BU38" i="23"/>
  <c r="BV38" i="23" s="1"/>
  <c r="AF36" i="23"/>
  <c r="AE36" i="23"/>
  <c r="AL36" i="23"/>
  <c r="AD36" i="23"/>
  <c r="AL37" i="23"/>
  <c r="AF37" i="23"/>
  <c r="AD37" i="23"/>
  <c r="AE37" i="23"/>
  <c r="Z37" i="23"/>
  <c r="AE43" i="23"/>
  <c r="AD43" i="23"/>
  <c r="AL43" i="23"/>
  <c r="AF43" i="23"/>
  <c r="AE47" i="23"/>
  <c r="AD47" i="23"/>
  <c r="AL47" i="23"/>
  <c r="AF47" i="23"/>
  <c r="AE35" i="23"/>
  <c r="AD35" i="23"/>
  <c r="AF35" i="23"/>
  <c r="AL35" i="23"/>
  <c r="AF44" i="23"/>
  <c r="AE44" i="23"/>
  <c r="AL44" i="23"/>
  <c r="AD44" i="23"/>
  <c r="AF48" i="23"/>
  <c r="AE48" i="23"/>
  <c r="AL48" i="23"/>
  <c r="AD48" i="23"/>
  <c r="AD83" i="23"/>
  <c r="AF83" i="23"/>
  <c r="AE83" i="23"/>
  <c r="AL83" i="23"/>
  <c r="AC86" i="23"/>
  <c r="V6" i="23"/>
  <c r="BF37" i="23" l="1"/>
  <c r="AT37" i="23"/>
  <c r="BU6" i="23"/>
  <c r="AA83" i="23"/>
  <c r="AB83" i="23"/>
  <c r="AA33" i="23"/>
  <c r="AB33" i="23"/>
  <c r="AA35" i="23"/>
  <c r="AB35" i="23"/>
  <c r="AA36" i="23"/>
  <c r="AB36" i="23"/>
  <c r="AA37" i="23"/>
  <c r="AB37" i="23"/>
  <c r="AA39" i="23"/>
  <c r="AB39" i="23"/>
  <c r="AA40" i="23"/>
  <c r="AB40" i="23"/>
  <c r="AA41" i="23"/>
  <c r="AB41" i="23"/>
  <c r="AA42" i="23"/>
  <c r="AB42" i="23"/>
  <c r="AA43" i="23"/>
  <c r="AB43" i="23"/>
  <c r="AA44" i="23"/>
  <c r="AB44" i="23"/>
  <c r="AA45" i="23"/>
  <c r="AB45" i="23"/>
  <c r="AA46" i="23"/>
  <c r="AB46" i="23"/>
  <c r="AA47" i="23"/>
  <c r="AB47" i="23"/>
  <c r="AA48" i="23"/>
  <c r="AB48" i="23"/>
  <c r="AA16" i="23"/>
  <c r="AB16" i="23"/>
  <c r="AA17" i="23"/>
  <c r="AB17" i="23"/>
  <c r="AA18" i="23"/>
  <c r="AB18" i="23"/>
  <c r="AA19" i="23"/>
  <c r="AB19" i="23"/>
  <c r="AA21" i="23"/>
  <c r="AB21" i="23"/>
  <c r="AA22" i="23"/>
  <c r="AB22" i="23"/>
  <c r="AA23" i="23"/>
  <c r="AB23" i="23"/>
  <c r="AA24" i="23"/>
  <c r="AB24" i="23"/>
  <c r="AA25" i="23"/>
  <c r="AB25" i="23"/>
  <c r="AA26" i="23"/>
  <c r="AB26" i="23"/>
  <c r="AA27" i="23"/>
  <c r="AB27" i="23"/>
  <c r="AA4" i="23"/>
  <c r="AB4" i="23"/>
  <c r="AA7" i="23"/>
  <c r="AB7" i="23"/>
  <c r="Z7" i="23"/>
  <c r="Z4" i="23"/>
  <c r="AA29" i="23" l="1"/>
  <c r="AB29" i="23"/>
  <c r="Z83" i="23"/>
  <c r="Z48" i="23"/>
  <c r="Z47" i="23"/>
  <c r="Z46" i="23"/>
  <c r="Z45" i="23"/>
  <c r="Z44" i="23"/>
  <c r="Z43" i="23"/>
  <c r="Z42" i="23"/>
  <c r="Z41" i="23"/>
  <c r="Z40" i="23"/>
  <c r="Z39" i="23"/>
  <c r="AH37" i="23"/>
  <c r="Z36" i="23"/>
  <c r="Z35" i="23"/>
  <c r="Z33" i="23"/>
  <c r="Z27" i="23"/>
  <c r="Z26" i="23"/>
  <c r="AH26" i="23" s="1"/>
  <c r="Z25" i="23"/>
  <c r="Z24" i="23"/>
  <c r="Z23" i="23"/>
  <c r="AH23" i="23" s="1"/>
  <c r="Z22" i="23"/>
  <c r="Z21" i="23"/>
  <c r="Z19" i="23"/>
  <c r="Z18" i="23"/>
  <c r="Z17" i="23"/>
  <c r="Z16" i="23"/>
  <c r="AH16" i="23" s="1"/>
  <c r="J34" i="23"/>
  <c r="BJ34" i="23" s="1"/>
  <c r="AP34" i="23" l="1"/>
  <c r="BD34" i="23"/>
  <c r="BC34" i="23"/>
  <c r="BB34" i="23"/>
  <c r="BA34" i="23"/>
  <c r="AZ34" i="23"/>
  <c r="AY34" i="23"/>
  <c r="AX34" i="23"/>
  <c r="AR34" i="23"/>
  <c r="AQ34" i="23"/>
  <c r="AO34" i="23"/>
  <c r="AN34" i="23"/>
  <c r="AM34" i="23"/>
  <c r="Z34" i="23"/>
  <c r="AE34" i="23"/>
  <c r="AD34" i="23"/>
  <c r="AL34" i="23"/>
  <c r="AF34" i="23"/>
  <c r="AA34" i="23"/>
  <c r="AB34" i="23"/>
  <c r="Z29" i="23"/>
  <c r="T83" i="23"/>
  <c r="Q83" i="23"/>
  <c r="R83" i="23"/>
  <c r="S83" i="23"/>
  <c r="J84" i="23" l="1"/>
  <c r="W75" i="23"/>
  <c r="W74" i="23"/>
  <c r="W73" i="23"/>
  <c r="W67" i="23"/>
  <c r="V3" i="23"/>
  <c r="P4" i="23"/>
  <c r="Q4" i="23"/>
  <c r="R33" i="23"/>
  <c r="S33" i="23"/>
  <c r="T33" i="23"/>
  <c r="R35" i="23"/>
  <c r="S35" i="23"/>
  <c r="T35" i="23"/>
  <c r="R36" i="23"/>
  <c r="S36" i="23"/>
  <c r="T36" i="23"/>
  <c r="R37" i="23"/>
  <c r="S37" i="23"/>
  <c r="T37" i="23"/>
  <c r="R39" i="23"/>
  <c r="S39" i="23"/>
  <c r="T39" i="23"/>
  <c r="R40" i="23"/>
  <c r="S40" i="23"/>
  <c r="T40" i="23"/>
  <c r="R41" i="23"/>
  <c r="S41" i="23"/>
  <c r="T41" i="23"/>
  <c r="R42" i="23"/>
  <c r="S42" i="23"/>
  <c r="T42" i="23"/>
  <c r="R43" i="23"/>
  <c r="S43" i="23"/>
  <c r="T43" i="23"/>
  <c r="R44" i="23"/>
  <c r="S44" i="23"/>
  <c r="T44" i="23"/>
  <c r="R45" i="23"/>
  <c r="S45" i="23"/>
  <c r="T45" i="23"/>
  <c r="R46" i="23"/>
  <c r="S46" i="23"/>
  <c r="T46" i="23"/>
  <c r="R47" i="23"/>
  <c r="S47" i="23"/>
  <c r="T47" i="23"/>
  <c r="R48" i="23"/>
  <c r="S48" i="23"/>
  <c r="T48" i="23"/>
  <c r="R16" i="23"/>
  <c r="S16" i="23"/>
  <c r="T16" i="23"/>
  <c r="R17" i="23"/>
  <c r="S17" i="23"/>
  <c r="T17" i="23"/>
  <c r="R18" i="23"/>
  <c r="S18" i="23"/>
  <c r="T18" i="23"/>
  <c r="R19" i="23"/>
  <c r="S19" i="23"/>
  <c r="T19" i="23"/>
  <c r="R21" i="23"/>
  <c r="S21" i="23"/>
  <c r="T21" i="23"/>
  <c r="R22" i="23"/>
  <c r="S22" i="23"/>
  <c r="T22" i="23"/>
  <c r="R23" i="23"/>
  <c r="S23" i="23"/>
  <c r="T23" i="23"/>
  <c r="R24" i="23"/>
  <c r="S24" i="23"/>
  <c r="T24" i="23"/>
  <c r="R25" i="23"/>
  <c r="S25" i="23"/>
  <c r="T25" i="23"/>
  <c r="R26" i="23"/>
  <c r="S26" i="23"/>
  <c r="T26" i="23"/>
  <c r="R27" i="23"/>
  <c r="S27" i="23"/>
  <c r="T27" i="23"/>
  <c r="S4" i="23"/>
  <c r="T4" i="23"/>
  <c r="R4" i="23"/>
  <c r="R7" i="23"/>
  <c r="S7" i="23"/>
  <c r="T7" i="23"/>
  <c r="BK84" i="23" l="1"/>
  <c r="BJ84" i="23"/>
  <c r="BD84" i="23"/>
  <c r="BC84" i="23"/>
  <c r="BB84" i="23"/>
  <c r="BA84" i="23"/>
  <c r="AZ84" i="23"/>
  <c r="AY84" i="23"/>
  <c r="AR84" i="23"/>
  <c r="AX84" i="23"/>
  <c r="AQ84" i="23"/>
  <c r="BU4" i="23"/>
  <c r="AP84" i="23"/>
  <c r="AO84" i="23"/>
  <c r="AN84" i="23"/>
  <c r="AM84" i="23"/>
  <c r="V4" i="23"/>
  <c r="AE84" i="23"/>
  <c r="AL84" i="23"/>
  <c r="AF84" i="23"/>
  <c r="AD84" i="23"/>
  <c r="AA84" i="23"/>
  <c r="AB84" i="23"/>
  <c r="Z84" i="23"/>
  <c r="Q84" i="23"/>
  <c r="R84" i="23"/>
  <c r="S84" i="23"/>
  <c r="T84" i="23"/>
  <c r="T29" i="23"/>
  <c r="R29" i="23"/>
  <c r="S29" i="23"/>
  <c r="Q33" i="23"/>
  <c r="Q39" i="23"/>
  <c r="Q40" i="23"/>
  <c r="Q41" i="23"/>
  <c r="Q42" i="23"/>
  <c r="Q43" i="23"/>
  <c r="Q44" i="23"/>
  <c r="Q45" i="23"/>
  <c r="Q46" i="23"/>
  <c r="Q48" i="23"/>
  <c r="Q16" i="23"/>
  <c r="Q18" i="23"/>
  <c r="Q19" i="23"/>
  <c r="Q21" i="23"/>
  <c r="Q22" i="23"/>
  <c r="Q23" i="23"/>
  <c r="Q24" i="23"/>
  <c r="Q25" i="23"/>
  <c r="Q26" i="23"/>
  <c r="Q27" i="23"/>
  <c r="Q7" i="23"/>
  <c r="BS37" i="23" l="1"/>
  <c r="BS36" i="23"/>
  <c r="Q37" i="23"/>
  <c r="E92" i="23"/>
  <c r="J92" i="23" s="1"/>
  <c r="K92" i="23" s="1"/>
  <c r="P7" i="23"/>
  <c r="N37" i="23" l="1"/>
  <c r="P37" i="23"/>
  <c r="O37" i="23"/>
  <c r="O7" i="23"/>
  <c r="BU37" i="23" l="1"/>
  <c r="BV37" i="23" s="1"/>
  <c r="V37" i="23"/>
  <c r="N7" i="23"/>
  <c r="BR55" i="22"/>
  <c r="BR54" i="22"/>
  <c r="BR52" i="22"/>
  <c r="BR51" i="22"/>
  <c r="BR50" i="22"/>
  <c r="BR49" i="22"/>
  <c r="BR53" i="22"/>
  <c r="BR56" i="22" l="1"/>
  <c r="J17" i="22"/>
  <c r="BN16" i="23" l="1"/>
  <c r="BN48" i="23"/>
  <c r="BN47" i="23"/>
  <c r="BN46" i="23"/>
  <c r="BN45" i="23"/>
  <c r="BN44" i="23"/>
  <c r="BN43" i="23"/>
  <c r="BN42" i="23"/>
  <c r="BN41" i="23"/>
  <c r="BN40" i="23"/>
  <c r="BN39" i="23"/>
  <c r="BN36" i="23"/>
  <c r="BN35" i="23"/>
  <c r="BN19" i="23"/>
  <c r="BN18" i="23"/>
  <c r="BN5" i="22"/>
  <c r="BN3" i="22"/>
  <c r="BK4" i="22"/>
  <c r="BL4" i="22"/>
  <c r="BK6" i="22"/>
  <c r="BL6" i="22"/>
  <c r="BK43" i="22" l="1"/>
  <c r="BK8" i="22" s="1"/>
  <c r="BK9" i="22" s="1"/>
  <c r="BL43" i="22"/>
  <c r="BL8" i="22" s="1"/>
  <c r="BL9" i="22" s="1"/>
  <c r="BJ43" i="22"/>
  <c r="BF41" i="22"/>
  <c r="BF40" i="22"/>
  <c r="BF39" i="22"/>
  <c r="BF38" i="22"/>
  <c r="BF37" i="22"/>
  <c r="BF36" i="22"/>
  <c r="BF35" i="22"/>
  <c r="BF34" i="22"/>
  <c r="BF33" i="22"/>
  <c r="BF32" i="22"/>
  <c r="BF31" i="22"/>
  <c r="BF30" i="22"/>
  <c r="BF29" i="22"/>
  <c r="BC43" i="22"/>
  <c r="BD43" i="22"/>
  <c r="BJ6" i="22"/>
  <c r="BJ4" i="22"/>
  <c r="BF43" i="22" l="1"/>
  <c r="AH36" i="23"/>
  <c r="AH35" i="23"/>
  <c r="AH34" i="23"/>
  <c r="BF36" i="23"/>
  <c r="BF35" i="23"/>
  <c r="BS35" i="23"/>
  <c r="BS19" i="23"/>
  <c r="BS18" i="23"/>
  <c r="AT36" i="23"/>
  <c r="AT35" i="23"/>
  <c r="Q36" i="23" l="1"/>
  <c r="Q35" i="23"/>
  <c r="P18" i="23" l="1"/>
  <c r="N35" i="23"/>
  <c r="P35" i="23"/>
  <c r="O35" i="23"/>
  <c r="P19" i="23"/>
  <c r="N36" i="23"/>
  <c r="P36" i="23"/>
  <c r="O36" i="23"/>
  <c r="N19" i="23"/>
  <c r="N18" i="23"/>
  <c r="BB43" i="22"/>
  <c r="V35" i="23" l="1"/>
  <c r="BU35" i="23"/>
  <c r="BV35" i="23" s="1"/>
  <c r="V36" i="23"/>
  <c r="BU36" i="23"/>
  <c r="BV36" i="23" s="1"/>
  <c r="BF18" i="23"/>
  <c r="AH18" i="23"/>
  <c r="BU19" i="23"/>
  <c r="BV19" i="23" s="1"/>
  <c r="V19" i="23"/>
  <c r="V18" i="23"/>
  <c r="BU18" i="23"/>
  <c r="BV18" i="23" s="1"/>
  <c r="AT18" i="23"/>
  <c r="BF19" i="23"/>
  <c r="AT19" i="23"/>
  <c r="AH19" i="23"/>
  <c r="BA43" i="22"/>
  <c r="AZ43" i="22"/>
  <c r="BF47" i="23" l="1"/>
  <c r="BF46" i="23"/>
  <c r="BF42" i="23"/>
  <c r="BF39" i="23"/>
  <c r="BF34" i="23"/>
  <c r="BN84" i="23"/>
  <c r="BN83" i="23"/>
  <c r="E76" i="23"/>
  <c r="K72" i="23" s="1"/>
  <c r="I75" i="23"/>
  <c r="H75" i="23"/>
  <c r="G75" i="23"/>
  <c r="F75" i="23"/>
  <c r="I74" i="23"/>
  <c r="H74" i="23"/>
  <c r="G74" i="23"/>
  <c r="F74" i="23"/>
  <c r="I72" i="23"/>
  <c r="H72" i="23"/>
  <c r="G72" i="23"/>
  <c r="F72" i="23"/>
  <c r="I71" i="23"/>
  <c r="H71" i="23"/>
  <c r="G71" i="23"/>
  <c r="F71" i="23"/>
  <c r="I70" i="23"/>
  <c r="H70" i="23"/>
  <c r="G70" i="23"/>
  <c r="F70" i="23"/>
  <c r="I68" i="23"/>
  <c r="H68" i="23"/>
  <c r="G68" i="23"/>
  <c r="F68" i="23"/>
  <c r="I67" i="23"/>
  <c r="H67" i="23"/>
  <c r="G67" i="23"/>
  <c r="F67" i="23"/>
  <c r="E63" i="23"/>
  <c r="I62" i="23"/>
  <c r="H62" i="23"/>
  <c r="G62" i="23"/>
  <c r="F62" i="23"/>
  <c r="I61" i="23"/>
  <c r="H61" i="23"/>
  <c r="G61" i="23"/>
  <c r="F61" i="23"/>
  <c r="I60" i="23"/>
  <c r="H60" i="23"/>
  <c r="G60" i="23"/>
  <c r="F60" i="23"/>
  <c r="I59" i="23"/>
  <c r="H59" i="23"/>
  <c r="G59" i="23"/>
  <c r="F59" i="23"/>
  <c r="I58" i="23"/>
  <c r="H58" i="23"/>
  <c r="G58" i="23"/>
  <c r="F58" i="23"/>
  <c r="I57" i="23"/>
  <c r="H57" i="23"/>
  <c r="G57" i="23"/>
  <c r="F57" i="23"/>
  <c r="I56" i="23"/>
  <c r="H56" i="23"/>
  <c r="G56" i="23"/>
  <c r="F56" i="23"/>
  <c r="BR52" i="23"/>
  <c r="BR50" i="23"/>
  <c r="BS48" i="23"/>
  <c r="BF48" i="23"/>
  <c r="AT48" i="23"/>
  <c r="AH48" i="23"/>
  <c r="I43" i="23"/>
  <c r="H43" i="23"/>
  <c r="G43" i="23"/>
  <c r="F43" i="23"/>
  <c r="BS47" i="23"/>
  <c r="AT47" i="23"/>
  <c r="AH47" i="23"/>
  <c r="Q47" i="23"/>
  <c r="BS46" i="23"/>
  <c r="AT46" i="23"/>
  <c r="AH46" i="23"/>
  <c r="BS45" i="23"/>
  <c r="BF45" i="23"/>
  <c r="AT45" i="23"/>
  <c r="AH45" i="23"/>
  <c r="BS44" i="23"/>
  <c r="BF44" i="23"/>
  <c r="AT44" i="23"/>
  <c r="AH44" i="23"/>
  <c r="BS43" i="23"/>
  <c r="BF43" i="23"/>
  <c r="AT43" i="23"/>
  <c r="AH43" i="23"/>
  <c r="I47" i="23"/>
  <c r="H47" i="23"/>
  <c r="G47" i="23"/>
  <c r="F47" i="23"/>
  <c r="BS42" i="23"/>
  <c r="AT42" i="23"/>
  <c r="AH42" i="23"/>
  <c r="BS41" i="23"/>
  <c r="BF41" i="23"/>
  <c r="AT41" i="23"/>
  <c r="AH41" i="23"/>
  <c r="BS40" i="23"/>
  <c r="BF40" i="23"/>
  <c r="AT40" i="23"/>
  <c r="AH40" i="23"/>
  <c r="BS39" i="23"/>
  <c r="AT39" i="23"/>
  <c r="AH39" i="23"/>
  <c r="BS34" i="23"/>
  <c r="BN34" i="23"/>
  <c r="AT34" i="23"/>
  <c r="I34" i="23"/>
  <c r="H34" i="23"/>
  <c r="G34" i="23"/>
  <c r="F34" i="23"/>
  <c r="CA35" i="23"/>
  <c r="BS33" i="23"/>
  <c r="BN33" i="23"/>
  <c r="BF33" i="23"/>
  <c r="AT33" i="23"/>
  <c r="AH33" i="23"/>
  <c r="I33" i="23"/>
  <c r="H33" i="23"/>
  <c r="G33" i="23"/>
  <c r="F33" i="23"/>
  <c r="E32" i="23"/>
  <c r="E50" i="23" s="1"/>
  <c r="BZ4" i="23" s="1"/>
  <c r="BR29" i="23"/>
  <c r="BK29" i="23"/>
  <c r="E29" i="23"/>
  <c r="BZ23" i="23" s="1"/>
  <c r="BS27" i="23"/>
  <c r="BN27" i="23"/>
  <c r="I27" i="23"/>
  <c r="H27" i="23"/>
  <c r="G27" i="23"/>
  <c r="F27" i="23"/>
  <c r="BS26" i="23"/>
  <c r="BN26" i="23"/>
  <c r="BS25" i="23"/>
  <c r="BN25" i="23"/>
  <c r="I25" i="23"/>
  <c r="H25" i="23"/>
  <c r="G25" i="23"/>
  <c r="F25" i="23"/>
  <c r="BS24" i="23"/>
  <c r="BN24" i="23"/>
  <c r="I24" i="23"/>
  <c r="H24" i="23"/>
  <c r="G24" i="23"/>
  <c r="F24" i="23"/>
  <c r="BS23" i="23"/>
  <c r="BN23" i="23"/>
  <c r="I23" i="23"/>
  <c r="H23" i="23"/>
  <c r="G23" i="23"/>
  <c r="F23" i="23"/>
  <c r="BS22" i="23"/>
  <c r="BN22" i="23"/>
  <c r="I22" i="23"/>
  <c r="H22" i="23"/>
  <c r="G22" i="23"/>
  <c r="F22" i="23"/>
  <c r="BS21" i="23"/>
  <c r="BN21" i="23"/>
  <c r="I21" i="23"/>
  <c r="H21" i="23"/>
  <c r="G21" i="23"/>
  <c r="F21" i="23"/>
  <c r="BS17" i="23"/>
  <c r="BN17" i="23"/>
  <c r="Q17" i="23"/>
  <c r="I17" i="23"/>
  <c r="H17" i="23"/>
  <c r="G17" i="23"/>
  <c r="F17" i="23"/>
  <c r="BS16" i="23"/>
  <c r="I16" i="23"/>
  <c r="H16" i="23"/>
  <c r="G16" i="23"/>
  <c r="F16" i="23"/>
  <c r="BL7" i="23"/>
  <c r="BL10" i="23" s="1"/>
  <c r="BK7" i="23"/>
  <c r="BK10" i="23" s="1"/>
  <c r="BF6" i="23"/>
  <c r="AT6" i="23"/>
  <c r="BU3" i="23"/>
  <c r="K3" i="23" s="1"/>
  <c r="BF3" i="23"/>
  <c r="AT3" i="23"/>
  <c r="AH3" i="23"/>
  <c r="BK54" i="23" l="1"/>
  <c r="K20" i="23"/>
  <c r="BO20" i="23" s="1"/>
  <c r="BP20" i="23" s="1"/>
  <c r="BZ24" i="23"/>
  <c r="BL54" i="23"/>
  <c r="BK88" i="23"/>
  <c r="BN7" i="23"/>
  <c r="BX6" i="23"/>
  <c r="BZ2" i="23"/>
  <c r="CA2" i="23" s="1"/>
  <c r="CB2" i="23" s="1"/>
  <c r="BZ1" i="23"/>
  <c r="CB3" i="26" s="1"/>
  <c r="E52" i="23"/>
  <c r="BS52" i="23" s="1"/>
  <c r="J32" i="23"/>
  <c r="BX3" i="23"/>
  <c r="J3" i="23"/>
  <c r="Q34" i="23"/>
  <c r="T34" i="23"/>
  <c r="R34" i="23"/>
  <c r="S34" i="23"/>
  <c r="Q29" i="23"/>
  <c r="P16" i="23"/>
  <c r="N34" i="23"/>
  <c r="P34" i="23"/>
  <c r="O34" i="23"/>
  <c r="P45" i="23"/>
  <c r="O45" i="23"/>
  <c r="N45" i="23"/>
  <c r="N47" i="23"/>
  <c r="P47" i="23"/>
  <c r="O47" i="23"/>
  <c r="P48" i="23"/>
  <c r="O48" i="23"/>
  <c r="N48" i="23"/>
  <c r="P21" i="23"/>
  <c r="P25" i="23"/>
  <c r="P41" i="23"/>
  <c r="O41" i="23"/>
  <c r="N41" i="23"/>
  <c r="P44" i="23"/>
  <c r="O44" i="23"/>
  <c r="N44" i="23"/>
  <c r="P17" i="23"/>
  <c r="P26" i="23"/>
  <c r="P39" i="23"/>
  <c r="O39" i="23"/>
  <c r="N39" i="23"/>
  <c r="P42" i="23"/>
  <c r="O42" i="23"/>
  <c r="N42" i="23"/>
  <c r="P40" i="23"/>
  <c r="O40" i="23"/>
  <c r="N40" i="23"/>
  <c r="P43" i="23"/>
  <c r="O43" i="23"/>
  <c r="N43" i="23"/>
  <c r="P22" i="23"/>
  <c r="P24" i="23"/>
  <c r="P23" i="23"/>
  <c r="P27" i="23"/>
  <c r="P33" i="23"/>
  <c r="O33" i="23"/>
  <c r="N33" i="23"/>
  <c r="N46" i="23"/>
  <c r="P46" i="23"/>
  <c r="O46" i="23"/>
  <c r="K61" i="23"/>
  <c r="E80" i="23"/>
  <c r="CA42" i="23"/>
  <c r="BU1" i="23"/>
  <c r="K19" i="23"/>
  <c r="K18" i="23"/>
  <c r="W18" i="23" s="1"/>
  <c r="X18" i="23" s="1"/>
  <c r="BS29" i="23"/>
  <c r="K16" i="23"/>
  <c r="AU16" i="23" s="1"/>
  <c r="K68" i="23"/>
  <c r="K69" i="23"/>
  <c r="K73" i="23"/>
  <c r="K17" i="23"/>
  <c r="BG17" i="23" s="1"/>
  <c r="K27" i="23"/>
  <c r="H32" i="23"/>
  <c r="H50" i="23" s="1"/>
  <c r="K57" i="23"/>
  <c r="F32" i="23"/>
  <c r="F50" i="23" s="1"/>
  <c r="BU7" i="23"/>
  <c r="BZ7" i="23" s="1"/>
  <c r="K21" i="23"/>
  <c r="AI21" i="23" s="1"/>
  <c r="E78" i="23"/>
  <c r="K75" i="23"/>
  <c r="V7" i="23"/>
  <c r="K22" i="23"/>
  <c r="AU22" i="23" s="1"/>
  <c r="K23" i="23"/>
  <c r="AU23" i="23" s="1"/>
  <c r="K24" i="23"/>
  <c r="AI24" i="23" s="1"/>
  <c r="AH7" i="23"/>
  <c r="K25" i="23"/>
  <c r="AI25" i="23" s="1"/>
  <c r="K26" i="23"/>
  <c r="C29" i="23"/>
  <c r="BZ6" i="23" s="1"/>
  <c r="BV6" i="23" s="1"/>
  <c r="G32" i="23"/>
  <c r="G50" i="23" s="1"/>
  <c r="BS32" i="23"/>
  <c r="H76" i="23"/>
  <c r="H78" i="23" s="1"/>
  <c r="K71" i="23"/>
  <c r="K67" i="23"/>
  <c r="K70" i="23"/>
  <c r="K74" i="23"/>
  <c r="H29" i="23"/>
  <c r="I29" i="23"/>
  <c r="G29" i="23"/>
  <c r="BN29" i="23"/>
  <c r="F76" i="23"/>
  <c r="F78" i="23" s="1"/>
  <c r="K56" i="23"/>
  <c r="K58" i="23"/>
  <c r="K60" i="23"/>
  <c r="K59" i="23"/>
  <c r="K62" i="23"/>
  <c r="J6" i="23"/>
  <c r="K6" i="23" s="1"/>
  <c r="AH4" i="23"/>
  <c r="F29" i="23"/>
  <c r="N21" i="23"/>
  <c r="N25" i="23"/>
  <c r="AT4" i="23"/>
  <c r="BF4" i="23"/>
  <c r="N17" i="23"/>
  <c r="BU17" i="23" s="1"/>
  <c r="N23" i="23"/>
  <c r="N27" i="23"/>
  <c r="AT7" i="23"/>
  <c r="J29" i="23"/>
  <c r="BO6" i="23" s="1"/>
  <c r="N16" i="23"/>
  <c r="N22" i="23"/>
  <c r="N26" i="23"/>
  <c r="BF7" i="23"/>
  <c r="N24" i="23"/>
  <c r="J63" i="23"/>
  <c r="I32" i="23"/>
  <c r="I50" i="23" s="1"/>
  <c r="G76" i="23"/>
  <c r="G78" i="23" s="1"/>
  <c r="J76" i="23"/>
  <c r="I76" i="23"/>
  <c r="I78" i="23" s="1"/>
  <c r="AY43" i="22"/>
  <c r="BG20" i="23" l="1"/>
  <c r="BH20" i="23" s="1"/>
  <c r="J50" i="23"/>
  <c r="BO3" i="23" s="1"/>
  <c r="BJ32" i="23"/>
  <c r="W20" i="23"/>
  <c r="X20" i="23" s="1"/>
  <c r="AU20" i="23"/>
  <c r="AV20" i="23" s="1"/>
  <c r="AI20" i="23"/>
  <c r="AJ20" i="23" s="1"/>
  <c r="BG16" i="23"/>
  <c r="BG19" i="23"/>
  <c r="BH19" i="23" s="1"/>
  <c r="BO19" i="23"/>
  <c r="BP19" i="23" s="1"/>
  <c r="BG6" i="23"/>
  <c r="BD32" i="23"/>
  <c r="BC32" i="23"/>
  <c r="BC50" i="23" s="1"/>
  <c r="BC9" i="23" s="1"/>
  <c r="BC10" i="23" s="1"/>
  <c r="BC54" i="23" s="1"/>
  <c r="BB32" i="23"/>
  <c r="BA32" i="23"/>
  <c r="AZ32" i="23"/>
  <c r="AY32" i="23"/>
  <c r="AY50" i="23" s="1"/>
  <c r="AY9" i="23" s="1"/>
  <c r="AY10" i="23" s="1"/>
  <c r="AX32" i="23"/>
  <c r="AR32" i="23"/>
  <c r="AR50" i="23" s="1"/>
  <c r="AR9" i="23" s="1"/>
  <c r="AR10" i="23" s="1"/>
  <c r="AR54" i="23" s="1"/>
  <c r="AQ32" i="23"/>
  <c r="E54" i="23"/>
  <c r="AU6" i="23"/>
  <c r="BK81" i="23"/>
  <c r="J78" i="23"/>
  <c r="BU16" i="23"/>
  <c r="BV16" i="23" s="1"/>
  <c r="AP32" i="23"/>
  <c r="AP50" i="23" s="1"/>
  <c r="AP9" i="23" s="1"/>
  <c r="AP10" i="23" s="1"/>
  <c r="AP54" i="23" s="1"/>
  <c r="AO32" i="23"/>
  <c r="AN32" i="23"/>
  <c r="AN50" i="23" s="1"/>
  <c r="AN9" i="23" s="1"/>
  <c r="AN10" i="23" s="1"/>
  <c r="AN54" i="23" s="1"/>
  <c r="AM32" i="23"/>
  <c r="AD32" i="23"/>
  <c r="AD50" i="23" s="1"/>
  <c r="AD9" i="23" s="1"/>
  <c r="AD10" i="23" s="1"/>
  <c r="AD54" i="23" s="1"/>
  <c r="AL32" i="23"/>
  <c r="AF32" i="23"/>
  <c r="AF50" i="23" s="1"/>
  <c r="AF9" i="23" s="1"/>
  <c r="AF10" i="23" s="1"/>
  <c r="AF54" i="23" s="1"/>
  <c r="AE32" i="23"/>
  <c r="AE50" i="23" s="1"/>
  <c r="AE9" i="23" s="1"/>
  <c r="AE10" i="23" s="1"/>
  <c r="AA32" i="23"/>
  <c r="AA50" i="23" s="1"/>
  <c r="AA9" i="23" s="1"/>
  <c r="AA10" i="23" s="1"/>
  <c r="AA54" i="23" s="1"/>
  <c r="AB32" i="23"/>
  <c r="AB50" i="23" s="1"/>
  <c r="Z32" i="23"/>
  <c r="Z52" i="23" s="1"/>
  <c r="S32" i="23"/>
  <c r="S52" i="23" s="1"/>
  <c r="R32" i="23"/>
  <c r="R52" i="23" s="1"/>
  <c r="T32" i="23"/>
  <c r="T50" i="23" s="1"/>
  <c r="T9" i="23" s="1"/>
  <c r="T10" i="23" s="1"/>
  <c r="T54" i="23" s="1"/>
  <c r="T88" i="23" s="1"/>
  <c r="Q32" i="23"/>
  <c r="Q50" i="23" s="1"/>
  <c r="Q9" i="23" s="1"/>
  <c r="Q10" i="23" s="1"/>
  <c r="Q54" i="23" s="1"/>
  <c r="Q88" i="23" s="1"/>
  <c r="CA4" i="23"/>
  <c r="CB4" i="23" s="1"/>
  <c r="AI6" i="23"/>
  <c r="W6" i="23"/>
  <c r="W7" i="23" s="1"/>
  <c r="CA6" i="23"/>
  <c r="CB6" i="23" s="1"/>
  <c r="AI16" i="23"/>
  <c r="AJ16" i="23" s="1"/>
  <c r="W16" i="23"/>
  <c r="W26" i="23"/>
  <c r="AI26" i="23"/>
  <c r="BX7" i="23"/>
  <c r="BX4" i="23"/>
  <c r="CA7" i="23"/>
  <c r="CB7" i="23" s="1"/>
  <c r="K38" i="23"/>
  <c r="BO38" i="23" s="1"/>
  <c r="BP38" i="23" s="1"/>
  <c r="K45" i="23"/>
  <c r="BO45" i="23" s="1"/>
  <c r="K46" i="23"/>
  <c r="BO46" i="23" s="1"/>
  <c r="K39" i="23"/>
  <c r="BO39" i="23" s="1"/>
  <c r="K44" i="23"/>
  <c r="BO44" i="23" s="1"/>
  <c r="V34" i="23"/>
  <c r="J4" i="23"/>
  <c r="BV4" i="23"/>
  <c r="BZ12" i="23" s="1"/>
  <c r="BV7" i="23"/>
  <c r="BZ13" i="23" s="1"/>
  <c r="AU27" i="23"/>
  <c r="W27" i="23"/>
  <c r="J7" i="23"/>
  <c r="C50" i="23"/>
  <c r="BZ3" i="23" s="1"/>
  <c r="CA3" i="23" s="1"/>
  <c r="K37" i="23"/>
  <c r="BU34" i="23"/>
  <c r="BV34" i="23" s="1"/>
  <c r="E88" i="23"/>
  <c r="V46" i="23"/>
  <c r="V47" i="23"/>
  <c r="P32" i="23"/>
  <c r="P50" i="23" s="1"/>
  <c r="P9" i="23" s="1"/>
  <c r="P10" i="23" s="1"/>
  <c r="O32" i="23"/>
  <c r="O50" i="23" s="1"/>
  <c r="O9" i="23" s="1"/>
  <c r="O10" i="23" s="1"/>
  <c r="N32" i="23"/>
  <c r="BU42" i="23"/>
  <c r="BV42" i="23" s="1"/>
  <c r="V42" i="23"/>
  <c r="O29" i="23"/>
  <c r="BU48" i="23"/>
  <c r="BV48" i="23" s="1"/>
  <c r="V48" i="23"/>
  <c r="BU46" i="23"/>
  <c r="BV46" i="23" s="1"/>
  <c r="BU47" i="23"/>
  <c r="BV47" i="23" s="1"/>
  <c r="BU33" i="23"/>
  <c r="BV33" i="23" s="1"/>
  <c r="V33" i="23"/>
  <c r="V40" i="23"/>
  <c r="BU40" i="23"/>
  <c r="BV40" i="23" s="1"/>
  <c r="P29" i="23"/>
  <c r="BU41" i="23"/>
  <c r="BV41" i="23" s="1"/>
  <c r="V41" i="23"/>
  <c r="V43" i="23"/>
  <c r="BU43" i="23"/>
  <c r="BV43" i="23" s="1"/>
  <c r="BU44" i="23"/>
  <c r="BV44" i="23" s="1"/>
  <c r="V44" i="23"/>
  <c r="BU45" i="23"/>
  <c r="BV45" i="23" s="1"/>
  <c r="V45" i="23"/>
  <c r="BU39" i="23"/>
  <c r="BV39" i="23" s="1"/>
  <c r="V39" i="23"/>
  <c r="J15" i="23"/>
  <c r="BO25" i="23"/>
  <c r="BP25" i="23" s="1"/>
  <c r="N29" i="23"/>
  <c r="W17" i="23"/>
  <c r="AU25" i="23"/>
  <c r="AI19" i="23"/>
  <c r="AJ19" i="23" s="1"/>
  <c r="J80" i="23"/>
  <c r="BK56" i="23"/>
  <c r="BK60" i="23"/>
  <c r="BK57" i="23"/>
  <c r="BK61" i="23"/>
  <c r="BK58" i="23"/>
  <c r="BK62" i="23"/>
  <c r="BK59" i="23"/>
  <c r="BG27" i="23"/>
  <c r="AI18" i="23"/>
  <c r="AJ18" i="23" s="1"/>
  <c r="BO18" i="23"/>
  <c r="BP18" i="23" s="1"/>
  <c r="AU19" i="23"/>
  <c r="AV19" i="23" s="1"/>
  <c r="BL88" i="23"/>
  <c r="BL57" i="23"/>
  <c r="BL61" i="23"/>
  <c r="BL56" i="23"/>
  <c r="BL60" i="23"/>
  <c r="BL58" i="23"/>
  <c r="BL62" i="23"/>
  <c r="BL59" i="23"/>
  <c r="CC50" i="23"/>
  <c r="BG22" i="23"/>
  <c r="W25" i="23"/>
  <c r="BO27" i="23"/>
  <c r="BP27" i="23" s="1"/>
  <c r="BF26" i="23"/>
  <c r="AU18" i="23"/>
  <c r="AV18" i="23" s="1"/>
  <c r="BO16" i="23"/>
  <c r="BP16" i="23" s="1"/>
  <c r="W19" i="23"/>
  <c r="X19" i="23" s="1"/>
  <c r="BG18" i="23"/>
  <c r="BH18" i="23" s="1"/>
  <c r="BO17" i="23"/>
  <c r="BP17" i="23" s="1"/>
  <c r="BS50" i="23"/>
  <c r="K36" i="23"/>
  <c r="K35" i="23"/>
  <c r="AU17" i="23"/>
  <c r="AI17" i="23"/>
  <c r="AI27" i="23"/>
  <c r="AI22" i="23"/>
  <c r="BG25" i="23"/>
  <c r="BO22" i="23"/>
  <c r="BP22" i="23" s="1"/>
  <c r="W22" i="23"/>
  <c r="BF22" i="23"/>
  <c r="H52" i="23"/>
  <c r="H80" i="23" s="1"/>
  <c r="F52" i="23"/>
  <c r="F54" i="23" s="1"/>
  <c r="W23" i="23"/>
  <c r="BG21" i="23"/>
  <c r="G52" i="23"/>
  <c r="G80" i="23" s="1"/>
  <c r="AU24" i="23"/>
  <c r="BO23" i="23"/>
  <c r="BP23" i="23" s="1"/>
  <c r="BG23" i="23"/>
  <c r="AI23" i="23"/>
  <c r="AU21" i="23"/>
  <c r="BG26" i="23"/>
  <c r="AU26" i="23"/>
  <c r="BO21" i="23"/>
  <c r="BP21" i="23" s="1"/>
  <c r="BO26" i="23"/>
  <c r="BP26" i="23" s="1"/>
  <c r="W21" i="23"/>
  <c r="BO24" i="23"/>
  <c r="BP24" i="23" s="1"/>
  <c r="BG24" i="23"/>
  <c r="BF24" i="23"/>
  <c r="W24" i="23"/>
  <c r="K29" i="23"/>
  <c r="K76" i="23"/>
  <c r="BL81" i="23"/>
  <c r="BL91" i="23" s="1"/>
  <c r="BG63" i="23"/>
  <c r="BG76" i="23" s="1"/>
  <c r="AH25" i="23"/>
  <c r="AJ25" i="23" s="1"/>
  <c r="AH24" i="23"/>
  <c r="AJ24" i="23" s="1"/>
  <c r="BF23" i="23"/>
  <c r="BF21" i="23"/>
  <c r="AH27" i="23"/>
  <c r="AH21" i="23"/>
  <c r="AJ21" i="23" s="1"/>
  <c r="W76" i="23"/>
  <c r="BF27" i="23"/>
  <c r="CA1" i="23"/>
  <c r="CB1" i="23" s="1"/>
  <c r="CC1" i="23" s="1"/>
  <c r="K63" i="23"/>
  <c r="AI63" i="23"/>
  <c r="AI76" i="23" s="1"/>
  <c r="I52" i="23"/>
  <c r="AT24" i="23"/>
  <c r="V16" i="23"/>
  <c r="AT16" i="23"/>
  <c r="AV16" i="23" s="1"/>
  <c r="BU27" i="23"/>
  <c r="BV27" i="23" s="1"/>
  <c r="V27" i="23"/>
  <c r="AT27" i="23"/>
  <c r="BV17" i="23"/>
  <c r="V17" i="23"/>
  <c r="AT17" i="23"/>
  <c r="BU21" i="23"/>
  <c r="BV21" i="23" s="1"/>
  <c r="V21" i="23"/>
  <c r="AT21" i="23"/>
  <c r="T52" i="23"/>
  <c r="AH17" i="23"/>
  <c r="BU24" i="23"/>
  <c r="BV24" i="23" s="1"/>
  <c r="V24" i="23"/>
  <c r="AH22" i="23"/>
  <c r="BF16" i="23"/>
  <c r="AX52" i="23"/>
  <c r="AP52" i="23"/>
  <c r="BU23" i="23"/>
  <c r="BV23" i="23" s="1"/>
  <c r="V23" i="23"/>
  <c r="AT23" i="23"/>
  <c r="AV23" i="23" s="1"/>
  <c r="BF25" i="23"/>
  <c r="BU25" i="23"/>
  <c r="BV25" i="23" s="1"/>
  <c r="V25" i="23"/>
  <c r="AT25" i="23"/>
  <c r="AY29" i="23"/>
  <c r="W63" i="23"/>
  <c r="BF17" i="23"/>
  <c r="BH17" i="23" s="1"/>
  <c r="AU63" i="23"/>
  <c r="AU76" i="23" s="1"/>
  <c r="E91" i="23"/>
  <c r="K40" i="23"/>
  <c r="K43" i="23"/>
  <c r="BO43" i="23" s="1"/>
  <c r="K48" i="23"/>
  <c r="K47" i="23"/>
  <c r="BO47" i="23" s="1"/>
  <c r="K42" i="23"/>
  <c r="K34" i="23"/>
  <c r="K41" i="23"/>
  <c r="BO41" i="23" s="1"/>
  <c r="K33" i="23"/>
  <c r="K32" i="23"/>
  <c r="BO32" i="23" s="1"/>
  <c r="BU26" i="23"/>
  <c r="BV26" i="23" s="1"/>
  <c r="V26" i="23"/>
  <c r="AT26" i="23"/>
  <c r="BU22" i="23"/>
  <c r="BV22" i="23" s="1"/>
  <c r="V22" i="23"/>
  <c r="AT22" i="23"/>
  <c r="AV22" i="23" s="1"/>
  <c r="AN52" i="23"/>
  <c r="AM29" i="23"/>
  <c r="AE29" i="23"/>
  <c r="AY6" i="22"/>
  <c r="AZ6" i="22"/>
  <c r="BA6" i="22"/>
  <c r="BB6" i="22"/>
  <c r="BC6" i="22"/>
  <c r="BD6" i="22"/>
  <c r="AY4" i="22"/>
  <c r="AY8" i="22" s="1"/>
  <c r="AZ4" i="22"/>
  <c r="BA4" i="22"/>
  <c r="BA8" i="22" s="1"/>
  <c r="BB4" i="22"/>
  <c r="BB8" i="22" s="1"/>
  <c r="BC4" i="22"/>
  <c r="BC8" i="22" s="1"/>
  <c r="BD4" i="22"/>
  <c r="BD8" i="22" s="1"/>
  <c r="BS21" i="22"/>
  <c r="BF5" i="22"/>
  <c r="BF3" i="22"/>
  <c r="AX6" i="22"/>
  <c r="AX4" i="22"/>
  <c r="AQ43" i="22"/>
  <c r="AR43" i="22"/>
  <c r="AR4" i="22"/>
  <c r="BD9" i="22" l="1"/>
  <c r="AY9" i="22"/>
  <c r="AR52" i="23"/>
  <c r="S50" i="23"/>
  <c r="S9" i="23" s="1"/>
  <c r="S10" i="23" s="1"/>
  <c r="S54" i="23" s="1"/>
  <c r="S88" i="23" s="1"/>
  <c r="BG33" i="23"/>
  <c r="BO33" i="23"/>
  <c r="BG36" i="23"/>
  <c r="BO36" i="23"/>
  <c r="BG37" i="23"/>
  <c r="BH37" i="23" s="1"/>
  <c r="BO37" i="23"/>
  <c r="BP37" i="23" s="1"/>
  <c r="BO4" i="23"/>
  <c r="BP3" i="23"/>
  <c r="BP4" i="23" s="1"/>
  <c r="AZ8" i="22"/>
  <c r="AZ9" i="22" s="1"/>
  <c r="BG47" i="23"/>
  <c r="BO42" i="23"/>
  <c r="BG45" i="23"/>
  <c r="BO40" i="23"/>
  <c r="BP40" i="23" s="1"/>
  <c r="BG35" i="23"/>
  <c r="BO35" i="23"/>
  <c r="BJ50" i="23"/>
  <c r="BJ9" i="23" s="1"/>
  <c r="BJ52" i="23"/>
  <c r="BN52" i="23" s="1"/>
  <c r="BN32" i="23"/>
  <c r="BN50" i="23" s="1"/>
  <c r="AR8" i="22"/>
  <c r="BG34" i="23"/>
  <c r="BO34" i="23"/>
  <c r="BP34" i="23" s="1"/>
  <c r="AY54" i="23"/>
  <c r="AY88" i="23" s="1"/>
  <c r="BG44" i="23"/>
  <c r="BO48" i="23"/>
  <c r="BG3" i="23"/>
  <c r="BH16" i="23"/>
  <c r="BK91" i="23"/>
  <c r="BK86" i="23"/>
  <c r="BO7" i="23"/>
  <c r="BP7" i="23" s="1"/>
  <c r="BP6" i="23"/>
  <c r="BC52" i="23"/>
  <c r="BG42" i="23"/>
  <c r="AT32" i="23"/>
  <c r="AT50" i="23" s="1"/>
  <c r="AY52" i="23"/>
  <c r="BG46" i="23"/>
  <c r="BG48" i="23"/>
  <c r="BG38" i="23"/>
  <c r="BH38" i="23" s="1"/>
  <c r="BA52" i="23"/>
  <c r="BA50" i="23"/>
  <c r="BA9" i="23" s="1"/>
  <c r="BA10" i="23" s="1"/>
  <c r="BA54" i="23" s="1"/>
  <c r="BG43" i="23"/>
  <c r="BG40" i="23"/>
  <c r="AX50" i="23"/>
  <c r="AX9" i="23" s="1"/>
  <c r="AX10" i="23" s="1"/>
  <c r="AX54" i="23" s="1"/>
  <c r="BF32" i="23"/>
  <c r="BF50" i="23" s="1"/>
  <c r="BB50" i="23"/>
  <c r="BB9" i="23" s="1"/>
  <c r="BB10" i="23" s="1"/>
  <c r="BB54" i="23" s="1"/>
  <c r="BB88" i="23" s="1"/>
  <c r="BB52" i="23"/>
  <c r="BG39" i="23"/>
  <c r="AQ52" i="23"/>
  <c r="AQ50" i="23"/>
  <c r="AQ9" i="23" s="1"/>
  <c r="AQ10" i="23" s="1"/>
  <c r="AQ54" i="23" s="1"/>
  <c r="AQ60" i="23" s="1"/>
  <c r="AZ52" i="23"/>
  <c r="AZ50" i="23"/>
  <c r="AZ9" i="23" s="1"/>
  <c r="AZ10" i="23" s="1"/>
  <c r="AZ54" i="23" s="1"/>
  <c r="AZ88" i="23" s="1"/>
  <c r="BD52" i="23"/>
  <c r="BD50" i="23"/>
  <c r="BD9" i="23" s="1"/>
  <c r="BD10" i="23" s="1"/>
  <c r="BD54" i="23" s="1"/>
  <c r="BC88" i="23"/>
  <c r="BG32" i="23"/>
  <c r="BG7" i="23"/>
  <c r="BH7" i="23" s="1"/>
  <c r="BH6" i="23"/>
  <c r="BP41" i="23"/>
  <c r="BG41" i="23"/>
  <c r="AU3" i="23"/>
  <c r="R50" i="23"/>
  <c r="R9" i="23" s="1"/>
  <c r="R10" i="23" s="1"/>
  <c r="R54" i="23" s="1"/>
  <c r="R88" i="23" s="1"/>
  <c r="AE52" i="23"/>
  <c r="AD52" i="23"/>
  <c r="AA52" i="23"/>
  <c r="AM50" i="23"/>
  <c r="AM9" i="23" s="1"/>
  <c r="AM10" i="23" s="1"/>
  <c r="AM54" i="23" s="1"/>
  <c r="AM52" i="23"/>
  <c r="AO52" i="23"/>
  <c r="AO50" i="23"/>
  <c r="AO9" i="23" s="1"/>
  <c r="AO10" i="23" s="1"/>
  <c r="AO54" i="23" s="1"/>
  <c r="AO60" i="23" s="1"/>
  <c r="AD88" i="23"/>
  <c r="AA61" i="23"/>
  <c r="AL52" i="23"/>
  <c r="AL50" i="23"/>
  <c r="Z50" i="23"/>
  <c r="Z9" i="23" s="1"/>
  <c r="AH32" i="23"/>
  <c r="AH50" i="23" s="1"/>
  <c r="Q52" i="23"/>
  <c r="AB9" i="23"/>
  <c r="AB10" i="23" s="1"/>
  <c r="AB54" i="23" s="1"/>
  <c r="AB52" i="23"/>
  <c r="J91" i="23"/>
  <c r="J93" i="23" s="1"/>
  <c r="E93" i="23"/>
  <c r="AF52" i="23"/>
  <c r="AE54" i="23"/>
  <c r="AE88" i="23" s="1"/>
  <c r="X26" i="23"/>
  <c r="X16" i="23"/>
  <c r="J88" i="23"/>
  <c r="K88" i="23" s="1"/>
  <c r="W37" i="23"/>
  <c r="X37" i="23" s="1"/>
  <c r="AU37" i="23"/>
  <c r="AV37" i="23" s="1"/>
  <c r="AI37" i="23"/>
  <c r="AJ37" i="23" s="1"/>
  <c r="W40" i="23"/>
  <c r="AI40" i="23"/>
  <c r="AJ40" i="23" s="1"/>
  <c r="AU40" i="23"/>
  <c r="AV40" i="23" s="1"/>
  <c r="W34" i="23"/>
  <c r="AU34" i="23"/>
  <c r="AV34" i="23" s="1"/>
  <c r="AI34" i="23"/>
  <c r="AJ34" i="23" s="1"/>
  <c r="BP48" i="23"/>
  <c r="W48" i="23"/>
  <c r="X48" i="23" s="1"/>
  <c r="AI48" i="23"/>
  <c r="AJ48" i="23" s="1"/>
  <c r="AU48" i="23"/>
  <c r="AV48" i="23" s="1"/>
  <c r="BH26" i="23"/>
  <c r="BP42" i="23"/>
  <c r="W42" i="23"/>
  <c r="AI42" i="23"/>
  <c r="AJ42" i="23" s="1"/>
  <c r="AU42" i="23"/>
  <c r="AV42" i="23" s="1"/>
  <c r="W33" i="23"/>
  <c r="AU33" i="23"/>
  <c r="AV33" i="23" s="1"/>
  <c r="AI33" i="23"/>
  <c r="AJ33" i="23" s="1"/>
  <c r="BP43" i="23"/>
  <c r="W43" i="23"/>
  <c r="AU43" i="23"/>
  <c r="AV43" i="23" s="1"/>
  <c r="AI43" i="23"/>
  <c r="AJ43" i="23" s="1"/>
  <c r="W36" i="23"/>
  <c r="X36" i="23" s="1"/>
  <c r="AI36" i="23"/>
  <c r="AJ36" i="23" s="1"/>
  <c r="AU36" i="23"/>
  <c r="AV36" i="23" s="1"/>
  <c r="N50" i="23"/>
  <c r="N9" i="23" s="1"/>
  <c r="BU32" i="23"/>
  <c r="BV32" i="23" s="1"/>
  <c r="W38" i="23"/>
  <c r="X38" i="23" s="1"/>
  <c r="AI38" i="23"/>
  <c r="AJ38" i="23" s="1"/>
  <c r="AU38" i="23"/>
  <c r="AV38" i="23" s="1"/>
  <c r="W41" i="23"/>
  <c r="AU41" i="23"/>
  <c r="AV41" i="23" s="1"/>
  <c r="AI41" i="23"/>
  <c r="AJ41" i="23" s="1"/>
  <c r="W46" i="23"/>
  <c r="AU46" i="23"/>
  <c r="AV46" i="23" s="1"/>
  <c r="AI46" i="23"/>
  <c r="AJ46" i="23" s="1"/>
  <c r="W44" i="23"/>
  <c r="AI44" i="23"/>
  <c r="AJ44" i="23" s="1"/>
  <c r="AU44" i="23"/>
  <c r="AV44" i="23" s="1"/>
  <c r="AU32" i="23"/>
  <c r="AI32" i="23"/>
  <c r="W32" i="23"/>
  <c r="W47" i="23"/>
  <c r="X47" i="23" s="1"/>
  <c r="AU47" i="23"/>
  <c r="AV47" i="23" s="1"/>
  <c r="AI47" i="23"/>
  <c r="AJ47" i="23" s="1"/>
  <c r="W45" i="23"/>
  <c r="X45" i="23" s="1"/>
  <c r="AI45" i="23"/>
  <c r="AJ45" i="23" s="1"/>
  <c r="AU45" i="23"/>
  <c r="AV45" i="23" s="1"/>
  <c r="W35" i="23"/>
  <c r="AI35" i="23"/>
  <c r="AJ35" i="23" s="1"/>
  <c r="AU35" i="23"/>
  <c r="AV35" i="23" s="1"/>
  <c r="W3" i="23"/>
  <c r="W4" i="23" s="1"/>
  <c r="AI3" i="23"/>
  <c r="W39" i="23"/>
  <c r="AI39" i="23"/>
  <c r="AJ39" i="23" s="1"/>
  <c r="AU39" i="23"/>
  <c r="AV39" i="23" s="1"/>
  <c r="AV27" i="23"/>
  <c r="BP33" i="23"/>
  <c r="E89" i="23"/>
  <c r="BV3" i="23"/>
  <c r="X27" i="23"/>
  <c r="O52" i="23"/>
  <c r="J52" i="23"/>
  <c r="J54" i="23" s="1"/>
  <c r="P54" i="23"/>
  <c r="P60" i="23" s="1"/>
  <c r="P52" i="23"/>
  <c r="O54" i="23"/>
  <c r="J31" i="23"/>
  <c r="K31" i="23" s="1"/>
  <c r="V32" i="23"/>
  <c r="V50" i="23" s="1"/>
  <c r="X17" i="23"/>
  <c r="BH22" i="23"/>
  <c r="AJ17" i="23"/>
  <c r="AV25" i="23"/>
  <c r="F80" i="23"/>
  <c r="BK63" i="23"/>
  <c r="BK65" i="23" s="1"/>
  <c r="BL63" i="23"/>
  <c r="BL65" i="23" s="1"/>
  <c r="BL67" i="23" s="1"/>
  <c r="BH27" i="23"/>
  <c r="X25" i="23"/>
  <c r="BP46" i="23"/>
  <c r="BP44" i="23"/>
  <c r="BP35" i="23"/>
  <c r="BP39" i="23"/>
  <c r="BP47" i="23"/>
  <c r="BP45" i="23"/>
  <c r="BP36" i="23"/>
  <c r="CC58" i="23"/>
  <c r="CC56" i="23"/>
  <c r="CC57" i="23"/>
  <c r="CC55" i="23"/>
  <c r="X22" i="23"/>
  <c r="BC58" i="23"/>
  <c r="BC57" i="23"/>
  <c r="BC59" i="23"/>
  <c r="BC60" i="23"/>
  <c r="AV17" i="23"/>
  <c r="BC61" i="23"/>
  <c r="BH25" i="23"/>
  <c r="BC56" i="23"/>
  <c r="BC62" i="23"/>
  <c r="BF6" i="22"/>
  <c r="BC9" i="22"/>
  <c r="AJ22" i="23"/>
  <c r="AJ27" i="23"/>
  <c r="AY62" i="23"/>
  <c r="BB9" i="22"/>
  <c r="BA9" i="22"/>
  <c r="BH21" i="23"/>
  <c r="H54" i="23"/>
  <c r="G54" i="23"/>
  <c r="AV21" i="23"/>
  <c r="X23" i="23"/>
  <c r="AJ26" i="23"/>
  <c r="AI29" i="23"/>
  <c r="AU29" i="23"/>
  <c r="AV24" i="23"/>
  <c r="AJ23" i="23"/>
  <c r="X21" i="23"/>
  <c r="W29" i="23"/>
  <c r="AV26" i="23"/>
  <c r="BH23" i="23"/>
  <c r="X24" i="23"/>
  <c r="BO29" i="23"/>
  <c r="BH24" i="23"/>
  <c r="BG29" i="23"/>
  <c r="AY60" i="23"/>
  <c r="AA56" i="23"/>
  <c r="AY57" i="23"/>
  <c r="AY59" i="23"/>
  <c r="AY56" i="23"/>
  <c r="AY61" i="23"/>
  <c r="AA62" i="23"/>
  <c r="AY58" i="23"/>
  <c r="AA58" i="23"/>
  <c r="AA57" i="23"/>
  <c r="AA60" i="23"/>
  <c r="AA88" i="23"/>
  <c r="AA59" i="23"/>
  <c r="AH29" i="23"/>
  <c r="AD62" i="23"/>
  <c r="AD61" i="23"/>
  <c r="AD60" i="23"/>
  <c r="AD59" i="23"/>
  <c r="AD57" i="23"/>
  <c r="AD58" i="23"/>
  <c r="AD56" i="23"/>
  <c r="AF61" i="23"/>
  <c r="AF88" i="23"/>
  <c r="AF60" i="23"/>
  <c r="AF58" i="23"/>
  <c r="AF56" i="23"/>
  <c r="AF62" i="23"/>
  <c r="AF57" i="23"/>
  <c r="AF59" i="23"/>
  <c r="AP88" i="23"/>
  <c r="AP61" i="23"/>
  <c r="AP60" i="23"/>
  <c r="AP62" i="23"/>
  <c r="AP58" i="23"/>
  <c r="AP56" i="23"/>
  <c r="AP59" i="23"/>
  <c r="AP57" i="23"/>
  <c r="BF29" i="23"/>
  <c r="AT29" i="23"/>
  <c r="I88" i="23"/>
  <c r="G88" i="23"/>
  <c r="F88" i="23"/>
  <c r="H88" i="23"/>
  <c r="BP29" i="23"/>
  <c r="Q62" i="23"/>
  <c r="Q61" i="23"/>
  <c r="Q60" i="23"/>
  <c r="Q58" i="23"/>
  <c r="Q56" i="23"/>
  <c r="Q57" i="23"/>
  <c r="Q59" i="23"/>
  <c r="V29" i="23"/>
  <c r="K50" i="23"/>
  <c r="T62" i="23"/>
  <c r="T61" i="23"/>
  <c r="T59" i="23"/>
  <c r="T57" i="23"/>
  <c r="T58" i="23"/>
  <c r="T60" i="23"/>
  <c r="T56" i="23"/>
  <c r="AI7" i="23"/>
  <c r="AJ6" i="23"/>
  <c r="AJ7" i="23" s="1"/>
  <c r="BU29" i="23"/>
  <c r="BV29" i="23" s="1"/>
  <c r="I80" i="23"/>
  <c r="I54" i="23"/>
  <c r="AU7" i="23"/>
  <c r="AV7" i="23" s="1"/>
  <c r="AV6" i="23"/>
  <c r="AR59" i="23"/>
  <c r="AR62" i="23"/>
  <c r="AR60" i="23"/>
  <c r="AR88" i="23"/>
  <c r="AR57" i="23"/>
  <c r="AR58" i="23"/>
  <c r="AR61" i="23"/>
  <c r="AR56" i="23"/>
  <c r="AN88" i="23"/>
  <c r="AN59" i="23"/>
  <c r="AN62" i="23"/>
  <c r="AN61" i="23"/>
  <c r="AN57" i="23"/>
  <c r="AN60" i="23"/>
  <c r="AN58" i="23"/>
  <c r="AN56" i="23"/>
  <c r="F91" i="23"/>
  <c r="H91" i="23"/>
  <c r="I91" i="23"/>
  <c r="G91" i="23"/>
  <c r="AC88" i="23"/>
  <c r="AC60" i="23"/>
  <c r="AC61" i="23"/>
  <c r="AC56" i="23"/>
  <c r="AC59" i="23"/>
  <c r="AC57" i="23"/>
  <c r="AC62" i="23"/>
  <c r="AC58" i="23"/>
  <c r="X6" i="23"/>
  <c r="X7" i="23" s="1"/>
  <c r="S60" i="23"/>
  <c r="S56" i="23"/>
  <c r="S62" i="23"/>
  <c r="S59" i="23"/>
  <c r="S57" i="23"/>
  <c r="S58" i="23"/>
  <c r="S61" i="23"/>
  <c r="BF4" i="22"/>
  <c r="BN4" i="22" s="1"/>
  <c r="AQ4" i="22"/>
  <c r="AQ8" i="22" s="1"/>
  <c r="AQ6" i="22"/>
  <c r="AP4" i="22"/>
  <c r="AP6" i="22"/>
  <c r="AQ9" i="22" l="1"/>
  <c r="BN9" i="23"/>
  <c r="BJ10" i="23"/>
  <c r="BH32" i="23"/>
  <c r="K7" i="23"/>
  <c r="E65" i="23" s="1"/>
  <c r="AQ61" i="23"/>
  <c r="AZ59" i="23"/>
  <c r="AZ58" i="23"/>
  <c r="AZ60" i="23"/>
  <c r="BF52" i="23"/>
  <c r="AQ88" i="23"/>
  <c r="BB57" i="23"/>
  <c r="BB61" i="23"/>
  <c r="AZ57" i="23"/>
  <c r="AZ62" i="23"/>
  <c r="AQ58" i="23"/>
  <c r="AQ62" i="23"/>
  <c r="BB58" i="23"/>
  <c r="AQ57" i="23"/>
  <c r="AQ59" i="23"/>
  <c r="BF10" i="23"/>
  <c r="BF9" i="23"/>
  <c r="BB56" i="23"/>
  <c r="BB59" i="23"/>
  <c r="AQ56" i="23"/>
  <c r="AZ56" i="23"/>
  <c r="AZ61" i="23"/>
  <c r="BB62" i="23"/>
  <c r="BB60" i="23"/>
  <c r="BD56" i="23"/>
  <c r="BD88" i="23"/>
  <c r="BD59" i="23"/>
  <c r="BD61" i="23"/>
  <c r="BD57" i="23"/>
  <c r="BD58" i="23"/>
  <c r="BD62" i="23"/>
  <c r="BD60" i="23"/>
  <c r="BF54" i="23"/>
  <c r="BA88" i="23"/>
  <c r="R60" i="23"/>
  <c r="R61" i="23"/>
  <c r="R59" i="23"/>
  <c r="R56" i="23"/>
  <c r="AO61" i="23"/>
  <c r="AO59" i="23"/>
  <c r="AO62" i="23"/>
  <c r="AO56" i="23"/>
  <c r="AM88" i="23"/>
  <c r="AM62" i="23"/>
  <c r="AM60" i="23"/>
  <c r="AM61" i="23"/>
  <c r="AM59" i="23"/>
  <c r="AM57" i="23"/>
  <c r="AM56" i="23"/>
  <c r="AM58" i="23"/>
  <c r="R58" i="23"/>
  <c r="AO58" i="23"/>
  <c r="AO88" i="23"/>
  <c r="R57" i="23"/>
  <c r="R62" i="23"/>
  <c r="AO57" i="23"/>
  <c r="BH3" i="23"/>
  <c r="BH4" i="23" s="1"/>
  <c r="BG4" i="23"/>
  <c r="AT52" i="23"/>
  <c r="AE56" i="23"/>
  <c r="N10" i="23"/>
  <c r="V10" i="23" s="1"/>
  <c r="AE58" i="23"/>
  <c r="J89" i="23"/>
  <c r="E100" i="23"/>
  <c r="E99" i="23"/>
  <c r="C99" i="23" s="1"/>
  <c r="AE62" i="23"/>
  <c r="AJ32" i="23"/>
  <c r="AJ52" i="23" s="1"/>
  <c r="AH52" i="23"/>
  <c r="AB61" i="23"/>
  <c r="AB56" i="23"/>
  <c r="AB62" i="23"/>
  <c r="AB57" i="23"/>
  <c r="AB58" i="23"/>
  <c r="AB60" i="23"/>
  <c r="AB59" i="23"/>
  <c r="AB88" i="23"/>
  <c r="AH9" i="23"/>
  <c r="Z10" i="23"/>
  <c r="AE57" i="23"/>
  <c r="AE59" i="23"/>
  <c r="E95" i="23"/>
  <c r="J95" i="23" s="1"/>
  <c r="AL9" i="23"/>
  <c r="AT9" i="23" s="1"/>
  <c r="AE60" i="23"/>
  <c r="AE61" i="23"/>
  <c r="O88" i="23"/>
  <c r="O58" i="23"/>
  <c r="O62" i="23"/>
  <c r="O59" i="23"/>
  <c r="O61" i="23"/>
  <c r="O57" i="23"/>
  <c r="O56" i="23"/>
  <c r="O60" i="23"/>
  <c r="AU4" i="23"/>
  <c r="AV3" i="23"/>
  <c r="AV4" i="23" s="1"/>
  <c r="BH36" i="23"/>
  <c r="BU52" i="23"/>
  <c r="BV52" i="23" s="1"/>
  <c r="N52" i="23"/>
  <c r="V9" i="23"/>
  <c r="K91" i="23"/>
  <c r="K93" i="23" s="1"/>
  <c r="CB3" i="23"/>
  <c r="BL71" i="23"/>
  <c r="AI4" i="23"/>
  <c r="AJ3" i="23"/>
  <c r="AJ4" i="23" s="1"/>
  <c r="X32" i="23"/>
  <c r="P62" i="23"/>
  <c r="P88" i="23"/>
  <c r="V52" i="23"/>
  <c r="P57" i="23"/>
  <c r="P59" i="23"/>
  <c r="P56" i="23"/>
  <c r="P61" i="23"/>
  <c r="P58" i="23"/>
  <c r="BU50" i="23"/>
  <c r="BV50" i="23" s="1"/>
  <c r="X3" i="23"/>
  <c r="X4" i="23" s="1"/>
  <c r="BL75" i="23"/>
  <c r="BL73" i="23"/>
  <c r="BL68" i="23"/>
  <c r="BL69" i="23"/>
  <c r="BL70" i="23"/>
  <c r="BL72" i="23"/>
  <c r="BK75" i="23"/>
  <c r="BK70" i="23"/>
  <c r="BK71" i="23"/>
  <c r="BK73" i="23"/>
  <c r="BK72" i="23"/>
  <c r="BK67" i="23"/>
  <c r="BK69" i="23"/>
  <c r="BK68" i="23"/>
  <c r="BK74" i="23"/>
  <c r="BL74" i="23"/>
  <c r="BH47" i="23"/>
  <c r="BO63" i="23"/>
  <c r="BO76" i="23" s="1"/>
  <c r="BH45" i="23"/>
  <c r="BC63" i="23"/>
  <c r="BC65" i="23" s="1"/>
  <c r="BC68" i="23" s="1"/>
  <c r="X35" i="23"/>
  <c r="BH35" i="23"/>
  <c r="AV29" i="23"/>
  <c r="BA59" i="23"/>
  <c r="BA60" i="23"/>
  <c r="BA56" i="23"/>
  <c r="BA58" i="23"/>
  <c r="BA62" i="23"/>
  <c r="BA61" i="23"/>
  <c r="BA57" i="23"/>
  <c r="BH48" i="23"/>
  <c r="BH29" i="23"/>
  <c r="AA63" i="23"/>
  <c r="AA65" i="23" s="1"/>
  <c r="AA67" i="23" s="1"/>
  <c r="AY63" i="23"/>
  <c r="AY65" i="23" s="1"/>
  <c r="W52" i="23"/>
  <c r="AR63" i="23"/>
  <c r="AR65" i="23" s="1"/>
  <c r="X29" i="23"/>
  <c r="X41" i="23"/>
  <c r="BH41" i="23"/>
  <c r="T63" i="23"/>
  <c r="T65" i="23" s="1"/>
  <c r="X43" i="23"/>
  <c r="BH43" i="23"/>
  <c r="AP63" i="23"/>
  <c r="AP65" i="23" s="1"/>
  <c r="AF63" i="23"/>
  <c r="AF65" i="23" s="1"/>
  <c r="AT83" i="23"/>
  <c r="AJ29" i="23"/>
  <c r="AI52" i="23"/>
  <c r="X42" i="23"/>
  <c r="BH42" i="23"/>
  <c r="AC63" i="23"/>
  <c r="AC65" i="23" s="1"/>
  <c r="AU50" i="23"/>
  <c r="AV32" i="23"/>
  <c r="AU52" i="23"/>
  <c r="X46" i="23"/>
  <c r="BH46" i="23"/>
  <c r="BP32" i="23"/>
  <c r="BO50" i="23"/>
  <c r="BO52" i="23"/>
  <c r="AX88" i="23"/>
  <c r="AX59" i="23"/>
  <c r="AX62" i="23"/>
  <c r="AX61" i="23"/>
  <c r="AX57" i="23"/>
  <c r="AX60" i="23"/>
  <c r="AX58" i="23"/>
  <c r="AX56" i="23"/>
  <c r="X44" i="23"/>
  <c r="BH44" i="23"/>
  <c r="S63" i="23"/>
  <c r="S65" i="23" s="1"/>
  <c r="X40" i="23"/>
  <c r="BH40" i="23"/>
  <c r="X34" i="23"/>
  <c r="BH34" i="23"/>
  <c r="AN63" i="23"/>
  <c r="AN65" i="23" s="1"/>
  <c r="AI50" i="23"/>
  <c r="W50" i="23"/>
  <c r="X39" i="23"/>
  <c r="BH39" i="23"/>
  <c r="Q63" i="23"/>
  <c r="Q65" i="23" s="1"/>
  <c r="X33" i="23"/>
  <c r="AH83" i="23"/>
  <c r="BF83" i="23"/>
  <c r="AD63" i="23"/>
  <c r="AD65" i="23" s="1"/>
  <c r="AN4" i="22"/>
  <c r="AO4" i="22"/>
  <c r="BU9" i="23" l="1"/>
  <c r="K4" i="23" s="1"/>
  <c r="BJ54" i="23"/>
  <c r="BN10" i="23"/>
  <c r="AQ63" i="23"/>
  <c r="AQ65" i="23" s="1"/>
  <c r="AQ69" i="23" s="1"/>
  <c r="AZ63" i="23"/>
  <c r="AZ65" i="23" s="1"/>
  <c r="AZ73" i="23" s="1"/>
  <c r="BB63" i="23"/>
  <c r="BB65" i="23" s="1"/>
  <c r="BB68" i="23" s="1"/>
  <c r="BD63" i="23"/>
  <c r="BD65" i="23" s="1"/>
  <c r="C100" i="23"/>
  <c r="C101" i="23" s="1"/>
  <c r="C102" i="23" s="1"/>
  <c r="J99" i="23"/>
  <c r="J100" i="23"/>
  <c r="AJ50" i="23"/>
  <c r="R63" i="23"/>
  <c r="R65" i="23" s="1"/>
  <c r="R68" i="23" s="1"/>
  <c r="AO63" i="23"/>
  <c r="AO65" i="23" s="1"/>
  <c r="AO72" i="23" s="1"/>
  <c r="AM63" i="23"/>
  <c r="AM65" i="23" s="1"/>
  <c r="AM71" i="23" s="1"/>
  <c r="N54" i="23"/>
  <c r="N88" i="23" s="1"/>
  <c r="V88" i="23" s="1"/>
  <c r="K89" i="23"/>
  <c r="AE63" i="23"/>
  <c r="AE65" i="23" s="1"/>
  <c r="AE74" i="23" s="1"/>
  <c r="E97" i="23"/>
  <c r="AB63" i="23"/>
  <c r="AB65" i="23" s="1"/>
  <c r="AB68" i="23" s="1"/>
  <c r="AL10" i="23"/>
  <c r="AL54" i="23" s="1"/>
  <c r="Z54" i="23"/>
  <c r="AH10" i="23"/>
  <c r="O63" i="23"/>
  <c r="O65" i="23" s="1"/>
  <c r="O71" i="23" s="1"/>
  <c r="BC74" i="23"/>
  <c r="BC70" i="23"/>
  <c r="AA73" i="23"/>
  <c r="P63" i="23"/>
  <c r="P65" i="23" s="1"/>
  <c r="P67" i="23" s="1"/>
  <c r="BC73" i="23"/>
  <c r="BC67" i="23"/>
  <c r="BC71" i="23"/>
  <c r="BC75" i="23"/>
  <c r="BC72" i="23"/>
  <c r="BC69" i="23"/>
  <c r="BL76" i="23"/>
  <c r="BL78" i="23" s="1"/>
  <c r="BK76" i="23"/>
  <c r="BK78" i="23" s="1"/>
  <c r="BF60" i="23"/>
  <c r="BH60" i="23" s="1"/>
  <c r="AA72" i="23"/>
  <c r="BF56" i="23"/>
  <c r="AR72" i="23"/>
  <c r="AR69" i="23"/>
  <c r="AR68" i="23"/>
  <c r="AF69" i="23"/>
  <c r="AF68" i="23"/>
  <c r="AP68" i="23"/>
  <c r="AP69" i="23"/>
  <c r="AA75" i="23"/>
  <c r="AA69" i="23"/>
  <c r="AA68" i="23"/>
  <c r="AD69" i="23"/>
  <c r="AD68" i="23"/>
  <c r="AN69" i="23"/>
  <c r="AN68" i="23"/>
  <c r="Q68" i="23"/>
  <c r="Q69" i="23"/>
  <c r="S69" i="23"/>
  <c r="S68" i="23"/>
  <c r="AC68" i="23"/>
  <c r="AC69" i="23"/>
  <c r="T69" i="23"/>
  <c r="T68" i="23"/>
  <c r="BF59" i="23"/>
  <c r="BH59" i="23" s="1"/>
  <c r="BF57" i="23"/>
  <c r="BH57" i="23" s="1"/>
  <c r="BF58" i="23"/>
  <c r="BH58" i="23" s="1"/>
  <c r="BF62" i="23"/>
  <c r="BH62" i="23" s="1"/>
  <c r="BA63" i="23"/>
  <c r="BA65" i="23" s="1"/>
  <c r="BA68" i="23" s="1"/>
  <c r="BF61" i="23"/>
  <c r="BH61" i="23" s="1"/>
  <c r="AY73" i="23"/>
  <c r="AY68" i="23"/>
  <c r="AY69" i="23"/>
  <c r="AY71" i="23"/>
  <c r="AA70" i="23"/>
  <c r="AA74" i="23"/>
  <c r="AY72" i="23"/>
  <c r="AA71" i="23"/>
  <c r="AY74" i="23"/>
  <c r="AY70" i="23"/>
  <c r="AY75" i="23"/>
  <c r="AY67" i="23"/>
  <c r="X52" i="23"/>
  <c r="AR73" i="23"/>
  <c r="AR74" i="23"/>
  <c r="AR75" i="23"/>
  <c r="AR70" i="23"/>
  <c r="AR71" i="23"/>
  <c r="AH84" i="23"/>
  <c r="BF84" i="23"/>
  <c r="AR67" i="23"/>
  <c r="X50" i="23"/>
  <c r="AC75" i="23"/>
  <c r="AC74" i="23"/>
  <c r="AC73" i="23"/>
  <c r="AC72" i="23"/>
  <c r="AC71" i="23"/>
  <c r="AC70" i="23"/>
  <c r="AC67" i="23"/>
  <c r="AF67" i="23"/>
  <c r="AF75" i="23"/>
  <c r="AF74" i="23"/>
  <c r="AF73" i="23"/>
  <c r="AF72" i="23"/>
  <c r="AF71" i="23"/>
  <c r="AF70" i="23"/>
  <c r="AN74" i="23"/>
  <c r="AN73" i="23"/>
  <c r="AN72" i="23"/>
  <c r="AN71" i="23"/>
  <c r="AN70" i="23"/>
  <c r="AN75" i="23"/>
  <c r="AN67" i="23"/>
  <c r="BH33" i="23"/>
  <c r="BG52" i="23"/>
  <c r="BG50" i="23"/>
  <c r="Q75" i="23"/>
  <c r="Q74" i="23"/>
  <c r="Q73" i="23"/>
  <c r="Q72" i="23"/>
  <c r="Q71" i="23"/>
  <c r="Q70" i="23"/>
  <c r="Q67" i="23"/>
  <c r="AT84" i="23"/>
  <c r="AX63" i="23"/>
  <c r="AX65" i="23" s="1"/>
  <c r="AP67" i="23"/>
  <c r="AP75" i="23"/>
  <c r="AP74" i="23"/>
  <c r="AP73" i="23"/>
  <c r="AP72" i="23"/>
  <c r="AP71" i="23"/>
  <c r="AP70" i="23"/>
  <c r="T75" i="23"/>
  <c r="T74" i="23"/>
  <c r="T73" i="23"/>
  <c r="T72" i="23"/>
  <c r="T71" i="23"/>
  <c r="T70" i="23"/>
  <c r="T67" i="23"/>
  <c r="AD75" i="23"/>
  <c r="AD74" i="23"/>
  <c r="AD73" i="23"/>
  <c r="AD72" i="23"/>
  <c r="AD71" i="23"/>
  <c r="AD70" i="23"/>
  <c r="AD67" i="23"/>
  <c r="S75" i="23"/>
  <c r="S74" i="23"/>
  <c r="S73" i="23"/>
  <c r="S72" i="23"/>
  <c r="S71" i="23"/>
  <c r="S70" i="23"/>
  <c r="S67" i="23"/>
  <c r="BF88" i="23"/>
  <c r="BP50" i="23"/>
  <c r="BP52" i="23"/>
  <c r="AV50" i="23"/>
  <c r="AV52" i="23"/>
  <c r="BU5" i="22"/>
  <c r="AM4" i="22"/>
  <c r="AM6" i="22"/>
  <c r="BJ57" i="23" l="1"/>
  <c r="BN57" i="23" s="1"/>
  <c r="BP57" i="23" s="1"/>
  <c r="BJ58" i="23"/>
  <c r="BN58" i="23" s="1"/>
  <c r="BP58" i="23" s="1"/>
  <c r="BJ62" i="23"/>
  <c r="BN62" i="23" s="1"/>
  <c r="BP62" i="23" s="1"/>
  <c r="BJ60" i="23"/>
  <c r="BN60" i="23" s="1"/>
  <c r="BP60" i="23" s="1"/>
  <c r="BJ59" i="23"/>
  <c r="BN59" i="23" s="1"/>
  <c r="BP59" i="23" s="1"/>
  <c r="BJ56" i="23"/>
  <c r="BN54" i="23"/>
  <c r="BJ88" i="23"/>
  <c r="BN88" i="23" s="1"/>
  <c r="BJ61" i="23"/>
  <c r="BN61" i="23" s="1"/>
  <c r="BP61" i="23" s="1"/>
  <c r="AQ68" i="23"/>
  <c r="N61" i="23"/>
  <c r="V61" i="23" s="1"/>
  <c r="X61" i="23" s="1"/>
  <c r="AQ75" i="23"/>
  <c r="AZ74" i="23"/>
  <c r="AQ70" i="23"/>
  <c r="AQ72" i="23"/>
  <c r="AZ68" i="23"/>
  <c r="AZ70" i="23"/>
  <c r="AZ67" i="23"/>
  <c r="AZ69" i="23"/>
  <c r="BB71" i="23"/>
  <c r="AQ71" i="23"/>
  <c r="AQ74" i="23"/>
  <c r="AZ71" i="23"/>
  <c r="AZ75" i="23"/>
  <c r="AQ73" i="23"/>
  <c r="AQ67" i="23"/>
  <c r="AZ72" i="23"/>
  <c r="AB69" i="23"/>
  <c r="BB72" i="23"/>
  <c r="BB70" i="23"/>
  <c r="BB69" i="23"/>
  <c r="BB73" i="23"/>
  <c r="BB75" i="23"/>
  <c r="BB67" i="23"/>
  <c r="BB74" i="23"/>
  <c r="BD68" i="23"/>
  <c r="BD72" i="23"/>
  <c r="BD71" i="23"/>
  <c r="BD73" i="23"/>
  <c r="BD69" i="23"/>
  <c r="BD67" i="23"/>
  <c r="BD70" i="23"/>
  <c r="BD75" i="23"/>
  <c r="BD74" i="23"/>
  <c r="AM72" i="23"/>
  <c r="AM73" i="23"/>
  <c r="AM69" i="23"/>
  <c r="AM75" i="23"/>
  <c r="AM68" i="23"/>
  <c r="R72" i="23"/>
  <c r="AM67" i="23"/>
  <c r="R74" i="23"/>
  <c r="R69" i="23"/>
  <c r="AO67" i="23"/>
  <c r="R73" i="23"/>
  <c r="AO69" i="23"/>
  <c r="AO73" i="23"/>
  <c r="R67" i="23"/>
  <c r="AO70" i="23"/>
  <c r="AO74" i="23"/>
  <c r="AO68" i="23"/>
  <c r="AO71" i="23"/>
  <c r="AO75" i="23"/>
  <c r="R75" i="23"/>
  <c r="R70" i="23"/>
  <c r="R71" i="23"/>
  <c r="N58" i="23"/>
  <c r="V58" i="23" s="1"/>
  <c r="X58" i="23" s="1"/>
  <c r="AM70" i="23"/>
  <c r="AM74" i="23"/>
  <c r="AE72" i="23"/>
  <c r="N60" i="23"/>
  <c r="N56" i="23"/>
  <c r="V56" i="23" s="1"/>
  <c r="X56" i="23" s="1"/>
  <c r="V54" i="23"/>
  <c r="N62" i="23"/>
  <c r="V62" i="23" s="1"/>
  <c r="X62" i="23" s="1"/>
  <c r="N59" i="23"/>
  <c r="V59" i="23" s="1"/>
  <c r="X59" i="23" s="1"/>
  <c r="N57" i="23"/>
  <c r="V57" i="23" s="1"/>
  <c r="X57" i="23" s="1"/>
  <c r="AB71" i="23"/>
  <c r="AE75" i="23"/>
  <c r="AE68" i="23"/>
  <c r="AB72" i="23"/>
  <c r="AE71" i="23"/>
  <c r="AB75" i="23"/>
  <c r="AB70" i="23"/>
  <c r="AB73" i="23"/>
  <c r="AB74" i="23"/>
  <c r="AB67" i="23"/>
  <c r="AE67" i="23"/>
  <c r="AE73" i="23"/>
  <c r="AE69" i="23"/>
  <c r="AE70" i="23"/>
  <c r="J9" i="23"/>
  <c r="Z56" i="23"/>
  <c r="Z88" i="23"/>
  <c r="AH88" i="23" s="1"/>
  <c r="Z57" i="23"/>
  <c r="AH57" i="23" s="1"/>
  <c r="AJ57" i="23" s="1"/>
  <c r="Z60" i="23"/>
  <c r="AH60" i="23" s="1"/>
  <c r="AJ60" i="23" s="1"/>
  <c r="Z62" i="23"/>
  <c r="AH62" i="23" s="1"/>
  <c r="AJ62" i="23" s="1"/>
  <c r="Z61" i="23"/>
  <c r="AH61" i="23" s="1"/>
  <c r="AJ61" i="23" s="1"/>
  <c r="AH54" i="23"/>
  <c r="Z59" i="23"/>
  <c r="AH59" i="23" s="1"/>
  <c r="AJ59" i="23" s="1"/>
  <c r="Z58" i="23"/>
  <c r="AH58" i="23" s="1"/>
  <c r="AJ58" i="23" s="1"/>
  <c r="AT10" i="23"/>
  <c r="BU10" i="23"/>
  <c r="J10" i="23" s="1"/>
  <c r="V60" i="23"/>
  <c r="X60" i="23" s="1"/>
  <c r="BC76" i="23"/>
  <c r="BC78" i="23" s="1"/>
  <c r="BC81" i="23" s="1"/>
  <c r="O70" i="23"/>
  <c r="P71" i="23"/>
  <c r="P69" i="23"/>
  <c r="O67" i="23"/>
  <c r="P73" i="23"/>
  <c r="P72" i="23"/>
  <c r="P68" i="23"/>
  <c r="O72" i="23"/>
  <c r="P75" i="23"/>
  <c r="O69" i="23"/>
  <c r="P74" i="23"/>
  <c r="O73" i="23"/>
  <c r="P70" i="23"/>
  <c r="O74" i="23"/>
  <c r="O75" i="23"/>
  <c r="O68" i="23"/>
  <c r="BF63" i="23"/>
  <c r="BA70" i="23"/>
  <c r="BA75" i="23"/>
  <c r="BA74" i="23"/>
  <c r="BA71" i="23"/>
  <c r="BA69" i="23"/>
  <c r="BA67" i="23"/>
  <c r="BA72" i="23"/>
  <c r="BA73" i="23"/>
  <c r="AX69" i="23"/>
  <c r="AX68" i="23"/>
  <c r="AA76" i="23"/>
  <c r="AA78" i="23" s="1"/>
  <c r="AY76" i="23"/>
  <c r="AY78" i="23" s="1"/>
  <c r="AY81" i="23" s="1"/>
  <c r="AY86" i="23" s="1"/>
  <c r="AR76" i="23"/>
  <c r="AR78" i="23" s="1"/>
  <c r="AR81" i="23" s="1"/>
  <c r="AR86" i="23" s="1"/>
  <c r="AN76" i="23"/>
  <c r="AN78" i="23" s="1"/>
  <c r="AN81" i="23" s="1"/>
  <c r="AN86" i="23" s="1"/>
  <c r="AF76" i="23"/>
  <c r="AF78" i="23" s="1"/>
  <c r="S76" i="23"/>
  <c r="S78" i="23" s="1"/>
  <c r="AD76" i="23"/>
  <c r="T76" i="23"/>
  <c r="T78" i="23" s="1"/>
  <c r="AP76" i="23"/>
  <c r="AP78" i="23" s="1"/>
  <c r="AP81" i="23" s="1"/>
  <c r="AP86" i="23" s="1"/>
  <c r="Q76" i="23"/>
  <c r="Q78" i="23" s="1"/>
  <c r="AC76" i="23"/>
  <c r="AC78" i="23" s="1"/>
  <c r="BH56" i="23"/>
  <c r="AX75" i="23"/>
  <c r="AX74" i="23"/>
  <c r="AX73" i="23"/>
  <c r="AX72" i="23"/>
  <c r="AX71" i="23"/>
  <c r="AX70" i="23"/>
  <c r="AX67" i="23"/>
  <c r="BH52" i="23"/>
  <c r="BH50" i="23"/>
  <c r="AT5" i="22"/>
  <c r="AT3" i="22"/>
  <c r="AT41" i="22"/>
  <c r="AT40" i="22"/>
  <c r="AT39" i="22"/>
  <c r="AT38" i="22"/>
  <c r="AT37" i="22"/>
  <c r="AT36" i="22"/>
  <c r="AT35" i="22"/>
  <c r="AT34" i="22"/>
  <c r="AT33" i="22"/>
  <c r="AT32" i="22"/>
  <c r="AT31" i="22"/>
  <c r="AT30" i="22"/>
  <c r="AT29" i="22"/>
  <c r="AL6" i="22"/>
  <c r="AL4" i="22"/>
  <c r="AT4" i="22" s="1"/>
  <c r="AF6" i="22"/>
  <c r="AF4" i="22"/>
  <c r="BO39" i="22" l="1"/>
  <c r="BO35" i="22"/>
  <c r="BO31" i="22"/>
  <c r="BO41" i="22"/>
  <c r="BO33" i="22"/>
  <c r="BO40" i="22"/>
  <c r="BO36" i="22"/>
  <c r="BO32" i="22"/>
  <c r="BO29" i="22"/>
  <c r="BO37" i="22"/>
  <c r="BO38" i="22"/>
  <c r="BO34" i="22"/>
  <c r="BO30" i="22"/>
  <c r="BJ63" i="23"/>
  <c r="BJ65" i="23" s="1"/>
  <c r="BN56" i="23"/>
  <c r="BF68" i="23"/>
  <c r="BH68" i="23" s="1"/>
  <c r="AQ76" i="23"/>
  <c r="AQ78" i="23" s="1"/>
  <c r="AQ81" i="23" s="1"/>
  <c r="AQ86" i="23" s="1"/>
  <c r="AQ93" i="23" s="1"/>
  <c r="AZ76" i="23"/>
  <c r="AZ78" i="23" s="1"/>
  <c r="AZ81" i="23" s="1"/>
  <c r="AZ91" i="23" s="1"/>
  <c r="BB76" i="23"/>
  <c r="BB78" i="23" s="1"/>
  <c r="BB81" i="23" s="1"/>
  <c r="BB91" i="23" s="1"/>
  <c r="BD76" i="23"/>
  <c r="BD78" i="23" s="1"/>
  <c r="BD81" i="23" s="1"/>
  <c r="BD86" i="23" s="1"/>
  <c r="BD92" i="23" s="1"/>
  <c r="BC86" i="23"/>
  <c r="BC91" i="23"/>
  <c r="R76" i="23"/>
  <c r="R78" i="23" s="1"/>
  <c r="R81" i="23" s="1"/>
  <c r="R86" i="23" s="1"/>
  <c r="AO76" i="23"/>
  <c r="AO78" i="23" s="1"/>
  <c r="AO81" i="23" s="1"/>
  <c r="AO86" i="23" s="1"/>
  <c r="AM76" i="23"/>
  <c r="AM78" i="23" s="1"/>
  <c r="AM81" i="23" s="1"/>
  <c r="AM86" i="23" s="1"/>
  <c r="N63" i="23"/>
  <c r="N65" i="23" s="1"/>
  <c r="N67" i="23" s="1"/>
  <c r="V67" i="23" s="1"/>
  <c r="X67" i="23" s="1"/>
  <c r="AB76" i="23"/>
  <c r="AB78" i="23" s="1"/>
  <c r="AB81" i="23" s="1"/>
  <c r="AE76" i="23"/>
  <c r="AE78" i="23" s="1"/>
  <c r="AE81" i="23" s="1"/>
  <c r="AE86" i="23" s="1"/>
  <c r="T81" i="23"/>
  <c r="T86" i="23" s="1"/>
  <c r="Q81" i="23"/>
  <c r="Q86" i="23" s="1"/>
  <c r="AF81" i="23"/>
  <c r="AF86" i="23" s="1"/>
  <c r="AF92" i="23" s="1"/>
  <c r="AA81" i="23"/>
  <c r="AA86" i="23" s="1"/>
  <c r="S81" i="23"/>
  <c r="S91" i="23" s="1"/>
  <c r="AH56" i="23"/>
  <c r="Z63" i="23"/>
  <c r="Z65" i="23" s="1"/>
  <c r="AL61" i="23"/>
  <c r="AL58" i="23"/>
  <c r="AT58" i="23" s="1"/>
  <c r="AV58" i="23" s="1"/>
  <c r="AT54" i="23"/>
  <c r="AL60" i="23"/>
  <c r="AT60" i="23" s="1"/>
  <c r="AV60" i="23" s="1"/>
  <c r="AL56" i="23"/>
  <c r="AL62" i="23"/>
  <c r="AL88" i="23"/>
  <c r="AL59" i="23"/>
  <c r="AL57" i="23"/>
  <c r="AT57" i="23" s="1"/>
  <c r="AV57" i="23" s="1"/>
  <c r="BR54" i="23"/>
  <c r="AD78" i="23"/>
  <c r="AD81" i="23" s="1"/>
  <c r="AC91" i="23"/>
  <c r="X63" i="23"/>
  <c r="V63" i="23"/>
  <c r="N72" i="23"/>
  <c r="V72" i="23" s="1"/>
  <c r="X72" i="23" s="1"/>
  <c r="O76" i="23"/>
  <c r="O78" i="23" s="1"/>
  <c r="P76" i="23"/>
  <c r="P78" i="23" s="1"/>
  <c r="BF75" i="23"/>
  <c r="BH75" i="23" s="1"/>
  <c r="AN92" i="23"/>
  <c r="AR93" i="23"/>
  <c r="BF74" i="23"/>
  <c r="BH74" i="23" s="1"/>
  <c r="BF70" i="23"/>
  <c r="BH70" i="23" s="1"/>
  <c r="BF71" i="23"/>
  <c r="BH71" i="23" s="1"/>
  <c r="BF69" i="23"/>
  <c r="BH69" i="23" s="1"/>
  <c r="BF72" i="23"/>
  <c r="BH72" i="23" s="1"/>
  <c r="BA76" i="23"/>
  <c r="BA78" i="23" s="1"/>
  <c r="BF73" i="23"/>
  <c r="BH73" i="23" s="1"/>
  <c r="AY91" i="23"/>
  <c r="AX76" i="23"/>
  <c r="BF67" i="23"/>
  <c r="BH67" i="23" s="1"/>
  <c r="AY93" i="23"/>
  <c r="AY92" i="23"/>
  <c r="BH63" i="23"/>
  <c r="AP91" i="23"/>
  <c r="AT43" i="22"/>
  <c r="AE4" i="22"/>
  <c r="AE6" i="22"/>
  <c r="BJ69" i="23" l="1"/>
  <c r="BN69" i="23" s="1"/>
  <c r="BP69" i="23" s="1"/>
  <c r="BJ71" i="23"/>
  <c r="BN71" i="23" s="1"/>
  <c r="BP71" i="23" s="1"/>
  <c r="BJ73" i="23"/>
  <c r="BN73" i="23" s="1"/>
  <c r="BP73" i="23" s="1"/>
  <c r="BJ75" i="23"/>
  <c r="BN75" i="23" s="1"/>
  <c r="BP75" i="23" s="1"/>
  <c r="BJ68" i="23"/>
  <c r="BN68" i="23" s="1"/>
  <c r="BP68" i="23" s="1"/>
  <c r="BJ70" i="23"/>
  <c r="BN70" i="23" s="1"/>
  <c r="BP70" i="23" s="1"/>
  <c r="BJ72" i="23"/>
  <c r="BN72" i="23" s="1"/>
  <c r="BP72" i="23" s="1"/>
  <c r="BJ74" i="23"/>
  <c r="BN74" i="23" s="1"/>
  <c r="BP74" i="23" s="1"/>
  <c r="BJ67" i="23"/>
  <c r="BO43" i="22"/>
  <c r="BP56" i="23"/>
  <c r="BN63" i="23"/>
  <c r="K9" i="23"/>
  <c r="C78" i="23" s="1"/>
  <c r="AZ86" i="23"/>
  <c r="AZ93" i="23" s="1"/>
  <c r="BB86" i="23"/>
  <c r="BB93" i="23" s="1"/>
  <c r="AQ92" i="23"/>
  <c r="AQ91" i="23"/>
  <c r="BD93" i="23"/>
  <c r="BD91" i="23"/>
  <c r="BC93" i="23"/>
  <c r="BC92" i="23"/>
  <c r="BA81" i="23"/>
  <c r="BA86" i="23" s="1"/>
  <c r="BA92" i="23" s="1"/>
  <c r="AO91" i="23"/>
  <c r="N74" i="23"/>
  <c r="V74" i="23" s="1"/>
  <c r="X74" i="23" s="1"/>
  <c r="N69" i="23"/>
  <c r="V69" i="23" s="1"/>
  <c r="X69" i="23" s="1"/>
  <c r="AM91" i="23"/>
  <c r="N70" i="23"/>
  <c r="V70" i="23" s="1"/>
  <c r="X70" i="23" s="1"/>
  <c r="N75" i="23"/>
  <c r="V75" i="23" s="1"/>
  <c r="X75" i="23" s="1"/>
  <c r="N71" i="23"/>
  <c r="V71" i="23" s="1"/>
  <c r="X71" i="23" s="1"/>
  <c r="N73" i="23"/>
  <c r="V73" i="23" s="1"/>
  <c r="X73" i="23" s="1"/>
  <c r="N68" i="23"/>
  <c r="V68" i="23" s="1"/>
  <c r="X68" i="23" s="1"/>
  <c r="AB86" i="23"/>
  <c r="AB93" i="23" s="1"/>
  <c r="AB91" i="23"/>
  <c r="AE91" i="23"/>
  <c r="AA91" i="23"/>
  <c r="R91" i="23"/>
  <c r="AA93" i="23"/>
  <c r="AA92" i="23"/>
  <c r="Q91" i="23"/>
  <c r="T91" i="23"/>
  <c r="P81" i="23"/>
  <c r="P86" i="23" s="1"/>
  <c r="S86" i="23"/>
  <c r="O81" i="23"/>
  <c r="O86" i="23" s="1"/>
  <c r="BU60" i="23"/>
  <c r="BV60" i="23" s="1"/>
  <c r="AT56" i="23"/>
  <c r="AL63" i="23"/>
  <c r="AL65" i="23" s="1"/>
  <c r="BU56" i="23"/>
  <c r="AT61" i="23"/>
  <c r="AV61" i="23" s="1"/>
  <c r="BU61" i="23"/>
  <c r="BV61" i="23" s="1"/>
  <c r="BU58" i="23"/>
  <c r="BV58" i="23" s="1"/>
  <c r="AT59" i="23"/>
  <c r="AV59" i="23" s="1"/>
  <c r="BU59" i="23"/>
  <c r="BV59" i="23" s="1"/>
  <c r="Z69" i="23"/>
  <c r="AH69" i="23" s="1"/>
  <c r="AJ69" i="23" s="1"/>
  <c r="Z72" i="23"/>
  <c r="AH72" i="23" s="1"/>
  <c r="AJ72" i="23" s="1"/>
  <c r="Z73" i="23"/>
  <c r="AH73" i="23" s="1"/>
  <c r="AJ73" i="23" s="1"/>
  <c r="Z75" i="23"/>
  <c r="Z71" i="23"/>
  <c r="AH71" i="23" s="1"/>
  <c r="AJ71" i="23" s="1"/>
  <c r="Z68" i="23"/>
  <c r="Z74" i="23"/>
  <c r="AH74" i="23" s="1"/>
  <c r="AJ74" i="23" s="1"/>
  <c r="Z70" i="23"/>
  <c r="AH70" i="23" s="1"/>
  <c r="AJ70" i="23" s="1"/>
  <c r="Z67" i="23"/>
  <c r="BU57" i="23"/>
  <c r="BV57" i="23" s="1"/>
  <c r="AT88" i="23"/>
  <c r="BR88" i="23"/>
  <c r="AH63" i="23"/>
  <c r="AJ56" i="23"/>
  <c r="AT62" i="23"/>
  <c r="AV62" i="23" s="1"/>
  <c r="BU62" i="23"/>
  <c r="BV62" i="23" s="1"/>
  <c r="AD86" i="23"/>
  <c r="AD93" i="23" s="1"/>
  <c r="AD91" i="23"/>
  <c r="AC93" i="23"/>
  <c r="AR91" i="23"/>
  <c r="AN91" i="23"/>
  <c r="AF91" i="23"/>
  <c r="AN93" i="23"/>
  <c r="AR92" i="23"/>
  <c r="AF93" i="23"/>
  <c r="BH76" i="23"/>
  <c r="AY95" i="23"/>
  <c r="AY97" i="23" s="1"/>
  <c r="AO93" i="23"/>
  <c r="AO92" i="23"/>
  <c r="AM93" i="23"/>
  <c r="AM92" i="23"/>
  <c r="AZ92" i="23"/>
  <c r="AP93" i="23"/>
  <c r="AP92" i="23"/>
  <c r="AE93" i="23"/>
  <c r="AE92" i="23"/>
  <c r="BF76" i="23"/>
  <c r="AX78" i="23"/>
  <c r="AD6" i="22"/>
  <c r="AD4" i="22"/>
  <c r="BP63" i="23" l="1"/>
  <c r="BN67" i="23"/>
  <c r="BP67" i="23" s="1"/>
  <c r="BJ76" i="23"/>
  <c r="BB92" i="23"/>
  <c r="BB95" i="23" s="1"/>
  <c r="BB97" i="23" s="1"/>
  <c r="AQ95" i="23"/>
  <c r="AQ97" i="23" s="1"/>
  <c r="BD95" i="23"/>
  <c r="BD97" i="23" s="1"/>
  <c r="BC95" i="23"/>
  <c r="BC97" i="23" s="1"/>
  <c r="BA93" i="23"/>
  <c r="BA91" i="23"/>
  <c r="AX81" i="23"/>
  <c r="AX86" i="23" s="1"/>
  <c r="X76" i="23"/>
  <c r="N76" i="23"/>
  <c r="N78" i="23" s="1"/>
  <c r="N81" i="23" s="1"/>
  <c r="AB92" i="23"/>
  <c r="AB95" i="23" s="1"/>
  <c r="AB97" i="23" s="1"/>
  <c r="AA95" i="23"/>
  <c r="AA97" i="23" s="1"/>
  <c r="O91" i="23"/>
  <c r="P91" i="23"/>
  <c r="AJ63" i="23"/>
  <c r="AH68" i="23"/>
  <c r="AJ68" i="23" s="1"/>
  <c r="BU63" i="23"/>
  <c r="BV63" i="23" s="1"/>
  <c r="BX56" i="23" s="1"/>
  <c r="BV56" i="23"/>
  <c r="AR95" i="23"/>
  <c r="AH67" i="23"/>
  <c r="AJ67" i="23" s="1"/>
  <c r="Z76" i="23"/>
  <c r="AL68" i="23"/>
  <c r="AT68" i="23" s="1"/>
  <c r="AV68" i="23" s="1"/>
  <c r="AL72" i="23"/>
  <c r="AL69" i="23"/>
  <c r="AL75" i="23"/>
  <c r="AT75" i="23" s="1"/>
  <c r="AV75" i="23" s="1"/>
  <c r="AL70" i="23"/>
  <c r="AL74" i="23"/>
  <c r="AT74" i="23" s="1"/>
  <c r="AV74" i="23" s="1"/>
  <c r="AL67" i="23"/>
  <c r="AT67" i="23" s="1"/>
  <c r="AV67" i="23" s="1"/>
  <c r="AL73" i="23"/>
  <c r="AT73" i="23" s="1"/>
  <c r="AV73" i="23" s="1"/>
  <c r="AL71" i="23"/>
  <c r="AH75" i="23"/>
  <c r="AJ75" i="23" s="1"/>
  <c r="AT63" i="23"/>
  <c r="AV56" i="23"/>
  <c r="AD92" i="23"/>
  <c r="AD95" i="23" s="1"/>
  <c r="AD97" i="23" s="1"/>
  <c r="AC92" i="23"/>
  <c r="AC95" i="23" s="1"/>
  <c r="AC97" i="23" s="1"/>
  <c r="V76" i="23"/>
  <c r="AN95" i="23"/>
  <c r="AN97" i="23" s="1"/>
  <c r="AF95" i="23"/>
  <c r="AF97" i="23" s="1"/>
  <c r="AZ95" i="23"/>
  <c r="AZ97" i="23" s="1"/>
  <c r="AP95" i="23"/>
  <c r="AP97" i="23" s="1"/>
  <c r="AE95" i="23"/>
  <c r="AE97" i="23" s="1"/>
  <c r="AM95" i="23"/>
  <c r="AM97" i="23" s="1"/>
  <c r="AO95" i="23"/>
  <c r="AX91" i="23"/>
  <c r="AC6" i="22"/>
  <c r="AC4" i="22"/>
  <c r="BP76" i="23" l="1"/>
  <c r="BN76" i="23"/>
  <c r="BJ78" i="23"/>
  <c r="BJ81" i="23" s="1"/>
  <c r="BF81" i="23"/>
  <c r="BA95" i="23"/>
  <c r="BA97" i="23" s="1"/>
  <c r="N86" i="23"/>
  <c r="AR97" i="23"/>
  <c r="V81" i="23"/>
  <c r="AO97" i="23"/>
  <c r="N91" i="23"/>
  <c r="AJ76" i="23"/>
  <c r="BU68" i="23"/>
  <c r="BV68" i="23" s="1"/>
  <c r="BU74" i="23"/>
  <c r="BV74" i="23" s="1"/>
  <c r="BU75" i="23"/>
  <c r="BV75" i="23" s="1"/>
  <c r="AL76" i="23"/>
  <c r="AT69" i="23"/>
  <c r="AV69" i="23" s="1"/>
  <c r="BU69" i="23"/>
  <c r="BV69" i="23" s="1"/>
  <c r="BU67" i="23"/>
  <c r="AT72" i="23"/>
  <c r="AV72" i="23" s="1"/>
  <c r="BU72" i="23"/>
  <c r="BV72" i="23" s="1"/>
  <c r="AH76" i="23"/>
  <c r="Z78" i="23"/>
  <c r="Z81" i="23" s="1"/>
  <c r="AH81" i="23" s="1"/>
  <c r="BU73" i="23"/>
  <c r="BV73" i="23" s="1"/>
  <c r="AV63" i="23"/>
  <c r="BR63" i="23" s="1"/>
  <c r="AT71" i="23"/>
  <c r="AV71" i="23" s="1"/>
  <c r="BU71" i="23"/>
  <c r="BV71" i="23" s="1"/>
  <c r="AT70" i="23"/>
  <c r="AV70" i="23" s="1"/>
  <c r="BU70" i="23"/>
  <c r="BV70" i="23" s="1"/>
  <c r="BF91" i="23"/>
  <c r="BF86" i="23"/>
  <c r="AX93" i="23"/>
  <c r="BF93" i="23" s="1"/>
  <c r="AX92" i="23"/>
  <c r="BF92" i="23" s="1"/>
  <c r="AB6" i="22"/>
  <c r="AB4" i="22"/>
  <c r="BJ91" i="23" l="1"/>
  <c r="BN91" i="23" s="1"/>
  <c r="BN81" i="23"/>
  <c r="V91" i="23"/>
  <c r="AV76" i="23"/>
  <c r="BR76" i="23" s="1"/>
  <c r="Z86" i="23"/>
  <c r="Z91" i="23"/>
  <c r="BV67" i="23"/>
  <c r="BU76" i="23"/>
  <c r="BV76" i="23" s="1"/>
  <c r="BX67" i="23" s="1"/>
  <c r="AL78" i="23"/>
  <c r="AL81" i="23" s="1"/>
  <c r="BR81" i="23" s="1"/>
  <c r="AT76" i="23"/>
  <c r="AX95" i="23"/>
  <c r="E67" i="22"/>
  <c r="E56" i="22"/>
  <c r="K53" i="22" s="1"/>
  <c r="AL91" i="23" l="1"/>
  <c r="BR91" i="23" s="1"/>
  <c r="AT81" i="23"/>
  <c r="AH91" i="23"/>
  <c r="AH86" i="23"/>
  <c r="Z93" i="23"/>
  <c r="AH93" i="23" s="1"/>
  <c r="Z92" i="23"/>
  <c r="AH92" i="23" s="1"/>
  <c r="K50" i="22"/>
  <c r="K54" i="22"/>
  <c r="BF95" i="23"/>
  <c r="AX97" i="23"/>
  <c r="BF97" i="23" s="1"/>
  <c r="K51" i="22"/>
  <c r="K55" i="22"/>
  <c r="K52" i="22"/>
  <c r="E71" i="22"/>
  <c r="K69" i="22" s="1"/>
  <c r="K49" i="22"/>
  <c r="K71" i="22"/>
  <c r="E69" i="22"/>
  <c r="S89" i="22"/>
  <c r="T89" i="22" s="1"/>
  <c r="V89" i="22" s="1"/>
  <c r="R89" i="22"/>
  <c r="U86" i="22"/>
  <c r="E86" i="22"/>
  <c r="J84" i="22"/>
  <c r="K84" i="22" s="1"/>
  <c r="K65" i="22"/>
  <c r="J66" i="22"/>
  <c r="I66" i="22"/>
  <c r="H66" i="22"/>
  <c r="G66" i="22"/>
  <c r="F66" i="22"/>
  <c r="J65" i="22"/>
  <c r="I65" i="22"/>
  <c r="H65" i="22"/>
  <c r="G65" i="22"/>
  <c r="F65" i="22"/>
  <c r="J64" i="22"/>
  <c r="I64" i="22"/>
  <c r="H64" i="22"/>
  <c r="G64" i="22"/>
  <c r="F64" i="22"/>
  <c r="J63" i="22"/>
  <c r="I63" i="22"/>
  <c r="H63" i="22"/>
  <c r="G63" i="22"/>
  <c r="F63" i="22"/>
  <c r="J62" i="22"/>
  <c r="I62" i="22"/>
  <c r="H62" i="22"/>
  <c r="G62" i="22"/>
  <c r="F62" i="22"/>
  <c r="J61" i="22"/>
  <c r="I61" i="22"/>
  <c r="H61" i="22"/>
  <c r="G61" i="22"/>
  <c r="F61" i="22"/>
  <c r="J60" i="22"/>
  <c r="I60" i="22"/>
  <c r="H60" i="22"/>
  <c r="G60" i="22"/>
  <c r="F60" i="22"/>
  <c r="J55" i="22"/>
  <c r="I55" i="22"/>
  <c r="H55" i="22"/>
  <c r="G55" i="22"/>
  <c r="F55" i="22"/>
  <c r="J54" i="22"/>
  <c r="I54" i="22"/>
  <c r="H54" i="22"/>
  <c r="G54" i="22"/>
  <c r="F54" i="22"/>
  <c r="J53" i="22"/>
  <c r="I53" i="22"/>
  <c r="H53" i="22"/>
  <c r="G53" i="22"/>
  <c r="F53" i="22"/>
  <c r="J52" i="22"/>
  <c r="I52" i="22"/>
  <c r="H52" i="22"/>
  <c r="G52" i="22"/>
  <c r="F52" i="22"/>
  <c r="J51" i="22"/>
  <c r="I51" i="22"/>
  <c r="H51" i="22"/>
  <c r="G51" i="22"/>
  <c r="F51" i="22"/>
  <c r="J50" i="22"/>
  <c r="I50" i="22"/>
  <c r="H50" i="22"/>
  <c r="G50" i="22"/>
  <c r="F50" i="22"/>
  <c r="J49" i="22"/>
  <c r="I49" i="22"/>
  <c r="H49" i="22"/>
  <c r="G49" i="22"/>
  <c r="F49" i="22"/>
  <c r="BR45" i="22"/>
  <c r="BR43" i="22"/>
  <c r="BJ8" i="22"/>
  <c r="BJ9" i="22" s="1"/>
  <c r="BN9" i="22" s="1"/>
  <c r="AX43" i="22"/>
  <c r="AX8" i="22" s="1"/>
  <c r="AP43" i="22"/>
  <c r="AP8" i="22" s="1"/>
  <c r="AP9" i="22" s="1"/>
  <c r="AO43" i="22"/>
  <c r="AO8" i="22" s="1"/>
  <c r="AN43" i="22"/>
  <c r="AN8" i="22" s="1"/>
  <c r="AM43" i="22"/>
  <c r="AM8" i="22" s="1"/>
  <c r="AM9" i="22" s="1"/>
  <c r="AL43" i="22"/>
  <c r="AL8" i="22" s="1"/>
  <c r="AF43" i="22"/>
  <c r="AF8" i="22" s="1"/>
  <c r="AF9" i="22" s="1"/>
  <c r="AE43" i="22"/>
  <c r="AE8" i="22" s="1"/>
  <c r="AE9" i="22" s="1"/>
  <c r="AD43" i="22"/>
  <c r="AD8" i="22" s="1"/>
  <c r="AD9" i="22" s="1"/>
  <c r="AC43" i="22"/>
  <c r="AC8" i="22" s="1"/>
  <c r="AC9" i="22" s="1"/>
  <c r="AB43" i="22"/>
  <c r="AB8" i="22" s="1"/>
  <c r="AB9" i="22" s="1"/>
  <c r="AA43" i="22"/>
  <c r="Z43" i="22"/>
  <c r="T43" i="22"/>
  <c r="S43" i="22"/>
  <c r="R43" i="22"/>
  <c r="Q43" i="22"/>
  <c r="P43" i="22"/>
  <c r="O43" i="22"/>
  <c r="N43" i="22"/>
  <c r="BU41" i="22"/>
  <c r="BV41" i="22" s="1"/>
  <c r="BS41" i="22"/>
  <c r="AH41" i="22"/>
  <c r="V41" i="22"/>
  <c r="J41" i="22"/>
  <c r="I41" i="22"/>
  <c r="H41" i="22"/>
  <c r="G41" i="22"/>
  <c r="F41" i="22"/>
  <c r="BU40" i="22"/>
  <c r="BV40" i="22" s="1"/>
  <c r="BS40" i="22"/>
  <c r="AH40" i="22"/>
  <c r="V40" i="22"/>
  <c r="J40" i="22"/>
  <c r="BS39" i="22"/>
  <c r="AH39" i="22"/>
  <c r="J39" i="22"/>
  <c r="V39" i="22" s="1"/>
  <c r="BU38" i="22"/>
  <c r="BV38" i="22" s="1"/>
  <c r="BS38" i="22"/>
  <c r="AH38" i="22"/>
  <c r="V38" i="22"/>
  <c r="J38" i="22"/>
  <c r="BU37" i="22"/>
  <c r="BV37" i="22" s="1"/>
  <c r="BS37" i="22"/>
  <c r="AH37" i="22"/>
  <c r="V37" i="22"/>
  <c r="J37" i="22"/>
  <c r="BU36" i="22"/>
  <c r="BV36" i="22" s="1"/>
  <c r="BS36" i="22"/>
  <c r="AH36" i="22"/>
  <c r="V36" i="22"/>
  <c r="J36" i="22"/>
  <c r="I36" i="22"/>
  <c r="H36" i="22"/>
  <c r="G36" i="22"/>
  <c r="F36" i="22"/>
  <c r="BU35" i="22"/>
  <c r="BV35" i="22" s="1"/>
  <c r="BS35" i="22"/>
  <c r="AH35" i="22"/>
  <c r="V35" i="22"/>
  <c r="J35" i="22"/>
  <c r="I35" i="22"/>
  <c r="H35" i="22"/>
  <c r="G35" i="22"/>
  <c r="F35" i="22"/>
  <c r="BU34" i="22"/>
  <c r="BV34" i="22" s="1"/>
  <c r="BS34" i="22"/>
  <c r="AH34" i="22"/>
  <c r="V34" i="22"/>
  <c r="J34" i="22"/>
  <c r="I34" i="22"/>
  <c r="H34" i="22"/>
  <c r="G34" i="22"/>
  <c r="F34" i="22"/>
  <c r="BZ35" i="22"/>
  <c r="BU33" i="22"/>
  <c r="BV33" i="22" s="1"/>
  <c r="BS33" i="22"/>
  <c r="AH33" i="22"/>
  <c r="V33" i="22"/>
  <c r="J33" i="22"/>
  <c r="BU32" i="22"/>
  <c r="BV32" i="22" s="1"/>
  <c r="BS32" i="22"/>
  <c r="AH32" i="22"/>
  <c r="V32" i="22"/>
  <c r="J32" i="22"/>
  <c r="BU31" i="22"/>
  <c r="BV31" i="22" s="1"/>
  <c r="BS31" i="22"/>
  <c r="AH31" i="22"/>
  <c r="V31" i="22"/>
  <c r="J31" i="22"/>
  <c r="I31" i="22"/>
  <c r="H31" i="22"/>
  <c r="G31" i="22"/>
  <c r="F31" i="22"/>
  <c r="BZ32" i="22"/>
  <c r="BU1" i="22" s="1"/>
  <c r="CB43" i="22" s="1"/>
  <c r="CB50" i="22" s="1"/>
  <c r="BU30" i="22"/>
  <c r="BV30" i="22" s="1"/>
  <c r="BS30" i="22"/>
  <c r="AH30" i="22"/>
  <c r="V30" i="22"/>
  <c r="J30" i="22"/>
  <c r="I30" i="22"/>
  <c r="H30" i="22"/>
  <c r="G30" i="22"/>
  <c r="F30" i="22"/>
  <c r="BU29" i="22"/>
  <c r="AH29" i="22"/>
  <c r="V29" i="22"/>
  <c r="E29" i="22"/>
  <c r="BR26" i="22"/>
  <c r="E26" i="22"/>
  <c r="C26" i="22" s="1"/>
  <c r="BY5" i="22" s="1"/>
  <c r="BS24" i="22"/>
  <c r="J24" i="22"/>
  <c r="I24" i="22"/>
  <c r="H24" i="22"/>
  <c r="G24" i="22"/>
  <c r="F24" i="22"/>
  <c r="BS23" i="22"/>
  <c r="K23" i="22"/>
  <c r="J23" i="22"/>
  <c r="BS22" i="22"/>
  <c r="J22" i="22"/>
  <c r="I22" i="22"/>
  <c r="H22" i="22"/>
  <c r="G22" i="22"/>
  <c r="F22" i="22"/>
  <c r="K21" i="22"/>
  <c r="J21" i="22"/>
  <c r="I21" i="22"/>
  <c r="H21" i="22"/>
  <c r="G21" i="22"/>
  <c r="F21" i="22"/>
  <c r="BS20" i="22"/>
  <c r="J20" i="22"/>
  <c r="I20" i="22"/>
  <c r="H20" i="22"/>
  <c r="G20" i="22"/>
  <c r="F20" i="22"/>
  <c r="BS19" i="22"/>
  <c r="J19" i="22"/>
  <c r="I19" i="22"/>
  <c r="H19" i="22"/>
  <c r="G19" i="22"/>
  <c r="F19" i="22"/>
  <c r="BS18" i="22"/>
  <c r="J18" i="22"/>
  <c r="I18" i="22"/>
  <c r="H18" i="22"/>
  <c r="G18" i="22"/>
  <c r="F18" i="22"/>
  <c r="BS17" i="22"/>
  <c r="I17" i="22"/>
  <c r="H17" i="22"/>
  <c r="G17" i="22"/>
  <c r="F17" i="22"/>
  <c r="BS16" i="22"/>
  <c r="J16" i="22"/>
  <c r="I16" i="22"/>
  <c r="H16" i="22"/>
  <c r="G16" i="22"/>
  <c r="F16" i="22"/>
  <c r="BS15" i="22"/>
  <c r="K15" i="22"/>
  <c r="J15" i="22"/>
  <c r="I15" i="22"/>
  <c r="H15" i="22"/>
  <c r="G15" i="22"/>
  <c r="F15" i="22"/>
  <c r="AR6" i="22"/>
  <c r="AR9" i="22" s="1"/>
  <c r="AO6" i="22"/>
  <c r="AO9" i="22" s="1"/>
  <c r="AN6" i="22"/>
  <c r="AA6" i="22"/>
  <c r="Z6" i="22"/>
  <c r="T6" i="22"/>
  <c r="S6" i="22"/>
  <c r="R6" i="22"/>
  <c r="Q6" i="22"/>
  <c r="P6" i="22"/>
  <c r="O6" i="22"/>
  <c r="N6" i="22"/>
  <c r="AH5" i="22"/>
  <c r="V5" i="22"/>
  <c r="AA4" i="22"/>
  <c r="Z4" i="22"/>
  <c r="T4" i="22"/>
  <c r="T8" i="22" s="1"/>
  <c r="S4" i="22"/>
  <c r="S8" i="22" s="1"/>
  <c r="R4" i="22"/>
  <c r="Q4" i="22"/>
  <c r="P4" i="22"/>
  <c r="O4" i="22"/>
  <c r="N4" i="22"/>
  <c r="BU3" i="22"/>
  <c r="J3" i="22" s="1"/>
  <c r="AH3" i="22"/>
  <c r="V3" i="22"/>
  <c r="Q8" i="22" l="1"/>
  <c r="Z8" i="22"/>
  <c r="Z9" i="22" s="1"/>
  <c r="N8" i="22"/>
  <c r="K17" i="22"/>
  <c r="S15" i="22"/>
  <c r="BL15" i="22"/>
  <c r="BK15" i="22"/>
  <c r="BD15" i="22"/>
  <c r="BJ15" i="22"/>
  <c r="BC15" i="22"/>
  <c r="BB15" i="22"/>
  <c r="BA15" i="22"/>
  <c r="AZ15" i="22"/>
  <c r="AY15" i="22"/>
  <c r="AR15" i="22"/>
  <c r="AX15" i="22"/>
  <c r="AP15" i="22"/>
  <c r="AQ15" i="22"/>
  <c r="AO15" i="22"/>
  <c r="AN15" i="22"/>
  <c r="AM15" i="22"/>
  <c r="AF15" i="22"/>
  <c r="AL15" i="22"/>
  <c r="AE15" i="22"/>
  <c r="AD15" i="22"/>
  <c r="AC15" i="22"/>
  <c r="AB15" i="22"/>
  <c r="T21" i="22"/>
  <c r="BL21" i="22"/>
  <c r="BK21" i="22"/>
  <c r="BJ21" i="22"/>
  <c r="BD21" i="22"/>
  <c r="BC21" i="22"/>
  <c r="BB21" i="22"/>
  <c r="BA21" i="22"/>
  <c r="AZ21" i="22"/>
  <c r="AY21" i="22"/>
  <c r="AX21" i="22"/>
  <c r="AR21" i="22"/>
  <c r="AQ21" i="22"/>
  <c r="AP21" i="22"/>
  <c r="AN21" i="22"/>
  <c r="AO21" i="22"/>
  <c r="AM21" i="22"/>
  <c r="AL21" i="22"/>
  <c r="AF21" i="22"/>
  <c r="AE21" i="22"/>
  <c r="AD21" i="22"/>
  <c r="AC21" i="22"/>
  <c r="AB21" i="22"/>
  <c r="Z24" i="22"/>
  <c r="BL24" i="22"/>
  <c r="BK24" i="22"/>
  <c r="BD24" i="22"/>
  <c r="BJ24" i="22"/>
  <c r="BC24" i="22"/>
  <c r="BB24" i="22"/>
  <c r="BA24" i="22"/>
  <c r="AZ24" i="22"/>
  <c r="AY24" i="22"/>
  <c r="AR24" i="22"/>
  <c r="AX24" i="22"/>
  <c r="AP24" i="22"/>
  <c r="AQ24" i="22"/>
  <c r="AO24" i="22"/>
  <c r="AN24" i="22"/>
  <c r="AM24" i="22"/>
  <c r="AF24" i="22"/>
  <c r="AL24" i="22"/>
  <c r="AE24" i="22"/>
  <c r="AD24" i="22"/>
  <c r="AC24" i="22"/>
  <c r="AB24" i="22"/>
  <c r="BO51" i="22"/>
  <c r="BG51" i="22"/>
  <c r="AU51" i="22"/>
  <c r="AI51" i="22"/>
  <c r="W51" i="22"/>
  <c r="BO55" i="22"/>
  <c r="BG55" i="22"/>
  <c r="AU55" i="22"/>
  <c r="AI55" i="22"/>
  <c r="W55" i="22"/>
  <c r="BO63" i="22"/>
  <c r="BG63" i="22"/>
  <c r="AU63" i="22"/>
  <c r="AI63" i="22"/>
  <c r="W63" i="22"/>
  <c r="P20" i="22"/>
  <c r="BL20" i="22"/>
  <c r="BK20" i="22"/>
  <c r="BJ20" i="22"/>
  <c r="BD20" i="22"/>
  <c r="BC20" i="22"/>
  <c r="BB20" i="22"/>
  <c r="BA20" i="22"/>
  <c r="AZ20" i="22"/>
  <c r="AY20" i="22"/>
  <c r="AR20" i="22"/>
  <c r="AX20" i="22"/>
  <c r="AP20" i="22"/>
  <c r="AQ20" i="22"/>
  <c r="AO20" i="22"/>
  <c r="AN20" i="22"/>
  <c r="AM20" i="22"/>
  <c r="AF20" i="22"/>
  <c r="AL20" i="22"/>
  <c r="AE20" i="22"/>
  <c r="AD20" i="22"/>
  <c r="AC20" i="22"/>
  <c r="AB20" i="22"/>
  <c r="BO50" i="22"/>
  <c r="BG50" i="22"/>
  <c r="AU50" i="22"/>
  <c r="AI50" i="22"/>
  <c r="W50" i="22"/>
  <c r="BO54" i="22"/>
  <c r="BG54" i="22"/>
  <c r="AU54" i="22"/>
  <c r="AI54" i="22"/>
  <c r="W54" i="22"/>
  <c r="BO62" i="22"/>
  <c r="BG62" i="22"/>
  <c r="AU62" i="22"/>
  <c r="AI62" i="22"/>
  <c r="W62" i="22"/>
  <c r="BO66" i="22"/>
  <c r="BG66" i="22"/>
  <c r="AU66" i="22"/>
  <c r="AI66" i="22"/>
  <c r="W66" i="22"/>
  <c r="AA16" i="22"/>
  <c r="BL16" i="22"/>
  <c r="BK16" i="22"/>
  <c r="BD16" i="22"/>
  <c r="BJ16" i="22"/>
  <c r="BC16" i="22"/>
  <c r="BB16" i="22"/>
  <c r="BA16" i="22"/>
  <c r="AZ16" i="22"/>
  <c r="AY16" i="22"/>
  <c r="AX16" i="22"/>
  <c r="AR16" i="22"/>
  <c r="AQ16" i="22"/>
  <c r="AP16" i="22"/>
  <c r="AO16" i="22"/>
  <c r="AN16" i="22"/>
  <c r="AM16" i="22"/>
  <c r="AL16" i="22"/>
  <c r="AF16" i="22"/>
  <c r="AE16" i="22"/>
  <c r="AD16" i="22"/>
  <c r="AC16" i="22"/>
  <c r="AB16" i="22"/>
  <c r="R19" i="22"/>
  <c r="BL19" i="22"/>
  <c r="BK19" i="22"/>
  <c r="BJ19" i="22"/>
  <c r="BD19" i="22"/>
  <c r="BC19" i="22"/>
  <c r="BB19" i="22"/>
  <c r="BA19" i="22"/>
  <c r="AZ19" i="22"/>
  <c r="AY19" i="22"/>
  <c r="AX19" i="22"/>
  <c r="AR19" i="22"/>
  <c r="AP19" i="22"/>
  <c r="AQ19" i="22"/>
  <c r="AN19" i="22"/>
  <c r="AO19" i="22"/>
  <c r="AM19" i="22"/>
  <c r="AL19" i="22"/>
  <c r="AF19" i="22"/>
  <c r="AE19" i="22"/>
  <c r="AD19" i="22"/>
  <c r="AC19" i="22"/>
  <c r="AB19" i="22"/>
  <c r="AA23" i="22"/>
  <c r="BL23" i="22"/>
  <c r="BK23" i="22"/>
  <c r="BJ23" i="22"/>
  <c r="BD23" i="22"/>
  <c r="BC23" i="22"/>
  <c r="BB23" i="22"/>
  <c r="BA23" i="22"/>
  <c r="AZ23" i="22"/>
  <c r="AY23" i="22"/>
  <c r="AR23" i="22"/>
  <c r="AX23" i="22"/>
  <c r="AQ23" i="22"/>
  <c r="AP23" i="22"/>
  <c r="AN23" i="22"/>
  <c r="AO23" i="22"/>
  <c r="AM23" i="22"/>
  <c r="AL23" i="22"/>
  <c r="AF23" i="22"/>
  <c r="AE23" i="22"/>
  <c r="AD23" i="22"/>
  <c r="AC23" i="22"/>
  <c r="AB23" i="22"/>
  <c r="BO49" i="22"/>
  <c r="BG49" i="22"/>
  <c r="W49" i="22"/>
  <c r="BO53" i="22"/>
  <c r="BG53" i="22"/>
  <c r="AU53" i="22"/>
  <c r="AI53" i="22"/>
  <c r="W53" i="22"/>
  <c r="BO61" i="22"/>
  <c r="BG61" i="22"/>
  <c r="AU61" i="22"/>
  <c r="AI61" i="22"/>
  <c r="W61" i="22"/>
  <c r="BO65" i="22"/>
  <c r="BG65" i="22"/>
  <c r="AU65" i="22"/>
  <c r="AI65" i="22"/>
  <c r="W65" i="22"/>
  <c r="P8" i="22"/>
  <c r="P9" i="22" s="1"/>
  <c r="O8" i="22"/>
  <c r="O9" i="22" s="1"/>
  <c r="R8" i="22"/>
  <c r="R9" i="22" s="1"/>
  <c r="AA8" i="22"/>
  <c r="AH8" i="22" s="1"/>
  <c r="Z18" i="22"/>
  <c r="BK18" i="22"/>
  <c r="BL18" i="22"/>
  <c r="BD18" i="22"/>
  <c r="BJ18" i="22"/>
  <c r="BC18" i="22"/>
  <c r="BB18" i="22"/>
  <c r="BA18" i="22"/>
  <c r="AZ18" i="22"/>
  <c r="AY18" i="22"/>
  <c r="AX18" i="22"/>
  <c r="AR18" i="22"/>
  <c r="AP18" i="22"/>
  <c r="AQ18" i="22"/>
  <c r="AO18" i="22"/>
  <c r="AN18" i="22"/>
  <c r="AM18" i="22"/>
  <c r="AF18" i="22"/>
  <c r="AL18" i="22"/>
  <c r="AE18" i="22"/>
  <c r="AD18" i="22"/>
  <c r="AC18" i="22"/>
  <c r="AB18" i="22"/>
  <c r="Z22" i="22"/>
  <c r="BK22" i="22"/>
  <c r="BL22" i="22"/>
  <c r="BD22" i="22"/>
  <c r="BJ22" i="22"/>
  <c r="BC22" i="22"/>
  <c r="BB22" i="22"/>
  <c r="BA22" i="22"/>
  <c r="AZ22" i="22"/>
  <c r="AY22" i="22"/>
  <c r="AX22" i="22"/>
  <c r="AR22" i="22"/>
  <c r="AP22" i="22"/>
  <c r="AQ22" i="22"/>
  <c r="AO22" i="22"/>
  <c r="AN22" i="22"/>
  <c r="AM22" i="22"/>
  <c r="AF22" i="22"/>
  <c r="AL22" i="22"/>
  <c r="AE22" i="22"/>
  <c r="AD22" i="22"/>
  <c r="AC22" i="22"/>
  <c r="AB22" i="22"/>
  <c r="AT8" i="22"/>
  <c r="AL9" i="22"/>
  <c r="BO52" i="22"/>
  <c r="BG52" i="22"/>
  <c r="AU52" i="22"/>
  <c r="AI52" i="22"/>
  <c r="W52" i="22"/>
  <c r="BO60" i="22"/>
  <c r="BG60" i="22"/>
  <c r="AU60" i="22"/>
  <c r="AI60" i="22"/>
  <c r="W60" i="22"/>
  <c r="BO64" i="22"/>
  <c r="BG64" i="22"/>
  <c r="AU64" i="22"/>
  <c r="AI64" i="22"/>
  <c r="W64" i="22"/>
  <c r="AL86" i="23"/>
  <c r="AL93" i="23" s="1"/>
  <c r="AT93" i="23" s="1"/>
  <c r="Z95" i="23"/>
  <c r="AT91" i="23"/>
  <c r="T9" i="22"/>
  <c r="S9" i="22"/>
  <c r="BU6" i="22"/>
  <c r="BY6" i="22" s="1"/>
  <c r="W15" i="22"/>
  <c r="AU15" i="22"/>
  <c r="BD17" i="22"/>
  <c r="BJ17" i="22"/>
  <c r="BC17" i="22"/>
  <c r="BB17" i="22"/>
  <c r="BA17" i="22"/>
  <c r="AZ17" i="22"/>
  <c r="AY17" i="22"/>
  <c r="AR17" i="22"/>
  <c r="AX17" i="22"/>
  <c r="AP17" i="22"/>
  <c r="AQ17" i="22"/>
  <c r="AN17" i="22"/>
  <c r="AO17" i="22"/>
  <c r="AM17" i="22"/>
  <c r="AF17" i="22"/>
  <c r="AL17" i="22"/>
  <c r="AE17" i="22"/>
  <c r="AD17" i="22"/>
  <c r="AC17" i="22"/>
  <c r="K19" i="22"/>
  <c r="BO19" i="22" s="1"/>
  <c r="BO17" i="22"/>
  <c r="K56" i="22"/>
  <c r="AU49" i="22"/>
  <c r="AI49" i="22"/>
  <c r="J56" i="22"/>
  <c r="BF8" i="22"/>
  <c r="BN8" i="22" s="1"/>
  <c r="AX9" i="22"/>
  <c r="BF9" i="22" s="1"/>
  <c r="AN9" i="22"/>
  <c r="AT6" i="22"/>
  <c r="K16" i="22"/>
  <c r="AU16" i="22" s="1"/>
  <c r="K18" i="22"/>
  <c r="BO18" i="22" s="1"/>
  <c r="K20" i="22"/>
  <c r="W20" i="22" s="1"/>
  <c r="K22" i="22"/>
  <c r="BG22" i="22" s="1"/>
  <c r="K24" i="22"/>
  <c r="BS26" i="22"/>
  <c r="R17" i="22"/>
  <c r="AB17" i="22"/>
  <c r="BU39" i="22"/>
  <c r="BV39" i="22" s="1"/>
  <c r="J67" i="22"/>
  <c r="AA22" i="22"/>
  <c r="K61" i="22"/>
  <c r="K63" i="22"/>
  <c r="K60" i="22"/>
  <c r="K62" i="22"/>
  <c r="K64" i="22"/>
  <c r="BO21" i="22"/>
  <c r="N15" i="22"/>
  <c r="K66" i="22"/>
  <c r="AH4" i="22"/>
  <c r="Q9" i="22"/>
  <c r="BN6" i="22"/>
  <c r="R15" i="22"/>
  <c r="G67" i="22"/>
  <c r="G69" i="22" s="1"/>
  <c r="Z16" i="22"/>
  <c r="O20" i="22"/>
  <c r="G26" i="22"/>
  <c r="T20" i="22"/>
  <c r="V43" i="22"/>
  <c r="W17" i="22"/>
  <c r="T19" i="22"/>
  <c r="Z19" i="22"/>
  <c r="N19" i="22"/>
  <c r="AA19" i="22"/>
  <c r="Q24" i="22"/>
  <c r="AH43" i="22"/>
  <c r="O16" i="22"/>
  <c r="P19" i="22"/>
  <c r="O22" i="22"/>
  <c r="R23" i="22"/>
  <c r="R16" i="22"/>
  <c r="R18" i="22"/>
  <c r="AA20" i="22"/>
  <c r="O21" i="22"/>
  <c r="R22" i="22"/>
  <c r="H67" i="22"/>
  <c r="H69" i="22" s="1"/>
  <c r="N16" i="22"/>
  <c r="S16" i="22"/>
  <c r="N18" i="22"/>
  <c r="S18" i="22"/>
  <c r="N22" i="22"/>
  <c r="S22" i="22"/>
  <c r="N23" i="22"/>
  <c r="O24" i="22"/>
  <c r="O18" i="22"/>
  <c r="Q16" i="22"/>
  <c r="Q18" i="22"/>
  <c r="AA18" i="22"/>
  <c r="Q22" i="22"/>
  <c r="AA24" i="22"/>
  <c r="BW5" i="22"/>
  <c r="BY2" i="22"/>
  <c r="BZ2" i="22" s="1"/>
  <c r="CA2" i="22" s="1"/>
  <c r="J5" i="22"/>
  <c r="AH6" i="22"/>
  <c r="AI18" i="22"/>
  <c r="AI17" i="22"/>
  <c r="J29" i="22"/>
  <c r="J43" i="22" s="1"/>
  <c r="F29" i="22"/>
  <c r="F43" i="22" s="1"/>
  <c r="H29" i="22"/>
  <c r="H43" i="22" s="1"/>
  <c r="BS29" i="22"/>
  <c r="I29" i="22"/>
  <c r="I43" i="22" s="1"/>
  <c r="G29" i="22"/>
  <c r="G43" i="22" s="1"/>
  <c r="E43" i="22"/>
  <c r="V4" i="22"/>
  <c r="BU4" i="22"/>
  <c r="J4" i="22" s="1"/>
  <c r="AU21" i="22"/>
  <c r="V6" i="22"/>
  <c r="I26" i="22"/>
  <c r="O15" i="22"/>
  <c r="AI15" i="22"/>
  <c r="S21" i="22"/>
  <c r="R21" i="22"/>
  <c r="AA21" i="22"/>
  <c r="Q21" i="22"/>
  <c r="P21" i="22"/>
  <c r="BG23" i="22"/>
  <c r="BG21" i="22"/>
  <c r="BG17" i="22"/>
  <c r="H26" i="22"/>
  <c r="AA17" i="22"/>
  <c r="Q17" i="22"/>
  <c r="AI21" i="22"/>
  <c r="AI24" i="22"/>
  <c r="AI23" i="22"/>
  <c r="BZ5" i="22"/>
  <c r="CA5" i="22" s="1"/>
  <c r="F26" i="22"/>
  <c r="J26" i="22"/>
  <c r="P15" i="22"/>
  <c r="T15" i="22"/>
  <c r="Z15" i="22"/>
  <c r="BO15" i="22"/>
  <c r="N17" i="22"/>
  <c r="S17" i="22"/>
  <c r="Z17" i="22"/>
  <c r="AU18" i="22"/>
  <c r="R20" i="22"/>
  <c r="N20" i="22"/>
  <c r="Q20" i="22"/>
  <c r="BG20" i="22"/>
  <c r="AU23" i="22"/>
  <c r="P17" i="22"/>
  <c r="E45" i="22"/>
  <c r="W21" i="22"/>
  <c r="BO23" i="22"/>
  <c r="BV5" i="22"/>
  <c r="Q15" i="22"/>
  <c r="AA15" i="22"/>
  <c r="BG15" i="22"/>
  <c r="P16" i="22"/>
  <c r="T16" i="22"/>
  <c r="O17" i="22"/>
  <c r="T17" i="22"/>
  <c r="AU17" i="22"/>
  <c r="S19" i="22"/>
  <c r="O19" i="22"/>
  <c r="Q19" i="22"/>
  <c r="W19" i="22"/>
  <c r="S20" i="22"/>
  <c r="Z20" i="22"/>
  <c r="N21" i="22"/>
  <c r="Z21" i="22"/>
  <c r="W23" i="22"/>
  <c r="BV29" i="22"/>
  <c r="I67" i="22"/>
  <c r="I69" i="22" s="1"/>
  <c r="P18" i="22"/>
  <c r="T18" i="22"/>
  <c r="P22" i="22"/>
  <c r="T22" i="22"/>
  <c r="O23" i="22"/>
  <c r="S23" i="22"/>
  <c r="N24" i="22"/>
  <c r="R24" i="22"/>
  <c r="P23" i="22"/>
  <c r="T23" i="22"/>
  <c r="Z23" i="22"/>
  <c r="S24" i="22"/>
  <c r="Q23" i="22"/>
  <c r="P24" i="22"/>
  <c r="T24" i="22"/>
  <c r="F67" i="22"/>
  <c r="F69" i="22" s="1"/>
  <c r="AH23" i="22" l="1"/>
  <c r="W16" i="22"/>
  <c r="AH16" i="22"/>
  <c r="AH24" i="22"/>
  <c r="J69" i="22"/>
  <c r="AZ71" i="22" s="1"/>
  <c r="AT9" i="22"/>
  <c r="AI56" i="22"/>
  <c r="AT18" i="22"/>
  <c r="AV18" i="22" s="1"/>
  <c r="BF18" i="22"/>
  <c r="AA9" i="22"/>
  <c r="AH9" i="22" s="1"/>
  <c r="BU8" i="22"/>
  <c r="J8" i="22" s="1"/>
  <c r="AU19" i="22"/>
  <c r="AH18" i="22"/>
  <c r="AJ18" i="22" s="1"/>
  <c r="BF24" i="22"/>
  <c r="BF21" i="22"/>
  <c r="BH21" i="22" s="1"/>
  <c r="BF23" i="22"/>
  <c r="BH23" i="22" s="1"/>
  <c r="BN23" i="22"/>
  <c r="BP23" i="22" s="1"/>
  <c r="BF19" i="22"/>
  <c r="AT24" i="22"/>
  <c r="AT21" i="22"/>
  <c r="AV21" i="22" s="1"/>
  <c r="BN15" i="22"/>
  <c r="BP15" i="22" s="1"/>
  <c r="AT19" i="22"/>
  <c r="BN16" i="22"/>
  <c r="BF20" i="22"/>
  <c r="BH20" i="22" s="1"/>
  <c r="BN20" i="22"/>
  <c r="AT22" i="22"/>
  <c r="BF22" i="22"/>
  <c r="BK71" i="22"/>
  <c r="BC71" i="22"/>
  <c r="BJ71" i="22"/>
  <c r="BB71" i="22"/>
  <c r="BA71" i="22"/>
  <c r="AT16" i="22"/>
  <c r="BG18" i="22"/>
  <c r="W18" i="22"/>
  <c r="AH22" i="22"/>
  <c r="BN22" i="22"/>
  <c r="BN19" i="22"/>
  <c r="BP19" i="22" s="1"/>
  <c r="BF16" i="22"/>
  <c r="BN24" i="22"/>
  <c r="BN21" i="22"/>
  <c r="BP21" i="22" s="1"/>
  <c r="AT15" i="22"/>
  <c r="AV15" i="22" s="1"/>
  <c r="BH22" i="22"/>
  <c r="AV16" i="22"/>
  <c r="V15" i="22"/>
  <c r="X15" i="22" s="1"/>
  <c r="BN18" i="22"/>
  <c r="BP18" i="22" s="1"/>
  <c r="AT23" i="22"/>
  <c r="AV23" i="22" s="1"/>
  <c r="AT20" i="22"/>
  <c r="BF15" i="22"/>
  <c r="AL92" i="23"/>
  <c r="AT92" i="23" s="1"/>
  <c r="AT86" i="23"/>
  <c r="AH95" i="23"/>
  <c r="Z97" i="23"/>
  <c r="AH97" i="23" s="1"/>
  <c r="BZ6" i="22"/>
  <c r="CA6" i="22" s="1"/>
  <c r="AE26" i="22"/>
  <c r="AE45" i="22"/>
  <c r="AE47" i="22" s="1"/>
  <c r="AE79" i="22" s="1"/>
  <c r="AO26" i="22"/>
  <c r="AO45" i="22"/>
  <c r="AO47" i="22" s="1"/>
  <c r="AO79" i="22" s="1"/>
  <c r="AX26" i="22"/>
  <c r="AX45" i="22"/>
  <c r="BF17" i="22"/>
  <c r="BH17" i="22" s="1"/>
  <c r="BA26" i="22"/>
  <c r="BA45" i="22"/>
  <c r="BA47" i="22" s="1"/>
  <c r="BD26" i="22"/>
  <c r="BD45" i="22"/>
  <c r="BD47" i="22" s="1"/>
  <c r="BG24" i="22"/>
  <c r="BO24" i="22"/>
  <c r="K26" i="22"/>
  <c r="AI16" i="22"/>
  <c r="AJ16" i="22" s="1"/>
  <c r="BO16" i="22"/>
  <c r="BG16" i="22"/>
  <c r="BH16" i="22" s="1"/>
  <c r="AI19" i="22"/>
  <c r="BG19" i="22"/>
  <c r="BH19" i="22" s="1"/>
  <c r="AL26" i="22"/>
  <c r="AL45" i="22"/>
  <c r="AT17" i="22"/>
  <c r="AN26" i="22"/>
  <c r="AN45" i="22"/>
  <c r="AN47" i="22" s="1"/>
  <c r="AN53" i="22" s="1"/>
  <c r="AR26" i="22"/>
  <c r="AR45" i="22"/>
  <c r="AR47" i="22" s="1"/>
  <c r="BB26" i="22"/>
  <c r="BB45" i="22"/>
  <c r="BB47" i="22" s="1"/>
  <c r="BK26" i="22"/>
  <c r="BK45" i="22"/>
  <c r="BK47" i="22" s="1"/>
  <c r="AU24" i="22"/>
  <c r="AV24" i="22" s="1"/>
  <c r="AU22" i="22"/>
  <c r="AV22" i="22" s="1"/>
  <c r="W22" i="22"/>
  <c r="BO22" i="22"/>
  <c r="BP22" i="22" s="1"/>
  <c r="AI22" i="22"/>
  <c r="AJ22" i="22" s="1"/>
  <c r="BO5" i="22"/>
  <c r="BG5" i="22"/>
  <c r="AU5" i="22"/>
  <c r="AU6" i="22" s="1"/>
  <c r="AI5" i="22"/>
  <c r="AC26" i="22"/>
  <c r="AC45" i="22"/>
  <c r="AC47" i="22" s="1"/>
  <c r="AC79" i="22" s="1"/>
  <c r="AF26" i="22"/>
  <c r="AF45" i="22"/>
  <c r="AF47" i="22" s="1"/>
  <c r="AQ26" i="22"/>
  <c r="AQ45" i="22"/>
  <c r="AQ47" i="22" s="1"/>
  <c r="AY26" i="22"/>
  <c r="AY45" i="22"/>
  <c r="AY47" i="22" s="1"/>
  <c r="AY79" i="22" s="1"/>
  <c r="BC26" i="22"/>
  <c r="BC45" i="22"/>
  <c r="BC47" i="22" s="1"/>
  <c r="BL26" i="22"/>
  <c r="BL45" i="22"/>
  <c r="BL47" i="22" s="1"/>
  <c r="BL72" i="22" s="1"/>
  <c r="BL80" i="22" s="1"/>
  <c r="BO20" i="22"/>
  <c r="AD26" i="22"/>
  <c r="AD45" i="22"/>
  <c r="AD47" i="22" s="1"/>
  <c r="AM26" i="22"/>
  <c r="AM45" i="22"/>
  <c r="AM47" i="22" s="1"/>
  <c r="AM79" i="22" s="1"/>
  <c r="AP26" i="22"/>
  <c r="AP45" i="22"/>
  <c r="AP47" i="22" s="1"/>
  <c r="AZ26" i="22"/>
  <c r="AZ45" i="22"/>
  <c r="AZ47" i="22" s="1"/>
  <c r="AZ79" i="22" s="1"/>
  <c r="BJ26" i="22"/>
  <c r="BN17" i="22"/>
  <c r="BJ45" i="22"/>
  <c r="AZ51" i="22"/>
  <c r="AU56" i="22"/>
  <c r="AU67" i="22" s="1"/>
  <c r="AY71" i="22"/>
  <c r="AX71" i="22"/>
  <c r="AR71" i="22"/>
  <c r="AP71" i="22"/>
  <c r="AQ71" i="22"/>
  <c r="AN71" i="22"/>
  <c r="AO71" i="22"/>
  <c r="AM71" i="22"/>
  <c r="AL71" i="22"/>
  <c r="AF71" i="22"/>
  <c r="AE71" i="22"/>
  <c r="AD71" i="22"/>
  <c r="AC71" i="22"/>
  <c r="AB71" i="22"/>
  <c r="AA71" i="22"/>
  <c r="Q71" i="22"/>
  <c r="N71" i="22"/>
  <c r="P71" i="22"/>
  <c r="Z71" i="22"/>
  <c r="R71" i="22"/>
  <c r="O71" i="22"/>
  <c r="S71" i="22"/>
  <c r="T71" i="22"/>
  <c r="AY51" i="22"/>
  <c r="AM55" i="22"/>
  <c r="AE51" i="22"/>
  <c r="AE52" i="22"/>
  <c r="BG56" i="22"/>
  <c r="BG67" i="22" s="1"/>
  <c r="BU43" i="22"/>
  <c r="BV43" i="22" s="1"/>
  <c r="AO49" i="22"/>
  <c r="AO55" i="22"/>
  <c r="J6" i="22"/>
  <c r="K45" i="22"/>
  <c r="E47" i="22"/>
  <c r="K47" i="22" s="1"/>
  <c r="AU20" i="22"/>
  <c r="AV20" i="22" s="1"/>
  <c r="AI20" i="22"/>
  <c r="W24" i="22"/>
  <c r="E74" i="22"/>
  <c r="K74" i="22" s="1"/>
  <c r="AB26" i="22"/>
  <c r="AB45" i="22"/>
  <c r="AB47" i="22" s="1"/>
  <c r="BW6" i="22"/>
  <c r="BV6" i="22"/>
  <c r="BY12" i="22" s="1"/>
  <c r="CB48" i="22"/>
  <c r="N9" i="22"/>
  <c r="V8" i="22"/>
  <c r="K67" i="22"/>
  <c r="AH21" i="22"/>
  <c r="AJ21" i="22" s="1"/>
  <c r="E80" i="22"/>
  <c r="AH19" i="22"/>
  <c r="AJ19" i="22" s="1"/>
  <c r="V22" i="22"/>
  <c r="I45" i="22"/>
  <c r="I47" i="22" s="1"/>
  <c r="G45" i="22"/>
  <c r="G47" i="22" s="1"/>
  <c r="F45" i="22"/>
  <c r="F71" i="22" s="1"/>
  <c r="H45" i="22"/>
  <c r="H71" i="22" s="1"/>
  <c r="BU16" i="22"/>
  <c r="BV16" i="22" s="1"/>
  <c r="R26" i="22"/>
  <c r="R47" i="22" s="1"/>
  <c r="S26" i="22"/>
  <c r="S47" i="22" s="1"/>
  <c r="BU23" i="22"/>
  <c r="BV23" i="22" s="1"/>
  <c r="V23" i="22"/>
  <c r="X23" i="22" s="1"/>
  <c r="V18" i="22"/>
  <c r="AH20" i="22"/>
  <c r="V16" i="22"/>
  <c r="X16" i="22" s="1"/>
  <c r="BU19" i="22"/>
  <c r="BV19" i="22" s="1"/>
  <c r="BY1" i="22"/>
  <c r="CA1" i="22" s="1"/>
  <c r="BU24" i="22"/>
  <c r="BV24" i="22" s="1"/>
  <c r="V24" i="22"/>
  <c r="N26" i="22"/>
  <c r="BU21" i="22"/>
  <c r="BV21" i="22" s="1"/>
  <c r="V21" i="22"/>
  <c r="X21" i="22" s="1"/>
  <c r="AA26" i="22"/>
  <c r="AA45" i="22"/>
  <c r="AA47" i="22" s="1"/>
  <c r="N45" i="22"/>
  <c r="BU18" i="22"/>
  <c r="BV18" i="22" s="1"/>
  <c r="V17" i="22"/>
  <c r="X17" i="22" s="1"/>
  <c r="BU17" i="22"/>
  <c r="BV17" i="22" s="1"/>
  <c r="Z45" i="22"/>
  <c r="Z26" i="22"/>
  <c r="Z47" i="22" s="1"/>
  <c r="AH15" i="22"/>
  <c r="AJ15" i="22" s="1"/>
  <c r="J45" i="22"/>
  <c r="J47" i="22" s="1"/>
  <c r="K40" i="22"/>
  <c r="C43" i="22"/>
  <c r="K38" i="22"/>
  <c r="K35" i="22"/>
  <c r="K34" i="22"/>
  <c r="K33" i="22"/>
  <c r="K32" i="22"/>
  <c r="K31" i="22"/>
  <c r="K36" i="22"/>
  <c r="BS43" i="22"/>
  <c r="K41" i="22"/>
  <c r="K39" i="22"/>
  <c r="K37" i="22"/>
  <c r="K30" i="22"/>
  <c r="K29" i="22"/>
  <c r="S45" i="22"/>
  <c r="BU22" i="22"/>
  <c r="BV22" i="22" s="1"/>
  <c r="J71" i="22"/>
  <c r="T45" i="22"/>
  <c r="T26" i="22"/>
  <c r="T47" i="22" s="1"/>
  <c r="AJ23" i="22"/>
  <c r="O26" i="22"/>
  <c r="O47" i="22" s="1"/>
  <c r="O45" i="22"/>
  <c r="W5" i="22"/>
  <c r="X5" i="22" s="1"/>
  <c r="X6" i="22" s="1"/>
  <c r="R45" i="22"/>
  <c r="V19" i="22"/>
  <c r="BH15" i="22"/>
  <c r="Q26" i="22"/>
  <c r="Q47" i="22" s="1"/>
  <c r="Q45" i="22"/>
  <c r="BS45" i="22"/>
  <c r="BU20" i="22"/>
  <c r="BV20" i="22" s="1"/>
  <c r="V20" i="22"/>
  <c r="AH17" i="22"/>
  <c r="AJ17" i="22" s="1"/>
  <c r="P45" i="22"/>
  <c r="P26" i="22"/>
  <c r="P47" i="22" s="1"/>
  <c r="AJ24" i="22"/>
  <c r="BU15" i="22"/>
  <c r="AE54" i="22" l="1"/>
  <c r="AE49" i="22"/>
  <c r="BP20" i="22"/>
  <c r="AV19" i="22"/>
  <c r="AI26" i="22"/>
  <c r="AE53" i="22"/>
  <c r="AY50" i="22"/>
  <c r="BP24" i="22"/>
  <c r="AC49" i="22"/>
  <c r="AM53" i="22"/>
  <c r="BP16" i="22"/>
  <c r="BH24" i="22"/>
  <c r="BH18" i="22"/>
  <c r="BD71" i="22"/>
  <c r="BO26" i="22"/>
  <c r="AC50" i="22"/>
  <c r="BN26" i="22"/>
  <c r="BF26" i="22"/>
  <c r="X18" i="22"/>
  <c r="AT26" i="22"/>
  <c r="BN71" i="22"/>
  <c r="AV17" i="22"/>
  <c r="AV26" i="22" s="1"/>
  <c r="AZ49" i="22"/>
  <c r="AL95" i="23"/>
  <c r="AT95" i="23" s="1"/>
  <c r="BG26" i="22"/>
  <c r="AE55" i="22"/>
  <c r="AE50" i="22"/>
  <c r="W26" i="22"/>
  <c r="AC52" i="22"/>
  <c r="AM51" i="22"/>
  <c r="AM50" i="22"/>
  <c r="AZ53" i="22"/>
  <c r="AO53" i="22"/>
  <c r="AC53" i="22"/>
  <c r="AC55" i="22"/>
  <c r="AM52" i="22"/>
  <c r="AM54" i="22"/>
  <c r="AZ54" i="22"/>
  <c r="AZ52" i="22"/>
  <c r="AO51" i="22"/>
  <c r="AC51" i="22"/>
  <c r="AC54" i="22"/>
  <c r="AM49" i="22"/>
  <c r="AY54" i="22"/>
  <c r="AZ50" i="22"/>
  <c r="AZ55" i="22"/>
  <c r="BJ47" i="22"/>
  <c r="BN45" i="22"/>
  <c r="BG6" i="22"/>
  <c r="BH6" i="22" s="1"/>
  <c r="BH5" i="22"/>
  <c r="AL47" i="22"/>
  <c r="AT45" i="22"/>
  <c r="BA50" i="22"/>
  <c r="BA55" i="22"/>
  <c r="BA51" i="22"/>
  <c r="BA54" i="22"/>
  <c r="BA52" i="22"/>
  <c r="BA53" i="22"/>
  <c r="BA49" i="22"/>
  <c r="BA79" i="22"/>
  <c r="AP50" i="22"/>
  <c r="AP53" i="22"/>
  <c r="AP79" i="22"/>
  <c r="AP55" i="22"/>
  <c r="AP49" i="22"/>
  <c r="AP52" i="22"/>
  <c r="AP54" i="22"/>
  <c r="AP51" i="22"/>
  <c r="AD52" i="22"/>
  <c r="AD50" i="22"/>
  <c r="AD53" i="22"/>
  <c r="AD55" i="22"/>
  <c r="AD51" i="22"/>
  <c r="AD49" i="22"/>
  <c r="AD79" i="22"/>
  <c r="AD54" i="22"/>
  <c r="BL54" i="22"/>
  <c r="BL51" i="22"/>
  <c r="BL52" i="22"/>
  <c r="BL79" i="22"/>
  <c r="BL53" i="22"/>
  <c r="BL55" i="22"/>
  <c r="BL49" i="22"/>
  <c r="BL50" i="22"/>
  <c r="AF54" i="22"/>
  <c r="AF52" i="22"/>
  <c r="AF50" i="22"/>
  <c r="AF53" i="22"/>
  <c r="AF79" i="22"/>
  <c r="AF49" i="22"/>
  <c r="AF55" i="22"/>
  <c r="AF51" i="22"/>
  <c r="BP17" i="22"/>
  <c r="BB53" i="22"/>
  <c r="BB54" i="22"/>
  <c r="BB51" i="22"/>
  <c r="BB50" i="22"/>
  <c r="BB49" i="22"/>
  <c r="BB52" i="22"/>
  <c r="BB79" i="22"/>
  <c r="BB55" i="22"/>
  <c r="AN55" i="22"/>
  <c r="AN51" i="22"/>
  <c r="AN50" i="22"/>
  <c r="AN52" i="22"/>
  <c r="AN49" i="22"/>
  <c r="AN79" i="22"/>
  <c r="X22" i="22"/>
  <c r="AO52" i="22"/>
  <c r="AY53" i="22"/>
  <c r="AY55" i="22"/>
  <c r="BD53" i="22"/>
  <c r="BD54" i="22"/>
  <c r="BD49" i="22"/>
  <c r="BD55" i="22"/>
  <c r="BD79" i="22"/>
  <c r="BD51" i="22"/>
  <c r="BD52" i="22"/>
  <c r="BD50" i="22"/>
  <c r="I71" i="22"/>
  <c r="AO54" i="22"/>
  <c r="AO50" i="22"/>
  <c r="AN54" i="22"/>
  <c r="AY52" i="22"/>
  <c r="AY49" i="22"/>
  <c r="BC51" i="22"/>
  <c r="BC49" i="22"/>
  <c r="BC79" i="22"/>
  <c r="BC54" i="22"/>
  <c r="BC52" i="22"/>
  <c r="BC55" i="22"/>
  <c r="BC50" i="22"/>
  <c r="BC53" i="22"/>
  <c r="AQ55" i="22"/>
  <c r="AQ52" i="22"/>
  <c r="AQ53" i="22"/>
  <c r="AQ50" i="22"/>
  <c r="AQ54" i="22"/>
  <c r="AQ49" i="22"/>
  <c r="AQ79" i="22"/>
  <c r="AQ51" i="22"/>
  <c r="BK79" i="22"/>
  <c r="BK51" i="22"/>
  <c r="BK53" i="22"/>
  <c r="BK49" i="22"/>
  <c r="BK52" i="22"/>
  <c r="BK50" i="22"/>
  <c r="BK55" i="22"/>
  <c r="BK54" i="22"/>
  <c r="AR50" i="22"/>
  <c r="AR52" i="22"/>
  <c r="AR54" i="22"/>
  <c r="AR51" i="22"/>
  <c r="AR53" i="22"/>
  <c r="AR49" i="22"/>
  <c r="AR55" i="22"/>
  <c r="AR79" i="22"/>
  <c r="AX47" i="22"/>
  <c r="BF45" i="22"/>
  <c r="BO56" i="22"/>
  <c r="BO67" i="22" s="1"/>
  <c r="AI39" i="22"/>
  <c r="AJ39" i="22" s="1"/>
  <c r="AU39" i="22"/>
  <c r="AV39" i="22" s="1"/>
  <c r="AI31" i="22"/>
  <c r="AJ31" i="22" s="1"/>
  <c r="AU31" i="22"/>
  <c r="AV31" i="22" s="1"/>
  <c r="W35" i="22"/>
  <c r="X35" i="22" s="1"/>
  <c r="AI35" i="22"/>
  <c r="AU35" i="22"/>
  <c r="AV35" i="22" s="1"/>
  <c r="AI29" i="22"/>
  <c r="W29" i="22"/>
  <c r="AU29" i="22"/>
  <c r="AV29" i="22" s="1"/>
  <c r="W41" i="22"/>
  <c r="AI41" i="22"/>
  <c r="AJ41" i="22" s="1"/>
  <c r="AU41" i="22"/>
  <c r="AV41" i="22" s="1"/>
  <c r="AI32" i="22"/>
  <c r="AJ32" i="22" s="1"/>
  <c r="AU32" i="22"/>
  <c r="AV32" i="22" s="1"/>
  <c r="AI38" i="22"/>
  <c r="AJ38" i="22" s="1"/>
  <c r="AU38" i="22"/>
  <c r="AV38" i="22" s="1"/>
  <c r="W30" i="22"/>
  <c r="AI30" i="22"/>
  <c r="AJ30" i="22" s="1"/>
  <c r="AU30" i="22"/>
  <c r="AV30" i="22" s="1"/>
  <c r="AI33" i="22"/>
  <c r="AJ33" i="22" s="1"/>
  <c r="AU33" i="22"/>
  <c r="AV33" i="22" s="1"/>
  <c r="AI37" i="22"/>
  <c r="AJ37" i="22" s="1"/>
  <c r="AU37" i="22"/>
  <c r="AV37" i="22" s="1"/>
  <c r="W36" i="22"/>
  <c r="X36" i="22" s="1"/>
  <c r="AI36" i="22"/>
  <c r="AJ36" i="22" s="1"/>
  <c r="AU36" i="22"/>
  <c r="AV36" i="22" s="1"/>
  <c r="AI34" i="22"/>
  <c r="AU34" i="22"/>
  <c r="AV34" i="22" s="1"/>
  <c r="AI40" i="22"/>
  <c r="AJ40" i="22" s="1"/>
  <c r="AU40" i="22"/>
  <c r="AV40" i="22" s="1"/>
  <c r="N47" i="22"/>
  <c r="N79" i="22" s="1"/>
  <c r="V9" i="22"/>
  <c r="AT71" i="22"/>
  <c r="BF71" i="22"/>
  <c r="AU26" i="22"/>
  <c r="AA53" i="22"/>
  <c r="AA49" i="22"/>
  <c r="AA52" i="22"/>
  <c r="AA55" i="22"/>
  <c r="AA51" i="22"/>
  <c r="AA54" i="22"/>
  <c r="AA50" i="22"/>
  <c r="AB51" i="22"/>
  <c r="AB52" i="22"/>
  <c r="AB49" i="22"/>
  <c r="AB55" i="22"/>
  <c r="AB54" i="22"/>
  <c r="AB53" i="22"/>
  <c r="AB50" i="22"/>
  <c r="AB79" i="22"/>
  <c r="X24" i="22"/>
  <c r="AJ20" i="22"/>
  <c r="AJ26" i="22" s="1"/>
  <c r="Z52" i="22"/>
  <c r="Z54" i="22"/>
  <c r="Z50" i="22"/>
  <c r="Z55" i="22"/>
  <c r="Z53" i="22"/>
  <c r="Z49" i="22"/>
  <c r="Z51" i="22"/>
  <c r="CB49" i="22"/>
  <c r="CB51" i="22"/>
  <c r="BU9" i="22"/>
  <c r="S54" i="22"/>
  <c r="S52" i="22"/>
  <c r="S50" i="22"/>
  <c r="S55" i="22"/>
  <c r="S53" i="22"/>
  <c r="S51" i="22"/>
  <c r="S49" i="22"/>
  <c r="N52" i="22"/>
  <c r="G71" i="22"/>
  <c r="R55" i="22"/>
  <c r="R53" i="22"/>
  <c r="R51" i="22"/>
  <c r="R49" i="22"/>
  <c r="R54" i="22"/>
  <c r="R52" i="22"/>
  <c r="R50" i="22"/>
  <c r="Q55" i="22"/>
  <c r="Q53" i="22"/>
  <c r="Q51" i="22"/>
  <c r="Q49" i="22"/>
  <c r="Q54" i="22"/>
  <c r="Q52" i="22"/>
  <c r="Q50" i="22"/>
  <c r="P54" i="22"/>
  <c r="P52" i="22"/>
  <c r="P50" i="22"/>
  <c r="P55" i="22"/>
  <c r="P53" i="22"/>
  <c r="P51" i="22"/>
  <c r="P49" i="22"/>
  <c r="O54" i="22"/>
  <c r="O52" i="22"/>
  <c r="O50" i="22"/>
  <c r="O55" i="22"/>
  <c r="O53" i="22"/>
  <c r="O51" i="22"/>
  <c r="O49" i="22"/>
  <c r="T54" i="22"/>
  <c r="T52" i="22"/>
  <c r="T50" i="22"/>
  <c r="T55" i="22"/>
  <c r="T53" i="22"/>
  <c r="T51" i="22"/>
  <c r="T49" i="22"/>
  <c r="F47" i="22"/>
  <c r="I80" i="22"/>
  <c r="J80" i="22"/>
  <c r="K80" i="22" s="1"/>
  <c r="F80" i="22"/>
  <c r="H80" i="22"/>
  <c r="G80" i="22"/>
  <c r="H47" i="22"/>
  <c r="BZ1" i="22"/>
  <c r="R79" i="22"/>
  <c r="V26" i="22"/>
  <c r="V45" i="22"/>
  <c r="S79" i="22"/>
  <c r="AA79" i="22"/>
  <c r="BU45" i="22"/>
  <c r="BV45" i="22" s="1"/>
  <c r="BU26" i="22"/>
  <c r="BV26" i="22" s="1"/>
  <c r="BV15" i="22"/>
  <c r="Q79" i="22"/>
  <c r="O79" i="22"/>
  <c r="T79" i="22"/>
  <c r="AH71" i="22"/>
  <c r="K43" i="22"/>
  <c r="AH26" i="22"/>
  <c r="X20" i="22"/>
  <c r="W32" i="22"/>
  <c r="BG32" i="22" s="1"/>
  <c r="BH32" i="22" s="1"/>
  <c r="W38" i="22"/>
  <c r="BG38" i="22" s="1"/>
  <c r="BH38" i="22" s="1"/>
  <c r="W31" i="22"/>
  <c r="BG31" i="22" s="1"/>
  <c r="BH31" i="22" s="1"/>
  <c r="W6" i="22"/>
  <c r="Z79" i="22"/>
  <c r="AH47" i="22"/>
  <c r="X19" i="22"/>
  <c r="W37" i="22"/>
  <c r="BG37" i="22" s="1"/>
  <c r="BH37" i="22" s="1"/>
  <c r="W33" i="22"/>
  <c r="BG33" i="22" s="1"/>
  <c r="BH33" i="22" s="1"/>
  <c r="J74" i="22"/>
  <c r="I74" i="22"/>
  <c r="E75" i="22"/>
  <c r="H74" i="22"/>
  <c r="G74" i="22"/>
  <c r="F74" i="22"/>
  <c r="AJ35" i="22"/>
  <c r="P79" i="22"/>
  <c r="E79" i="22"/>
  <c r="BH26" i="22"/>
  <c r="AI6" i="22"/>
  <c r="AJ5" i="22"/>
  <c r="AJ6" i="22" s="1"/>
  <c r="BR71" i="22"/>
  <c r="V71" i="22"/>
  <c r="AJ34" i="22"/>
  <c r="AH45" i="22"/>
  <c r="W39" i="22"/>
  <c r="BG39" i="22" s="1"/>
  <c r="BH39" i="22" s="1"/>
  <c r="W40" i="22"/>
  <c r="BG40" i="22" s="1"/>
  <c r="BH40" i="22" s="1"/>
  <c r="W34" i="22"/>
  <c r="BG34" i="22" s="1"/>
  <c r="BH34" i="22" s="1"/>
  <c r="N54" i="22" l="1"/>
  <c r="BP26" i="22"/>
  <c r="AE56" i="22"/>
  <c r="AE58" i="22" s="1"/>
  <c r="BG29" i="22"/>
  <c r="BG35" i="22"/>
  <c r="BH35" i="22" s="1"/>
  <c r="AN56" i="22"/>
  <c r="AN58" i="22" s="1"/>
  <c r="AN66" i="22" s="1"/>
  <c r="AM56" i="22"/>
  <c r="AM58" i="22" s="1"/>
  <c r="BG36" i="22"/>
  <c r="BH36" i="22" s="1"/>
  <c r="BU11" i="22"/>
  <c r="J9" i="22"/>
  <c r="X30" i="22"/>
  <c r="BG30" i="22"/>
  <c r="BH30" i="22" s="1"/>
  <c r="BG41" i="22"/>
  <c r="BH41" i="22" s="1"/>
  <c r="X41" i="22"/>
  <c r="AO56" i="22"/>
  <c r="AO58" i="22" s="1"/>
  <c r="AC56" i="22"/>
  <c r="AC58" i="22" s="1"/>
  <c r="AC61" i="22" s="1"/>
  <c r="AL97" i="23"/>
  <c r="AT97" i="23" s="1"/>
  <c r="AZ56" i="22"/>
  <c r="AZ58" i="22" s="1"/>
  <c r="AZ62" i="22" s="1"/>
  <c r="BL56" i="22"/>
  <c r="BL58" i="22" s="1"/>
  <c r="BL66" i="22" s="1"/>
  <c r="BA56" i="22"/>
  <c r="BA58" i="22" s="1"/>
  <c r="BA63" i="22" s="1"/>
  <c r="BF47" i="22"/>
  <c r="AX52" i="22"/>
  <c r="AX50" i="22"/>
  <c r="BF50" i="22" s="1"/>
  <c r="BH50" i="22" s="1"/>
  <c r="AX79" i="22"/>
  <c r="BF79" i="22" s="1"/>
  <c r="AX54" i="22"/>
  <c r="BF54" i="22" s="1"/>
  <c r="BH54" i="22" s="1"/>
  <c r="AX55" i="22"/>
  <c r="BF55" i="22" s="1"/>
  <c r="BH55" i="22" s="1"/>
  <c r="AX51" i="22"/>
  <c r="BF51" i="22" s="1"/>
  <c r="BH51" i="22" s="1"/>
  <c r="AX53" i="22"/>
  <c r="BF53" i="22" s="1"/>
  <c r="BH53" i="22" s="1"/>
  <c r="AX49" i="22"/>
  <c r="BF49" i="22" s="1"/>
  <c r="BH49" i="22" s="1"/>
  <c r="AY56" i="22"/>
  <c r="AY58" i="22" s="1"/>
  <c r="AY61" i="22" s="1"/>
  <c r="BL65" i="22"/>
  <c r="BL64" i="22"/>
  <c r="BL60" i="22"/>
  <c r="AL53" i="22"/>
  <c r="AT53" i="22" s="1"/>
  <c r="AV53" i="22" s="1"/>
  <c r="AL49" i="22"/>
  <c r="AL79" i="22"/>
  <c r="AT79" i="22" s="1"/>
  <c r="AL52" i="22"/>
  <c r="AT52" i="22" s="1"/>
  <c r="AV52" i="22" s="1"/>
  <c r="AL51" i="22"/>
  <c r="AT51" i="22" s="1"/>
  <c r="AV51" i="22" s="1"/>
  <c r="AL50" i="22"/>
  <c r="AT50" i="22" s="1"/>
  <c r="AV50" i="22" s="1"/>
  <c r="AL55" i="22"/>
  <c r="AT55" i="22" s="1"/>
  <c r="AV55" i="22" s="1"/>
  <c r="AL54" i="22"/>
  <c r="AT54" i="22" s="1"/>
  <c r="AV54" i="22" s="1"/>
  <c r="AT47" i="22"/>
  <c r="BJ49" i="22"/>
  <c r="BN47" i="22"/>
  <c r="BJ55" i="22"/>
  <c r="BN55" i="22" s="1"/>
  <c r="BP55" i="22" s="1"/>
  <c r="BJ54" i="22"/>
  <c r="BN54" i="22" s="1"/>
  <c r="BP54" i="22" s="1"/>
  <c r="BJ50" i="22"/>
  <c r="BN50" i="22" s="1"/>
  <c r="BP50" i="22" s="1"/>
  <c r="BJ51" i="22"/>
  <c r="BN51" i="22" s="1"/>
  <c r="BP51" i="22" s="1"/>
  <c r="BJ79" i="22"/>
  <c r="BN79" i="22" s="1"/>
  <c r="BJ53" i="22"/>
  <c r="BN53" i="22" s="1"/>
  <c r="BP53" i="22" s="1"/>
  <c r="BJ52" i="22"/>
  <c r="BN52" i="22" s="1"/>
  <c r="BP52" i="22" s="1"/>
  <c r="BK56" i="22"/>
  <c r="BK58" i="22" s="1"/>
  <c r="BD56" i="22"/>
  <c r="BD58" i="22" s="1"/>
  <c r="BB56" i="22"/>
  <c r="BB58" i="22" s="1"/>
  <c r="AF56" i="22"/>
  <c r="AF58" i="22" s="1"/>
  <c r="AD56" i="22"/>
  <c r="AD58" i="22" s="1"/>
  <c r="BF52" i="22"/>
  <c r="BH52" i="22" s="1"/>
  <c r="AP56" i="22"/>
  <c r="AP58" i="22" s="1"/>
  <c r="BK74" i="22"/>
  <c r="BJ74" i="22"/>
  <c r="BC74" i="22"/>
  <c r="BD74" i="22"/>
  <c r="AR56" i="22"/>
  <c r="AR58" i="22" s="1"/>
  <c r="AQ56" i="22"/>
  <c r="AQ58" i="22" s="1"/>
  <c r="BC56" i="22"/>
  <c r="BC58" i="22" s="1"/>
  <c r="BY26" i="22"/>
  <c r="AZ74" i="22"/>
  <c r="BB74" i="22"/>
  <c r="BA74" i="22"/>
  <c r="N50" i="22"/>
  <c r="BR47" i="22"/>
  <c r="K6" i="22" s="1"/>
  <c r="E58" i="22" s="1"/>
  <c r="V47" i="22"/>
  <c r="AV43" i="22"/>
  <c r="X39" i="22"/>
  <c r="BN39" i="22"/>
  <c r="BP39" i="22" s="1"/>
  <c r="X38" i="22"/>
  <c r="BN38" i="22"/>
  <c r="BP38" i="22" s="1"/>
  <c r="V79" i="22"/>
  <c r="X33" i="22"/>
  <c r="BN33" i="22"/>
  <c r="BP33" i="22" s="1"/>
  <c r="X32" i="22"/>
  <c r="BN32" i="22"/>
  <c r="BP32" i="22" s="1"/>
  <c r="N53" i="22"/>
  <c r="V53" i="22" s="1"/>
  <c r="N51" i="22"/>
  <c r="V51" i="22" s="1"/>
  <c r="X34" i="22"/>
  <c r="BN34" i="22"/>
  <c r="BP34" i="22" s="1"/>
  <c r="X37" i="22"/>
  <c r="BN37" i="22"/>
  <c r="BP37" i="22" s="1"/>
  <c r="X31" i="22"/>
  <c r="BN31" i="22"/>
  <c r="BP31" i="22" s="1"/>
  <c r="N49" i="22"/>
  <c r="N55" i="22"/>
  <c r="BN30" i="22"/>
  <c r="BP30" i="22" s="1"/>
  <c r="X40" i="22"/>
  <c r="BN40" i="22"/>
  <c r="BP40" i="22" s="1"/>
  <c r="AZ60" i="22"/>
  <c r="AZ63" i="22"/>
  <c r="AZ65" i="22"/>
  <c r="Z56" i="22"/>
  <c r="Z58" i="22" s="1"/>
  <c r="Z64" i="22" s="1"/>
  <c r="AM63" i="22"/>
  <c r="AM65" i="22"/>
  <c r="AM66" i="22"/>
  <c r="AM61" i="22"/>
  <c r="AM62" i="22"/>
  <c r="AM60" i="22"/>
  <c r="AM64" i="22"/>
  <c r="AC60" i="22"/>
  <c r="AC63" i="22"/>
  <c r="AY66" i="22"/>
  <c r="AY64" i="22"/>
  <c r="AY65" i="22"/>
  <c r="AY60" i="22"/>
  <c r="AY63" i="22"/>
  <c r="AY74" i="22"/>
  <c r="AP74" i="22"/>
  <c r="AX74" i="22"/>
  <c r="AR74" i="22"/>
  <c r="AQ74" i="22"/>
  <c r="AO74" i="22"/>
  <c r="AN74" i="22"/>
  <c r="AM74" i="22"/>
  <c r="AL74" i="22"/>
  <c r="AF74" i="22"/>
  <c r="AE74" i="22"/>
  <c r="AD74" i="22"/>
  <c r="AC74" i="22"/>
  <c r="AE64" i="22"/>
  <c r="AE61" i="22"/>
  <c r="AE62" i="22"/>
  <c r="AE65" i="22"/>
  <c r="AE66" i="22"/>
  <c r="AE63" i="22"/>
  <c r="AE60" i="22"/>
  <c r="AO65" i="22"/>
  <c r="AO61" i="22"/>
  <c r="AO66" i="22"/>
  <c r="AO62" i="22"/>
  <c r="AO64" i="22"/>
  <c r="AO60" i="22"/>
  <c r="AO63" i="22"/>
  <c r="AB56" i="22"/>
  <c r="AB58" i="22" s="1"/>
  <c r="AA56" i="22"/>
  <c r="AA58" i="22" s="1"/>
  <c r="AB74" i="22"/>
  <c r="T56" i="22"/>
  <c r="T58" i="22" s="1"/>
  <c r="T62" i="22" s="1"/>
  <c r="S56" i="22"/>
  <c r="S58" i="22" s="1"/>
  <c r="S66" i="22" s="1"/>
  <c r="Q56" i="22"/>
  <c r="Q58" i="22" s="1"/>
  <c r="P56" i="22"/>
  <c r="P58" i="22" s="1"/>
  <c r="O56" i="22"/>
  <c r="O58" i="22" s="1"/>
  <c r="R56" i="22"/>
  <c r="R58" i="22" s="1"/>
  <c r="X26" i="22"/>
  <c r="AH51" i="22"/>
  <c r="AH50" i="22"/>
  <c r="AH55" i="22"/>
  <c r="AH54" i="22"/>
  <c r="AH53" i="22"/>
  <c r="AH52" i="22"/>
  <c r="T74" i="22"/>
  <c r="P74" i="22"/>
  <c r="J75" i="22"/>
  <c r="AA74" i="22"/>
  <c r="S74" i="22"/>
  <c r="O74" i="22"/>
  <c r="Z74" i="22"/>
  <c r="R74" i="22"/>
  <c r="N74" i="22"/>
  <c r="Q74" i="22"/>
  <c r="BL77" i="22"/>
  <c r="BO6" i="22"/>
  <c r="BP6" i="22" s="1"/>
  <c r="BP5" i="22"/>
  <c r="X29" i="22"/>
  <c r="W43" i="22"/>
  <c r="W45" i="22"/>
  <c r="BO45" i="22"/>
  <c r="H79" i="22"/>
  <c r="G79" i="22"/>
  <c r="J79" i="22"/>
  <c r="K79" i="22" s="1"/>
  <c r="F79" i="22"/>
  <c r="I79" i="22"/>
  <c r="AU43" i="22"/>
  <c r="AU45" i="22"/>
  <c r="AH79" i="22"/>
  <c r="AV6" i="22"/>
  <c r="AV5" i="22"/>
  <c r="V52" i="22"/>
  <c r="V54" i="22"/>
  <c r="K75" i="22"/>
  <c r="G75" i="22"/>
  <c r="F75" i="22"/>
  <c r="E81" i="22"/>
  <c r="I75" i="22"/>
  <c r="H75" i="22"/>
  <c r="AH49" i="22"/>
  <c r="AI43" i="22"/>
  <c r="AJ29" i="22"/>
  <c r="AI45" i="22"/>
  <c r="AN62" i="22" l="1"/>
  <c r="AN60" i="22"/>
  <c r="AN67" i="22" s="1"/>
  <c r="AN69" i="22" s="1"/>
  <c r="AN72" i="22" s="1"/>
  <c r="AN77" i="22" s="1"/>
  <c r="BN41" i="22"/>
  <c r="BP41" i="22" s="1"/>
  <c r="AN65" i="22"/>
  <c r="AN64" i="22"/>
  <c r="AN61" i="22"/>
  <c r="BU53" i="22"/>
  <c r="BV53" i="22" s="1"/>
  <c r="AC65" i="22"/>
  <c r="AN63" i="22"/>
  <c r="AC66" i="22"/>
  <c r="BN36" i="22"/>
  <c r="BP36" i="22" s="1"/>
  <c r="BN35" i="22"/>
  <c r="BP35" i="22" s="1"/>
  <c r="BL61" i="22"/>
  <c r="BG43" i="22"/>
  <c r="BH29" i="22"/>
  <c r="AC64" i="22"/>
  <c r="K9" i="22"/>
  <c r="BA65" i="22"/>
  <c r="AC62" i="22"/>
  <c r="BN74" i="22"/>
  <c r="AZ61" i="22"/>
  <c r="AZ66" i="22"/>
  <c r="AZ64" i="22"/>
  <c r="BH56" i="22"/>
  <c r="BA66" i="22"/>
  <c r="Z65" i="22"/>
  <c r="BA64" i="22"/>
  <c r="BL62" i="22"/>
  <c r="AY62" i="22"/>
  <c r="BA61" i="22"/>
  <c r="BA62" i="22"/>
  <c r="BA60" i="22"/>
  <c r="BL63" i="22"/>
  <c r="BK75" i="22"/>
  <c r="BC75" i="22"/>
  <c r="BJ75" i="22"/>
  <c r="BD75" i="22"/>
  <c r="BU49" i="22"/>
  <c r="BV49" i="22" s="1"/>
  <c r="AP63" i="22"/>
  <c r="AP61" i="22"/>
  <c r="AP64" i="22"/>
  <c r="AP62" i="22"/>
  <c r="AP60" i="22"/>
  <c r="AP65" i="22"/>
  <c r="AP66" i="22"/>
  <c r="BB64" i="22"/>
  <c r="BB61" i="22"/>
  <c r="BB63" i="22"/>
  <c r="BB65" i="22"/>
  <c r="BB66" i="22"/>
  <c r="BB60" i="22"/>
  <c r="BB62" i="22"/>
  <c r="BU54" i="22"/>
  <c r="BV54" i="22" s="1"/>
  <c r="Z61" i="22"/>
  <c r="Z66" i="22"/>
  <c r="AM67" i="22"/>
  <c r="AM69" i="22" s="1"/>
  <c r="AM72" i="22" s="1"/>
  <c r="AM77" i="22" s="1"/>
  <c r="AM82" i="22" s="1"/>
  <c r="BC64" i="22"/>
  <c r="BC65" i="22"/>
  <c r="BC66" i="22"/>
  <c r="BC60" i="22"/>
  <c r="BC62" i="22"/>
  <c r="BC61" i="22"/>
  <c r="BC63" i="22"/>
  <c r="BD61" i="22"/>
  <c r="BD65" i="22"/>
  <c r="BD64" i="22"/>
  <c r="BD66" i="22"/>
  <c r="BD60" i="22"/>
  <c r="BD62" i="22"/>
  <c r="BD63" i="22"/>
  <c r="Z63" i="22"/>
  <c r="Z62" i="22"/>
  <c r="BU50" i="22"/>
  <c r="BV50" i="22" s="1"/>
  <c r="AQ63" i="22"/>
  <c r="AQ65" i="22"/>
  <c r="AQ66" i="22"/>
  <c r="AQ61" i="22"/>
  <c r="AQ60" i="22"/>
  <c r="AQ62" i="22"/>
  <c r="AQ64" i="22"/>
  <c r="AD64" i="22"/>
  <c r="AD61" i="22"/>
  <c r="AD66" i="22"/>
  <c r="AD62" i="22"/>
  <c r="AD63" i="22"/>
  <c r="AD60" i="22"/>
  <c r="AD65" i="22"/>
  <c r="BJ56" i="22"/>
  <c r="BJ58" i="22" s="1"/>
  <c r="BN49" i="22"/>
  <c r="AT49" i="22"/>
  <c r="AL56" i="22"/>
  <c r="AL58" i="22" s="1"/>
  <c r="BU52" i="22"/>
  <c r="BV52" i="22" s="1"/>
  <c r="BR79" i="22"/>
  <c r="N56" i="22"/>
  <c r="N58" i="22" s="1"/>
  <c r="N65" i="22" s="1"/>
  <c r="T60" i="22"/>
  <c r="Z60" i="22"/>
  <c r="BF56" i="22"/>
  <c r="BU55" i="22"/>
  <c r="BV55" i="22" s="1"/>
  <c r="AR63" i="22"/>
  <c r="AR61" i="22"/>
  <c r="AR66" i="22"/>
  <c r="AR64" i="22"/>
  <c r="AR62" i="22"/>
  <c r="AR60" i="22"/>
  <c r="AR65" i="22"/>
  <c r="AF64" i="22"/>
  <c r="AF66" i="22"/>
  <c r="AF63" i="22"/>
  <c r="AF60" i="22"/>
  <c r="AF65" i="22"/>
  <c r="AF61" i="22"/>
  <c r="AF62" i="22"/>
  <c r="BK66" i="22"/>
  <c r="BK65" i="22"/>
  <c r="BK63" i="22"/>
  <c r="BK62" i="22"/>
  <c r="BK61" i="22"/>
  <c r="BK60" i="22"/>
  <c r="BK64" i="22"/>
  <c r="AX56" i="22"/>
  <c r="AX58" i="22" s="1"/>
  <c r="AZ75" i="22"/>
  <c r="BB75" i="22"/>
  <c r="BA75" i="22"/>
  <c r="V55" i="22"/>
  <c r="X55" i="22" s="1"/>
  <c r="V50" i="22"/>
  <c r="X50" i="22" s="1"/>
  <c r="BU51" i="22"/>
  <c r="BV51" i="22" s="1"/>
  <c r="V49" i="22"/>
  <c r="BG45" i="22"/>
  <c r="BH45" i="22"/>
  <c r="S62" i="22"/>
  <c r="S63" i="22"/>
  <c r="AE67" i="22"/>
  <c r="AE69" i="22" s="1"/>
  <c r="AE72" i="22" s="1"/>
  <c r="AY67" i="22"/>
  <c r="AY69" i="22" s="1"/>
  <c r="AY72" i="22" s="1"/>
  <c r="AY77" i="22" s="1"/>
  <c r="AT74" i="22"/>
  <c r="AB75" i="22"/>
  <c r="AY75" i="22"/>
  <c r="AX75" i="22"/>
  <c r="AR75" i="22"/>
  <c r="AP75" i="22"/>
  <c r="AQ75" i="22"/>
  <c r="AO75" i="22"/>
  <c r="AN75" i="22"/>
  <c r="AM75" i="22"/>
  <c r="AL75" i="22"/>
  <c r="AF75" i="22"/>
  <c r="AE75" i="22"/>
  <c r="AD75" i="22"/>
  <c r="AC75" i="22"/>
  <c r="S64" i="22"/>
  <c r="S65" i="22"/>
  <c r="BF74" i="22"/>
  <c r="AO67" i="22"/>
  <c r="AO69" i="22" s="1"/>
  <c r="AO72" i="22" s="1"/>
  <c r="T63" i="22"/>
  <c r="AA65" i="22"/>
  <c r="AA64" i="22"/>
  <c r="AA60" i="22"/>
  <c r="AA61" i="22"/>
  <c r="AA63" i="22"/>
  <c r="AA62" i="22"/>
  <c r="AA66" i="22"/>
  <c r="T61" i="22"/>
  <c r="AB64" i="22"/>
  <c r="AB63" i="22"/>
  <c r="AB65" i="22"/>
  <c r="AB62" i="22"/>
  <c r="AB60" i="22"/>
  <c r="AB66" i="22"/>
  <c r="AB61" i="22"/>
  <c r="AH56" i="22"/>
  <c r="S60" i="22"/>
  <c r="S61" i="22"/>
  <c r="O65" i="22"/>
  <c r="O62" i="22"/>
  <c r="O60" i="22"/>
  <c r="O63" i="22"/>
  <c r="O64" i="22"/>
  <c r="O61" i="22"/>
  <c r="O66" i="22"/>
  <c r="Q65" i="22"/>
  <c r="Q62" i="22"/>
  <c r="Q66" i="22"/>
  <c r="Q64" i="22"/>
  <c r="Q61" i="22"/>
  <c r="Q63" i="22"/>
  <c r="Q60" i="22"/>
  <c r="P65" i="22"/>
  <c r="P61" i="22"/>
  <c r="P64" i="22"/>
  <c r="P60" i="22"/>
  <c r="P66" i="22"/>
  <c r="P63" i="22"/>
  <c r="P62" i="22"/>
  <c r="W56" i="22"/>
  <c r="R65" i="22"/>
  <c r="R64" i="22"/>
  <c r="R61" i="22"/>
  <c r="R63" i="22"/>
  <c r="R60" i="22"/>
  <c r="R66" i="22"/>
  <c r="R62" i="22"/>
  <c r="T65" i="22"/>
  <c r="T66" i="22"/>
  <c r="T64" i="22"/>
  <c r="W67" i="22"/>
  <c r="AJ51" i="22"/>
  <c r="AJ50" i="22"/>
  <c r="AJ54" i="22"/>
  <c r="AH74" i="22"/>
  <c r="AJ55" i="22"/>
  <c r="AJ53" i="22"/>
  <c r="X51" i="22"/>
  <c r="AJ49" i="22"/>
  <c r="AJ52" i="22"/>
  <c r="AJ43" i="22"/>
  <c r="AJ45" i="22"/>
  <c r="AI67" i="22"/>
  <c r="X52" i="22"/>
  <c r="AV45" i="22"/>
  <c r="BL82" i="22"/>
  <c r="BL81" i="22"/>
  <c r="BR74" i="22"/>
  <c r="BS74" i="22" s="1"/>
  <c r="V74" i="22"/>
  <c r="X53" i="22"/>
  <c r="Q75" i="22"/>
  <c r="T75" i="22"/>
  <c r="P75" i="22"/>
  <c r="AA75" i="22"/>
  <c r="S75" i="22"/>
  <c r="O75" i="22"/>
  <c r="Z75" i="22"/>
  <c r="R75" i="22"/>
  <c r="N75" i="22"/>
  <c r="G81" i="22"/>
  <c r="J81" i="22"/>
  <c r="K81" i="22" s="1"/>
  <c r="F81" i="22"/>
  <c r="I81" i="22"/>
  <c r="H81" i="22"/>
  <c r="X54" i="22"/>
  <c r="X43" i="22"/>
  <c r="X45" i="22"/>
  <c r="X49" i="22"/>
  <c r="AC67" i="22" l="1"/>
  <c r="AC69" i="22" s="1"/>
  <c r="AC72" i="22" s="1"/>
  <c r="AC77" i="22" s="1"/>
  <c r="AM80" i="22"/>
  <c r="BN75" i="22"/>
  <c r="BL67" i="22"/>
  <c r="BL69" i="22" s="1"/>
  <c r="BH43" i="22"/>
  <c r="BN29" i="22"/>
  <c r="AH63" i="22"/>
  <c r="AJ63" i="22" s="1"/>
  <c r="BA67" i="22"/>
  <c r="BA69" i="22" s="1"/>
  <c r="BA72" i="22" s="1"/>
  <c r="AZ67" i="22"/>
  <c r="AZ69" i="22" s="1"/>
  <c r="AZ72" i="22" s="1"/>
  <c r="AZ77" i="22" s="1"/>
  <c r="AN82" i="22"/>
  <c r="AN81" i="22"/>
  <c r="N61" i="22"/>
  <c r="V61" i="22" s="1"/>
  <c r="X61" i="22" s="1"/>
  <c r="AN80" i="22"/>
  <c r="N60" i="22"/>
  <c r="V60" i="22" s="1"/>
  <c r="AH65" i="22"/>
  <c r="AJ65" i="22" s="1"/>
  <c r="N62" i="22"/>
  <c r="Z67" i="22"/>
  <c r="Z69" i="22" s="1"/>
  <c r="Z72" i="22" s="1"/>
  <c r="BP49" i="22"/>
  <c r="BP56" i="22" s="1"/>
  <c r="BN56" i="22"/>
  <c r="AH61" i="22"/>
  <c r="AJ61" i="22" s="1"/>
  <c r="BK67" i="22"/>
  <c r="BK69" i="22" s="1"/>
  <c r="BK72" i="22" s="1"/>
  <c r="BJ64" i="22"/>
  <c r="BN64" i="22" s="1"/>
  <c r="BP64" i="22" s="1"/>
  <c r="BJ63" i="22"/>
  <c r="BN63" i="22" s="1"/>
  <c r="BJ60" i="22"/>
  <c r="BJ61" i="22"/>
  <c r="BN61" i="22" s="1"/>
  <c r="BJ65" i="22"/>
  <c r="BN65" i="22" s="1"/>
  <c r="BJ62" i="22"/>
  <c r="BN62" i="22" s="1"/>
  <c r="BJ66" i="22"/>
  <c r="BN66" i="22" s="1"/>
  <c r="BD67" i="22"/>
  <c r="BD69" i="22" s="1"/>
  <c r="BD72" i="22" s="1"/>
  <c r="BC67" i="22"/>
  <c r="BC69" i="22" s="1"/>
  <c r="BC72" i="22" s="1"/>
  <c r="N63" i="22"/>
  <c r="N64" i="22"/>
  <c r="V64" i="22" s="1"/>
  <c r="X64" i="22" s="1"/>
  <c r="V56" i="22"/>
  <c r="AX63" i="22"/>
  <c r="BF63" i="22" s="1"/>
  <c r="BH63" i="22" s="1"/>
  <c r="AX65" i="22"/>
  <c r="BF65" i="22" s="1"/>
  <c r="BH65" i="22" s="1"/>
  <c r="AX60" i="22"/>
  <c r="AX64" i="22"/>
  <c r="BF64" i="22" s="1"/>
  <c r="BH64" i="22" s="1"/>
  <c r="AX66" i="22"/>
  <c r="BF66" i="22" s="1"/>
  <c r="BH66" i="22" s="1"/>
  <c r="AX61" i="22"/>
  <c r="BF61" i="22" s="1"/>
  <c r="BH61" i="22" s="1"/>
  <c r="AX62" i="22"/>
  <c r="BF62" i="22" s="1"/>
  <c r="BH62" i="22" s="1"/>
  <c r="AF67" i="22"/>
  <c r="AF69" i="22" s="1"/>
  <c r="AF72" i="22" s="1"/>
  <c r="AL66" i="22"/>
  <c r="AT66" i="22" s="1"/>
  <c r="AV66" i="22" s="1"/>
  <c r="AL62" i="22"/>
  <c r="AT62" i="22" s="1"/>
  <c r="AV62" i="22" s="1"/>
  <c r="AL65" i="22"/>
  <c r="AT65" i="22" s="1"/>
  <c r="AV65" i="22" s="1"/>
  <c r="AL61" i="22"/>
  <c r="AT61" i="22" s="1"/>
  <c r="AV61" i="22" s="1"/>
  <c r="AL64" i="22"/>
  <c r="AT64" i="22" s="1"/>
  <c r="AV64" i="22" s="1"/>
  <c r="AL63" i="22"/>
  <c r="AT63" i="22" s="1"/>
  <c r="AV63" i="22" s="1"/>
  <c r="AL60" i="22"/>
  <c r="BU60" i="22" s="1"/>
  <c r="N66" i="22"/>
  <c r="AR67" i="22"/>
  <c r="AR69" i="22" s="1"/>
  <c r="AR72" i="22" s="1"/>
  <c r="AR77" i="22" s="1"/>
  <c r="AV49" i="22"/>
  <c r="AV56" i="22" s="1"/>
  <c r="AT56" i="22"/>
  <c r="AD67" i="22"/>
  <c r="AD69" i="22" s="1"/>
  <c r="AD72" i="22" s="1"/>
  <c r="AQ67" i="22"/>
  <c r="AQ69" i="22" s="1"/>
  <c r="AQ72" i="22" s="1"/>
  <c r="BB67" i="22"/>
  <c r="BB69" i="22" s="1"/>
  <c r="BB72" i="22" s="1"/>
  <c r="AP67" i="22"/>
  <c r="AP69" i="22" s="1"/>
  <c r="AP72" i="22" s="1"/>
  <c r="BU56" i="22"/>
  <c r="BV56" i="22" s="1"/>
  <c r="BW49" i="22" s="1"/>
  <c r="BF75" i="22"/>
  <c r="AH66" i="22"/>
  <c r="AJ66" i="22" s="1"/>
  <c r="AZ80" i="22"/>
  <c r="AM81" i="22"/>
  <c r="AM84" i="22" s="1"/>
  <c r="AM86" i="22" s="1"/>
  <c r="AH64" i="22"/>
  <c r="AJ64" i="22" s="1"/>
  <c r="AT75" i="22"/>
  <c r="AY80" i="22"/>
  <c r="AH62" i="22"/>
  <c r="AJ62" i="22" s="1"/>
  <c r="Z77" i="22"/>
  <c r="Z81" i="22" s="1"/>
  <c r="AE77" i="22"/>
  <c r="AE80" i="22"/>
  <c r="AO77" i="22"/>
  <c r="AO80" i="22"/>
  <c r="AB67" i="22"/>
  <c r="AB69" i="22" s="1"/>
  <c r="AB72" i="22" s="1"/>
  <c r="AB77" i="22" s="1"/>
  <c r="AA67" i="22"/>
  <c r="AH60" i="22"/>
  <c r="AJ60" i="22" s="1"/>
  <c r="Z80" i="22"/>
  <c r="AJ56" i="22"/>
  <c r="S67" i="22"/>
  <c r="S69" i="22" s="1"/>
  <c r="S72" i="22" s="1"/>
  <c r="T67" i="22"/>
  <c r="T69" i="22" s="1"/>
  <c r="T72" i="22" s="1"/>
  <c r="T77" i="22" s="1"/>
  <c r="O67" i="22"/>
  <c r="O69" i="22" s="1"/>
  <c r="O72" i="22" s="1"/>
  <c r="O77" i="22" s="1"/>
  <c r="V63" i="22"/>
  <c r="X63" i="22" s="1"/>
  <c r="V65" i="22"/>
  <c r="X65" i="22" s="1"/>
  <c r="Q67" i="22"/>
  <c r="Q69" i="22" s="1"/>
  <c r="Q72" i="22" s="1"/>
  <c r="Q77" i="22" s="1"/>
  <c r="P67" i="22"/>
  <c r="P69" i="22" s="1"/>
  <c r="P72" i="22" s="1"/>
  <c r="P77" i="22" s="1"/>
  <c r="X56" i="22"/>
  <c r="V62" i="22"/>
  <c r="X62" i="22" s="1"/>
  <c r="R67" i="22"/>
  <c r="R69" i="22" s="1"/>
  <c r="R72" i="22" s="1"/>
  <c r="R77" i="22" s="1"/>
  <c r="AH75" i="22"/>
  <c r="BL84" i="22"/>
  <c r="V75" i="22"/>
  <c r="BR75" i="22"/>
  <c r="BS75" i="22" s="1"/>
  <c r="AC82" i="22" l="1"/>
  <c r="AC81" i="22"/>
  <c r="AC80" i="22"/>
  <c r="BP62" i="22"/>
  <c r="N67" i="22"/>
  <c r="N69" i="22" s="1"/>
  <c r="N72" i="22" s="1"/>
  <c r="N77" i="22" s="1"/>
  <c r="AN84" i="22"/>
  <c r="AN86" i="22" s="1"/>
  <c r="BP29" i="22"/>
  <c r="BN43" i="22"/>
  <c r="BA77" i="22"/>
  <c r="BA80" i="22"/>
  <c r="BP66" i="22"/>
  <c r="BP63" i="22"/>
  <c r="BU65" i="22"/>
  <c r="BV65" i="22" s="1"/>
  <c r="BU64" i="22"/>
  <c r="BV64" i="22" s="1"/>
  <c r="AQ77" i="22"/>
  <c r="AQ80" i="22"/>
  <c r="BC77" i="22"/>
  <c r="BC80" i="22"/>
  <c r="BU66" i="22"/>
  <c r="BV66" i="22" s="1"/>
  <c r="AR80" i="22"/>
  <c r="AD77" i="22"/>
  <c r="AD80" i="22"/>
  <c r="AF77" i="22"/>
  <c r="AF80" i="22"/>
  <c r="BD77" i="22"/>
  <c r="BD80" i="22"/>
  <c r="BK77" i="22"/>
  <c r="BK80" i="22"/>
  <c r="BU61" i="22"/>
  <c r="BV61" i="22" s="1"/>
  <c r="V66" i="22"/>
  <c r="X66" i="22" s="1"/>
  <c r="BU63" i="22"/>
  <c r="BV63" i="22" s="1"/>
  <c r="AP80" i="22"/>
  <c r="AP77" i="22"/>
  <c r="AL67" i="22"/>
  <c r="AT60" i="22"/>
  <c r="AV60" i="22" s="1"/>
  <c r="AV67" i="22" s="1"/>
  <c r="AX67" i="22"/>
  <c r="BF60" i="22"/>
  <c r="BH60" i="22" s="1"/>
  <c r="BJ67" i="22"/>
  <c r="BN60" i="22"/>
  <c r="BU62" i="22"/>
  <c r="BV62" i="22" s="1"/>
  <c r="BB80" i="22"/>
  <c r="BB77" i="22"/>
  <c r="BP61" i="22"/>
  <c r="BP65" i="22"/>
  <c r="AC84" i="22"/>
  <c r="AC86" i="22" s="1"/>
  <c r="T80" i="22"/>
  <c r="AZ81" i="22"/>
  <c r="AZ82" i="22"/>
  <c r="S80" i="22"/>
  <c r="S77" i="22"/>
  <c r="S82" i="22" s="1"/>
  <c r="AE82" i="22"/>
  <c r="AE81" i="22"/>
  <c r="Z82" i="22"/>
  <c r="Z84" i="22" s="1"/>
  <c r="Z86" i="22" s="1"/>
  <c r="AY81" i="22"/>
  <c r="AY82" i="22"/>
  <c r="AR81" i="22"/>
  <c r="AR82" i="22"/>
  <c r="AO81" i="22"/>
  <c r="AO82" i="22"/>
  <c r="AJ67" i="22"/>
  <c r="AA69" i="22"/>
  <c r="AA72" i="22" s="1"/>
  <c r="AA77" i="22" s="1"/>
  <c r="AH67" i="22"/>
  <c r="AB80" i="22"/>
  <c r="BV60" i="22"/>
  <c r="P80" i="22"/>
  <c r="Q80" i="22"/>
  <c r="R80" i="22"/>
  <c r="O80" i="22"/>
  <c r="T81" i="22"/>
  <c r="T82" i="22"/>
  <c r="X60" i="22"/>
  <c r="X67" i="22" s="1"/>
  <c r="BL86" i="22"/>
  <c r="V67" i="22" l="1"/>
  <c r="BP45" i="22"/>
  <c r="BP43" i="22"/>
  <c r="BA82" i="22"/>
  <c r="BA81" i="22"/>
  <c r="AX69" i="22"/>
  <c r="AX72" i="22" s="1"/>
  <c r="BF67" i="22"/>
  <c r="BK82" i="22"/>
  <c r="BK81" i="22"/>
  <c r="AF82" i="22"/>
  <c r="AF81" i="22"/>
  <c r="AQ82" i="22"/>
  <c r="AQ81" i="22"/>
  <c r="BB82" i="22"/>
  <c r="BB81" i="22"/>
  <c r="BJ69" i="22"/>
  <c r="BJ72" i="22" s="1"/>
  <c r="BN67" i="22"/>
  <c r="AL69" i="22"/>
  <c r="AL72" i="22" s="1"/>
  <c r="AT67" i="22"/>
  <c r="BU67" i="22"/>
  <c r="BV67" i="22" s="1"/>
  <c r="BW60" i="22" s="1"/>
  <c r="BP60" i="22"/>
  <c r="BP67" i="22" s="1"/>
  <c r="BH67" i="22"/>
  <c r="AP81" i="22"/>
  <c r="AP82" i="22"/>
  <c r="BD81" i="22"/>
  <c r="BD82" i="22"/>
  <c r="AD82" i="22"/>
  <c r="AD81" i="22"/>
  <c r="BC82" i="22"/>
  <c r="BC81" i="22"/>
  <c r="BC84" i="22" s="1"/>
  <c r="BC86" i="22" s="1"/>
  <c r="AZ84" i="22"/>
  <c r="AZ86" i="22" s="1"/>
  <c r="AE84" i="22"/>
  <c r="AE86" i="22" s="1"/>
  <c r="S81" i="22"/>
  <c r="S84" i="22" s="1"/>
  <c r="S86" i="22" s="1"/>
  <c r="BR67" i="22"/>
  <c r="AY84" i="22"/>
  <c r="AR84" i="22"/>
  <c r="AR86" i="22" s="1"/>
  <c r="AO84" i="22"/>
  <c r="AB82" i="22"/>
  <c r="AB81" i="22"/>
  <c r="AA80" i="22"/>
  <c r="AH72" i="22"/>
  <c r="R82" i="22"/>
  <c r="R81" i="22"/>
  <c r="T84" i="22"/>
  <c r="T86" i="22" s="1"/>
  <c r="P81" i="22"/>
  <c r="P82" i="22"/>
  <c r="O82" i="22"/>
  <c r="O81" i="22"/>
  <c r="Q82" i="22"/>
  <c r="Q81" i="22"/>
  <c r="N80" i="22"/>
  <c r="V72" i="22"/>
  <c r="BA84" i="22" l="1"/>
  <c r="BA86" i="22" s="1"/>
  <c r="AQ84" i="22"/>
  <c r="AQ86" i="22" s="1"/>
  <c r="BK84" i="22"/>
  <c r="BK86" i="22" s="1"/>
  <c r="BB84" i="22"/>
  <c r="BB86" i="22" s="1"/>
  <c r="AF84" i="22"/>
  <c r="AF86" i="22" s="1"/>
  <c r="BD84" i="22"/>
  <c r="BD86" i="22" s="1"/>
  <c r="AD84" i="22"/>
  <c r="AD86" i="22" s="1"/>
  <c r="AP84" i="22"/>
  <c r="AP86" i="22" s="1"/>
  <c r="BJ77" i="22"/>
  <c r="BN72" i="22"/>
  <c r="BJ80" i="22"/>
  <c r="BN80" i="22" s="1"/>
  <c r="AX77" i="22"/>
  <c r="AX80" i="22"/>
  <c r="BF72" i="22"/>
  <c r="BR72" i="22"/>
  <c r="AL77" i="22"/>
  <c r="AT72" i="22"/>
  <c r="AL80" i="22"/>
  <c r="O84" i="22"/>
  <c r="O86" i="22" s="1"/>
  <c r="AY86" i="22"/>
  <c r="AO86" i="22"/>
  <c r="AB84" i="22"/>
  <c r="AB86" i="22" s="1"/>
  <c r="R84" i="22"/>
  <c r="R86" i="22" s="1"/>
  <c r="AH80" i="22"/>
  <c r="Q84" i="22"/>
  <c r="Q86" i="22" s="1"/>
  <c r="AA82" i="22"/>
  <c r="AH82" i="22" s="1"/>
  <c r="AA81" i="22"/>
  <c r="AH81" i="22" s="1"/>
  <c r="AH77" i="22"/>
  <c r="P84" i="22"/>
  <c r="P86" i="22" s="1"/>
  <c r="V80" i="22"/>
  <c r="N82" i="22"/>
  <c r="N81" i="22"/>
  <c r="V77" i="22"/>
  <c r="AT80" i="22" l="1"/>
  <c r="BR80" i="22"/>
  <c r="BF80" i="22"/>
  <c r="BJ81" i="22"/>
  <c r="BN81" i="22" s="1"/>
  <c r="BJ82" i="22"/>
  <c r="BN77" i="22"/>
  <c r="BR77" i="22"/>
  <c r="BS77" i="22" s="1"/>
  <c r="AL82" i="22"/>
  <c r="AT82" i="22" s="1"/>
  <c r="AT77" i="22"/>
  <c r="AL81" i="22"/>
  <c r="AT81" i="22" s="1"/>
  <c r="AX82" i="22"/>
  <c r="BF82" i="22" s="1"/>
  <c r="AX81" i="22"/>
  <c r="BF81" i="22" s="1"/>
  <c r="BF77" i="22"/>
  <c r="AA84" i="22"/>
  <c r="N84" i="22"/>
  <c r="V81" i="22"/>
  <c r="V82" i="22"/>
  <c r="BS3" i="19"/>
  <c r="AL84" i="22" l="1"/>
  <c r="AT84" i="22" s="1"/>
  <c r="BR82" i="22"/>
  <c r="AX84" i="22"/>
  <c r="BR81" i="22"/>
  <c r="BJ84" i="22"/>
  <c r="BN82" i="22"/>
  <c r="AA86" i="22"/>
  <c r="AH86" i="22" s="1"/>
  <c r="AH84" i="22"/>
  <c r="N86" i="22"/>
  <c r="V84" i="22"/>
  <c r="AL86" i="22" l="1"/>
  <c r="AT86" i="22" s="1"/>
  <c r="AX86" i="22"/>
  <c r="BF86" i="22" s="1"/>
  <c r="BF84" i="22"/>
  <c r="BR84" i="22"/>
  <c r="BJ86" i="22"/>
  <c r="BN86" i="22" s="1"/>
  <c r="BN84" i="22"/>
  <c r="V86" i="22"/>
  <c r="BR86" i="22" l="1"/>
  <c r="BA4" i="19" l="1"/>
  <c r="AC4" i="19" l="1"/>
  <c r="J10" i="19" l="1"/>
  <c r="BJ10" i="19" l="1"/>
  <c r="BC10" i="19"/>
  <c r="BI10" i="19"/>
  <c r="BB10" i="19"/>
  <c r="BA10" i="19"/>
  <c r="AZ10" i="19"/>
  <c r="AY10" i="19"/>
  <c r="AX10" i="19"/>
  <c r="AW10" i="19"/>
  <c r="AQ10" i="19"/>
  <c r="AP10" i="19"/>
  <c r="AB10" i="19"/>
  <c r="AO10" i="19"/>
  <c r="AN10" i="19"/>
  <c r="AM10" i="19"/>
  <c r="AL10" i="19"/>
  <c r="AK10" i="19"/>
  <c r="AE10" i="19"/>
  <c r="AD10" i="19"/>
  <c r="AC10" i="19"/>
  <c r="AA10" i="19"/>
  <c r="Z10" i="19"/>
  <c r="R4" i="19"/>
  <c r="BX27" i="17" l="1"/>
  <c r="M4" i="19" l="1"/>
  <c r="M10" i="19"/>
  <c r="J41" i="19"/>
  <c r="J40" i="19"/>
  <c r="J39" i="19"/>
  <c r="J38" i="19"/>
  <c r="J37" i="19"/>
  <c r="J36" i="19"/>
  <c r="J35" i="19"/>
  <c r="J27" i="19"/>
  <c r="J26" i="19"/>
  <c r="J25" i="19"/>
  <c r="J24" i="19"/>
  <c r="J23" i="19"/>
  <c r="J22" i="19"/>
  <c r="J21" i="19"/>
  <c r="J17" i="19"/>
  <c r="J16" i="19"/>
  <c r="J15" i="19"/>
  <c r="J14" i="19"/>
  <c r="J13" i="19"/>
  <c r="J12" i="19"/>
  <c r="J11" i="19"/>
  <c r="J9" i="19"/>
  <c r="J8" i="19"/>
  <c r="T59" i="19"/>
  <c r="E42" i="19"/>
  <c r="K41" i="19" s="1"/>
  <c r="I41" i="19"/>
  <c r="H41" i="19"/>
  <c r="G41" i="19"/>
  <c r="F41" i="19"/>
  <c r="I40" i="19"/>
  <c r="H40" i="19"/>
  <c r="G40" i="19"/>
  <c r="F40" i="19"/>
  <c r="I39" i="19"/>
  <c r="H39" i="19"/>
  <c r="G39" i="19"/>
  <c r="F39" i="19"/>
  <c r="I38" i="19"/>
  <c r="H38" i="19"/>
  <c r="G38" i="19"/>
  <c r="F38" i="19"/>
  <c r="I37" i="19"/>
  <c r="H37" i="19"/>
  <c r="G37" i="19"/>
  <c r="F37" i="19"/>
  <c r="I36" i="19"/>
  <c r="H36" i="19"/>
  <c r="G36" i="19"/>
  <c r="F36" i="19"/>
  <c r="I35" i="19"/>
  <c r="H35" i="19"/>
  <c r="G35" i="19"/>
  <c r="F35" i="19"/>
  <c r="F42" i="19" s="1"/>
  <c r="BP31" i="19"/>
  <c r="E31" i="19"/>
  <c r="K24" i="19" s="1"/>
  <c r="BP29" i="19"/>
  <c r="E29" i="19"/>
  <c r="C29" i="19" s="1"/>
  <c r="BQ27" i="19"/>
  <c r="I27" i="19"/>
  <c r="H27" i="19"/>
  <c r="G27" i="19"/>
  <c r="F27" i="19"/>
  <c r="BQ26" i="19"/>
  <c r="I26" i="19"/>
  <c r="H26" i="19"/>
  <c r="G26" i="19"/>
  <c r="F26" i="19"/>
  <c r="BX27" i="19"/>
  <c r="BQ25" i="19"/>
  <c r="K25" i="19"/>
  <c r="I25" i="19"/>
  <c r="H25" i="19"/>
  <c r="G25" i="19"/>
  <c r="F25" i="19"/>
  <c r="BQ24" i="19"/>
  <c r="I24" i="19"/>
  <c r="H24" i="19"/>
  <c r="G24" i="19"/>
  <c r="F24" i="19"/>
  <c r="BQ23" i="19"/>
  <c r="I23" i="19"/>
  <c r="H23" i="19"/>
  <c r="G23" i="19"/>
  <c r="F23" i="19"/>
  <c r="BX24" i="19"/>
  <c r="BQ22" i="19"/>
  <c r="I22" i="19"/>
  <c r="H22" i="19"/>
  <c r="G22" i="19"/>
  <c r="F22" i="19"/>
  <c r="BU21" i="19"/>
  <c r="BQ21" i="19"/>
  <c r="I21" i="19"/>
  <c r="H21" i="19"/>
  <c r="G21" i="19"/>
  <c r="F21" i="19"/>
  <c r="BP19" i="19"/>
  <c r="E19" i="19"/>
  <c r="C19" i="19" s="1"/>
  <c r="BQ17" i="19"/>
  <c r="I17" i="19"/>
  <c r="H17" i="19"/>
  <c r="G17" i="19"/>
  <c r="F17" i="19"/>
  <c r="BQ16" i="19"/>
  <c r="BQ15" i="19"/>
  <c r="I15" i="19"/>
  <c r="H15" i="19"/>
  <c r="G15" i="19"/>
  <c r="F15" i="19"/>
  <c r="BQ14" i="19"/>
  <c r="I14" i="19"/>
  <c r="H14" i="19"/>
  <c r="G14" i="19"/>
  <c r="F14" i="19"/>
  <c r="BQ13" i="19"/>
  <c r="I13" i="19"/>
  <c r="H13" i="19"/>
  <c r="G13" i="19"/>
  <c r="F13" i="19"/>
  <c r="BQ12" i="19"/>
  <c r="I12" i="19"/>
  <c r="H12" i="19"/>
  <c r="G12" i="19"/>
  <c r="F12" i="19"/>
  <c r="BQ11" i="19"/>
  <c r="I11" i="19"/>
  <c r="H11" i="19"/>
  <c r="G11" i="19"/>
  <c r="F11" i="19"/>
  <c r="BQ10" i="19"/>
  <c r="I10" i="19"/>
  <c r="H10" i="19"/>
  <c r="G10" i="19"/>
  <c r="F10" i="19"/>
  <c r="BQ9" i="19"/>
  <c r="I9" i="19"/>
  <c r="H9" i="19"/>
  <c r="G9" i="19"/>
  <c r="F9" i="19"/>
  <c r="BQ8" i="19"/>
  <c r="I8" i="19"/>
  <c r="H8" i="19"/>
  <c r="G8" i="19"/>
  <c r="F8" i="19"/>
  <c r="BJ4" i="19"/>
  <c r="BI4" i="19"/>
  <c r="BC4" i="19"/>
  <c r="BB4" i="19"/>
  <c r="AZ4" i="19"/>
  <c r="AY4" i="19"/>
  <c r="AX4" i="19"/>
  <c r="AW4" i="19"/>
  <c r="AQ4" i="19"/>
  <c r="AP4" i="19"/>
  <c r="AO4" i="19"/>
  <c r="AN4" i="19"/>
  <c r="AM4" i="19"/>
  <c r="AL4" i="19"/>
  <c r="AK4" i="19"/>
  <c r="AE4" i="19"/>
  <c r="AD4" i="19"/>
  <c r="AB4" i="19"/>
  <c r="AA4" i="19"/>
  <c r="Z4" i="19"/>
  <c r="Y4" i="19"/>
  <c r="S4" i="19"/>
  <c r="Q4" i="19"/>
  <c r="P4" i="19"/>
  <c r="O4" i="19"/>
  <c r="N4" i="19"/>
  <c r="BS53" i="19"/>
  <c r="BL3" i="19"/>
  <c r="BE3" i="19"/>
  <c r="AS3" i="19"/>
  <c r="AG3" i="19"/>
  <c r="U3" i="19"/>
  <c r="BJ9" i="19" l="1"/>
  <c r="BC9" i="19"/>
  <c r="BI9" i="19"/>
  <c r="BB9" i="19"/>
  <c r="BA9" i="19"/>
  <c r="AZ9" i="19"/>
  <c r="AY9" i="19"/>
  <c r="AX9" i="19"/>
  <c r="AQ9" i="19"/>
  <c r="AW9" i="19"/>
  <c r="AP9" i="19"/>
  <c r="BJ14" i="19"/>
  <c r="BC14" i="19"/>
  <c r="BI14" i="19"/>
  <c r="BB14" i="19"/>
  <c r="BA14" i="19"/>
  <c r="AZ14" i="19"/>
  <c r="AY14" i="19"/>
  <c r="AX14" i="19"/>
  <c r="AW14" i="19"/>
  <c r="BE14" i="19" s="1"/>
  <c r="AQ14" i="19"/>
  <c r="AP14" i="19"/>
  <c r="BJ21" i="19"/>
  <c r="BI21" i="19"/>
  <c r="BC21" i="19"/>
  <c r="BB21" i="19"/>
  <c r="BA21" i="19"/>
  <c r="AZ21" i="19"/>
  <c r="AY21" i="19"/>
  <c r="AX21" i="19"/>
  <c r="AW21" i="19"/>
  <c r="AQ21" i="19"/>
  <c r="AP21" i="19"/>
  <c r="BJ25" i="19"/>
  <c r="BI25" i="19"/>
  <c r="BC25" i="19"/>
  <c r="BB25" i="19"/>
  <c r="BA25" i="19"/>
  <c r="AZ25" i="19"/>
  <c r="AY25" i="19"/>
  <c r="AX25" i="19"/>
  <c r="AW25" i="19"/>
  <c r="AQ25" i="19"/>
  <c r="AP25" i="19"/>
  <c r="BJ8" i="19"/>
  <c r="BI8" i="19"/>
  <c r="BC8" i="19"/>
  <c r="BB8" i="19"/>
  <c r="BA8" i="19"/>
  <c r="AZ8" i="19"/>
  <c r="AY8" i="19"/>
  <c r="AX8" i="19"/>
  <c r="AQ8" i="19"/>
  <c r="AW8" i="19"/>
  <c r="AP8" i="19"/>
  <c r="BJ13" i="19"/>
  <c r="BI13" i="19"/>
  <c r="BC13" i="19"/>
  <c r="BB13" i="19"/>
  <c r="BA13" i="19"/>
  <c r="BE13" i="19" s="1"/>
  <c r="AZ13" i="19"/>
  <c r="AY13" i="19"/>
  <c r="AX13" i="19"/>
  <c r="AQ13" i="19"/>
  <c r="AW13" i="19"/>
  <c r="AP13" i="19"/>
  <c r="BJ17" i="19"/>
  <c r="BC17" i="19"/>
  <c r="BI17" i="19"/>
  <c r="BB17" i="19"/>
  <c r="BA17" i="19"/>
  <c r="AZ17" i="19"/>
  <c r="AY17" i="19"/>
  <c r="AX17" i="19"/>
  <c r="AQ17" i="19"/>
  <c r="AW17" i="19"/>
  <c r="BE17" i="19" s="1"/>
  <c r="AP17" i="19"/>
  <c r="BJ24" i="19"/>
  <c r="BI24" i="19"/>
  <c r="BC24" i="19"/>
  <c r="BB24" i="19"/>
  <c r="BA24" i="19"/>
  <c r="AZ24" i="19"/>
  <c r="AY24" i="19"/>
  <c r="AX24" i="19"/>
  <c r="AQ24" i="19"/>
  <c r="AW24" i="19"/>
  <c r="AP24" i="19"/>
  <c r="BJ12" i="19"/>
  <c r="BI12" i="19"/>
  <c r="BC12" i="19"/>
  <c r="BB12" i="19"/>
  <c r="BA12" i="19"/>
  <c r="AZ12" i="19"/>
  <c r="AY12" i="19"/>
  <c r="AX12" i="19"/>
  <c r="AQ12" i="19"/>
  <c r="AW12" i="19"/>
  <c r="AP12" i="19"/>
  <c r="BJ16" i="19"/>
  <c r="BI16" i="19"/>
  <c r="BC16" i="19"/>
  <c r="BB16" i="19"/>
  <c r="BA16" i="19"/>
  <c r="BE16" i="19" s="1"/>
  <c r="AZ16" i="19"/>
  <c r="AY16" i="19"/>
  <c r="AX16" i="19"/>
  <c r="AQ16" i="19"/>
  <c r="AW16" i="19"/>
  <c r="AP16" i="19"/>
  <c r="BJ23" i="19"/>
  <c r="BI23" i="19"/>
  <c r="BL23" i="19" s="1"/>
  <c r="BC23" i="19"/>
  <c r="BB23" i="19"/>
  <c r="BA23" i="19"/>
  <c r="AZ23" i="19"/>
  <c r="AY23" i="19"/>
  <c r="AX23" i="19"/>
  <c r="AQ23" i="19"/>
  <c r="AW23" i="19"/>
  <c r="AP23" i="19"/>
  <c r="BJ27" i="19"/>
  <c r="BI27" i="19"/>
  <c r="BC27" i="19"/>
  <c r="BB27" i="19"/>
  <c r="BA27" i="19"/>
  <c r="AZ27" i="19"/>
  <c r="AY27" i="19"/>
  <c r="AX27" i="19"/>
  <c r="AQ27" i="19"/>
  <c r="AW27" i="19"/>
  <c r="AP27" i="19"/>
  <c r="BJ11" i="19"/>
  <c r="BC11" i="19"/>
  <c r="BI11" i="19"/>
  <c r="BB11" i="19"/>
  <c r="BA11" i="19"/>
  <c r="AZ11" i="19"/>
  <c r="AY11" i="19"/>
  <c r="AX11" i="19"/>
  <c r="BE11" i="19" s="1"/>
  <c r="AW11" i="19"/>
  <c r="AQ11" i="19"/>
  <c r="AP11" i="19"/>
  <c r="BJ15" i="19"/>
  <c r="BC15" i="19"/>
  <c r="BI15" i="19"/>
  <c r="BB15" i="19"/>
  <c r="BA15" i="19"/>
  <c r="AZ15" i="19"/>
  <c r="AY15" i="19"/>
  <c r="AX15" i="19"/>
  <c r="AW15" i="19"/>
  <c r="BE15" i="19" s="1"/>
  <c r="AQ15" i="19"/>
  <c r="AP15" i="19"/>
  <c r="BJ22" i="19"/>
  <c r="BC22" i="19"/>
  <c r="BI22" i="19"/>
  <c r="BB22" i="19"/>
  <c r="BA22" i="19"/>
  <c r="AZ22" i="19"/>
  <c r="AY22" i="19"/>
  <c r="AX22" i="19"/>
  <c r="AQ22" i="19"/>
  <c r="AW22" i="19"/>
  <c r="AP22" i="19"/>
  <c r="BJ26" i="19"/>
  <c r="BC26" i="19"/>
  <c r="BI26" i="19"/>
  <c r="BB26" i="19"/>
  <c r="BA26" i="19"/>
  <c r="AZ26" i="19"/>
  <c r="AY26" i="19"/>
  <c r="AX26" i="19"/>
  <c r="AQ26" i="19"/>
  <c r="AW26" i="19"/>
  <c r="AP26" i="19"/>
  <c r="K27" i="19"/>
  <c r="AT27" i="19" s="1"/>
  <c r="AB22" i="19"/>
  <c r="AO22" i="19"/>
  <c r="AN22" i="19"/>
  <c r="AM22" i="19"/>
  <c r="AL22" i="19"/>
  <c r="AE22" i="19"/>
  <c r="AK22" i="19"/>
  <c r="AD22" i="19"/>
  <c r="AC22" i="19"/>
  <c r="AB26" i="19"/>
  <c r="AO26" i="19"/>
  <c r="AN26" i="19"/>
  <c r="AM26" i="19"/>
  <c r="AL26" i="19"/>
  <c r="AE26" i="19"/>
  <c r="AK26" i="19"/>
  <c r="AD26" i="19"/>
  <c r="AC26" i="19"/>
  <c r="AB23" i="19"/>
  <c r="AO23" i="19"/>
  <c r="AN23" i="19"/>
  <c r="AM23" i="19"/>
  <c r="AL23" i="19"/>
  <c r="AE23" i="19"/>
  <c r="AK23" i="19"/>
  <c r="AD23" i="19"/>
  <c r="AC23" i="19"/>
  <c r="AB27" i="19"/>
  <c r="AO27" i="19"/>
  <c r="AN27" i="19"/>
  <c r="AM27" i="19"/>
  <c r="AL27" i="19"/>
  <c r="AK27" i="19"/>
  <c r="AE27" i="19"/>
  <c r="AD27" i="19"/>
  <c r="AC27" i="19"/>
  <c r="AB8" i="19"/>
  <c r="AO8" i="19"/>
  <c r="AN8" i="19"/>
  <c r="AM8" i="19"/>
  <c r="AK8" i="19"/>
  <c r="AL8" i="19"/>
  <c r="AE8" i="19"/>
  <c r="AD8" i="19"/>
  <c r="AC8" i="19"/>
  <c r="AB24" i="19"/>
  <c r="AO24" i="19"/>
  <c r="AN24" i="19"/>
  <c r="AM24" i="19"/>
  <c r="AL24" i="19"/>
  <c r="AK24" i="19"/>
  <c r="AE24" i="19"/>
  <c r="AD24" i="19"/>
  <c r="AC24" i="19"/>
  <c r="AO21" i="19"/>
  <c r="AN21" i="19"/>
  <c r="AM21" i="19"/>
  <c r="AL21" i="19"/>
  <c r="AE21" i="19"/>
  <c r="AK21" i="19"/>
  <c r="AD21" i="19"/>
  <c r="AC21" i="19"/>
  <c r="AO25" i="19"/>
  <c r="AN25" i="19"/>
  <c r="AM25" i="19"/>
  <c r="AL25" i="19"/>
  <c r="AE25" i="19"/>
  <c r="AK25" i="19"/>
  <c r="AD25" i="19"/>
  <c r="AC25" i="19"/>
  <c r="AB11" i="19"/>
  <c r="AO11" i="19"/>
  <c r="AN11" i="19"/>
  <c r="AM11" i="19"/>
  <c r="AL11" i="19"/>
  <c r="AE11" i="19"/>
  <c r="AK11" i="19"/>
  <c r="AD11" i="19"/>
  <c r="AC11" i="19"/>
  <c r="AB15" i="19"/>
  <c r="AO15" i="19"/>
  <c r="AN15" i="19"/>
  <c r="AM15" i="19"/>
  <c r="AL15" i="19"/>
  <c r="AE15" i="19"/>
  <c r="AK15" i="19"/>
  <c r="AD15" i="19"/>
  <c r="AC15" i="19"/>
  <c r="AB12" i="19"/>
  <c r="AO12" i="19"/>
  <c r="AN12" i="19"/>
  <c r="AM12" i="19"/>
  <c r="AL12" i="19"/>
  <c r="AK12" i="19"/>
  <c r="AE12" i="19"/>
  <c r="AD12" i="19"/>
  <c r="AC12" i="19"/>
  <c r="AB16" i="19"/>
  <c r="AO16" i="19"/>
  <c r="AN16" i="19"/>
  <c r="AM16" i="19"/>
  <c r="AL16" i="19"/>
  <c r="AE16" i="19"/>
  <c r="AK16" i="19"/>
  <c r="AD16" i="19"/>
  <c r="AC16" i="19"/>
  <c r="AB13" i="19"/>
  <c r="AO13" i="19"/>
  <c r="AN13" i="19"/>
  <c r="AM13" i="19"/>
  <c r="AL13" i="19"/>
  <c r="AE13" i="19"/>
  <c r="AK13" i="19"/>
  <c r="AD13" i="19"/>
  <c r="AC13" i="19"/>
  <c r="AB17" i="19"/>
  <c r="AO17" i="19"/>
  <c r="AN17" i="19"/>
  <c r="AM17" i="19"/>
  <c r="AL17" i="19"/>
  <c r="AE17" i="19"/>
  <c r="AK17" i="19"/>
  <c r="AD17" i="19"/>
  <c r="AC17" i="19"/>
  <c r="AB9" i="19"/>
  <c r="AO9" i="19"/>
  <c r="AN9" i="19"/>
  <c r="AM9" i="19"/>
  <c r="AL9" i="19"/>
  <c r="AK9" i="19"/>
  <c r="AE9" i="19"/>
  <c r="AD9" i="19"/>
  <c r="AC9" i="19"/>
  <c r="AB14" i="19"/>
  <c r="AO14" i="19"/>
  <c r="AN14" i="19"/>
  <c r="AM14" i="19"/>
  <c r="AL14" i="19"/>
  <c r="AK14" i="19"/>
  <c r="AE14" i="19"/>
  <c r="AD14" i="19"/>
  <c r="AC14" i="19"/>
  <c r="G42" i="19"/>
  <c r="M21" i="19"/>
  <c r="AB21" i="19"/>
  <c r="M25" i="19"/>
  <c r="AB25" i="19"/>
  <c r="AA8" i="19"/>
  <c r="Z8" i="19"/>
  <c r="AA14" i="19"/>
  <c r="Z14" i="19"/>
  <c r="M14" i="19"/>
  <c r="M11" i="19"/>
  <c r="AA11" i="19"/>
  <c r="Z11" i="19"/>
  <c r="M15" i="19"/>
  <c r="AA15" i="19"/>
  <c r="Z15" i="19"/>
  <c r="M22" i="19"/>
  <c r="AA22" i="19"/>
  <c r="Z22" i="19"/>
  <c r="M26" i="19"/>
  <c r="AA26" i="19"/>
  <c r="Z26" i="19"/>
  <c r="AA21" i="19"/>
  <c r="Z21" i="19"/>
  <c r="AA12" i="19"/>
  <c r="Z12" i="19"/>
  <c r="AA16" i="19"/>
  <c r="Z16" i="19"/>
  <c r="AA23" i="19"/>
  <c r="Z23" i="19"/>
  <c r="AA27" i="19"/>
  <c r="Z27" i="19"/>
  <c r="AA9" i="19"/>
  <c r="Z9" i="19"/>
  <c r="AA25" i="19"/>
  <c r="Z25" i="19"/>
  <c r="AA13" i="19"/>
  <c r="Z13" i="19"/>
  <c r="AA17" i="19"/>
  <c r="Z17" i="19"/>
  <c r="AA24" i="19"/>
  <c r="Z24" i="19"/>
  <c r="S8" i="19"/>
  <c r="Y8" i="19"/>
  <c r="R8" i="19"/>
  <c r="Q8" i="19"/>
  <c r="P8" i="19"/>
  <c r="O8" i="19"/>
  <c r="N8" i="19"/>
  <c r="S12" i="19"/>
  <c r="Y12" i="19"/>
  <c r="R12" i="19"/>
  <c r="Q12" i="19"/>
  <c r="P12" i="19"/>
  <c r="O12" i="19"/>
  <c r="N12" i="19"/>
  <c r="S16" i="19"/>
  <c r="Y16" i="19"/>
  <c r="R16" i="19"/>
  <c r="Q16" i="19"/>
  <c r="P16" i="19"/>
  <c r="O16" i="19"/>
  <c r="N16" i="19"/>
  <c r="S23" i="19"/>
  <c r="Y23" i="19"/>
  <c r="R23" i="19"/>
  <c r="Q23" i="19"/>
  <c r="P23" i="19"/>
  <c r="O23" i="19"/>
  <c r="N23" i="19"/>
  <c r="S27" i="19"/>
  <c r="Y27" i="19"/>
  <c r="R27" i="19"/>
  <c r="Q27" i="19"/>
  <c r="P27" i="19"/>
  <c r="O27" i="19"/>
  <c r="N27" i="19"/>
  <c r="Y11" i="19"/>
  <c r="S11" i="19"/>
  <c r="R11" i="19"/>
  <c r="P11" i="19"/>
  <c r="Q11" i="19"/>
  <c r="O11" i="19"/>
  <c r="N11" i="19"/>
  <c r="Y22" i="19"/>
  <c r="S22" i="19"/>
  <c r="R22" i="19"/>
  <c r="P22" i="19"/>
  <c r="Q22" i="19"/>
  <c r="O22" i="19"/>
  <c r="N22" i="19"/>
  <c r="K8" i="19"/>
  <c r="AT8" i="19" s="1"/>
  <c r="K13" i="19"/>
  <c r="AT13" i="19" s="1"/>
  <c r="K15" i="19"/>
  <c r="V15" i="19" s="1"/>
  <c r="S9" i="19"/>
  <c r="Y9" i="19"/>
  <c r="R9" i="19"/>
  <c r="Q9" i="19"/>
  <c r="P9" i="19"/>
  <c r="O9" i="19"/>
  <c r="N9" i="19"/>
  <c r="Y13" i="19"/>
  <c r="S13" i="19"/>
  <c r="R13" i="19"/>
  <c r="Q13" i="19"/>
  <c r="P13" i="19"/>
  <c r="O13" i="19"/>
  <c r="N13" i="19"/>
  <c r="S17" i="19"/>
  <c r="Y17" i="19"/>
  <c r="R17" i="19"/>
  <c r="Q17" i="19"/>
  <c r="P17" i="19"/>
  <c r="O17" i="19"/>
  <c r="N17" i="19"/>
  <c r="Y24" i="19"/>
  <c r="S24" i="19"/>
  <c r="R24" i="19"/>
  <c r="Q24" i="19"/>
  <c r="P24" i="19"/>
  <c r="O24" i="19"/>
  <c r="N24" i="19"/>
  <c r="M8" i="19"/>
  <c r="M12" i="19"/>
  <c r="M16" i="19"/>
  <c r="M23" i="19"/>
  <c r="M27" i="19"/>
  <c r="Y15" i="19"/>
  <c r="S15" i="19"/>
  <c r="R15" i="19"/>
  <c r="P15" i="19"/>
  <c r="Q15" i="19"/>
  <c r="O15" i="19"/>
  <c r="N15" i="19"/>
  <c r="Y26" i="19"/>
  <c r="S26" i="19"/>
  <c r="R26" i="19"/>
  <c r="P26" i="19"/>
  <c r="Q26" i="19"/>
  <c r="O26" i="19"/>
  <c r="N26" i="19"/>
  <c r="AG4" i="19"/>
  <c r="S10" i="19"/>
  <c r="Y10" i="19"/>
  <c r="R10" i="19"/>
  <c r="Y14" i="19"/>
  <c r="S14" i="19"/>
  <c r="R14" i="19"/>
  <c r="Q14" i="19"/>
  <c r="P14" i="19"/>
  <c r="O14" i="19"/>
  <c r="N14" i="19"/>
  <c r="S21" i="19"/>
  <c r="Y21" i="19"/>
  <c r="R21" i="19"/>
  <c r="Q21" i="19"/>
  <c r="P21" i="19"/>
  <c r="O21" i="19"/>
  <c r="N21" i="19"/>
  <c r="Y25" i="19"/>
  <c r="S25" i="19"/>
  <c r="R25" i="19"/>
  <c r="Q25" i="19"/>
  <c r="P25" i="19"/>
  <c r="O25" i="19"/>
  <c r="N25" i="19"/>
  <c r="M9" i="19"/>
  <c r="M13" i="19"/>
  <c r="M17" i="19"/>
  <c r="M24" i="19"/>
  <c r="K12" i="19"/>
  <c r="BM12" i="19" s="1"/>
  <c r="K22" i="19"/>
  <c r="AT22" i="19" s="1"/>
  <c r="K23" i="19"/>
  <c r="V23" i="19" s="1"/>
  <c r="K10" i="19"/>
  <c r="AT10" i="19" s="1"/>
  <c r="P10" i="19"/>
  <c r="Q10" i="19"/>
  <c r="O10" i="19"/>
  <c r="N10" i="19"/>
  <c r="BT53" i="19"/>
  <c r="K9" i="19"/>
  <c r="BM9" i="19" s="1"/>
  <c r="K14" i="19"/>
  <c r="BF14" i="19" s="1"/>
  <c r="K17" i="19"/>
  <c r="V17" i="19" s="1"/>
  <c r="K21" i="19"/>
  <c r="AT21" i="19" s="1"/>
  <c r="K11" i="19"/>
  <c r="AT11" i="19" s="1"/>
  <c r="K16" i="19"/>
  <c r="BF16" i="19" s="1"/>
  <c r="K26" i="19"/>
  <c r="V26" i="19" s="1"/>
  <c r="J29" i="19"/>
  <c r="K35" i="19"/>
  <c r="K37" i="19"/>
  <c r="J42" i="19"/>
  <c r="K39" i="19"/>
  <c r="AH9" i="19"/>
  <c r="F29" i="19"/>
  <c r="V10" i="19"/>
  <c r="BS1" i="19"/>
  <c r="BQ29" i="19"/>
  <c r="H42" i="19"/>
  <c r="G29" i="19"/>
  <c r="BQ19" i="19"/>
  <c r="I29" i="19"/>
  <c r="I42" i="19"/>
  <c r="K36" i="19"/>
  <c r="K38" i="19"/>
  <c r="K40" i="19"/>
  <c r="BL4" i="19"/>
  <c r="BE4" i="19"/>
  <c r="AS4" i="19"/>
  <c r="CE2" i="19"/>
  <c r="CF2" i="19" s="1"/>
  <c r="J3" i="19"/>
  <c r="CA2" i="19"/>
  <c r="CB2" i="19" s="1"/>
  <c r="BU3" i="19"/>
  <c r="BW2" i="19"/>
  <c r="AT25" i="19"/>
  <c r="AT24" i="19"/>
  <c r="U4" i="19"/>
  <c r="H31" i="19"/>
  <c r="H19" i="19"/>
  <c r="V27" i="19"/>
  <c r="V25" i="19"/>
  <c r="V24" i="19"/>
  <c r="BF27" i="19"/>
  <c r="BF24" i="19"/>
  <c r="BF25" i="19"/>
  <c r="AH24" i="19"/>
  <c r="AH25" i="19"/>
  <c r="I31" i="19"/>
  <c r="I19" i="19"/>
  <c r="BM27" i="19"/>
  <c r="BM24" i="19"/>
  <c r="BM25" i="19"/>
  <c r="F31" i="19"/>
  <c r="F19" i="19"/>
  <c r="J31" i="19"/>
  <c r="J33" i="19" s="1"/>
  <c r="J19" i="19"/>
  <c r="BL25" i="19"/>
  <c r="BS4" i="19"/>
  <c r="BW4" i="19" s="1"/>
  <c r="G31" i="19"/>
  <c r="G19" i="19"/>
  <c r="BL22" i="19"/>
  <c r="BE12" i="19"/>
  <c r="BL17" i="19"/>
  <c r="H29" i="19"/>
  <c r="BE24" i="19"/>
  <c r="E52" i="19"/>
  <c r="J52" i="19" s="1"/>
  <c r="E47" i="19"/>
  <c r="E33" i="19"/>
  <c r="BQ31" i="19"/>
  <c r="E44" i="19"/>
  <c r="AY19" i="19" l="1"/>
  <c r="BI31" i="19"/>
  <c r="BI33" i="19" s="1"/>
  <c r="BI39" i="19" s="1"/>
  <c r="BL14" i="19"/>
  <c r="AT12" i="19"/>
  <c r="AS23" i="19"/>
  <c r="AP29" i="19"/>
  <c r="BI37" i="19"/>
  <c r="BI40" i="19"/>
  <c r="BI41" i="19"/>
  <c r="BI45" i="19"/>
  <c r="BI36" i="19"/>
  <c r="AX19" i="19"/>
  <c r="AX31" i="19"/>
  <c r="AX33" i="19" s="1"/>
  <c r="BB19" i="19"/>
  <c r="BB31" i="19"/>
  <c r="BB33" i="19" s="1"/>
  <c r="AS22" i="19"/>
  <c r="AY29" i="19"/>
  <c r="BC29" i="19"/>
  <c r="BM3" i="19"/>
  <c r="BF3" i="19"/>
  <c r="AT3" i="19"/>
  <c r="BJ44" i="19"/>
  <c r="BI44" i="19"/>
  <c r="BC44" i="19"/>
  <c r="BB44" i="19"/>
  <c r="BA44" i="19"/>
  <c r="AZ44" i="19"/>
  <c r="AY44" i="19"/>
  <c r="AX44" i="19"/>
  <c r="AW44" i="19"/>
  <c r="AQ44" i="19"/>
  <c r="AP44" i="19"/>
  <c r="AQ31" i="19"/>
  <c r="AQ33" i="19" s="1"/>
  <c r="AQ19" i="19"/>
  <c r="BA31" i="19"/>
  <c r="BA33" i="19" s="1"/>
  <c r="BA19" i="19"/>
  <c r="BF8" i="19"/>
  <c r="BJ19" i="19"/>
  <c r="AX29" i="19"/>
  <c r="BB29" i="19"/>
  <c r="AW31" i="19"/>
  <c r="AW33" i="19" s="1"/>
  <c r="AW19" i="19"/>
  <c r="AZ19" i="19"/>
  <c r="AZ31" i="19"/>
  <c r="AZ33" i="19" s="1"/>
  <c r="BI19" i="19"/>
  <c r="BL8" i="19"/>
  <c r="AS8" i="19"/>
  <c r="BL16" i="19"/>
  <c r="AW29" i="19"/>
  <c r="BA29" i="19"/>
  <c r="BJ29" i="19"/>
  <c r="BL9" i="19"/>
  <c r="BN9" i="19" s="1"/>
  <c r="AP19" i="19"/>
  <c r="AP31" i="19"/>
  <c r="AP33" i="19" s="1"/>
  <c r="BJ31" i="19"/>
  <c r="BJ33" i="19" s="1"/>
  <c r="BJ52" i="19" s="1"/>
  <c r="BC19" i="19"/>
  <c r="BL12" i="19"/>
  <c r="BN12" i="19" s="1"/>
  <c r="AY31" i="19"/>
  <c r="AY33" i="19" s="1"/>
  <c r="BC31" i="19"/>
  <c r="BC33" i="19" s="1"/>
  <c r="AQ29" i="19"/>
  <c r="AZ29" i="19"/>
  <c r="BI29" i="19"/>
  <c r="AE29" i="19"/>
  <c r="AH27" i="19"/>
  <c r="AS25" i="19"/>
  <c r="AS26" i="19"/>
  <c r="AB44" i="19"/>
  <c r="AO44" i="19"/>
  <c r="AN44" i="19"/>
  <c r="AM44" i="19"/>
  <c r="AL44" i="19"/>
  <c r="AK44" i="19"/>
  <c r="AE44" i="19"/>
  <c r="AD44" i="19"/>
  <c r="AC44" i="19"/>
  <c r="AL29" i="19"/>
  <c r="AG24" i="19"/>
  <c r="AI24" i="19" s="1"/>
  <c r="AS14" i="19"/>
  <c r="AK29" i="19"/>
  <c r="AN29" i="19"/>
  <c r="AD29" i="19"/>
  <c r="AO29" i="19"/>
  <c r="AC29" i="19"/>
  <c r="AG23" i="19"/>
  <c r="AS16" i="19"/>
  <c r="AS12" i="19"/>
  <c r="AB19" i="19"/>
  <c r="AM29" i="19"/>
  <c r="AD19" i="19"/>
  <c r="AD31" i="19"/>
  <c r="AD33" i="19" s="1"/>
  <c r="AM31" i="19"/>
  <c r="AM33" i="19" s="1"/>
  <c r="AM19" i="19"/>
  <c r="AK31" i="19"/>
  <c r="AK33" i="19" s="1"/>
  <c r="AE19" i="19"/>
  <c r="AN31" i="19"/>
  <c r="AN33" i="19" s="1"/>
  <c r="AN19" i="19"/>
  <c r="AE31" i="19"/>
  <c r="AE33" i="19" s="1"/>
  <c r="AH3" i="19"/>
  <c r="AK19" i="19"/>
  <c r="AO31" i="19"/>
  <c r="AO33" i="19" s="1"/>
  <c r="AO19" i="19"/>
  <c r="AC19" i="19"/>
  <c r="AS9" i="19"/>
  <c r="AG15" i="19"/>
  <c r="AC31" i="19"/>
  <c r="AC33" i="19" s="1"/>
  <c r="AL31" i="19"/>
  <c r="AL33" i="19" s="1"/>
  <c r="AL19" i="19"/>
  <c r="BZ29" i="19"/>
  <c r="BZ34" i="19" s="1"/>
  <c r="BM21" i="19"/>
  <c r="V12" i="19"/>
  <c r="AH12" i="19"/>
  <c r="AG17" i="19"/>
  <c r="AG12" i="19"/>
  <c r="BS16" i="19"/>
  <c r="BT16" i="19" s="1"/>
  <c r="AB31" i="19"/>
  <c r="AB33" i="19" s="1"/>
  <c r="AB38" i="19" s="1"/>
  <c r="AT15" i="19"/>
  <c r="BM13" i="19"/>
  <c r="U11" i="19"/>
  <c r="J44" i="19"/>
  <c r="AB29" i="19"/>
  <c r="BM23" i="19"/>
  <c r="BN23" i="19" s="1"/>
  <c r="BF12" i="19"/>
  <c r="BG12" i="19" s="1"/>
  <c r="AH13" i="19"/>
  <c r="V13" i="19"/>
  <c r="AG22" i="19"/>
  <c r="BF13" i="19"/>
  <c r="BG13" i="19" s="1"/>
  <c r="AG14" i="19"/>
  <c r="U23" i="19"/>
  <c r="W23" i="19" s="1"/>
  <c r="AG13" i="19"/>
  <c r="AG11" i="19"/>
  <c r="AG27" i="19"/>
  <c r="AI27" i="19" s="1"/>
  <c r="AA44" i="19"/>
  <c r="Z44" i="19"/>
  <c r="U25" i="19"/>
  <c r="W25" i="19" s="1"/>
  <c r="U14" i="19"/>
  <c r="U26" i="19"/>
  <c r="W26" i="19" s="1"/>
  <c r="U9" i="19"/>
  <c r="U22" i="19"/>
  <c r="U16" i="19"/>
  <c r="BS12" i="19"/>
  <c r="BT12" i="19" s="1"/>
  <c r="BS25" i="19"/>
  <c r="BT25" i="19" s="1"/>
  <c r="BM15" i="19"/>
  <c r="AH15" i="19"/>
  <c r="AI15" i="19" s="1"/>
  <c r="P29" i="19"/>
  <c r="Z31" i="19"/>
  <c r="Z33" i="19" s="1"/>
  <c r="Z19" i="19"/>
  <c r="AA29" i="19"/>
  <c r="BF10" i="19"/>
  <c r="BS23" i="19"/>
  <c r="BT23" i="19" s="1"/>
  <c r="BS9" i="19"/>
  <c r="BT9" i="19" s="1"/>
  <c r="Q29" i="19"/>
  <c r="AA31" i="19"/>
  <c r="AA33" i="19" s="1"/>
  <c r="AA38" i="19" s="1"/>
  <c r="V3" i="19"/>
  <c r="BF15" i="19"/>
  <c r="BG15" i="19" s="1"/>
  <c r="AT23" i="19"/>
  <c r="Z29" i="19"/>
  <c r="AA19" i="19"/>
  <c r="V8" i="19"/>
  <c r="BM22" i="19"/>
  <c r="BN22" i="19" s="1"/>
  <c r="BM8" i="19"/>
  <c r="AH8" i="19"/>
  <c r="AH22" i="19"/>
  <c r="AH21" i="19"/>
  <c r="BF22" i="19"/>
  <c r="V21" i="19"/>
  <c r="BF23" i="19"/>
  <c r="V22" i="19"/>
  <c r="BP42" i="19"/>
  <c r="S44" i="19"/>
  <c r="Y44" i="19"/>
  <c r="R44" i="19"/>
  <c r="Q44" i="19"/>
  <c r="P44" i="19"/>
  <c r="O44" i="19"/>
  <c r="N44" i="19"/>
  <c r="M44" i="19"/>
  <c r="O29" i="19"/>
  <c r="Y29" i="19"/>
  <c r="Y31" i="19"/>
  <c r="Y33" i="19" s="1"/>
  <c r="S29" i="19"/>
  <c r="R31" i="19"/>
  <c r="R33" i="19" s="1"/>
  <c r="R19" i="19"/>
  <c r="Y19" i="19"/>
  <c r="AH23" i="19"/>
  <c r="N29" i="19"/>
  <c r="S31" i="19"/>
  <c r="S33" i="19" s="1"/>
  <c r="R29" i="19"/>
  <c r="S19" i="19"/>
  <c r="N31" i="19"/>
  <c r="N33" i="19" s="1"/>
  <c r="N19" i="19"/>
  <c r="BF9" i="19"/>
  <c r="O19" i="19"/>
  <c r="O31" i="19"/>
  <c r="O33" i="19" s="1"/>
  <c r="Q31" i="19"/>
  <c r="Q33" i="19" s="1"/>
  <c r="Q19" i="19"/>
  <c r="BM10" i="19"/>
  <c r="AH10" i="19"/>
  <c r="P31" i="19"/>
  <c r="P33" i="19" s="1"/>
  <c r="P19" i="19"/>
  <c r="BM17" i="19"/>
  <c r="BN17" i="19" s="1"/>
  <c r="BF26" i="19"/>
  <c r="AT17" i="19"/>
  <c r="V14" i="19"/>
  <c r="AH26" i="19"/>
  <c r="BF17" i="19"/>
  <c r="BG17" i="19" s="1"/>
  <c r="AT26" i="19"/>
  <c r="AU26" i="19" s="1"/>
  <c r="AH17" i="19"/>
  <c r="BM11" i="19"/>
  <c r="AT9" i="19"/>
  <c r="BM26" i="19"/>
  <c r="AH11" i="19"/>
  <c r="K29" i="19"/>
  <c r="AH14" i="19"/>
  <c r="V16" i="19"/>
  <c r="W16" i="19" s="1"/>
  <c r="AT14" i="19"/>
  <c r="K19" i="19"/>
  <c r="BF11" i="19"/>
  <c r="BG11" i="19" s="1"/>
  <c r="V9" i="19"/>
  <c r="BM14" i="19"/>
  <c r="BN14" i="19" s="1"/>
  <c r="AH16" i="19"/>
  <c r="V11" i="19"/>
  <c r="AT16" i="19"/>
  <c r="BM16" i="19"/>
  <c r="BN16" i="19" s="1"/>
  <c r="BF21" i="19"/>
  <c r="K42" i="19"/>
  <c r="J47" i="19"/>
  <c r="BE21" i="19"/>
  <c r="BL24" i="19"/>
  <c r="BN24" i="19" s="1"/>
  <c r="BL44" i="19"/>
  <c r="E48" i="19"/>
  <c r="CG2" i="19" s="1"/>
  <c r="E54" i="19"/>
  <c r="J54" i="19" s="1"/>
  <c r="H47" i="19"/>
  <c r="K47" i="19"/>
  <c r="G47" i="19"/>
  <c r="I47" i="19"/>
  <c r="F47" i="19"/>
  <c r="K31" i="19"/>
  <c r="BS26" i="19"/>
  <c r="BT26" i="19" s="1"/>
  <c r="BS27" i="19"/>
  <c r="BT27" i="19" s="1"/>
  <c r="U27" i="19"/>
  <c r="W27" i="19" s="1"/>
  <c r="AS27" i="19"/>
  <c r="AU27" i="19" s="1"/>
  <c r="BL27" i="19"/>
  <c r="BN27" i="19" s="1"/>
  <c r="BE27" i="19"/>
  <c r="BG27" i="19" s="1"/>
  <c r="BE25" i="19"/>
  <c r="BG25" i="19" s="1"/>
  <c r="AG25" i="19"/>
  <c r="AI25" i="19" s="1"/>
  <c r="BS22" i="19"/>
  <c r="BT22" i="19" s="1"/>
  <c r="BL21" i="19"/>
  <c r="AS21" i="19"/>
  <c r="AU21" i="19" s="1"/>
  <c r="M29" i="19"/>
  <c r="U21" i="19"/>
  <c r="BS21" i="19"/>
  <c r="AG16" i="19"/>
  <c r="BS14" i="19"/>
  <c r="BT14" i="19" s="1"/>
  <c r="BE10" i="19"/>
  <c r="BE8" i="19"/>
  <c r="BN25" i="19"/>
  <c r="BG14" i="19"/>
  <c r="U12" i="19"/>
  <c r="AS10" i="19"/>
  <c r="AU10" i="19" s="1"/>
  <c r="U10" i="19"/>
  <c r="W10" i="19" s="1"/>
  <c r="BS10" i="19"/>
  <c r="BT10" i="19" s="1"/>
  <c r="M31" i="19"/>
  <c r="M33" i="19" s="1"/>
  <c r="M19" i="19"/>
  <c r="U8" i="19"/>
  <c r="BS8" i="19"/>
  <c r="E53" i="19"/>
  <c r="J53" i="19" s="1"/>
  <c r="AG21" i="19"/>
  <c r="AS24" i="19"/>
  <c r="AU24" i="19" s="1"/>
  <c r="G52" i="19"/>
  <c r="K52" i="19"/>
  <c r="F52" i="19"/>
  <c r="I52" i="19"/>
  <c r="H52" i="19"/>
  <c r="BW3" i="19"/>
  <c r="BW1" i="19" s="1"/>
  <c r="BL26" i="19"/>
  <c r="BE26" i="19"/>
  <c r="AG26" i="19"/>
  <c r="BL13" i="19"/>
  <c r="AS13" i="19"/>
  <c r="AU13" i="19" s="1"/>
  <c r="U13" i="19"/>
  <c r="BS13" i="19"/>
  <c r="BT13" i="19" s="1"/>
  <c r="AG10" i="19"/>
  <c r="AG8" i="19"/>
  <c r="BS5" i="19"/>
  <c r="BG16" i="19"/>
  <c r="BS11" i="19"/>
  <c r="BT11" i="19" s="1"/>
  <c r="AS11" i="19"/>
  <c r="AU11" i="19" s="1"/>
  <c r="BL11" i="19"/>
  <c r="AU12" i="19"/>
  <c r="BE22" i="19"/>
  <c r="BE23" i="19"/>
  <c r="AS17" i="19"/>
  <c r="U17" i="19"/>
  <c r="W17" i="19" s="1"/>
  <c r="BS17" i="19"/>
  <c r="BT17" i="19" s="1"/>
  <c r="G44" i="19"/>
  <c r="G33" i="19"/>
  <c r="I44" i="19"/>
  <c r="I33" i="19"/>
  <c r="BG24" i="19"/>
  <c r="H44" i="19"/>
  <c r="H33" i="19"/>
  <c r="AU22" i="19"/>
  <c r="BX2" i="19"/>
  <c r="BY2" i="19" s="1"/>
  <c r="CC2" i="19"/>
  <c r="U24" i="19"/>
  <c r="W24" i="19" s="1"/>
  <c r="BS24" i="19"/>
  <c r="BT24" i="19" s="1"/>
  <c r="BL15" i="19"/>
  <c r="AS15" i="19"/>
  <c r="U15" i="19"/>
  <c r="W15" i="19" s="1"/>
  <c r="BS15" i="19"/>
  <c r="BT15" i="19" s="1"/>
  <c r="CA4" i="19"/>
  <c r="CB4" i="19" s="1"/>
  <c r="CC4" i="19" s="1"/>
  <c r="BU4" i="19"/>
  <c r="BT4" i="19"/>
  <c r="BW6" i="19" s="1"/>
  <c r="BW7" i="19" s="1"/>
  <c r="F44" i="19"/>
  <c r="F33" i="19"/>
  <c r="BL10" i="19"/>
  <c r="BE9" i="19"/>
  <c r="AG9" i="19"/>
  <c r="AI9" i="19" s="1"/>
  <c r="AU25" i="19"/>
  <c r="W11" i="19" l="1"/>
  <c r="AB45" i="19"/>
  <c r="BI35" i="19"/>
  <c r="BI38" i="19"/>
  <c r="AU23" i="19"/>
  <c r="BJ47" i="19"/>
  <c r="BC47" i="19"/>
  <c r="BI47" i="19"/>
  <c r="BB47" i="19"/>
  <c r="BA47" i="19"/>
  <c r="AZ47" i="19"/>
  <c r="AY47" i="19"/>
  <c r="AX47" i="19"/>
  <c r="AW47" i="19"/>
  <c r="AQ47" i="19"/>
  <c r="AP47" i="19"/>
  <c r="AY38" i="19"/>
  <c r="AY35" i="19"/>
  <c r="AY45" i="19"/>
  <c r="AY50" i="19" s="1"/>
  <c r="AY36" i="19"/>
  <c r="AY37" i="19"/>
  <c r="AY39" i="19"/>
  <c r="AY41" i="19"/>
  <c r="AY40" i="19"/>
  <c r="AZ41" i="19"/>
  <c r="AZ39" i="19"/>
  <c r="AZ38" i="19"/>
  <c r="AZ40" i="19"/>
  <c r="AZ35" i="19"/>
  <c r="AZ45" i="19"/>
  <c r="AZ50" i="19" s="1"/>
  <c r="AZ36" i="19"/>
  <c r="AZ37" i="19"/>
  <c r="BC39" i="19"/>
  <c r="BC37" i="19"/>
  <c r="BC35" i="19"/>
  <c r="BC41" i="19"/>
  <c r="BC45" i="19"/>
  <c r="BC50" i="19" s="1"/>
  <c r="BC38" i="19"/>
  <c r="BC40" i="19"/>
  <c r="BC36" i="19"/>
  <c r="BJ35" i="19"/>
  <c r="BJ40" i="19"/>
  <c r="BJ37" i="19"/>
  <c r="BJ38" i="19"/>
  <c r="BJ39" i="19"/>
  <c r="BJ45" i="19"/>
  <c r="BJ50" i="19" s="1"/>
  <c r="BJ41" i="19"/>
  <c r="BJ36" i="19"/>
  <c r="AW36" i="19"/>
  <c r="AW37" i="19"/>
  <c r="AW35" i="19"/>
  <c r="AW39" i="19"/>
  <c r="AW38" i="19"/>
  <c r="AW45" i="19"/>
  <c r="AW50" i="19" s="1"/>
  <c r="AW41" i="19"/>
  <c r="AW40" i="19"/>
  <c r="AQ38" i="19"/>
  <c r="AQ37" i="19"/>
  <c r="AQ35" i="19"/>
  <c r="AQ41" i="19"/>
  <c r="AQ39" i="19"/>
  <c r="AQ36" i="19"/>
  <c r="AQ45" i="19"/>
  <c r="AQ50" i="19" s="1"/>
  <c r="AQ40" i="19"/>
  <c r="AX35" i="19"/>
  <c r="AX37" i="19"/>
  <c r="AX36" i="19"/>
  <c r="AX38" i="19"/>
  <c r="AX45" i="19"/>
  <c r="AX50" i="19" s="1"/>
  <c r="AX41" i="19"/>
  <c r="AX40" i="19"/>
  <c r="AX39" i="19"/>
  <c r="BI50" i="19"/>
  <c r="BU7" i="19"/>
  <c r="BU5" i="19"/>
  <c r="AP35" i="19"/>
  <c r="AP39" i="19"/>
  <c r="AP45" i="19"/>
  <c r="AP50" i="19" s="1"/>
  <c r="AP38" i="19"/>
  <c r="AP40" i="19"/>
  <c r="AP41" i="19"/>
  <c r="AP36" i="19"/>
  <c r="AP37" i="19"/>
  <c r="BA36" i="19"/>
  <c r="BA41" i="19"/>
  <c r="BA40" i="19"/>
  <c r="BA39" i="19"/>
  <c r="BA37" i="19"/>
  <c r="BA38" i="19"/>
  <c r="BA35" i="19"/>
  <c r="BA45" i="19"/>
  <c r="BA50" i="19" s="1"/>
  <c r="BB40" i="19"/>
  <c r="BB41" i="19"/>
  <c r="BB45" i="19"/>
  <c r="BB50" i="19" s="1"/>
  <c r="BB39" i="19"/>
  <c r="BB36" i="19"/>
  <c r="BB38" i="19"/>
  <c r="BB35" i="19"/>
  <c r="BB37" i="19"/>
  <c r="AU16" i="19"/>
  <c r="W12" i="19"/>
  <c r="W9" i="19"/>
  <c r="BN21" i="19"/>
  <c r="AU9" i="19"/>
  <c r="AB41" i="19"/>
  <c r="AB47" i="19"/>
  <c r="AO47" i="19"/>
  <c r="AN47" i="19"/>
  <c r="AM47" i="19"/>
  <c r="AL47" i="19"/>
  <c r="AE47" i="19"/>
  <c r="AK47" i="19"/>
  <c r="AD47" i="19"/>
  <c r="AC47" i="19"/>
  <c r="AB35" i="19"/>
  <c r="AI23" i="19"/>
  <c r="AB40" i="19"/>
  <c r="AL41" i="19"/>
  <c r="AL38" i="19"/>
  <c r="AL40" i="19"/>
  <c r="AL45" i="19"/>
  <c r="AL50" i="19" s="1"/>
  <c r="AL39" i="19"/>
  <c r="AL36" i="19"/>
  <c r="AL35" i="19"/>
  <c r="AL37" i="19"/>
  <c r="AN38" i="19"/>
  <c r="AN37" i="19"/>
  <c r="AN36" i="19"/>
  <c r="AN40" i="19"/>
  <c r="AN39" i="19"/>
  <c r="AN41" i="19"/>
  <c r="AN35" i="19"/>
  <c r="AN45" i="19"/>
  <c r="AN50" i="19" s="1"/>
  <c r="AM38" i="19"/>
  <c r="AM36" i="19"/>
  <c r="AM41" i="19"/>
  <c r="AM37" i="19"/>
  <c r="AM39" i="19"/>
  <c r="AM40" i="19"/>
  <c r="AM35" i="19"/>
  <c r="AM45" i="19"/>
  <c r="AM50" i="19" s="1"/>
  <c r="AC40" i="19"/>
  <c r="AC45" i="19"/>
  <c r="AC50" i="19" s="1"/>
  <c r="AC41" i="19"/>
  <c r="AC38" i="19"/>
  <c r="AC35" i="19"/>
  <c r="AC37" i="19"/>
  <c r="AC39" i="19"/>
  <c r="AC36" i="19"/>
  <c r="AD40" i="19"/>
  <c r="AD41" i="19"/>
  <c r="AD39" i="19"/>
  <c r="AD37" i="19"/>
  <c r="AD45" i="19"/>
  <c r="AD50" i="19" s="1"/>
  <c r="AD38" i="19"/>
  <c r="AD35" i="19"/>
  <c r="AD36" i="19"/>
  <c r="AB36" i="19"/>
  <c r="AB37" i="19"/>
  <c r="AO36" i="19"/>
  <c r="AO35" i="19"/>
  <c r="AO39" i="19"/>
  <c r="AO41" i="19"/>
  <c r="AO37" i="19"/>
  <c r="AO38" i="19"/>
  <c r="AO45" i="19"/>
  <c r="AO50" i="19" s="1"/>
  <c r="AO40" i="19"/>
  <c r="AE45" i="19"/>
  <c r="AE50" i="19" s="1"/>
  <c r="AE35" i="19"/>
  <c r="AE37" i="19"/>
  <c r="AE40" i="19"/>
  <c r="AE38" i="19"/>
  <c r="AE39" i="19"/>
  <c r="AE36" i="19"/>
  <c r="AE41" i="19"/>
  <c r="AK40" i="19"/>
  <c r="AK37" i="19"/>
  <c r="AK38" i="19"/>
  <c r="AK41" i="19"/>
  <c r="AK45" i="19"/>
  <c r="AK50" i="19" s="1"/>
  <c r="AK36" i="19"/>
  <c r="AK35" i="19"/>
  <c r="AK39" i="19"/>
  <c r="AU15" i="19"/>
  <c r="AI22" i="19"/>
  <c r="AI12" i="19"/>
  <c r="AI13" i="19"/>
  <c r="BZ35" i="19"/>
  <c r="BZ37" i="19"/>
  <c r="BZ36" i="19"/>
  <c r="AI17" i="19"/>
  <c r="AB39" i="19"/>
  <c r="BG8" i="19"/>
  <c r="BN13" i="19"/>
  <c r="AI14" i="19"/>
  <c r="AB50" i="19"/>
  <c r="BT5" i="19"/>
  <c r="W13" i="19"/>
  <c r="AI11" i="19"/>
  <c r="W14" i="19"/>
  <c r="BN15" i="19"/>
  <c r="AA47" i="19"/>
  <c r="Z47" i="19"/>
  <c r="BG10" i="19"/>
  <c r="AA41" i="19"/>
  <c r="AA40" i="19"/>
  <c r="AA36" i="19"/>
  <c r="AA35" i="19"/>
  <c r="AA37" i="19"/>
  <c r="AA45" i="19"/>
  <c r="AA50" i="19" s="1"/>
  <c r="AA39" i="19"/>
  <c r="V29" i="19"/>
  <c r="W8" i="19"/>
  <c r="Z41" i="19"/>
  <c r="Z35" i="19"/>
  <c r="Z37" i="19"/>
  <c r="Z36" i="19"/>
  <c r="Z45" i="19"/>
  <c r="Z50" i="19" s="1"/>
  <c r="Z40" i="19"/>
  <c r="Z39" i="19"/>
  <c r="Z38" i="19"/>
  <c r="AI8" i="19"/>
  <c r="BG22" i="19"/>
  <c r="BG23" i="19"/>
  <c r="W22" i="19"/>
  <c r="BM29" i="19"/>
  <c r="AI10" i="19"/>
  <c r="BG26" i="19"/>
  <c r="AI21" i="19"/>
  <c r="W21" i="19"/>
  <c r="AH29" i="19"/>
  <c r="R37" i="19"/>
  <c r="R40" i="19"/>
  <c r="R45" i="19"/>
  <c r="R50" i="19" s="1"/>
  <c r="R38" i="19"/>
  <c r="R41" i="19"/>
  <c r="R35" i="19"/>
  <c r="R36" i="19"/>
  <c r="R39" i="19"/>
  <c r="Y39" i="19"/>
  <c r="Y37" i="19"/>
  <c r="Y35" i="19"/>
  <c r="Y45" i="19"/>
  <c r="Y50" i="19" s="1"/>
  <c r="Y38" i="19"/>
  <c r="Y40" i="19"/>
  <c r="Y41" i="19"/>
  <c r="Y36" i="19"/>
  <c r="Y47" i="19"/>
  <c r="S47" i="19"/>
  <c r="P47" i="19"/>
  <c r="R47" i="19"/>
  <c r="S38" i="19"/>
  <c r="S40" i="19"/>
  <c r="S41" i="19"/>
  <c r="S36" i="19"/>
  <c r="S37" i="19"/>
  <c r="S39" i="19"/>
  <c r="S45" i="19"/>
  <c r="S50" i="19" s="1"/>
  <c r="S35" i="19"/>
  <c r="BN10" i="19"/>
  <c r="AI16" i="19"/>
  <c r="BG9" i="19"/>
  <c r="M47" i="19"/>
  <c r="Q47" i="19"/>
  <c r="O47" i="19"/>
  <c r="N47" i="19"/>
  <c r="P35" i="19"/>
  <c r="P41" i="19"/>
  <c r="P36" i="19"/>
  <c r="P40" i="19"/>
  <c r="P39" i="19"/>
  <c r="P38" i="19"/>
  <c r="P37" i="19"/>
  <c r="Q35" i="19"/>
  <c r="Q37" i="19"/>
  <c r="Q36" i="19"/>
  <c r="Q40" i="19"/>
  <c r="Q39" i="19"/>
  <c r="Q41" i="19"/>
  <c r="Q45" i="19"/>
  <c r="Q50" i="19" s="1"/>
  <c r="Q38" i="19"/>
  <c r="O39" i="19"/>
  <c r="O35" i="19"/>
  <c r="O36" i="19"/>
  <c r="O37" i="19"/>
  <c r="O40" i="19"/>
  <c r="O38" i="19"/>
  <c r="O41" i="19"/>
  <c r="N45" i="19"/>
  <c r="N50" i="19" s="1"/>
  <c r="N41" i="19"/>
  <c r="N39" i="19"/>
  <c r="N37" i="19"/>
  <c r="N35" i="19"/>
  <c r="N40" i="19"/>
  <c r="N36" i="19"/>
  <c r="N38" i="19"/>
  <c r="AT29" i="19"/>
  <c r="BN26" i="19"/>
  <c r="BF29" i="19"/>
  <c r="AU17" i="19"/>
  <c r="AH19" i="19"/>
  <c r="AH31" i="19"/>
  <c r="BG21" i="19"/>
  <c r="V19" i="19"/>
  <c r="AI26" i="19"/>
  <c r="BN11" i="19"/>
  <c r="AT31" i="19"/>
  <c r="BF31" i="19"/>
  <c r="AT19" i="19"/>
  <c r="AU14" i="19"/>
  <c r="V31" i="19"/>
  <c r="BM19" i="19"/>
  <c r="BF19" i="19"/>
  <c r="BM31" i="19"/>
  <c r="BX4" i="19"/>
  <c r="BY4" i="19" s="1"/>
  <c r="E57" i="19"/>
  <c r="K48" i="19" s="1"/>
  <c r="AS19" i="19"/>
  <c r="BJ53" i="19"/>
  <c r="BA52" i="19"/>
  <c r="AU29" i="19"/>
  <c r="Q52" i="19"/>
  <c r="R52" i="19"/>
  <c r="BL31" i="19"/>
  <c r="S52" i="19"/>
  <c r="AU8" i="19"/>
  <c r="BF4" i="19"/>
  <c r="BG4" i="19" s="1"/>
  <c r="BG3" i="19"/>
  <c r="AG19" i="19"/>
  <c r="AQ52" i="19"/>
  <c r="AN52" i="19"/>
  <c r="AP52" i="19"/>
  <c r="BE31" i="19"/>
  <c r="AS29" i="19"/>
  <c r="I48" i="19"/>
  <c r="H48" i="19"/>
  <c r="F48" i="19"/>
  <c r="G48" i="19"/>
  <c r="AS44" i="19"/>
  <c r="BE29" i="19"/>
  <c r="AS31" i="19"/>
  <c r="BC52" i="19"/>
  <c r="Z52" i="19"/>
  <c r="AO52" i="19"/>
  <c r="AT4" i="19"/>
  <c r="AU4" i="19" s="1"/>
  <c r="AU3" i="19"/>
  <c r="G53" i="19"/>
  <c r="K53" i="19"/>
  <c r="F53" i="19"/>
  <c r="I53" i="19"/>
  <c r="H53" i="19"/>
  <c r="CA3" i="19"/>
  <c r="M52" i="19"/>
  <c r="M41" i="19"/>
  <c r="M40" i="19"/>
  <c r="M39" i="19"/>
  <c r="M37" i="19"/>
  <c r="U33" i="19"/>
  <c r="M38" i="19"/>
  <c r="M36" i="19"/>
  <c r="M35" i="19"/>
  <c r="AY52" i="19"/>
  <c r="AC52" i="19"/>
  <c r="AX52" i="19"/>
  <c r="BS29" i="19"/>
  <c r="BT29" i="19" s="1"/>
  <c r="BT21" i="19"/>
  <c r="BL47" i="19"/>
  <c r="J48" i="19"/>
  <c r="BE44" i="19"/>
  <c r="BP44" i="19"/>
  <c r="U44" i="19"/>
  <c r="AZ52" i="19"/>
  <c r="O52" i="19"/>
  <c r="BY1" i="19"/>
  <c r="BX1" i="19"/>
  <c r="BL19" i="19"/>
  <c r="AM52" i="19"/>
  <c r="AD52" i="19"/>
  <c r="AH4" i="19"/>
  <c r="AI5" i="19" s="1"/>
  <c r="AI3" i="19"/>
  <c r="AI4" i="19" s="1"/>
  <c r="V4" i="19"/>
  <c r="W3" i="19"/>
  <c r="W4" i="19" s="1"/>
  <c r="AG31" i="19"/>
  <c r="BT3" i="19"/>
  <c r="BX3" i="19"/>
  <c r="BY3" i="19" s="1"/>
  <c r="BZ3" i="19" s="1"/>
  <c r="AG29" i="19"/>
  <c r="BS31" i="19"/>
  <c r="BT31" i="19" s="1"/>
  <c r="BS19" i="19"/>
  <c r="BT19" i="19" s="1"/>
  <c r="BT8" i="19"/>
  <c r="N52" i="19"/>
  <c r="BE19" i="19"/>
  <c r="U29" i="19"/>
  <c r="BL29" i="19"/>
  <c r="AG44" i="19"/>
  <c r="BB52" i="19"/>
  <c r="AB52" i="19"/>
  <c r="BN8" i="19"/>
  <c r="AA52" i="19"/>
  <c r="AL52" i="19"/>
  <c r="BM4" i="19"/>
  <c r="BN4" i="19" s="1"/>
  <c r="BN3" i="19"/>
  <c r="U31" i="19"/>
  <c r="U19" i="19"/>
  <c r="AE52" i="19"/>
  <c r="P52" i="19"/>
  <c r="H54" i="19"/>
  <c r="G54" i="19"/>
  <c r="K54" i="19"/>
  <c r="F54" i="19"/>
  <c r="I54" i="19"/>
  <c r="BI42" i="19" l="1"/>
  <c r="BE35" i="19"/>
  <c r="BN29" i="19"/>
  <c r="BB42" i="19"/>
  <c r="BA42" i="19"/>
  <c r="AY42" i="19"/>
  <c r="AQ42" i="19"/>
  <c r="AW42" i="19"/>
  <c r="BC42" i="19"/>
  <c r="BJ48" i="19"/>
  <c r="BC48" i="19"/>
  <c r="BI48" i="19"/>
  <c r="BB48" i="19"/>
  <c r="BA48" i="19"/>
  <c r="AZ48" i="19"/>
  <c r="AY48" i="19"/>
  <c r="AX48" i="19"/>
  <c r="AW48" i="19"/>
  <c r="AQ48" i="19"/>
  <c r="AP48" i="19"/>
  <c r="AP42" i="19"/>
  <c r="AX42" i="19"/>
  <c r="BJ42" i="19"/>
  <c r="AZ42" i="19"/>
  <c r="AB48" i="19"/>
  <c r="AO48" i="19"/>
  <c r="AN48" i="19"/>
  <c r="AM48" i="19"/>
  <c r="AL48" i="19"/>
  <c r="AE48" i="19"/>
  <c r="AK48" i="19"/>
  <c r="AD48" i="19"/>
  <c r="AC48" i="19"/>
  <c r="AI29" i="19"/>
  <c r="AB42" i="19"/>
  <c r="AE42" i="19"/>
  <c r="AO42" i="19"/>
  <c r="AD42" i="19"/>
  <c r="AM42" i="19"/>
  <c r="AN42" i="19"/>
  <c r="AL42" i="19"/>
  <c r="AK42" i="19"/>
  <c r="AC42" i="19"/>
  <c r="W19" i="19"/>
  <c r="W29" i="19"/>
  <c r="BG19" i="19"/>
  <c r="Z42" i="19"/>
  <c r="AA48" i="19"/>
  <c r="Z48" i="19"/>
  <c r="AA42" i="19"/>
  <c r="AI19" i="19"/>
  <c r="W31" i="19"/>
  <c r="R42" i="19"/>
  <c r="BG31" i="19"/>
  <c r="S42" i="19"/>
  <c r="Y42" i="19"/>
  <c r="Y48" i="19"/>
  <c r="S48" i="19"/>
  <c r="P48" i="19"/>
  <c r="R48" i="19"/>
  <c r="O42" i="19"/>
  <c r="O45" i="19" s="1"/>
  <c r="O50" i="19" s="1"/>
  <c r="P42" i="19"/>
  <c r="P45" i="19" s="1"/>
  <c r="P50" i="19" s="1"/>
  <c r="N42" i="19"/>
  <c r="Q42" i="19"/>
  <c r="M48" i="19"/>
  <c r="Q48" i="19"/>
  <c r="O48" i="19"/>
  <c r="N48" i="19"/>
  <c r="BG29" i="19"/>
  <c r="AI31" i="19"/>
  <c r="K33" i="19"/>
  <c r="CE3" i="19"/>
  <c r="CF3" i="19" s="1"/>
  <c r="CG3" i="19" s="1"/>
  <c r="E59" i="19"/>
  <c r="CE4" i="19" s="1"/>
  <c r="CF4" i="19" s="1"/>
  <c r="CG4" i="19" s="1"/>
  <c r="BZ4" i="19"/>
  <c r="CC5" i="19"/>
  <c r="K44" i="19"/>
  <c r="J57" i="19"/>
  <c r="K57" i="19" s="1"/>
  <c r="CD4" i="19"/>
  <c r="BP33" i="19"/>
  <c r="J4" i="19" s="1"/>
  <c r="AA53" i="19"/>
  <c r="N53" i="19"/>
  <c r="BL48" i="19"/>
  <c r="AG47" i="19"/>
  <c r="BE47" i="19"/>
  <c r="U38" i="19"/>
  <c r="CB3" i="19"/>
  <c r="CC3" i="19" s="1"/>
  <c r="CD3" i="19" s="1"/>
  <c r="CA1" i="19"/>
  <c r="AW52" i="19"/>
  <c r="BE40" i="19"/>
  <c r="BE39" i="19"/>
  <c r="BE41" i="19"/>
  <c r="BE37" i="19"/>
  <c r="BE38" i="19"/>
  <c r="BE33" i="19"/>
  <c r="BF35" i="19" s="1"/>
  <c r="BG35" i="19" s="1"/>
  <c r="BE36" i="19"/>
  <c r="AP53" i="19"/>
  <c r="S53" i="19"/>
  <c r="AE53" i="19"/>
  <c r="AB53" i="19"/>
  <c r="BB53" i="19"/>
  <c r="AM53" i="19"/>
  <c r="AX53" i="19"/>
  <c r="AC53" i="19"/>
  <c r="V40" i="19"/>
  <c r="V41" i="19"/>
  <c r="V39" i="19"/>
  <c r="V37" i="19"/>
  <c r="V38" i="19"/>
  <c r="V36" i="19"/>
  <c r="V35" i="19"/>
  <c r="U40" i="19"/>
  <c r="AO53" i="19"/>
  <c r="Z53" i="19"/>
  <c r="AU31" i="19"/>
  <c r="AU19" i="19"/>
  <c r="AL53" i="19"/>
  <c r="Y52" i="19"/>
  <c r="AG41" i="19"/>
  <c r="AG39" i="19"/>
  <c r="AG40" i="19"/>
  <c r="AG38" i="19"/>
  <c r="AG33" i="19"/>
  <c r="AG36" i="19"/>
  <c r="AG37" i="19"/>
  <c r="AD53" i="19"/>
  <c r="BP47" i="19"/>
  <c r="BQ47" i="19" s="1"/>
  <c r="U47" i="19"/>
  <c r="AS47" i="19"/>
  <c r="AY53" i="19"/>
  <c r="M42" i="19"/>
  <c r="M45" i="19" s="1"/>
  <c r="M50" i="19" s="1"/>
  <c r="U35" i="19"/>
  <c r="U37" i="19"/>
  <c r="U41" i="19"/>
  <c r="BC53" i="19"/>
  <c r="AK52" i="19"/>
  <c r="AS40" i="19"/>
  <c r="AS41" i="19"/>
  <c r="AS39" i="19"/>
  <c r="AS37" i="19"/>
  <c r="AS33" i="19"/>
  <c r="AS38" i="19"/>
  <c r="AS36" i="19"/>
  <c r="AN53" i="19"/>
  <c r="R53" i="19"/>
  <c r="BJ55" i="19"/>
  <c r="BJ54" i="19"/>
  <c r="BN31" i="19"/>
  <c r="BN19" i="19"/>
  <c r="AZ53" i="19"/>
  <c r="U36" i="19"/>
  <c r="U39" i="19"/>
  <c r="U52" i="19"/>
  <c r="AQ53" i="19"/>
  <c r="BI52" i="19"/>
  <c r="BL40" i="19"/>
  <c r="BL38" i="19"/>
  <c r="BL41" i="19"/>
  <c r="BL39" i="19"/>
  <c r="BL37" i="19"/>
  <c r="BL33" i="19"/>
  <c r="BL36" i="19"/>
  <c r="Q53" i="19"/>
  <c r="BA53" i="19"/>
  <c r="P53" i="19" l="1"/>
  <c r="O53" i="19"/>
  <c r="W39" i="19"/>
  <c r="W36" i="19"/>
  <c r="M53" i="19"/>
  <c r="U45" i="19"/>
  <c r="CH4" i="19"/>
  <c r="W37" i="19"/>
  <c r="V42" i="19"/>
  <c r="CE1" i="19"/>
  <c r="CF1" i="19" s="1"/>
  <c r="CH3" i="19"/>
  <c r="BS35" i="19"/>
  <c r="BT35" i="19" s="1"/>
  <c r="BP52" i="19"/>
  <c r="BJ57" i="19"/>
  <c r="BJ59" i="19" s="1"/>
  <c r="BP45" i="19"/>
  <c r="W40" i="19"/>
  <c r="W35" i="19"/>
  <c r="W41" i="19"/>
  <c r="BL42" i="19"/>
  <c r="BL35" i="19"/>
  <c r="BM41" i="19"/>
  <c r="BN41" i="19" s="1"/>
  <c r="BM40" i="19"/>
  <c r="BN40" i="19" s="1"/>
  <c r="BM38" i="19"/>
  <c r="BN38" i="19" s="1"/>
  <c r="BM39" i="19"/>
  <c r="BN39" i="19" s="1"/>
  <c r="BM37" i="19"/>
  <c r="BN37" i="19" s="1"/>
  <c r="BM36" i="19"/>
  <c r="BN36" i="19" s="1"/>
  <c r="BM35" i="19"/>
  <c r="BI53" i="19"/>
  <c r="BL53" i="19" s="1"/>
  <c r="BL45" i="19"/>
  <c r="BS39" i="19"/>
  <c r="BT39" i="19" s="1"/>
  <c r="AZ55" i="19"/>
  <c r="AZ54" i="19"/>
  <c r="AT41" i="19"/>
  <c r="AU41" i="19" s="1"/>
  <c r="AT40" i="19"/>
  <c r="AU40" i="19" s="1"/>
  <c r="AT39" i="19"/>
  <c r="AU39" i="19" s="1"/>
  <c r="AT37" i="19"/>
  <c r="AU37" i="19" s="1"/>
  <c r="AT38" i="19"/>
  <c r="AU38" i="19" s="1"/>
  <c r="AT36" i="19"/>
  <c r="AU36" i="19" s="1"/>
  <c r="AT35" i="19"/>
  <c r="AK53" i="19"/>
  <c r="AS53" i="19" s="1"/>
  <c r="AS45" i="19"/>
  <c r="BS41" i="19"/>
  <c r="BT41" i="19" s="1"/>
  <c r="AD55" i="19"/>
  <c r="AD54" i="19"/>
  <c r="AO54" i="19"/>
  <c r="AO55" i="19"/>
  <c r="AB55" i="19"/>
  <c r="AB54" i="19"/>
  <c r="BE42" i="19"/>
  <c r="AW53" i="19"/>
  <c r="BE53" i="19" s="1"/>
  <c r="BE45" i="19"/>
  <c r="BS38" i="19"/>
  <c r="BT38" i="19" s="1"/>
  <c r="AG48" i="19"/>
  <c r="BE48" i="19"/>
  <c r="N55" i="19"/>
  <c r="N54" i="19"/>
  <c r="AA55" i="19"/>
  <c r="AA54" i="19"/>
  <c r="BL52" i="19"/>
  <c r="Q54" i="19"/>
  <c r="Q55" i="19"/>
  <c r="AQ55" i="19"/>
  <c r="AQ54" i="19"/>
  <c r="AN55" i="19"/>
  <c r="AN54" i="19"/>
  <c r="AS42" i="19"/>
  <c r="AS35" i="19"/>
  <c r="O55" i="19"/>
  <c r="O54" i="19"/>
  <c r="AH39" i="19"/>
  <c r="AI39" i="19" s="1"/>
  <c r="AH41" i="19"/>
  <c r="AI41" i="19" s="1"/>
  <c r="AH40" i="19"/>
  <c r="AI40" i="19" s="1"/>
  <c r="AH38" i="19"/>
  <c r="AI38" i="19" s="1"/>
  <c r="AH36" i="19"/>
  <c r="AI36" i="19" s="1"/>
  <c r="AH35" i="19"/>
  <c r="AH37" i="19"/>
  <c r="AI37" i="19" s="1"/>
  <c r="Z55" i="19"/>
  <c r="Z54" i="19"/>
  <c r="AX55" i="19"/>
  <c r="AX54" i="19"/>
  <c r="BE52" i="19"/>
  <c r="W38" i="19"/>
  <c r="BS36" i="19"/>
  <c r="BT36" i="19" s="1"/>
  <c r="R55" i="19"/>
  <c r="R54" i="19"/>
  <c r="AS52" i="19"/>
  <c r="U42" i="19"/>
  <c r="V52" i="19" s="1"/>
  <c r="Y53" i="19"/>
  <c r="AG53" i="19" s="1"/>
  <c r="AG45" i="19"/>
  <c r="AL55" i="19"/>
  <c r="AL54" i="19"/>
  <c r="BS40" i="19"/>
  <c r="BT40" i="19" s="1"/>
  <c r="BB55" i="19"/>
  <c r="BB54" i="19"/>
  <c r="AP55" i="19"/>
  <c r="AP54" i="19"/>
  <c r="BF41" i="19"/>
  <c r="BG41" i="19" s="1"/>
  <c r="BF39" i="19"/>
  <c r="BG39" i="19" s="1"/>
  <c r="BF40" i="19"/>
  <c r="BG40" i="19" s="1"/>
  <c r="BF37" i="19"/>
  <c r="BG37" i="19" s="1"/>
  <c r="BF38" i="19"/>
  <c r="BG38" i="19" s="1"/>
  <c r="BF36" i="19"/>
  <c r="BG36" i="19" s="1"/>
  <c r="CB1" i="19"/>
  <c r="CC1" i="19"/>
  <c r="BP48" i="19"/>
  <c r="BQ48" i="19" s="1"/>
  <c r="U48" i="19"/>
  <c r="AS48" i="19"/>
  <c r="P55" i="19"/>
  <c r="P54" i="19"/>
  <c r="BA54" i="19"/>
  <c r="BA55" i="19"/>
  <c r="BC55" i="19"/>
  <c r="BC54" i="19"/>
  <c r="BS37" i="19"/>
  <c r="BT37" i="19" s="1"/>
  <c r="AY55" i="19"/>
  <c r="AY54" i="19"/>
  <c r="AG42" i="19"/>
  <c r="AG35" i="19"/>
  <c r="AG52" i="19"/>
  <c r="AC54" i="19"/>
  <c r="AC55" i="19"/>
  <c r="AM55" i="19"/>
  <c r="AM54" i="19"/>
  <c r="AE55" i="19"/>
  <c r="AE54" i="19"/>
  <c r="S55" i="19"/>
  <c r="S54" i="19"/>
  <c r="M54" i="19"/>
  <c r="U50" i="19"/>
  <c r="M55" i="19"/>
  <c r="U53" i="19" l="1"/>
  <c r="CG1" i="19"/>
  <c r="AM57" i="19"/>
  <c r="AM59" i="19" s="1"/>
  <c r="AD57" i="19"/>
  <c r="AD59" i="19" s="1"/>
  <c r="AL57" i="19"/>
  <c r="AL59" i="19" s="1"/>
  <c r="R57" i="19"/>
  <c r="R59" i="19" s="1"/>
  <c r="BC57" i="19"/>
  <c r="BC59" i="19" s="1"/>
  <c r="AZ57" i="19"/>
  <c r="AZ59" i="19" s="1"/>
  <c r="BM42" i="19"/>
  <c r="AY57" i="19"/>
  <c r="AY59" i="19" s="1"/>
  <c r="BA57" i="19"/>
  <c r="BA59" i="19" s="1"/>
  <c r="BF42" i="19"/>
  <c r="BB57" i="19"/>
  <c r="BB59" i="19" s="1"/>
  <c r="BP50" i="19"/>
  <c r="BQ50" i="19" s="1"/>
  <c r="AU35" i="19"/>
  <c r="AQ57" i="19"/>
  <c r="AQ59" i="19" s="1"/>
  <c r="AE57" i="19"/>
  <c r="AE59" i="19" s="1"/>
  <c r="AI35" i="19"/>
  <c r="BP53" i="19"/>
  <c r="BU53" i="19" s="1"/>
  <c r="AC57" i="19"/>
  <c r="AC59" i="19" s="1"/>
  <c r="Z57" i="19"/>
  <c r="Z59" i="19" s="1"/>
  <c r="W42" i="19"/>
  <c r="Q57" i="19"/>
  <c r="Q59" i="19" s="1"/>
  <c r="S57" i="19"/>
  <c r="S59" i="19" s="1"/>
  <c r="U55" i="19"/>
  <c r="P57" i="19"/>
  <c r="P59" i="19" s="1"/>
  <c r="AH42" i="19"/>
  <c r="AT52" i="19"/>
  <c r="AA57" i="19"/>
  <c r="AA59" i="19" s="1"/>
  <c r="AO57" i="19"/>
  <c r="AO59" i="19" s="1"/>
  <c r="AK54" i="19"/>
  <c r="AS50" i="19"/>
  <c r="AK55" i="19"/>
  <c r="AS55" i="19" s="1"/>
  <c r="AI42" i="19"/>
  <c r="AP57" i="19"/>
  <c r="AP59" i="19" s="1"/>
  <c r="AN57" i="19"/>
  <c r="AN59" i="19" s="1"/>
  <c r="AW54" i="19"/>
  <c r="BE50" i="19"/>
  <c r="AW55" i="19"/>
  <c r="BE55" i="19" s="1"/>
  <c r="AB57" i="19"/>
  <c r="AB59" i="19" s="1"/>
  <c r="AT42" i="19"/>
  <c r="BI54" i="19"/>
  <c r="BL50" i="19"/>
  <c r="BI55" i="19"/>
  <c r="BL55" i="19" s="1"/>
  <c r="AH52" i="19"/>
  <c r="Y54" i="19"/>
  <c r="AG50" i="19"/>
  <c r="Y55" i="19"/>
  <c r="AG55" i="19" s="1"/>
  <c r="AX57" i="19"/>
  <c r="AX59" i="19" s="1"/>
  <c r="O57" i="19"/>
  <c r="O59" i="19" s="1"/>
  <c r="N57" i="19"/>
  <c r="N59" i="19" s="1"/>
  <c r="BN35" i="19"/>
  <c r="BN42" i="19" s="1"/>
  <c r="U54" i="19"/>
  <c r="M57" i="19"/>
  <c r="AU42" i="19"/>
  <c r="BG42" i="19"/>
  <c r="BS42" i="19"/>
  <c r="BS52" i="19" s="1"/>
  <c r="BP54" i="19" l="1"/>
  <c r="U57" i="19"/>
  <c r="M59" i="19"/>
  <c r="AS54" i="19"/>
  <c r="AK57" i="19"/>
  <c r="BQ42" i="19"/>
  <c r="BT42" i="19"/>
  <c r="BU35" i="19" s="1"/>
  <c r="AG54" i="19"/>
  <c r="Y57" i="19"/>
  <c r="BL54" i="19"/>
  <c r="BI57" i="19"/>
  <c r="BE54" i="19"/>
  <c r="AW57" i="19"/>
  <c r="BP55" i="19"/>
  <c r="BP57" i="19" l="1"/>
  <c r="BI59" i="19"/>
  <c r="BL59" i="19" s="1"/>
  <c r="BL57" i="19"/>
  <c r="AW59" i="19"/>
  <c r="BE59" i="19" s="1"/>
  <c r="BE57" i="19"/>
  <c r="Y59" i="19"/>
  <c r="AG59" i="19" s="1"/>
  <c r="AG57" i="19"/>
  <c r="U59" i="19"/>
  <c r="AK59" i="19"/>
  <c r="AS59" i="19" s="1"/>
  <c r="AS57" i="19"/>
  <c r="BP59" i="19" l="1"/>
  <c r="BU10" i="17" l="1"/>
  <c r="BX14" i="16" l="1"/>
  <c r="F41" i="18" l="1"/>
  <c r="G41" i="18"/>
  <c r="H41" i="18"/>
  <c r="I41" i="18"/>
  <c r="J41" i="18"/>
  <c r="J40" i="18"/>
  <c r="J39" i="18"/>
  <c r="J38" i="18"/>
  <c r="J37" i="18"/>
  <c r="J36" i="18"/>
  <c r="J35" i="18"/>
  <c r="J27" i="18"/>
  <c r="M27" i="18" s="1"/>
  <c r="J26" i="18"/>
  <c r="J25" i="18"/>
  <c r="J24" i="18"/>
  <c r="J23" i="18"/>
  <c r="M23" i="18" s="1"/>
  <c r="J22" i="18"/>
  <c r="J21" i="18"/>
  <c r="J17" i="18"/>
  <c r="M17" i="18" s="1"/>
  <c r="J16" i="18"/>
  <c r="J15" i="18"/>
  <c r="J14" i="18"/>
  <c r="J13" i="18"/>
  <c r="M13" i="18" s="1"/>
  <c r="J12" i="18"/>
  <c r="J11" i="18"/>
  <c r="J10" i="18"/>
  <c r="J9" i="18"/>
  <c r="M9" i="18" s="1"/>
  <c r="J8" i="18"/>
  <c r="BI4" i="18"/>
  <c r="BJ4" i="18"/>
  <c r="BK4" i="18"/>
  <c r="M8" i="18"/>
  <c r="M21" i="18"/>
  <c r="Z4" i="18"/>
  <c r="T59" i="18"/>
  <c r="E42" i="18"/>
  <c r="K39" i="18" s="1"/>
  <c r="I40" i="18"/>
  <c r="H40" i="18"/>
  <c r="G40" i="18"/>
  <c r="F40" i="18"/>
  <c r="I39" i="18"/>
  <c r="H39" i="18"/>
  <c r="G39" i="18"/>
  <c r="F39" i="18"/>
  <c r="I38" i="18"/>
  <c r="H38" i="18"/>
  <c r="G38" i="18"/>
  <c r="F38" i="18"/>
  <c r="I37" i="18"/>
  <c r="H37" i="18"/>
  <c r="G37" i="18"/>
  <c r="F37" i="18"/>
  <c r="I36" i="18"/>
  <c r="H36" i="18"/>
  <c r="G36" i="18"/>
  <c r="F36" i="18"/>
  <c r="I35" i="18"/>
  <c r="H35" i="18"/>
  <c r="G35" i="18"/>
  <c r="G42" i="18" s="1"/>
  <c r="F35" i="18"/>
  <c r="BQ31" i="18"/>
  <c r="E31" i="18"/>
  <c r="E33" i="18" s="1"/>
  <c r="BQ29" i="18"/>
  <c r="E29" i="18"/>
  <c r="BR27" i="18"/>
  <c r="K27" i="18"/>
  <c r="I27" i="18"/>
  <c r="H27" i="18"/>
  <c r="G27" i="18"/>
  <c r="F27" i="18"/>
  <c r="BR26" i="18"/>
  <c r="I26" i="18"/>
  <c r="H26" i="18"/>
  <c r="G26" i="18"/>
  <c r="F26" i="18"/>
  <c r="BY27" i="18"/>
  <c r="BR25" i="18"/>
  <c r="I25" i="18"/>
  <c r="H25" i="18"/>
  <c r="G25" i="18"/>
  <c r="F25" i="18"/>
  <c r="BR24" i="18"/>
  <c r="I24" i="18"/>
  <c r="H24" i="18"/>
  <c r="G24" i="18"/>
  <c r="F24" i="18"/>
  <c r="BR23" i="18"/>
  <c r="I23" i="18"/>
  <c r="H23" i="18"/>
  <c r="G23" i="18"/>
  <c r="F23" i="18"/>
  <c r="BY24" i="18"/>
  <c r="BR22" i="18"/>
  <c r="I22" i="18"/>
  <c r="H22" i="18"/>
  <c r="G22" i="18"/>
  <c r="F22" i="18"/>
  <c r="BV21" i="18"/>
  <c r="BR21" i="18"/>
  <c r="I21" i="18"/>
  <c r="H21" i="18"/>
  <c r="G21" i="18"/>
  <c r="F21" i="18"/>
  <c r="BQ19" i="18"/>
  <c r="E19" i="18"/>
  <c r="C19" i="18" s="1"/>
  <c r="BR17" i="18"/>
  <c r="I17" i="18"/>
  <c r="H17" i="18"/>
  <c r="G17" i="18"/>
  <c r="F17" i="18"/>
  <c r="BR16" i="18"/>
  <c r="BR15" i="18"/>
  <c r="I15" i="18"/>
  <c r="H15" i="18"/>
  <c r="G15" i="18"/>
  <c r="F15" i="18"/>
  <c r="BR14" i="18"/>
  <c r="I14" i="18"/>
  <c r="H14" i="18"/>
  <c r="G14" i="18"/>
  <c r="F14" i="18"/>
  <c r="BR13" i="18"/>
  <c r="I13" i="18"/>
  <c r="H13" i="18"/>
  <c r="G13" i="18"/>
  <c r="F13" i="18"/>
  <c r="BR12" i="18"/>
  <c r="I12" i="18"/>
  <c r="H12" i="18"/>
  <c r="G12" i="18"/>
  <c r="F12" i="18"/>
  <c r="BR11" i="18"/>
  <c r="I11" i="18"/>
  <c r="H11" i="18"/>
  <c r="G11" i="18"/>
  <c r="F11" i="18"/>
  <c r="BR10" i="18"/>
  <c r="I10" i="18"/>
  <c r="H10" i="18"/>
  <c r="G10" i="18"/>
  <c r="F10" i="18"/>
  <c r="BR9" i="18"/>
  <c r="I9" i="18"/>
  <c r="H9" i="18"/>
  <c r="G9" i="18"/>
  <c r="F9" i="18"/>
  <c r="BR8" i="18"/>
  <c r="I8" i="18"/>
  <c r="H8" i="18"/>
  <c r="G8" i="18"/>
  <c r="F8" i="18"/>
  <c r="BM4" i="18"/>
  <c r="BC4" i="18"/>
  <c r="BB4" i="18"/>
  <c r="BA4" i="18"/>
  <c r="AZ4" i="18"/>
  <c r="AY4" i="18"/>
  <c r="AX4" i="18"/>
  <c r="AW4" i="18"/>
  <c r="AQ4" i="18"/>
  <c r="AP4" i="18"/>
  <c r="AO4" i="18"/>
  <c r="AN4" i="18"/>
  <c r="AM4" i="18"/>
  <c r="AL4" i="18"/>
  <c r="AK4" i="18"/>
  <c r="AE4" i="18"/>
  <c r="AD4" i="18"/>
  <c r="AC4" i="18"/>
  <c r="AB4" i="18"/>
  <c r="AA4" i="18"/>
  <c r="Y4" i="18"/>
  <c r="S4" i="18"/>
  <c r="R4" i="18"/>
  <c r="Q4" i="18"/>
  <c r="P4" i="18"/>
  <c r="O4" i="18"/>
  <c r="N4" i="18"/>
  <c r="M4" i="18"/>
  <c r="BM3" i="18"/>
  <c r="BE3" i="18"/>
  <c r="AS3" i="18"/>
  <c r="U3" i="18"/>
  <c r="U4" i="18" s="1"/>
  <c r="M11" i="18" l="1"/>
  <c r="BK11" i="18"/>
  <c r="BJ11" i="18"/>
  <c r="BI11" i="18"/>
  <c r="BM11" i="18" s="1"/>
  <c r="BC11" i="18"/>
  <c r="BB11" i="18"/>
  <c r="BA11" i="18"/>
  <c r="AZ11" i="18"/>
  <c r="AY11" i="18"/>
  <c r="AX11" i="18"/>
  <c r="AQ11" i="18"/>
  <c r="AW11" i="18"/>
  <c r="AP11" i="18"/>
  <c r="AO11" i="18"/>
  <c r="AM11" i="18"/>
  <c r="AN11" i="18"/>
  <c r="AL11" i="18"/>
  <c r="AE11" i="18"/>
  <c r="AK11" i="18"/>
  <c r="AD11" i="18"/>
  <c r="AC11" i="18"/>
  <c r="AB11" i="18"/>
  <c r="AA11" i="18"/>
  <c r="Z11" i="18"/>
  <c r="S11" i="18"/>
  <c r="Y11" i="18"/>
  <c r="R11" i="18"/>
  <c r="Q11" i="18"/>
  <c r="P11" i="18"/>
  <c r="O11" i="18"/>
  <c r="N11" i="18"/>
  <c r="M15" i="18"/>
  <c r="BK15" i="18"/>
  <c r="BJ15" i="18"/>
  <c r="BI15" i="18"/>
  <c r="BC15" i="18"/>
  <c r="BB15" i="18"/>
  <c r="BA15" i="18"/>
  <c r="AZ15" i="18"/>
  <c r="AY15" i="18"/>
  <c r="BE15" i="18" s="1"/>
  <c r="AX15" i="18"/>
  <c r="AQ15" i="18"/>
  <c r="AW15" i="18"/>
  <c r="AP15" i="18"/>
  <c r="AO15" i="18"/>
  <c r="AM15" i="18"/>
  <c r="AN15" i="18"/>
  <c r="AL15" i="18"/>
  <c r="AS15" i="18" s="1"/>
  <c r="AE15" i="18"/>
  <c r="AK15" i="18"/>
  <c r="AD15" i="18"/>
  <c r="AC15" i="18"/>
  <c r="AB15" i="18"/>
  <c r="AA15" i="18"/>
  <c r="Z15" i="18"/>
  <c r="Y15" i="18"/>
  <c r="S15" i="18"/>
  <c r="R15" i="18"/>
  <c r="Q15" i="18"/>
  <c r="P15" i="18"/>
  <c r="O15" i="18"/>
  <c r="N15" i="18"/>
  <c r="M22" i="18"/>
  <c r="BK22" i="18"/>
  <c r="BM22" i="18" s="1"/>
  <c r="BJ22" i="18"/>
  <c r="BI22" i="18"/>
  <c r="BC22" i="18"/>
  <c r="BB22" i="18"/>
  <c r="BA22" i="18"/>
  <c r="AZ22" i="18"/>
  <c r="AY22" i="18"/>
  <c r="AX22" i="18"/>
  <c r="AQ22" i="18"/>
  <c r="AW22" i="18"/>
  <c r="AP22" i="18"/>
  <c r="AO22" i="18"/>
  <c r="AN22" i="18"/>
  <c r="AM22" i="18"/>
  <c r="AL22" i="18"/>
  <c r="AK22" i="18"/>
  <c r="AE22" i="18"/>
  <c r="AD22" i="18"/>
  <c r="AC22" i="18"/>
  <c r="AB22" i="18"/>
  <c r="AA22" i="18"/>
  <c r="Z22" i="18"/>
  <c r="S22" i="18"/>
  <c r="Y22" i="18"/>
  <c r="AG22" i="18" s="1"/>
  <c r="R22" i="18"/>
  <c r="Q22" i="18"/>
  <c r="P22" i="18"/>
  <c r="O22" i="18"/>
  <c r="BT22" i="18" s="1"/>
  <c r="BU22" i="18" s="1"/>
  <c r="N22" i="18"/>
  <c r="M26" i="18"/>
  <c r="BK26" i="18"/>
  <c r="BJ26" i="18"/>
  <c r="BI26" i="18"/>
  <c r="BC26" i="18"/>
  <c r="BB26" i="18"/>
  <c r="BA26" i="18"/>
  <c r="BE26" i="18" s="1"/>
  <c r="AZ26" i="18"/>
  <c r="AY26" i="18"/>
  <c r="AX26" i="18"/>
  <c r="AQ26" i="18"/>
  <c r="AW26" i="18"/>
  <c r="AP26" i="18"/>
  <c r="AO26" i="18"/>
  <c r="AN26" i="18"/>
  <c r="AS26" i="18" s="1"/>
  <c r="AM26" i="18"/>
  <c r="AL26" i="18"/>
  <c r="AK26" i="18"/>
  <c r="AE26" i="18"/>
  <c r="AD26" i="18"/>
  <c r="AC26" i="18"/>
  <c r="AB26" i="18"/>
  <c r="AA26" i="18"/>
  <c r="Z26" i="18"/>
  <c r="S26" i="18"/>
  <c r="Y26" i="18"/>
  <c r="R26" i="18"/>
  <c r="Q26" i="18"/>
  <c r="P26" i="18"/>
  <c r="O26" i="18"/>
  <c r="N26" i="18"/>
  <c r="U26" i="18" s="1"/>
  <c r="BK10" i="18"/>
  <c r="BJ10" i="18"/>
  <c r="BC10" i="18"/>
  <c r="BI10" i="18"/>
  <c r="BM10" i="18" s="1"/>
  <c r="BB10" i="18"/>
  <c r="BA10" i="18"/>
  <c r="AY10" i="18"/>
  <c r="AZ10" i="18"/>
  <c r="BE10" i="18" s="1"/>
  <c r="AX10" i="18"/>
  <c r="AW10" i="18"/>
  <c r="AQ10" i="18"/>
  <c r="AP10" i="18"/>
  <c r="AO10" i="18"/>
  <c r="AN10" i="18"/>
  <c r="AM10" i="18"/>
  <c r="AL10" i="18"/>
  <c r="AS10" i="18" s="1"/>
  <c r="AE10" i="18"/>
  <c r="AK10" i="18"/>
  <c r="AD10" i="18"/>
  <c r="AC10" i="18"/>
  <c r="AB10" i="18"/>
  <c r="AA10" i="18"/>
  <c r="Z10" i="18"/>
  <c r="S10" i="18"/>
  <c r="Y10" i="18"/>
  <c r="R10" i="18"/>
  <c r="Q10" i="18"/>
  <c r="P10" i="18"/>
  <c r="O10" i="18"/>
  <c r="M14" i="18"/>
  <c r="BK14" i="18"/>
  <c r="BJ14" i="18"/>
  <c r="BM14" i="18" s="1"/>
  <c r="BC14" i="18"/>
  <c r="BI14" i="18"/>
  <c r="BB14" i="18"/>
  <c r="BA14" i="18"/>
  <c r="AY14" i="18"/>
  <c r="AZ14" i="18"/>
  <c r="AX14" i="18"/>
  <c r="AW14" i="18"/>
  <c r="AQ14" i="18"/>
  <c r="AP14" i="18"/>
  <c r="AO14" i="18"/>
  <c r="AN14" i="18"/>
  <c r="AM14" i="18"/>
  <c r="AL14" i="18"/>
  <c r="AE14" i="18"/>
  <c r="AK14" i="18"/>
  <c r="AD14" i="18"/>
  <c r="AC14" i="18"/>
  <c r="AB14" i="18"/>
  <c r="AA14" i="18"/>
  <c r="AG14" i="18" s="1"/>
  <c r="Z14" i="18"/>
  <c r="S14" i="18"/>
  <c r="Y14" i="18"/>
  <c r="R14" i="18"/>
  <c r="Q14" i="18"/>
  <c r="BK21" i="18"/>
  <c r="BJ21" i="18"/>
  <c r="BI21" i="18"/>
  <c r="BC21" i="18"/>
  <c r="BB21" i="18"/>
  <c r="BA21" i="18"/>
  <c r="AZ21" i="18"/>
  <c r="AY21" i="18"/>
  <c r="AX21" i="18"/>
  <c r="AW21" i="18"/>
  <c r="AQ21" i="18"/>
  <c r="AP21" i="18"/>
  <c r="AO21" i="18"/>
  <c r="AM21" i="18"/>
  <c r="AN21" i="18"/>
  <c r="AL21" i="18"/>
  <c r="AE21" i="18"/>
  <c r="AK21" i="18"/>
  <c r="AD21" i="18"/>
  <c r="AC21" i="18"/>
  <c r="AB21" i="18"/>
  <c r="AA21" i="18"/>
  <c r="Z21" i="18"/>
  <c r="Y21" i="18"/>
  <c r="S21" i="18"/>
  <c r="R21" i="18"/>
  <c r="Q21" i="18"/>
  <c r="BT21" i="18" s="1"/>
  <c r="P21" i="18"/>
  <c r="O21" i="18"/>
  <c r="N21" i="18"/>
  <c r="BK25" i="18"/>
  <c r="BM25" i="18" s="1"/>
  <c r="BJ25" i="18"/>
  <c r="BC25" i="18"/>
  <c r="BI25" i="18"/>
  <c r="BB25" i="18"/>
  <c r="BA25" i="18"/>
  <c r="AZ25" i="18"/>
  <c r="AY25" i="18"/>
  <c r="AX25" i="18"/>
  <c r="BE25" i="18" s="1"/>
  <c r="AW25" i="18"/>
  <c r="AQ25" i="18"/>
  <c r="AP25" i="18"/>
  <c r="AO25" i="18"/>
  <c r="AS25" i="18" s="1"/>
  <c r="AM25" i="18"/>
  <c r="AN25" i="18"/>
  <c r="AL25" i="18"/>
  <c r="AE25" i="18"/>
  <c r="AK25" i="18"/>
  <c r="AD25" i="18"/>
  <c r="AC25" i="18"/>
  <c r="AB25" i="18"/>
  <c r="AA25" i="18"/>
  <c r="Z25" i="18"/>
  <c r="S25" i="18"/>
  <c r="Y25" i="18"/>
  <c r="R25" i="18"/>
  <c r="Q25" i="18"/>
  <c r="P25" i="18"/>
  <c r="O25" i="18"/>
  <c r="N25" i="18"/>
  <c r="BK9" i="18"/>
  <c r="BJ9" i="18"/>
  <c r="BI9" i="18"/>
  <c r="BC9" i="18"/>
  <c r="BB9" i="18"/>
  <c r="BA9" i="18"/>
  <c r="AZ9" i="18"/>
  <c r="AY9" i="18"/>
  <c r="AX9" i="18"/>
  <c r="AQ9" i="18"/>
  <c r="AW9" i="18"/>
  <c r="BE9" i="18" s="1"/>
  <c r="AP9" i="18"/>
  <c r="AO9" i="18"/>
  <c r="AM9" i="18"/>
  <c r="AN9" i="18"/>
  <c r="AL9" i="18"/>
  <c r="AE9" i="18"/>
  <c r="AK9" i="18"/>
  <c r="AD9" i="18"/>
  <c r="AC9" i="18"/>
  <c r="AB9" i="18"/>
  <c r="AA9" i="18"/>
  <c r="Z9" i="18"/>
  <c r="Y9" i="18"/>
  <c r="S9" i="18"/>
  <c r="R9" i="18"/>
  <c r="Q9" i="18"/>
  <c r="U9" i="18" s="1"/>
  <c r="P9" i="18"/>
  <c r="O9" i="18"/>
  <c r="N9" i="18"/>
  <c r="BK13" i="18"/>
  <c r="BJ13" i="18"/>
  <c r="BC13" i="18"/>
  <c r="BI13" i="18"/>
  <c r="BB13" i="18"/>
  <c r="BA13" i="18"/>
  <c r="AZ13" i="18"/>
  <c r="AY13" i="18"/>
  <c r="AX13" i="18"/>
  <c r="AQ13" i="18"/>
  <c r="AW13" i="18"/>
  <c r="AP13" i="18"/>
  <c r="AO13" i="18"/>
  <c r="AM13" i="18"/>
  <c r="AN13" i="18"/>
  <c r="AL13" i="18"/>
  <c r="AE13" i="18"/>
  <c r="AK13" i="18"/>
  <c r="AD13" i="18"/>
  <c r="AC13" i="18"/>
  <c r="AB13" i="18"/>
  <c r="AG13" i="18" s="1"/>
  <c r="AA13" i="18"/>
  <c r="Z13" i="18"/>
  <c r="Y13" i="18"/>
  <c r="S13" i="18"/>
  <c r="R13" i="18"/>
  <c r="Q13" i="18"/>
  <c r="P13" i="18"/>
  <c r="O13" i="18"/>
  <c r="N13" i="18"/>
  <c r="BK17" i="18"/>
  <c r="BJ17" i="18"/>
  <c r="BC17" i="18"/>
  <c r="BI17" i="18"/>
  <c r="BB17" i="18"/>
  <c r="BA17" i="18"/>
  <c r="AZ17" i="18"/>
  <c r="AY17" i="18"/>
  <c r="AX17" i="18"/>
  <c r="AW17" i="18"/>
  <c r="AQ17" i="18"/>
  <c r="AP17" i="18"/>
  <c r="AO17" i="18"/>
  <c r="AM17" i="18"/>
  <c r="AN17" i="18"/>
  <c r="AS17" i="18" s="1"/>
  <c r="AL17" i="18"/>
  <c r="AE17" i="18"/>
  <c r="AK17" i="18"/>
  <c r="AD17" i="18"/>
  <c r="AC17" i="18"/>
  <c r="AB17" i="18"/>
  <c r="AA17" i="18"/>
  <c r="Z17" i="18"/>
  <c r="S17" i="18"/>
  <c r="Y17" i="18"/>
  <c r="R17" i="18"/>
  <c r="Q17" i="18"/>
  <c r="P17" i="18"/>
  <c r="O17" i="18"/>
  <c r="N17" i="18"/>
  <c r="M24" i="18"/>
  <c r="BK24" i="18"/>
  <c r="BJ24" i="18"/>
  <c r="BC24" i="18"/>
  <c r="BI24" i="18"/>
  <c r="BB24" i="18"/>
  <c r="BA24" i="18"/>
  <c r="AZ24" i="18"/>
  <c r="AY24" i="18"/>
  <c r="BE24" i="18" s="1"/>
  <c r="AX24" i="18"/>
  <c r="AQ24" i="18"/>
  <c r="AW24" i="18"/>
  <c r="AP24" i="18"/>
  <c r="AO24" i="18"/>
  <c r="AN24" i="18"/>
  <c r="AM24" i="18"/>
  <c r="AL24" i="18"/>
  <c r="AE24" i="18"/>
  <c r="AK24" i="18"/>
  <c r="AD24" i="18"/>
  <c r="AC24" i="18"/>
  <c r="AG24" i="18" s="1"/>
  <c r="AB24" i="18"/>
  <c r="AA24" i="18"/>
  <c r="Z24" i="18"/>
  <c r="S24" i="18"/>
  <c r="Y24" i="18"/>
  <c r="R24" i="18"/>
  <c r="Q24" i="18"/>
  <c r="P24" i="18"/>
  <c r="O24" i="18"/>
  <c r="N24" i="18"/>
  <c r="M10" i="18"/>
  <c r="BK8" i="18"/>
  <c r="BK19" i="18" s="1"/>
  <c r="BJ8" i="18"/>
  <c r="BC8" i="18"/>
  <c r="BI8" i="18"/>
  <c r="BB8" i="18"/>
  <c r="BA8" i="18"/>
  <c r="AY8" i="18"/>
  <c r="AZ8" i="18"/>
  <c r="AX8" i="18"/>
  <c r="AW8" i="18"/>
  <c r="AQ8" i="18"/>
  <c r="AP8" i="18"/>
  <c r="AO8" i="18"/>
  <c r="AN8" i="18"/>
  <c r="AM8" i="18"/>
  <c r="AL8" i="18"/>
  <c r="AK8" i="18"/>
  <c r="AS8" i="18" s="1"/>
  <c r="AE8" i="18"/>
  <c r="AD8" i="18"/>
  <c r="AC8" i="18"/>
  <c r="AB8" i="18"/>
  <c r="AA8" i="18"/>
  <c r="Z8" i="18"/>
  <c r="Y8" i="18"/>
  <c r="S8" i="18"/>
  <c r="S19" i="18" s="1"/>
  <c r="R8" i="18"/>
  <c r="Q8" i="18"/>
  <c r="P8" i="18"/>
  <c r="O8" i="18"/>
  <c r="N8" i="18"/>
  <c r="M12" i="18"/>
  <c r="BK12" i="18"/>
  <c r="BJ12" i="18"/>
  <c r="BI12" i="18"/>
  <c r="BC12" i="18"/>
  <c r="BB12" i="18"/>
  <c r="BA12" i="18"/>
  <c r="BE12" i="18" s="1"/>
  <c r="AY12" i="18"/>
  <c r="AZ12" i="18"/>
  <c r="AX12" i="18"/>
  <c r="AQ12" i="18"/>
  <c r="AW12" i="18"/>
  <c r="AP12" i="18"/>
  <c r="AO12" i="18"/>
  <c r="AN12" i="18"/>
  <c r="AS12" i="18" s="1"/>
  <c r="AM12" i="18"/>
  <c r="AL12" i="18"/>
  <c r="AK12" i="18"/>
  <c r="AE12" i="18"/>
  <c r="AD12" i="18"/>
  <c r="AC12" i="18"/>
  <c r="AB12" i="18"/>
  <c r="AA12" i="18"/>
  <c r="Z12" i="18"/>
  <c r="Y12" i="18"/>
  <c r="S12" i="18"/>
  <c r="R12" i="18"/>
  <c r="Q12" i="18"/>
  <c r="P12" i="18"/>
  <c r="O12" i="18"/>
  <c r="N12" i="18"/>
  <c r="BT12" i="18" s="1"/>
  <c r="BU12" i="18" s="1"/>
  <c r="M16" i="18"/>
  <c r="BK16" i="18"/>
  <c r="BJ16" i="18"/>
  <c r="BC16" i="18"/>
  <c r="BI16" i="18"/>
  <c r="BB16" i="18"/>
  <c r="BA16" i="18"/>
  <c r="AY16" i="18"/>
  <c r="BE16" i="18" s="1"/>
  <c r="AZ16" i="18"/>
  <c r="AX16" i="18"/>
  <c r="AW16" i="18"/>
  <c r="AQ16" i="18"/>
  <c r="AP16" i="18"/>
  <c r="AO16" i="18"/>
  <c r="AN16" i="18"/>
  <c r="AM16" i="18"/>
  <c r="AS16" i="18" s="1"/>
  <c r="AL16" i="18"/>
  <c r="AK16" i="18"/>
  <c r="AE16" i="18"/>
  <c r="AD16" i="18"/>
  <c r="AC16" i="18"/>
  <c r="AB16" i="18"/>
  <c r="AA16" i="18"/>
  <c r="Z16" i="18"/>
  <c r="AG16" i="18" s="1"/>
  <c r="Y16" i="18"/>
  <c r="S16" i="18"/>
  <c r="R16" i="18"/>
  <c r="Q16" i="18"/>
  <c r="U16" i="18" s="1"/>
  <c r="P16" i="18"/>
  <c r="O16" i="18"/>
  <c r="N16" i="18"/>
  <c r="BK23" i="18"/>
  <c r="BJ23" i="18"/>
  <c r="BI23" i="18"/>
  <c r="BC23" i="18"/>
  <c r="BB23" i="18"/>
  <c r="BA23" i="18"/>
  <c r="AZ23" i="18"/>
  <c r="AY23" i="18"/>
  <c r="AX23" i="18"/>
  <c r="AQ23" i="18"/>
  <c r="AW23" i="18"/>
  <c r="AP23" i="18"/>
  <c r="AO23" i="18"/>
  <c r="AM23" i="18"/>
  <c r="AN23" i="18"/>
  <c r="AL23" i="18"/>
  <c r="AE23" i="18"/>
  <c r="AK23" i="18"/>
  <c r="AD23" i="18"/>
  <c r="AC23" i="18"/>
  <c r="AB23" i="18"/>
  <c r="AA23" i="18"/>
  <c r="Z23" i="18"/>
  <c r="Y23" i="18"/>
  <c r="S23" i="18"/>
  <c r="R23" i="18"/>
  <c r="Q23" i="18"/>
  <c r="P23" i="18"/>
  <c r="O23" i="18"/>
  <c r="N23" i="18"/>
  <c r="BK27" i="18"/>
  <c r="BJ27" i="18"/>
  <c r="BC27" i="18"/>
  <c r="BI27" i="18"/>
  <c r="BB27" i="18"/>
  <c r="BA27" i="18"/>
  <c r="AZ27" i="18"/>
  <c r="AY27" i="18"/>
  <c r="AX27" i="18"/>
  <c r="AW27" i="18"/>
  <c r="AQ27" i="18"/>
  <c r="AP27" i="18"/>
  <c r="AO27" i="18"/>
  <c r="AM27" i="18"/>
  <c r="AN27" i="18"/>
  <c r="AL27" i="18"/>
  <c r="AK27" i="18"/>
  <c r="AE27" i="18"/>
  <c r="AD27" i="18"/>
  <c r="AC27" i="18"/>
  <c r="AB27" i="18"/>
  <c r="AA27" i="18"/>
  <c r="Z27" i="18"/>
  <c r="Y27" i="18"/>
  <c r="S27" i="18"/>
  <c r="R27" i="18"/>
  <c r="Q27" i="18"/>
  <c r="P27" i="18"/>
  <c r="O27" i="18"/>
  <c r="N27" i="18"/>
  <c r="M25" i="18"/>
  <c r="M31" i="18" s="1"/>
  <c r="M33" i="18" s="1"/>
  <c r="P14" i="18"/>
  <c r="O14" i="18"/>
  <c r="N14" i="18"/>
  <c r="K8" i="18"/>
  <c r="BN8" i="18" s="1"/>
  <c r="K13" i="18"/>
  <c r="AT13" i="18" s="1"/>
  <c r="K10" i="18"/>
  <c r="BN10" i="18" s="1"/>
  <c r="K12" i="18"/>
  <c r="BF12" i="18" s="1"/>
  <c r="K15" i="18"/>
  <c r="BN15" i="18" s="1"/>
  <c r="K23" i="18"/>
  <c r="V23" i="18" s="1"/>
  <c r="K26" i="18"/>
  <c r="V26" i="18" s="1"/>
  <c r="BR31" i="18"/>
  <c r="K9" i="18"/>
  <c r="BF9" i="18" s="1"/>
  <c r="K17" i="18"/>
  <c r="V17" i="18" s="1"/>
  <c r="BR19" i="18"/>
  <c r="K22" i="18"/>
  <c r="BF22" i="18" s="1"/>
  <c r="K25" i="18"/>
  <c r="BN25" i="18" s="1"/>
  <c r="K11" i="18"/>
  <c r="BN11" i="18" s="1"/>
  <c r="K14" i="18"/>
  <c r="AT14" i="18" s="1"/>
  <c r="K16" i="18"/>
  <c r="BN16" i="18" s="1"/>
  <c r="K21" i="18"/>
  <c r="BF21" i="18" s="1"/>
  <c r="N10" i="18"/>
  <c r="J31" i="18"/>
  <c r="J33" i="18" s="1"/>
  <c r="BT1" i="18"/>
  <c r="CA29" i="18" s="1"/>
  <c r="K37" i="18"/>
  <c r="I42" i="18"/>
  <c r="K38" i="18"/>
  <c r="K41" i="18"/>
  <c r="K36" i="18"/>
  <c r="K35" i="18"/>
  <c r="G29" i="18"/>
  <c r="H31" i="18"/>
  <c r="H33" i="18" s="1"/>
  <c r="K24" i="18"/>
  <c r="AT24" i="18" s="1"/>
  <c r="BR29" i="18"/>
  <c r="AG4" i="18"/>
  <c r="AS4" i="18"/>
  <c r="BN27" i="18"/>
  <c r="BN13" i="18"/>
  <c r="I31" i="18"/>
  <c r="I19" i="18"/>
  <c r="BT3" i="18"/>
  <c r="J3" i="18" s="1"/>
  <c r="AG3" i="18"/>
  <c r="BM15" i="18"/>
  <c r="AT27" i="18"/>
  <c r="BT4" i="18"/>
  <c r="BE4" i="18"/>
  <c r="BF27" i="18"/>
  <c r="BF23" i="18"/>
  <c r="BF8" i="18"/>
  <c r="G19" i="18"/>
  <c r="H19" i="18"/>
  <c r="H29" i="18"/>
  <c r="V27" i="18"/>
  <c r="F31" i="18"/>
  <c r="V14" i="18"/>
  <c r="F19" i="18"/>
  <c r="J19" i="18"/>
  <c r="I29" i="18"/>
  <c r="G31" i="18"/>
  <c r="AG17" i="18"/>
  <c r="F29" i="18"/>
  <c r="J29" i="18"/>
  <c r="H42" i="18"/>
  <c r="C29" i="18"/>
  <c r="E52" i="18"/>
  <c r="J52" i="18" s="1"/>
  <c r="E47" i="18"/>
  <c r="J47" i="18" s="1"/>
  <c r="F42" i="18"/>
  <c r="J42" i="18"/>
  <c r="BQ42" i="18" s="1"/>
  <c r="K40" i="18"/>
  <c r="E44" i="18"/>
  <c r="BT24" i="18" l="1"/>
  <c r="BU24" i="18" s="1"/>
  <c r="AG25" i="18"/>
  <c r="BT26" i="18"/>
  <c r="BU26" i="18" s="1"/>
  <c r="U17" i="18"/>
  <c r="BE17" i="18"/>
  <c r="BT13" i="18"/>
  <c r="BU13" i="18" s="1"/>
  <c r="AS24" i="18"/>
  <c r="BT16" i="18"/>
  <c r="BU16" i="18" s="1"/>
  <c r="V15" i="18"/>
  <c r="V9" i="18"/>
  <c r="BO16" i="18"/>
  <c r="BM13" i="18"/>
  <c r="BO13" i="18" s="1"/>
  <c r="BN9" i="18"/>
  <c r="BN14" i="18"/>
  <c r="BM27" i="18"/>
  <c r="BJ29" i="18"/>
  <c r="BM16" i="18"/>
  <c r="BM12" i="18"/>
  <c r="BM26" i="18"/>
  <c r="BN3" i="18"/>
  <c r="BF3" i="18"/>
  <c r="AT3" i="18"/>
  <c r="AH3" i="18"/>
  <c r="V3" i="18"/>
  <c r="AK31" i="18"/>
  <c r="AK33" i="18" s="1"/>
  <c r="AK19" i="18"/>
  <c r="AO19" i="18"/>
  <c r="AO31" i="18"/>
  <c r="AO33" i="18" s="1"/>
  <c r="AX31" i="18"/>
  <c r="AX33" i="18" s="1"/>
  <c r="AX19" i="18"/>
  <c r="BB31" i="18"/>
  <c r="BB33" i="18" s="1"/>
  <c r="BB19" i="18"/>
  <c r="AB31" i="18"/>
  <c r="AB33" i="18" s="1"/>
  <c r="BK31" i="18"/>
  <c r="BK33" i="18" s="1"/>
  <c r="Q29" i="18"/>
  <c r="AN29" i="18"/>
  <c r="AQ29" i="18"/>
  <c r="AZ29" i="18"/>
  <c r="S31" i="18"/>
  <c r="S33" i="18" s="1"/>
  <c r="AC19" i="18"/>
  <c r="R29" i="18"/>
  <c r="R19" i="18"/>
  <c r="R31" i="18"/>
  <c r="R33" i="18" s="1"/>
  <c r="R45" i="18" s="1"/>
  <c r="R50" i="18" s="1"/>
  <c r="AE31" i="18"/>
  <c r="AE33" i="18" s="1"/>
  <c r="AE19" i="18"/>
  <c r="AN19" i="18"/>
  <c r="AN31" i="18"/>
  <c r="AN33" i="18" s="1"/>
  <c r="AW31" i="18"/>
  <c r="AW33" i="18" s="1"/>
  <c r="AW19" i="18"/>
  <c r="BF14" i="18"/>
  <c r="AA19" i="18"/>
  <c r="BA19" i="18"/>
  <c r="BJ31" i="18"/>
  <c r="BJ33" i="18" s="1"/>
  <c r="Z29" i="18"/>
  <c r="BC29" i="18"/>
  <c r="BA31" i="18"/>
  <c r="BA33" i="18" s="1"/>
  <c r="BJ19" i="18"/>
  <c r="P29" i="18"/>
  <c r="Y29" i="18"/>
  <c r="AC29" i="18"/>
  <c r="AL29" i="18"/>
  <c r="AP29" i="18"/>
  <c r="AY29" i="18"/>
  <c r="AD29" i="18"/>
  <c r="BI29" i="18"/>
  <c r="Y31" i="18"/>
  <c r="Y33" i="18" s="1"/>
  <c r="AB19" i="18"/>
  <c r="BK47" i="18"/>
  <c r="BJ47" i="18"/>
  <c r="BI47" i="18"/>
  <c r="BC47" i="18"/>
  <c r="BB47" i="18"/>
  <c r="BA47" i="18"/>
  <c r="AZ47" i="18"/>
  <c r="AY47" i="18"/>
  <c r="AX47" i="18"/>
  <c r="AW47" i="18"/>
  <c r="AQ47" i="18"/>
  <c r="AO47" i="18"/>
  <c r="AP47" i="18"/>
  <c r="AN47" i="18"/>
  <c r="AM47" i="18"/>
  <c r="AL47" i="18"/>
  <c r="AK47" i="18"/>
  <c r="AE47" i="18"/>
  <c r="AD47" i="18"/>
  <c r="AC47" i="18"/>
  <c r="AB47" i="18"/>
  <c r="AA47" i="18"/>
  <c r="Z47" i="18"/>
  <c r="S47" i="18"/>
  <c r="Y47" i="18"/>
  <c r="R47" i="18"/>
  <c r="Q47" i="18"/>
  <c r="AD19" i="18"/>
  <c r="AD31" i="18"/>
  <c r="AD33" i="18" s="1"/>
  <c r="AD52" i="18" s="1"/>
  <c r="AM31" i="18"/>
  <c r="AM33" i="18" s="1"/>
  <c r="AM19" i="18"/>
  <c r="AQ31" i="18"/>
  <c r="AQ33" i="18" s="1"/>
  <c r="AQ19" i="18"/>
  <c r="V16" i="18"/>
  <c r="BM23" i="18"/>
  <c r="Q19" i="18"/>
  <c r="Z31" i="18"/>
  <c r="Z33" i="18" s="1"/>
  <c r="AY31" i="18"/>
  <c r="AY33" i="18" s="1"/>
  <c r="BC31" i="18"/>
  <c r="BC33" i="18" s="1"/>
  <c r="BM24" i="18"/>
  <c r="BM9" i="18"/>
  <c r="BO9" i="18" s="1"/>
  <c r="O29" i="18"/>
  <c r="S29" i="18"/>
  <c r="AB29" i="18"/>
  <c r="AE29" i="18"/>
  <c r="AX29" i="18"/>
  <c r="BB29" i="18"/>
  <c r="BK29" i="18"/>
  <c r="AA31" i="18"/>
  <c r="AA33" i="18" s="1"/>
  <c r="AA52" i="18" s="1"/>
  <c r="BX4" i="18"/>
  <c r="BY4" i="18" s="1"/>
  <c r="BZ4" i="18" s="1"/>
  <c r="AL31" i="18"/>
  <c r="AL33" i="18" s="1"/>
  <c r="AL19" i="18"/>
  <c r="AZ31" i="18"/>
  <c r="AZ33" i="18" s="1"/>
  <c r="AZ52" i="18" s="1"/>
  <c r="AZ19" i="18"/>
  <c r="BI31" i="18"/>
  <c r="BI33" i="18" s="1"/>
  <c r="BI19" i="18"/>
  <c r="BM8" i="18"/>
  <c r="BO8" i="18" s="1"/>
  <c r="BF16" i="18"/>
  <c r="BN22" i="18"/>
  <c r="AT16" i="18"/>
  <c r="AU16" i="18" s="1"/>
  <c r="V8" i="18"/>
  <c r="Y19" i="18"/>
  <c r="AC31" i="18"/>
  <c r="AC33" i="18" s="1"/>
  <c r="AP19" i="18"/>
  <c r="BM17" i="18"/>
  <c r="BM19" i="18" s="1"/>
  <c r="AP31" i="18"/>
  <c r="AP33" i="18" s="1"/>
  <c r="AP52" i="18" s="1"/>
  <c r="AY19" i="18"/>
  <c r="N29" i="18"/>
  <c r="AA29" i="18"/>
  <c r="AK29" i="18"/>
  <c r="AM29" i="18"/>
  <c r="AW29" i="18"/>
  <c r="BA29" i="18"/>
  <c r="Q31" i="18"/>
  <c r="Q33" i="18" s="1"/>
  <c r="Q38" i="18" s="1"/>
  <c r="Z19" i="18"/>
  <c r="BC19" i="18"/>
  <c r="AO29" i="18"/>
  <c r="BO11" i="18"/>
  <c r="R39" i="18"/>
  <c r="R40" i="18"/>
  <c r="R41" i="18"/>
  <c r="R36" i="18"/>
  <c r="R38" i="18"/>
  <c r="Q40" i="18"/>
  <c r="Q39" i="18"/>
  <c r="AT10" i="18"/>
  <c r="AU10" i="18" s="1"/>
  <c r="BF25" i="18"/>
  <c r="AT21" i="18"/>
  <c r="AT9" i="18"/>
  <c r="BN21" i="18"/>
  <c r="V25" i="18"/>
  <c r="AT23" i="18"/>
  <c r="AT8" i="18"/>
  <c r="AU8" i="18" s="1"/>
  <c r="BN26" i="18"/>
  <c r="BO26" i="18" s="1"/>
  <c r="O19" i="18"/>
  <c r="O31" i="18"/>
  <c r="O33" i="18" s="1"/>
  <c r="BF26" i="18"/>
  <c r="BG26" i="18" s="1"/>
  <c r="V11" i="18"/>
  <c r="P31" i="18"/>
  <c r="P33" i="18" s="1"/>
  <c r="P19" i="18"/>
  <c r="V21" i="18"/>
  <c r="BF11" i="18"/>
  <c r="BF13" i="18"/>
  <c r="AT26" i="18"/>
  <c r="AU26" i="18" s="1"/>
  <c r="AT25" i="18"/>
  <c r="AU25" i="18" s="1"/>
  <c r="V13" i="18"/>
  <c r="P47" i="18"/>
  <c r="O47" i="18"/>
  <c r="V10" i="18"/>
  <c r="BF10" i="18"/>
  <c r="BG10" i="18" s="1"/>
  <c r="BF17" i="18"/>
  <c r="BG17" i="18" s="1"/>
  <c r="AT22" i="18"/>
  <c r="AT11" i="18"/>
  <c r="BN23" i="18"/>
  <c r="BO23" i="18" s="1"/>
  <c r="BN24" i="18"/>
  <c r="BF15" i="18"/>
  <c r="BG15" i="18" s="1"/>
  <c r="K29" i="18"/>
  <c r="N47" i="18"/>
  <c r="J48" i="18"/>
  <c r="V22" i="18"/>
  <c r="AT15" i="18"/>
  <c r="AU15" i="18" s="1"/>
  <c r="AT12" i="18"/>
  <c r="AU12" i="18" s="1"/>
  <c r="BN12" i="18"/>
  <c r="BO12" i="18" s="1"/>
  <c r="V12" i="18"/>
  <c r="N31" i="18"/>
  <c r="N33" i="18" s="1"/>
  <c r="N19" i="18"/>
  <c r="V24" i="18"/>
  <c r="K19" i="18"/>
  <c r="BF24" i="18"/>
  <c r="BG24" i="18" s="1"/>
  <c r="AT17" i="18"/>
  <c r="AU17" i="18" s="1"/>
  <c r="BN17" i="18"/>
  <c r="BX2" i="18"/>
  <c r="W9" i="18"/>
  <c r="W26" i="18"/>
  <c r="CA37" i="18"/>
  <c r="CA35" i="18"/>
  <c r="CA36" i="18"/>
  <c r="CA34" i="18"/>
  <c r="H44" i="18"/>
  <c r="W16" i="18"/>
  <c r="W17" i="18"/>
  <c r="BO14" i="18"/>
  <c r="K31" i="18"/>
  <c r="BK52" i="18"/>
  <c r="AH4" i="18"/>
  <c r="AI5" i="18" s="1"/>
  <c r="M52" i="18"/>
  <c r="M41" i="18"/>
  <c r="M39" i="18"/>
  <c r="M40" i="18"/>
  <c r="M37" i="18"/>
  <c r="M38" i="18"/>
  <c r="M36" i="18"/>
  <c r="M35" i="18"/>
  <c r="Q52" i="18"/>
  <c r="AX52" i="18"/>
  <c r="AY52" i="18"/>
  <c r="AN52" i="18"/>
  <c r="AB52" i="18"/>
  <c r="R52" i="18"/>
  <c r="P52" i="18"/>
  <c r="BU21" i="18"/>
  <c r="BT25" i="18"/>
  <c r="BU25" i="18" s="1"/>
  <c r="U25" i="18"/>
  <c r="M29" i="18"/>
  <c r="U22" i="18"/>
  <c r="BT17" i="18"/>
  <c r="BU17" i="18" s="1"/>
  <c r="U13" i="18"/>
  <c r="BM21" i="18"/>
  <c r="BM29" i="18" s="1"/>
  <c r="BE8" i="18"/>
  <c r="BG8" i="18" s="1"/>
  <c r="AG8" i="18"/>
  <c r="F33" i="18"/>
  <c r="F44" i="18"/>
  <c r="U21" i="18"/>
  <c r="AS23" i="18"/>
  <c r="U23" i="18"/>
  <c r="W23" i="18" s="1"/>
  <c r="BT23" i="18"/>
  <c r="BU23" i="18" s="1"/>
  <c r="U12" i="18"/>
  <c r="CB4" i="18"/>
  <c r="CC4" i="18" s="1"/>
  <c r="CD4" i="18" s="1"/>
  <c r="BV4" i="18"/>
  <c r="BU4" i="18"/>
  <c r="BX6" i="18" s="1"/>
  <c r="BX7" i="18" s="1"/>
  <c r="AU24" i="18"/>
  <c r="AG15" i="18"/>
  <c r="U11" i="18"/>
  <c r="BT11" i="18"/>
  <c r="BU11" i="18" s="1"/>
  <c r="AS11" i="18"/>
  <c r="AG26" i="18"/>
  <c r="BT5" i="18"/>
  <c r="U15" i="18"/>
  <c r="W15" i="18" s="1"/>
  <c r="BT15" i="18"/>
  <c r="BU15" i="18" s="1"/>
  <c r="E54" i="18"/>
  <c r="J54" i="18" s="1"/>
  <c r="K47" i="18"/>
  <c r="G47" i="18"/>
  <c r="F47" i="18"/>
  <c r="E48" i="18"/>
  <c r="I47" i="18"/>
  <c r="H47" i="18"/>
  <c r="K42" i="18"/>
  <c r="J44" i="18"/>
  <c r="G52" i="18"/>
  <c r="H52" i="18"/>
  <c r="F52" i="18"/>
  <c r="K52" i="18"/>
  <c r="I52" i="18"/>
  <c r="BX3" i="18"/>
  <c r="BY3" i="18" s="1"/>
  <c r="AG9" i="18"/>
  <c r="G44" i="18"/>
  <c r="G33" i="18"/>
  <c r="BE22" i="18"/>
  <c r="BG22" i="18" s="1"/>
  <c r="AS22" i="18"/>
  <c r="AG21" i="18"/>
  <c r="AS13" i="18"/>
  <c r="AU13" i="18" s="1"/>
  <c r="AG12" i="18"/>
  <c r="BG12" i="18"/>
  <c r="BG9" i="18"/>
  <c r="U24" i="18"/>
  <c r="BO10" i="18"/>
  <c r="AS21" i="18"/>
  <c r="BE14" i="18"/>
  <c r="BG14" i="18" s="1"/>
  <c r="BT14" i="18"/>
  <c r="BU14" i="18" s="1"/>
  <c r="U14" i="18"/>
  <c r="W14" i="18" s="1"/>
  <c r="AS14" i="18"/>
  <c r="AU14" i="18" s="1"/>
  <c r="AH27" i="18"/>
  <c r="AH26" i="18"/>
  <c r="AH24" i="18"/>
  <c r="AI24" i="18" s="1"/>
  <c r="AH21" i="18"/>
  <c r="AH17" i="18"/>
  <c r="AI17" i="18" s="1"/>
  <c r="AH13" i="18"/>
  <c r="AI13" i="18" s="1"/>
  <c r="AH9" i="18"/>
  <c r="AH16" i="18"/>
  <c r="AI16" i="18" s="1"/>
  <c r="AH12" i="18"/>
  <c r="AH8" i="18"/>
  <c r="AH22" i="18"/>
  <c r="AI22" i="18" s="1"/>
  <c r="AH15" i="18"/>
  <c r="AH25" i="18"/>
  <c r="AI25" i="18" s="1"/>
  <c r="AH11" i="18"/>
  <c r="AH10" i="18"/>
  <c r="AH23" i="18"/>
  <c r="AH14" i="18"/>
  <c r="AI14" i="18" s="1"/>
  <c r="AG11" i="18"/>
  <c r="AG10" i="18"/>
  <c r="BO15" i="18"/>
  <c r="BO27" i="18"/>
  <c r="BT9" i="18"/>
  <c r="BU9" i="18" s="1"/>
  <c r="E53" i="18"/>
  <c r="J53" i="18" s="1"/>
  <c r="AS9" i="18"/>
  <c r="BO25" i="18"/>
  <c r="BT10" i="18"/>
  <c r="BU10" i="18" s="1"/>
  <c r="U10" i="18"/>
  <c r="BE27" i="18"/>
  <c r="BG27" i="18" s="1"/>
  <c r="AG27" i="18"/>
  <c r="AS27" i="18"/>
  <c r="AU27" i="18" s="1"/>
  <c r="BT27" i="18"/>
  <c r="BU27" i="18" s="1"/>
  <c r="U27" i="18"/>
  <c r="W27" i="18" s="1"/>
  <c r="BE13" i="18"/>
  <c r="BE23" i="18"/>
  <c r="BG23" i="18" s="1"/>
  <c r="AG23" i="18"/>
  <c r="BE11" i="18"/>
  <c r="BG16" i="18"/>
  <c r="BT8" i="18"/>
  <c r="BE21" i="18"/>
  <c r="M19" i="18"/>
  <c r="U8" i="18"/>
  <c r="BT53" i="18"/>
  <c r="BU53" i="18" s="1"/>
  <c r="BV3" i="18"/>
  <c r="CF2" i="18"/>
  <c r="CB2" i="18"/>
  <c r="I44" i="18"/>
  <c r="I33" i="18"/>
  <c r="BO22" i="18"/>
  <c r="BO17" i="18" l="1"/>
  <c r="BO24" i="18"/>
  <c r="Q36" i="18"/>
  <c r="R37" i="18"/>
  <c r="R42" i="18" s="1"/>
  <c r="R35" i="18"/>
  <c r="BK48" i="18"/>
  <c r="BJ48" i="18"/>
  <c r="BI48" i="18"/>
  <c r="BC48" i="18"/>
  <c r="BB48" i="18"/>
  <c r="BA48" i="18"/>
  <c r="AY48" i="18"/>
  <c r="AZ48" i="18"/>
  <c r="AX48" i="18"/>
  <c r="AQ48" i="18"/>
  <c r="AW48" i="18"/>
  <c r="AP48" i="18"/>
  <c r="AO48" i="18"/>
  <c r="AN48" i="18"/>
  <c r="AM48" i="18"/>
  <c r="AL48" i="18"/>
  <c r="AE48" i="18"/>
  <c r="AK48" i="18"/>
  <c r="AD48" i="18"/>
  <c r="AC48" i="18"/>
  <c r="AB48" i="18"/>
  <c r="AA48" i="18"/>
  <c r="Z48" i="18"/>
  <c r="S48" i="18"/>
  <c r="Y48" i="18"/>
  <c r="R48" i="18"/>
  <c r="Q48" i="18"/>
  <c r="BC39" i="18"/>
  <c r="BC41" i="18"/>
  <c r="BC40" i="18"/>
  <c r="BC37" i="18"/>
  <c r="BC38" i="18"/>
  <c r="BC36" i="18"/>
  <c r="BC35" i="18"/>
  <c r="Y35" i="18"/>
  <c r="Y40" i="18"/>
  <c r="Y41" i="18"/>
  <c r="Y39" i="18"/>
  <c r="Y45" i="18"/>
  <c r="Y50" i="18" s="1"/>
  <c r="Y37" i="18"/>
  <c r="Y36" i="18"/>
  <c r="Y38" i="18"/>
  <c r="AN36" i="18"/>
  <c r="AN38" i="18"/>
  <c r="AN40" i="18"/>
  <c r="AN39" i="18"/>
  <c r="AN41" i="18"/>
  <c r="AN35" i="18"/>
  <c r="AN37" i="18"/>
  <c r="BB38" i="18"/>
  <c r="BB40" i="18"/>
  <c r="BB41" i="18"/>
  <c r="BB36" i="18"/>
  <c r="BB39" i="18"/>
  <c r="BB37" i="18"/>
  <c r="BB35" i="18"/>
  <c r="S40" i="18"/>
  <c r="S36" i="18"/>
  <c r="S41" i="18"/>
  <c r="S37" i="18"/>
  <c r="S38" i="18"/>
  <c r="S45" i="18"/>
  <c r="S50" i="18" s="1"/>
  <c r="S39" i="18"/>
  <c r="S35" i="18"/>
  <c r="AP36" i="18"/>
  <c r="AP39" i="18"/>
  <c r="AP40" i="18"/>
  <c r="AP45" i="18"/>
  <c r="AP50" i="18" s="1"/>
  <c r="AP35" i="18"/>
  <c r="AP41" i="18"/>
  <c r="AP38" i="18"/>
  <c r="AP37" i="18"/>
  <c r="BI35" i="18"/>
  <c r="BI36" i="18"/>
  <c r="BI45" i="18"/>
  <c r="BI50" i="18" s="1"/>
  <c r="BI38" i="18"/>
  <c r="BI40" i="18"/>
  <c r="BI41" i="18"/>
  <c r="BI37" i="18"/>
  <c r="BI39" i="18"/>
  <c r="AL41" i="18"/>
  <c r="AL36" i="18"/>
  <c r="AL38" i="18"/>
  <c r="AL40" i="18"/>
  <c r="AL35" i="18"/>
  <c r="AL45" i="18"/>
  <c r="AL50" i="18" s="1"/>
  <c r="AL39" i="18"/>
  <c r="AL37" i="18"/>
  <c r="AQ37" i="18"/>
  <c r="AQ40" i="18"/>
  <c r="AQ39" i="18"/>
  <c r="AQ35" i="18"/>
  <c r="AQ41" i="18"/>
  <c r="AQ38" i="18"/>
  <c r="AQ36" i="18"/>
  <c r="AW38" i="18"/>
  <c r="AW36" i="18"/>
  <c r="AW40" i="18"/>
  <c r="AW41" i="18"/>
  <c r="AW35" i="18"/>
  <c r="AW39" i="18"/>
  <c r="AW37" i="18"/>
  <c r="AE40" i="18"/>
  <c r="AE38" i="18"/>
  <c r="AE45" i="18"/>
  <c r="AE50" i="18" s="1"/>
  <c r="AE35" i="18"/>
  <c r="AE37" i="18"/>
  <c r="AE39" i="18"/>
  <c r="AE36" i="18"/>
  <c r="AE41" i="18"/>
  <c r="AO38" i="18"/>
  <c r="AO37" i="18"/>
  <c r="AO45" i="18"/>
  <c r="AO50" i="18" s="1"/>
  <c r="AO36" i="18"/>
  <c r="AO39" i="18"/>
  <c r="AO41" i="18"/>
  <c r="AO35" i="18"/>
  <c r="AO40" i="18"/>
  <c r="BK44" i="18"/>
  <c r="BM44" i="18" s="1"/>
  <c r="BI44" i="18"/>
  <c r="BJ44" i="18"/>
  <c r="BC44" i="18"/>
  <c r="BC45" i="18" s="1"/>
  <c r="BC50" i="18" s="1"/>
  <c r="BB44" i="18"/>
  <c r="BB45" i="18" s="1"/>
  <c r="BB50" i="18" s="1"/>
  <c r="BA44" i="18"/>
  <c r="AZ44" i="18"/>
  <c r="AY44" i="18"/>
  <c r="AX44" i="18"/>
  <c r="AW44" i="18"/>
  <c r="AW45" i="18" s="1"/>
  <c r="AW50" i="18" s="1"/>
  <c r="AQ44" i="18"/>
  <c r="AQ45" i="18" s="1"/>
  <c r="AQ50" i="18" s="1"/>
  <c r="AP44" i="18"/>
  <c r="AO44" i="18"/>
  <c r="AN44" i="18"/>
  <c r="AN45" i="18" s="1"/>
  <c r="AM44" i="18"/>
  <c r="AL44" i="18"/>
  <c r="AK44" i="18"/>
  <c r="AE44" i="18"/>
  <c r="AD44" i="18"/>
  <c r="AC44" i="18"/>
  <c r="AB44" i="18"/>
  <c r="AB45" i="18" s="1"/>
  <c r="AB50" i="18" s="1"/>
  <c r="AA44" i="18"/>
  <c r="Z44" i="18"/>
  <c r="Y44" i="18"/>
  <c r="S44" i="18"/>
  <c r="R44" i="18"/>
  <c r="Q44" i="18"/>
  <c r="Q45" i="18" s="1"/>
  <c r="Q50" i="18" s="1"/>
  <c r="P44" i="18"/>
  <c r="P45" i="18" s="1"/>
  <c r="P50" i="18" s="1"/>
  <c r="O44" i="18"/>
  <c r="N44" i="18"/>
  <c r="AC36" i="18"/>
  <c r="AC37" i="18"/>
  <c r="AC35" i="18"/>
  <c r="AC39" i="18"/>
  <c r="AC45" i="18"/>
  <c r="AC50" i="18" s="1"/>
  <c r="AC38" i="18"/>
  <c r="AC40" i="18"/>
  <c r="AC41" i="18"/>
  <c r="AA37" i="18"/>
  <c r="AA41" i="18"/>
  <c r="AA40" i="18"/>
  <c r="AA39" i="18"/>
  <c r="AA36" i="18"/>
  <c r="AA35" i="18"/>
  <c r="AA45" i="18"/>
  <c r="AA50" i="18" s="1"/>
  <c r="AA38" i="18"/>
  <c r="Z45" i="18"/>
  <c r="Z50" i="18" s="1"/>
  <c r="Z40" i="18"/>
  <c r="Z38" i="18"/>
  <c r="Z37" i="18"/>
  <c r="Z35" i="18"/>
  <c r="Z41" i="18"/>
  <c r="Z39" i="18"/>
  <c r="Z36" i="18"/>
  <c r="AD35" i="18"/>
  <c r="AD39" i="18"/>
  <c r="AD45" i="18"/>
  <c r="AD50" i="18" s="1"/>
  <c r="AD38" i="18"/>
  <c r="AD40" i="18"/>
  <c r="AD41" i="18"/>
  <c r="AD36" i="18"/>
  <c r="AD37" i="18"/>
  <c r="BA38" i="18"/>
  <c r="BA37" i="18"/>
  <c r="BA40" i="18"/>
  <c r="BA45" i="18"/>
  <c r="BA50" i="18" s="1"/>
  <c r="BA36" i="18"/>
  <c r="BA35" i="18"/>
  <c r="BA39" i="18"/>
  <c r="BA41" i="18"/>
  <c r="AB37" i="18"/>
  <c r="AB41" i="18"/>
  <c r="AB36" i="18"/>
  <c r="AB40" i="18"/>
  <c r="AB35" i="18"/>
  <c r="AB39" i="18"/>
  <c r="AB38" i="18"/>
  <c r="AX45" i="18"/>
  <c r="AX50" i="18" s="1"/>
  <c r="AX35" i="18"/>
  <c r="AX39" i="18"/>
  <c r="AX41" i="18"/>
  <c r="AX38" i="18"/>
  <c r="AX37" i="18"/>
  <c r="AX40" i="18"/>
  <c r="AX36" i="18"/>
  <c r="AK37" i="18"/>
  <c r="AK35" i="18"/>
  <c r="AK45" i="18"/>
  <c r="AK50" i="18" s="1"/>
  <c r="AK38" i="18"/>
  <c r="AK40" i="18"/>
  <c r="AK41" i="18"/>
  <c r="AK39" i="18"/>
  <c r="AK36" i="18"/>
  <c r="Q37" i="18"/>
  <c r="Q41" i="18"/>
  <c r="AZ40" i="18"/>
  <c r="AZ39" i="18"/>
  <c r="AZ37" i="18"/>
  <c r="AZ41" i="18"/>
  <c r="AZ36" i="18"/>
  <c r="AZ35" i="18"/>
  <c r="AZ38" i="18"/>
  <c r="AZ45" i="18"/>
  <c r="AZ50" i="18" s="1"/>
  <c r="AY38" i="18"/>
  <c r="AY37" i="18"/>
  <c r="AY35" i="18"/>
  <c r="AY36" i="18"/>
  <c r="AY45" i="18"/>
  <c r="AY50" i="18" s="1"/>
  <c r="AY41" i="18"/>
  <c r="AY40" i="18"/>
  <c r="AY39" i="18"/>
  <c r="AM35" i="18"/>
  <c r="AM45" i="18"/>
  <c r="AM50" i="18" s="1"/>
  <c r="AM40" i="18"/>
  <c r="AM39" i="18"/>
  <c r="AM41" i="18"/>
  <c r="AM36" i="18"/>
  <c r="AM38" i="18"/>
  <c r="AM37" i="18"/>
  <c r="BJ39" i="18"/>
  <c r="BJ37" i="18"/>
  <c r="BJ41" i="18"/>
  <c r="BJ35" i="18"/>
  <c r="BJ36" i="18"/>
  <c r="BJ40" i="18"/>
  <c r="BJ38" i="18"/>
  <c r="BJ45" i="18"/>
  <c r="BJ52" i="18"/>
  <c r="BK45" i="18"/>
  <c r="BK50" i="18" s="1"/>
  <c r="BK35" i="18"/>
  <c r="BK37" i="18"/>
  <c r="BK39" i="18"/>
  <c r="BK41" i="18"/>
  <c r="BK36" i="18"/>
  <c r="BK38" i="18"/>
  <c r="BK40" i="18"/>
  <c r="Q35" i="18"/>
  <c r="Q42" i="18" s="1"/>
  <c r="BN29" i="18"/>
  <c r="BO21" i="18"/>
  <c r="BO29" i="18" s="1"/>
  <c r="BG13" i="18"/>
  <c r="BF29" i="18"/>
  <c r="AU11" i="18"/>
  <c r="AU22" i="18"/>
  <c r="AU9" i="18"/>
  <c r="AT29" i="18"/>
  <c r="AU21" i="18"/>
  <c r="AU23" i="18"/>
  <c r="W10" i="18"/>
  <c r="W11" i="18"/>
  <c r="P35" i="18"/>
  <c r="BF19" i="18"/>
  <c r="BG25" i="18"/>
  <c r="W25" i="18"/>
  <c r="P38" i="18"/>
  <c r="BN19" i="18"/>
  <c r="BF31" i="18"/>
  <c r="W13" i="18"/>
  <c r="P40" i="18"/>
  <c r="BX1" i="18"/>
  <c r="V31" i="18"/>
  <c r="O37" i="18"/>
  <c r="O41" i="18"/>
  <c r="O38" i="18"/>
  <c r="O35" i="18"/>
  <c r="O39" i="18"/>
  <c r="O45" i="18"/>
  <c r="O50" i="18" s="1"/>
  <c r="O36" i="18"/>
  <c r="O40" i="18"/>
  <c r="N48" i="18"/>
  <c r="P48" i="18"/>
  <c r="O48" i="18"/>
  <c r="P36" i="18"/>
  <c r="P39" i="18"/>
  <c r="AT31" i="18"/>
  <c r="BG11" i="18"/>
  <c r="BG19" i="18" s="1"/>
  <c r="BN31" i="18"/>
  <c r="P37" i="18"/>
  <c r="P41" i="18"/>
  <c r="V19" i="18"/>
  <c r="W12" i="18"/>
  <c r="W22" i="18"/>
  <c r="W24" i="18"/>
  <c r="V29" i="18"/>
  <c r="AT19" i="18"/>
  <c r="E57" i="18"/>
  <c r="J57" i="18" s="1"/>
  <c r="K57" i="18" s="1"/>
  <c r="N41" i="18"/>
  <c r="N37" i="18"/>
  <c r="N39" i="18"/>
  <c r="N40" i="18"/>
  <c r="N36" i="18"/>
  <c r="N45" i="18"/>
  <c r="N50" i="18" s="1"/>
  <c r="N35" i="18"/>
  <c r="N38" i="18"/>
  <c r="BZ3" i="18"/>
  <c r="CA3" i="18" s="1"/>
  <c r="U33" i="18"/>
  <c r="V40" i="18" s="1"/>
  <c r="AI26" i="18"/>
  <c r="AI11" i="18"/>
  <c r="AI15" i="18"/>
  <c r="AS19" i="18"/>
  <c r="BC52" i="18"/>
  <c r="CF3" i="18"/>
  <c r="CG3" i="18" s="1"/>
  <c r="CH3" i="18" s="1"/>
  <c r="CI3" i="18" s="1"/>
  <c r="AG31" i="18"/>
  <c r="BA52" i="18"/>
  <c r="BT29" i="18"/>
  <c r="BU29" i="18" s="1"/>
  <c r="BU3" i="18"/>
  <c r="O52" i="18"/>
  <c r="AI10" i="18"/>
  <c r="AI9" i="18"/>
  <c r="AS29" i="18"/>
  <c r="S52" i="18"/>
  <c r="G48" i="18"/>
  <c r="H48" i="18"/>
  <c r="F48" i="18"/>
  <c r="I48" i="18"/>
  <c r="V4" i="18"/>
  <c r="W3" i="18"/>
  <c r="W4" i="18" s="1"/>
  <c r="AT4" i="18"/>
  <c r="AU4" i="18" s="1"/>
  <c r="AU3" i="18"/>
  <c r="AO52" i="18"/>
  <c r="CA4" i="18"/>
  <c r="BE19" i="18"/>
  <c r="R53" i="18"/>
  <c r="Q53" i="18"/>
  <c r="M42" i="18"/>
  <c r="U19" i="18"/>
  <c r="U31" i="18"/>
  <c r="W8" i="18"/>
  <c r="BE29" i="18"/>
  <c r="AE52" i="18"/>
  <c r="AG29" i="18"/>
  <c r="K54" i="18"/>
  <c r="F54" i="18"/>
  <c r="I54" i="18"/>
  <c r="H54" i="18"/>
  <c r="G54" i="18"/>
  <c r="BO19" i="18"/>
  <c r="BF4" i="18"/>
  <c r="BG4" i="18" s="1"/>
  <c r="BG3" i="18"/>
  <c r="BV5" i="18"/>
  <c r="BV7" i="18"/>
  <c r="BU5" i="18"/>
  <c r="N52" i="18"/>
  <c r="AL52" i="18"/>
  <c r="CD5" i="18"/>
  <c r="CE4" i="18"/>
  <c r="AG19" i="18"/>
  <c r="CG2" i="18"/>
  <c r="CH2" i="18" s="1"/>
  <c r="AI23" i="18"/>
  <c r="AH29" i="18"/>
  <c r="AI21" i="18"/>
  <c r="M44" i="18"/>
  <c r="M45" i="18" s="1"/>
  <c r="M50" i="18" s="1"/>
  <c r="BM31" i="18"/>
  <c r="Z52" i="18"/>
  <c r="BY2" i="18"/>
  <c r="BZ2" i="18" s="1"/>
  <c r="AS31" i="18"/>
  <c r="BB52" i="18"/>
  <c r="AC52" i="18"/>
  <c r="H53" i="18"/>
  <c r="I53" i="18"/>
  <c r="G53" i="18"/>
  <c r="F53" i="18"/>
  <c r="K53" i="18"/>
  <c r="CB3" i="18"/>
  <c r="CC3" i="18" s="1"/>
  <c r="CD3" i="18" s="1"/>
  <c r="CE3" i="18" s="1"/>
  <c r="AH31" i="18"/>
  <c r="AI8" i="18"/>
  <c r="AH19" i="18"/>
  <c r="CC2" i="18"/>
  <c r="CD2" i="18" s="1"/>
  <c r="BU8" i="18"/>
  <c r="BT31" i="18"/>
  <c r="BU31" i="18" s="1"/>
  <c r="BT19" i="18"/>
  <c r="BU19" i="18" s="1"/>
  <c r="AM52" i="18"/>
  <c r="AI3" i="18"/>
  <c r="AI4" i="18" s="1"/>
  <c r="AI12" i="18"/>
  <c r="AI27" i="18"/>
  <c r="AQ52" i="18"/>
  <c r="BM47" i="18"/>
  <c r="BE47" i="18"/>
  <c r="AS47" i="18"/>
  <c r="M47" i="18"/>
  <c r="BN4" i="18"/>
  <c r="BO4" i="18" s="1"/>
  <c r="BO3" i="18"/>
  <c r="U29" i="18"/>
  <c r="BE31" i="18"/>
  <c r="W21" i="18"/>
  <c r="BG21" i="18"/>
  <c r="AA53" i="18" l="1"/>
  <c r="BJ42" i="18"/>
  <c r="AN42" i="18"/>
  <c r="M53" i="18"/>
  <c r="AB42" i="18"/>
  <c r="Z42" i="18"/>
  <c r="AO42" i="18"/>
  <c r="AN50" i="18"/>
  <c r="AN55" i="18" s="1"/>
  <c r="AN53" i="18"/>
  <c r="AM42" i="18"/>
  <c r="AZ42" i="18"/>
  <c r="AC42" i="18"/>
  <c r="AW42" i="18"/>
  <c r="AQ42" i="18"/>
  <c r="AL42" i="18"/>
  <c r="BI42" i="18"/>
  <c r="AP42" i="18"/>
  <c r="BK42" i="18"/>
  <c r="AY42" i="18"/>
  <c r="BJ50" i="18"/>
  <c r="BJ53" i="18"/>
  <c r="AK42" i="18"/>
  <c r="AX42" i="18"/>
  <c r="AD42" i="18"/>
  <c r="BB42" i="18"/>
  <c r="BC42" i="18"/>
  <c r="P42" i="18"/>
  <c r="BA42" i="18"/>
  <c r="AA42" i="18"/>
  <c r="AE42" i="18"/>
  <c r="Y42" i="18"/>
  <c r="BO31" i="18"/>
  <c r="BK53" i="18"/>
  <c r="BG29" i="18"/>
  <c r="AU19" i="18"/>
  <c r="AU31" i="18"/>
  <c r="AU29" i="18"/>
  <c r="K44" i="18"/>
  <c r="K48" i="18"/>
  <c r="CF1" i="18"/>
  <c r="CH1" i="18" s="1"/>
  <c r="W29" i="18"/>
  <c r="E59" i="18"/>
  <c r="CF4" i="18" s="1"/>
  <c r="CG4" i="18" s="1"/>
  <c r="CH4" i="18" s="1"/>
  <c r="CI4" i="18" s="1"/>
  <c r="K33" i="18"/>
  <c r="V38" i="18"/>
  <c r="V39" i="18"/>
  <c r="U37" i="18"/>
  <c r="V35" i="18"/>
  <c r="V41" i="18"/>
  <c r="V37" i="18"/>
  <c r="U36" i="18"/>
  <c r="V36" i="18"/>
  <c r="U38" i="18"/>
  <c r="U39" i="18"/>
  <c r="O42" i="18"/>
  <c r="U40" i="18"/>
  <c r="W40" i="18" s="1"/>
  <c r="O53" i="18"/>
  <c r="BB53" i="18"/>
  <c r="AS41" i="18"/>
  <c r="AS40" i="18"/>
  <c r="AS39" i="18"/>
  <c r="AK52" i="18"/>
  <c r="AS37" i="18"/>
  <c r="AS36" i="18"/>
  <c r="AS38" i="18"/>
  <c r="AS33" i="18"/>
  <c r="U41" i="18"/>
  <c r="BQ33" i="18"/>
  <c r="J4" i="18" s="1"/>
  <c r="AS44" i="18"/>
  <c r="AZ53" i="18"/>
  <c r="AI29" i="18"/>
  <c r="W31" i="18"/>
  <c r="W19" i="18"/>
  <c r="R55" i="18"/>
  <c r="R54" i="18"/>
  <c r="AO53" i="18"/>
  <c r="BA53" i="18"/>
  <c r="AD53" i="18"/>
  <c r="AM53" i="18"/>
  <c r="BZ1" i="18"/>
  <c r="BY1" i="18"/>
  <c r="BI52" i="18"/>
  <c r="BM41" i="18"/>
  <c r="BM40" i="18"/>
  <c r="BM39" i="18"/>
  <c r="BM33" i="18"/>
  <c r="BM36" i="18"/>
  <c r="BM38" i="18"/>
  <c r="BM37" i="18"/>
  <c r="U44" i="18"/>
  <c r="BQ44" i="18"/>
  <c r="P53" i="18"/>
  <c r="AP53" i="18"/>
  <c r="N42" i="18"/>
  <c r="AE53" i="18"/>
  <c r="U52" i="18"/>
  <c r="U35" i="18"/>
  <c r="S42" i="18"/>
  <c r="M55" i="18"/>
  <c r="M54" i="18"/>
  <c r="BM48" i="18"/>
  <c r="AS48" i="18"/>
  <c r="M48" i="18"/>
  <c r="Z53" i="18"/>
  <c r="N53" i="18"/>
  <c r="Q54" i="18"/>
  <c r="Q55" i="18"/>
  <c r="AW52" i="18"/>
  <c r="BE40" i="18"/>
  <c r="BE39" i="18"/>
  <c r="BE38" i="18"/>
  <c r="BE41" i="18"/>
  <c r="BE37" i="18"/>
  <c r="BE33" i="18"/>
  <c r="BE36" i="18"/>
  <c r="BG31" i="18"/>
  <c r="AI19" i="18"/>
  <c r="AI31" i="18"/>
  <c r="AC53" i="18"/>
  <c r="AA55" i="18"/>
  <c r="AA54" i="18"/>
  <c r="BQ47" i="18"/>
  <c r="BR47" i="18" s="1"/>
  <c r="U47" i="18"/>
  <c r="AG47" i="18"/>
  <c r="BK54" i="18"/>
  <c r="BK55" i="18"/>
  <c r="AQ53" i="18"/>
  <c r="CB1" i="18"/>
  <c r="AY53" i="18"/>
  <c r="AG44" i="18"/>
  <c r="AB53" i="18"/>
  <c r="BE44" i="18"/>
  <c r="AX53" i="18"/>
  <c r="AL53" i="18"/>
  <c r="S53" i="18"/>
  <c r="Y52" i="18"/>
  <c r="AG41" i="18"/>
  <c r="AG36" i="18"/>
  <c r="AG33" i="18"/>
  <c r="AS3" i="17"/>
  <c r="BL3" i="17"/>
  <c r="BE3" i="17"/>
  <c r="U3" i="17"/>
  <c r="AN54" i="18" l="1"/>
  <c r="AN57" i="18" s="1"/>
  <c r="AN59" i="18" s="1"/>
  <c r="BJ55" i="18"/>
  <c r="BJ54" i="18"/>
  <c r="BC53" i="18"/>
  <c r="CG1" i="18"/>
  <c r="W38" i="18"/>
  <c r="W41" i="18"/>
  <c r="U45" i="18"/>
  <c r="W39" i="18"/>
  <c r="V42" i="18"/>
  <c r="W35" i="18"/>
  <c r="BK57" i="18"/>
  <c r="BK59" i="18" s="1"/>
  <c r="W37" i="18"/>
  <c r="AA57" i="18"/>
  <c r="AA59" i="18" s="1"/>
  <c r="U42" i="18"/>
  <c r="V52" i="18" s="1"/>
  <c r="W36" i="18"/>
  <c r="Q57" i="18"/>
  <c r="Q59" i="18" s="1"/>
  <c r="U50" i="18"/>
  <c r="BT41" i="18"/>
  <c r="BU41" i="18" s="1"/>
  <c r="AG35" i="18"/>
  <c r="AX54" i="18"/>
  <c r="AX55" i="18"/>
  <c r="BN40" i="18"/>
  <c r="BO40" i="18" s="1"/>
  <c r="BN39" i="18"/>
  <c r="BO39" i="18" s="1"/>
  <c r="BN38" i="18"/>
  <c r="BO38" i="18" s="1"/>
  <c r="BN41" i="18"/>
  <c r="BO41" i="18" s="1"/>
  <c r="BN37" i="18"/>
  <c r="BO37" i="18" s="1"/>
  <c r="BN35" i="18"/>
  <c r="BN36" i="18"/>
  <c r="BO36" i="18" s="1"/>
  <c r="AQ55" i="18"/>
  <c r="AQ54" i="18"/>
  <c r="AG37" i="18"/>
  <c r="BT37" i="18"/>
  <c r="BU37" i="18" s="1"/>
  <c r="U53" i="18"/>
  <c r="AW53" i="18"/>
  <c r="BE45" i="18"/>
  <c r="N54" i="18"/>
  <c r="N55" i="18"/>
  <c r="AG48" i="18"/>
  <c r="U48" i="18"/>
  <c r="BQ48" i="18"/>
  <c r="BR48" i="18" s="1"/>
  <c r="P54" i="18"/>
  <c r="P55" i="18"/>
  <c r="BM52" i="18"/>
  <c r="R57" i="18"/>
  <c r="R59" i="18" s="1"/>
  <c r="AS42" i="18"/>
  <c r="AS35" i="18"/>
  <c r="BB54" i="18"/>
  <c r="BB55" i="18"/>
  <c r="BT35" i="18"/>
  <c r="AG40" i="18"/>
  <c r="BT40" i="18"/>
  <c r="BU40" i="18" s="1"/>
  <c r="AB55" i="18"/>
  <c r="AB54" i="18"/>
  <c r="BM35" i="18"/>
  <c r="AM55" i="18"/>
  <c r="AM54" i="18"/>
  <c r="AG38" i="18"/>
  <c r="BT38" i="18"/>
  <c r="BU38" i="18" s="1"/>
  <c r="AY55" i="18"/>
  <c r="AY54" i="18"/>
  <c r="BE52" i="18"/>
  <c r="BE48" i="18"/>
  <c r="AP55" i="18"/>
  <c r="AP54" i="18"/>
  <c r="BC55" i="18"/>
  <c r="BC54" i="18"/>
  <c r="AT41" i="18"/>
  <c r="AU41" i="18" s="1"/>
  <c r="AT40" i="18"/>
  <c r="AU40" i="18" s="1"/>
  <c r="AT39" i="18"/>
  <c r="AU39" i="18" s="1"/>
  <c r="AT36" i="18"/>
  <c r="AU36" i="18" s="1"/>
  <c r="AT37" i="18"/>
  <c r="AU37" i="18" s="1"/>
  <c r="AT35" i="18"/>
  <c r="AT38" i="18"/>
  <c r="AU38" i="18" s="1"/>
  <c r="AS52" i="18"/>
  <c r="AK53" i="18"/>
  <c r="AS53" i="18" s="1"/>
  <c r="AS45" i="18"/>
  <c r="O55" i="18"/>
  <c r="O54" i="18"/>
  <c r="Z54" i="18"/>
  <c r="Z55" i="18"/>
  <c r="M57" i="18"/>
  <c r="M59" i="18" s="1"/>
  <c r="BA54" i="18"/>
  <c r="BA55" i="18"/>
  <c r="AZ55" i="18"/>
  <c r="AZ54" i="18"/>
  <c r="BT36" i="18"/>
  <c r="BU36" i="18" s="1"/>
  <c r="AH40" i="18"/>
  <c r="AH39" i="18"/>
  <c r="AH38" i="18"/>
  <c r="AH41" i="18"/>
  <c r="AI41" i="18" s="1"/>
  <c r="AH37" i="18"/>
  <c r="AH35" i="18"/>
  <c r="AH36" i="18"/>
  <c r="AI36" i="18" s="1"/>
  <c r="AG52" i="18"/>
  <c r="S55" i="18"/>
  <c r="S54" i="18"/>
  <c r="AL54" i="18"/>
  <c r="AL55" i="18"/>
  <c r="CD1" i="18"/>
  <c r="CC1" i="18"/>
  <c r="BF40" i="18"/>
  <c r="BG40" i="18" s="1"/>
  <c r="BF39" i="18"/>
  <c r="BG39" i="18" s="1"/>
  <c r="BF38" i="18"/>
  <c r="BG38" i="18" s="1"/>
  <c r="BF41" i="18"/>
  <c r="BG41" i="18" s="1"/>
  <c r="BF37" i="18"/>
  <c r="BG37" i="18" s="1"/>
  <c r="BF35" i="18"/>
  <c r="BF36" i="18"/>
  <c r="BG36" i="18" s="1"/>
  <c r="AG39" i="18"/>
  <c r="BT39" i="18"/>
  <c r="BU39" i="18" s="1"/>
  <c r="AC54" i="18"/>
  <c r="AC55" i="18"/>
  <c r="BE42" i="18"/>
  <c r="BE35" i="18"/>
  <c r="AE55" i="18"/>
  <c r="AE54" i="18"/>
  <c r="AD54" i="18"/>
  <c r="AD55" i="18"/>
  <c r="AO54" i="18"/>
  <c r="AO55" i="18"/>
  <c r="BQ52" i="18"/>
  <c r="BE53" i="18" l="1"/>
  <c r="BJ57" i="18"/>
  <c r="BJ59" i="18" s="1"/>
  <c r="AO57" i="18"/>
  <c r="AO59" i="18" s="1"/>
  <c r="AY57" i="18"/>
  <c r="AY59" i="18" s="1"/>
  <c r="W42" i="18"/>
  <c r="BM42" i="18"/>
  <c r="AE57" i="18"/>
  <c r="AE59" i="18" s="1"/>
  <c r="AX57" i="18"/>
  <c r="AX59" i="18" s="1"/>
  <c r="AB57" i="18"/>
  <c r="AB59" i="18" s="1"/>
  <c r="N57" i="18"/>
  <c r="N59" i="18" s="1"/>
  <c r="U54" i="18"/>
  <c r="P57" i="18"/>
  <c r="P59" i="18" s="1"/>
  <c r="U55" i="18"/>
  <c r="AG42" i="18"/>
  <c r="AH52" i="18" s="1"/>
  <c r="Z57" i="18"/>
  <c r="Z59" i="18" s="1"/>
  <c r="AI38" i="18"/>
  <c r="AD57" i="18"/>
  <c r="AD59" i="18" s="1"/>
  <c r="AI40" i="18"/>
  <c r="AC57" i="18"/>
  <c r="AC59" i="18" s="1"/>
  <c r="AH42" i="18"/>
  <c r="AM57" i="18"/>
  <c r="AM59" i="18" s="1"/>
  <c r="AP57" i="18"/>
  <c r="AP59" i="18" s="1"/>
  <c r="AL57" i="18"/>
  <c r="AL59" i="18" s="1"/>
  <c r="AZ57" i="18"/>
  <c r="AZ59" i="18" s="1"/>
  <c r="BO35" i="18"/>
  <c r="BO42" i="18" s="1"/>
  <c r="BF42" i="18"/>
  <c r="O57" i="18"/>
  <c r="O59" i="18" s="1"/>
  <c r="AT42" i="18"/>
  <c r="BT42" i="18"/>
  <c r="BR42" i="18" s="1"/>
  <c r="BU35" i="18"/>
  <c r="AQ57" i="18"/>
  <c r="AQ59" i="18" s="1"/>
  <c r="BN42" i="18"/>
  <c r="AS50" i="18"/>
  <c r="AK55" i="18"/>
  <c r="AS55" i="18" s="1"/>
  <c r="AK54" i="18"/>
  <c r="AU35" i="18"/>
  <c r="AU42" i="18" s="1"/>
  <c r="BE50" i="18"/>
  <c r="AW54" i="18"/>
  <c r="AW55" i="18"/>
  <c r="BE55" i="18" s="1"/>
  <c r="AI39" i="18"/>
  <c r="BG35" i="18"/>
  <c r="BG42" i="18" s="1"/>
  <c r="S57" i="18"/>
  <c r="S59" i="18" s="1"/>
  <c r="BA57" i="18"/>
  <c r="BA59" i="18" s="1"/>
  <c r="BC57" i="18"/>
  <c r="BC59" i="18" s="1"/>
  <c r="BB57" i="18"/>
  <c r="BB59" i="18" s="1"/>
  <c r="AT52" i="18"/>
  <c r="AI37" i="18"/>
  <c r="AI35" i="18"/>
  <c r="BI53" i="18" l="1"/>
  <c r="BM53" i="18" s="1"/>
  <c r="BM45" i="18"/>
  <c r="U57" i="18"/>
  <c r="AG45" i="18"/>
  <c r="Y53" i="18"/>
  <c r="BQ45" i="18"/>
  <c r="AI42" i="18"/>
  <c r="BT52" i="18"/>
  <c r="BU42" i="18"/>
  <c r="BV35" i="18" s="1"/>
  <c r="AS54" i="18"/>
  <c r="AK57" i="18"/>
  <c r="U59" i="18"/>
  <c r="BE54" i="18"/>
  <c r="AW57" i="18"/>
  <c r="BI55" i="18" l="1"/>
  <c r="BM55" i="18" s="1"/>
  <c r="BM50" i="18"/>
  <c r="BI54" i="18"/>
  <c r="BQ53" i="18"/>
  <c r="BV53" i="18" s="1"/>
  <c r="AG53" i="18"/>
  <c r="AG50" i="18"/>
  <c r="BQ50" i="18"/>
  <c r="BR50" i="18" s="1"/>
  <c r="Y54" i="18"/>
  <c r="Y55" i="18"/>
  <c r="BE57" i="18"/>
  <c r="AW59" i="18"/>
  <c r="BE59" i="18" s="1"/>
  <c r="AS57" i="18"/>
  <c r="AK59" i="18"/>
  <c r="AS59" i="18" s="1"/>
  <c r="BM54" i="18" l="1"/>
  <c r="BI57" i="18"/>
  <c r="AG55" i="18"/>
  <c r="BQ55" i="18"/>
  <c r="Y57" i="18"/>
  <c r="AG54" i="18"/>
  <c r="BQ54" i="18"/>
  <c r="BI59" i="18" l="1"/>
  <c r="BM59" i="18" s="1"/>
  <c r="BM57" i="18"/>
  <c r="BQ57" i="18"/>
  <c r="AG57" i="18"/>
  <c r="Y59" i="18"/>
  <c r="BP31" i="17"/>
  <c r="BP29" i="17"/>
  <c r="BU21" i="17"/>
  <c r="BQ59" i="18" l="1"/>
  <c r="AG59" i="18"/>
  <c r="Z4" i="17" l="1"/>
  <c r="Z3" i="17"/>
  <c r="AG3" i="17" l="1"/>
  <c r="BS3" i="17"/>
  <c r="BX24" i="17" l="1"/>
  <c r="BS1" i="17" l="1"/>
  <c r="BZ29" i="17" l="1"/>
  <c r="BZ36" i="17" s="1"/>
  <c r="BZ35" i="17" l="1"/>
  <c r="BZ34" i="17"/>
  <c r="BZ37" i="17"/>
  <c r="E31" i="17" l="1"/>
  <c r="BQ31" i="17" s="1"/>
  <c r="BQ25" i="16"/>
  <c r="BP19" i="17" l="1"/>
  <c r="K8" i="17"/>
  <c r="AT8" i="17" s="1"/>
  <c r="E29" i="17"/>
  <c r="C29" i="17" s="1"/>
  <c r="E19" i="17"/>
  <c r="C19" i="17" s="1"/>
  <c r="J40" i="17"/>
  <c r="J39" i="17"/>
  <c r="J38" i="17"/>
  <c r="J37" i="17"/>
  <c r="J36" i="17"/>
  <c r="J35" i="17"/>
  <c r="J27" i="17"/>
  <c r="J26" i="17"/>
  <c r="J25" i="17"/>
  <c r="J24" i="17"/>
  <c r="J23" i="17"/>
  <c r="J17" i="17"/>
  <c r="J16" i="17"/>
  <c r="J14" i="17"/>
  <c r="J13" i="17"/>
  <c r="J15" i="17"/>
  <c r="J12" i="17"/>
  <c r="J10" i="17"/>
  <c r="J11" i="17"/>
  <c r="J22" i="17"/>
  <c r="J21" i="17"/>
  <c r="J9" i="17"/>
  <c r="J8" i="17"/>
  <c r="T59" i="17"/>
  <c r="E42" i="17"/>
  <c r="E44" i="17" s="1"/>
  <c r="I40" i="17"/>
  <c r="H40" i="17"/>
  <c r="G40" i="17"/>
  <c r="F40" i="17"/>
  <c r="I39" i="17"/>
  <c r="H39" i="17"/>
  <c r="G39" i="17"/>
  <c r="F39" i="17"/>
  <c r="I38" i="17"/>
  <c r="H38" i="17"/>
  <c r="G38" i="17"/>
  <c r="F38" i="17"/>
  <c r="I37" i="17"/>
  <c r="H37" i="17"/>
  <c r="G37" i="17"/>
  <c r="F37" i="17"/>
  <c r="I36" i="17"/>
  <c r="H36" i="17"/>
  <c r="G36" i="17"/>
  <c r="F36" i="17"/>
  <c r="I35" i="17"/>
  <c r="H35" i="17"/>
  <c r="G35" i="17"/>
  <c r="F35" i="17"/>
  <c r="BQ27" i="17"/>
  <c r="I27" i="17"/>
  <c r="H27" i="17"/>
  <c r="G27" i="17"/>
  <c r="F27" i="17"/>
  <c r="BQ26" i="17"/>
  <c r="I26" i="17"/>
  <c r="H26" i="17"/>
  <c r="G26" i="17"/>
  <c r="F26" i="17"/>
  <c r="BQ25" i="17"/>
  <c r="I25" i="17"/>
  <c r="H25" i="17"/>
  <c r="G25" i="17"/>
  <c r="F25" i="17"/>
  <c r="BQ24" i="17"/>
  <c r="I24" i="17"/>
  <c r="H24" i="17"/>
  <c r="G24" i="17"/>
  <c r="F24" i="17"/>
  <c r="BQ23" i="17"/>
  <c r="I23" i="17"/>
  <c r="H23" i="17"/>
  <c r="G23" i="17"/>
  <c r="F23" i="17"/>
  <c r="BQ17" i="17"/>
  <c r="I17" i="17"/>
  <c r="H17" i="17"/>
  <c r="G17" i="17"/>
  <c r="F17" i="17"/>
  <c r="BQ16" i="17"/>
  <c r="BQ15" i="17"/>
  <c r="I14" i="17"/>
  <c r="H14" i="17"/>
  <c r="G14" i="17"/>
  <c r="F14" i="17"/>
  <c r="BQ14" i="17"/>
  <c r="I13" i="17"/>
  <c r="H13" i="17"/>
  <c r="G13" i="17"/>
  <c r="F13" i="17"/>
  <c r="BQ13" i="17"/>
  <c r="I15" i="17"/>
  <c r="H15" i="17"/>
  <c r="G15" i="17"/>
  <c r="F15" i="17"/>
  <c r="BQ12" i="17"/>
  <c r="I12" i="17"/>
  <c r="H12" i="17"/>
  <c r="G12" i="17"/>
  <c r="F12" i="17"/>
  <c r="BQ11" i="17"/>
  <c r="I10" i="17"/>
  <c r="H10" i="17"/>
  <c r="G10" i="17"/>
  <c r="F10" i="17"/>
  <c r="BQ10" i="17"/>
  <c r="I11" i="17"/>
  <c r="H11" i="17"/>
  <c r="G11" i="17"/>
  <c r="F11" i="17"/>
  <c r="BQ22" i="17"/>
  <c r="I22" i="17"/>
  <c r="H22" i="17"/>
  <c r="G22" i="17"/>
  <c r="F22" i="17"/>
  <c r="BQ21" i="17"/>
  <c r="I21" i="17"/>
  <c r="H21" i="17"/>
  <c r="G21" i="17"/>
  <c r="F21" i="17"/>
  <c r="BQ9" i="17"/>
  <c r="I9" i="17"/>
  <c r="H9" i="17"/>
  <c r="G9" i="17"/>
  <c r="F9" i="17"/>
  <c r="BQ8" i="17"/>
  <c r="I8" i="17"/>
  <c r="H8" i="17"/>
  <c r="G8" i="17"/>
  <c r="F8" i="17"/>
  <c r="BJ4" i="17"/>
  <c r="BI4" i="17"/>
  <c r="BC4" i="17"/>
  <c r="BB4" i="17"/>
  <c r="BA4" i="17"/>
  <c r="AZ4" i="17"/>
  <c r="AY4" i="17"/>
  <c r="AX4" i="17"/>
  <c r="AW4" i="17"/>
  <c r="AQ4" i="17"/>
  <c r="AP4" i="17"/>
  <c r="AO4" i="17"/>
  <c r="AN4" i="17"/>
  <c r="AM4" i="17"/>
  <c r="AL4" i="17"/>
  <c r="AK4" i="17"/>
  <c r="AE4" i="17"/>
  <c r="AD4" i="17"/>
  <c r="AC4" i="17"/>
  <c r="AB4" i="17"/>
  <c r="AA4" i="17"/>
  <c r="Y4" i="17"/>
  <c r="S4" i="17"/>
  <c r="R4" i="17"/>
  <c r="Q4" i="17"/>
  <c r="P4" i="17"/>
  <c r="O4" i="17"/>
  <c r="N4" i="17"/>
  <c r="M4" i="17"/>
  <c r="BJ8" i="17" l="1"/>
  <c r="BC8" i="17"/>
  <c r="BI8" i="17"/>
  <c r="BB8" i="17"/>
  <c r="BA8" i="17"/>
  <c r="AY8" i="17"/>
  <c r="AZ8" i="17"/>
  <c r="AX8" i="17"/>
  <c r="AQ8" i="17"/>
  <c r="AW8" i="17"/>
  <c r="AP8" i="17"/>
  <c r="AO8" i="17"/>
  <c r="AM8" i="17"/>
  <c r="AN8" i="17"/>
  <c r="AL8" i="17"/>
  <c r="AK8" i="17"/>
  <c r="AE8" i="17"/>
  <c r="AD8" i="17"/>
  <c r="AB8" i="17"/>
  <c r="AC8" i="17"/>
  <c r="AA8" i="17"/>
  <c r="Z8" i="17"/>
  <c r="Y8" i="17"/>
  <c r="S8" i="17"/>
  <c r="Q8" i="17"/>
  <c r="R8" i="17"/>
  <c r="BJ11" i="17"/>
  <c r="BI11" i="17"/>
  <c r="BC11" i="17"/>
  <c r="BB11" i="17"/>
  <c r="BA11" i="17"/>
  <c r="AZ11" i="17"/>
  <c r="AY11" i="17"/>
  <c r="AX11" i="17"/>
  <c r="BJ13" i="17"/>
  <c r="BC13" i="17"/>
  <c r="BI13" i="17"/>
  <c r="BB13" i="17"/>
  <c r="BA13" i="17"/>
  <c r="AZ13" i="17"/>
  <c r="AY13" i="17"/>
  <c r="AX13" i="17"/>
  <c r="AQ13" i="17"/>
  <c r="AW13" i="17"/>
  <c r="AP13" i="17"/>
  <c r="AO13" i="17"/>
  <c r="AM13" i="17"/>
  <c r="AN13" i="17"/>
  <c r="AL13" i="17"/>
  <c r="AK13" i="17"/>
  <c r="AE13" i="17"/>
  <c r="AD13" i="17"/>
  <c r="AB13" i="17"/>
  <c r="AC13" i="17"/>
  <c r="AA13" i="17"/>
  <c r="Z13" i="17"/>
  <c r="Y13" i="17"/>
  <c r="S13" i="17"/>
  <c r="Q13" i="17"/>
  <c r="R13" i="17"/>
  <c r="BJ23" i="17"/>
  <c r="BC23" i="17"/>
  <c r="BI23" i="17"/>
  <c r="BB23" i="17"/>
  <c r="BA23" i="17"/>
  <c r="AY23" i="17"/>
  <c r="AZ23" i="17"/>
  <c r="AX23" i="17"/>
  <c r="AQ23" i="17"/>
  <c r="AW23" i="17"/>
  <c r="AP23" i="17"/>
  <c r="AO23" i="17"/>
  <c r="AM23" i="17"/>
  <c r="AN23" i="17"/>
  <c r="AL23" i="17"/>
  <c r="AE23" i="17"/>
  <c r="AK23" i="17"/>
  <c r="AD23" i="17"/>
  <c r="AC23" i="17"/>
  <c r="AB23" i="17"/>
  <c r="AA23" i="17"/>
  <c r="Z23" i="17"/>
  <c r="Y23" i="17"/>
  <c r="S23" i="17"/>
  <c r="Q23" i="17"/>
  <c r="R23" i="17"/>
  <c r="BJ27" i="17"/>
  <c r="BC27" i="17"/>
  <c r="BI27" i="17"/>
  <c r="BB27" i="17"/>
  <c r="BA27" i="17"/>
  <c r="AY27" i="17"/>
  <c r="AZ27" i="17"/>
  <c r="AX27" i="17"/>
  <c r="AW27" i="17"/>
  <c r="AQ27" i="17"/>
  <c r="AP27" i="17"/>
  <c r="AO27" i="17"/>
  <c r="AM27" i="17"/>
  <c r="AN27" i="17"/>
  <c r="AL27" i="17"/>
  <c r="AK27" i="17"/>
  <c r="AE27" i="17"/>
  <c r="AD27" i="17"/>
  <c r="AC27" i="17"/>
  <c r="AB27" i="17"/>
  <c r="AA27" i="17"/>
  <c r="Z27" i="17"/>
  <c r="Y27" i="17"/>
  <c r="S27" i="17"/>
  <c r="R27" i="17"/>
  <c r="Q27" i="17"/>
  <c r="BJ22" i="17"/>
  <c r="BI22" i="17"/>
  <c r="BB22" i="17"/>
  <c r="BC22" i="17"/>
  <c r="BA22" i="17"/>
  <c r="AZ22" i="17"/>
  <c r="AY22" i="17"/>
  <c r="AX22" i="17"/>
  <c r="AW22" i="17"/>
  <c r="AQ22" i="17"/>
  <c r="AP22" i="17"/>
  <c r="AO22" i="17"/>
  <c r="AM22" i="17"/>
  <c r="AN22" i="17"/>
  <c r="AL22" i="17"/>
  <c r="AE22" i="17"/>
  <c r="AK22" i="17"/>
  <c r="AD22" i="17"/>
  <c r="AB22" i="17"/>
  <c r="AC22" i="17"/>
  <c r="AA22" i="17"/>
  <c r="Z22" i="17"/>
  <c r="Y22" i="17"/>
  <c r="S22" i="17"/>
  <c r="R22" i="17"/>
  <c r="Q22" i="17"/>
  <c r="BJ15" i="17"/>
  <c r="BI15" i="17"/>
  <c r="BC15" i="17"/>
  <c r="BB15" i="17"/>
  <c r="BA15" i="17"/>
  <c r="AY15" i="17"/>
  <c r="AZ15" i="17"/>
  <c r="AX15" i="17"/>
  <c r="AW15" i="17"/>
  <c r="AQ15" i="17"/>
  <c r="AP15" i="17"/>
  <c r="AO15" i="17"/>
  <c r="AM15" i="17"/>
  <c r="AN15" i="17"/>
  <c r="AL15" i="17"/>
  <c r="AK15" i="17"/>
  <c r="AE15" i="17"/>
  <c r="AD15" i="17"/>
  <c r="AC15" i="17"/>
  <c r="AB15" i="17"/>
  <c r="AA15" i="17"/>
  <c r="Z15" i="17"/>
  <c r="Y15" i="17"/>
  <c r="S15" i="17"/>
  <c r="Q15" i="17"/>
  <c r="R15" i="17"/>
  <c r="BJ17" i="17"/>
  <c r="BC17" i="17"/>
  <c r="BB17" i="17"/>
  <c r="BI17" i="17"/>
  <c r="BA17" i="17"/>
  <c r="AZ17" i="17"/>
  <c r="AY17" i="17"/>
  <c r="AX17" i="17"/>
  <c r="AQ17" i="17"/>
  <c r="AW17" i="17"/>
  <c r="AP17" i="17"/>
  <c r="AO17" i="17"/>
  <c r="AM17" i="17"/>
  <c r="AN17" i="17"/>
  <c r="AL17" i="17"/>
  <c r="AK17" i="17"/>
  <c r="AE17" i="17"/>
  <c r="AD17" i="17"/>
  <c r="AC17" i="17"/>
  <c r="AB17" i="17"/>
  <c r="AA17" i="17"/>
  <c r="Z17" i="17"/>
  <c r="Y17" i="17"/>
  <c r="S17" i="17"/>
  <c r="Q17" i="17"/>
  <c r="R17" i="17"/>
  <c r="BJ26" i="17"/>
  <c r="BI26" i="17"/>
  <c r="BC26" i="17"/>
  <c r="BB26" i="17"/>
  <c r="BA26" i="17"/>
  <c r="AY26" i="17"/>
  <c r="AZ26" i="17"/>
  <c r="AX26" i="17"/>
  <c r="AW26" i="17"/>
  <c r="AQ26" i="17"/>
  <c r="AP26" i="17"/>
  <c r="AO26" i="17"/>
  <c r="AN26" i="17"/>
  <c r="AM26" i="17"/>
  <c r="AL26" i="17"/>
  <c r="AE26" i="17"/>
  <c r="AK26" i="17"/>
  <c r="AD26" i="17"/>
  <c r="AC26" i="17"/>
  <c r="AB26" i="17"/>
  <c r="AA26" i="17"/>
  <c r="Z26" i="17"/>
  <c r="Y26" i="17"/>
  <c r="S26" i="17"/>
  <c r="R26" i="17"/>
  <c r="Q26" i="17"/>
  <c r="BJ21" i="17"/>
  <c r="BC21" i="17"/>
  <c r="BB21" i="17"/>
  <c r="BI21" i="17"/>
  <c r="BA21" i="17"/>
  <c r="AY21" i="17"/>
  <c r="AZ21" i="17"/>
  <c r="AX21" i="17"/>
  <c r="AW21" i="17"/>
  <c r="AQ21" i="17"/>
  <c r="AP21" i="17"/>
  <c r="AO21" i="17"/>
  <c r="AN21" i="17"/>
  <c r="AM21" i="17"/>
  <c r="AL21" i="17"/>
  <c r="AE21" i="17"/>
  <c r="AK21" i="17"/>
  <c r="AD21" i="17"/>
  <c r="AC21" i="17"/>
  <c r="AB21" i="17"/>
  <c r="AA21" i="17"/>
  <c r="Z21" i="17"/>
  <c r="Y21" i="17"/>
  <c r="R21" i="17"/>
  <c r="S21" i="17"/>
  <c r="Q21" i="17"/>
  <c r="BJ12" i="17"/>
  <c r="BC12" i="17"/>
  <c r="BI12" i="17"/>
  <c r="BB12" i="17"/>
  <c r="BA12" i="17"/>
  <c r="AY12" i="17"/>
  <c r="AZ12" i="17"/>
  <c r="AX12" i="17"/>
  <c r="AW12" i="17"/>
  <c r="AQ12" i="17"/>
  <c r="AP12" i="17"/>
  <c r="AO12" i="17"/>
  <c r="AN12" i="17"/>
  <c r="AM12" i="17"/>
  <c r="AL12" i="17"/>
  <c r="AE12" i="17"/>
  <c r="AK12" i="17"/>
  <c r="AD12" i="17"/>
  <c r="AB12" i="17"/>
  <c r="AC12" i="17"/>
  <c r="AA12" i="17"/>
  <c r="Z12" i="17"/>
  <c r="Y12" i="17"/>
  <c r="S12" i="17"/>
  <c r="R12" i="17"/>
  <c r="Q12" i="17"/>
  <c r="BJ16" i="17"/>
  <c r="BC16" i="17"/>
  <c r="BI16" i="17"/>
  <c r="BB16" i="17"/>
  <c r="BA16" i="17"/>
  <c r="AY16" i="17"/>
  <c r="AZ16" i="17"/>
  <c r="AX16" i="17"/>
  <c r="AW16" i="17"/>
  <c r="AQ16" i="17"/>
  <c r="AP16" i="17"/>
  <c r="AO16" i="17"/>
  <c r="AN16" i="17"/>
  <c r="AM16" i="17"/>
  <c r="AL16" i="17"/>
  <c r="AE16" i="17"/>
  <c r="AK16" i="17"/>
  <c r="AD16" i="17"/>
  <c r="AB16" i="17"/>
  <c r="AC16" i="17"/>
  <c r="AA16" i="17"/>
  <c r="Z16" i="17"/>
  <c r="Y16" i="17"/>
  <c r="S16" i="17"/>
  <c r="R16" i="17"/>
  <c r="Q16" i="17"/>
  <c r="BJ25" i="17"/>
  <c r="BC25" i="17"/>
  <c r="BB25" i="17"/>
  <c r="BI25" i="17"/>
  <c r="BL25" i="17" s="1"/>
  <c r="BA25" i="17"/>
  <c r="AY25" i="17"/>
  <c r="AZ25" i="17"/>
  <c r="AX25" i="17"/>
  <c r="AW25" i="17"/>
  <c r="AQ25" i="17"/>
  <c r="AP25" i="17"/>
  <c r="AO25" i="17"/>
  <c r="AM25" i="17"/>
  <c r="AN25" i="17"/>
  <c r="AL25" i="17"/>
  <c r="AK25" i="17"/>
  <c r="AE25" i="17"/>
  <c r="AD25" i="17"/>
  <c r="AB25" i="17"/>
  <c r="AC25" i="17"/>
  <c r="AA25" i="17"/>
  <c r="Z25" i="17"/>
  <c r="Y25" i="17"/>
  <c r="S25" i="17"/>
  <c r="Q25" i="17"/>
  <c r="R25" i="17"/>
  <c r="BS4" i="17"/>
  <c r="BW10" i="17" s="1"/>
  <c r="BJ9" i="17"/>
  <c r="BI9" i="17"/>
  <c r="BC9" i="17"/>
  <c r="BB9" i="17"/>
  <c r="BA9" i="17"/>
  <c r="AZ9" i="17"/>
  <c r="AY9" i="17"/>
  <c r="AX9" i="17"/>
  <c r="AW9" i="17"/>
  <c r="AQ9" i="17"/>
  <c r="AP9" i="17"/>
  <c r="AO9" i="17"/>
  <c r="AN9" i="17"/>
  <c r="AM9" i="17"/>
  <c r="AL9" i="17"/>
  <c r="AE9" i="17"/>
  <c r="AK9" i="17"/>
  <c r="AD9" i="17"/>
  <c r="AC9" i="17"/>
  <c r="AB9" i="17"/>
  <c r="AA9" i="17"/>
  <c r="Z9" i="17"/>
  <c r="Y9" i="17"/>
  <c r="S9" i="17"/>
  <c r="R9" i="17"/>
  <c r="Q9" i="17"/>
  <c r="BJ10" i="17"/>
  <c r="BC10" i="17"/>
  <c r="BB10" i="17"/>
  <c r="BI10" i="17"/>
  <c r="BA10" i="17"/>
  <c r="AZ10" i="17"/>
  <c r="AY10" i="17"/>
  <c r="AX10" i="17"/>
  <c r="AW10" i="17"/>
  <c r="AQ10" i="17"/>
  <c r="AP10" i="17"/>
  <c r="AO10" i="17"/>
  <c r="AM10" i="17"/>
  <c r="AN10" i="17"/>
  <c r="AL10" i="17"/>
  <c r="AK10" i="17"/>
  <c r="AE10" i="17"/>
  <c r="AD10" i="17"/>
  <c r="AC10" i="17"/>
  <c r="AB10" i="17"/>
  <c r="AA10" i="17"/>
  <c r="Z10" i="17"/>
  <c r="Y10" i="17"/>
  <c r="S10" i="17"/>
  <c r="R10" i="17"/>
  <c r="Q10" i="17"/>
  <c r="BJ14" i="17"/>
  <c r="BC14" i="17"/>
  <c r="BB14" i="17"/>
  <c r="BI14" i="17"/>
  <c r="BA14" i="17"/>
  <c r="AZ14" i="17"/>
  <c r="AY14" i="17"/>
  <c r="AX14" i="17"/>
  <c r="AW14" i="17"/>
  <c r="AQ14" i="17"/>
  <c r="AP14" i="17"/>
  <c r="AO14" i="17"/>
  <c r="AM14" i="17"/>
  <c r="AN14" i="17"/>
  <c r="AL14" i="17"/>
  <c r="AE14" i="17"/>
  <c r="AK14" i="17"/>
  <c r="AD14" i="17"/>
  <c r="AC14" i="17"/>
  <c r="AB14" i="17"/>
  <c r="AA14" i="17"/>
  <c r="Z14" i="17"/>
  <c r="Y14" i="17"/>
  <c r="S14" i="17"/>
  <c r="R14" i="17"/>
  <c r="Q14" i="17"/>
  <c r="BJ24" i="17"/>
  <c r="BC24" i="17"/>
  <c r="BI24" i="17"/>
  <c r="BB24" i="17"/>
  <c r="BA24" i="17"/>
  <c r="AZ24" i="17"/>
  <c r="AY24" i="17"/>
  <c r="AX24" i="17"/>
  <c r="AW24" i="17"/>
  <c r="AW29" i="17" s="1"/>
  <c r="AQ24" i="17"/>
  <c r="AW11" i="17"/>
  <c r="AQ11" i="17"/>
  <c r="BF8" i="17"/>
  <c r="BU3" i="17"/>
  <c r="AP11" i="17"/>
  <c r="AO11" i="17"/>
  <c r="AM11" i="17"/>
  <c r="AN11" i="17"/>
  <c r="AL11" i="17"/>
  <c r="AK11" i="17"/>
  <c r="AE11" i="17"/>
  <c r="AD11" i="17"/>
  <c r="AC11" i="17"/>
  <c r="AB11" i="17"/>
  <c r="AA11" i="17"/>
  <c r="Z11" i="17"/>
  <c r="Y11" i="17"/>
  <c r="S11" i="17"/>
  <c r="R11" i="17"/>
  <c r="Q11" i="17"/>
  <c r="AP24" i="17"/>
  <c r="AO24" i="17"/>
  <c r="AN24" i="17"/>
  <c r="AM24" i="17"/>
  <c r="AL24" i="17"/>
  <c r="AE24" i="17"/>
  <c r="AK24" i="17"/>
  <c r="AD24" i="17"/>
  <c r="AC24" i="17"/>
  <c r="AB24" i="17"/>
  <c r="AA24" i="17"/>
  <c r="Z24" i="17"/>
  <c r="Y24" i="17"/>
  <c r="S24" i="17"/>
  <c r="Q24" i="17"/>
  <c r="R24" i="17"/>
  <c r="BW2" i="17"/>
  <c r="BX2" i="17" s="1"/>
  <c r="BY2" i="17" s="1"/>
  <c r="CE2" i="17"/>
  <c r="CF2" i="17" s="1"/>
  <c r="CA2" i="17"/>
  <c r="CB2" i="17" s="1"/>
  <c r="CC2" i="17" s="1"/>
  <c r="BS53" i="17"/>
  <c r="BT53" i="17" s="1"/>
  <c r="M10" i="17"/>
  <c r="U10" i="17" s="1"/>
  <c r="P10" i="17"/>
  <c r="O10" i="17"/>
  <c r="N10" i="17"/>
  <c r="P24" i="17"/>
  <c r="O24" i="17"/>
  <c r="N24" i="17"/>
  <c r="P21" i="17"/>
  <c r="O21" i="17"/>
  <c r="N21" i="17"/>
  <c r="P16" i="17"/>
  <c r="O16" i="17"/>
  <c r="N16" i="17"/>
  <c r="P22" i="17"/>
  <c r="O22" i="17"/>
  <c r="N22" i="17"/>
  <c r="P15" i="17"/>
  <c r="O15" i="17"/>
  <c r="N15" i="17"/>
  <c r="P17" i="17"/>
  <c r="O17" i="17"/>
  <c r="N17" i="17"/>
  <c r="P26" i="17"/>
  <c r="O26" i="17"/>
  <c r="N26" i="17"/>
  <c r="P9" i="17"/>
  <c r="O9" i="17"/>
  <c r="N9" i="17"/>
  <c r="P12" i="17"/>
  <c r="O12" i="17"/>
  <c r="N12" i="17"/>
  <c r="P25" i="17"/>
  <c r="O25" i="17"/>
  <c r="N25" i="17"/>
  <c r="P8" i="17"/>
  <c r="O8" i="17"/>
  <c r="N8" i="17"/>
  <c r="P11" i="17"/>
  <c r="O11" i="17"/>
  <c r="N11" i="17"/>
  <c r="P13" i="17"/>
  <c r="O13" i="17"/>
  <c r="N13" i="17"/>
  <c r="P23" i="17"/>
  <c r="O23" i="17"/>
  <c r="N23" i="17"/>
  <c r="P27" i="17"/>
  <c r="O27" i="17"/>
  <c r="N27" i="17"/>
  <c r="V8" i="17"/>
  <c r="P14" i="17"/>
  <c r="O14" i="17"/>
  <c r="N14" i="17"/>
  <c r="K11" i="17"/>
  <c r="I29" i="17"/>
  <c r="F31" i="17"/>
  <c r="I19" i="17"/>
  <c r="F29" i="17"/>
  <c r="H29" i="17"/>
  <c r="J29" i="17"/>
  <c r="J31" i="17"/>
  <c r="J33" i="17" s="1"/>
  <c r="BQ29" i="17"/>
  <c r="G31" i="17"/>
  <c r="G33" i="17" s="1"/>
  <c r="G29" i="17"/>
  <c r="BQ19" i="17"/>
  <c r="H31" i="17"/>
  <c r="K36" i="17"/>
  <c r="J19" i="17"/>
  <c r="I31" i="17"/>
  <c r="I33" i="17" s="1"/>
  <c r="H19" i="17"/>
  <c r="F19" i="17"/>
  <c r="G19" i="17"/>
  <c r="M14" i="17"/>
  <c r="J42" i="17"/>
  <c r="BP42" i="17" s="1"/>
  <c r="K17" i="17"/>
  <c r="AH17" i="17" s="1"/>
  <c r="K12" i="17"/>
  <c r="BM12" i="17" s="1"/>
  <c r="K26" i="17"/>
  <c r="BM26" i="17" s="1"/>
  <c r="K37" i="17"/>
  <c r="H42" i="17"/>
  <c r="K35" i="17"/>
  <c r="K39" i="17"/>
  <c r="K40" i="17"/>
  <c r="K38" i="17"/>
  <c r="K9" i="17"/>
  <c r="AH9" i="17" s="1"/>
  <c r="K10" i="17"/>
  <c r="K13" i="17"/>
  <c r="K14" i="17"/>
  <c r="K24" i="17"/>
  <c r="AT24" i="17" s="1"/>
  <c r="K27" i="17"/>
  <c r="BM27" i="17" s="1"/>
  <c r="E33" i="17"/>
  <c r="BL4" i="17"/>
  <c r="K21" i="17"/>
  <c r="K22" i="17"/>
  <c r="BM22" i="17" s="1"/>
  <c r="K16" i="17"/>
  <c r="V16" i="17" s="1"/>
  <c r="K25" i="17"/>
  <c r="AH25" i="17" s="1"/>
  <c r="K15" i="17"/>
  <c r="K23" i="17"/>
  <c r="AT23" i="17" s="1"/>
  <c r="F42" i="17"/>
  <c r="AS4" i="17"/>
  <c r="U4" i="17"/>
  <c r="M11" i="17"/>
  <c r="M12" i="17"/>
  <c r="M13" i="17"/>
  <c r="M27" i="17"/>
  <c r="M8" i="17"/>
  <c r="M9" i="17"/>
  <c r="AG4" i="17"/>
  <c r="BE4" i="17"/>
  <c r="M21" i="17"/>
  <c r="M24" i="17"/>
  <c r="BE21" i="17"/>
  <c r="M22" i="17"/>
  <c r="M15" i="17"/>
  <c r="M16" i="17"/>
  <c r="M17" i="17"/>
  <c r="M23" i="17"/>
  <c r="M26" i="17"/>
  <c r="M25" i="17"/>
  <c r="G42" i="17"/>
  <c r="E53" i="17"/>
  <c r="J53" i="17" s="1"/>
  <c r="E52" i="17"/>
  <c r="J52" i="17" s="1"/>
  <c r="E47" i="17"/>
  <c r="J47" i="17" s="1"/>
  <c r="I42" i="17"/>
  <c r="U13" i="17" l="1"/>
  <c r="BS10" i="17"/>
  <c r="BT10" i="17" s="1"/>
  <c r="R19" i="17"/>
  <c r="AA19" i="17"/>
  <c r="AE19" i="17"/>
  <c r="AM19" i="17"/>
  <c r="AG10" i="17"/>
  <c r="AS10" i="17"/>
  <c r="BE10" i="17"/>
  <c r="AS21" i="17"/>
  <c r="BE17" i="17"/>
  <c r="BE22" i="17"/>
  <c r="S19" i="17"/>
  <c r="AB19" i="17"/>
  <c r="U21" i="17"/>
  <c r="Y19" i="17"/>
  <c r="AC19" i="17"/>
  <c r="AL19" i="17"/>
  <c r="AP19" i="17"/>
  <c r="Q19" i="17"/>
  <c r="Z19" i="17"/>
  <c r="AD19" i="17"/>
  <c r="AN19" i="17"/>
  <c r="AQ29" i="17"/>
  <c r="AX31" i="17"/>
  <c r="BL12" i="17"/>
  <c r="BN12" i="17" s="1"/>
  <c r="BL27" i="17"/>
  <c r="BN27" i="17" s="1"/>
  <c r="AK19" i="17"/>
  <c r="AO19" i="17"/>
  <c r="BL14" i="17"/>
  <c r="BL13" i="17"/>
  <c r="BJ47" i="17"/>
  <c r="BB47" i="17"/>
  <c r="BC47" i="17"/>
  <c r="BI47" i="17"/>
  <c r="BA47" i="17"/>
  <c r="AY47" i="17"/>
  <c r="AZ47" i="17"/>
  <c r="AX47" i="17"/>
  <c r="BC19" i="17"/>
  <c r="BA29" i="17"/>
  <c r="BJ29" i="17"/>
  <c r="BA19" i="17"/>
  <c r="BJ31" i="17"/>
  <c r="BJ33" i="17" s="1"/>
  <c r="BI29" i="17"/>
  <c r="BL22" i="17"/>
  <c r="BN22" i="17" s="1"/>
  <c r="AY19" i="17"/>
  <c r="AY31" i="17"/>
  <c r="BB19" i="17"/>
  <c r="BC29" i="17"/>
  <c r="BE8" i="17"/>
  <c r="BC31" i="17"/>
  <c r="BF3" i="17"/>
  <c r="BM3" i="17"/>
  <c r="BI31" i="17"/>
  <c r="BI19" i="17"/>
  <c r="BL8" i="17"/>
  <c r="BL24" i="17"/>
  <c r="BA31" i="17"/>
  <c r="BJ19" i="17"/>
  <c r="BL16" i="17"/>
  <c r="AZ29" i="17"/>
  <c r="BB29" i="17"/>
  <c r="AY29" i="17"/>
  <c r="BL23" i="17"/>
  <c r="AZ31" i="17"/>
  <c r="AZ33" i="17" s="1"/>
  <c r="BL10" i="17"/>
  <c r="BL9" i="17"/>
  <c r="AX29" i="17"/>
  <c r="BL21" i="17"/>
  <c r="BL26" i="17"/>
  <c r="BN26" i="17" s="1"/>
  <c r="BL17" i="17"/>
  <c r="BL15" i="17"/>
  <c r="AZ19" i="17"/>
  <c r="BL11" i="17"/>
  <c r="AS8" i="17"/>
  <c r="AU8" i="17" s="1"/>
  <c r="AX19" i="17"/>
  <c r="BB31" i="17"/>
  <c r="AW47" i="17"/>
  <c r="AQ47" i="17"/>
  <c r="V3" i="17"/>
  <c r="AT3" i="17"/>
  <c r="BS5" i="17"/>
  <c r="BT5" i="17" s="1"/>
  <c r="AQ19" i="17"/>
  <c r="AQ31" i="17"/>
  <c r="AQ33" i="17" s="1"/>
  <c r="AQ45" i="17" s="1"/>
  <c r="AQ50" i="17" s="1"/>
  <c r="AW31" i="17"/>
  <c r="AW19" i="17"/>
  <c r="BU4" i="17"/>
  <c r="BT4" i="17"/>
  <c r="BG8" i="17"/>
  <c r="Q29" i="17"/>
  <c r="Q31" i="17"/>
  <c r="AA31" i="17"/>
  <c r="AA33" i="17" s="1"/>
  <c r="AA45" i="17" s="1"/>
  <c r="AA50" i="17" s="1"/>
  <c r="AA29" i="17"/>
  <c r="AK29" i="17"/>
  <c r="AK31" i="17"/>
  <c r="AN29" i="17"/>
  <c r="AN31" i="17"/>
  <c r="AN33" i="17" s="1"/>
  <c r="AN45" i="17" s="1"/>
  <c r="AN50" i="17" s="1"/>
  <c r="AH3" i="17"/>
  <c r="R31" i="17"/>
  <c r="R33" i="17" s="1"/>
  <c r="R29" i="17"/>
  <c r="AM31" i="17"/>
  <c r="AM33" i="17" s="1"/>
  <c r="AM29" i="17"/>
  <c r="AH11" i="17"/>
  <c r="S29" i="17"/>
  <c r="S31" i="17"/>
  <c r="S33" i="17" s="1"/>
  <c r="S45" i="17" s="1"/>
  <c r="S50" i="17" s="1"/>
  <c r="AB29" i="17"/>
  <c r="AB31" i="17"/>
  <c r="AB33" i="17" s="1"/>
  <c r="AE31" i="17"/>
  <c r="AE33" i="17" s="1"/>
  <c r="AE45" i="17" s="1"/>
  <c r="AE50" i="17" s="1"/>
  <c r="AE29" i="17"/>
  <c r="AO29" i="17"/>
  <c r="AO31" i="17"/>
  <c r="Z31" i="17"/>
  <c r="Z29" i="17"/>
  <c r="AD29" i="17"/>
  <c r="AD31" i="17"/>
  <c r="AP47" i="17"/>
  <c r="AO47" i="17"/>
  <c r="AM47" i="17"/>
  <c r="AN47" i="17"/>
  <c r="AL47" i="17"/>
  <c r="AE47" i="17"/>
  <c r="AK47" i="17"/>
  <c r="AD47" i="17"/>
  <c r="AC47" i="17"/>
  <c r="AB47" i="17"/>
  <c r="AA47" i="17"/>
  <c r="Z47" i="17"/>
  <c r="Y47" i="17"/>
  <c r="S47" i="17"/>
  <c r="R47" i="17"/>
  <c r="Q47" i="17"/>
  <c r="Y29" i="17"/>
  <c r="Y31" i="17"/>
  <c r="AC31" i="17"/>
  <c r="AC33" i="17" s="1"/>
  <c r="AC45" i="17" s="1"/>
  <c r="AC50" i="17" s="1"/>
  <c r="AC29" i="17"/>
  <c r="AL29" i="17"/>
  <c r="AL31" i="17"/>
  <c r="AL33" i="17" s="1"/>
  <c r="AP31" i="17"/>
  <c r="AP33" i="17" s="1"/>
  <c r="AP29" i="17"/>
  <c r="BW4" i="17"/>
  <c r="BX4" i="17" s="1"/>
  <c r="P29" i="17"/>
  <c r="U11" i="17"/>
  <c r="N29" i="17"/>
  <c r="U27" i="17"/>
  <c r="O29" i="17"/>
  <c r="O31" i="17"/>
  <c r="O33" i="17" s="1"/>
  <c r="O19" i="17"/>
  <c r="P19" i="17"/>
  <c r="P31" i="17"/>
  <c r="P33" i="17" s="1"/>
  <c r="N31" i="17"/>
  <c r="N33" i="17" s="1"/>
  <c r="N45" i="17" s="1"/>
  <c r="N50" i="17" s="1"/>
  <c r="N19" i="17"/>
  <c r="BF13" i="17"/>
  <c r="K47" i="17"/>
  <c r="K31" i="17"/>
  <c r="K42" i="17"/>
  <c r="BF10" i="17"/>
  <c r="BG10" i="17" s="1"/>
  <c r="J44" i="17"/>
  <c r="M29" i="17"/>
  <c r="BS8" i="17"/>
  <c r="M19" i="17"/>
  <c r="M31" i="17"/>
  <c r="BM21" i="17"/>
  <c r="K29" i="17"/>
  <c r="V10" i="17"/>
  <c r="W10" i="17" s="1"/>
  <c r="BM10" i="17"/>
  <c r="BN10" i="17" s="1"/>
  <c r="AH14" i="17"/>
  <c r="BM8" i="17"/>
  <c r="K19" i="17"/>
  <c r="AH10" i="17"/>
  <c r="AI10" i="17" s="1"/>
  <c r="AT10" i="17"/>
  <c r="AU10" i="17" s="1"/>
  <c r="AH15" i="17"/>
  <c r="AT17" i="17"/>
  <c r="AT12" i="17"/>
  <c r="BF12" i="17"/>
  <c r="AH12" i="17"/>
  <c r="BF14" i="17"/>
  <c r="V12" i="17"/>
  <c r="V27" i="17"/>
  <c r="V17" i="17"/>
  <c r="BF17" i="17"/>
  <c r="BG17" i="17" s="1"/>
  <c r="BM17" i="17"/>
  <c r="BN17" i="17" s="1"/>
  <c r="AT22" i="17"/>
  <c r="AH26" i="17"/>
  <c r="BF16" i="17"/>
  <c r="V26" i="17"/>
  <c r="AH27" i="17"/>
  <c r="BF26" i="17"/>
  <c r="AT26" i="17"/>
  <c r="BF23" i="17"/>
  <c r="BM9" i="17"/>
  <c r="BN9" i="17" s="1"/>
  <c r="AT9" i="17"/>
  <c r="AH23" i="17"/>
  <c r="V9" i="17"/>
  <c r="BF22" i="17"/>
  <c r="BG22" i="17" s="1"/>
  <c r="V14" i="17"/>
  <c r="BF9" i="17"/>
  <c r="BM11" i="17"/>
  <c r="BN11" i="17" s="1"/>
  <c r="AT15" i="17"/>
  <c r="BM13" i="17"/>
  <c r="BN13" i="17" s="1"/>
  <c r="V23" i="17"/>
  <c r="AT16" i="17"/>
  <c r="V21" i="17"/>
  <c r="BF11" i="17"/>
  <c r="BF15" i="17"/>
  <c r="BM23" i="17"/>
  <c r="BN23" i="17" s="1"/>
  <c r="V15" i="17"/>
  <c r="V11" i="17"/>
  <c r="BM25" i="17"/>
  <c r="BN25" i="17" s="1"/>
  <c r="AH21" i="17"/>
  <c r="AH8" i="17"/>
  <c r="V22" i="17"/>
  <c r="I44" i="17"/>
  <c r="G44" i="17"/>
  <c r="BF27" i="17"/>
  <c r="AH22" i="17"/>
  <c r="BM15" i="17"/>
  <c r="BN15" i="17" s="1"/>
  <c r="V25" i="17"/>
  <c r="AT27" i="17"/>
  <c r="BF21" i="17"/>
  <c r="BM14" i="17"/>
  <c r="BN14" i="17" s="1"/>
  <c r="AT21" i="17"/>
  <c r="AH16" i="17"/>
  <c r="AT14" i="17"/>
  <c r="AT13" i="17"/>
  <c r="V13" i="17"/>
  <c r="W13" i="17" s="1"/>
  <c r="AH13" i="17"/>
  <c r="BM16" i="17"/>
  <c r="BN16" i="17" s="1"/>
  <c r="AT11" i="17"/>
  <c r="V24" i="17"/>
  <c r="BF24" i="17"/>
  <c r="AH24" i="17"/>
  <c r="BF25" i="17"/>
  <c r="BM24" i="17"/>
  <c r="AT25" i="17"/>
  <c r="BS12" i="17"/>
  <c r="BT12" i="17" s="1"/>
  <c r="AS26" i="17"/>
  <c r="BE26" i="17"/>
  <c r="BE14" i="17"/>
  <c r="AS13" i="17"/>
  <c r="Z33" i="17"/>
  <c r="U14" i="17"/>
  <c r="AS11" i="17"/>
  <c r="AD33" i="17"/>
  <c r="BB33" i="17"/>
  <c r="AS25" i="17"/>
  <c r="AG17" i="17"/>
  <c r="AI17" i="17" s="1"/>
  <c r="AG22" i="17"/>
  <c r="BE13" i="17"/>
  <c r="U12" i="17"/>
  <c r="AS14" i="17"/>
  <c r="AG13" i="17"/>
  <c r="BE25" i="17"/>
  <c r="AG11" i="17"/>
  <c r="AI11" i="17" s="1"/>
  <c r="BE24" i="17"/>
  <c r="AG21" i="17"/>
  <c r="BE9" i="17"/>
  <c r="CA4" i="17"/>
  <c r="BS24" i="17"/>
  <c r="BT24" i="17" s="1"/>
  <c r="U24" i="17"/>
  <c r="AS24" i="17"/>
  <c r="AU24" i="17" s="1"/>
  <c r="BS21" i="17"/>
  <c r="AY33" i="17"/>
  <c r="U8" i="17"/>
  <c r="F44" i="17"/>
  <c r="F33" i="17"/>
  <c r="BS13" i="17"/>
  <c r="BT13" i="17" s="1"/>
  <c r="BC33" i="17"/>
  <c r="AG23" i="17"/>
  <c r="AS12" i="17"/>
  <c r="AG12" i="17"/>
  <c r="E48" i="17"/>
  <c r="I47" i="17"/>
  <c r="G47" i="17"/>
  <c r="F47" i="17"/>
  <c r="E54" i="17"/>
  <c r="J54" i="17" s="1"/>
  <c r="H47" i="17"/>
  <c r="BE15" i="17"/>
  <c r="AG15" i="17"/>
  <c r="AG26" i="17"/>
  <c r="AG9" i="17"/>
  <c r="AI9" i="17" s="1"/>
  <c r="BA33" i="17"/>
  <c r="AG24" i="17"/>
  <c r="BS14" i="17"/>
  <c r="BT14" i="17" s="1"/>
  <c r="H44" i="17"/>
  <c r="H33" i="17"/>
  <c r="AS27" i="17"/>
  <c r="AG27" i="17"/>
  <c r="U25" i="17"/>
  <c r="BS25" i="17"/>
  <c r="BT25" i="17" s="1"/>
  <c r="AG14" i="17"/>
  <c r="AG8" i="17"/>
  <c r="Q33" i="17"/>
  <c r="Q45" i="17" s="1"/>
  <c r="Q50" i="17" s="1"/>
  <c r="BS27" i="17"/>
  <c r="BT27" i="17" s="1"/>
  <c r="G53" i="17"/>
  <c r="K53" i="17"/>
  <c r="F53" i="17"/>
  <c r="I53" i="17"/>
  <c r="H53" i="17"/>
  <c r="CA3" i="17"/>
  <c r="BE23" i="17"/>
  <c r="AG25" i="17"/>
  <c r="AI25" i="17" s="1"/>
  <c r="BE12" i="17"/>
  <c r="G52" i="17"/>
  <c r="F52" i="17"/>
  <c r="I52" i="17"/>
  <c r="H52" i="17"/>
  <c r="BW3" i="17"/>
  <c r="BT3" i="17" s="1"/>
  <c r="BE16" i="17"/>
  <c r="AG16" i="17"/>
  <c r="BS26" i="17"/>
  <c r="BT26" i="17" s="1"/>
  <c r="U26" i="17"/>
  <c r="AS23" i="17"/>
  <c r="AU23" i="17" s="1"/>
  <c r="BS23" i="17"/>
  <c r="BT23" i="17" s="1"/>
  <c r="U23" i="17"/>
  <c r="AS17" i="17"/>
  <c r="BS17" i="17"/>
  <c r="BT17" i="17" s="1"/>
  <c r="U17" i="17"/>
  <c r="AS16" i="17"/>
  <c r="BS16" i="17"/>
  <c r="BT16" i="17" s="1"/>
  <c r="U16" i="17"/>
  <c r="W16" i="17" s="1"/>
  <c r="AS15" i="17"/>
  <c r="BS15" i="17"/>
  <c r="BT15" i="17" s="1"/>
  <c r="U15" i="17"/>
  <c r="AS22" i="17"/>
  <c r="BS22" i="17"/>
  <c r="BT22" i="17" s="1"/>
  <c r="U22" i="17"/>
  <c r="AS9" i="17"/>
  <c r="U9" i="17"/>
  <c r="BS9" i="17"/>
  <c r="BT9" i="17" s="1"/>
  <c r="AO33" i="17"/>
  <c r="AO45" i="17" s="1"/>
  <c r="AO50" i="17" s="1"/>
  <c r="BE27" i="17"/>
  <c r="BR24" i="16"/>
  <c r="BN24" i="17" l="1"/>
  <c r="BL29" i="17"/>
  <c r="BA37" i="17"/>
  <c r="BA41" i="17"/>
  <c r="BA39" i="17"/>
  <c r="BA38" i="17"/>
  <c r="BA36" i="17"/>
  <c r="BA40" i="17"/>
  <c r="BA45" i="17"/>
  <c r="BA50" i="17" s="1"/>
  <c r="BA35" i="17"/>
  <c r="BJ44" i="17"/>
  <c r="BJ45" i="17" s="1"/>
  <c r="BB44" i="17"/>
  <c r="BB45" i="17" s="1"/>
  <c r="BB50" i="17" s="1"/>
  <c r="BI44" i="17"/>
  <c r="BC44" i="17"/>
  <c r="BA44" i="17"/>
  <c r="AZ44" i="17"/>
  <c r="AZ45" i="17" s="1"/>
  <c r="AZ50" i="17" s="1"/>
  <c r="AY44" i="17"/>
  <c r="AX44" i="17"/>
  <c r="AW44" i="17"/>
  <c r="AQ44" i="17"/>
  <c r="AP44" i="17"/>
  <c r="AO44" i="17"/>
  <c r="AN44" i="17"/>
  <c r="AM44" i="17"/>
  <c r="AS44" i="17" s="1"/>
  <c r="AL44" i="17"/>
  <c r="AE44" i="17"/>
  <c r="AK44" i="17"/>
  <c r="AD44" i="17"/>
  <c r="AD45" i="17" s="1"/>
  <c r="AB44" i="17"/>
  <c r="AC44" i="17"/>
  <c r="AA44" i="17"/>
  <c r="Z44" i="17"/>
  <c r="Y44" i="17"/>
  <c r="S44" i="17"/>
  <c r="Q44" i="17"/>
  <c r="R44" i="17"/>
  <c r="BJ39" i="17"/>
  <c r="BJ35" i="17"/>
  <c r="BJ38" i="17"/>
  <c r="BJ40" i="17"/>
  <c r="BJ36" i="17"/>
  <c r="BJ41" i="17"/>
  <c r="BJ37" i="17"/>
  <c r="BJ52" i="17"/>
  <c r="AS19" i="17"/>
  <c r="BL19" i="17"/>
  <c r="AZ35" i="17"/>
  <c r="AZ39" i="17"/>
  <c r="AZ41" i="17"/>
  <c r="AZ36" i="17"/>
  <c r="AZ38" i="17"/>
  <c r="AZ37" i="17"/>
  <c r="AZ40" i="17"/>
  <c r="BL31" i="17"/>
  <c r="BI33" i="17"/>
  <c r="BL47" i="17"/>
  <c r="BN8" i="17"/>
  <c r="BM31" i="17"/>
  <c r="BM19" i="17"/>
  <c r="BN21" i="17"/>
  <c r="BN29" i="17" s="1"/>
  <c r="BM29" i="17"/>
  <c r="BC38" i="17"/>
  <c r="BC35" i="17"/>
  <c r="BC39" i="17"/>
  <c r="BC45" i="17"/>
  <c r="BC50" i="17" s="1"/>
  <c r="BC36" i="17"/>
  <c r="BC40" i="17"/>
  <c r="BC37" i="17"/>
  <c r="BC41" i="17"/>
  <c r="BB36" i="17"/>
  <c r="BB38" i="17"/>
  <c r="BB40" i="17"/>
  <c r="BB37" i="17"/>
  <c r="BB41" i="17"/>
  <c r="BB35" i="17"/>
  <c r="BB39" i="17"/>
  <c r="AY38" i="17"/>
  <c r="AY36" i="17"/>
  <c r="AY40" i="17"/>
  <c r="AY35" i="17"/>
  <c r="AY39" i="17"/>
  <c r="AY45" i="17"/>
  <c r="AY50" i="17" s="1"/>
  <c r="AY37" i="17"/>
  <c r="AY41" i="17"/>
  <c r="BE29" i="17"/>
  <c r="AN39" i="17"/>
  <c r="BW6" i="17"/>
  <c r="BW7" i="17" s="1"/>
  <c r="BE31" i="17"/>
  <c r="AW33" i="17"/>
  <c r="BU5" i="17"/>
  <c r="BU7" i="17"/>
  <c r="AT19" i="17"/>
  <c r="BF19" i="17"/>
  <c r="BF31" i="17"/>
  <c r="BG21" i="17"/>
  <c r="BF29" i="17"/>
  <c r="V31" i="17"/>
  <c r="AN38" i="17"/>
  <c r="N38" i="17"/>
  <c r="W11" i="17"/>
  <c r="AP39" i="17"/>
  <c r="AP45" i="17"/>
  <c r="AP50" i="17" s="1"/>
  <c r="AP40" i="17"/>
  <c r="AP52" i="17"/>
  <c r="AP41" i="17"/>
  <c r="AP35" i="17"/>
  <c r="AS31" i="17"/>
  <c r="Y33" i="17"/>
  <c r="AG31" i="17"/>
  <c r="AD52" i="17"/>
  <c r="AN40" i="17"/>
  <c r="Z38" i="17"/>
  <c r="Z45" i="17"/>
  <c r="Z50" i="17" s="1"/>
  <c r="AN36" i="17"/>
  <c r="AN37" i="17"/>
  <c r="N41" i="17"/>
  <c r="R36" i="17"/>
  <c r="R45" i="17"/>
  <c r="R50" i="17" s="1"/>
  <c r="AN35" i="17"/>
  <c r="N39" i="17"/>
  <c r="AH31" i="17"/>
  <c r="AN41" i="17"/>
  <c r="AN52" i="17"/>
  <c r="AL41" i="17"/>
  <c r="AL37" i="17"/>
  <c r="AL36" i="17"/>
  <c r="AL38" i="17"/>
  <c r="AL40" i="17"/>
  <c r="AL45" i="17"/>
  <c r="AL50" i="17" s="1"/>
  <c r="AL39" i="17"/>
  <c r="AL35" i="17"/>
  <c r="AB40" i="17"/>
  <c r="AB45" i="17"/>
  <c r="AB50" i="17" s="1"/>
  <c r="AP37" i="17"/>
  <c r="AP36" i="17"/>
  <c r="AP38" i="17"/>
  <c r="AS29" i="17"/>
  <c r="AT29" i="17"/>
  <c r="AT31" i="17"/>
  <c r="AU21" i="17"/>
  <c r="AG29" i="17"/>
  <c r="AG19" i="17"/>
  <c r="AH19" i="17"/>
  <c r="AH29" i="17"/>
  <c r="U31" i="17"/>
  <c r="CB4" i="17"/>
  <c r="CC4" i="17" s="1"/>
  <c r="P44" i="17"/>
  <c r="O44" i="17"/>
  <c r="O45" i="17" s="1"/>
  <c r="O50" i="17" s="1"/>
  <c r="N44" i="17"/>
  <c r="M44" i="17"/>
  <c r="N35" i="17"/>
  <c r="N52" i="17"/>
  <c r="N36" i="17"/>
  <c r="P37" i="17"/>
  <c r="P45" i="17"/>
  <c r="P50" i="17" s="1"/>
  <c r="V19" i="17"/>
  <c r="N37" i="17"/>
  <c r="N40" i="17"/>
  <c r="P47" i="17"/>
  <c r="O47" i="17"/>
  <c r="N47" i="17"/>
  <c r="AI14" i="17"/>
  <c r="BG13" i="17"/>
  <c r="U19" i="17"/>
  <c r="BT21" i="17"/>
  <c r="BS29" i="17"/>
  <c r="BT29" i="17" s="1"/>
  <c r="U29" i="17"/>
  <c r="V29" i="17"/>
  <c r="AU26" i="17"/>
  <c r="AU12" i="17"/>
  <c r="AI15" i="17"/>
  <c r="AU17" i="17"/>
  <c r="W12" i="17"/>
  <c r="AI12" i="17"/>
  <c r="W27" i="17"/>
  <c r="AU22" i="17"/>
  <c r="BG12" i="17"/>
  <c r="BG14" i="17"/>
  <c r="BG16" i="17"/>
  <c r="BG26" i="17"/>
  <c r="W17" i="17"/>
  <c r="AI26" i="17"/>
  <c r="AD39" i="17"/>
  <c r="W15" i="17"/>
  <c r="Z37" i="17"/>
  <c r="P40" i="17"/>
  <c r="AU25" i="17"/>
  <c r="W26" i="17"/>
  <c r="AI23" i="17"/>
  <c r="AD38" i="17"/>
  <c r="AI27" i="17"/>
  <c r="BG15" i="17"/>
  <c r="AB35" i="17"/>
  <c r="W9" i="17"/>
  <c r="BG23" i="17"/>
  <c r="R53" i="17"/>
  <c r="R40" i="17"/>
  <c r="AU9" i="17"/>
  <c r="Z39" i="17"/>
  <c r="AU16" i="17"/>
  <c r="R39" i="17"/>
  <c r="W14" i="17"/>
  <c r="W23" i="17"/>
  <c r="BG9" i="17"/>
  <c r="BG25" i="17"/>
  <c r="BG27" i="17"/>
  <c r="W21" i="17"/>
  <c r="AU14" i="17"/>
  <c r="AU15" i="17"/>
  <c r="BG24" i="17"/>
  <c r="AI13" i="17"/>
  <c r="AI16" i="17"/>
  <c r="AI8" i="17"/>
  <c r="W25" i="17"/>
  <c r="AU11" i="17"/>
  <c r="W8" i="17"/>
  <c r="AI21" i="17"/>
  <c r="AI24" i="17"/>
  <c r="AU13" i="17"/>
  <c r="W22" i="17"/>
  <c r="AU27" i="17"/>
  <c r="AI22" i="17"/>
  <c r="W24" i="17"/>
  <c r="P35" i="17"/>
  <c r="BB52" i="17"/>
  <c r="AL52" i="17"/>
  <c r="AB41" i="17"/>
  <c r="Z41" i="17"/>
  <c r="Z40" i="17"/>
  <c r="Z35" i="17"/>
  <c r="Z52" i="17"/>
  <c r="Z36" i="17"/>
  <c r="AZ52" i="17"/>
  <c r="R41" i="17"/>
  <c r="R38" i="17"/>
  <c r="R35" i="17"/>
  <c r="R52" i="17"/>
  <c r="R37" i="17"/>
  <c r="AD35" i="17"/>
  <c r="AB36" i="17"/>
  <c r="AD36" i="17"/>
  <c r="AD37" i="17"/>
  <c r="P36" i="17"/>
  <c r="P38" i="17"/>
  <c r="AB37" i="17"/>
  <c r="AB39" i="17"/>
  <c r="AD41" i="17"/>
  <c r="P41" i="17"/>
  <c r="P52" i="17"/>
  <c r="AB52" i="17"/>
  <c r="AD40" i="17"/>
  <c r="P39" i="17"/>
  <c r="AB38" i="17"/>
  <c r="AN53" i="17"/>
  <c r="BF4" i="17"/>
  <c r="BG4" i="17" s="1"/>
  <c r="BG3" i="17"/>
  <c r="K52" i="17"/>
  <c r="H54" i="17"/>
  <c r="G54" i="17"/>
  <c r="K54" i="17"/>
  <c r="F54" i="17"/>
  <c r="I54" i="17"/>
  <c r="BC52" i="17"/>
  <c r="O52" i="17"/>
  <c r="O40" i="17"/>
  <c r="O36" i="17"/>
  <c r="O35" i="17"/>
  <c r="O37" i="17"/>
  <c r="O41" i="17"/>
  <c r="O38" i="17"/>
  <c r="O39" i="17"/>
  <c r="G48" i="17"/>
  <c r="I48" i="17"/>
  <c r="H48" i="17"/>
  <c r="F48" i="17"/>
  <c r="CG2" i="17"/>
  <c r="AM40" i="17"/>
  <c r="AM41" i="17"/>
  <c r="AM36" i="17"/>
  <c r="AM35" i="17"/>
  <c r="AM52" i="17"/>
  <c r="AM37" i="17"/>
  <c r="AM39" i="17"/>
  <c r="AM38" i="17"/>
  <c r="N53" i="17"/>
  <c r="AC52" i="17"/>
  <c r="AC40" i="17"/>
  <c r="AC36" i="17"/>
  <c r="AC35" i="17"/>
  <c r="AC37" i="17"/>
  <c r="AC41" i="17"/>
  <c r="AC39" i="17"/>
  <c r="AC38" i="17"/>
  <c r="BA52" i="17"/>
  <c r="AY52" i="17"/>
  <c r="AG44" i="17"/>
  <c r="CB3" i="17"/>
  <c r="CA1" i="17"/>
  <c r="AH4" i="17"/>
  <c r="AI5" i="17" s="1"/>
  <c r="AI3" i="17"/>
  <c r="AI4" i="17" s="1"/>
  <c r="E57" i="17"/>
  <c r="Q52" i="17"/>
  <c r="Q38" i="17"/>
  <c r="Q41" i="17"/>
  <c r="Q39" i="17"/>
  <c r="Q40" i="17"/>
  <c r="Q37" i="17"/>
  <c r="Q36" i="17"/>
  <c r="Q35" i="17"/>
  <c r="M33" i="17"/>
  <c r="AQ40" i="17"/>
  <c r="AQ52" i="17"/>
  <c r="AQ36" i="17"/>
  <c r="AQ35" i="17"/>
  <c r="AQ41" i="17"/>
  <c r="AQ37" i="17"/>
  <c r="AQ38" i="17"/>
  <c r="AQ39" i="17"/>
  <c r="AA52" i="17"/>
  <c r="AA38" i="17"/>
  <c r="AA40" i="17"/>
  <c r="AA39" i="17"/>
  <c r="AA41" i="17"/>
  <c r="AA37" i="17"/>
  <c r="AA36" i="17"/>
  <c r="AA35" i="17"/>
  <c r="BT8" i="17"/>
  <c r="S52" i="17"/>
  <c r="S40" i="17"/>
  <c r="S41" i="17"/>
  <c r="S36" i="17"/>
  <c r="S35" i="17"/>
  <c r="S37" i="17"/>
  <c r="S39" i="17"/>
  <c r="S38" i="17"/>
  <c r="AT4" i="17"/>
  <c r="AU4" i="17" s="1"/>
  <c r="AU3" i="17"/>
  <c r="AO52" i="17"/>
  <c r="AO40" i="17"/>
  <c r="AO38" i="17"/>
  <c r="AO39" i="17"/>
  <c r="AO41" i="17"/>
  <c r="AO36" i="17"/>
  <c r="AO35" i="17"/>
  <c r="AO37" i="17"/>
  <c r="W3" i="17"/>
  <c r="W4" i="17" s="1"/>
  <c r="V4" i="17"/>
  <c r="BW1" i="17"/>
  <c r="BX3" i="17"/>
  <c r="BY3" i="17" s="1"/>
  <c r="J48" i="17"/>
  <c r="M47" i="17"/>
  <c r="AK33" i="17"/>
  <c r="AE52" i="17"/>
  <c r="AE41" i="17"/>
  <c r="AE38" i="17"/>
  <c r="AE39" i="17"/>
  <c r="AE40" i="17"/>
  <c r="AE36" i="17"/>
  <c r="AE35" i="17"/>
  <c r="AE37" i="17"/>
  <c r="J24" i="16"/>
  <c r="AC24" i="16" s="1"/>
  <c r="F24" i="16"/>
  <c r="G24" i="16"/>
  <c r="H24" i="16"/>
  <c r="I24" i="16"/>
  <c r="E25" i="16"/>
  <c r="K24" i="16" s="1"/>
  <c r="P24" i="16" l="1"/>
  <c r="AK24" i="16"/>
  <c r="AZ24" i="16"/>
  <c r="BP44" i="17"/>
  <c r="AD50" i="17"/>
  <c r="AD53" i="17"/>
  <c r="Y24" i="16"/>
  <c r="AZ53" i="17"/>
  <c r="AM45" i="17"/>
  <c r="AM50" i="17" s="1"/>
  <c r="BE44" i="17"/>
  <c r="M24" i="16"/>
  <c r="AO24" i="16"/>
  <c r="AB53" i="17"/>
  <c r="Z53" i="17"/>
  <c r="AL53" i="17"/>
  <c r="BJ50" i="17"/>
  <c r="BJ55" i="17" s="1"/>
  <c r="BJ53" i="17"/>
  <c r="BJ42" i="17"/>
  <c r="BK24" i="16"/>
  <c r="BJ24" i="16"/>
  <c r="BI24" i="16"/>
  <c r="BC24" i="16"/>
  <c r="BB24" i="16"/>
  <c r="BI41" i="17"/>
  <c r="BL41" i="17" s="1"/>
  <c r="BI35" i="17"/>
  <c r="BI37" i="17"/>
  <c r="BL37" i="17" s="1"/>
  <c r="BI40" i="17"/>
  <c r="BL40" i="17" s="1"/>
  <c r="BI39" i="17"/>
  <c r="BL39" i="17" s="1"/>
  <c r="BI38" i="17"/>
  <c r="BL38" i="17" s="1"/>
  <c r="BI36" i="17"/>
  <c r="BL36" i="17" s="1"/>
  <c r="BI45" i="17"/>
  <c r="BL33" i="17"/>
  <c r="BI52" i="17"/>
  <c r="BL52" i="17" s="1"/>
  <c r="Q24" i="16"/>
  <c r="AY24" i="16"/>
  <c r="R24" i="16"/>
  <c r="N24" i="16"/>
  <c r="AA24" i="16"/>
  <c r="AE24" i="16"/>
  <c r="AM24" i="16"/>
  <c r="AQ24" i="16"/>
  <c r="AX24" i="16"/>
  <c r="AZ42" i="17"/>
  <c r="BL44" i="17"/>
  <c r="BJ48" i="17"/>
  <c r="BI48" i="17"/>
  <c r="BB48" i="17"/>
  <c r="BC48" i="17"/>
  <c r="BA48" i="17"/>
  <c r="AY48" i="17"/>
  <c r="AZ48" i="17"/>
  <c r="AX48" i="17"/>
  <c r="AB24" i="16"/>
  <c r="AN24" i="16"/>
  <c r="S24" i="16"/>
  <c r="O24" i="16"/>
  <c r="Z24" i="16"/>
  <c r="AD24" i="16"/>
  <c r="AL24" i="16"/>
  <c r="AP24" i="16"/>
  <c r="AW24" i="16"/>
  <c r="BE24" i="16" s="1"/>
  <c r="BA24" i="16"/>
  <c r="U44" i="17"/>
  <c r="BA42" i="17"/>
  <c r="BN31" i="17"/>
  <c r="BN19" i="17"/>
  <c r="AY42" i="17"/>
  <c r="AL42" i="17"/>
  <c r="AN42" i="17"/>
  <c r="AU19" i="17"/>
  <c r="AI31" i="17"/>
  <c r="AW48" i="17"/>
  <c r="AQ48" i="17"/>
  <c r="AW39" i="17"/>
  <c r="AW36" i="17"/>
  <c r="AW45" i="17"/>
  <c r="AW50" i="17" s="1"/>
  <c r="AW40" i="17"/>
  <c r="AW37" i="17"/>
  <c r="AW38" i="17"/>
  <c r="AW41" i="17"/>
  <c r="AW35" i="17"/>
  <c r="BG29" i="17"/>
  <c r="AP42" i="17"/>
  <c r="W31" i="17"/>
  <c r="Y41" i="17"/>
  <c r="AG41" i="17" s="1"/>
  <c r="Y36" i="17"/>
  <c r="AG36" i="17" s="1"/>
  <c r="Y38" i="17"/>
  <c r="AG38" i="17" s="1"/>
  <c r="Y39" i="17"/>
  <c r="AG39" i="17" s="1"/>
  <c r="Y37" i="17"/>
  <c r="Y35" i="17"/>
  <c r="Y45" i="17"/>
  <c r="Y50" i="17" s="1"/>
  <c r="Y40" i="17"/>
  <c r="AG40" i="17" s="1"/>
  <c r="AP48" i="17"/>
  <c r="AO48" i="17"/>
  <c r="AN48" i="17"/>
  <c r="AM48" i="17"/>
  <c r="AL48" i="17"/>
  <c r="AK48" i="17"/>
  <c r="AE48" i="17"/>
  <c r="AD48" i="17"/>
  <c r="AB48" i="17"/>
  <c r="AC48" i="17"/>
  <c r="AA48" i="17"/>
  <c r="Z48" i="17"/>
  <c r="Y48" i="17"/>
  <c r="S48" i="17"/>
  <c r="R48" i="17"/>
  <c r="Q48" i="17"/>
  <c r="AU29" i="17"/>
  <c r="AU31" i="17"/>
  <c r="AK45" i="17"/>
  <c r="AK50" i="17" s="1"/>
  <c r="AK39" i="17"/>
  <c r="AS39" i="17" s="1"/>
  <c r="AK35" i="17"/>
  <c r="AK37" i="17"/>
  <c r="AS37" i="17" s="1"/>
  <c r="AK40" i="17"/>
  <c r="AS40" i="17" s="1"/>
  <c r="AK38" i="17"/>
  <c r="AS38" i="17" s="1"/>
  <c r="AK41" i="17"/>
  <c r="AS41" i="17" s="1"/>
  <c r="AK36" i="17"/>
  <c r="AS36" i="17" s="1"/>
  <c r="BY4" i="17"/>
  <c r="BZ4" i="17" s="1"/>
  <c r="AI29" i="17"/>
  <c r="AI19" i="17"/>
  <c r="CD4" i="17"/>
  <c r="CC3" i="17"/>
  <c r="CD3" i="17" s="1"/>
  <c r="BZ3" i="17"/>
  <c r="N42" i="17"/>
  <c r="P48" i="17"/>
  <c r="O48" i="17"/>
  <c r="N48" i="17"/>
  <c r="W19" i="17"/>
  <c r="W29" i="17"/>
  <c r="Z54" i="17"/>
  <c r="R55" i="17"/>
  <c r="AL55" i="17"/>
  <c r="BB42" i="17"/>
  <c r="AZ55" i="17"/>
  <c r="BJ54" i="17"/>
  <c r="K48" i="17"/>
  <c r="J57" i="17"/>
  <c r="K57" i="17" s="1"/>
  <c r="K33" i="17"/>
  <c r="BB53" i="17"/>
  <c r="AB54" i="17"/>
  <c r="Z42" i="17"/>
  <c r="R42" i="17"/>
  <c r="BE47" i="17"/>
  <c r="AS47" i="17"/>
  <c r="AD54" i="17"/>
  <c r="P42" i="17"/>
  <c r="P54" i="17" s="1"/>
  <c r="AD42" i="17"/>
  <c r="AB42" i="17"/>
  <c r="Q42" i="17"/>
  <c r="BY1" i="17"/>
  <c r="BX1" i="17"/>
  <c r="AQ42" i="17"/>
  <c r="E59" i="17"/>
  <c r="CE4" i="17" s="1"/>
  <c r="CF4" i="17" s="1"/>
  <c r="CE3" i="17"/>
  <c r="K44" i="17"/>
  <c r="AC42" i="17"/>
  <c r="O42" i="17"/>
  <c r="BC42" i="17"/>
  <c r="BB55" i="17"/>
  <c r="BB54" i="17"/>
  <c r="BA53" i="17"/>
  <c r="N55" i="17"/>
  <c r="N54" i="17"/>
  <c r="AM42" i="17"/>
  <c r="BC53" i="17"/>
  <c r="BP47" i="17"/>
  <c r="BQ47" i="17" s="1"/>
  <c r="U47" i="17"/>
  <c r="AO42" i="17"/>
  <c r="AG47" i="17"/>
  <c r="Y52" i="17"/>
  <c r="AG37" i="17"/>
  <c r="AG33" i="17"/>
  <c r="AA53" i="17"/>
  <c r="AP53" i="17"/>
  <c r="M41" i="17"/>
  <c r="M38" i="17"/>
  <c r="M52" i="17"/>
  <c r="M39" i="17"/>
  <c r="M36" i="17"/>
  <c r="M35" i="17"/>
  <c r="M40" i="17"/>
  <c r="U33" i="17"/>
  <c r="M37" i="17"/>
  <c r="AW52" i="17"/>
  <c r="CC1" i="17"/>
  <c r="CB1" i="17"/>
  <c r="AN55" i="17"/>
  <c r="AN54" i="17"/>
  <c r="AM53" i="17"/>
  <c r="O53" i="17"/>
  <c r="AE53" i="17"/>
  <c r="AE42" i="17"/>
  <c r="AK52" i="17"/>
  <c r="AS33" i="17"/>
  <c r="AT35" i="17" s="1"/>
  <c r="M48" i="17"/>
  <c r="AO53" i="17"/>
  <c r="BN3" i="17"/>
  <c r="BM4" i="17"/>
  <c r="BN4" i="17" s="1"/>
  <c r="S42" i="17"/>
  <c r="S53" i="17"/>
  <c r="AA42" i="17"/>
  <c r="Q53" i="17"/>
  <c r="AC53" i="17"/>
  <c r="AG24" i="16" l="1"/>
  <c r="AS24" i="16"/>
  <c r="BT24" i="16"/>
  <c r="BU24" i="16" s="1"/>
  <c r="U24" i="16"/>
  <c r="BI50" i="17"/>
  <c r="BI53" i="17"/>
  <c r="BL53" i="17" s="1"/>
  <c r="BL45" i="17"/>
  <c r="BL48" i="17"/>
  <c r="BI42" i="17"/>
  <c r="BL42" i="17" s="1"/>
  <c r="BL35" i="17"/>
  <c r="BM24" i="16"/>
  <c r="AG48" i="17"/>
  <c r="AW42" i="17"/>
  <c r="Y42" i="17"/>
  <c r="AG42" i="17" s="1"/>
  <c r="AK42" i="17"/>
  <c r="AS42" i="17" s="1"/>
  <c r="CC5" i="17"/>
  <c r="CG4" i="17"/>
  <c r="CH4" i="17" s="1"/>
  <c r="P55" i="17"/>
  <c r="P53" i="17"/>
  <c r="Z55" i="17"/>
  <c r="Z57" i="17" s="1"/>
  <c r="Z59" i="17" s="1"/>
  <c r="R54" i="17"/>
  <c r="R57" i="17" s="1"/>
  <c r="R59" i="17" s="1"/>
  <c r="AL54" i="17"/>
  <c r="AL57" i="17" s="1"/>
  <c r="AL59" i="17" s="1"/>
  <c r="AZ54" i="17"/>
  <c r="AZ57" i="17" s="1"/>
  <c r="AZ59" i="17" s="1"/>
  <c r="BJ57" i="17"/>
  <c r="BJ59" i="17" s="1"/>
  <c r="AB55" i="17"/>
  <c r="AB57" i="17" s="1"/>
  <c r="AB59" i="17" s="1"/>
  <c r="BE11" i="17"/>
  <c r="BS11" i="17"/>
  <c r="BS31" i="17" s="1"/>
  <c r="BT31" i="17" s="1"/>
  <c r="AD55" i="17"/>
  <c r="AD57" i="17" s="1"/>
  <c r="AD59" i="17" s="1"/>
  <c r="AC54" i="17"/>
  <c r="AC55" i="17"/>
  <c r="U52" i="17"/>
  <c r="AG52" i="17"/>
  <c r="BC55" i="17"/>
  <c r="BC54" i="17"/>
  <c r="AE55" i="17"/>
  <c r="AE54" i="17"/>
  <c r="V40" i="17"/>
  <c r="V38" i="17"/>
  <c r="V39" i="17"/>
  <c r="V36" i="17"/>
  <c r="V35" i="17"/>
  <c r="V41" i="17"/>
  <c r="V37" i="17"/>
  <c r="U38" i="17"/>
  <c r="AG35" i="17"/>
  <c r="CE1" i="17"/>
  <c r="CF3" i="17"/>
  <c r="CG3" i="17" s="1"/>
  <c r="AS48" i="17"/>
  <c r="AS35" i="17"/>
  <c r="AU35" i="17" s="1"/>
  <c r="U40" i="17"/>
  <c r="U41" i="17"/>
  <c r="BA54" i="17"/>
  <c r="BA55" i="17"/>
  <c r="Q54" i="17"/>
  <c r="Q55" i="17"/>
  <c r="S55" i="17"/>
  <c r="S54" i="17"/>
  <c r="BE48" i="17"/>
  <c r="AK53" i="17"/>
  <c r="AS45" i="17"/>
  <c r="AS52" i="17"/>
  <c r="AM55" i="17"/>
  <c r="AM54" i="17"/>
  <c r="AN57" i="17"/>
  <c r="AN59" i="17" s="1"/>
  <c r="AW53" i="17"/>
  <c r="M42" i="17"/>
  <c r="U35" i="17"/>
  <c r="U39" i="17"/>
  <c r="AP55" i="17"/>
  <c r="AP54" i="17"/>
  <c r="AH40" i="17"/>
  <c r="AI40" i="17" s="1"/>
  <c r="AH36" i="17"/>
  <c r="AI36" i="17" s="1"/>
  <c r="AH35" i="17"/>
  <c r="AH37" i="17"/>
  <c r="AI37" i="17" s="1"/>
  <c r="AH38" i="17"/>
  <c r="AI38" i="17" s="1"/>
  <c r="AH39" i="17"/>
  <c r="AI39" i="17" s="1"/>
  <c r="AH41" i="17"/>
  <c r="AI41" i="17" s="1"/>
  <c r="N57" i="17"/>
  <c r="N59" i="17" s="1"/>
  <c r="BB57" i="17"/>
  <c r="BB59" i="17" s="1"/>
  <c r="U48" i="17"/>
  <c r="BP48" i="17"/>
  <c r="BQ48" i="17" s="1"/>
  <c r="U37" i="17"/>
  <c r="W37" i="17" s="1"/>
  <c r="AO54" i="17"/>
  <c r="AO55" i="17"/>
  <c r="AT38" i="17"/>
  <c r="AU38" i="17" s="1"/>
  <c r="AT40" i="17"/>
  <c r="AU40" i="17" s="1"/>
  <c r="AT39" i="17"/>
  <c r="AU39" i="17" s="1"/>
  <c r="AT37" i="17"/>
  <c r="AU37" i="17" s="1"/>
  <c r="AT36" i="17"/>
  <c r="AU36" i="17" s="1"/>
  <c r="AT41" i="17"/>
  <c r="AU41" i="17" s="1"/>
  <c r="O55" i="17"/>
  <c r="O54" i="17"/>
  <c r="U36" i="17"/>
  <c r="W36" i="17" s="1"/>
  <c r="AA55" i="17"/>
  <c r="AA54" i="17"/>
  <c r="AQ53" i="17"/>
  <c r="W39" i="17" l="1"/>
  <c r="W35" i="17"/>
  <c r="W41" i="17"/>
  <c r="W38" i="17"/>
  <c r="AU42" i="17"/>
  <c r="BI55" i="17"/>
  <c r="BL55" i="17" s="1"/>
  <c r="BI54" i="17"/>
  <c r="BL50" i="17"/>
  <c r="AI35" i="17"/>
  <c r="AI42" i="17" s="1"/>
  <c r="P57" i="17"/>
  <c r="P59" i="17" s="1"/>
  <c r="W40" i="17"/>
  <c r="BG11" i="17"/>
  <c r="BG19" i="17" s="1"/>
  <c r="BE19" i="17"/>
  <c r="AH52" i="17"/>
  <c r="CH3" i="17"/>
  <c r="BS19" i="17"/>
  <c r="BT19" i="17" s="1"/>
  <c r="U42" i="17"/>
  <c r="V52" i="17" s="1"/>
  <c r="M45" i="17"/>
  <c r="M50" i="17" s="1"/>
  <c r="BT11" i="17"/>
  <c r="AX33" i="17"/>
  <c r="AY53" i="17"/>
  <c r="AP57" i="17"/>
  <c r="AP59" i="17" s="1"/>
  <c r="AA57" i="17"/>
  <c r="AA59" i="17" s="1"/>
  <c r="AM57" i="17"/>
  <c r="AM59" i="17" s="1"/>
  <c r="S57" i="17"/>
  <c r="S59" i="17" s="1"/>
  <c r="Q57" i="17"/>
  <c r="Q59" i="17" s="1"/>
  <c r="BA57" i="17"/>
  <c r="BA59" i="17" s="1"/>
  <c r="BC57" i="17"/>
  <c r="BC59" i="17" s="1"/>
  <c r="AT42" i="17"/>
  <c r="AO57" i="17"/>
  <c r="AO59" i="17" s="1"/>
  <c r="AS53" i="17"/>
  <c r="AC57" i="17"/>
  <c r="AC59" i="17" s="1"/>
  <c r="O57" i="17"/>
  <c r="O59" i="17" s="1"/>
  <c r="AE57" i="17"/>
  <c r="AE59" i="17" s="1"/>
  <c r="AQ55" i="17"/>
  <c r="AQ54" i="17"/>
  <c r="AK54" i="17"/>
  <c r="AS50" i="17"/>
  <c r="AK55" i="17"/>
  <c r="CF1" i="17"/>
  <c r="CG1" i="17"/>
  <c r="V42" i="17"/>
  <c r="AH42" i="17"/>
  <c r="AW54" i="17"/>
  <c r="AW55" i="17"/>
  <c r="AT52" i="17"/>
  <c r="BP33" i="17" l="1"/>
  <c r="J4" i="17" s="1"/>
  <c r="AX39" i="17"/>
  <c r="AX35" i="17"/>
  <c r="AX40" i="17"/>
  <c r="AX37" i="17"/>
  <c r="AX45" i="17"/>
  <c r="AX50" i="17" s="1"/>
  <c r="BP50" i="17" s="1"/>
  <c r="BQ50" i="17" s="1"/>
  <c r="AX38" i="17"/>
  <c r="AX36" i="17"/>
  <c r="AX41" i="17"/>
  <c r="BI57" i="17"/>
  <c r="BL54" i="17"/>
  <c r="BG31" i="17"/>
  <c r="AG45" i="17"/>
  <c r="Y53" i="17"/>
  <c r="AG53" i="17" s="1"/>
  <c r="M53" i="17"/>
  <c r="U53" i="17" s="1"/>
  <c r="U45" i="17"/>
  <c r="AY55" i="17"/>
  <c r="AY54" i="17"/>
  <c r="AX52" i="17"/>
  <c r="BE33" i="17"/>
  <c r="AS55" i="17"/>
  <c r="AQ57" i="17"/>
  <c r="AQ59" i="17" s="1"/>
  <c r="W42" i="17"/>
  <c r="AS54" i="17"/>
  <c r="AK57" i="17"/>
  <c r="AW57" i="17"/>
  <c r="BI59" i="17" l="1"/>
  <c r="BL59" i="17" s="1"/>
  <c r="BL57" i="17"/>
  <c r="Y55" i="17"/>
  <c r="AG55" i="17" s="1"/>
  <c r="Y54" i="17"/>
  <c r="AG50" i="17"/>
  <c r="AY57" i="17"/>
  <c r="AY59" i="17" s="1"/>
  <c r="M54" i="17"/>
  <c r="U54" i="17" s="1"/>
  <c r="U50" i="17"/>
  <c r="M55" i="17"/>
  <c r="U55" i="17" s="1"/>
  <c r="BE38" i="17"/>
  <c r="BS38" i="17"/>
  <c r="BT38" i="17" s="1"/>
  <c r="BF35" i="17"/>
  <c r="BF38" i="17"/>
  <c r="BF40" i="17"/>
  <c r="BF37" i="17"/>
  <c r="BF41" i="17"/>
  <c r="BF39" i="17"/>
  <c r="BF36" i="17"/>
  <c r="BE41" i="17"/>
  <c r="BS41" i="17"/>
  <c r="BT41" i="17" s="1"/>
  <c r="AX42" i="17"/>
  <c r="BE42" i="17" s="1"/>
  <c r="BE35" i="17"/>
  <c r="BS35" i="17"/>
  <c r="BE36" i="17"/>
  <c r="BS36" i="17"/>
  <c r="BT36" i="17" s="1"/>
  <c r="BP52" i="17"/>
  <c r="BE52" i="17"/>
  <c r="BE37" i="17"/>
  <c r="BS37" i="17"/>
  <c r="BT37" i="17" s="1"/>
  <c r="BS40" i="17"/>
  <c r="BT40" i="17" s="1"/>
  <c r="BE40" i="17"/>
  <c r="AX53" i="17"/>
  <c r="BP45" i="17"/>
  <c r="BE45" i="17"/>
  <c r="BE39" i="17"/>
  <c r="BS39" i="17"/>
  <c r="BT39" i="17" s="1"/>
  <c r="AK59" i="17"/>
  <c r="AS59" i="17" s="1"/>
  <c r="AS57" i="17"/>
  <c r="AW59" i="17"/>
  <c r="BG37" i="17" l="1"/>
  <c r="BG36" i="17"/>
  <c r="BG40" i="17"/>
  <c r="BG39" i="17"/>
  <c r="BS42" i="17"/>
  <c r="BG41" i="17"/>
  <c r="BG35" i="17"/>
  <c r="BG38" i="17"/>
  <c r="AG54" i="17"/>
  <c r="Y57" i="17"/>
  <c r="M57" i="17"/>
  <c r="AX54" i="17"/>
  <c r="AX55" i="17"/>
  <c r="BE50" i="17"/>
  <c r="BF42" i="17"/>
  <c r="BM35" i="17"/>
  <c r="BM37" i="17"/>
  <c r="BM36" i="17"/>
  <c r="BM41" i="17"/>
  <c r="BN41" i="17" s="1"/>
  <c r="BM38" i="17"/>
  <c r="BM39" i="17"/>
  <c r="BM40" i="17"/>
  <c r="BT35" i="17"/>
  <c r="BE53" i="17"/>
  <c r="BP53" i="17"/>
  <c r="BU53" i="17" s="1"/>
  <c r="Y59" i="17" l="1"/>
  <c r="AG59" i="17" s="1"/>
  <c r="AG57" i="17"/>
  <c r="M59" i="17"/>
  <c r="U59" i="17" s="1"/>
  <c r="U57" i="17"/>
  <c r="BN37" i="17"/>
  <c r="BN40" i="17"/>
  <c r="BN39" i="17"/>
  <c r="BN35" i="17"/>
  <c r="AX57" i="17"/>
  <c r="BE54" i="17"/>
  <c r="BP54" i="17"/>
  <c r="BM42" i="17"/>
  <c r="BE55" i="17"/>
  <c r="BP55" i="17"/>
  <c r="BN38" i="17"/>
  <c r="BQ42" i="17"/>
  <c r="BS52" i="17"/>
  <c r="BT42" i="17"/>
  <c r="BU35" i="17" s="1"/>
  <c r="BN36" i="17"/>
  <c r="BG42" i="17"/>
  <c r="AX59" i="17" l="1"/>
  <c r="BE57" i="17"/>
  <c r="BP57" i="17"/>
  <c r="BN42" i="17"/>
  <c r="BE59" i="17" l="1"/>
  <c r="BP59" i="17"/>
  <c r="BT3" i="16" l="1"/>
  <c r="BX11" i="16" l="1"/>
  <c r="BX2" i="16" s="1"/>
  <c r="CF2" i="16" l="1"/>
  <c r="CB2" i="16"/>
  <c r="BT1" i="16"/>
  <c r="BZ16" i="16" l="1"/>
  <c r="BZ21" i="16" s="1"/>
  <c r="BZ22" i="16"/>
  <c r="BZ20" i="16" l="1"/>
  <c r="BZ23" i="16"/>
  <c r="M4" i="16"/>
  <c r="E36" i="16"/>
  <c r="BR25" i="16"/>
  <c r="BR23" i="16"/>
  <c r="E41" i="16" l="1"/>
  <c r="J18" i="16"/>
  <c r="J34" i="16"/>
  <c r="J33" i="16"/>
  <c r="J32" i="16"/>
  <c r="J31" i="16"/>
  <c r="J30" i="16"/>
  <c r="J29" i="16"/>
  <c r="J23" i="16"/>
  <c r="J22" i="16"/>
  <c r="J20" i="16"/>
  <c r="J21" i="16"/>
  <c r="J19" i="16"/>
  <c r="J17" i="16"/>
  <c r="J16" i="16"/>
  <c r="J15" i="16"/>
  <c r="J14" i="16"/>
  <c r="J13" i="16"/>
  <c r="J12" i="16"/>
  <c r="J11" i="16"/>
  <c r="J10" i="16"/>
  <c r="J9" i="16"/>
  <c r="J8" i="16"/>
  <c r="BK10" i="16" l="1"/>
  <c r="BJ10" i="16"/>
  <c r="BI10" i="16"/>
  <c r="BC10" i="16"/>
  <c r="BB10" i="16"/>
  <c r="BK22" i="16"/>
  <c r="BJ22" i="16"/>
  <c r="BI22" i="16"/>
  <c r="BC22" i="16"/>
  <c r="BB22" i="16"/>
  <c r="BK18" i="16"/>
  <c r="BJ18" i="16"/>
  <c r="BI18" i="16"/>
  <c r="BC18" i="16"/>
  <c r="BB18" i="16"/>
  <c r="BK14" i="16"/>
  <c r="BJ14" i="16"/>
  <c r="BI14" i="16"/>
  <c r="BC14" i="16"/>
  <c r="BB14" i="16"/>
  <c r="BK23" i="16"/>
  <c r="BJ23" i="16"/>
  <c r="BI23" i="16"/>
  <c r="BC23" i="16"/>
  <c r="BB23" i="16"/>
  <c r="BK13" i="16"/>
  <c r="BJ13" i="16"/>
  <c r="BI13" i="16"/>
  <c r="BC13" i="16"/>
  <c r="BB13" i="16"/>
  <c r="BK8" i="16"/>
  <c r="BJ8" i="16"/>
  <c r="BI8" i="16"/>
  <c r="BC8" i="16"/>
  <c r="BB8" i="16"/>
  <c r="BK12" i="16"/>
  <c r="BJ12" i="16"/>
  <c r="BI12" i="16"/>
  <c r="BC12" i="16"/>
  <c r="BB12" i="16"/>
  <c r="BK16" i="16"/>
  <c r="BJ16" i="16"/>
  <c r="BI16" i="16"/>
  <c r="BC16" i="16"/>
  <c r="BB16" i="16"/>
  <c r="BA16" i="16"/>
  <c r="BK20" i="16"/>
  <c r="BJ20" i="16"/>
  <c r="BI20" i="16"/>
  <c r="BC20" i="16"/>
  <c r="BB20" i="16"/>
  <c r="BK19" i="16"/>
  <c r="BJ19" i="16"/>
  <c r="BI19" i="16"/>
  <c r="BC19" i="16"/>
  <c r="BB19" i="16"/>
  <c r="BK9" i="16"/>
  <c r="BJ9" i="16"/>
  <c r="BI9" i="16"/>
  <c r="BC9" i="16"/>
  <c r="BB9" i="16"/>
  <c r="BK17" i="16"/>
  <c r="BJ17" i="16"/>
  <c r="BI17" i="16"/>
  <c r="BC17" i="16"/>
  <c r="BB17" i="16"/>
  <c r="BK15" i="16"/>
  <c r="BJ15" i="16"/>
  <c r="BI15" i="16"/>
  <c r="BK21" i="16"/>
  <c r="BJ21" i="16"/>
  <c r="BI21" i="16"/>
  <c r="BC21" i="16"/>
  <c r="BB21" i="16"/>
  <c r="BK11" i="16"/>
  <c r="BJ11" i="16"/>
  <c r="BI11" i="16"/>
  <c r="BC11" i="16"/>
  <c r="BB11" i="16"/>
  <c r="J25" i="16"/>
  <c r="BC15" i="16"/>
  <c r="BB15" i="16"/>
  <c r="E42" i="16"/>
  <c r="K25" i="16"/>
  <c r="BA11" i="16"/>
  <c r="AZ11" i="16"/>
  <c r="AY11" i="16"/>
  <c r="BA21" i="16"/>
  <c r="AZ21" i="16"/>
  <c r="AY21" i="16"/>
  <c r="BA8" i="16"/>
  <c r="AZ8" i="16"/>
  <c r="AY8" i="16"/>
  <c r="AZ16" i="16"/>
  <c r="AY16" i="16"/>
  <c r="BA9" i="16"/>
  <c r="AZ9" i="16"/>
  <c r="AY9" i="16"/>
  <c r="BA17" i="16"/>
  <c r="AZ17" i="16"/>
  <c r="AY17" i="16"/>
  <c r="BA18" i="16"/>
  <c r="AZ18" i="16"/>
  <c r="AY18" i="16"/>
  <c r="BA15" i="16"/>
  <c r="AZ15" i="16"/>
  <c r="AY15" i="16"/>
  <c r="BA12" i="16"/>
  <c r="AZ12" i="16"/>
  <c r="AY12" i="16"/>
  <c r="AY20" i="16"/>
  <c r="BA20" i="16"/>
  <c r="AZ20" i="16"/>
  <c r="BA13" i="16"/>
  <c r="AZ13" i="16"/>
  <c r="AY13" i="16"/>
  <c r="BA22" i="16"/>
  <c r="AZ22" i="16"/>
  <c r="AY22" i="16"/>
  <c r="BA10" i="16"/>
  <c r="AZ10" i="16"/>
  <c r="AY10" i="16"/>
  <c r="BA14" i="16"/>
  <c r="AZ14" i="16"/>
  <c r="AY14" i="16"/>
  <c r="BA19" i="16"/>
  <c r="AZ19" i="16"/>
  <c r="AY19" i="16"/>
  <c r="BA23" i="16"/>
  <c r="AZ23" i="16"/>
  <c r="AY23" i="16"/>
  <c r="AK13" i="16"/>
  <c r="AK11" i="16"/>
  <c r="AX11" i="16"/>
  <c r="AW11" i="16"/>
  <c r="AQ11" i="16"/>
  <c r="AP11" i="16"/>
  <c r="AO11" i="16"/>
  <c r="AN11" i="16"/>
  <c r="AM11" i="16"/>
  <c r="AL11" i="16"/>
  <c r="AK15" i="16"/>
  <c r="AX15" i="16"/>
  <c r="AQ15" i="16"/>
  <c r="AW15" i="16"/>
  <c r="AP15" i="16"/>
  <c r="AO15" i="16"/>
  <c r="AN15" i="16"/>
  <c r="AM15" i="16"/>
  <c r="AL15" i="16"/>
  <c r="AK21" i="16"/>
  <c r="AX21" i="16"/>
  <c r="AW21" i="16"/>
  <c r="AQ21" i="16"/>
  <c r="AO21" i="16"/>
  <c r="AP21" i="16"/>
  <c r="AN21" i="16"/>
  <c r="AM21" i="16"/>
  <c r="AL21" i="16"/>
  <c r="AX20" i="16"/>
  <c r="AQ20" i="16"/>
  <c r="AW20" i="16"/>
  <c r="AP20" i="16"/>
  <c r="AO20" i="16"/>
  <c r="AN20" i="16"/>
  <c r="AM20" i="16"/>
  <c r="AL20" i="16"/>
  <c r="AK8" i="16"/>
  <c r="AX8" i="16"/>
  <c r="AW8" i="16"/>
  <c r="AQ8" i="16"/>
  <c r="AO8" i="16"/>
  <c r="AP8" i="16"/>
  <c r="AN8" i="16"/>
  <c r="AM8" i="16"/>
  <c r="AL8" i="16"/>
  <c r="AX13" i="16"/>
  <c r="AW13" i="16"/>
  <c r="AQ13" i="16"/>
  <c r="AO13" i="16"/>
  <c r="AP13" i="16"/>
  <c r="AN13" i="16"/>
  <c r="AM13" i="16"/>
  <c r="AL13" i="16"/>
  <c r="AK16" i="16"/>
  <c r="AX16" i="16"/>
  <c r="AQ16" i="16"/>
  <c r="AW16" i="16"/>
  <c r="AP16" i="16"/>
  <c r="AO16" i="16"/>
  <c r="AN16" i="16"/>
  <c r="AM16" i="16"/>
  <c r="AL16" i="16"/>
  <c r="AK9" i="16"/>
  <c r="AX9" i="16"/>
  <c r="AW9" i="16"/>
  <c r="AQ9" i="16"/>
  <c r="AO9" i="16"/>
  <c r="AP9" i="16"/>
  <c r="AM9" i="16"/>
  <c r="AN9" i="16"/>
  <c r="AL9" i="16"/>
  <c r="AK17" i="16"/>
  <c r="AX17" i="16"/>
  <c r="AW17" i="16"/>
  <c r="AQ17" i="16"/>
  <c r="AP17" i="16"/>
  <c r="AO17" i="16"/>
  <c r="AM17" i="16"/>
  <c r="AN17" i="16"/>
  <c r="AL17" i="16"/>
  <c r="AK22" i="16"/>
  <c r="AX22" i="16"/>
  <c r="AQ22" i="16"/>
  <c r="AW22" i="16"/>
  <c r="AO22" i="16"/>
  <c r="AP22" i="16"/>
  <c r="AN22" i="16"/>
  <c r="AM22" i="16"/>
  <c r="AL22" i="16"/>
  <c r="AK18" i="16"/>
  <c r="AX18" i="16"/>
  <c r="AW18" i="16"/>
  <c r="AQ18" i="16"/>
  <c r="AP18" i="16"/>
  <c r="AO18" i="16"/>
  <c r="AN18" i="16"/>
  <c r="AM18" i="16"/>
  <c r="AL18" i="16"/>
  <c r="AK10" i="16"/>
  <c r="AX10" i="16"/>
  <c r="AQ10" i="16"/>
  <c r="AW10" i="16"/>
  <c r="AP10" i="16"/>
  <c r="AO10" i="16"/>
  <c r="AN10" i="16"/>
  <c r="AM10" i="16"/>
  <c r="AL10" i="16"/>
  <c r="AK14" i="16"/>
  <c r="AX14" i="16"/>
  <c r="AW14" i="16"/>
  <c r="AQ14" i="16"/>
  <c r="AO14" i="16"/>
  <c r="AP14" i="16"/>
  <c r="AM14" i="16"/>
  <c r="AN14" i="16"/>
  <c r="AL14" i="16"/>
  <c r="AK19" i="16"/>
  <c r="AX19" i="16"/>
  <c r="AQ19" i="16"/>
  <c r="AW19" i="16"/>
  <c r="AP19" i="16"/>
  <c r="AO19" i="16"/>
  <c r="AN19" i="16"/>
  <c r="AM19" i="16"/>
  <c r="AL19" i="16"/>
  <c r="AK23" i="16"/>
  <c r="AX23" i="16"/>
  <c r="AQ23" i="16"/>
  <c r="AW23" i="16"/>
  <c r="AP23" i="16"/>
  <c r="AO23" i="16"/>
  <c r="AN23" i="16"/>
  <c r="AM23" i="16"/>
  <c r="AL23" i="16"/>
  <c r="AK12" i="16"/>
  <c r="AX12" i="16"/>
  <c r="AW12" i="16"/>
  <c r="AQ12" i="16"/>
  <c r="AO12" i="16"/>
  <c r="AP12" i="16"/>
  <c r="AN12" i="16"/>
  <c r="AM12" i="16"/>
  <c r="AL12" i="16"/>
  <c r="AE20" i="16"/>
  <c r="AK20" i="16"/>
  <c r="AE12" i="16"/>
  <c r="AD12" i="16"/>
  <c r="AC12" i="16"/>
  <c r="AB12" i="16"/>
  <c r="AA12" i="16"/>
  <c r="Z12" i="16"/>
  <c r="Y12" i="16"/>
  <c r="S12" i="16"/>
  <c r="R12" i="16"/>
  <c r="Q12" i="16"/>
  <c r="P12" i="16"/>
  <c r="O12" i="16"/>
  <c r="N12" i="16"/>
  <c r="AE16" i="16"/>
  <c r="AD16" i="16"/>
  <c r="AC16" i="16"/>
  <c r="AB16" i="16"/>
  <c r="AA16" i="16"/>
  <c r="Z16" i="16"/>
  <c r="Y16" i="16"/>
  <c r="S16" i="16"/>
  <c r="R16" i="16"/>
  <c r="Q16" i="16"/>
  <c r="P16" i="16"/>
  <c r="O16" i="16"/>
  <c r="N16" i="16"/>
  <c r="AE13" i="16"/>
  <c r="AD13" i="16"/>
  <c r="AC13" i="16"/>
  <c r="AB13" i="16"/>
  <c r="AA13" i="16"/>
  <c r="Z13" i="16"/>
  <c r="S13" i="16"/>
  <c r="Y13" i="16"/>
  <c r="R13" i="16"/>
  <c r="Q13" i="16"/>
  <c r="P13" i="16"/>
  <c r="O13" i="16"/>
  <c r="N13" i="16"/>
  <c r="AE22" i="16"/>
  <c r="AD22" i="16"/>
  <c r="AC22" i="16"/>
  <c r="AB22" i="16"/>
  <c r="AA22" i="16"/>
  <c r="Z22" i="16"/>
  <c r="Y22" i="16"/>
  <c r="S22" i="16"/>
  <c r="R22" i="16"/>
  <c r="Q22" i="16"/>
  <c r="P22" i="16"/>
  <c r="O22" i="16"/>
  <c r="N22" i="16"/>
  <c r="AE10" i="16"/>
  <c r="AD10" i="16"/>
  <c r="AC10" i="16"/>
  <c r="AB10" i="16"/>
  <c r="AA10" i="16"/>
  <c r="Z10" i="16"/>
  <c r="S10" i="16"/>
  <c r="Y10" i="16"/>
  <c r="R10" i="16"/>
  <c r="Q10" i="16"/>
  <c r="P10" i="16"/>
  <c r="O10" i="16"/>
  <c r="N10" i="16"/>
  <c r="AE19" i="16"/>
  <c r="AD19" i="16"/>
  <c r="AC19" i="16"/>
  <c r="AB19" i="16"/>
  <c r="AA19" i="16"/>
  <c r="Z19" i="16"/>
  <c r="Y19" i="16"/>
  <c r="S19" i="16"/>
  <c r="R19" i="16"/>
  <c r="Q19" i="16"/>
  <c r="P19" i="16"/>
  <c r="O19" i="16"/>
  <c r="N19" i="16"/>
  <c r="AE23" i="16"/>
  <c r="AD23" i="16"/>
  <c r="AC23" i="16"/>
  <c r="AB23" i="16"/>
  <c r="AA23" i="16"/>
  <c r="Z23" i="16"/>
  <c r="S23" i="16"/>
  <c r="Y23" i="16"/>
  <c r="R23" i="16"/>
  <c r="Q23" i="16"/>
  <c r="P23" i="16"/>
  <c r="O23" i="16"/>
  <c r="N23" i="16"/>
  <c r="M23" i="16"/>
  <c r="AE8" i="16"/>
  <c r="AD8" i="16"/>
  <c r="AC8" i="16"/>
  <c r="AB8" i="16"/>
  <c r="AA8" i="16"/>
  <c r="Z8" i="16"/>
  <c r="Y8" i="16"/>
  <c r="S8" i="16"/>
  <c r="R8" i="16"/>
  <c r="Q8" i="16"/>
  <c r="P8" i="16"/>
  <c r="O8" i="16"/>
  <c r="N8" i="16"/>
  <c r="AE9" i="16"/>
  <c r="AD9" i="16"/>
  <c r="AC9" i="16"/>
  <c r="AB9" i="16"/>
  <c r="AA9" i="16"/>
  <c r="Z9" i="16"/>
  <c r="Y9" i="16"/>
  <c r="S9" i="16"/>
  <c r="R9" i="16"/>
  <c r="Q9" i="16"/>
  <c r="P9" i="16"/>
  <c r="O9" i="16"/>
  <c r="N9" i="16"/>
  <c r="AE17" i="16"/>
  <c r="AD17" i="16"/>
  <c r="AC17" i="16"/>
  <c r="AB17" i="16"/>
  <c r="AA17" i="16"/>
  <c r="Z17" i="16"/>
  <c r="Y17" i="16"/>
  <c r="S17" i="16"/>
  <c r="R17" i="16"/>
  <c r="Q17" i="16"/>
  <c r="P17" i="16"/>
  <c r="O17" i="16"/>
  <c r="N17" i="16"/>
  <c r="AE18" i="16"/>
  <c r="AD18" i="16"/>
  <c r="AC18" i="16"/>
  <c r="AB18" i="16"/>
  <c r="AA18" i="16"/>
  <c r="Z18" i="16"/>
  <c r="S18" i="16"/>
  <c r="Y18" i="16"/>
  <c r="R18" i="16"/>
  <c r="Q18" i="16"/>
  <c r="P18" i="16"/>
  <c r="O18" i="16"/>
  <c r="N18" i="16"/>
  <c r="AE14" i="16"/>
  <c r="AD14" i="16"/>
  <c r="AC14" i="16"/>
  <c r="AB14" i="16"/>
  <c r="AA14" i="16"/>
  <c r="Z14" i="16"/>
  <c r="S14" i="16"/>
  <c r="Y14" i="16"/>
  <c r="R14" i="16"/>
  <c r="Q14" i="16"/>
  <c r="P14" i="16"/>
  <c r="O14" i="16"/>
  <c r="N14" i="16"/>
  <c r="AE11" i="16"/>
  <c r="AD11" i="16"/>
  <c r="AC11" i="16"/>
  <c r="AB11" i="16"/>
  <c r="AA11" i="16"/>
  <c r="Z11" i="16"/>
  <c r="Y11" i="16"/>
  <c r="S11" i="16"/>
  <c r="R11" i="16"/>
  <c r="Q11" i="16"/>
  <c r="P11" i="16"/>
  <c r="O11" i="16"/>
  <c r="N11" i="16"/>
  <c r="AE15" i="16"/>
  <c r="AD15" i="16"/>
  <c r="AC15" i="16"/>
  <c r="AB15" i="16"/>
  <c r="AA15" i="16"/>
  <c r="Z15" i="16"/>
  <c r="Y15" i="16"/>
  <c r="S15" i="16"/>
  <c r="R15" i="16"/>
  <c r="Q15" i="16"/>
  <c r="P15" i="16"/>
  <c r="O15" i="16"/>
  <c r="N15" i="16"/>
  <c r="AE21" i="16"/>
  <c r="AD21" i="16"/>
  <c r="AC21" i="16"/>
  <c r="AB21" i="16"/>
  <c r="AA21" i="16"/>
  <c r="Z21" i="16"/>
  <c r="Y21" i="16"/>
  <c r="S21" i="16"/>
  <c r="R21" i="16"/>
  <c r="Q21" i="16"/>
  <c r="P21" i="16"/>
  <c r="O21" i="16"/>
  <c r="N21" i="16"/>
  <c r="AD20" i="16"/>
  <c r="AC20" i="16"/>
  <c r="AB20" i="16"/>
  <c r="AA20" i="16"/>
  <c r="Z20" i="16"/>
  <c r="S20" i="16"/>
  <c r="Y20" i="16"/>
  <c r="R20" i="16"/>
  <c r="Q20" i="16"/>
  <c r="P20" i="16"/>
  <c r="O20" i="16"/>
  <c r="N20" i="16"/>
  <c r="J41" i="16"/>
  <c r="BM20" i="16"/>
  <c r="BM19" i="16"/>
  <c r="BM16" i="16"/>
  <c r="BM15" i="16"/>
  <c r="BM12" i="16"/>
  <c r="BM10" i="16"/>
  <c r="BM9" i="16"/>
  <c r="BK3" i="15"/>
  <c r="BM21" i="16" l="1"/>
  <c r="BM17" i="16"/>
  <c r="BM8" i="16"/>
  <c r="BM13" i="16"/>
  <c r="BM14" i="16"/>
  <c r="BM18" i="16"/>
  <c r="BM22" i="16"/>
  <c r="O25" i="16"/>
  <c r="AB25" i="16"/>
  <c r="BI25" i="16"/>
  <c r="AS23" i="16"/>
  <c r="BA25" i="16"/>
  <c r="AL25" i="16"/>
  <c r="AP25" i="16"/>
  <c r="AK25" i="16"/>
  <c r="AZ25" i="16"/>
  <c r="AY25" i="16"/>
  <c r="BK25" i="16"/>
  <c r="BM23" i="16"/>
  <c r="S25" i="16"/>
  <c r="Q25" i="16"/>
  <c r="Z25" i="16"/>
  <c r="AD25" i="16"/>
  <c r="AN25" i="16"/>
  <c r="AQ25" i="16"/>
  <c r="BJ25" i="16"/>
  <c r="BM25" i="16" s="1"/>
  <c r="N25" i="16"/>
  <c r="R25" i="16"/>
  <c r="AA25" i="16"/>
  <c r="AE25" i="16"/>
  <c r="AO25" i="16"/>
  <c r="AX25" i="16"/>
  <c r="BB25" i="16"/>
  <c r="BM11" i="16"/>
  <c r="BK41" i="16"/>
  <c r="BJ41" i="16"/>
  <c r="BI41" i="16"/>
  <c r="P25" i="16"/>
  <c r="Y25" i="16"/>
  <c r="AC25" i="16"/>
  <c r="AM25" i="16"/>
  <c r="AW25" i="16"/>
  <c r="BC25" i="16"/>
  <c r="BC41" i="16"/>
  <c r="BB41" i="16"/>
  <c r="AY41" i="16"/>
  <c r="BA41" i="16"/>
  <c r="AZ41" i="16"/>
  <c r="BE23" i="16"/>
  <c r="BT23" i="16"/>
  <c r="BU23" i="16" s="1"/>
  <c r="AX41" i="16"/>
  <c r="AW41" i="16"/>
  <c r="AQ41" i="16"/>
  <c r="AP41" i="16"/>
  <c r="AO41" i="16"/>
  <c r="AN41" i="16"/>
  <c r="AM41" i="16"/>
  <c r="AL41" i="16"/>
  <c r="AE41" i="16"/>
  <c r="AK41" i="16"/>
  <c r="AG23" i="16"/>
  <c r="U23" i="16"/>
  <c r="AG8" i="16"/>
  <c r="AD41" i="16"/>
  <c r="AC41" i="16"/>
  <c r="AB41" i="16"/>
  <c r="AA41" i="16"/>
  <c r="Z41" i="16"/>
  <c r="S41" i="16"/>
  <c r="Y41" i="16"/>
  <c r="J42" i="16"/>
  <c r="R41" i="16"/>
  <c r="Q41" i="16"/>
  <c r="P41" i="16"/>
  <c r="O41" i="16"/>
  <c r="N41" i="16"/>
  <c r="BW2" i="15"/>
  <c r="BS2" i="15"/>
  <c r="BO2" i="15"/>
  <c r="BK1" i="15"/>
  <c r="BM41" i="16" l="1"/>
  <c r="BK42" i="16"/>
  <c r="BJ42" i="16"/>
  <c r="BI42" i="16"/>
  <c r="BC42" i="16"/>
  <c r="BB42" i="16"/>
  <c r="AY42" i="16"/>
  <c r="BA42" i="16"/>
  <c r="AZ42" i="16"/>
  <c r="AS25" i="16"/>
  <c r="AX42" i="16"/>
  <c r="AW42" i="16"/>
  <c r="AQ42" i="16"/>
  <c r="AO42" i="16"/>
  <c r="AP42" i="16"/>
  <c r="AN42" i="16"/>
  <c r="AM42" i="16"/>
  <c r="AL42" i="16"/>
  <c r="AG25" i="16"/>
  <c r="AE42" i="16"/>
  <c r="AK42" i="16"/>
  <c r="AD42" i="16"/>
  <c r="AC42" i="16"/>
  <c r="AB42" i="16"/>
  <c r="AA42" i="16"/>
  <c r="Z42" i="16"/>
  <c r="Y42" i="16"/>
  <c r="S42" i="16"/>
  <c r="R42" i="16"/>
  <c r="Q42" i="16"/>
  <c r="P42" i="16"/>
  <c r="O42" i="16"/>
  <c r="N42" i="16"/>
  <c r="BM42" i="16" l="1"/>
  <c r="T53" i="16" l="1"/>
  <c r="J13" i="15"/>
  <c r="BB13" i="15" l="1"/>
  <c r="BA13" i="15"/>
  <c r="AZ13" i="15"/>
  <c r="AY13" i="15"/>
  <c r="AX13" i="15"/>
  <c r="M22" i="16"/>
  <c r="M21" i="16"/>
  <c r="M20" i="16"/>
  <c r="M19" i="16"/>
  <c r="BT19" i="16" s="1"/>
  <c r="M18" i="16"/>
  <c r="BT18" i="16" s="1"/>
  <c r="M17" i="16"/>
  <c r="M16" i="16"/>
  <c r="BT16" i="16" s="1"/>
  <c r="M15" i="16"/>
  <c r="M14" i="16"/>
  <c r="BT14" i="16" s="1"/>
  <c r="M13" i="16"/>
  <c r="BT13" i="16" s="1"/>
  <c r="M12" i="16"/>
  <c r="BT12" i="16" s="1"/>
  <c r="M11" i="16"/>
  <c r="BT11" i="16" s="1"/>
  <c r="BV11" i="16" s="1"/>
  <c r="M10" i="16"/>
  <c r="BT10" i="16" s="1"/>
  <c r="M9" i="16"/>
  <c r="BT9" i="16" s="1"/>
  <c r="M8" i="16"/>
  <c r="BT8" i="16" s="1"/>
  <c r="BI20" i="15"/>
  <c r="BI19" i="15"/>
  <c r="AS20" i="16"/>
  <c r="AG20" i="16"/>
  <c r="AG19" i="16"/>
  <c r="BT22" i="16"/>
  <c r="BT21" i="16"/>
  <c r="BT20" i="16"/>
  <c r="BU20" i="16" s="1"/>
  <c r="BT17" i="16"/>
  <c r="BR20" i="16"/>
  <c r="BE20" i="16"/>
  <c r="BM3" i="16"/>
  <c r="BN24" i="16" s="1"/>
  <c r="BO24" i="16" s="1"/>
  <c r="BK4" i="16"/>
  <c r="BJ4" i="16"/>
  <c r="BI4" i="16"/>
  <c r="K31" i="16"/>
  <c r="I34" i="16"/>
  <c r="H34" i="16"/>
  <c r="G34" i="16"/>
  <c r="F34" i="16"/>
  <c r="I33" i="16"/>
  <c r="H33" i="16"/>
  <c r="G33" i="16"/>
  <c r="F33" i="16"/>
  <c r="I32" i="16"/>
  <c r="H32" i="16"/>
  <c r="G32" i="16"/>
  <c r="F32" i="16"/>
  <c r="I31" i="16"/>
  <c r="H31" i="16"/>
  <c r="G31" i="16"/>
  <c r="F31" i="16"/>
  <c r="I30" i="16"/>
  <c r="H30" i="16"/>
  <c r="G30" i="16"/>
  <c r="F30" i="16"/>
  <c r="I29" i="16"/>
  <c r="H29" i="16"/>
  <c r="G29" i="16"/>
  <c r="F29" i="16"/>
  <c r="K18" i="16"/>
  <c r="BR22" i="16"/>
  <c r="BE22" i="16"/>
  <c r="I23" i="16"/>
  <c r="H23" i="16"/>
  <c r="G23" i="16"/>
  <c r="F23" i="16"/>
  <c r="BR21" i="16"/>
  <c r="I22" i="16"/>
  <c r="H22" i="16"/>
  <c r="G22" i="16"/>
  <c r="F22" i="16"/>
  <c r="I20" i="16"/>
  <c r="H20" i="16"/>
  <c r="G20" i="16"/>
  <c r="F20" i="16"/>
  <c r="BR19" i="16"/>
  <c r="I21" i="16"/>
  <c r="H21" i="16"/>
  <c r="G21" i="16"/>
  <c r="F21" i="16"/>
  <c r="BR18" i="16"/>
  <c r="I19" i="16"/>
  <c r="H19" i="16"/>
  <c r="G19" i="16"/>
  <c r="F19" i="16"/>
  <c r="BR17" i="16"/>
  <c r="BE17" i="16"/>
  <c r="I17" i="16"/>
  <c r="H17" i="16"/>
  <c r="G17" i="16"/>
  <c r="F17" i="16"/>
  <c r="BR16" i="16"/>
  <c r="I16" i="16"/>
  <c r="H16" i="16"/>
  <c r="G16" i="16"/>
  <c r="F16" i="16"/>
  <c r="BR15" i="16"/>
  <c r="BE15" i="16"/>
  <c r="I15" i="16"/>
  <c r="H15" i="16"/>
  <c r="G15" i="16"/>
  <c r="F15" i="16"/>
  <c r="BR14" i="16"/>
  <c r="I14" i="16"/>
  <c r="H14" i="16"/>
  <c r="G14" i="16"/>
  <c r="F14" i="16"/>
  <c r="BR13" i="16"/>
  <c r="BE13" i="16"/>
  <c r="I13" i="16"/>
  <c r="H13" i="16"/>
  <c r="G13" i="16"/>
  <c r="F13" i="16"/>
  <c r="BR12" i="16"/>
  <c r="I12" i="16"/>
  <c r="H12" i="16"/>
  <c r="G12" i="16"/>
  <c r="F12" i="16"/>
  <c r="BR11" i="16"/>
  <c r="I11" i="16"/>
  <c r="H11" i="16"/>
  <c r="G11" i="16"/>
  <c r="F11" i="16"/>
  <c r="BR10" i="16"/>
  <c r="I10" i="16"/>
  <c r="H10" i="16"/>
  <c r="G10" i="16"/>
  <c r="F10" i="16"/>
  <c r="BR9" i="16"/>
  <c r="BE9" i="16"/>
  <c r="I9" i="16"/>
  <c r="H9" i="16"/>
  <c r="G9" i="16"/>
  <c r="F9" i="16"/>
  <c r="BR8" i="16"/>
  <c r="I8" i="16"/>
  <c r="H8" i="16"/>
  <c r="G8" i="16"/>
  <c r="F8" i="16"/>
  <c r="BC4" i="16"/>
  <c r="BB4" i="16"/>
  <c r="BA4" i="16"/>
  <c r="AZ4" i="16"/>
  <c r="AY4" i="16"/>
  <c r="AX4" i="16"/>
  <c r="AW4" i="16"/>
  <c r="AQ4" i="16"/>
  <c r="AP4" i="16"/>
  <c r="AO4" i="16"/>
  <c r="AN4" i="16"/>
  <c r="AM4" i="16"/>
  <c r="AL4" i="16"/>
  <c r="AK4" i="16"/>
  <c r="AE4" i="16"/>
  <c r="AD4" i="16"/>
  <c r="AC4" i="16"/>
  <c r="AB4" i="16"/>
  <c r="AA4" i="16"/>
  <c r="Z4" i="16"/>
  <c r="Y4" i="16"/>
  <c r="S4" i="16"/>
  <c r="R4" i="16"/>
  <c r="Q4" i="16"/>
  <c r="P4" i="16"/>
  <c r="O4" i="16"/>
  <c r="N4" i="16"/>
  <c r="BE3" i="16"/>
  <c r="BF24" i="16" s="1"/>
  <c r="BG24" i="16" s="1"/>
  <c r="AS3" i="16"/>
  <c r="AT24" i="16" s="1"/>
  <c r="AU24" i="16" s="1"/>
  <c r="AG3" i="16"/>
  <c r="AH24" i="16" s="1"/>
  <c r="AI24" i="16" s="1"/>
  <c r="U3" i="16"/>
  <c r="V24" i="16" s="1"/>
  <c r="W24" i="16" s="1"/>
  <c r="I25" i="16" l="1"/>
  <c r="F25" i="16"/>
  <c r="H25" i="16"/>
  <c r="BT15" i="16"/>
  <c r="M25" i="16"/>
  <c r="U25" i="16" s="1"/>
  <c r="BT4" i="16"/>
  <c r="G25" i="16"/>
  <c r="U20" i="16"/>
  <c r="CC2" i="16"/>
  <c r="U4" i="16"/>
  <c r="BT47" i="16"/>
  <c r="BU47" i="16" s="1"/>
  <c r="BV3" i="16"/>
  <c r="K22" i="16"/>
  <c r="E46" i="16"/>
  <c r="K36" i="16"/>
  <c r="E38" i="16"/>
  <c r="K29" i="16"/>
  <c r="BJ27" i="16"/>
  <c r="BM4" i="16"/>
  <c r="G36" i="16"/>
  <c r="K30" i="16"/>
  <c r="K32" i="16"/>
  <c r="K34" i="16"/>
  <c r="AY27" i="16"/>
  <c r="BI27" i="16"/>
  <c r="BK27" i="16"/>
  <c r="AZ27" i="16"/>
  <c r="K8" i="16"/>
  <c r="V8" i="16" s="1"/>
  <c r="K12" i="16"/>
  <c r="K11" i="16"/>
  <c r="K20" i="16"/>
  <c r="BN20" i="16" s="1"/>
  <c r="K9" i="16"/>
  <c r="K10" i="16"/>
  <c r="K21" i="16"/>
  <c r="E27" i="16"/>
  <c r="K17" i="16"/>
  <c r="K19" i="16"/>
  <c r="K23" i="16"/>
  <c r="K13" i="16"/>
  <c r="K14" i="16"/>
  <c r="K15" i="16"/>
  <c r="K16" i="16"/>
  <c r="I36" i="16"/>
  <c r="AG11" i="16"/>
  <c r="AG16" i="16"/>
  <c r="AG4" i="16"/>
  <c r="BE8" i="16"/>
  <c r="U10" i="16"/>
  <c r="AS22" i="16"/>
  <c r="AS12" i="16"/>
  <c r="BE18" i="16"/>
  <c r="BC27" i="16"/>
  <c r="BE10" i="16"/>
  <c r="AS10" i="16"/>
  <c r="BE12" i="16"/>
  <c r="AS4" i="16"/>
  <c r="BE4" i="16"/>
  <c r="J27" i="16"/>
  <c r="BF3" i="16" s="1"/>
  <c r="AE27" i="16"/>
  <c r="AA27" i="16"/>
  <c r="BE11" i="16"/>
  <c r="AG12" i="16"/>
  <c r="BE14" i="16"/>
  <c r="AS14" i="16"/>
  <c r="BU14" i="16"/>
  <c r="AG14" i="16"/>
  <c r="BE16" i="16"/>
  <c r="AX27" i="16"/>
  <c r="BB27" i="16"/>
  <c r="F36" i="16"/>
  <c r="J36" i="16"/>
  <c r="BQ36" i="16" s="1"/>
  <c r="BA27" i="16"/>
  <c r="U9" i="16"/>
  <c r="AS9" i="16"/>
  <c r="U13" i="16"/>
  <c r="AG13" i="16"/>
  <c r="AS13" i="16"/>
  <c r="U17" i="16"/>
  <c r="BU17" i="16"/>
  <c r="AS19" i="16"/>
  <c r="U19" i="16"/>
  <c r="BE19" i="16"/>
  <c r="AG21" i="16"/>
  <c r="BE21" i="16"/>
  <c r="H36" i="16"/>
  <c r="K33" i="16"/>
  <c r="AS41" i="16"/>
  <c r="BE41" i="16"/>
  <c r="F20" i="15"/>
  <c r="G20" i="15"/>
  <c r="H20" i="15"/>
  <c r="I20" i="15"/>
  <c r="J20" i="15"/>
  <c r="BB20" i="15" l="1"/>
  <c r="BA20" i="15"/>
  <c r="AZ20" i="15"/>
  <c r="AY20" i="15"/>
  <c r="AX20" i="15"/>
  <c r="AW20" i="15"/>
  <c r="BI32" i="16"/>
  <c r="BI35" i="16"/>
  <c r="BI31" i="16"/>
  <c r="BI34" i="16"/>
  <c r="BI30" i="16"/>
  <c r="BI39" i="16"/>
  <c r="BI33" i="16"/>
  <c r="BI29" i="16"/>
  <c r="BX3" i="16"/>
  <c r="BY3" i="16" s="1"/>
  <c r="BZ3" i="16" s="1"/>
  <c r="BC29" i="16"/>
  <c r="BC33" i="16"/>
  <c r="BC30" i="16"/>
  <c r="BC34" i="16"/>
  <c r="BC31" i="16"/>
  <c r="BC35" i="16"/>
  <c r="BC32" i="16"/>
  <c r="BK46" i="16"/>
  <c r="BK32" i="16"/>
  <c r="BK39" i="16"/>
  <c r="BK31" i="16"/>
  <c r="BK29" i="16"/>
  <c r="BK33" i="16"/>
  <c r="BK30" i="16"/>
  <c r="BK34" i="16"/>
  <c r="BK35" i="16"/>
  <c r="BJ46" i="16"/>
  <c r="BJ35" i="16"/>
  <c r="BJ31" i="16"/>
  <c r="BJ34" i="16"/>
  <c r="BJ30" i="16"/>
  <c r="BJ33" i="16"/>
  <c r="BJ29" i="16"/>
  <c r="BJ39" i="16"/>
  <c r="BJ32" i="16"/>
  <c r="BT25" i="16"/>
  <c r="BM27" i="16"/>
  <c r="BN29" i="16" s="1"/>
  <c r="BI46" i="16"/>
  <c r="BB46" i="16"/>
  <c r="BB31" i="16"/>
  <c r="BB35" i="16"/>
  <c r="BB32" i="16"/>
  <c r="BB29" i="16"/>
  <c r="BB33" i="16"/>
  <c r="BB30" i="16"/>
  <c r="BB34" i="16"/>
  <c r="BC46" i="16"/>
  <c r="BC39" i="16"/>
  <c r="BN23" i="16"/>
  <c r="BO23" i="16" s="1"/>
  <c r="AT23" i="16"/>
  <c r="AU23" i="16" s="1"/>
  <c r="V23" i="16"/>
  <c r="W23" i="16" s="1"/>
  <c r="AH23" i="16"/>
  <c r="AI23" i="16" s="1"/>
  <c r="BA46" i="16"/>
  <c r="BA29" i="16"/>
  <c r="BA33" i="16"/>
  <c r="BA39" i="16"/>
  <c r="BA30" i="16"/>
  <c r="BA34" i="16"/>
  <c r="BA31" i="16"/>
  <c r="BA35" i="16"/>
  <c r="BA32" i="16"/>
  <c r="AZ46" i="16"/>
  <c r="AZ32" i="16"/>
  <c r="AZ30" i="16"/>
  <c r="AZ35" i="16"/>
  <c r="AZ39" i="16"/>
  <c r="AZ29" i="16"/>
  <c r="AZ33" i="16"/>
  <c r="AZ34" i="16"/>
  <c r="AZ31" i="16"/>
  <c r="AY46" i="16"/>
  <c r="AY32" i="16"/>
  <c r="AY33" i="16"/>
  <c r="AY34" i="16"/>
  <c r="AY31" i="16"/>
  <c r="AY35" i="16"/>
  <c r="AY29" i="16"/>
  <c r="AY30" i="16"/>
  <c r="BF23" i="16"/>
  <c r="BG23" i="16" s="1"/>
  <c r="AX46" i="16"/>
  <c r="AX30" i="16"/>
  <c r="AX34" i="16"/>
  <c r="AX32" i="16"/>
  <c r="AX29" i="16"/>
  <c r="AX31" i="16"/>
  <c r="AX35" i="16"/>
  <c r="AX33" i="16"/>
  <c r="AT3" i="16"/>
  <c r="AH3" i="16"/>
  <c r="AE46" i="16"/>
  <c r="AE39" i="16"/>
  <c r="AA46" i="16"/>
  <c r="AA39" i="16"/>
  <c r="V3" i="16"/>
  <c r="W3" i="16" s="1"/>
  <c r="AE35" i="16"/>
  <c r="AA35" i="16"/>
  <c r="AE33" i="16"/>
  <c r="AA33" i="16"/>
  <c r="AE31" i="16"/>
  <c r="AA31" i="16"/>
  <c r="AE29" i="16"/>
  <c r="AA29" i="16"/>
  <c r="AE34" i="16"/>
  <c r="AA34" i="16"/>
  <c r="AA32" i="16"/>
  <c r="AA30" i="16"/>
  <c r="AE32" i="16"/>
  <c r="AE30" i="16"/>
  <c r="J38" i="16"/>
  <c r="BX4" i="16"/>
  <c r="BY4" i="16" s="1"/>
  <c r="CB4" i="16"/>
  <c r="CC4" i="16" s="1"/>
  <c r="J46" i="16"/>
  <c r="BT5" i="16" s="1"/>
  <c r="BV4" i="16"/>
  <c r="BN19" i="16"/>
  <c r="AT15" i="16"/>
  <c r="BN15" i="16"/>
  <c r="AH18" i="16"/>
  <c r="BN18" i="16"/>
  <c r="BF11" i="16"/>
  <c r="BG11" i="16" s="1"/>
  <c r="BN11" i="16"/>
  <c r="BF14" i="16"/>
  <c r="BG14" i="16" s="1"/>
  <c r="BN14" i="16"/>
  <c r="BF17" i="16"/>
  <c r="BG17" i="16" s="1"/>
  <c r="BN17" i="16"/>
  <c r="BF10" i="16"/>
  <c r="BG10" i="16" s="1"/>
  <c r="BN10" i="16"/>
  <c r="V12" i="16"/>
  <c r="BN12" i="16"/>
  <c r="V21" i="16"/>
  <c r="BN21" i="16"/>
  <c r="BF13" i="16"/>
  <c r="BG13" i="16" s="1"/>
  <c r="BN13" i="16"/>
  <c r="AT9" i="16"/>
  <c r="AU9" i="16" s="1"/>
  <c r="BN9" i="16"/>
  <c r="BN8" i="16"/>
  <c r="AT16" i="16"/>
  <c r="BN16" i="16"/>
  <c r="BF22" i="16"/>
  <c r="BG22" i="16" s="1"/>
  <c r="BN22" i="16"/>
  <c r="AT21" i="16"/>
  <c r="AH21" i="16"/>
  <c r="AI21" i="16" s="1"/>
  <c r="BF21" i="16"/>
  <c r="BG21" i="16" s="1"/>
  <c r="F38" i="16"/>
  <c r="E47" i="16"/>
  <c r="I46" i="16"/>
  <c r="H46" i="16"/>
  <c r="G46" i="16"/>
  <c r="F46" i="16"/>
  <c r="M38" i="16"/>
  <c r="I38" i="16"/>
  <c r="G38" i="16"/>
  <c r="K41" i="16"/>
  <c r="H41" i="16"/>
  <c r="E48" i="16"/>
  <c r="J48" i="16" s="1"/>
  <c r="G41" i="16"/>
  <c r="F41" i="16"/>
  <c r="I41" i="16"/>
  <c r="H27" i="16"/>
  <c r="H38" i="16"/>
  <c r="BK45" i="15"/>
  <c r="AK20" i="15"/>
  <c r="AO20" i="15"/>
  <c r="Z20" i="15"/>
  <c r="AD20" i="15"/>
  <c r="O20" i="15"/>
  <c r="L20" i="15"/>
  <c r="AN20" i="15"/>
  <c r="Y20" i="15"/>
  <c r="AC20" i="15"/>
  <c r="N20" i="15"/>
  <c r="R20" i="15"/>
  <c r="AM20" i="15"/>
  <c r="AJ20" i="15"/>
  <c r="AB20" i="15"/>
  <c r="M20" i="15"/>
  <c r="Q20" i="15"/>
  <c r="AV20" i="15"/>
  <c r="BD20" i="15" s="1"/>
  <c r="AL20" i="15"/>
  <c r="AP20" i="15"/>
  <c r="AA20" i="15"/>
  <c r="X20" i="15"/>
  <c r="P20" i="15"/>
  <c r="G27" i="16"/>
  <c r="V18" i="16"/>
  <c r="AT19" i="16"/>
  <c r="AU19" i="16" s="1"/>
  <c r="AH19" i="16"/>
  <c r="AI19" i="16" s="1"/>
  <c r="BF20" i="16"/>
  <c r="AH20" i="16"/>
  <c r="AI20" i="16" s="1"/>
  <c r="V20" i="16"/>
  <c r="W20" i="16" s="1"/>
  <c r="AT20" i="16"/>
  <c r="AU20" i="16" s="1"/>
  <c r="AH9" i="16"/>
  <c r="BF9" i="16"/>
  <c r="V15" i="16"/>
  <c r="BF18" i="16"/>
  <c r="AH14" i="16"/>
  <c r="AI14" i="16" s="1"/>
  <c r="V14" i="16"/>
  <c r="V17" i="16"/>
  <c r="W17" i="16" s="1"/>
  <c r="AH10" i="16"/>
  <c r="V16" i="16"/>
  <c r="V10" i="16"/>
  <c r="W10" i="16" s="1"/>
  <c r="V11" i="16"/>
  <c r="AH17" i="16"/>
  <c r="AH12" i="16"/>
  <c r="AI12" i="16" s="1"/>
  <c r="AT13" i="16"/>
  <c r="AU13" i="16" s="1"/>
  <c r="AH11" i="16"/>
  <c r="AI11" i="16" s="1"/>
  <c r="AT11" i="16"/>
  <c r="BF8" i="16"/>
  <c r="V9" i="16"/>
  <c r="W9" i="16" s="1"/>
  <c r="AH8" i="16"/>
  <c r="AT8" i="16"/>
  <c r="AT12" i="16"/>
  <c r="AU12" i="16" s="1"/>
  <c r="BF16" i="16"/>
  <c r="BF12" i="16"/>
  <c r="V13" i="16"/>
  <c r="W13" i="16" s="1"/>
  <c r="V19" i="16"/>
  <c r="W19" i="16" s="1"/>
  <c r="AT17" i="16"/>
  <c r="AH13" i="16"/>
  <c r="AI13" i="16" s="1"/>
  <c r="AT10" i="16"/>
  <c r="AU10" i="16" s="1"/>
  <c r="BF19" i="16"/>
  <c r="BF15" i="16"/>
  <c r="AH15" i="16"/>
  <c r="AT14" i="16"/>
  <c r="AU14" i="16" s="1"/>
  <c r="AT22" i="16"/>
  <c r="AU22" i="16" s="1"/>
  <c r="AH22" i="16"/>
  <c r="V22" i="16"/>
  <c r="AT18" i="16"/>
  <c r="AH16" i="16"/>
  <c r="AI16" i="16" s="1"/>
  <c r="BY2" i="16"/>
  <c r="BZ2" i="16" s="1"/>
  <c r="AN27" i="16"/>
  <c r="AD27" i="16"/>
  <c r="P27" i="16"/>
  <c r="AC27" i="16"/>
  <c r="AO27" i="16"/>
  <c r="CG2" i="16"/>
  <c r="U11" i="16"/>
  <c r="BU11" i="16"/>
  <c r="AS16" i="16"/>
  <c r="N27" i="16"/>
  <c r="N46" i="16" s="1"/>
  <c r="BU13" i="16"/>
  <c r="BU10" i="16"/>
  <c r="BU9" i="16"/>
  <c r="U15" i="16"/>
  <c r="BU15" i="16"/>
  <c r="AS11" i="16"/>
  <c r="BU12" i="16"/>
  <c r="U12" i="16"/>
  <c r="AG17" i="16"/>
  <c r="F27" i="16"/>
  <c r="BU4" i="16"/>
  <c r="BU19" i="16"/>
  <c r="M27" i="16"/>
  <c r="U8" i="16"/>
  <c r="W8" i="16" s="1"/>
  <c r="U14" i="16"/>
  <c r="AG15" i="16"/>
  <c r="AG18" i="16"/>
  <c r="BU18" i="16"/>
  <c r="U18" i="16"/>
  <c r="AS18" i="16"/>
  <c r="U22" i="16"/>
  <c r="BU22" i="16"/>
  <c r="AS15" i="16"/>
  <c r="AG10" i="16"/>
  <c r="I27" i="16"/>
  <c r="AG41" i="16"/>
  <c r="BU21" i="16"/>
  <c r="U21" i="16"/>
  <c r="AS21" i="16"/>
  <c r="AS17" i="16"/>
  <c r="AG9" i="16"/>
  <c r="AS8" i="16"/>
  <c r="AG22" i="16"/>
  <c r="CD2" i="16"/>
  <c r="BU16" i="16"/>
  <c r="U16" i="16"/>
  <c r="BM3" i="15"/>
  <c r="AK38" i="16" l="1"/>
  <c r="BK38" i="16"/>
  <c r="BJ38" i="16"/>
  <c r="BI38" i="16"/>
  <c r="BC38" i="16"/>
  <c r="BB38" i="16"/>
  <c r="BB39" i="16" s="1"/>
  <c r="BA38" i="16"/>
  <c r="AZ38" i="16"/>
  <c r="AY38" i="16"/>
  <c r="AY39" i="16" s="1"/>
  <c r="AY47" i="16" s="1"/>
  <c r="AX38" i="16"/>
  <c r="AX39" i="16" s="1"/>
  <c r="AW38" i="16"/>
  <c r="AQ38" i="16"/>
  <c r="AO38" i="16"/>
  <c r="AP38" i="16"/>
  <c r="AM38" i="16"/>
  <c r="AN38" i="16"/>
  <c r="AN39" i="16" s="1"/>
  <c r="AL38" i="16"/>
  <c r="BU25" i="16"/>
  <c r="BV25" i="16"/>
  <c r="BM31" i="16"/>
  <c r="BN25" i="16"/>
  <c r="BM33" i="16"/>
  <c r="BJ44" i="16"/>
  <c r="BJ47" i="16"/>
  <c r="BK36" i="16"/>
  <c r="BI44" i="16"/>
  <c r="BM39" i="16"/>
  <c r="BI47" i="16"/>
  <c r="BM35" i="16"/>
  <c r="BJ36" i="16"/>
  <c r="BM30" i="16"/>
  <c r="BM32" i="16"/>
  <c r="BK44" i="16"/>
  <c r="BK47" i="16"/>
  <c r="BM29" i="16"/>
  <c r="BI36" i="16"/>
  <c r="BM34" i="16"/>
  <c r="BM46" i="16"/>
  <c r="BC44" i="16"/>
  <c r="BC47" i="16"/>
  <c r="BB44" i="16"/>
  <c r="BB47" i="16"/>
  <c r="BB36" i="16"/>
  <c r="BA44" i="16"/>
  <c r="BA47" i="16"/>
  <c r="AZ36" i="16"/>
  <c r="AY44" i="16"/>
  <c r="AZ44" i="16"/>
  <c r="AZ47" i="16"/>
  <c r="BA36" i="16"/>
  <c r="AY36" i="16"/>
  <c r="AO46" i="16"/>
  <c r="AO32" i="16"/>
  <c r="AO29" i="16"/>
  <c r="AO33" i="16"/>
  <c r="AO39" i="16"/>
  <c r="AO30" i="16"/>
  <c r="AO34" i="16"/>
  <c r="AO31" i="16"/>
  <c r="AO35" i="16"/>
  <c r="AN46" i="16"/>
  <c r="AN30" i="16"/>
  <c r="AN34" i="16"/>
  <c r="AN31" i="16"/>
  <c r="AN35" i="16"/>
  <c r="AN32" i="16"/>
  <c r="AN29" i="16"/>
  <c r="AN33" i="16"/>
  <c r="AX36" i="16"/>
  <c r="AX44" i="16"/>
  <c r="AX47" i="16"/>
  <c r="AT25" i="16"/>
  <c r="AE38" i="16"/>
  <c r="AD38" i="16"/>
  <c r="AD39" i="16" s="1"/>
  <c r="AC38" i="16"/>
  <c r="AC39" i="16" s="1"/>
  <c r="AB38" i="16"/>
  <c r="AA38" i="16"/>
  <c r="Z38" i="16"/>
  <c r="Y38" i="16"/>
  <c r="S38" i="16"/>
  <c r="AE44" i="16"/>
  <c r="AE47" i="16"/>
  <c r="AC46" i="16"/>
  <c r="BV5" i="16"/>
  <c r="AA44" i="16"/>
  <c r="AA47" i="16"/>
  <c r="AD46" i="16"/>
  <c r="N39" i="16"/>
  <c r="N44" i="16" s="1"/>
  <c r="AD29" i="16"/>
  <c r="AD34" i="16"/>
  <c r="AD31" i="16"/>
  <c r="AD32" i="16"/>
  <c r="AD35" i="16"/>
  <c r="AH25" i="16"/>
  <c r="AC33" i="16"/>
  <c r="AC30" i="16"/>
  <c r="AD30" i="16"/>
  <c r="AC29" i="16"/>
  <c r="AC35" i="16"/>
  <c r="AC32" i="16"/>
  <c r="AD33" i="16"/>
  <c r="AC31" i="16"/>
  <c r="AC34" i="16"/>
  <c r="AA36" i="16"/>
  <c r="J47" i="16"/>
  <c r="K47" i="16" s="1"/>
  <c r="CB3" i="16"/>
  <c r="CC3" i="16" s="1"/>
  <c r="CD3" i="16" s="1"/>
  <c r="AE36" i="16"/>
  <c r="E51" i="16"/>
  <c r="R38" i="16"/>
  <c r="Q38" i="16"/>
  <c r="P38" i="16"/>
  <c r="P39" i="16" s="1"/>
  <c r="P44" i="16" s="1"/>
  <c r="O38" i="16"/>
  <c r="N38" i="16"/>
  <c r="P46" i="16"/>
  <c r="V25" i="16"/>
  <c r="K46" i="16"/>
  <c r="AU15" i="16"/>
  <c r="W12" i="16"/>
  <c r="P29" i="16"/>
  <c r="P30" i="16"/>
  <c r="P31" i="16"/>
  <c r="BO22" i="16"/>
  <c r="P33" i="16"/>
  <c r="P32" i="16"/>
  <c r="P35" i="16"/>
  <c r="P34" i="16"/>
  <c r="BO21" i="16"/>
  <c r="AU21" i="16"/>
  <c r="BO10" i="16"/>
  <c r="BO11" i="16"/>
  <c r="BO13" i="16"/>
  <c r="BO14" i="16"/>
  <c r="BO17" i="16"/>
  <c r="W21" i="16"/>
  <c r="AI18" i="16"/>
  <c r="AU16" i="16"/>
  <c r="M33" i="16"/>
  <c r="M29" i="16"/>
  <c r="M31" i="16"/>
  <c r="M34" i="16"/>
  <c r="M30" i="16"/>
  <c r="M32" i="16"/>
  <c r="M35" i="16"/>
  <c r="N34" i="16"/>
  <c r="N35" i="16"/>
  <c r="N31" i="16"/>
  <c r="N29" i="16"/>
  <c r="N30" i="16"/>
  <c r="N33" i="16"/>
  <c r="N32" i="16"/>
  <c r="M46" i="16"/>
  <c r="K48" i="16"/>
  <c r="I48" i="16"/>
  <c r="G48" i="16"/>
  <c r="H48" i="16"/>
  <c r="F48" i="16"/>
  <c r="H47" i="16"/>
  <c r="I47" i="16"/>
  <c r="G47" i="16"/>
  <c r="F47" i="16"/>
  <c r="H42" i="16"/>
  <c r="F42" i="16"/>
  <c r="G42" i="16"/>
  <c r="I42" i="16"/>
  <c r="M41" i="16"/>
  <c r="BQ41" i="16" s="1"/>
  <c r="M42" i="16"/>
  <c r="W18" i="16"/>
  <c r="W11" i="16"/>
  <c r="W15" i="16"/>
  <c r="BK20" i="15"/>
  <c r="BL20" i="15" s="1"/>
  <c r="T20" i="15"/>
  <c r="AF20" i="15"/>
  <c r="AR20" i="15"/>
  <c r="AI9" i="16"/>
  <c r="BG20" i="16"/>
  <c r="BO20" i="16" s="1"/>
  <c r="BG19" i="16"/>
  <c r="BO19" i="16" s="1"/>
  <c r="BG16" i="16"/>
  <c r="BO16" i="16" s="1"/>
  <c r="BG15" i="16"/>
  <c r="BO15" i="16" s="1"/>
  <c r="BG8" i="16"/>
  <c r="BO8" i="16" s="1"/>
  <c r="BG18" i="16"/>
  <c r="BO18" i="16" s="1"/>
  <c r="BG9" i="16"/>
  <c r="BO9" i="16" s="1"/>
  <c r="BG12" i="16"/>
  <c r="BO12" i="16" s="1"/>
  <c r="W14" i="16"/>
  <c r="AU11" i="16"/>
  <c r="AI10" i="16"/>
  <c r="W22" i="16"/>
  <c r="AI8" i="16"/>
  <c r="W16" i="16"/>
  <c r="AU8" i="16"/>
  <c r="AI15" i="16"/>
  <c r="AI17" i="16"/>
  <c r="BF25" i="16"/>
  <c r="AU18" i="16"/>
  <c r="AU17" i="16"/>
  <c r="BU3" i="16"/>
  <c r="BX6" i="16" s="1"/>
  <c r="BZ4" i="16"/>
  <c r="CA4" i="16" s="1"/>
  <c r="AI22" i="16"/>
  <c r="CD4" i="16"/>
  <c r="BX1" i="16"/>
  <c r="BZ1" i="16" s="1"/>
  <c r="BC36" i="16"/>
  <c r="AP27" i="16"/>
  <c r="CH2" i="16"/>
  <c r="AK27" i="16"/>
  <c r="AM27" i="16"/>
  <c r="O27" i="16"/>
  <c r="S27" i="16"/>
  <c r="BE25" i="16"/>
  <c r="AW27" i="16"/>
  <c r="Y27" i="16"/>
  <c r="Y39" i="16" s="1"/>
  <c r="Q27" i="16"/>
  <c r="Q39" i="16" s="1"/>
  <c r="Q44" i="16" s="1"/>
  <c r="Q49" i="16" s="1"/>
  <c r="AB27" i="16"/>
  <c r="AL27" i="16"/>
  <c r="AQ27" i="16"/>
  <c r="R27" i="16"/>
  <c r="Z27" i="16"/>
  <c r="BU8" i="16"/>
  <c r="BD3" i="15"/>
  <c r="AR3" i="15"/>
  <c r="AF3" i="15"/>
  <c r="AJ4" i="15"/>
  <c r="AK4" i="15"/>
  <c r="AL4" i="15"/>
  <c r="AM4" i="15"/>
  <c r="AN4" i="15"/>
  <c r="AM35" i="15"/>
  <c r="AN35" i="15"/>
  <c r="T3" i="15"/>
  <c r="T4" i="15" s="1"/>
  <c r="BM36" i="16" l="1"/>
  <c r="BM47" i="16"/>
  <c r="BK49" i="16"/>
  <c r="BK48" i="16"/>
  <c r="BM44" i="16"/>
  <c r="BI48" i="16"/>
  <c r="BI49" i="16"/>
  <c r="BJ48" i="16"/>
  <c r="BJ49" i="16"/>
  <c r="BO25" i="16"/>
  <c r="BC48" i="16"/>
  <c r="BC49" i="16"/>
  <c r="BB48" i="16"/>
  <c r="BB49" i="16"/>
  <c r="AZ49" i="16"/>
  <c r="AZ48" i="16"/>
  <c r="AY48" i="16"/>
  <c r="AY49" i="16"/>
  <c r="BA48" i="16"/>
  <c r="BA49" i="16"/>
  <c r="BQ27" i="16"/>
  <c r="J4" i="16" s="1"/>
  <c r="AQ46" i="16"/>
  <c r="AQ29" i="16"/>
  <c r="AQ33" i="16"/>
  <c r="AQ30" i="16"/>
  <c r="AQ34" i="16"/>
  <c r="AQ31" i="16"/>
  <c r="AQ35" i="16"/>
  <c r="AQ32" i="16"/>
  <c r="AP31" i="16"/>
  <c r="AP35" i="16"/>
  <c r="AP32" i="16"/>
  <c r="AP29" i="16"/>
  <c r="AP33" i="16"/>
  <c r="AP30" i="16"/>
  <c r="AP34" i="16"/>
  <c r="AL46" i="16"/>
  <c r="AL32" i="16"/>
  <c r="AL29" i="16"/>
  <c r="AL33" i="16"/>
  <c r="AL39" i="16"/>
  <c r="AL30" i="16"/>
  <c r="AL34" i="16"/>
  <c r="AL31" i="16"/>
  <c r="AL35" i="16"/>
  <c r="AM46" i="16"/>
  <c r="AM39" i="16"/>
  <c r="AM30" i="16"/>
  <c r="AM34" i="16"/>
  <c r="AM31" i="16"/>
  <c r="AM35" i="16"/>
  <c r="AM32" i="16"/>
  <c r="AM29" i="16"/>
  <c r="AM33" i="16"/>
  <c r="AN36" i="16"/>
  <c r="AO44" i="16"/>
  <c r="AO47" i="16"/>
  <c r="AX49" i="16"/>
  <c r="AX48" i="16"/>
  <c r="AN44" i="16"/>
  <c r="AN47" i="16"/>
  <c r="AO36" i="16"/>
  <c r="AW33" i="16"/>
  <c r="BE33" i="16" s="1"/>
  <c r="AW29" i="16"/>
  <c r="AW32" i="16"/>
  <c r="BE32" i="16" s="1"/>
  <c r="AW35" i="16"/>
  <c r="BE35" i="16" s="1"/>
  <c r="AW31" i="16"/>
  <c r="BE31" i="16" s="1"/>
  <c r="AW39" i="16"/>
  <c r="AW34" i="16"/>
  <c r="BE34" i="16" s="1"/>
  <c r="AW30" i="16"/>
  <c r="BE30" i="16" s="1"/>
  <c r="AW46" i="16"/>
  <c r="BE46" i="16" s="1"/>
  <c r="BE27" i="16"/>
  <c r="AK46" i="16"/>
  <c r="AK34" i="16"/>
  <c r="AK30" i="16"/>
  <c r="AK39" i="16"/>
  <c r="AK33" i="16"/>
  <c r="AK29" i="16"/>
  <c r="AK32" i="16"/>
  <c r="AK35" i="16"/>
  <c r="AK31" i="16"/>
  <c r="AU25" i="16"/>
  <c r="Z39" i="16"/>
  <c r="Z47" i="16" s="1"/>
  <c r="AB39" i="16"/>
  <c r="AB47" i="16" s="1"/>
  <c r="AE49" i="16"/>
  <c r="AE48" i="16"/>
  <c r="W25" i="16"/>
  <c r="R39" i="16"/>
  <c r="R44" i="16" s="1"/>
  <c r="R48" i="16" s="1"/>
  <c r="Q48" i="16"/>
  <c r="O39" i="16"/>
  <c r="O44" i="16" s="1"/>
  <c r="O48" i="16" s="1"/>
  <c r="AD36" i="16"/>
  <c r="AD44" i="16"/>
  <c r="AD47" i="16"/>
  <c r="AC44" i="16"/>
  <c r="AC47" i="16"/>
  <c r="BN3" i="16"/>
  <c r="BN4" i="16" s="1"/>
  <c r="BO4" i="16" s="1"/>
  <c r="S39" i="16"/>
  <c r="S44" i="16" s="1"/>
  <c r="AA49" i="16"/>
  <c r="AA48" i="16"/>
  <c r="CE3" i="16"/>
  <c r="AC36" i="16"/>
  <c r="AI25" i="16"/>
  <c r="Y44" i="16"/>
  <c r="Y47" i="16"/>
  <c r="Z46" i="16"/>
  <c r="Z31" i="16"/>
  <c r="Z34" i="16"/>
  <c r="Z29" i="16"/>
  <c r="Z33" i="16"/>
  <c r="Z30" i="16"/>
  <c r="Z35" i="16"/>
  <c r="Z32" i="16"/>
  <c r="AB46" i="16"/>
  <c r="AB31" i="16"/>
  <c r="AB29" i="16"/>
  <c r="AB34" i="16"/>
  <c r="AB30" i="16"/>
  <c r="AB32" i="16"/>
  <c r="AB33" i="16"/>
  <c r="AB35" i="16"/>
  <c r="J51" i="16"/>
  <c r="K51" i="16" s="1"/>
  <c r="E53" i="16"/>
  <c r="CF4" i="16" s="1"/>
  <c r="CG4" i="16" s="1"/>
  <c r="CF3" i="16"/>
  <c r="CF1" i="16" s="1"/>
  <c r="U27" i="16"/>
  <c r="V29" i="16" s="1"/>
  <c r="CD5" i="16"/>
  <c r="Y46" i="16"/>
  <c r="Y33" i="16"/>
  <c r="Y29" i="16"/>
  <c r="Y31" i="16"/>
  <c r="Y32" i="16"/>
  <c r="Y34" i="16"/>
  <c r="Y30" i="16"/>
  <c r="Y35" i="16"/>
  <c r="P36" i="16"/>
  <c r="R46" i="16"/>
  <c r="R29" i="16"/>
  <c r="R32" i="16"/>
  <c r="R35" i="16"/>
  <c r="R34" i="16"/>
  <c r="R33" i="16"/>
  <c r="R31" i="16"/>
  <c r="R30" i="16"/>
  <c r="Q46" i="16"/>
  <c r="Q32" i="16"/>
  <c r="Q33" i="16"/>
  <c r="Q35" i="16"/>
  <c r="Q31" i="16"/>
  <c r="Q34" i="16"/>
  <c r="Q30" i="16"/>
  <c r="Q29" i="16"/>
  <c r="S46" i="16"/>
  <c r="S34" i="16"/>
  <c r="S30" i="16"/>
  <c r="S35" i="16"/>
  <c r="S33" i="16"/>
  <c r="S29" i="16"/>
  <c r="S32" i="16"/>
  <c r="S31" i="16"/>
  <c r="AP46" i="16"/>
  <c r="M36" i="16"/>
  <c r="O35" i="16"/>
  <c r="O31" i="16"/>
  <c r="O29" i="16"/>
  <c r="O34" i="16"/>
  <c r="O30" i="16"/>
  <c r="O46" i="16"/>
  <c r="O33" i="16"/>
  <c r="O32" i="16"/>
  <c r="N47" i="16"/>
  <c r="U42" i="16"/>
  <c r="BQ42" i="16"/>
  <c r="K27" i="16"/>
  <c r="K38" i="16"/>
  <c r="K42" i="16"/>
  <c r="BR41" i="16"/>
  <c r="U41" i="16"/>
  <c r="BG25" i="16"/>
  <c r="CE4" i="16"/>
  <c r="CA3" i="16"/>
  <c r="BY1" i="16"/>
  <c r="BU5" i="16"/>
  <c r="U38" i="16"/>
  <c r="AT4" i="16"/>
  <c r="AU4" i="16" s="1"/>
  <c r="AU3" i="16"/>
  <c r="AS38" i="16"/>
  <c r="N36" i="16"/>
  <c r="BF4" i="16"/>
  <c r="BG4" i="16" s="1"/>
  <c r="BG3" i="16"/>
  <c r="V4" i="16"/>
  <c r="W4" i="16"/>
  <c r="BE38" i="16"/>
  <c r="CB1" i="16"/>
  <c r="AG27" i="16"/>
  <c r="AS27" i="16"/>
  <c r="AG38" i="16"/>
  <c r="AH4" i="16"/>
  <c r="AI3" i="16"/>
  <c r="AI4" i="16" s="1"/>
  <c r="BI51" i="16" l="1"/>
  <c r="BI53" i="16" s="1"/>
  <c r="BK51" i="16"/>
  <c r="BK53" i="16" s="1"/>
  <c r="BJ51" i="16"/>
  <c r="BJ53" i="16" s="1"/>
  <c r="BM48" i="16"/>
  <c r="BB51" i="16"/>
  <c r="BB53" i="16" s="1"/>
  <c r="BC51" i="16"/>
  <c r="BC53" i="16" s="1"/>
  <c r="AZ51" i="16"/>
  <c r="AZ53" i="16" s="1"/>
  <c r="AY51" i="16"/>
  <c r="AY53" i="16" s="1"/>
  <c r="BA51" i="16"/>
  <c r="BA53" i="16" s="1"/>
  <c r="AX51" i="16"/>
  <c r="AX53" i="16" s="1"/>
  <c r="AO49" i="16"/>
  <c r="AO48" i="16"/>
  <c r="AM44" i="16"/>
  <c r="AM47" i="16"/>
  <c r="AP36" i="16"/>
  <c r="AP39" i="16" s="1"/>
  <c r="AN49" i="16"/>
  <c r="AN48" i="16"/>
  <c r="AL44" i="16"/>
  <c r="AL47" i="16"/>
  <c r="AW44" i="16"/>
  <c r="AW47" i="16"/>
  <c r="BE47" i="16" s="1"/>
  <c r="AW36" i="16"/>
  <c r="BE36" i="16" s="1"/>
  <c r="BE29" i="16"/>
  <c r="BE39" i="16"/>
  <c r="R49" i="16"/>
  <c r="Z44" i="16"/>
  <c r="Z48" i="16" s="1"/>
  <c r="BT35" i="16"/>
  <c r="BU35" i="16" s="1"/>
  <c r="AB44" i="16"/>
  <c r="AB48" i="16" s="1"/>
  <c r="AE51" i="16"/>
  <c r="AE53" i="16" s="1"/>
  <c r="AK44" i="16"/>
  <c r="AK47" i="16"/>
  <c r="BO3" i="16"/>
  <c r="BQ46" i="16"/>
  <c r="AG31" i="16"/>
  <c r="O49" i="16"/>
  <c r="AA51" i="16"/>
  <c r="AA53" i="16" s="1"/>
  <c r="S48" i="16"/>
  <c r="S49" i="16"/>
  <c r="AD48" i="16"/>
  <c r="AD49" i="16"/>
  <c r="AC48" i="16"/>
  <c r="AC49" i="16"/>
  <c r="AG34" i="16"/>
  <c r="AG35" i="16"/>
  <c r="AG30" i="16"/>
  <c r="AG33" i="16"/>
  <c r="Y48" i="16"/>
  <c r="Y49" i="16"/>
  <c r="CH4" i="16"/>
  <c r="CI4" i="16" s="1"/>
  <c r="AG46" i="16"/>
  <c r="AG32" i="16"/>
  <c r="AB36" i="16"/>
  <c r="M39" i="16"/>
  <c r="M44" i="16" s="1"/>
  <c r="Y36" i="16"/>
  <c r="S36" i="16"/>
  <c r="S47" i="16" s="1"/>
  <c r="Q36" i="16"/>
  <c r="Q47" i="16" s="1"/>
  <c r="Q51" i="16" s="1"/>
  <c r="Q53" i="16" s="1"/>
  <c r="BT31" i="16"/>
  <c r="BU31" i="16" s="1"/>
  <c r="BT30" i="16"/>
  <c r="BU30" i="16" s="1"/>
  <c r="AS46" i="16"/>
  <c r="BT32" i="16"/>
  <c r="BU32" i="16" s="1"/>
  <c r="BT34" i="16"/>
  <c r="BU34" i="16" s="1"/>
  <c r="BT33" i="16"/>
  <c r="BU33" i="16" s="1"/>
  <c r="U46" i="16"/>
  <c r="N49" i="16"/>
  <c r="N48" i="16"/>
  <c r="BF29" i="16"/>
  <c r="AS34" i="16"/>
  <c r="AG47" i="16"/>
  <c r="CG3" i="16"/>
  <c r="CH3" i="16" s="1"/>
  <c r="U33" i="16"/>
  <c r="U32" i="16"/>
  <c r="AG39" i="16"/>
  <c r="AS32" i="16"/>
  <c r="AH32" i="16"/>
  <c r="AH29" i="16"/>
  <c r="AH35" i="16"/>
  <c r="AH34" i="16"/>
  <c r="AH31" i="16"/>
  <c r="AH33" i="16"/>
  <c r="AH30" i="16"/>
  <c r="AQ36" i="16"/>
  <c r="AQ39" i="16" s="1"/>
  <c r="AS42" i="16"/>
  <c r="U35" i="16"/>
  <c r="R36" i="16"/>
  <c r="R47" i="16" s="1"/>
  <c r="U31" i="16"/>
  <c r="AK36" i="16"/>
  <c r="AS29" i="16"/>
  <c r="BE42" i="16"/>
  <c r="U30" i="16"/>
  <c r="AS31" i="16"/>
  <c r="AG42" i="16"/>
  <c r="AM36" i="16"/>
  <c r="U34" i="16"/>
  <c r="AS35" i="16"/>
  <c r="AS33" i="16"/>
  <c r="CC1" i="16"/>
  <c r="CD1" i="16"/>
  <c r="BR42" i="16"/>
  <c r="V35" i="16"/>
  <c r="V31" i="16"/>
  <c r="V34" i="16"/>
  <c r="V30" i="16"/>
  <c r="V32" i="16"/>
  <c r="V33" i="16"/>
  <c r="AT33" i="16"/>
  <c r="AT35" i="16"/>
  <c r="AT31" i="16"/>
  <c r="AT29" i="16"/>
  <c r="AT34" i="16"/>
  <c r="AT32" i="16"/>
  <c r="AT30" i="16"/>
  <c r="AS30" i="16"/>
  <c r="AL36" i="16"/>
  <c r="AG29" i="16"/>
  <c r="Z36" i="16"/>
  <c r="O36" i="16"/>
  <c r="O47" i="16" s="1"/>
  <c r="BF35" i="16"/>
  <c r="BF33" i="16"/>
  <c r="BF34" i="16"/>
  <c r="BF31" i="16"/>
  <c r="BF32" i="16"/>
  <c r="BF30" i="16"/>
  <c r="L4" i="15"/>
  <c r="M4" i="15"/>
  <c r="N4" i="15"/>
  <c r="O4" i="15"/>
  <c r="P4" i="15"/>
  <c r="BM53" i="16" l="1"/>
  <c r="BM51" i="16"/>
  <c r="U44" i="16"/>
  <c r="AS39" i="16"/>
  <c r="AO51" i="16"/>
  <c r="AO53" i="16" s="1"/>
  <c r="AI34" i="16"/>
  <c r="AG44" i="16"/>
  <c r="AP44" i="16"/>
  <c r="AP47" i="16"/>
  <c r="AQ44" i="16"/>
  <c r="AQ47" i="16"/>
  <c r="BQ39" i="16"/>
  <c r="AL48" i="16"/>
  <c r="AL49" i="16"/>
  <c r="AB49" i="16"/>
  <c r="AN51" i="16"/>
  <c r="AN53" i="16" s="1"/>
  <c r="AM48" i="16"/>
  <c r="AM49" i="16"/>
  <c r="BE44" i="16"/>
  <c r="AW48" i="16"/>
  <c r="AW49" i="16"/>
  <c r="BE49" i="16" s="1"/>
  <c r="BM49" i="16" s="1"/>
  <c r="Z49" i="16"/>
  <c r="AI31" i="16"/>
  <c r="AG48" i="16"/>
  <c r="AK49" i="16"/>
  <c r="AK48" i="16"/>
  <c r="AB51" i="16"/>
  <c r="AB53" i="16" s="1"/>
  <c r="S51" i="16"/>
  <c r="S53" i="16" s="1"/>
  <c r="Y51" i="16"/>
  <c r="Y53" i="16" s="1"/>
  <c r="Z51" i="16"/>
  <c r="Z53" i="16" s="1"/>
  <c r="AI35" i="16"/>
  <c r="AC51" i="16"/>
  <c r="AC53" i="16" s="1"/>
  <c r="AG36" i="16"/>
  <c r="AH46" i="16" s="1"/>
  <c r="U39" i="16"/>
  <c r="AD51" i="16"/>
  <c r="AD53" i="16" s="1"/>
  <c r="CI3" i="16"/>
  <c r="AI33" i="16"/>
  <c r="AH36" i="16"/>
  <c r="AI30" i="16"/>
  <c r="AI32" i="16"/>
  <c r="V36" i="16"/>
  <c r="AI29" i="16"/>
  <c r="U36" i="16"/>
  <c r="V46" i="16" s="1"/>
  <c r="P48" i="16"/>
  <c r="P49" i="16"/>
  <c r="P47" i="16"/>
  <c r="N51" i="16"/>
  <c r="N53" i="16" s="1"/>
  <c r="O51" i="16"/>
  <c r="O53" i="16" s="1"/>
  <c r="R51" i="16"/>
  <c r="R53" i="16" s="1"/>
  <c r="BN34" i="16"/>
  <c r="BN30" i="16"/>
  <c r="BN32" i="16"/>
  <c r="BN35" i="16"/>
  <c r="BN31" i="16"/>
  <c r="BN33" i="16"/>
  <c r="BG33" i="16"/>
  <c r="BG30" i="16"/>
  <c r="BG34" i="16"/>
  <c r="BG31" i="16"/>
  <c r="BG32" i="16"/>
  <c r="BG35" i="16"/>
  <c r="AU35" i="16"/>
  <c r="AU34" i="16"/>
  <c r="AS36" i="16"/>
  <c r="AT46" i="16" s="1"/>
  <c r="W30" i="16"/>
  <c r="W34" i="16"/>
  <c r="W33" i="16"/>
  <c r="W31" i="16"/>
  <c r="CG1" i="16"/>
  <c r="CH1" i="16"/>
  <c r="W35" i="16"/>
  <c r="W32" i="16"/>
  <c r="BF36" i="16"/>
  <c r="BG29" i="16"/>
  <c r="AU30" i="16"/>
  <c r="AT36" i="16"/>
  <c r="AU33" i="16"/>
  <c r="AU31" i="16"/>
  <c r="AU29" i="16"/>
  <c r="AU32" i="16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BQ44" i="16" l="1"/>
  <c r="AG49" i="16"/>
  <c r="AM51" i="16"/>
  <c r="AM53" i="16" s="1"/>
  <c r="AQ48" i="16"/>
  <c r="AQ49" i="16"/>
  <c r="AS44" i="16"/>
  <c r="AL51" i="16"/>
  <c r="AL53" i="16" s="1"/>
  <c r="AS47" i="16"/>
  <c r="AP48" i="16"/>
  <c r="AP49" i="16"/>
  <c r="AI36" i="16"/>
  <c r="BE48" i="16"/>
  <c r="AW51" i="16"/>
  <c r="AK51" i="16"/>
  <c r="AG53" i="16"/>
  <c r="AG51" i="16"/>
  <c r="P51" i="16"/>
  <c r="P53" i="16" s="1"/>
  <c r="BO31" i="16"/>
  <c r="BO34" i="16"/>
  <c r="BN36" i="16"/>
  <c r="BO35" i="16"/>
  <c r="BO30" i="16"/>
  <c r="BO32" i="16"/>
  <c r="BO33" i="16"/>
  <c r="BG36" i="16"/>
  <c r="BO29" i="16"/>
  <c r="AU36" i="16"/>
  <c r="R4" i="15"/>
  <c r="J34" i="15"/>
  <c r="AD34" i="15" s="1"/>
  <c r="J33" i="15"/>
  <c r="AD33" i="15" s="1"/>
  <c r="J32" i="15"/>
  <c r="AD32" i="15" s="1"/>
  <c r="J31" i="15"/>
  <c r="AD31" i="15" s="1"/>
  <c r="J30" i="15"/>
  <c r="AD30" i="15" s="1"/>
  <c r="J29" i="15"/>
  <c r="AD29" i="15" s="1"/>
  <c r="J28" i="15"/>
  <c r="J22" i="15"/>
  <c r="J21" i="15"/>
  <c r="J19" i="15"/>
  <c r="J18" i="15"/>
  <c r="J17" i="15"/>
  <c r="J16" i="15"/>
  <c r="J15" i="15"/>
  <c r="J14" i="15"/>
  <c r="AW13" i="15"/>
  <c r="J12" i="15"/>
  <c r="J11" i="15"/>
  <c r="J10" i="15"/>
  <c r="J9" i="15"/>
  <c r="J8" i="15"/>
  <c r="BA35" i="15"/>
  <c r="AY35" i="15"/>
  <c r="AX35" i="15"/>
  <c r="AW35" i="15"/>
  <c r="AA35" i="15"/>
  <c r="X35" i="15"/>
  <c r="R35" i="15"/>
  <c r="P35" i="15"/>
  <c r="O35" i="15"/>
  <c r="E35" i="15"/>
  <c r="I34" i="15"/>
  <c r="H34" i="15"/>
  <c r="G34" i="15"/>
  <c r="F34" i="15"/>
  <c r="I33" i="15"/>
  <c r="H33" i="15"/>
  <c r="G33" i="15"/>
  <c r="F33" i="15"/>
  <c r="I32" i="15"/>
  <c r="H32" i="15"/>
  <c r="G32" i="15"/>
  <c r="F32" i="15"/>
  <c r="I31" i="15"/>
  <c r="H31" i="15"/>
  <c r="G31" i="15"/>
  <c r="F31" i="15"/>
  <c r="I30" i="15"/>
  <c r="H30" i="15"/>
  <c r="G30" i="15"/>
  <c r="F30" i="15"/>
  <c r="I29" i="15"/>
  <c r="H29" i="15"/>
  <c r="G29" i="15"/>
  <c r="F29" i="15"/>
  <c r="I28" i="15"/>
  <c r="H28" i="15"/>
  <c r="G28" i="15"/>
  <c r="G35" i="15" s="1"/>
  <c r="F28" i="15"/>
  <c r="BH24" i="15"/>
  <c r="E24" i="15"/>
  <c r="BI22" i="15"/>
  <c r="I22" i="15"/>
  <c r="H22" i="15"/>
  <c r="G22" i="15"/>
  <c r="F22" i="15"/>
  <c r="BI21" i="15"/>
  <c r="I21" i="15"/>
  <c r="H21" i="15"/>
  <c r="G21" i="15"/>
  <c r="F21" i="15"/>
  <c r="I19" i="15"/>
  <c r="H19" i="15"/>
  <c r="G19" i="15"/>
  <c r="F19" i="15"/>
  <c r="BI18" i="15"/>
  <c r="L18" i="15"/>
  <c r="I18" i="15"/>
  <c r="H18" i="15"/>
  <c r="G18" i="15"/>
  <c r="F18" i="15"/>
  <c r="BI17" i="15"/>
  <c r="I17" i="15"/>
  <c r="H17" i="15"/>
  <c r="G17" i="15"/>
  <c r="F17" i="15"/>
  <c r="BI16" i="15"/>
  <c r="I16" i="15"/>
  <c r="H16" i="15"/>
  <c r="G16" i="15"/>
  <c r="F16" i="15"/>
  <c r="BI15" i="15"/>
  <c r="I15" i="15"/>
  <c r="H15" i="15"/>
  <c r="G15" i="15"/>
  <c r="F15" i="15"/>
  <c r="BI14" i="15"/>
  <c r="I14" i="15"/>
  <c r="H14" i="15"/>
  <c r="G14" i="15"/>
  <c r="F14" i="15"/>
  <c r="BI13" i="15"/>
  <c r="I13" i="15"/>
  <c r="H13" i="15"/>
  <c r="G13" i="15"/>
  <c r="F13" i="15"/>
  <c r="BI12" i="15"/>
  <c r="I12" i="15"/>
  <c r="H12" i="15"/>
  <c r="G12" i="15"/>
  <c r="F12" i="15"/>
  <c r="BI11" i="15"/>
  <c r="I11" i="15"/>
  <c r="H11" i="15"/>
  <c r="G11" i="15"/>
  <c r="F11" i="15"/>
  <c r="BI10" i="15"/>
  <c r="I10" i="15"/>
  <c r="H10" i="15"/>
  <c r="G10" i="15"/>
  <c r="F10" i="15"/>
  <c r="BI9" i="15"/>
  <c r="I9" i="15"/>
  <c r="H9" i="15"/>
  <c r="G9" i="15"/>
  <c r="F9" i="15"/>
  <c r="BI8" i="15"/>
  <c r="I8" i="15"/>
  <c r="H8" i="15"/>
  <c r="G8" i="15"/>
  <c r="F8" i="15"/>
  <c r="BB4" i="15"/>
  <c r="BA4" i="15"/>
  <c r="AZ4" i="15"/>
  <c r="AY4" i="15"/>
  <c r="AX4" i="15"/>
  <c r="AW4" i="15"/>
  <c r="AV4" i="15"/>
  <c r="AP4" i="15"/>
  <c r="AO4" i="15"/>
  <c r="AD4" i="15"/>
  <c r="AC4" i="15"/>
  <c r="AB4" i="15"/>
  <c r="AA4" i="15"/>
  <c r="Z4" i="15"/>
  <c r="Y4" i="15"/>
  <c r="X4" i="15"/>
  <c r="Q4" i="15"/>
  <c r="AT1" i="14"/>
  <c r="E26" i="15" l="1"/>
  <c r="E41" i="15"/>
  <c r="K35" i="15" s="1"/>
  <c r="BL45" i="15"/>
  <c r="BM45" i="15" s="1"/>
  <c r="BB8" i="15"/>
  <c r="BA8" i="15"/>
  <c r="AZ8" i="15"/>
  <c r="AY8" i="15"/>
  <c r="AX8" i="15"/>
  <c r="AW8" i="15"/>
  <c r="J24" i="15"/>
  <c r="J26" i="15" s="1"/>
  <c r="BE3" i="15" s="1"/>
  <c r="BB12" i="15"/>
  <c r="BA12" i="15"/>
  <c r="AZ12" i="15"/>
  <c r="AY12" i="15"/>
  <c r="AX12" i="15"/>
  <c r="AW12" i="15"/>
  <c r="BB16" i="15"/>
  <c r="BA16" i="15"/>
  <c r="AZ16" i="15"/>
  <c r="AY16" i="15"/>
  <c r="AX16" i="15"/>
  <c r="AW16" i="15"/>
  <c r="BB21" i="15"/>
  <c r="BA21" i="15"/>
  <c r="AZ21" i="15"/>
  <c r="AY21" i="15"/>
  <c r="AX21" i="15"/>
  <c r="AW21" i="15"/>
  <c r="BB11" i="15"/>
  <c r="BA11" i="15"/>
  <c r="AZ11" i="15"/>
  <c r="AY11" i="15"/>
  <c r="AX11" i="15"/>
  <c r="AW11" i="15"/>
  <c r="AW15" i="15"/>
  <c r="BB15" i="15"/>
  <c r="BA15" i="15"/>
  <c r="AZ15" i="15"/>
  <c r="AY15" i="15"/>
  <c r="AX15" i="15"/>
  <c r="BB19" i="15"/>
  <c r="BA19" i="15"/>
  <c r="AZ19" i="15"/>
  <c r="AY19" i="15"/>
  <c r="AX19" i="15"/>
  <c r="AW19" i="15"/>
  <c r="E37" i="15"/>
  <c r="K28" i="15"/>
  <c r="BB10" i="15"/>
  <c r="BA10" i="15"/>
  <c r="AZ10" i="15"/>
  <c r="AY10" i="15"/>
  <c r="AX10" i="15"/>
  <c r="AW10" i="15"/>
  <c r="BB14" i="15"/>
  <c r="BA14" i="15"/>
  <c r="AZ14" i="15"/>
  <c r="AY14" i="15"/>
  <c r="AX14" i="15"/>
  <c r="AW14" i="15"/>
  <c r="BB18" i="15"/>
  <c r="BA18" i="15"/>
  <c r="AZ18" i="15"/>
  <c r="AY18" i="15"/>
  <c r="AX18" i="15"/>
  <c r="AW18" i="15"/>
  <c r="AD28" i="15"/>
  <c r="J35" i="15"/>
  <c r="AR4" i="15"/>
  <c r="BB9" i="15"/>
  <c r="BA9" i="15"/>
  <c r="AZ9" i="15"/>
  <c r="AY9" i="15"/>
  <c r="AX9" i="15"/>
  <c r="AW9" i="15"/>
  <c r="BB17" i="15"/>
  <c r="BA17" i="15"/>
  <c r="AZ17" i="15"/>
  <c r="AY17" i="15"/>
  <c r="AX17" i="15"/>
  <c r="AW17" i="15"/>
  <c r="L22" i="15"/>
  <c r="BB22" i="15"/>
  <c r="BA22" i="15"/>
  <c r="AZ22" i="15"/>
  <c r="AY22" i="15"/>
  <c r="AX22" i="15"/>
  <c r="AW22" i="15"/>
  <c r="AS49" i="16"/>
  <c r="AP51" i="16"/>
  <c r="AP53" i="16" s="1"/>
  <c r="AQ51" i="16"/>
  <c r="AQ53" i="16" s="1"/>
  <c r="AS48" i="16"/>
  <c r="BE51" i="16"/>
  <c r="AW53" i="16"/>
  <c r="BE53" i="16" s="1"/>
  <c r="AK53" i="16"/>
  <c r="BO36" i="16"/>
  <c r="E44" i="15"/>
  <c r="K20" i="15"/>
  <c r="BK4" i="15"/>
  <c r="BL4" i="15" s="1"/>
  <c r="AV8" i="15"/>
  <c r="AP8" i="15"/>
  <c r="AO8" i="15"/>
  <c r="AV11" i="15"/>
  <c r="AP11" i="15"/>
  <c r="AO11" i="15"/>
  <c r="AV15" i="15"/>
  <c r="AP15" i="15"/>
  <c r="AO15" i="15"/>
  <c r="AV19" i="15"/>
  <c r="AP19" i="15"/>
  <c r="AO19" i="15"/>
  <c r="AV12" i="15"/>
  <c r="AP12" i="15"/>
  <c r="AO12" i="15"/>
  <c r="AV16" i="15"/>
  <c r="AP16" i="15"/>
  <c r="AO16" i="15"/>
  <c r="AV21" i="15"/>
  <c r="AP21" i="15"/>
  <c r="AO21" i="15"/>
  <c r="AP9" i="15"/>
  <c r="AV9" i="15"/>
  <c r="AO9" i="15"/>
  <c r="AP13" i="15"/>
  <c r="AV13" i="15"/>
  <c r="BD13" i="15" s="1"/>
  <c r="AO13" i="15"/>
  <c r="AP17" i="15"/>
  <c r="AV17" i="15"/>
  <c r="AO17" i="15"/>
  <c r="AP22" i="15"/>
  <c r="AV22" i="15"/>
  <c r="AO22" i="15"/>
  <c r="AV10" i="15"/>
  <c r="AP10" i="15"/>
  <c r="AO10" i="15"/>
  <c r="AP14" i="15"/>
  <c r="AV14" i="15"/>
  <c r="AO14" i="15"/>
  <c r="AV18" i="15"/>
  <c r="AP18" i="15"/>
  <c r="AO18" i="15"/>
  <c r="AD35" i="15"/>
  <c r="AN8" i="15"/>
  <c r="AM8" i="15"/>
  <c r="AL8" i="15"/>
  <c r="AK8" i="15"/>
  <c r="AJ8" i="15"/>
  <c r="AD8" i="15"/>
  <c r="AB8" i="15"/>
  <c r="AC8" i="15"/>
  <c r="AA8" i="15"/>
  <c r="Z8" i="15"/>
  <c r="Y8" i="15"/>
  <c r="X8" i="15"/>
  <c r="AN12" i="15"/>
  <c r="AM12" i="15"/>
  <c r="AL12" i="15"/>
  <c r="AK12" i="15"/>
  <c r="AJ12" i="15"/>
  <c r="AD12" i="15"/>
  <c r="AB12" i="15"/>
  <c r="AC12" i="15"/>
  <c r="AA12" i="15"/>
  <c r="Z12" i="15"/>
  <c r="Y12" i="15"/>
  <c r="X12" i="15"/>
  <c r="AN16" i="15"/>
  <c r="AM16" i="15"/>
  <c r="AL16" i="15"/>
  <c r="AK16" i="15"/>
  <c r="AJ16" i="15"/>
  <c r="AD16" i="15"/>
  <c r="AB16" i="15"/>
  <c r="AC16" i="15"/>
  <c r="AA16" i="15"/>
  <c r="Z16" i="15"/>
  <c r="Y16" i="15"/>
  <c r="X16" i="15"/>
  <c r="AN21" i="15"/>
  <c r="AM21" i="15"/>
  <c r="AL21" i="15"/>
  <c r="AK21" i="15"/>
  <c r="AJ21" i="15"/>
  <c r="AD21" i="15"/>
  <c r="AB21" i="15"/>
  <c r="AC21" i="15"/>
  <c r="AA21" i="15"/>
  <c r="Z21" i="15"/>
  <c r="Y21" i="15"/>
  <c r="X21" i="15"/>
  <c r="AN9" i="15"/>
  <c r="AM9" i="15"/>
  <c r="AL9" i="15"/>
  <c r="AK9" i="15"/>
  <c r="AJ9" i="15"/>
  <c r="AD9" i="15"/>
  <c r="AC9" i="15"/>
  <c r="AB9" i="15"/>
  <c r="AA9" i="15"/>
  <c r="Z9" i="15"/>
  <c r="Y9" i="15"/>
  <c r="X9" i="15"/>
  <c r="AN13" i="15"/>
  <c r="AM13" i="15"/>
  <c r="AL13" i="15"/>
  <c r="AK13" i="15"/>
  <c r="AJ13" i="15"/>
  <c r="AD13" i="15"/>
  <c r="AC13" i="15"/>
  <c r="AB13" i="15"/>
  <c r="AA13" i="15"/>
  <c r="Z13" i="15"/>
  <c r="Y13" i="15"/>
  <c r="X13" i="15"/>
  <c r="L17" i="15"/>
  <c r="AN17" i="15"/>
  <c r="AM17" i="15"/>
  <c r="AL17" i="15"/>
  <c r="AK17" i="15"/>
  <c r="AJ17" i="15"/>
  <c r="AD17" i="15"/>
  <c r="AC17" i="15"/>
  <c r="AB17" i="15"/>
  <c r="AA17" i="15"/>
  <c r="Z17" i="15"/>
  <c r="Y17" i="15"/>
  <c r="X17" i="15"/>
  <c r="AN22" i="15"/>
  <c r="AM22" i="15"/>
  <c r="AL22" i="15"/>
  <c r="AK22" i="15"/>
  <c r="AJ22" i="15"/>
  <c r="AD22" i="15"/>
  <c r="AC22" i="15"/>
  <c r="AB22" i="15"/>
  <c r="AA22" i="15"/>
  <c r="Z22" i="15"/>
  <c r="Y22" i="15"/>
  <c r="X22" i="15"/>
  <c r="AN10" i="15"/>
  <c r="AM10" i="15"/>
  <c r="AL10" i="15"/>
  <c r="AK10" i="15"/>
  <c r="AJ10" i="15"/>
  <c r="AD10" i="15"/>
  <c r="AB10" i="15"/>
  <c r="AC10" i="15"/>
  <c r="AA10" i="15"/>
  <c r="Z10" i="15"/>
  <c r="Y10" i="15"/>
  <c r="X10" i="15"/>
  <c r="L14" i="15"/>
  <c r="AN14" i="15"/>
  <c r="AM14" i="15"/>
  <c r="AL14" i="15"/>
  <c r="AK14" i="15"/>
  <c r="AJ14" i="15"/>
  <c r="AD14" i="15"/>
  <c r="AB14" i="15"/>
  <c r="AC14" i="15"/>
  <c r="AA14" i="15"/>
  <c r="Z14" i="15"/>
  <c r="Y14" i="15"/>
  <c r="X14" i="15"/>
  <c r="AN18" i="15"/>
  <c r="AM18" i="15"/>
  <c r="AL18" i="15"/>
  <c r="AK18" i="15"/>
  <c r="AJ18" i="15"/>
  <c r="AD18" i="15"/>
  <c r="AB18" i="15"/>
  <c r="AC18" i="15"/>
  <c r="AA18" i="15"/>
  <c r="Z18" i="15"/>
  <c r="Y18" i="15"/>
  <c r="X18" i="15"/>
  <c r="L13" i="15"/>
  <c r="AN11" i="15"/>
  <c r="AM11" i="15"/>
  <c r="AL11" i="15"/>
  <c r="AK11" i="15"/>
  <c r="AJ11" i="15"/>
  <c r="AD11" i="15"/>
  <c r="AC11" i="15"/>
  <c r="AB11" i="15"/>
  <c r="AA11" i="15"/>
  <c r="Z11" i="15"/>
  <c r="Y11" i="15"/>
  <c r="X11" i="15"/>
  <c r="L15" i="15"/>
  <c r="AN15" i="15"/>
  <c r="AM15" i="15"/>
  <c r="AL15" i="15"/>
  <c r="AK15" i="15"/>
  <c r="AJ15" i="15"/>
  <c r="AD15" i="15"/>
  <c r="AC15" i="15"/>
  <c r="AB15" i="15"/>
  <c r="AA15" i="15"/>
  <c r="Z15" i="15"/>
  <c r="Y15" i="15"/>
  <c r="X15" i="15"/>
  <c r="AN19" i="15"/>
  <c r="AM19" i="15"/>
  <c r="AL19" i="15"/>
  <c r="AK19" i="15"/>
  <c r="AJ19" i="15"/>
  <c r="AD19" i="15"/>
  <c r="AC19" i="15"/>
  <c r="AB19" i="15"/>
  <c r="AA19" i="15"/>
  <c r="Z19" i="15"/>
  <c r="Y19" i="15"/>
  <c r="X19" i="15"/>
  <c r="BD4" i="15"/>
  <c r="AF4" i="15"/>
  <c r="R11" i="15"/>
  <c r="Q11" i="15"/>
  <c r="P11" i="15"/>
  <c r="O11" i="15"/>
  <c r="N11" i="15"/>
  <c r="M11" i="15"/>
  <c r="R15" i="15"/>
  <c r="Q15" i="15"/>
  <c r="P15" i="15"/>
  <c r="O15" i="15"/>
  <c r="N15" i="15"/>
  <c r="M15" i="15"/>
  <c r="R8" i="15"/>
  <c r="Q8" i="15"/>
  <c r="O8" i="15"/>
  <c r="P8" i="15"/>
  <c r="N8" i="15"/>
  <c r="M8" i="15"/>
  <c r="R12" i="15"/>
  <c r="Q12" i="15"/>
  <c r="O12" i="15"/>
  <c r="P12" i="15"/>
  <c r="N12" i="15"/>
  <c r="M12" i="15"/>
  <c r="R16" i="15"/>
  <c r="Q16" i="15"/>
  <c r="O16" i="15"/>
  <c r="P16" i="15"/>
  <c r="N16" i="15"/>
  <c r="M16" i="15"/>
  <c r="L16" i="15"/>
  <c r="R9" i="15"/>
  <c r="Q9" i="15"/>
  <c r="O9" i="15"/>
  <c r="P9" i="15"/>
  <c r="N9" i="15"/>
  <c r="M9" i="15"/>
  <c r="R13" i="15"/>
  <c r="Q13" i="15"/>
  <c r="O13" i="15"/>
  <c r="P13" i="15"/>
  <c r="N13" i="15"/>
  <c r="M13" i="15"/>
  <c r="R17" i="15"/>
  <c r="Q17" i="15"/>
  <c r="O17" i="15"/>
  <c r="P17" i="15"/>
  <c r="N17" i="15"/>
  <c r="M17" i="15"/>
  <c r="R10" i="15"/>
  <c r="Q10" i="15"/>
  <c r="O10" i="15"/>
  <c r="P10" i="15"/>
  <c r="N10" i="15"/>
  <c r="M10" i="15"/>
  <c r="R14" i="15"/>
  <c r="Q14" i="15"/>
  <c r="O14" i="15"/>
  <c r="P14" i="15"/>
  <c r="N14" i="15"/>
  <c r="M14" i="15"/>
  <c r="R18" i="15"/>
  <c r="Q18" i="15"/>
  <c r="O18" i="15"/>
  <c r="P18" i="15"/>
  <c r="N18" i="15"/>
  <c r="M18" i="15"/>
  <c r="R22" i="15"/>
  <c r="Q22" i="15"/>
  <c r="L21" i="15"/>
  <c r="R21" i="15"/>
  <c r="Q21" i="15"/>
  <c r="L19" i="15"/>
  <c r="R19" i="15"/>
  <c r="Q19" i="15"/>
  <c r="P19" i="15"/>
  <c r="O19" i="15"/>
  <c r="N19" i="15"/>
  <c r="M19" i="15"/>
  <c r="P21" i="15"/>
  <c r="O21" i="15"/>
  <c r="N21" i="15"/>
  <c r="M21" i="15"/>
  <c r="O22" i="15"/>
  <c r="P22" i="15"/>
  <c r="N22" i="15"/>
  <c r="M22" i="15"/>
  <c r="K10" i="15"/>
  <c r="BE10" i="15" s="1"/>
  <c r="K14" i="15"/>
  <c r="BE14" i="15" s="1"/>
  <c r="K19" i="15"/>
  <c r="BE19" i="15" s="1"/>
  <c r="K22" i="15"/>
  <c r="BE22" i="15" s="1"/>
  <c r="K13" i="15"/>
  <c r="BE13" i="15" s="1"/>
  <c r="K16" i="15"/>
  <c r="BE16" i="15" s="1"/>
  <c r="K9" i="15"/>
  <c r="BE9" i="15" s="1"/>
  <c r="K11" i="15"/>
  <c r="BE11" i="15" s="1"/>
  <c r="F35" i="15"/>
  <c r="H24" i="15"/>
  <c r="H26" i="15" s="1"/>
  <c r="L11" i="15"/>
  <c r="F24" i="15"/>
  <c r="F26" i="15" s="1"/>
  <c r="K8" i="15"/>
  <c r="K12" i="15"/>
  <c r="BE12" i="15" s="1"/>
  <c r="K15" i="15"/>
  <c r="BE15" i="15" s="1"/>
  <c r="K17" i="15"/>
  <c r="BE17" i="15" s="1"/>
  <c r="K21" i="15"/>
  <c r="BE21" i="15" s="1"/>
  <c r="G24" i="15"/>
  <c r="L12" i="15"/>
  <c r="K18" i="15"/>
  <c r="BE18" i="15" s="1"/>
  <c r="BI24" i="15"/>
  <c r="I24" i="15"/>
  <c r="I26" i="15" s="1"/>
  <c r="L8" i="15"/>
  <c r="L10" i="15"/>
  <c r="K34" i="15"/>
  <c r="K33" i="15"/>
  <c r="K32" i="15"/>
  <c r="K31" i="15"/>
  <c r="K30" i="15"/>
  <c r="K29" i="15"/>
  <c r="L9" i="15"/>
  <c r="I35" i="15"/>
  <c r="H44" i="15"/>
  <c r="F44" i="15"/>
  <c r="H35" i="15"/>
  <c r="BD17" i="15" l="1"/>
  <c r="BD12" i="15"/>
  <c r="BD8" i="15"/>
  <c r="BD18" i="15"/>
  <c r="BD22" i="15"/>
  <c r="BD11" i="15"/>
  <c r="BF11" i="15" s="1"/>
  <c r="BD21" i="15"/>
  <c r="BF21" i="15" s="1"/>
  <c r="T8" i="15"/>
  <c r="BD9" i="15"/>
  <c r="BD15" i="15"/>
  <c r="BD14" i="15"/>
  <c r="BF14" i="15" s="1"/>
  <c r="BD10" i="15"/>
  <c r="BD19" i="15"/>
  <c r="K24" i="15"/>
  <c r="BH35" i="15"/>
  <c r="J37" i="15"/>
  <c r="E45" i="15"/>
  <c r="BS3" i="15" s="1"/>
  <c r="E42" i="15"/>
  <c r="E46" i="15"/>
  <c r="J41" i="15"/>
  <c r="K41" i="15"/>
  <c r="G44" i="15"/>
  <c r="BO3" i="15"/>
  <c r="AS51" i="16"/>
  <c r="AS53" i="16"/>
  <c r="BF13" i="15"/>
  <c r="BF10" i="15"/>
  <c r="BM4" i="15"/>
  <c r="BW4" i="15"/>
  <c r="BX4" i="15" s="1"/>
  <c r="BS4" i="15"/>
  <c r="BT4" i="15" s="1"/>
  <c r="BO4" i="15"/>
  <c r="BP4" i="15" s="1"/>
  <c r="I44" i="15"/>
  <c r="J44" i="15"/>
  <c r="BK5" i="15" s="1"/>
  <c r="BF22" i="15"/>
  <c r="I41" i="15"/>
  <c r="G41" i="15"/>
  <c r="F41" i="15"/>
  <c r="H41" i="15"/>
  <c r="AG20" i="15"/>
  <c r="AH20" i="15" s="1"/>
  <c r="AS20" i="15"/>
  <c r="AT20" i="15" s="1"/>
  <c r="U20" i="15"/>
  <c r="V20" i="15" s="1"/>
  <c r="BE20" i="15"/>
  <c r="BF20" i="15" s="1"/>
  <c r="BK8" i="15"/>
  <c r="BK12" i="15"/>
  <c r="BL12" i="15" s="1"/>
  <c r="BF15" i="15"/>
  <c r="BK11" i="15"/>
  <c r="BL11" i="15" s="1"/>
  <c r="BK22" i="15"/>
  <c r="BL22" i="15" s="1"/>
  <c r="BK18" i="15"/>
  <c r="BL18" i="15" s="1"/>
  <c r="AF18" i="15"/>
  <c r="AF14" i="15"/>
  <c r="AR10" i="15"/>
  <c r="AR22" i="15"/>
  <c r="AR17" i="15"/>
  <c r="BF12" i="15"/>
  <c r="BF9" i="15"/>
  <c r="BF19" i="15"/>
  <c r="BK19" i="15"/>
  <c r="BL19" i="15" s="1"/>
  <c r="BK14" i="15"/>
  <c r="BL14" i="15" s="1"/>
  <c r="BK21" i="15"/>
  <c r="BL21" i="15" s="1"/>
  <c r="BK9" i="15"/>
  <c r="BL9" i="15" s="1"/>
  <c r="BK10" i="15"/>
  <c r="BL10" i="15" s="1"/>
  <c r="BK17" i="15"/>
  <c r="BL17" i="15" s="1"/>
  <c r="AS8" i="15"/>
  <c r="BE8" i="15"/>
  <c r="BK15" i="15"/>
  <c r="BL15" i="15" s="1"/>
  <c r="BF18" i="15"/>
  <c r="BF17" i="15"/>
  <c r="BK13" i="15"/>
  <c r="BL13" i="15" s="1"/>
  <c r="BK16" i="15"/>
  <c r="BL16" i="15" s="1"/>
  <c r="BD16" i="15"/>
  <c r="BF16" i="15" s="1"/>
  <c r="BX2" i="15"/>
  <c r="BP2" i="15"/>
  <c r="BQ2" i="15" s="1"/>
  <c r="BT2" i="15"/>
  <c r="BU2" i="15" s="1"/>
  <c r="U12" i="15"/>
  <c r="AS12" i="15"/>
  <c r="AG12" i="15"/>
  <c r="AS9" i="15"/>
  <c r="AG9" i="15"/>
  <c r="U9" i="15"/>
  <c r="AG19" i="15"/>
  <c r="AS19" i="15"/>
  <c r="U19" i="15"/>
  <c r="AL24" i="15"/>
  <c r="AL44" i="15" s="1"/>
  <c r="U21" i="15"/>
  <c r="AS21" i="15"/>
  <c r="AG21" i="15"/>
  <c r="U8" i="15"/>
  <c r="AG8" i="15"/>
  <c r="U16" i="15"/>
  <c r="AG16" i="15"/>
  <c r="AS16" i="15"/>
  <c r="AG14" i="15"/>
  <c r="AS14" i="15"/>
  <c r="U14" i="15"/>
  <c r="AR19" i="15"/>
  <c r="AR15" i="15"/>
  <c r="AF10" i="15"/>
  <c r="AF22" i="15"/>
  <c r="AF17" i="15"/>
  <c r="AR13" i="15"/>
  <c r="AR9" i="15"/>
  <c r="AM24" i="15"/>
  <c r="AM44" i="15" s="1"/>
  <c r="U18" i="15"/>
  <c r="AG18" i="15"/>
  <c r="AS18" i="15"/>
  <c r="AG17" i="15"/>
  <c r="U17" i="15"/>
  <c r="AS17" i="15"/>
  <c r="U13" i="15"/>
  <c r="AS13" i="15"/>
  <c r="AG13" i="15"/>
  <c r="U10" i="15"/>
  <c r="AG10" i="15"/>
  <c r="AS10" i="15"/>
  <c r="AT10" i="15" s="1"/>
  <c r="AF19" i="15"/>
  <c r="AF15" i="15"/>
  <c r="AR11" i="15"/>
  <c r="AF13" i="15"/>
  <c r="AF9" i="15"/>
  <c r="AR21" i="15"/>
  <c r="AR16" i="15"/>
  <c r="AR12" i="15"/>
  <c r="AJ24" i="15"/>
  <c r="AJ44" i="15" s="1"/>
  <c r="AR8" i="15"/>
  <c r="AN24" i="15"/>
  <c r="AN44" i="15" s="1"/>
  <c r="I37" i="15"/>
  <c r="AG15" i="15"/>
  <c r="U15" i="15"/>
  <c r="AS15" i="15"/>
  <c r="AS11" i="15"/>
  <c r="U11" i="15"/>
  <c r="AG11" i="15"/>
  <c r="U22" i="15"/>
  <c r="AS22" i="15"/>
  <c r="AG22" i="15"/>
  <c r="AF11" i="15"/>
  <c r="AR18" i="15"/>
  <c r="AR14" i="15"/>
  <c r="AF21" i="15"/>
  <c r="AF16" i="15"/>
  <c r="AF12" i="15"/>
  <c r="AF8" i="15"/>
  <c r="AK24" i="15"/>
  <c r="AK44" i="15" s="1"/>
  <c r="T18" i="15"/>
  <c r="T22" i="15"/>
  <c r="T14" i="15"/>
  <c r="T17" i="15"/>
  <c r="T21" i="15"/>
  <c r="T15" i="15"/>
  <c r="T12" i="15"/>
  <c r="T11" i="15"/>
  <c r="T19" i="15"/>
  <c r="T16" i="15"/>
  <c r="T9" i="15"/>
  <c r="T10" i="15"/>
  <c r="T13" i="15"/>
  <c r="G37" i="15"/>
  <c r="G26" i="15"/>
  <c r="F37" i="15"/>
  <c r="H37" i="15"/>
  <c r="AB24" i="15"/>
  <c r="AB44" i="15" s="1"/>
  <c r="O24" i="15"/>
  <c r="O44" i="15" s="1"/>
  <c r="BB24" i="15"/>
  <c r="BB44" i="15" s="1"/>
  <c r="AX24" i="15"/>
  <c r="AX44" i="15" s="1"/>
  <c r="X24" i="15"/>
  <c r="X44" i="15" s="1"/>
  <c r="AP24" i="15"/>
  <c r="AP44" i="15" s="1"/>
  <c r="Q24" i="15"/>
  <c r="Q44" i="15" s="1"/>
  <c r="J45" i="15"/>
  <c r="AW24" i="15"/>
  <c r="AW44" i="15" s="1"/>
  <c r="AA24" i="15"/>
  <c r="AA44" i="15" s="1"/>
  <c r="Y24" i="15"/>
  <c r="Y44" i="15" s="1"/>
  <c r="AY24" i="15"/>
  <c r="AY44" i="15" s="1"/>
  <c r="AZ24" i="15"/>
  <c r="AZ44" i="15" s="1"/>
  <c r="AO24" i="15"/>
  <c r="AO44" i="15" s="1"/>
  <c r="R24" i="15"/>
  <c r="N24" i="15"/>
  <c r="N44" i="15" s="1"/>
  <c r="AC24" i="15"/>
  <c r="AC44" i="15" s="1"/>
  <c r="AD24" i="15"/>
  <c r="AD44" i="15" s="1"/>
  <c r="P24" i="15"/>
  <c r="AV24" i="15"/>
  <c r="AV44" i="15" s="1"/>
  <c r="Z24" i="15"/>
  <c r="Z44" i="15" s="1"/>
  <c r="BA24" i="15"/>
  <c r="BA44" i="15" s="1"/>
  <c r="L24" i="15"/>
  <c r="M24" i="15"/>
  <c r="M44" i="15" s="1"/>
  <c r="AT17" i="15" l="1"/>
  <c r="AH18" i="15"/>
  <c r="AH17" i="15"/>
  <c r="E48" i="15"/>
  <c r="J48" i="15" s="1"/>
  <c r="K48" i="15" s="1"/>
  <c r="K26" i="15"/>
  <c r="K37" i="15"/>
  <c r="BW3" i="15"/>
  <c r="BW1" i="15" s="1"/>
  <c r="BX1" i="15" s="1"/>
  <c r="BB37" i="15"/>
  <c r="BA37" i="15"/>
  <c r="AZ37" i="15"/>
  <c r="AY37" i="15"/>
  <c r="AX37" i="15"/>
  <c r="AM37" i="15"/>
  <c r="AD37" i="15"/>
  <c r="Z37" i="15"/>
  <c r="O37" i="15"/>
  <c r="O38" i="15" s="1"/>
  <c r="L37" i="15"/>
  <c r="N37" i="15"/>
  <c r="R37" i="15"/>
  <c r="AV37" i="15"/>
  <c r="AN37" i="15"/>
  <c r="AJ37" i="15"/>
  <c r="AA37" i="15"/>
  <c r="AW37" i="15"/>
  <c r="AO37" i="15"/>
  <c r="AK37" i="15"/>
  <c r="AB37" i="15"/>
  <c r="X37" i="15"/>
  <c r="M37" i="15"/>
  <c r="Q37" i="15"/>
  <c r="AP37" i="15"/>
  <c r="AL37" i="15"/>
  <c r="AC37" i="15"/>
  <c r="Y37" i="15"/>
  <c r="P37" i="15"/>
  <c r="V19" i="15"/>
  <c r="BL3" i="15"/>
  <c r="BO6" i="15" s="1"/>
  <c r="BP3" i="15"/>
  <c r="BQ3" i="15" s="1"/>
  <c r="L44" i="15"/>
  <c r="L26" i="15"/>
  <c r="BB41" i="15"/>
  <c r="BB46" i="15" s="1"/>
  <c r="BA41" i="15"/>
  <c r="BA46" i="15" s="1"/>
  <c r="AZ41" i="15"/>
  <c r="AZ46" i="15" s="1"/>
  <c r="AY41" i="15"/>
  <c r="AY46" i="15" s="1"/>
  <c r="AX41" i="15"/>
  <c r="AX46" i="15" s="1"/>
  <c r="AM41" i="15"/>
  <c r="AM46" i="15" s="1"/>
  <c r="AB41" i="15"/>
  <c r="AB46" i="15" s="1"/>
  <c r="X41" i="15"/>
  <c r="X46" i="15" s="1"/>
  <c r="AC41" i="15"/>
  <c r="AC46" i="15" s="1"/>
  <c r="J42" i="15"/>
  <c r="AN41" i="15"/>
  <c r="AN46" i="15" s="1"/>
  <c r="AJ41" i="15"/>
  <c r="AJ46" i="15" s="1"/>
  <c r="Y41" i="15"/>
  <c r="Y46" i="15" s="1"/>
  <c r="AV41" i="15"/>
  <c r="AV46" i="15" s="1"/>
  <c r="AO41" i="15"/>
  <c r="AO46" i="15" s="1"/>
  <c r="AK41" i="15"/>
  <c r="AK46" i="15" s="1"/>
  <c r="AD41" i="15"/>
  <c r="Z41" i="15"/>
  <c r="Z46" i="15" s="1"/>
  <c r="AW41" i="15"/>
  <c r="AW46" i="15" s="1"/>
  <c r="AP41" i="15"/>
  <c r="AP46" i="15" s="1"/>
  <c r="AL41" i="15"/>
  <c r="AL46" i="15" s="1"/>
  <c r="AA41" i="15"/>
  <c r="AA46" i="15" s="1"/>
  <c r="BR3" i="15"/>
  <c r="BM5" i="15"/>
  <c r="K44" i="15"/>
  <c r="AH15" i="15"/>
  <c r="AT22" i="15"/>
  <c r="Q41" i="15"/>
  <c r="Q46" i="15" s="1"/>
  <c r="M41" i="15"/>
  <c r="M46" i="15" s="1"/>
  <c r="O41" i="15"/>
  <c r="O46" i="15" s="1"/>
  <c r="L41" i="15"/>
  <c r="L46" i="15" s="1"/>
  <c r="R41" i="15"/>
  <c r="R46" i="15" s="1"/>
  <c r="N41" i="15"/>
  <c r="N46" i="15" s="1"/>
  <c r="P41" i="15"/>
  <c r="P46" i="15" s="1"/>
  <c r="V16" i="15"/>
  <c r="V17" i="15"/>
  <c r="V18" i="15"/>
  <c r="AH14" i="15"/>
  <c r="AT19" i="15"/>
  <c r="AT9" i="15"/>
  <c r="AS3" i="15"/>
  <c r="AS4" i="15" s="1"/>
  <c r="AT4" i="15" s="1"/>
  <c r="AH13" i="15"/>
  <c r="AT14" i="15"/>
  <c r="BF8" i="15"/>
  <c r="BF24" i="15" s="1"/>
  <c r="BE24" i="15"/>
  <c r="AR24" i="15"/>
  <c r="AH19" i="15"/>
  <c r="AH12" i="15"/>
  <c r="BD24" i="15"/>
  <c r="BO1" i="15"/>
  <c r="BP1" i="15" s="1"/>
  <c r="AT11" i="15"/>
  <c r="AT13" i="15"/>
  <c r="AT16" i="15"/>
  <c r="AK26" i="15"/>
  <c r="AH21" i="15"/>
  <c r="V22" i="15"/>
  <c r="AJ26" i="15"/>
  <c r="AM26" i="15"/>
  <c r="AG24" i="15"/>
  <c r="AH8" i="15"/>
  <c r="AT21" i="15"/>
  <c r="AL26" i="15"/>
  <c r="U3" i="15"/>
  <c r="U4" i="15" s="1"/>
  <c r="AG3" i="15"/>
  <c r="AH11" i="15"/>
  <c r="AT15" i="15"/>
  <c r="AH10" i="15"/>
  <c r="V13" i="15"/>
  <c r="AT18" i="15"/>
  <c r="AT8" i="15"/>
  <c r="AS24" i="15"/>
  <c r="V21" i="15"/>
  <c r="V9" i="15"/>
  <c r="AT12" i="15"/>
  <c r="AH22" i="15"/>
  <c r="V11" i="15"/>
  <c r="V15" i="15"/>
  <c r="AN26" i="15"/>
  <c r="V10" i="15"/>
  <c r="V14" i="15"/>
  <c r="AH16" i="15"/>
  <c r="U24" i="15"/>
  <c r="V8" i="15"/>
  <c r="AH9" i="15"/>
  <c r="V12" i="15"/>
  <c r="AF24" i="15"/>
  <c r="T24" i="15"/>
  <c r="AB26" i="15"/>
  <c r="BY2" i="15"/>
  <c r="P38" i="15"/>
  <c r="BY4" i="15"/>
  <c r="BU4" i="15"/>
  <c r="BQ4" i="15"/>
  <c r="BR4" i="15" s="1"/>
  <c r="BB26" i="15"/>
  <c r="X26" i="15"/>
  <c r="O26" i="15"/>
  <c r="AX26" i="15"/>
  <c r="Z26" i="15"/>
  <c r="AC26" i="15"/>
  <c r="N26" i="15"/>
  <c r="AA26" i="15"/>
  <c r="BK24" i="15"/>
  <c r="BL8" i="15"/>
  <c r="P26" i="15"/>
  <c r="P44" i="15"/>
  <c r="AD26" i="15"/>
  <c r="AD38" i="15" s="1"/>
  <c r="R26" i="15"/>
  <c r="R44" i="15"/>
  <c r="AY26" i="15"/>
  <c r="AW26" i="15"/>
  <c r="Q26" i="15"/>
  <c r="BA26" i="15"/>
  <c r="AV26" i="15"/>
  <c r="AZ26" i="15"/>
  <c r="I45" i="15"/>
  <c r="H45" i="15"/>
  <c r="K45" i="15"/>
  <c r="G45" i="15"/>
  <c r="F45" i="15"/>
  <c r="BS1" i="15"/>
  <c r="M26" i="15"/>
  <c r="AO26" i="15"/>
  <c r="Y26" i="15"/>
  <c r="H42" i="15"/>
  <c r="G42" i="15"/>
  <c r="I42" i="15"/>
  <c r="F42" i="15"/>
  <c r="AP26" i="15"/>
  <c r="K42" i="15" l="1"/>
  <c r="AH26" i="15"/>
  <c r="AA38" i="15"/>
  <c r="AA45" i="15" s="1"/>
  <c r="AA48" i="15" s="1"/>
  <c r="AA50" i="15" s="1"/>
  <c r="AY38" i="15"/>
  <c r="AY45" i="15" s="1"/>
  <c r="AY48" i="15" s="1"/>
  <c r="AY50" i="15" s="1"/>
  <c r="X38" i="15"/>
  <c r="X45" i="15" s="1"/>
  <c r="X48" i="15" s="1"/>
  <c r="X50" i="15" s="1"/>
  <c r="AW38" i="15"/>
  <c r="AW45" i="15" s="1"/>
  <c r="AW48" i="15" s="1"/>
  <c r="AW50" i="15" s="1"/>
  <c r="AX38" i="15"/>
  <c r="AX45" i="15" s="1"/>
  <c r="AX48" i="15" s="1"/>
  <c r="AX50" i="15" s="1"/>
  <c r="AN38" i="15"/>
  <c r="AN45" i="15" s="1"/>
  <c r="AN48" i="15" s="1"/>
  <c r="AN50" i="15" s="1"/>
  <c r="AM38" i="15"/>
  <c r="AM45" i="15" s="1"/>
  <c r="AM48" i="15" s="1"/>
  <c r="AM50" i="15" s="1"/>
  <c r="BA38" i="15"/>
  <c r="BA45" i="15" s="1"/>
  <c r="BA39" i="15"/>
  <c r="V26" i="15"/>
  <c r="BF26" i="15"/>
  <c r="AZ31" i="15"/>
  <c r="AZ32" i="15"/>
  <c r="AZ33" i="15"/>
  <c r="AZ29" i="15"/>
  <c r="AZ34" i="15"/>
  <c r="AZ28" i="15"/>
  <c r="AZ30" i="15"/>
  <c r="AD46" i="15"/>
  <c r="AD45" i="15"/>
  <c r="T26" i="15"/>
  <c r="U28" i="15" s="1"/>
  <c r="U26" i="15"/>
  <c r="BD41" i="15"/>
  <c r="AD39" i="15"/>
  <c r="BH26" i="15"/>
  <c r="J4" i="15" s="1"/>
  <c r="BQ1" i="15"/>
  <c r="BD37" i="15"/>
  <c r="P39" i="15"/>
  <c r="P45" i="15"/>
  <c r="P48" i="15" s="1"/>
  <c r="P50" i="15" s="1"/>
  <c r="O39" i="15"/>
  <c r="O45" i="15"/>
  <c r="O48" i="15" s="1"/>
  <c r="O50" i="15" s="1"/>
  <c r="T37" i="15"/>
  <c r="R38" i="15"/>
  <c r="R45" i="15" s="1"/>
  <c r="R48" i="15" s="1"/>
  <c r="R50" i="15" s="1"/>
  <c r="AF41" i="15"/>
  <c r="BL5" i="15"/>
  <c r="AR41" i="15"/>
  <c r="BH41" i="15"/>
  <c r="BI41" i="15" s="1"/>
  <c r="T41" i="15"/>
  <c r="BE4" i="15"/>
  <c r="BF4" i="15" s="1"/>
  <c r="BF3" i="15"/>
  <c r="BH44" i="15"/>
  <c r="AP34" i="15"/>
  <c r="AP30" i="15"/>
  <c r="AP33" i="15"/>
  <c r="AP29" i="15"/>
  <c r="AP32" i="15"/>
  <c r="AP28" i="15"/>
  <c r="AP31" i="15"/>
  <c r="AT26" i="15"/>
  <c r="AC34" i="15"/>
  <c r="AC30" i="15"/>
  <c r="AC33" i="15"/>
  <c r="AC29" i="15"/>
  <c r="AC32" i="15"/>
  <c r="AC28" i="15"/>
  <c r="AC31" i="15"/>
  <c r="AG4" i="15"/>
  <c r="AH3" i="15"/>
  <c r="AH4" i="15" s="1"/>
  <c r="AL33" i="15"/>
  <c r="AL29" i="15"/>
  <c r="AL32" i="15"/>
  <c r="AL28" i="15"/>
  <c r="AL31" i="15"/>
  <c r="AL34" i="15"/>
  <c r="AL30" i="15"/>
  <c r="AF37" i="15"/>
  <c r="Y34" i="15"/>
  <c r="Y30" i="15"/>
  <c r="Y33" i="15"/>
  <c r="Y29" i="15"/>
  <c r="Y32" i="15"/>
  <c r="Y28" i="15"/>
  <c r="Y31" i="15"/>
  <c r="Z33" i="15"/>
  <c r="Z29" i="15"/>
  <c r="Z32" i="15"/>
  <c r="Z28" i="15"/>
  <c r="Z31" i="15"/>
  <c r="Z34" i="15"/>
  <c r="Z30" i="15"/>
  <c r="AT24" i="15"/>
  <c r="V3" i="15"/>
  <c r="V4" i="15" s="1"/>
  <c r="AH24" i="15"/>
  <c r="AJ34" i="15"/>
  <c r="AJ30" i="15"/>
  <c r="AJ33" i="15"/>
  <c r="AJ29" i="15"/>
  <c r="AJ32" i="15"/>
  <c r="AJ28" i="15"/>
  <c r="AJ31" i="15"/>
  <c r="V24" i="15"/>
  <c r="AK34" i="15"/>
  <c r="AK30" i="15"/>
  <c r="AK33" i="15"/>
  <c r="AK29" i="15"/>
  <c r="AK32" i="15"/>
  <c r="AK28" i="15"/>
  <c r="AK31" i="15"/>
  <c r="AR37" i="15"/>
  <c r="AF44" i="15"/>
  <c r="AT3" i="15"/>
  <c r="AF26" i="15"/>
  <c r="AG28" i="15" s="1"/>
  <c r="BD44" i="15"/>
  <c r="AR44" i="15"/>
  <c r="BD26" i="15"/>
  <c r="BE28" i="15" s="1"/>
  <c r="AR26" i="15"/>
  <c r="AS28" i="15" s="1"/>
  <c r="T44" i="15"/>
  <c r="Q33" i="15"/>
  <c r="Q29" i="15"/>
  <c r="Q32" i="15"/>
  <c r="Q28" i="15"/>
  <c r="Q31" i="15"/>
  <c r="Q34" i="15"/>
  <c r="Q30" i="15"/>
  <c r="M34" i="15"/>
  <c r="M30" i="15"/>
  <c r="M33" i="15"/>
  <c r="M29" i="15"/>
  <c r="M32" i="15"/>
  <c r="M28" i="15"/>
  <c r="M31" i="15"/>
  <c r="N34" i="15"/>
  <c r="N30" i="15"/>
  <c r="N33" i="15"/>
  <c r="N29" i="15"/>
  <c r="N32" i="15"/>
  <c r="N28" i="15"/>
  <c r="N31" i="15"/>
  <c r="L34" i="15"/>
  <c r="L30" i="15"/>
  <c r="L33" i="15"/>
  <c r="L29" i="15"/>
  <c r="L32" i="15"/>
  <c r="L28" i="15"/>
  <c r="L31" i="15"/>
  <c r="J46" i="15"/>
  <c r="BZ4" i="15" s="1"/>
  <c r="AB35" i="15"/>
  <c r="AB38" i="15" s="1"/>
  <c r="AB45" i="15" s="1"/>
  <c r="AB48" i="15" s="1"/>
  <c r="AB50" i="15" s="1"/>
  <c r="BT3" i="15"/>
  <c r="BU3" i="15" s="1"/>
  <c r="BV4" i="15"/>
  <c r="G46" i="15"/>
  <c r="F46" i="15"/>
  <c r="I46" i="15"/>
  <c r="H46" i="15"/>
  <c r="BL24" i="15"/>
  <c r="K4" i="14"/>
  <c r="AA39" i="15" l="1"/>
  <c r="BK28" i="15"/>
  <c r="AM39" i="15"/>
  <c r="AW39" i="15"/>
  <c r="AY39" i="15"/>
  <c r="AB39" i="15"/>
  <c r="BA48" i="15"/>
  <c r="BA50" i="15" s="1"/>
  <c r="AD48" i="15"/>
  <c r="AD50" i="15" s="1"/>
  <c r="AN39" i="15"/>
  <c r="AX39" i="15"/>
  <c r="X39" i="15"/>
  <c r="R39" i="15"/>
  <c r="AP35" i="15"/>
  <c r="AP38" i="15" s="1"/>
  <c r="BH42" i="15"/>
  <c r="BI42" i="15" s="1"/>
  <c r="BD46" i="15"/>
  <c r="BK33" i="15"/>
  <c r="BL33" i="15" s="1"/>
  <c r="BD33" i="15"/>
  <c r="BK34" i="15"/>
  <c r="BL34" i="15" s="1"/>
  <c r="BD34" i="15"/>
  <c r="BK30" i="15"/>
  <c r="BL30" i="15" s="1"/>
  <c r="BD30" i="15"/>
  <c r="BD28" i="15"/>
  <c r="BB35" i="15"/>
  <c r="BB38" i="15" s="1"/>
  <c r="BK31" i="15"/>
  <c r="BL31" i="15" s="1"/>
  <c r="BD31" i="15"/>
  <c r="BK32" i="15"/>
  <c r="BL32" i="15" s="1"/>
  <c r="BD32" i="15"/>
  <c r="BK29" i="15"/>
  <c r="BD29" i="15"/>
  <c r="BE34" i="15"/>
  <c r="BE30" i="15"/>
  <c r="BE33" i="15"/>
  <c r="BE29" i="15"/>
  <c r="BF29" i="15" s="1"/>
  <c r="BE32" i="15"/>
  <c r="BE31" i="15"/>
  <c r="AR30" i="15"/>
  <c r="AR28" i="15"/>
  <c r="AT28" i="15" s="1"/>
  <c r="AJ35" i="15"/>
  <c r="AJ38" i="15" s="1"/>
  <c r="AR32" i="15"/>
  <c r="AR34" i="15"/>
  <c r="Z35" i="15"/>
  <c r="Z38" i="15" s="1"/>
  <c r="AC35" i="15"/>
  <c r="AC38" i="15" s="1"/>
  <c r="U34" i="15"/>
  <c r="U30" i="15"/>
  <c r="U33" i="15"/>
  <c r="U29" i="15"/>
  <c r="U32" i="15"/>
  <c r="U31" i="15"/>
  <c r="AR29" i="15"/>
  <c r="AF28" i="15"/>
  <c r="AH28" i="15" s="1"/>
  <c r="AR46" i="15"/>
  <c r="AL35" i="15"/>
  <c r="AL38" i="15" s="1"/>
  <c r="AK35" i="15"/>
  <c r="AK38" i="15" s="1"/>
  <c r="AR31" i="15"/>
  <c r="AR33" i="15"/>
  <c r="AF46" i="15"/>
  <c r="AS33" i="15"/>
  <c r="AS29" i="15"/>
  <c r="AS32" i="15"/>
  <c r="AS31" i="15"/>
  <c r="AS34" i="15"/>
  <c r="AS30" i="15"/>
  <c r="AF34" i="15"/>
  <c r="AF29" i="15"/>
  <c r="AF31" i="15"/>
  <c r="AF33" i="15"/>
  <c r="AF30" i="15"/>
  <c r="AF32" i="15"/>
  <c r="AG31" i="15"/>
  <c r="AG34" i="15"/>
  <c r="AG30" i="15"/>
  <c r="AG33" i="15"/>
  <c r="AG29" i="15"/>
  <c r="AG32" i="15"/>
  <c r="T28" i="15"/>
  <c r="V28" i="15" s="1"/>
  <c r="T30" i="15"/>
  <c r="V30" i="15" s="1"/>
  <c r="T46" i="15"/>
  <c r="T32" i="15"/>
  <c r="T34" i="15"/>
  <c r="V34" i="15" s="1"/>
  <c r="T29" i="15"/>
  <c r="T31" i="15"/>
  <c r="T33" i="15"/>
  <c r="K46" i="15"/>
  <c r="M35" i="15"/>
  <c r="M38" i="15" s="1"/>
  <c r="M45" i="15" s="1"/>
  <c r="M48" i="15" s="1"/>
  <c r="M50" i="15" s="1"/>
  <c r="N35" i="15"/>
  <c r="N38" i="15" s="1"/>
  <c r="N45" i="15" s="1"/>
  <c r="N48" i="15" s="1"/>
  <c r="N50" i="15" s="1"/>
  <c r="L35" i="15"/>
  <c r="BV3" i="15"/>
  <c r="BX3" i="15"/>
  <c r="BY3" i="15" s="1"/>
  <c r="AZ35" i="15"/>
  <c r="AZ38" i="15" s="1"/>
  <c r="Y35" i="15"/>
  <c r="Y38" i="15" s="1"/>
  <c r="AV35" i="15"/>
  <c r="AV38" i="15" s="1"/>
  <c r="Q35" i="15"/>
  <c r="Q38" i="15" s="1"/>
  <c r="AO35" i="15"/>
  <c r="AO38" i="15" s="1"/>
  <c r="BU1" i="15"/>
  <c r="BT1" i="15"/>
  <c r="E31" i="14"/>
  <c r="F31" i="14"/>
  <c r="G31" i="14"/>
  <c r="H31" i="14"/>
  <c r="I31" i="14"/>
  <c r="AQ22" i="14"/>
  <c r="AR21" i="14"/>
  <c r="D22" i="14"/>
  <c r="E28" i="14"/>
  <c r="F28" i="14"/>
  <c r="G28" i="14"/>
  <c r="H28" i="14"/>
  <c r="I28" i="14"/>
  <c r="E29" i="14"/>
  <c r="F29" i="14"/>
  <c r="G29" i="14"/>
  <c r="H29" i="14"/>
  <c r="I29" i="14"/>
  <c r="E30" i="14"/>
  <c r="F30" i="14"/>
  <c r="G30" i="14"/>
  <c r="H30" i="14"/>
  <c r="I30" i="14"/>
  <c r="D33" i="14"/>
  <c r="J28" i="14" s="1"/>
  <c r="E19" i="14"/>
  <c r="F19" i="14"/>
  <c r="G19" i="14"/>
  <c r="H19" i="14"/>
  <c r="I19" i="14"/>
  <c r="AL45" i="15" l="1"/>
  <c r="AL48" i="15" s="1"/>
  <c r="AL50" i="15" s="1"/>
  <c r="AL39" i="15"/>
  <c r="N39" i="15"/>
  <c r="AO45" i="15"/>
  <c r="AO48" i="15" s="1"/>
  <c r="AO50" i="15" s="1"/>
  <c r="AO39" i="15"/>
  <c r="AZ45" i="15"/>
  <c r="AZ48" i="15" s="1"/>
  <c r="AZ50" i="15" s="1"/>
  <c r="AZ39" i="15"/>
  <c r="AK45" i="15"/>
  <c r="AK48" i="15" s="1"/>
  <c r="AK50" i="15" s="1"/>
  <c r="AK39" i="15"/>
  <c r="Z45" i="15"/>
  <c r="Z48" i="15" s="1"/>
  <c r="Z50" i="15" s="1"/>
  <c r="Z39" i="15"/>
  <c r="BB45" i="15"/>
  <c r="BB48" i="15" s="1"/>
  <c r="BB50" i="15" s="1"/>
  <c r="BB39" i="15"/>
  <c r="M39" i="15"/>
  <c r="Q45" i="15"/>
  <c r="Q48" i="15" s="1"/>
  <c r="Q50" i="15" s="1"/>
  <c r="Q39" i="15"/>
  <c r="Y45" i="15"/>
  <c r="Y39" i="15"/>
  <c r="AC45" i="15"/>
  <c r="AC48" i="15" s="1"/>
  <c r="AC50" i="15" s="1"/>
  <c r="AC39" i="15"/>
  <c r="AJ45" i="15"/>
  <c r="AJ39" i="15"/>
  <c r="AF38" i="15"/>
  <c r="AV45" i="15"/>
  <c r="AV39" i="15"/>
  <c r="AP45" i="15"/>
  <c r="AP48" i="15" s="1"/>
  <c r="AP50" i="15" s="1"/>
  <c r="AP39" i="15"/>
  <c r="BF33" i="15"/>
  <c r="L38" i="15"/>
  <c r="L45" i="15" s="1"/>
  <c r="BF34" i="15"/>
  <c r="V32" i="15"/>
  <c r="U35" i="15"/>
  <c r="V31" i="15"/>
  <c r="V29" i="15"/>
  <c r="T38" i="15"/>
  <c r="V33" i="15"/>
  <c r="J31" i="14"/>
  <c r="AT31" i="15"/>
  <c r="BH46" i="15"/>
  <c r="BM46" i="15" s="1"/>
  <c r="BF31" i="15"/>
  <c r="BF30" i="15"/>
  <c r="BF32" i="15"/>
  <c r="BF28" i="15"/>
  <c r="BE35" i="15"/>
  <c r="AR35" i="15"/>
  <c r="AT30" i="15"/>
  <c r="AT34" i="15"/>
  <c r="AT29" i="15"/>
  <c r="AT32" i="15"/>
  <c r="BK35" i="15"/>
  <c r="BL29" i="15"/>
  <c r="AF35" i="15"/>
  <c r="AT33" i="15"/>
  <c r="AS35" i="15"/>
  <c r="AH33" i="15"/>
  <c r="AH30" i="15"/>
  <c r="AH32" i="15"/>
  <c r="AH34" i="15"/>
  <c r="AH29" i="15"/>
  <c r="AH31" i="15"/>
  <c r="AG35" i="15"/>
  <c r="BD35" i="15"/>
  <c r="T35" i="15"/>
  <c r="BZ3" i="15"/>
  <c r="BY1" i="15"/>
  <c r="BL28" i="15"/>
  <c r="AO19" i="14"/>
  <c r="AL19" i="14"/>
  <c r="AI19" i="14"/>
  <c r="AM19" i="14"/>
  <c r="AJ19" i="14"/>
  <c r="AN19" i="14"/>
  <c r="AK19" i="14"/>
  <c r="AG19" i="14"/>
  <c r="AH19" i="14"/>
  <c r="AD19" i="14"/>
  <c r="AE19" i="14"/>
  <c r="AB19" i="14"/>
  <c r="AF19" i="14"/>
  <c r="AC19" i="14"/>
  <c r="J19" i="14"/>
  <c r="D35" i="14"/>
  <c r="J29" i="14"/>
  <c r="J30" i="14"/>
  <c r="L39" i="15" l="1"/>
  <c r="T39" i="15" s="1"/>
  <c r="V35" i="15"/>
  <c r="AF39" i="15"/>
  <c r="AR45" i="15"/>
  <c r="AJ48" i="15"/>
  <c r="Y48" i="15"/>
  <c r="AF45" i="15"/>
  <c r="AV48" i="15"/>
  <c r="BD45" i="15"/>
  <c r="BH45" i="15"/>
  <c r="BK44" i="15"/>
  <c r="BI35" i="15"/>
  <c r="L48" i="15"/>
  <c r="L50" i="15" s="1"/>
  <c r="T50" i="15" s="1"/>
  <c r="BL35" i="15"/>
  <c r="BO28" i="15" s="1"/>
  <c r="T45" i="15"/>
  <c r="BH38" i="15"/>
  <c r="BF35" i="15"/>
  <c r="AH35" i="15"/>
  <c r="AT35" i="15"/>
  <c r="AR38" i="15"/>
  <c r="BD38" i="15"/>
  <c r="AJ50" i="15" l="1"/>
  <c r="AR50" i="15" s="1"/>
  <c r="AR48" i="15"/>
  <c r="Y50" i="15"/>
  <c r="AF50" i="15" s="1"/>
  <c r="AF48" i="15"/>
  <c r="AV50" i="15"/>
  <c r="BD50" i="15" s="1"/>
  <c r="BD48" i="15"/>
  <c r="BH48" i="15"/>
  <c r="T48" i="15"/>
  <c r="BD39" i="15"/>
  <c r="BH39" i="15"/>
  <c r="BI39" i="15" s="1"/>
  <c r="AR39" i="15"/>
  <c r="BH50" i="15" l="1"/>
  <c r="AT1" i="12"/>
  <c r="I39" i="14" l="1"/>
  <c r="I32" i="14"/>
  <c r="I27" i="14"/>
  <c r="I26" i="14"/>
  <c r="I18" i="14"/>
  <c r="AO18" i="14" s="1"/>
  <c r="I15" i="14"/>
  <c r="I17" i="14"/>
  <c r="I14" i="14"/>
  <c r="I16" i="14"/>
  <c r="I21" i="14"/>
  <c r="AO21" i="14" s="1"/>
  <c r="I11" i="14"/>
  <c r="AO11" i="14" s="1"/>
  <c r="I13" i="14"/>
  <c r="I10" i="14"/>
  <c r="AO10" i="14" s="1"/>
  <c r="I12" i="14"/>
  <c r="I20" i="14"/>
  <c r="AO20" i="14" s="1"/>
  <c r="I9" i="14"/>
  <c r="I8" i="14"/>
  <c r="H39" i="14"/>
  <c r="G39" i="14"/>
  <c r="F39" i="14"/>
  <c r="E39" i="14"/>
  <c r="AN33" i="14"/>
  <c r="AL33" i="14"/>
  <c r="AI33" i="14"/>
  <c r="AG33" i="14"/>
  <c r="AE33" i="14"/>
  <c r="H32" i="14"/>
  <c r="G32" i="14"/>
  <c r="F32" i="14"/>
  <c r="E32" i="14"/>
  <c r="H27" i="14"/>
  <c r="G27" i="14"/>
  <c r="F27" i="14"/>
  <c r="E27" i="14"/>
  <c r="H26" i="14"/>
  <c r="H33" i="14" s="1"/>
  <c r="G26" i="14"/>
  <c r="F26" i="14"/>
  <c r="E26" i="14"/>
  <c r="J15" i="14"/>
  <c r="AR20" i="14"/>
  <c r="H18" i="14"/>
  <c r="G18" i="14"/>
  <c r="F18" i="14"/>
  <c r="E18" i="14"/>
  <c r="AR19" i="14"/>
  <c r="H15" i="14"/>
  <c r="G15" i="14"/>
  <c r="F15" i="14"/>
  <c r="E15" i="14"/>
  <c r="AR18" i="14"/>
  <c r="H17" i="14"/>
  <c r="G17" i="14"/>
  <c r="F17" i="14"/>
  <c r="E17" i="14"/>
  <c r="AR17" i="14"/>
  <c r="H14" i="14"/>
  <c r="G14" i="14"/>
  <c r="F14" i="14"/>
  <c r="E14" i="14"/>
  <c r="AR16" i="14"/>
  <c r="H16" i="14"/>
  <c r="G16" i="14"/>
  <c r="F16" i="14"/>
  <c r="E16" i="14"/>
  <c r="AR15" i="14"/>
  <c r="H21" i="14"/>
  <c r="G21" i="14"/>
  <c r="F21" i="14"/>
  <c r="E21" i="14"/>
  <c r="AR14" i="14"/>
  <c r="H11" i="14"/>
  <c r="G11" i="14"/>
  <c r="F11" i="14"/>
  <c r="E11" i="14"/>
  <c r="AR13" i="14"/>
  <c r="H13" i="14"/>
  <c r="G13" i="14"/>
  <c r="F13" i="14"/>
  <c r="E13" i="14"/>
  <c r="AR12" i="14"/>
  <c r="H10" i="14"/>
  <c r="G10" i="14"/>
  <c r="F10" i="14"/>
  <c r="E10" i="14"/>
  <c r="AR11" i="14"/>
  <c r="H12" i="14"/>
  <c r="G12" i="14"/>
  <c r="F12" i="14"/>
  <c r="E12" i="14"/>
  <c r="AR10" i="14"/>
  <c r="H20" i="14"/>
  <c r="G20" i="14"/>
  <c r="F20" i="14"/>
  <c r="E20" i="14"/>
  <c r="AR9" i="14"/>
  <c r="H9" i="14"/>
  <c r="G9" i="14"/>
  <c r="F9" i="14"/>
  <c r="E9" i="14"/>
  <c r="AR8" i="14"/>
  <c r="H8" i="14"/>
  <c r="G8" i="14"/>
  <c r="F8" i="14"/>
  <c r="E8" i="14"/>
  <c r="AT3" i="14"/>
  <c r="AO17" i="14" l="1"/>
  <c r="AL17" i="14"/>
  <c r="AI17" i="14"/>
  <c r="AM17" i="14"/>
  <c r="AJ17" i="14"/>
  <c r="AN17" i="14"/>
  <c r="AK17" i="14"/>
  <c r="AG17" i="14"/>
  <c r="AH17" i="14"/>
  <c r="AD17" i="14"/>
  <c r="AC17" i="14"/>
  <c r="AE17" i="14"/>
  <c r="AB17" i="14"/>
  <c r="AF17" i="14"/>
  <c r="AO12" i="14"/>
  <c r="AJ12" i="14"/>
  <c r="AN12" i="14"/>
  <c r="AK12" i="14"/>
  <c r="AM12" i="14"/>
  <c r="AL12" i="14"/>
  <c r="AI12" i="14"/>
  <c r="AG12" i="14"/>
  <c r="AH12" i="14"/>
  <c r="AO8" i="14"/>
  <c r="AJ8" i="14"/>
  <c r="AN8" i="14"/>
  <c r="AK8" i="14"/>
  <c r="AL8" i="14"/>
  <c r="AI8" i="14"/>
  <c r="AM8" i="14"/>
  <c r="AG8" i="14"/>
  <c r="AH8" i="14"/>
  <c r="AC8" i="14"/>
  <c r="AD8" i="14"/>
  <c r="AF8" i="14"/>
  <c r="AE8" i="14"/>
  <c r="AB8" i="14"/>
  <c r="AO16" i="14"/>
  <c r="AJ16" i="14"/>
  <c r="AN16" i="14"/>
  <c r="AK16" i="14"/>
  <c r="AM16" i="14"/>
  <c r="AI16" i="14"/>
  <c r="AL16" i="14"/>
  <c r="AG16" i="14"/>
  <c r="AH16" i="14"/>
  <c r="AE16" i="14"/>
  <c r="AB16" i="14"/>
  <c r="AF16" i="14"/>
  <c r="AC16" i="14"/>
  <c r="AD16" i="14"/>
  <c r="AI39" i="14"/>
  <c r="AM39" i="14"/>
  <c r="AO39" i="14"/>
  <c r="AH39" i="14"/>
  <c r="AJ39" i="14"/>
  <c r="AN39" i="14"/>
  <c r="AK39" i="14"/>
  <c r="AL39" i="14"/>
  <c r="AG39" i="14"/>
  <c r="AT4" i="14"/>
  <c r="AV4" i="14" s="1"/>
  <c r="AX2" i="14"/>
  <c r="AY2" i="14" s="1"/>
  <c r="AV3" i="14"/>
  <c r="BB2" i="14"/>
  <c r="BC2" i="14" s="1"/>
  <c r="AO9" i="14"/>
  <c r="AL9" i="14"/>
  <c r="AI9" i="14"/>
  <c r="AM9" i="14"/>
  <c r="AK9" i="14"/>
  <c r="AJ9" i="14"/>
  <c r="AN9" i="14"/>
  <c r="AG9" i="14"/>
  <c r="AH9" i="14"/>
  <c r="AB9" i="14"/>
  <c r="AF9" i="14"/>
  <c r="AC9" i="14"/>
  <c r="AE9" i="14"/>
  <c r="AD9" i="14"/>
  <c r="AO13" i="14"/>
  <c r="AL13" i="14"/>
  <c r="AI13" i="14"/>
  <c r="AM13" i="14"/>
  <c r="AJ13" i="14"/>
  <c r="AN13" i="14"/>
  <c r="AK13" i="14"/>
  <c r="AH13" i="14"/>
  <c r="AG13" i="14"/>
  <c r="AO14" i="14"/>
  <c r="AL14" i="14"/>
  <c r="AI14" i="14"/>
  <c r="AM14" i="14"/>
  <c r="AJ14" i="14"/>
  <c r="AN14" i="14"/>
  <c r="AK14" i="14"/>
  <c r="AG14" i="14"/>
  <c r="AH14" i="14"/>
  <c r="AE14" i="14"/>
  <c r="AB14" i="14"/>
  <c r="AF14" i="14"/>
  <c r="AC14" i="14"/>
  <c r="AD14" i="14"/>
  <c r="AO15" i="14"/>
  <c r="AJ15" i="14"/>
  <c r="AN15" i="14"/>
  <c r="AK15" i="14"/>
  <c r="AL15" i="14"/>
  <c r="AI15" i="14"/>
  <c r="AM15" i="14"/>
  <c r="AG15" i="14"/>
  <c r="AH15" i="14"/>
  <c r="AD15" i="14"/>
  <c r="AE15" i="14"/>
  <c r="AB15" i="14"/>
  <c r="AF15" i="14"/>
  <c r="AC15" i="14"/>
  <c r="AK10" i="14"/>
  <c r="AI10" i="14"/>
  <c r="AM10" i="14"/>
  <c r="AJ10" i="14"/>
  <c r="AN10" i="14"/>
  <c r="AL10" i="14"/>
  <c r="AG10" i="14"/>
  <c r="AH10" i="14"/>
  <c r="AC10" i="14"/>
  <c r="AD10" i="14"/>
  <c r="AE10" i="14"/>
  <c r="AB10" i="14"/>
  <c r="AF10" i="14"/>
  <c r="AK21" i="14"/>
  <c r="AI21" i="14"/>
  <c r="AM21" i="14"/>
  <c r="AJ21" i="14"/>
  <c r="AN21" i="14"/>
  <c r="AL21" i="14"/>
  <c r="AG21" i="14"/>
  <c r="AH21" i="14"/>
  <c r="AE21" i="14"/>
  <c r="AB21" i="14"/>
  <c r="AF21" i="14"/>
  <c r="AC21" i="14"/>
  <c r="AD21" i="14"/>
  <c r="AK20" i="14"/>
  <c r="AN20" i="14"/>
  <c r="AL20" i="14"/>
  <c r="AM20" i="14"/>
  <c r="AJ20" i="14"/>
  <c r="AI20" i="14"/>
  <c r="AG20" i="14"/>
  <c r="AH20" i="14"/>
  <c r="AB20" i="14"/>
  <c r="AF20" i="14"/>
  <c r="AC20" i="14"/>
  <c r="AD20" i="14"/>
  <c r="AE20" i="14"/>
  <c r="AI18" i="14"/>
  <c r="AM18" i="14"/>
  <c r="AN18" i="14"/>
  <c r="AL18" i="14"/>
  <c r="AJ18" i="14"/>
  <c r="AK18" i="14"/>
  <c r="AG18" i="14"/>
  <c r="AH18" i="14"/>
  <c r="AC18" i="14"/>
  <c r="AD18" i="14"/>
  <c r="AE18" i="14"/>
  <c r="AB18" i="14"/>
  <c r="AF18" i="14"/>
  <c r="AL11" i="14"/>
  <c r="AI11" i="14"/>
  <c r="AM11" i="14"/>
  <c r="AJ11" i="14"/>
  <c r="AN11" i="14"/>
  <c r="AK11" i="14"/>
  <c r="AH11" i="14"/>
  <c r="AG11" i="14"/>
  <c r="AD11" i="14"/>
  <c r="AE11" i="14"/>
  <c r="AB11" i="14"/>
  <c r="AF11" i="14"/>
  <c r="AC11" i="14"/>
  <c r="AB39" i="14"/>
  <c r="AF39" i="14"/>
  <c r="AD39" i="14"/>
  <c r="AE39" i="14"/>
  <c r="AC39" i="14"/>
  <c r="AE13" i="14"/>
  <c r="AB13" i="14"/>
  <c r="AF13" i="14"/>
  <c r="AC13" i="14"/>
  <c r="AD13" i="14"/>
  <c r="AC12" i="14"/>
  <c r="AD12" i="14"/>
  <c r="AE12" i="14"/>
  <c r="AB12" i="14"/>
  <c r="AF12" i="14"/>
  <c r="L21" i="14"/>
  <c r="S21" i="14"/>
  <c r="U21" i="14"/>
  <c r="X21" i="14"/>
  <c r="W21" i="14"/>
  <c r="V21" i="14"/>
  <c r="Z21" i="14"/>
  <c r="Q21" i="14"/>
  <c r="T21" i="14"/>
  <c r="O21" i="14"/>
  <c r="N21" i="14"/>
  <c r="R21" i="14"/>
  <c r="M21" i="14"/>
  <c r="P21" i="14"/>
  <c r="AA21" i="14"/>
  <c r="Y21" i="14"/>
  <c r="K21" i="14"/>
  <c r="AU4" i="14"/>
  <c r="AT43" i="14"/>
  <c r="AA39" i="14"/>
  <c r="X39" i="14"/>
  <c r="Y39" i="14"/>
  <c r="Z39" i="14"/>
  <c r="W39" i="14"/>
  <c r="U39" i="14"/>
  <c r="V39" i="14"/>
  <c r="R39" i="14"/>
  <c r="N39" i="14"/>
  <c r="P39" i="14"/>
  <c r="O39" i="14"/>
  <c r="Q39" i="14"/>
  <c r="T39" i="14"/>
  <c r="S39" i="14"/>
  <c r="M39" i="14"/>
  <c r="L39" i="14"/>
  <c r="K39" i="14"/>
  <c r="F22" i="14"/>
  <c r="G22" i="14"/>
  <c r="I22" i="14"/>
  <c r="H22" i="14"/>
  <c r="H35" i="14" s="1"/>
  <c r="E22" i="14"/>
  <c r="Z10" i="14"/>
  <c r="AA10" i="14"/>
  <c r="Z12" i="14"/>
  <c r="AA12" i="14"/>
  <c r="K8" i="14"/>
  <c r="Z8" i="14"/>
  <c r="AA8" i="14"/>
  <c r="X8" i="14"/>
  <c r="Y8" i="14"/>
  <c r="W8" i="14"/>
  <c r="U8" i="14"/>
  <c r="V8" i="14"/>
  <c r="N8" i="14"/>
  <c r="O8" i="14"/>
  <c r="T8" i="14"/>
  <c r="S8" i="14"/>
  <c r="R8" i="14"/>
  <c r="Q8" i="14"/>
  <c r="P8" i="14"/>
  <c r="M8" i="14"/>
  <c r="L8" i="14"/>
  <c r="Z13" i="14"/>
  <c r="AA13" i="14"/>
  <c r="Z14" i="14"/>
  <c r="AA14" i="14"/>
  <c r="K9" i="14"/>
  <c r="Z9" i="14"/>
  <c r="AA9" i="14"/>
  <c r="X9" i="14"/>
  <c r="Y9" i="14"/>
  <c r="U9" i="14"/>
  <c r="V9" i="14"/>
  <c r="W9" i="14"/>
  <c r="T9" i="14"/>
  <c r="S9" i="14"/>
  <c r="R9" i="14"/>
  <c r="Q9" i="14"/>
  <c r="P9" i="14"/>
  <c r="N9" i="14"/>
  <c r="O9" i="14"/>
  <c r="M9" i="14"/>
  <c r="L9" i="14"/>
  <c r="Z11" i="14"/>
  <c r="AA11" i="14"/>
  <c r="Z15" i="14"/>
  <c r="AA15" i="14"/>
  <c r="AA20" i="14"/>
  <c r="Z20" i="14"/>
  <c r="X20" i="14"/>
  <c r="Y20" i="14"/>
  <c r="U20" i="14"/>
  <c r="V20" i="14"/>
  <c r="W20" i="14"/>
  <c r="Q20" i="14"/>
  <c r="T20" i="14"/>
  <c r="P20" i="14"/>
  <c r="O20" i="14"/>
  <c r="N20" i="14"/>
  <c r="S20" i="14"/>
  <c r="R20" i="14"/>
  <c r="M20" i="14"/>
  <c r="L20" i="14"/>
  <c r="K20" i="14"/>
  <c r="AA19" i="14"/>
  <c r="Z19" i="14"/>
  <c r="X19" i="14"/>
  <c r="Y19" i="14"/>
  <c r="U19" i="14"/>
  <c r="V19" i="14"/>
  <c r="W19" i="14"/>
  <c r="T19" i="14"/>
  <c r="R19" i="14"/>
  <c r="P19" i="14"/>
  <c r="O19" i="14"/>
  <c r="S19" i="14"/>
  <c r="Q19" i="14"/>
  <c r="N19" i="14"/>
  <c r="M19" i="14"/>
  <c r="L19" i="14"/>
  <c r="K19" i="14"/>
  <c r="AA18" i="14"/>
  <c r="Z18" i="14"/>
  <c r="X18" i="14"/>
  <c r="Y18" i="14"/>
  <c r="U18" i="14"/>
  <c r="V18" i="14"/>
  <c r="W18" i="14"/>
  <c r="R18" i="14"/>
  <c r="O18" i="14"/>
  <c r="S18" i="14"/>
  <c r="T18" i="14"/>
  <c r="P18" i="14"/>
  <c r="N18" i="14"/>
  <c r="Q18" i="14"/>
  <c r="L18" i="14"/>
  <c r="M18" i="14"/>
  <c r="K18" i="14"/>
  <c r="Z17" i="14"/>
  <c r="AA17" i="14"/>
  <c r="AA16" i="14"/>
  <c r="Z16" i="14"/>
  <c r="F33" i="14"/>
  <c r="Y11" i="14"/>
  <c r="X11" i="14"/>
  <c r="W11" i="14"/>
  <c r="U11" i="14"/>
  <c r="V11" i="14"/>
  <c r="S11" i="14"/>
  <c r="N11" i="14"/>
  <c r="P11" i="14"/>
  <c r="O11" i="14"/>
  <c r="T11" i="14"/>
  <c r="R11" i="14"/>
  <c r="Q11" i="14"/>
  <c r="M11" i="14"/>
  <c r="K10" i="14"/>
  <c r="Y10" i="14"/>
  <c r="X10" i="14"/>
  <c r="V10" i="14"/>
  <c r="W10" i="14"/>
  <c r="U10" i="14"/>
  <c r="R10" i="14"/>
  <c r="S10" i="14"/>
  <c r="Q10" i="14"/>
  <c r="P10" i="14"/>
  <c r="T10" i="14"/>
  <c r="O10" i="14"/>
  <c r="N10" i="14"/>
  <c r="M10" i="14"/>
  <c r="L10" i="14"/>
  <c r="X12" i="14"/>
  <c r="Y12" i="14"/>
  <c r="V12" i="14"/>
  <c r="W12" i="14"/>
  <c r="U12" i="14"/>
  <c r="S12" i="14"/>
  <c r="N12" i="14"/>
  <c r="P12" i="14"/>
  <c r="O12" i="14"/>
  <c r="T12" i="14"/>
  <c r="Q12" i="14"/>
  <c r="R12" i="14"/>
  <c r="M12" i="14"/>
  <c r="X16" i="14"/>
  <c r="Y16" i="14"/>
  <c r="V16" i="14"/>
  <c r="W16" i="14"/>
  <c r="U16" i="14"/>
  <c r="S16" i="14"/>
  <c r="N16" i="14"/>
  <c r="P16" i="14"/>
  <c r="O16" i="14"/>
  <c r="R16" i="14"/>
  <c r="T16" i="14"/>
  <c r="Q16" i="14"/>
  <c r="L16" i="14"/>
  <c r="M16" i="14"/>
  <c r="K16" i="14"/>
  <c r="X13" i="14"/>
  <c r="Y13" i="14"/>
  <c r="W13" i="14"/>
  <c r="U13" i="14"/>
  <c r="V13" i="14"/>
  <c r="T13" i="14"/>
  <c r="R13" i="14"/>
  <c r="Q13" i="14"/>
  <c r="S13" i="14"/>
  <c r="N13" i="14"/>
  <c r="P13" i="14"/>
  <c r="O13" i="14"/>
  <c r="M13" i="14"/>
  <c r="X14" i="14"/>
  <c r="Y14" i="14"/>
  <c r="U14" i="14"/>
  <c r="V14" i="14"/>
  <c r="W14" i="14"/>
  <c r="P14" i="14"/>
  <c r="O14" i="14"/>
  <c r="T14" i="14"/>
  <c r="R14" i="14"/>
  <c r="Q14" i="14"/>
  <c r="N14" i="14"/>
  <c r="S14" i="14"/>
  <c r="M14" i="14"/>
  <c r="X15" i="14"/>
  <c r="Y15" i="14"/>
  <c r="U15" i="14"/>
  <c r="V15" i="14"/>
  <c r="W15" i="14"/>
  <c r="S15" i="14"/>
  <c r="N15" i="14"/>
  <c r="P15" i="14"/>
  <c r="O15" i="14"/>
  <c r="T15" i="14"/>
  <c r="R15" i="14"/>
  <c r="Q15" i="14"/>
  <c r="M15" i="14"/>
  <c r="X17" i="14"/>
  <c r="Y17" i="14"/>
  <c r="W17" i="14"/>
  <c r="U17" i="14"/>
  <c r="V17" i="14"/>
  <c r="T17" i="14"/>
  <c r="R17" i="14"/>
  <c r="Q17" i="14"/>
  <c r="S17" i="14"/>
  <c r="N17" i="14"/>
  <c r="O17" i="14"/>
  <c r="P17" i="14"/>
  <c r="L17" i="14"/>
  <c r="M17" i="14"/>
  <c r="K17" i="14"/>
  <c r="L14" i="14"/>
  <c r="K14" i="14"/>
  <c r="L13" i="14"/>
  <c r="K13" i="14"/>
  <c r="L15" i="14"/>
  <c r="K15" i="14"/>
  <c r="L12" i="14"/>
  <c r="K12" i="14"/>
  <c r="L11" i="14"/>
  <c r="K11" i="14"/>
  <c r="D42" i="14"/>
  <c r="I33" i="14"/>
  <c r="AQ33" i="14" s="1"/>
  <c r="G33" i="14"/>
  <c r="J27" i="14"/>
  <c r="J32" i="14"/>
  <c r="J10" i="14"/>
  <c r="J9" i="14"/>
  <c r="J13" i="14"/>
  <c r="J21" i="14"/>
  <c r="J14" i="14"/>
  <c r="J8" i="14"/>
  <c r="J20" i="14"/>
  <c r="J12" i="14"/>
  <c r="AR22" i="14"/>
  <c r="E33" i="14"/>
  <c r="AH33" i="14"/>
  <c r="J18" i="14"/>
  <c r="J17" i="14"/>
  <c r="J16" i="14"/>
  <c r="J11" i="14"/>
  <c r="BB4" i="14"/>
  <c r="BC4" i="14" s="1"/>
  <c r="J26" i="14"/>
  <c r="AU43" i="14" l="1"/>
  <c r="AX4" i="14"/>
  <c r="AY4" i="14" s="1"/>
  <c r="AO22" i="14"/>
  <c r="AO42" i="14" s="1"/>
  <c r="AJ22" i="14"/>
  <c r="AJ42" i="14" s="1"/>
  <c r="AK22" i="14"/>
  <c r="AK42" i="14" s="1"/>
  <c r="AI22" i="14"/>
  <c r="AI42" i="14" s="1"/>
  <c r="AC22" i="14"/>
  <c r="AC42" i="14" s="1"/>
  <c r="AH22" i="14"/>
  <c r="AH42" i="14" s="1"/>
  <c r="AM22" i="14"/>
  <c r="AM42" i="14" s="1"/>
  <c r="AN22" i="14"/>
  <c r="AN42" i="14" s="1"/>
  <c r="AL22" i="14"/>
  <c r="AL42" i="14" s="1"/>
  <c r="AG22" i="14"/>
  <c r="AG42" i="14" s="1"/>
  <c r="AF22" i="14"/>
  <c r="AF42" i="14" s="1"/>
  <c r="AQ39" i="14"/>
  <c r="AR39" i="14" s="1"/>
  <c r="AB22" i="14"/>
  <c r="AB42" i="14" s="1"/>
  <c r="AE22" i="14"/>
  <c r="AE42" i="14" s="1"/>
  <c r="AD22" i="14"/>
  <c r="AD42" i="14" s="1"/>
  <c r="AT21" i="14"/>
  <c r="AU21" i="14" s="1"/>
  <c r="G42" i="14"/>
  <c r="AX3" i="14"/>
  <c r="AY3" i="14" s="1"/>
  <c r="AZ3" i="14" s="1"/>
  <c r="F35" i="14"/>
  <c r="M22" i="14"/>
  <c r="S22" i="14"/>
  <c r="V22" i="14"/>
  <c r="X22" i="14"/>
  <c r="X42" i="14" s="1"/>
  <c r="P22" i="14"/>
  <c r="T22" i="14"/>
  <c r="T42" i="14" s="1"/>
  <c r="U22" i="14"/>
  <c r="U42" i="14" s="1"/>
  <c r="AA22" i="14"/>
  <c r="AA42" i="14" s="1"/>
  <c r="Q22" i="14"/>
  <c r="O22" i="14"/>
  <c r="O42" i="14" s="1"/>
  <c r="W22" i="14"/>
  <c r="W24" i="14" s="1"/>
  <c r="Z22" i="14"/>
  <c r="L22" i="14"/>
  <c r="L42" i="14" s="1"/>
  <c r="R22" i="14"/>
  <c r="N22" i="14"/>
  <c r="N24" i="14" s="1"/>
  <c r="Y22" i="14"/>
  <c r="Y42" i="14" s="1"/>
  <c r="K22" i="14"/>
  <c r="K42" i="14" s="1"/>
  <c r="AT20" i="14"/>
  <c r="AU20" i="14" s="1"/>
  <c r="AT18" i="14"/>
  <c r="AU18" i="14" s="1"/>
  <c r="AT16" i="14"/>
  <c r="AU16" i="14" s="1"/>
  <c r="AT11" i="14"/>
  <c r="AU11" i="14" s="1"/>
  <c r="S42" i="14"/>
  <c r="I42" i="14"/>
  <c r="AT5" i="14" s="1"/>
  <c r="AV5" i="14" s="1"/>
  <c r="D43" i="14"/>
  <c r="BB3" i="14" s="1"/>
  <c r="BC3" i="14" s="1"/>
  <c r="BD3" i="14" s="1"/>
  <c r="I35" i="14"/>
  <c r="AZ2" i="14"/>
  <c r="G35" i="14"/>
  <c r="E35" i="14"/>
  <c r="J22" i="14"/>
  <c r="AT19" i="14"/>
  <c r="AU19" i="14" s="1"/>
  <c r="AT10" i="14"/>
  <c r="AU10" i="14" s="1"/>
  <c r="AJ24" i="14"/>
  <c r="AT13" i="14"/>
  <c r="AU13" i="14" s="1"/>
  <c r="AT17" i="14"/>
  <c r="AU17" i="14" s="1"/>
  <c r="AB33" i="14"/>
  <c r="AT8" i="14"/>
  <c r="D40" i="14"/>
  <c r="D44" i="14" s="1"/>
  <c r="I44" i="14" s="1"/>
  <c r="J33" i="14"/>
  <c r="AT9" i="14"/>
  <c r="AU9" i="14" s="1"/>
  <c r="E42" i="14"/>
  <c r="H42" i="14"/>
  <c r="F42" i="14"/>
  <c r="AT12" i="14"/>
  <c r="AU12" i="14" s="1"/>
  <c r="AT15" i="14"/>
  <c r="AU15" i="14" s="1"/>
  <c r="AT14" i="14"/>
  <c r="AU14" i="14" s="1"/>
  <c r="AO24" i="14" l="1"/>
  <c r="AO32" i="14" s="1"/>
  <c r="AO28" i="14"/>
  <c r="AO26" i="14"/>
  <c r="AO33" i="14" s="1"/>
  <c r="AO35" i="14" s="1"/>
  <c r="AO43" i="14" s="1"/>
  <c r="AO31" i="14"/>
  <c r="AO27" i="14"/>
  <c r="AO29" i="14"/>
  <c r="AO30" i="14"/>
  <c r="AF24" i="14"/>
  <c r="AF28" i="14" s="1"/>
  <c r="AK24" i="14"/>
  <c r="AI24" i="14"/>
  <c r="AG35" i="14"/>
  <c r="AG43" i="14" s="1"/>
  <c r="AI35" i="14"/>
  <c r="AI43" i="14" s="1"/>
  <c r="AN35" i="14"/>
  <c r="AN43" i="14" s="1"/>
  <c r="AJ32" i="14"/>
  <c r="AJ28" i="14"/>
  <c r="AJ27" i="14"/>
  <c r="AJ31" i="14"/>
  <c r="AJ30" i="14"/>
  <c r="AJ26" i="14"/>
  <c r="AJ29" i="14"/>
  <c r="L35" i="14"/>
  <c r="P35" i="14"/>
  <c r="P36" i="14" s="1"/>
  <c r="T35" i="14"/>
  <c r="X35" i="14"/>
  <c r="K35" i="14"/>
  <c r="M35" i="14"/>
  <c r="Q35" i="14"/>
  <c r="U35" i="14"/>
  <c r="Y35" i="14"/>
  <c r="I40" i="14"/>
  <c r="N35" i="14"/>
  <c r="R35" i="14"/>
  <c r="V35" i="14"/>
  <c r="Z35" i="14"/>
  <c r="O35" i="14"/>
  <c r="S35" i="14"/>
  <c r="W35" i="14"/>
  <c r="AA35" i="14"/>
  <c r="J42" i="14"/>
  <c r="AT22" i="14"/>
  <c r="S24" i="14"/>
  <c r="S31" i="14" s="1"/>
  <c r="X40" i="14"/>
  <c r="X44" i="14" s="1"/>
  <c r="Q24" i="14"/>
  <c r="Q42" i="14"/>
  <c r="BD4" i="14"/>
  <c r="AZ4" i="14"/>
  <c r="BD2" i="14"/>
  <c r="J35" i="14"/>
  <c r="AM24" i="14"/>
  <c r="U24" i="14"/>
  <c r="I43" i="14"/>
  <c r="BE3" i="14" s="1"/>
  <c r="AE24" i="14"/>
  <c r="AB35" i="14"/>
  <c r="AB43" i="14" s="1"/>
  <c r="W42" i="14"/>
  <c r="AG24" i="14"/>
  <c r="AC24" i="14"/>
  <c r="O24" i="14"/>
  <c r="AA24" i="14"/>
  <c r="AB24" i="14"/>
  <c r="AN24" i="14"/>
  <c r="P24" i="14"/>
  <c r="P31" i="14" s="1"/>
  <c r="P42" i="14"/>
  <c r="Y24" i="14"/>
  <c r="Y31" i="14" s="1"/>
  <c r="L24" i="14"/>
  <c r="N42" i="14"/>
  <c r="T24" i="14"/>
  <c r="AE35" i="14"/>
  <c r="AE43" i="14" s="1"/>
  <c r="X24" i="14"/>
  <c r="F43" i="14"/>
  <c r="E43" i="14"/>
  <c r="H43" i="14"/>
  <c r="G43" i="14"/>
  <c r="M24" i="14"/>
  <c r="M42" i="14"/>
  <c r="V24" i="14"/>
  <c r="V42" i="14"/>
  <c r="R42" i="14"/>
  <c r="R24" i="14"/>
  <c r="Z24" i="14"/>
  <c r="Z42" i="14"/>
  <c r="AD24" i="14"/>
  <c r="AL35" i="14"/>
  <c r="AL43" i="14" s="1"/>
  <c r="AL24" i="14"/>
  <c r="K24" i="14"/>
  <c r="G40" i="14"/>
  <c r="F40" i="14"/>
  <c r="E40" i="14"/>
  <c r="J39" i="14"/>
  <c r="H40" i="14"/>
  <c r="J40" i="14"/>
  <c r="AH35" i="14"/>
  <c r="AH43" i="14" s="1"/>
  <c r="AH24" i="14"/>
  <c r="AU8" i="14"/>
  <c r="K31" i="14" l="1"/>
  <c r="K27" i="14"/>
  <c r="K30" i="14"/>
  <c r="K26" i="14"/>
  <c r="K29" i="14"/>
  <c r="K32" i="14"/>
  <c r="K28" i="14"/>
  <c r="O29" i="14"/>
  <c r="O32" i="14"/>
  <c r="O28" i="14"/>
  <c r="O31" i="14"/>
  <c r="O27" i="14"/>
  <c r="O30" i="14"/>
  <c r="O26" i="14"/>
  <c r="X31" i="14"/>
  <c r="X27" i="14"/>
  <c r="X30" i="14"/>
  <c r="X26" i="14"/>
  <c r="X29" i="14"/>
  <c r="X32" i="14"/>
  <c r="X28" i="14"/>
  <c r="AC30" i="14"/>
  <c r="AC26" i="14"/>
  <c r="AC29" i="14"/>
  <c r="AC32" i="14"/>
  <c r="AC28" i="14"/>
  <c r="AC31" i="14"/>
  <c r="AC27" i="14"/>
  <c r="AK29" i="14"/>
  <c r="AK32" i="14"/>
  <c r="AK28" i="14"/>
  <c r="AK31" i="14"/>
  <c r="AK27" i="14"/>
  <c r="AK30" i="14"/>
  <c r="AK26" i="14"/>
  <c r="U32" i="14"/>
  <c r="U28" i="14"/>
  <c r="U31" i="14"/>
  <c r="U27" i="14"/>
  <c r="U30" i="14"/>
  <c r="U26" i="14"/>
  <c r="U29" i="14"/>
  <c r="AF26" i="14"/>
  <c r="AF29" i="14"/>
  <c r="AF31" i="14"/>
  <c r="AF32" i="14"/>
  <c r="AF30" i="14"/>
  <c r="AO36" i="14"/>
  <c r="AO37" i="14" s="1"/>
  <c r="AF27" i="14"/>
  <c r="AK40" i="14"/>
  <c r="AK44" i="14" s="1"/>
  <c r="AO40" i="14"/>
  <c r="AO44" i="14" s="1"/>
  <c r="AH40" i="14"/>
  <c r="AH44" i="14" s="1"/>
  <c r="AL40" i="14"/>
  <c r="AL44" i="14" s="1"/>
  <c r="AI40" i="14"/>
  <c r="AI44" i="14" s="1"/>
  <c r="AM40" i="14"/>
  <c r="AM44" i="14" s="1"/>
  <c r="AJ40" i="14"/>
  <c r="AJ44" i="14" s="1"/>
  <c r="AN40" i="14"/>
  <c r="AN44" i="14" s="1"/>
  <c r="AN36" i="14"/>
  <c r="AN37" i="14" s="1"/>
  <c r="AI36" i="14"/>
  <c r="AI37" i="14" s="1"/>
  <c r="AG36" i="14"/>
  <c r="AG37" i="14" s="1"/>
  <c r="Y40" i="14"/>
  <c r="Y44" i="14" s="1"/>
  <c r="AG40" i="14"/>
  <c r="AG44" i="14" s="1"/>
  <c r="AJ33" i="14"/>
  <c r="AJ35" i="14" s="1"/>
  <c r="N40" i="14"/>
  <c r="N44" i="14" s="1"/>
  <c r="K40" i="14"/>
  <c r="K44" i="14" s="1"/>
  <c r="M40" i="14"/>
  <c r="M44" i="14" s="1"/>
  <c r="V40" i="14"/>
  <c r="V44" i="14" s="1"/>
  <c r="R40" i="14"/>
  <c r="R44" i="14" s="1"/>
  <c r="U40" i="14"/>
  <c r="U44" i="14" s="1"/>
  <c r="S40" i="14"/>
  <c r="S44" i="14" s="1"/>
  <c r="AD40" i="14"/>
  <c r="AD44" i="14" s="1"/>
  <c r="AE40" i="14"/>
  <c r="AE44" i="14" s="1"/>
  <c r="AB40" i="14"/>
  <c r="AB44" i="14" s="1"/>
  <c r="AF40" i="14"/>
  <c r="AF44" i="14" s="1"/>
  <c r="AC40" i="14"/>
  <c r="AC44" i="14" s="1"/>
  <c r="AD30" i="14"/>
  <c r="AD26" i="14"/>
  <c r="AD29" i="14"/>
  <c r="AD32" i="14"/>
  <c r="AD28" i="14"/>
  <c r="AD31" i="14"/>
  <c r="AD27" i="14"/>
  <c r="T40" i="14"/>
  <c r="T44" i="14" s="1"/>
  <c r="O40" i="14"/>
  <c r="O44" i="14" s="1"/>
  <c r="W40" i="14"/>
  <c r="W44" i="14" s="1"/>
  <c r="K36" i="14"/>
  <c r="K37" i="14" s="1"/>
  <c r="K43" i="14"/>
  <c r="L40" i="14"/>
  <c r="L44" i="14" s="1"/>
  <c r="Q40" i="14"/>
  <c r="Q44" i="14" s="1"/>
  <c r="P40" i="14"/>
  <c r="P44" i="14" s="1"/>
  <c r="Z40" i="14"/>
  <c r="Z44" i="14" s="1"/>
  <c r="AA40" i="14"/>
  <c r="AA44" i="14" s="1"/>
  <c r="BE4" i="14"/>
  <c r="V30" i="14"/>
  <c r="V31" i="14"/>
  <c r="V28" i="14"/>
  <c r="V32" i="14"/>
  <c r="V27" i="14"/>
  <c r="V26" i="14"/>
  <c r="V29" i="14"/>
  <c r="P28" i="14"/>
  <c r="P32" i="14"/>
  <c r="P27" i="14"/>
  <c r="P30" i="14"/>
  <c r="P26" i="14"/>
  <c r="P29" i="14"/>
  <c r="Y30" i="14"/>
  <c r="Y26" i="14"/>
  <c r="Y29" i="14"/>
  <c r="Y28" i="14"/>
  <c r="Y32" i="14"/>
  <c r="Y27" i="14"/>
  <c r="S30" i="14"/>
  <c r="S26" i="14"/>
  <c r="S29" i="14"/>
  <c r="S28" i="14"/>
  <c r="S32" i="14"/>
  <c r="S27" i="14"/>
  <c r="M33" i="14"/>
  <c r="M36" i="14" s="1"/>
  <c r="J43" i="14"/>
  <c r="AU3" i="14"/>
  <c r="AX6" i="14" s="1"/>
  <c r="AX1" i="14"/>
  <c r="AB36" i="14"/>
  <c r="AE36" i="14"/>
  <c r="AQ24" i="14"/>
  <c r="M43" i="14"/>
  <c r="AM33" i="14"/>
  <c r="AM35" i="14" s="1"/>
  <c r="AM43" i="14" s="1"/>
  <c r="F44" i="14"/>
  <c r="E44" i="14"/>
  <c r="H44" i="14"/>
  <c r="G44" i="14"/>
  <c r="AH36" i="14"/>
  <c r="AL36" i="14"/>
  <c r="AU22" i="14"/>
  <c r="AQ42" i="14"/>
  <c r="I4" i="14" s="1"/>
  <c r="K33" i="14" l="1"/>
  <c r="AK33" i="14"/>
  <c r="AK35" i="14" s="1"/>
  <c r="AK43" i="14" s="1"/>
  <c r="AF33" i="14"/>
  <c r="AF35" i="14" s="1"/>
  <c r="AF43" i="14" s="1"/>
  <c r="AT31" i="14"/>
  <c r="AU31" i="14" s="1"/>
  <c r="AJ43" i="14"/>
  <c r="AJ36" i="14"/>
  <c r="AJ37" i="14" s="1"/>
  <c r="AQ40" i="14"/>
  <c r="AR40" i="14" s="1"/>
  <c r="AD33" i="14"/>
  <c r="AD35" i="14" s="1"/>
  <c r="AT29" i="14"/>
  <c r="AU29" i="14" s="1"/>
  <c r="AT28" i="14"/>
  <c r="AU28" i="14" s="1"/>
  <c r="AT30" i="14"/>
  <c r="AU30" i="14" s="1"/>
  <c r="AU5" i="14"/>
  <c r="P33" i="14"/>
  <c r="O33" i="14"/>
  <c r="N33" i="14"/>
  <c r="N36" i="14" s="1"/>
  <c r="L33" i="14"/>
  <c r="L43" i="14" s="1"/>
  <c r="AB37" i="14"/>
  <c r="AT26" i="14"/>
  <c r="AU26" i="14" s="1"/>
  <c r="J44" i="14"/>
  <c r="BA4" i="14"/>
  <c r="BA3" i="14"/>
  <c r="BB1" i="14"/>
  <c r="AZ1" i="14"/>
  <c r="AY1" i="14"/>
  <c r="AC33" i="14"/>
  <c r="AC35" i="14" s="1"/>
  <c r="AC43" i="14" s="1"/>
  <c r="AE37" i="14"/>
  <c r="AT27" i="14"/>
  <c r="AU27" i="14" s="1"/>
  <c r="AL37" i="14"/>
  <c r="M37" i="14"/>
  <c r="AH37" i="14"/>
  <c r="AM36" i="14"/>
  <c r="H37" i="12"/>
  <c r="G37" i="12"/>
  <c r="F37" i="12"/>
  <c r="E37" i="12"/>
  <c r="H30" i="12"/>
  <c r="G30" i="12"/>
  <c r="F30" i="12"/>
  <c r="E30" i="12"/>
  <c r="H29" i="12"/>
  <c r="G29" i="12"/>
  <c r="F29" i="12"/>
  <c r="E29" i="12"/>
  <c r="H28" i="12"/>
  <c r="G28" i="12"/>
  <c r="F28" i="12"/>
  <c r="E28" i="12"/>
  <c r="H27" i="12"/>
  <c r="G27" i="12"/>
  <c r="F27" i="12"/>
  <c r="E27" i="12"/>
  <c r="H26" i="12"/>
  <c r="G26" i="12"/>
  <c r="F26" i="12"/>
  <c r="E26" i="12"/>
  <c r="H25" i="12"/>
  <c r="H31" i="12" s="1"/>
  <c r="G25" i="12"/>
  <c r="G31" i="12" s="1"/>
  <c r="F25" i="12"/>
  <c r="F31" i="12" s="1"/>
  <c r="E25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31" i="12" l="1"/>
  <c r="AK36" i="14"/>
  <c r="AK37" i="14" s="1"/>
  <c r="AF36" i="14"/>
  <c r="AF37" i="14" s="1"/>
  <c r="AD43" i="14"/>
  <c r="AD36" i="14"/>
  <c r="AD37" i="14" s="1"/>
  <c r="N43" i="14"/>
  <c r="AC36" i="14"/>
  <c r="AC37" i="14" s="1"/>
  <c r="L36" i="14"/>
  <c r="O43" i="14"/>
  <c r="O36" i="14"/>
  <c r="Q33" i="14"/>
  <c r="P43" i="14"/>
  <c r="R33" i="14"/>
  <c r="BD1" i="14"/>
  <c r="BC1" i="14"/>
  <c r="N37" i="14"/>
  <c r="AM37" i="14"/>
  <c r="E21" i="12"/>
  <c r="E33" i="12" s="1"/>
  <c r="F21" i="12"/>
  <c r="F33" i="12" s="1"/>
  <c r="H21" i="12"/>
  <c r="H33" i="12" s="1"/>
  <c r="G21" i="12"/>
  <c r="G33" i="12" s="1"/>
  <c r="L37" i="14" l="1"/>
  <c r="T33" i="14"/>
  <c r="Q36" i="14"/>
  <c r="Q43" i="14"/>
  <c r="P37" i="14"/>
  <c r="S33" i="14"/>
  <c r="O37" i="14"/>
  <c r="R43" i="14"/>
  <c r="R36" i="14"/>
  <c r="R37" i="14" l="1"/>
  <c r="U33" i="14"/>
  <c r="T43" i="14"/>
  <c r="T36" i="14"/>
  <c r="S36" i="14"/>
  <c r="S43" i="14"/>
  <c r="Q37" i="14"/>
  <c r="V33" i="14"/>
  <c r="T37" i="14" l="1"/>
  <c r="Z33" i="14"/>
  <c r="X33" i="14"/>
  <c r="U36" i="14"/>
  <c r="U43" i="14"/>
  <c r="S37" i="14"/>
  <c r="W33" i="14"/>
  <c r="V43" i="14"/>
  <c r="V36" i="14"/>
  <c r="AX12" i="12"/>
  <c r="AR13" i="12"/>
  <c r="I17" i="12"/>
  <c r="AX10" i="12"/>
  <c r="AO17" i="12" l="1"/>
  <c r="AN17" i="12"/>
  <c r="AL17" i="12"/>
  <c r="AM17" i="12"/>
  <c r="V37" i="14"/>
  <c r="U37" i="14"/>
  <c r="W36" i="14"/>
  <c r="W37" i="14" s="1"/>
  <c r="W43" i="14"/>
  <c r="Y33" i="14"/>
  <c r="X43" i="14"/>
  <c r="X36" i="14"/>
  <c r="Z36" i="14"/>
  <c r="Z43" i="14"/>
  <c r="AJ17" i="12"/>
  <c r="AK17" i="12"/>
  <c r="AI17" i="12"/>
  <c r="AH17" i="12"/>
  <c r="AG17" i="12"/>
  <c r="AF17" i="12"/>
  <c r="AE17" i="12"/>
  <c r="AD17" i="12"/>
  <c r="AC17" i="12"/>
  <c r="AB17" i="12"/>
  <c r="AY10" i="12"/>
  <c r="Y36" i="14" l="1"/>
  <c r="Y43" i="14"/>
  <c r="Z37" i="14"/>
  <c r="X37" i="14"/>
  <c r="AA33" i="14"/>
  <c r="AT32" i="14"/>
  <c r="Y37" i="14" l="1"/>
  <c r="AU32" i="14"/>
  <c r="AT33" i="14"/>
  <c r="AA43" i="14"/>
  <c r="AQ43" i="14" s="1"/>
  <c r="AV43" i="14" s="1"/>
  <c r="AA36" i="14"/>
  <c r="AA37" i="14" l="1"/>
  <c r="AQ37" i="14" s="1"/>
  <c r="AR37" i="14" s="1"/>
  <c r="AQ36" i="14"/>
  <c r="AU33" i="14"/>
  <c r="AX26" i="14" s="1"/>
  <c r="AT35" i="14"/>
  <c r="AU35" i="14" s="1"/>
  <c r="AR33" i="14"/>
  <c r="AQ44" i="14"/>
  <c r="AX35" i="14" l="1"/>
  <c r="AY35" i="14" s="1"/>
  <c r="I37" i="12" l="1"/>
  <c r="I30" i="12"/>
  <c r="I29" i="12"/>
  <c r="P29" i="12" s="1"/>
  <c r="I28" i="12"/>
  <c r="I27" i="12"/>
  <c r="P27" i="12" s="1"/>
  <c r="I26" i="12"/>
  <c r="I25" i="12"/>
  <c r="P25" i="12" s="1"/>
  <c r="I20" i="12"/>
  <c r="I19" i="12"/>
  <c r="AO19" i="12" s="1"/>
  <c r="I18" i="12"/>
  <c r="I16" i="12"/>
  <c r="I15" i="12"/>
  <c r="I14" i="12"/>
  <c r="I13" i="12"/>
  <c r="I11" i="12"/>
  <c r="I12" i="12"/>
  <c r="I10" i="12"/>
  <c r="AO10" i="12" s="1"/>
  <c r="I9" i="12"/>
  <c r="P9" i="12" s="1"/>
  <c r="I8" i="12"/>
  <c r="P28" i="12"/>
  <c r="AO15" i="12" l="1"/>
  <c r="AL15" i="12"/>
  <c r="AM15" i="12"/>
  <c r="AN15" i="12"/>
  <c r="AK15" i="12"/>
  <c r="AJ15" i="12"/>
  <c r="AI15" i="12"/>
  <c r="AH15" i="12"/>
  <c r="AG15" i="12"/>
  <c r="AE15" i="12"/>
  <c r="AF15" i="12"/>
  <c r="AD15" i="12"/>
  <c r="AC15" i="12"/>
  <c r="AB15" i="12"/>
  <c r="AH28" i="12"/>
  <c r="AF28" i="12"/>
  <c r="AB28" i="12"/>
  <c r="K28" i="12"/>
  <c r="AA28" i="12"/>
  <c r="T28" i="12"/>
  <c r="M28" i="12"/>
  <c r="Z28" i="12"/>
  <c r="W28" i="12"/>
  <c r="V28" i="12"/>
  <c r="U28" i="12"/>
  <c r="S28" i="12"/>
  <c r="AO8" i="12"/>
  <c r="AN8" i="12"/>
  <c r="AM8" i="12"/>
  <c r="AL8" i="12"/>
  <c r="AK8" i="12"/>
  <c r="AJ8" i="12"/>
  <c r="AI8" i="12"/>
  <c r="AH8" i="12"/>
  <c r="AG8" i="12"/>
  <c r="AE8" i="12"/>
  <c r="AF8" i="12"/>
  <c r="AD8" i="12"/>
  <c r="P16" i="12"/>
  <c r="AO16" i="12"/>
  <c r="AL16" i="12"/>
  <c r="AM16" i="12"/>
  <c r="AN16" i="12"/>
  <c r="AJ16" i="12"/>
  <c r="AK16" i="12"/>
  <c r="AI16" i="12"/>
  <c r="AH16" i="12"/>
  <c r="AG16" i="12"/>
  <c r="AE16" i="12"/>
  <c r="AF16" i="12"/>
  <c r="AD16" i="12"/>
  <c r="AC16" i="12"/>
  <c r="AB16" i="12"/>
  <c r="AH25" i="12"/>
  <c r="AF25" i="12"/>
  <c r="AB25" i="12"/>
  <c r="T25" i="12"/>
  <c r="M25" i="12"/>
  <c r="K25" i="12"/>
  <c r="AA25" i="12"/>
  <c r="Z25" i="12"/>
  <c r="W25" i="12"/>
  <c r="V25" i="12"/>
  <c r="U25" i="12"/>
  <c r="S25" i="12"/>
  <c r="AH29" i="12"/>
  <c r="AF29" i="12"/>
  <c r="AB29" i="12"/>
  <c r="AA29" i="12"/>
  <c r="T29" i="12"/>
  <c r="K29" i="12"/>
  <c r="M29" i="12"/>
  <c r="Z29" i="12"/>
  <c r="W29" i="12"/>
  <c r="V29" i="12"/>
  <c r="U29" i="12"/>
  <c r="S29" i="12"/>
  <c r="AO13" i="12"/>
  <c r="AN13" i="12"/>
  <c r="AM13" i="12"/>
  <c r="AL13" i="12"/>
  <c r="AJ13" i="12"/>
  <c r="AK13" i="12"/>
  <c r="AI13" i="12"/>
  <c r="AH13" i="12"/>
  <c r="AG13" i="12"/>
  <c r="AF13" i="12"/>
  <c r="AE13" i="12"/>
  <c r="AD13" i="12"/>
  <c r="AC13" i="12"/>
  <c r="AB13" i="12"/>
  <c r="AO18" i="12"/>
  <c r="AM18" i="12"/>
  <c r="AN18" i="12"/>
  <c r="AL18" i="12"/>
  <c r="AI18" i="12"/>
  <c r="AK18" i="12"/>
  <c r="AJ18" i="12"/>
  <c r="AH18" i="12"/>
  <c r="AG18" i="12"/>
  <c r="AE18" i="12"/>
  <c r="AF18" i="12"/>
  <c r="AD18" i="12"/>
  <c r="AC18" i="12"/>
  <c r="AB18" i="12"/>
  <c r="P26" i="12"/>
  <c r="AH26" i="12"/>
  <c r="AF26" i="12"/>
  <c r="AB26" i="12"/>
  <c r="M26" i="12"/>
  <c r="K26" i="12"/>
  <c r="AA26" i="12"/>
  <c r="T26" i="12"/>
  <c r="Z26" i="12"/>
  <c r="W26" i="12"/>
  <c r="V26" i="12"/>
  <c r="U26" i="12"/>
  <c r="S26" i="12"/>
  <c r="P30" i="12"/>
  <c r="AH30" i="12"/>
  <c r="AF30" i="12"/>
  <c r="AB30" i="12"/>
  <c r="T30" i="12"/>
  <c r="K30" i="12"/>
  <c r="AA30" i="12"/>
  <c r="M30" i="12"/>
  <c r="Z30" i="12"/>
  <c r="W30" i="12"/>
  <c r="V30" i="12"/>
  <c r="U30" i="12"/>
  <c r="S30" i="12"/>
  <c r="AO12" i="12"/>
  <c r="AL12" i="12"/>
  <c r="AN12" i="12"/>
  <c r="AM12" i="12"/>
  <c r="AO20" i="12"/>
  <c r="AL20" i="12"/>
  <c r="AM20" i="12"/>
  <c r="AN20" i="12"/>
  <c r="AJ20" i="12"/>
  <c r="AK20" i="12"/>
  <c r="AI20" i="12"/>
  <c r="AH20" i="12"/>
  <c r="P8" i="12"/>
  <c r="AO11" i="12"/>
  <c r="AL11" i="12"/>
  <c r="AM11" i="12"/>
  <c r="AN11" i="12"/>
  <c r="AI11" i="12"/>
  <c r="AJ11" i="12"/>
  <c r="AK11" i="12"/>
  <c r="AH11" i="12"/>
  <c r="AG11" i="12"/>
  <c r="AF11" i="12"/>
  <c r="AE11" i="12"/>
  <c r="AD11" i="12"/>
  <c r="AC11" i="12"/>
  <c r="AB11" i="12"/>
  <c r="AO9" i="12"/>
  <c r="AM9" i="12"/>
  <c r="AL9" i="12"/>
  <c r="AN9" i="12"/>
  <c r="AJ9" i="12"/>
  <c r="AK9" i="12"/>
  <c r="AI9" i="12"/>
  <c r="AH9" i="12"/>
  <c r="AG9" i="12"/>
  <c r="AE9" i="12"/>
  <c r="AF9" i="12"/>
  <c r="AD9" i="12"/>
  <c r="AC9" i="12"/>
  <c r="AB9" i="12"/>
  <c r="AO14" i="12"/>
  <c r="AM14" i="12"/>
  <c r="AN14" i="12"/>
  <c r="AL14" i="12"/>
  <c r="AH27" i="12"/>
  <c r="AF27" i="12"/>
  <c r="AB27" i="12"/>
  <c r="AO37" i="12"/>
  <c r="AN37" i="12"/>
  <c r="AM37" i="12"/>
  <c r="AL37" i="12"/>
  <c r="AI37" i="12"/>
  <c r="AJ37" i="12"/>
  <c r="AK37" i="12"/>
  <c r="AH37" i="12"/>
  <c r="AG37" i="12"/>
  <c r="AF37" i="12"/>
  <c r="AE37" i="12"/>
  <c r="AD37" i="12"/>
  <c r="AC37" i="12"/>
  <c r="AB37" i="12"/>
  <c r="P37" i="12"/>
  <c r="AN19" i="12"/>
  <c r="AM19" i="12"/>
  <c r="AL19" i="12"/>
  <c r="AJ19" i="12"/>
  <c r="AI19" i="12"/>
  <c r="AK19" i="12"/>
  <c r="AH19" i="12"/>
  <c r="AG19" i="12"/>
  <c r="AE19" i="12"/>
  <c r="AF19" i="12"/>
  <c r="AD19" i="12"/>
  <c r="AC19" i="12"/>
  <c r="AB19" i="12"/>
  <c r="AN10" i="12"/>
  <c r="AL10" i="12"/>
  <c r="AM10" i="12"/>
  <c r="AJ14" i="12"/>
  <c r="AK14" i="12"/>
  <c r="AI14" i="12"/>
  <c r="AH14" i="12"/>
  <c r="AG14" i="12"/>
  <c r="AE14" i="12"/>
  <c r="AF14" i="12"/>
  <c r="AD14" i="12"/>
  <c r="AC14" i="12"/>
  <c r="AB14" i="12"/>
  <c r="AI12" i="12"/>
  <c r="AJ12" i="12"/>
  <c r="AK12" i="12"/>
  <c r="AH12" i="12"/>
  <c r="AG12" i="12"/>
  <c r="AF12" i="12"/>
  <c r="AE12" i="12"/>
  <c r="AD12" i="12"/>
  <c r="AC12" i="12"/>
  <c r="AB12" i="12"/>
  <c r="AI10" i="12"/>
  <c r="AJ10" i="12"/>
  <c r="AK10" i="12"/>
  <c r="AH10" i="12"/>
  <c r="AG10" i="12"/>
  <c r="AF10" i="12"/>
  <c r="AE10" i="12"/>
  <c r="AD10" i="12"/>
  <c r="AC10" i="12"/>
  <c r="AB10" i="12"/>
  <c r="AG20" i="12"/>
  <c r="AF20" i="12"/>
  <c r="AE20" i="12"/>
  <c r="AD20" i="12"/>
  <c r="AC20" i="12"/>
  <c r="AB20" i="12"/>
  <c r="AC8" i="12"/>
  <c r="AB8" i="12"/>
  <c r="L13" i="12"/>
  <c r="P13" i="12"/>
  <c r="U13" i="12"/>
  <c r="Y13" i="12"/>
  <c r="M13" i="12"/>
  <c r="R13" i="12"/>
  <c r="V13" i="12"/>
  <c r="Z13" i="12"/>
  <c r="N13" i="12"/>
  <c r="S13" i="12"/>
  <c r="W13" i="12"/>
  <c r="AA13" i="12"/>
  <c r="O13" i="12"/>
  <c r="T13" i="12"/>
  <c r="X13" i="12"/>
  <c r="K13" i="12"/>
  <c r="AA8" i="12"/>
  <c r="Z8" i="12"/>
  <c r="Y8" i="12"/>
  <c r="X8" i="12"/>
  <c r="W8" i="12"/>
  <c r="V8" i="12"/>
  <c r="U8" i="12"/>
  <c r="T8" i="12"/>
  <c r="S8" i="12"/>
  <c r="R8" i="12"/>
  <c r="AA37" i="12"/>
  <c r="Z37" i="12"/>
  <c r="Y37" i="12"/>
  <c r="X37" i="12"/>
  <c r="W37" i="12"/>
  <c r="V37" i="12"/>
  <c r="U37" i="12"/>
  <c r="T37" i="12"/>
  <c r="S37" i="12"/>
  <c r="R37" i="12"/>
  <c r="M27" i="12"/>
  <c r="T27" i="12"/>
  <c r="AA27" i="12"/>
  <c r="K27" i="12"/>
  <c r="Z27" i="12"/>
  <c r="W27" i="12"/>
  <c r="V27" i="12"/>
  <c r="U27" i="12"/>
  <c r="S27" i="12"/>
  <c r="AA14" i="12"/>
  <c r="Z14" i="12"/>
  <c r="Y14" i="12"/>
  <c r="X14" i="12"/>
  <c r="W14" i="12"/>
  <c r="V14" i="12"/>
  <c r="U14" i="12"/>
  <c r="AA17" i="12"/>
  <c r="Z17" i="12"/>
  <c r="Y17" i="12"/>
  <c r="X17" i="12"/>
  <c r="W17" i="12"/>
  <c r="V17" i="12"/>
  <c r="U17" i="12"/>
  <c r="AA20" i="12"/>
  <c r="Z20" i="12"/>
  <c r="Y20" i="12"/>
  <c r="X20" i="12"/>
  <c r="W20" i="12"/>
  <c r="V20" i="12"/>
  <c r="U20" i="12"/>
  <c r="AA12" i="12"/>
  <c r="Z12" i="12"/>
  <c r="Y12" i="12"/>
  <c r="X12" i="12"/>
  <c r="W12" i="12"/>
  <c r="V12" i="12"/>
  <c r="U12" i="12"/>
  <c r="AA9" i="12"/>
  <c r="Z9" i="12"/>
  <c r="Y9" i="12"/>
  <c r="X9" i="12"/>
  <c r="W9" i="12"/>
  <c r="V9" i="12"/>
  <c r="U9" i="12"/>
  <c r="AA15" i="12"/>
  <c r="Z15" i="12"/>
  <c r="Y15" i="12"/>
  <c r="X15" i="12"/>
  <c r="W15" i="12"/>
  <c r="V15" i="12"/>
  <c r="U15" i="12"/>
  <c r="AA18" i="12"/>
  <c r="Z18" i="12"/>
  <c r="Y18" i="12"/>
  <c r="X18" i="12"/>
  <c r="W18" i="12"/>
  <c r="V18" i="12"/>
  <c r="U18" i="12"/>
  <c r="P15" i="12"/>
  <c r="AA10" i="12"/>
  <c r="Z10" i="12"/>
  <c r="Y10" i="12"/>
  <c r="X10" i="12"/>
  <c r="W10" i="12"/>
  <c r="V10" i="12"/>
  <c r="U10" i="12"/>
  <c r="AA16" i="12"/>
  <c r="Z16" i="12"/>
  <c r="Y16" i="12"/>
  <c r="X16" i="12"/>
  <c r="W16" i="12"/>
  <c r="V16" i="12"/>
  <c r="U16" i="12"/>
  <c r="AA19" i="12"/>
  <c r="Z19" i="12"/>
  <c r="Y19" i="12"/>
  <c r="X19" i="12"/>
  <c r="W19" i="12"/>
  <c r="V19" i="12"/>
  <c r="U19" i="12"/>
  <c r="AA11" i="12"/>
  <c r="Z11" i="12"/>
  <c r="X11" i="12"/>
  <c r="Y11" i="12"/>
  <c r="W11" i="12"/>
  <c r="V11" i="12"/>
  <c r="U11" i="12"/>
  <c r="T11" i="12"/>
  <c r="S11" i="12"/>
  <c r="R11" i="12"/>
  <c r="T20" i="12"/>
  <c r="S20" i="12"/>
  <c r="R20" i="12"/>
  <c r="P12" i="12"/>
  <c r="T12" i="12"/>
  <c r="S12" i="12"/>
  <c r="R12" i="12"/>
  <c r="T14" i="12"/>
  <c r="S14" i="12"/>
  <c r="R14" i="12"/>
  <c r="P20" i="12"/>
  <c r="P14" i="12"/>
  <c r="T9" i="12"/>
  <c r="S9" i="12"/>
  <c r="R9" i="12"/>
  <c r="T15" i="12"/>
  <c r="S15" i="12"/>
  <c r="R15" i="12"/>
  <c r="T18" i="12"/>
  <c r="S18" i="12"/>
  <c r="R18" i="12"/>
  <c r="P18" i="12"/>
  <c r="P11" i="12"/>
  <c r="P10" i="12"/>
  <c r="T10" i="12"/>
  <c r="S10" i="12"/>
  <c r="R10" i="12"/>
  <c r="T16" i="12"/>
  <c r="S16" i="12"/>
  <c r="R16" i="12"/>
  <c r="T19" i="12"/>
  <c r="S19" i="12"/>
  <c r="R19" i="12"/>
  <c r="P17" i="12"/>
  <c r="T17" i="12"/>
  <c r="S17" i="12"/>
  <c r="R17" i="12"/>
  <c r="AT13" i="12" l="1"/>
  <c r="AU13" i="12" s="1"/>
  <c r="O37" i="12"/>
  <c r="O30" i="12"/>
  <c r="O29" i="12"/>
  <c r="O28" i="12"/>
  <c r="O27" i="12"/>
  <c r="O26" i="12"/>
  <c r="O25" i="12"/>
  <c r="O8" i="12"/>
  <c r="O9" i="12"/>
  <c r="O10" i="12"/>
  <c r="O11" i="12"/>
  <c r="O12" i="12"/>
  <c r="O14" i="12"/>
  <c r="O15" i="12"/>
  <c r="O16" i="12"/>
  <c r="O17" i="12"/>
  <c r="O18" i="12"/>
  <c r="O20" i="12"/>
  <c r="N37" i="12" l="1"/>
  <c r="N8" i="12"/>
  <c r="N9" i="12"/>
  <c r="N10" i="12"/>
  <c r="N11" i="12"/>
  <c r="N12" i="12"/>
  <c r="N14" i="12"/>
  <c r="N15" i="12"/>
  <c r="N16" i="12"/>
  <c r="N17" i="12"/>
  <c r="N18" i="12"/>
  <c r="N20" i="12"/>
  <c r="AR8" i="12" l="1"/>
  <c r="AR19" i="12" l="1"/>
  <c r="AR18" i="12"/>
  <c r="AR17" i="12"/>
  <c r="P19" i="12" l="1"/>
  <c r="O19" i="12"/>
  <c r="N19" i="12"/>
  <c r="M19" i="12"/>
  <c r="K19" i="12"/>
  <c r="L19" i="12"/>
  <c r="H4" i="10" l="1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L10" i="10"/>
  <c r="M37" i="12"/>
  <c r="M17" i="12"/>
  <c r="M15" i="12"/>
  <c r="M14" i="12"/>
  <c r="M12" i="12"/>
  <c r="M11" i="12"/>
  <c r="M10" i="12"/>
  <c r="M9" i="12"/>
  <c r="M8" i="12"/>
  <c r="E33" i="11"/>
  <c r="E29" i="11"/>
  <c r="E30" i="11"/>
  <c r="E31" i="11"/>
  <c r="E32" i="11"/>
  <c r="E28" i="11"/>
  <c r="E15" i="11"/>
  <c r="E16" i="11"/>
  <c r="E17" i="11"/>
  <c r="E18" i="11"/>
  <c r="E19" i="11"/>
  <c r="E20" i="11"/>
  <c r="E21" i="11"/>
  <c r="E22" i="11"/>
  <c r="E14" i="11"/>
  <c r="AN31" i="12"/>
  <c r="AN21" i="12"/>
  <c r="AN4" i="12"/>
  <c r="AI31" i="12"/>
  <c r="AG31" i="12"/>
  <c r="AF31" i="12"/>
  <c r="AE31" i="12"/>
  <c r="AD31" i="12"/>
  <c r="Z31" i="12"/>
  <c r="Y31" i="12"/>
  <c r="X31" i="12"/>
  <c r="W31" i="12"/>
  <c r="S31" i="12"/>
  <c r="P31" i="12"/>
  <c r="D31" i="12"/>
  <c r="J30" i="12" s="1"/>
  <c r="D21" i="12"/>
  <c r="AR20" i="12"/>
  <c r="AR16" i="12"/>
  <c r="AR15" i="12"/>
  <c r="AR14" i="12"/>
  <c r="AR12" i="12"/>
  <c r="AR11" i="12"/>
  <c r="AQ21" i="12"/>
  <c r="AR9" i="12"/>
  <c r="AO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T3" i="12"/>
  <c r="F53" i="11"/>
  <c r="F47" i="11"/>
  <c r="AM34" i="11"/>
  <c r="D34" i="11"/>
  <c r="AN33" i="11"/>
  <c r="AN32" i="11"/>
  <c r="AN31" i="11"/>
  <c r="AN30" i="11"/>
  <c r="AN29" i="11"/>
  <c r="AN28" i="11"/>
  <c r="AM23" i="11"/>
  <c r="D23" i="11"/>
  <c r="F17" i="11" s="1"/>
  <c r="AN22" i="11"/>
  <c r="AN21" i="11"/>
  <c r="AN20" i="11"/>
  <c r="AN19" i="11"/>
  <c r="AN18" i="11"/>
  <c r="AN17" i="11"/>
  <c r="AN16" i="11"/>
  <c r="AN15" i="11"/>
  <c r="AN14" i="11"/>
  <c r="AQ8" i="11"/>
  <c r="AO1" i="10"/>
  <c r="F55" i="11" l="1"/>
  <c r="F20" i="11"/>
  <c r="AK16" i="11"/>
  <c r="AH16" i="11"/>
  <c r="AI16" i="11"/>
  <c r="AJ16" i="11"/>
  <c r="AK14" i="11"/>
  <c r="AJ14" i="11"/>
  <c r="AI14" i="11"/>
  <c r="AH14" i="11"/>
  <c r="AK19" i="11"/>
  <c r="AH19" i="11"/>
  <c r="AJ19" i="11"/>
  <c r="AI19" i="11"/>
  <c r="AE19" i="11"/>
  <c r="AF19" i="11"/>
  <c r="AG19" i="11"/>
  <c r="AD19" i="11"/>
  <c r="AC19" i="11"/>
  <c r="AB19" i="11"/>
  <c r="AA19" i="11"/>
  <c r="Z19" i="11"/>
  <c r="Y19" i="11"/>
  <c r="X19" i="11"/>
  <c r="W19" i="11"/>
  <c r="V19" i="11"/>
  <c r="T19" i="11"/>
  <c r="U19" i="11"/>
  <c r="S19" i="11"/>
  <c r="R19" i="11"/>
  <c r="Q19" i="11"/>
  <c r="P19" i="11"/>
  <c r="O19" i="11"/>
  <c r="M19" i="11"/>
  <c r="N19" i="11"/>
  <c r="L19" i="11"/>
  <c r="K19" i="11"/>
  <c r="J19" i="11"/>
  <c r="I19" i="11"/>
  <c r="H19" i="11"/>
  <c r="G19" i="11"/>
  <c r="AK15" i="11"/>
  <c r="AH15" i="11"/>
  <c r="AI15" i="11"/>
  <c r="AJ15" i="11"/>
  <c r="AX2" i="12"/>
  <c r="AY2" i="12" s="1"/>
  <c r="AZ2" i="12" s="1"/>
  <c r="AV3" i="12"/>
  <c r="AK22" i="11"/>
  <c r="AJ22" i="11"/>
  <c r="AH22" i="11"/>
  <c r="AI22" i="11"/>
  <c r="AF22" i="11"/>
  <c r="AE22" i="11"/>
  <c r="AG22" i="11"/>
  <c r="AD22" i="11"/>
  <c r="AA22" i="11"/>
  <c r="AC22" i="11"/>
  <c r="AB22" i="11"/>
  <c r="Z22" i="11"/>
  <c r="Y22" i="11"/>
  <c r="X22" i="11"/>
  <c r="W22" i="11"/>
  <c r="V22" i="11"/>
  <c r="T22" i="11"/>
  <c r="U22" i="11"/>
  <c r="S22" i="11"/>
  <c r="R22" i="11"/>
  <c r="Q22" i="11"/>
  <c r="P22" i="11"/>
  <c r="O22" i="11"/>
  <c r="M22" i="11"/>
  <c r="N22" i="11"/>
  <c r="L22" i="11"/>
  <c r="K22" i="11"/>
  <c r="J22" i="11"/>
  <c r="I22" i="11"/>
  <c r="H22" i="11"/>
  <c r="G22" i="11"/>
  <c r="AK18" i="11"/>
  <c r="AJ18" i="11"/>
  <c r="AH18" i="11"/>
  <c r="AI18" i="11"/>
  <c r="AK20" i="11"/>
  <c r="AH20" i="11"/>
  <c r="AI20" i="11"/>
  <c r="AJ20" i="11"/>
  <c r="AK21" i="11"/>
  <c r="AI21" i="11"/>
  <c r="AJ21" i="11"/>
  <c r="AH21" i="11"/>
  <c r="AK17" i="11"/>
  <c r="AI17" i="11"/>
  <c r="AJ17" i="11"/>
  <c r="AH17" i="11"/>
  <c r="AE17" i="11"/>
  <c r="AF17" i="11"/>
  <c r="AG17" i="11"/>
  <c r="AD17" i="11"/>
  <c r="AB17" i="11"/>
  <c r="AC17" i="11"/>
  <c r="AA17" i="11"/>
  <c r="Z17" i="11"/>
  <c r="Y17" i="11"/>
  <c r="X17" i="11"/>
  <c r="W17" i="11"/>
  <c r="V17" i="11"/>
  <c r="T17" i="11"/>
  <c r="U17" i="11"/>
  <c r="S17" i="11"/>
  <c r="R17" i="11"/>
  <c r="Q17" i="11"/>
  <c r="P17" i="11"/>
  <c r="O17" i="11"/>
  <c r="M17" i="11"/>
  <c r="N17" i="11"/>
  <c r="L17" i="11"/>
  <c r="K17" i="11"/>
  <c r="J17" i="11"/>
  <c r="I17" i="11"/>
  <c r="H17" i="11"/>
  <c r="G17" i="11"/>
  <c r="D40" i="12"/>
  <c r="H40" i="12" s="1"/>
  <c r="AG21" i="11"/>
  <c r="AE21" i="11"/>
  <c r="AF21" i="11"/>
  <c r="AD21" i="11"/>
  <c r="AC21" i="11"/>
  <c r="AA21" i="11"/>
  <c r="AB21" i="11"/>
  <c r="Z21" i="11"/>
  <c r="Y21" i="11"/>
  <c r="X21" i="11"/>
  <c r="W21" i="11"/>
  <c r="V21" i="11"/>
  <c r="T21" i="11"/>
  <c r="U21" i="11"/>
  <c r="S21" i="11"/>
  <c r="R21" i="11"/>
  <c r="Q21" i="11"/>
  <c r="P21" i="11"/>
  <c r="O21" i="11"/>
  <c r="M21" i="11"/>
  <c r="N21" i="11"/>
  <c r="L21" i="11"/>
  <c r="K21" i="11"/>
  <c r="J21" i="11"/>
  <c r="I21" i="11"/>
  <c r="H21" i="11"/>
  <c r="G21" i="11"/>
  <c r="AG20" i="11"/>
  <c r="AE20" i="11"/>
  <c r="AF20" i="11"/>
  <c r="AD20" i="11"/>
  <c r="AC20" i="11"/>
  <c r="AA20" i="11"/>
  <c r="AB20" i="11"/>
  <c r="Z20" i="11"/>
  <c r="Y20" i="11"/>
  <c r="X20" i="11"/>
  <c r="W20" i="11"/>
  <c r="V20" i="11"/>
  <c r="T20" i="11"/>
  <c r="U20" i="11"/>
  <c r="S20" i="11"/>
  <c r="R20" i="11"/>
  <c r="Q20" i="11"/>
  <c r="P20" i="11"/>
  <c r="O20" i="11"/>
  <c r="M20" i="11"/>
  <c r="N20" i="11"/>
  <c r="L20" i="11"/>
  <c r="K20" i="11"/>
  <c r="J20" i="11"/>
  <c r="I20" i="11"/>
  <c r="H20" i="11"/>
  <c r="G20" i="11"/>
  <c r="AF18" i="11"/>
  <c r="AE18" i="11"/>
  <c r="AG18" i="11"/>
  <c r="AD18" i="11"/>
  <c r="AB18" i="11"/>
  <c r="AC18" i="11"/>
  <c r="AA18" i="11"/>
  <c r="Z18" i="11"/>
  <c r="Y18" i="11"/>
  <c r="X18" i="11"/>
  <c r="W18" i="11"/>
  <c r="V18" i="11"/>
  <c r="T18" i="11"/>
  <c r="U18" i="11"/>
  <c r="S18" i="11"/>
  <c r="R18" i="11"/>
  <c r="Q18" i="11"/>
  <c r="P18" i="11"/>
  <c r="O18" i="11"/>
  <c r="M18" i="11"/>
  <c r="N18" i="11"/>
  <c r="L18" i="11"/>
  <c r="K18" i="11"/>
  <c r="J18" i="11"/>
  <c r="I18" i="11"/>
  <c r="H18" i="11"/>
  <c r="G18" i="11"/>
  <c r="AE16" i="11"/>
  <c r="AF16" i="11"/>
  <c r="AG16" i="11"/>
  <c r="AD16" i="11"/>
  <c r="AA16" i="11"/>
  <c r="AB16" i="11"/>
  <c r="AC16" i="11"/>
  <c r="Z16" i="11"/>
  <c r="Y16" i="11"/>
  <c r="X16" i="11"/>
  <c r="W16" i="11"/>
  <c r="V16" i="11"/>
  <c r="T16" i="11"/>
  <c r="U16" i="11"/>
  <c r="S16" i="11"/>
  <c r="R16" i="11"/>
  <c r="Q16" i="11"/>
  <c r="P16" i="11"/>
  <c r="O16" i="11"/>
  <c r="M16" i="11"/>
  <c r="N16" i="11"/>
  <c r="L16" i="11"/>
  <c r="K16" i="11"/>
  <c r="J16" i="11"/>
  <c r="I16" i="11"/>
  <c r="H16" i="11"/>
  <c r="G16" i="11"/>
  <c r="F15" i="11"/>
  <c r="AE15" i="11"/>
  <c r="AF15" i="11"/>
  <c r="AG15" i="11"/>
  <c r="AD15" i="11"/>
  <c r="AA15" i="11"/>
  <c r="AB15" i="11"/>
  <c r="AC15" i="11"/>
  <c r="Z15" i="11"/>
  <c r="Y15" i="11"/>
  <c r="X15" i="11"/>
  <c r="W15" i="11"/>
  <c r="V15" i="11"/>
  <c r="T15" i="11"/>
  <c r="U15" i="11"/>
  <c r="S15" i="11"/>
  <c r="R15" i="11"/>
  <c r="Q15" i="11"/>
  <c r="P15" i="11"/>
  <c r="O15" i="11"/>
  <c r="M15" i="11"/>
  <c r="N15" i="11"/>
  <c r="L15" i="11"/>
  <c r="K15" i="11"/>
  <c r="J15" i="11"/>
  <c r="I15" i="11"/>
  <c r="H15" i="11"/>
  <c r="G15" i="11"/>
  <c r="F19" i="11"/>
  <c r="F21" i="11"/>
  <c r="AN23" i="11"/>
  <c r="AG14" i="11"/>
  <c r="AE14" i="11"/>
  <c r="AF14" i="11"/>
  <c r="AD14" i="11"/>
  <c r="AA14" i="11"/>
  <c r="AB14" i="11"/>
  <c r="AC14" i="11"/>
  <c r="Z14" i="11"/>
  <c r="Y14" i="11"/>
  <c r="X14" i="11"/>
  <c r="W14" i="11"/>
  <c r="V14" i="11"/>
  <c r="T14" i="11"/>
  <c r="U14" i="11"/>
  <c r="S14" i="11"/>
  <c r="R14" i="11"/>
  <c r="Q14" i="11"/>
  <c r="P14" i="11"/>
  <c r="O14" i="11"/>
  <c r="M14" i="11"/>
  <c r="N14" i="11"/>
  <c r="L14" i="11"/>
  <c r="K14" i="11"/>
  <c r="J14" i="11"/>
  <c r="I14" i="11"/>
  <c r="H14" i="11"/>
  <c r="G14" i="11"/>
  <c r="J17" i="12"/>
  <c r="M18" i="12"/>
  <c r="L18" i="12"/>
  <c r="K18" i="12"/>
  <c r="M16" i="12"/>
  <c r="K20" i="12"/>
  <c r="M20" i="12"/>
  <c r="J15" i="12"/>
  <c r="J18" i="12"/>
  <c r="K37" i="12"/>
  <c r="L37" i="12"/>
  <c r="L28" i="12"/>
  <c r="L29" i="12"/>
  <c r="K8" i="12"/>
  <c r="L8" i="12"/>
  <c r="L17" i="12"/>
  <c r="K17" i="12"/>
  <c r="L30" i="12"/>
  <c r="J14" i="12"/>
  <c r="J19" i="12"/>
  <c r="K9" i="12"/>
  <c r="L9" i="12"/>
  <c r="K14" i="12"/>
  <c r="L14" i="12"/>
  <c r="K10" i="12"/>
  <c r="L10" i="12"/>
  <c r="K15" i="12"/>
  <c r="L15" i="12"/>
  <c r="K11" i="12"/>
  <c r="L11" i="12"/>
  <c r="K16" i="12"/>
  <c r="L16" i="12"/>
  <c r="K12" i="12"/>
  <c r="L12" i="12"/>
  <c r="L20" i="12"/>
  <c r="J9" i="12"/>
  <c r="J12" i="12"/>
  <c r="J13" i="12"/>
  <c r="J25" i="12"/>
  <c r="J20" i="12"/>
  <c r="J8" i="12"/>
  <c r="J10" i="12"/>
  <c r="J11" i="12"/>
  <c r="J29" i="12"/>
  <c r="J26" i="12"/>
  <c r="J27" i="12"/>
  <c r="J28" i="12"/>
  <c r="AN23" i="12"/>
  <c r="AN33" i="12"/>
  <c r="AN40" i="12"/>
  <c r="AR21" i="12"/>
  <c r="AH21" i="12"/>
  <c r="I21" i="12"/>
  <c r="AB21" i="12"/>
  <c r="AB23" i="12" s="1"/>
  <c r="P21" i="12"/>
  <c r="P33" i="12" s="1"/>
  <c r="AL21" i="12"/>
  <c r="AR10" i="12"/>
  <c r="N21" i="12"/>
  <c r="D33" i="12"/>
  <c r="D41" i="12" s="1"/>
  <c r="J16" i="12"/>
  <c r="W21" i="12"/>
  <c r="W33" i="12" s="1"/>
  <c r="AT4" i="12"/>
  <c r="AV4" i="12" s="1"/>
  <c r="AK21" i="12"/>
  <c r="R21" i="12"/>
  <c r="V21" i="12"/>
  <c r="Z21" i="12"/>
  <c r="AD21" i="12"/>
  <c r="O21" i="12"/>
  <c r="S21" i="12"/>
  <c r="AA21" i="12"/>
  <c r="AE21" i="12"/>
  <c r="AM21" i="12"/>
  <c r="X21" i="12"/>
  <c r="T21" i="12"/>
  <c r="AI21" i="12"/>
  <c r="AF21" i="12"/>
  <c r="I31" i="12"/>
  <c r="AQ31" i="12" s="1"/>
  <c r="Q31" i="12"/>
  <c r="O31" i="12"/>
  <c r="U31" i="12"/>
  <c r="F33" i="11"/>
  <c r="F29" i="11"/>
  <c r="F30" i="11"/>
  <c r="F31" i="11"/>
  <c r="F22" i="11"/>
  <c r="F18" i="11"/>
  <c r="F14" i="11"/>
  <c r="E34" i="11"/>
  <c r="F16" i="11"/>
  <c r="E23" i="11"/>
  <c r="F28" i="11"/>
  <c r="F32" i="11"/>
  <c r="D36" i="11"/>
  <c r="AN34" i="11"/>
  <c r="AL17" i="10"/>
  <c r="AM10" i="10"/>
  <c r="AM25" i="10"/>
  <c r="AM23" i="10"/>
  <c r="E25" i="10"/>
  <c r="W25" i="10" s="1"/>
  <c r="AP17" i="11" l="1"/>
  <c r="AI23" i="11"/>
  <c r="Y23" i="11"/>
  <c r="AP21" i="11"/>
  <c r="AP16" i="11"/>
  <c r="AE23" i="11"/>
  <c r="AJ23" i="11"/>
  <c r="F40" i="12"/>
  <c r="AX4" i="12"/>
  <c r="AY4" i="12" s="1"/>
  <c r="I40" i="12"/>
  <c r="AT5" i="12" s="1"/>
  <c r="AV5" i="12" s="1"/>
  <c r="E40" i="12"/>
  <c r="G40" i="12"/>
  <c r="AT14" i="12"/>
  <c r="AU14" i="12" s="1"/>
  <c r="J40" i="12"/>
  <c r="N23" i="11"/>
  <c r="H23" i="11"/>
  <c r="L23" i="11"/>
  <c r="X23" i="11"/>
  <c r="M23" i="11"/>
  <c r="R23" i="11"/>
  <c r="AD23" i="11"/>
  <c r="O23" i="11"/>
  <c r="S23" i="11"/>
  <c r="AC23" i="11"/>
  <c r="D38" i="11"/>
  <c r="E36" i="11"/>
  <c r="I41" i="12"/>
  <c r="F41" i="12"/>
  <c r="G41" i="12"/>
  <c r="E41" i="12"/>
  <c r="H41" i="12"/>
  <c r="AU4" i="12"/>
  <c r="I33" i="12"/>
  <c r="AT16" i="12"/>
  <c r="AU16" i="12" s="1"/>
  <c r="AT12" i="12"/>
  <c r="AU12" i="12" s="1"/>
  <c r="AT9" i="12"/>
  <c r="AU9" i="12" s="1"/>
  <c r="AT17" i="12"/>
  <c r="AU17" i="12" s="1"/>
  <c r="W41" i="12"/>
  <c r="P34" i="12"/>
  <c r="AQ37" i="12"/>
  <c r="AR37" i="12" s="1"/>
  <c r="AT15" i="12"/>
  <c r="AU15" i="12" s="1"/>
  <c r="AN34" i="12"/>
  <c r="AN42" i="12" s="1"/>
  <c r="AN41" i="12"/>
  <c r="W23" i="12"/>
  <c r="P41" i="12"/>
  <c r="AE33" i="12"/>
  <c r="AE23" i="12"/>
  <c r="AE40" i="12"/>
  <c r="Z33" i="12"/>
  <c r="Z23" i="12"/>
  <c r="Z40" i="12"/>
  <c r="AI40" i="12"/>
  <c r="AI23" i="12"/>
  <c r="AI33" i="12"/>
  <c r="V40" i="12"/>
  <c r="V23" i="12"/>
  <c r="R23" i="12"/>
  <c r="R40" i="12"/>
  <c r="AF33" i="12"/>
  <c r="AF40" i="12"/>
  <c r="AF23" i="12"/>
  <c r="T23" i="12"/>
  <c r="T40" i="12"/>
  <c r="AM40" i="12"/>
  <c r="AM23" i="12"/>
  <c r="O33" i="12"/>
  <c r="O23" i="12"/>
  <c r="O40" i="12"/>
  <c r="X33" i="12"/>
  <c r="X23" i="12"/>
  <c r="X40" i="12"/>
  <c r="AA40" i="12"/>
  <c r="AA23" i="12"/>
  <c r="S33" i="12"/>
  <c r="S23" i="12"/>
  <c r="S40" i="12"/>
  <c r="AD33" i="12"/>
  <c r="AD23" i="12"/>
  <c r="AD40" i="12"/>
  <c r="N23" i="12"/>
  <c r="N40" i="12"/>
  <c r="AL40" i="12"/>
  <c r="AL23" i="12"/>
  <c r="U21" i="12"/>
  <c r="K21" i="12"/>
  <c r="AH23" i="12"/>
  <c r="AL31" i="12"/>
  <c r="AL33" i="12" s="1"/>
  <c r="AT10" i="12"/>
  <c r="AU10" i="12" s="1"/>
  <c r="AG21" i="12"/>
  <c r="J31" i="12"/>
  <c r="D38" i="12"/>
  <c r="J21" i="12"/>
  <c r="AH40" i="12"/>
  <c r="R31" i="12"/>
  <c r="R33" i="12" s="1"/>
  <c r="AT11" i="12"/>
  <c r="AU11" i="12" s="1"/>
  <c r="AC21" i="12"/>
  <c r="M21" i="12"/>
  <c r="AT8" i="12"/>
  <c r="AU8" i="12" s="1"/>
  <c r="W34" i="12"/>
  <c r="W42" i="12" s="1"/>
  <c r="AO21" i="12"/>
  <c r="P40" i="12"/>
  <c r="W40" i="12"/>
  <c r="L21" i="12"/>
  <c r="AK23" i="12"/>
  <c r="AT20" i="12"/>
  <c r="AU20" i="12" s="1"/>
  <c r="Q21" i="12"/>
  <c r="AX3" i="12"/>
  <c r="AA31" i="12"/>
  <c r="AA33" i="12" s="1"/>
  <c r="Y21" i="12"/>
  <c r="AK40" i="12"/>
  <c r="P23" i="12"/>
  <c r="AJ21" i="12"/>
  <c r="AB40" i="12"/>
  <c r="AP20" i="11"/>
  <c r="AG23" i="11"/>
  <c r="U23" i="11"/>
  <c r="AP22" i="11"/>
  <c r="F36" i="11"/>
  <c r="D4" i="11"/>
  <c r="F4" i="11" s="1"/>
  <c r="T23" i="11"/>
  <c r="AB23" i="11"/>
  <c r="AP14" i="11"/>
  <c r="G23" i="11"/>
  <c r="P23" i="11"/>
  <c r="AH23" i="11"/>
  <c r="AP19" i="11"/>
  <c r="AK23" i="11"/>
  <c r="W23" i="11"/>
  <c r="AP18" i="11"/>
  <c r="AF23" i="11"/>
  <c r="K23" i="11"/>
  <c r="V23" i="11"/>
  <c r="I23" i="11"/>
  <c r="F34" i="11"/>
  <c r="Q23" i="11"/>
  <c r="F23" i="11"/>
  <c r="AA23" i="11"/>
  <c r="J23" i="11"/>
  <c r="Z23" i="11"/>
  <c r="AP15" i="11"/>
  <c r="P25" i="10"/>
  <c r="AH25" i="10"/>
  <c r="K25" i="10"/>
  <c r="Q25" i="10"/>
  <c r="AI25" i="10"/>
  <c r="G25" i="10"/>
  <c r="M25" i="10"/>
  <c r="N25" i="10"/>
  <c r="AK4" i="11" l="1"/>
  <c r="AH4" i="11"/>
  <c r="AJ4" i="11"/>
  <c r="AI4" i="11"/>
  <c r="S5" i="11"/>
  <c r="L5" i="11"/>
  <c r="AJ5" i="11"/>
  <c r="AJ8" i="11" s="1"/>
  <c r="AJ25" i="11" s="1"/>
  <c r="AM28" i="12"/>
  <c r="AM27" i="12"/>
  <c r="AM30" i="12"/>
  <c r="AM26" i="12"/>
  <c r="AM29" i="12"/>
  <c r="AM25" i="12"/>
  <c r="AU3" i="12"/>
  <c r="AX6" i="12" s="1"/>
  <c r="AY3" i="12"/>
  <c r="AZ3" i="12" s="1"/>
  <c r="AE4" i="11"/>
  <c r="AF4" i="11"/>
  <c r="AG4" i="11"/>
  <c r="AD4" i="11"/>
  <c r="AA4" i="11"/>
  <c r="AB4" i="11"/>
  <c r="AC4" i="11"/>
  <c r="Z4" i="11"/>
  <c r="Y4" i="11"/>
  <c r="X4" i="11"/>
  <c r="W4" i="11"/>
  <c r="V4" i="11"/>
  <c r="T4" i="11"/>
  <c r="U4" i="11"/>
  <c r="S4" i="11"/>
  <c r="S8" i="11" s="1"/>
  <c r="S25" i="11" s="1"/>
  <c r="R4" i="11"/>
  <c r="Q4" i="11"/>
  <c r="P4" i="11"/>
  <c r="O4" i="11"/>
  <c r="N4" i="11"/>
  <c r="M4" i="11"/>
  <c r="L4" i="11"/>
  <c r="K4" i="11"/>
  <c r="J4" i="11"/>
  <c r="I4" i="11"/>
  <c r="H4" i="11"/>
  <c r="G4" i="11"/>
  <c r="G38" i="12"/>
  <c r="E38" i="12"/>
  <c r="F38" i="12"/>
  <c r="H38" i="12"/>
  <c r="AZ4" i="12"/>
  <c r="BA4" i="12" s="1"/>
  <c r="N30" i="12"/>
  <c r="N26" i="12"/>
  <c r="N29" i="12"/>
  <c r="N25" i="12"/>
  <c r="N28" i="12"/>
  <c r="N27" i="12"/>
  <c r="P42" i="12"/>
  <c r="AN35" i="12"/>
  <c r="W35" i="12"/>
  <c r="P35" i="12"/>
  <c r="AU5" i="12"/>
  <c r="I38" i="12"/>
  <c r="AO38" i="12" s="1"/>
  <c r="K23" i="12"/>
  <c r="J41" i="12"/>
  <c r="AL34" i="12"/>
  <c r="AL42" i="12" s="1"/>
  <c r="AL41" i="12"/>
  <c r="R34" i="12"/>
  <c r="R42" i="12" s="1"/>
  <c r="R41" i="12"/>
  <c r="AF34" i="12"/>
  <c r="AF42" i="12" s="1"/>
  <c r="AF41" i="12"/>
  <c r="Z34" i="12"/>
  <c r="Z42" i="12" s="1"/>
  <c r="Z41" i="12"/>
  <c r="AJ40" i="12"/>
  <c r="AJ23" i="12"/>
  <c r="Q33" i="12"/>
  <c r="Q23" i="12"/>
  <c r="Q40" i="12"/>
  <c r="AA34" i="12"/>
  <c r="AA42" i="12" s="1"/>
  <c r="AA41" i="12"/>
  <c r="J33" i="12"/>
  <c r="AG33" i="12"/>
  <c r="AG40" i="12"/>
  <c r="AG23" i="12"/>
  <c r="U33" i="12"/>
  <c r="U40" i="12"/>
  <c r="U23" i="12"/>
  <c r="S34" i="12"/>
  <c r="S42" i="12" s="1"/>
  <c r="S41" i="12"/>
  <c r="AO40" i="12"/>
  <c r="AO23" i="12"/>
  <c r="AC40" i="12"/>
  <c r="AC23" i="12"/>
  <c r="X41" i="12"/>
  <c r="X34" i="12"/>
  <c r="X42" i="12" s="1"/>
  <c r="L40" i="12"/>
  <c r="L23" i="12"/>
  <c r="AB31" i="12"/>
  <c r="AB33" i="12" s="1"/>
  <c r="Y33" i="12"/>
  <c r="Y40" i="12"/>
  <c r="Y23" i="12"/>
  <c r="AX1" i="12"/>
  <c r="AZ1" i="12" s="1"/>
  <c r="M40" i="12"/>
  <c r="M23" i="12"/>
  <c r="J37" i="12"/>
  <c r="D42" i="12"/>
  <c r="J38" i="12"/>
  <c r="K40" i="12"/>
  <c r="AD41" i="12"/>
  <c r="AD34" i="12"/>
  <c r="AD42" i="12" s="1"/>
  <c r="O34" i="12"/>
  <c r="O42" i="12" s="1"/>
  <c r="O41" i="12"/>
  <c r="AI41" i="12"/>
  <c r="AI34" i="12"/>
  <c r="AI42" i="12" s="1"/>
  <c r="AE34" i="12"/>
  <c r="AE42" i="12" s="1"/>
  <c r="AE41" i="12"/>
  <c r="AP23" i="11"/>
  <c r="AQ19" i="11" s="1"/>
  <c r="L8" i="11" l="1"/>
  <c r="L25" i="11" s="1"/>
  <c r="L33" i="11" s="1"/>
  <c r="T5" i="11"/>
  <c r="T8" i="11" s="1"/>
  <c r="T25" i="11" s="1"/>
  <c r="T31" i="11" s="1"/>
  <c r="AE5" i="11"/>
  <c r="AE8" i="11" s="1"/>
  <c r="AE25" i="11" s="1"/>
  <c r="Z5" i="11"/>
  <c r="Z8" i="11" s="1"/>
  <c r="Z25" i="11" s="1"/>
  <c r="Z28" i="11" s="1"/>
  <c r="O5" i="11"/>
  <c r="O8" i="11" s="1"/>
  <c r="O25" i="11" s="1"/>
  <c r="O29" i="11" s="1"/>
  <c r="V5" i="11"/>
  <c r="V8" i="11" s="1"/>
  <c r="V25" i="11" s="1"/>
  <c r="N5" i="11"/>
  <c r="N8" i="11" s="1"/>
  <c r="N25" i="11" s="1"/>
  <c r="N33" i="11" s="1"/>
  <c r="AA5" i="11"/>
  <c r="AA8" i="11" s="1"/>
  <c r="AA25" i="11" s="1"/>
  <c r="AA30" i="11" s="1"/>
  <c r="K5" i="11"/>
  <c r="K8" i="11" s="1"/>
  <c r="K25" i="11" s="1"/>
  <c r="K33" i="11" s="1"/>
  <c r="W5" i="11"/>
  <c r="AB5" i="11"/>
  <c r="AB8" i="11" s="1"/>
  <c r="AB25" i="11" s="1"/>
  <c r="AB29" i="11" s="1"/>
  <c r="AH5" i="11"/>
  <c r="AH8" i="11" s="1"/>
  <c r="AH25" i="11" s="1"/>
  <c r="AJ29" i="11"/>
  <c r="AJ28" i="11"/>
  <c r="AJ30" i="11"/>
  <c r="AJ31" i="11"/>
  <c r="AJ33" i="11"/>
  <c r="AM31" i="12"/>
  <c r="AM33" i="12" s="1"/>
  <c r="AM38" i="12"/>
  <c r="AN38" i="12"/>
  <c r="AL38" i="12"/>
  <c r="W8" i="11"/>
  <c r="W25" i="11" s="1"/>
  <c r="W29" i="11" s="1"/>
  <c r="AJ38" i="12"/>
  <c r="AI38" i="12"/>
  <c r="AK38" i="12"/>
  <c r="AH38" i="12"/>
  <c r="AA29" i="11"/>
  <c r="AA33" i="11"/>
  <c r="AA31" i="11"/>
  <c r="AG38" i="12"/>
  <c r="AF38" i="12"/>
  <c r="AE38" i="12"/>
  <c r="AD38" i="12"/>
  <c r="I42" i="12"/>
  <c r="J42" i="12" s="1"/>
  <c r="F42" i="12"/>
  <c r="H42" i="12"/>
  <c r="E42" i="12"/>
  <c r="G42" i="12"/>
  <c r="AE35" i="12"/>
  <c r="AC27" i="12"/>
  <c r="AT27" i="12" s="1"/>
  <c r="AU27" i="12" s="1"/>
  <c r="AC30" i="12"/>
  <c r="AC26" i="12"/>
  <c r="AC29" i="12"/>
  <c r="AC25" i="12"/>
  <c r="AC28" i="12"/>
  <c r="AC38" i="12"/>
  <c r="AB38" i="12"/>
  <c r="AY1" i="12"/>
  <c r="S29" i="11"/>
  <c r="S33" i="11"/>
  <c r="S30" i="11"/>
  <c r="S28" i="11"/>
  <c r="S31" i="11"/>
  <c r="S32" i="11"/>
  <c r="AA38" i="12"/>
  <c r="Z38" i="12"/>
  <c r="X38" i="12"/>
  <c r="Y38" i="12"/>
  <c r="W38" i="12"/>
  <c r="V38" i="12"/>
  <c r="U38" i="12"/>
  <c r="K31" i="12"/>
  <c r="K33" i="12" s="1"/>
  <c r="T31" i="12"/>
  <c r="T33" i="12" s="1"/>
  <c r="T38" i="12"/>
  <c r="S38" i="12"/>
  <c r="R38" i="12"/>
  <c r="BA3" i="12"/>
  <c r="L29" i="11"/>
  <c r="L30" i="11"/>
  <c r="L28" i="11"/>
  <c r="P38" i="12"/>
  <c r="O38" i="12"/>
  <c r="N38" i="12"/>
  <c r="M38" i="12"/>
  <c r="L38" i="12"/>
  <c r="AF35" i="12"/>
  <c r="X35" i="12"/>
  <c r="AD35" i="12"/>
  <c r="AL35" i="12"/>
  <c r="O35" i="12"/>
  <c r="R35" i="12"/>
  <c r="AI35" i="12"/>
  <c r="Z35" i="12"/>
  <c r="S35" i="12"/>
  <c r="AA35" i="12"/>
  <c r="AQ23" i="12"/>
  <c r="AQ40" i="12"/>
  <c r="K38" i="12"/>
  <c r="AQ18" i="11"/>
  <c r="AQ15" i="11"/>
  <c r="AQ22" i="11"/>
  <c r="N31" i="12"/>
  <c r="N33" i="12" s="1"/>
  <c r="N41" i="12" s="1"/>
  <c r="AG41" i="12"/>
  <c r="AG34" i="12"/>
  <c r="AG42" i="12" s="1"/>
  <c r="AB34" i="12"/>
  <c r="AB42" i="12" s="1"/>
  <c r="AB41" i="12"/>
  <c r="Y34" i="12"/>
  <c r="Y42" i="12" s="1"/>
  <c r="Y41" i="12"/>
  <c r="AK31" i="12"/>
  <c r="AK33" i="12" s="1"/>
  <c r="Q34" i="12"/>
  <c r="Q42" i="12" s="1"/>
  <c r="Q41" i="12"/>
  <c r="M5" i="11" s="1"/>
  <c r="M8" i="11" s="1"/>
  <c r="M25" i="11" s="1"/>
  <c r="M29" i="11" s="1"/>
  <c r="U34" i="12"/>
  <c r="U42" i="12" s="1"/>
  <c r="U41" i="12"/>
  <c r="V31" i="12"/>
  <c r="V33" i="12" s="1"/>
  <c r="AH31" i="12"/>
  <c r="AH33" i="12" s="1"/>
  <c r="AQ20" i="11"/>
  <c r="AQ14" i="11"/>
  <c r="AP4" i="11"/>
  <c r="AQ21" i="11"/>
  <c r="AQ17" i="11"/>
  <c r="AQ16" i="11"/>
  <c r="L31" i="11" l="1"/>
  <c r="L32" i="11"/>
  <c r="T32" i="11"/>
  <c r="AA32" i="11"/>
  <c r="AE29" i="11"/>
  <c r="AE33" i="11"/>
  <c r="AE30" i="11"/>
  <c r="T30" i="11"/>
  <c r="T29" i="11"/>
  <c r="V33" i="11"/>
  <c r="V29" i="11"/>
  <c r="V30" i="11"/>
  <c r="V31" i="11"/>
  <c r="AC5" i="11"/>
  <c r="AC8" i="11" s="1"/>
  <c r="AC25" i="11" s="1"/>
  <c r="AC29" i="11" s="1"/>
  <c r="X5" i="11"/>
  <c r="X8" i="11" s="1"/>
  <c r="X25" i="11" s="1"/>
  <c r="X33" i="11" s="1"/>
  <c r="J5" i="11"/>
  <c r="J8" i="11" s="1"/>
  <c r="J25" i="11" s="1"/>
  <c r="J33" i="11" s="1"/>
  <c r="Q5" i="11"/>
  <c r="Q8" i="11" s="1"/>
  <c r="Q25" i="11" s="1"/>
  <c r="Q28" i="11" s="1"/>
  <c r="T33" i="11"/>
  <c r="AA28" i="11"/>
  <c r="U5" i="11"/>
  <c r="U8" i="11" s="1"/>
  <c r="U25" i="11" s="1"/>
  <c r="U29" i="11" s="1"/>
  <c r="T28" i="11"/>
  <c r="AH31" i="11"/>
  <c r="AH28" i="11"/>
  <c r="AH32" i="11"/>
  <c r="AH29" i="11"/>
  <c r="AH33" i="11"/>
  <c r="AH30" i="11"/>
  <c r="V28" i="11"/>
  <c r="AM41" i="12"/>
  <c r="AM34" i="12"/>
  <c r="V32" i="11"/>
  <c r="AE28" i="11"/>
  <c r="AE32" i="11"/>
  <c r="W28" i="11"/>
  <c r="AB28" i="11"/>
  <c r="O31" i="11"/>
  <c r="AB31" i="11"/>
  <c r="W33" i="11"/>
  <c r="W30" i="11"/>
  <c r="W32" i="11"/>
  <c r="W31" i="11"/>
  <c r="AE31" i="11"/>
  <c r="AB30" i="11"/>
  <c r="AB32" i="11"/>
  <c r="O30" i="11"/>
  <c r="AB33" i="11"/>
  <c r="K30" i="11"/>
  <c r="O28" i="11"/>
  <c r="O33" i="11"/>
  <c r="K28" i="11"/>
  <c r="K32" i="11"/>
  <c r="Z30" i="11"/>
  <c r="K29" i="11"/>
  <c r="K31" i="11"/>
  <c r="O32" i="11"/>
  <c r="N29" i="11"/>
  <c r="Z31" i="11"/>
  <c r="Z33" i="11"/>
  <c r="N32" i="11"/>
  <c r="N30" i="11"/>
  <c r="Z29" i="11"/>
  <c r="N28" i="11"/>
  <c r="N31" i="11"/>
  <c r="Z32" i="11"/>
  <c r="AC28" i="11"/>
  <c r="K41" i="12"/>
  <c r="AC31" i="12"/>
  <c r="AC33" i="12" s="1"/>
  <c r="M28" i="11"/>
  <c r="M30" i="11"/>
  <c r="M32" i="11"/>
  <c r="M33" i="11"/>
  <c r="M31" i="11"/>
  <c r="S34" i="11"/>
  <c r="S36" i="11" s="1"/>
  <c r="S38" i="11" s="1"/>
  <c r="K34" i="12"/>
  <c r="M31" i="12"/>
  <c r="M33" i="12" s="1"/>
  <c r="T41" i="12"/>
  <c r="T34" i="12"/>
  <c r="J32" i="11"/>
  <c r="AB35" i="12"/>
  <c r="Q35" i="12"/>
  <c r="AG35" i="12"/>
  <c r="U35" i="12"/>
  <c r="AQ38" i="12"/>
  <c r="AR38" i="12" s="1"/>
  <c r="Y35" i="12"/>
  <c r="N34" i="12"/>
  <c r="N42" i="12" s="1"/>
  <c r="AT26" i="12"/>
  <c r="AU26" i="12" s="1"/>
  <c r="AT19" i="12"/>
  <c r="AU19" i="12" s="1"/>
  <c r="AJ31" i="12"/>
  <c r="AJ33" i="12" s="1"/>
  <c r="AT18" i="12"/>
  <c r="AU18" i="12" s="1"/>
  <c r="AT30" i="12"/>
  <c r="AU30" i="12" s="1"/>
  <c r="AK41" i="12"/>
  <c r="AK34" i="12"/>
  <c r="AK42" i="12" s="1"/>
  <c r="AH41" i="12"/>
  <c r="AH34" i="12"/>
  <c r="AH42" i="12" s="1"/>
  <c r="V34" i="12"/>
  <c r="V42" i="12" s="1"/>
  <c r="V41" i="12"/>
  <c r="AO31" i="12"/>
  <c r="AO33" i="12" s="1"/>
  <c r="AT29" i="12"/>
  <c r="AU29" i="12" s="1"/>
  <c r="AT28" i="12"/>
  <c r="AU28" i="12" s="1"/>
  <c r="L31" i="12"/>
  <c r="L33" i="12" s="1"/>
  <c r="L34" i="12" s="1"/>
  <c r="L42" i="12" s="1"/>
  <c r="AT25" i="12"/>
  <c r="AQ23" i="11"/>
  <c r="L34" i="11"/>
  <c r="L36" i="11" s="1"/>
  <c r="L38" i="11" s="1"/>
  <c r="AA34" i="11" l="1"/>
  <c r="AA36" i="11" s="1"/>
  <c r="AA38" i="11" s="1"/>
  <c r="J29" i="11"/>
  <c r="U33" i="11"/>
  <c r="AC30" i="11"/>
  <c r="K35" i="12"/>
  <c r="X31" i="11"/>
  <c r="X28" i="11"/>
  <c r="X29" i="11"/>
  <c r="U31" i="11"/>
  <c r="J31" i="11"/>
  <c r="J30" i="11"/>
  <c r="U32" i="11"/>
  <c r="AH34" i="11"/>
  <c r="AH36" i="11" s="1"/>
  <c r="AH38" i="11" s="1"/>
  <c r="T34" i="11"/>
  <c r="T36" i="11" s="1"/>
  <c r="T38" i="11" s="1"/>
  <c r="K42" i="12"/>
  <c r="J28" i="11"/>
  <c r="U28" i="11"/>
  <c r="Q30" i="11"/>
  <c r="R5" i="11"/>
  <c r="R8" i="11" s="1"/>
  <c r="R25" i="11" s="1"/>
  <c r="R33" i="11" s="1"/>
  <c r="AG5" i="11"/>
  <c r="AG8" i="11" s="1"/>
  <c r="AG25" i="11" s="1"/>
  <c r="AG30" i="11" s="1"/>
  <c r="P5" i="11"/>
  <c r="P8" i="11" s="1"/>
  <c r="P25" i="11" s="1"/>
  <c r="P28" i="11" s="1"/>
  <c r="Q32" i="11"/>
  <c r="Q33" i="11"/>
  <c r="G5" i="11"/>
  <c r="G8" i="11" s="1"/>
  <c r="G25" i="11" s="1"/>
  <c r="G30" i="11" s="1"/>
  <c r="Q31" i="11"/>
  <c r="Q29" i="11"/>
  <c r="X30" i="11"/>
  <c r="AC32" i="11"/>
  <c r="AC33" i="11"/>
  <c r="AD5" i="11"/>
  <c r="AD8" i="11" s="1"/>
  <c r="AD25" i="11" s="1"/>
  <c r="AD28" i="11" s="1"/>
  <c r="U30" i="11"/>
  <c r="X32" i="11"/>
  <c r="AC31" i="11"/>
  <c r="AI5" i="11"/>
  <c r="AI8" i="11" s="1"/>
  <c r="AI25" i="11" s="1"/>
  <c r="V34" i="11"/>
  <c r="V36" i="11" s="1"/>
  <c r="V38" i="11" s="1"/>
  <c r="AE34" i="11"/>
  <c r="AE36" i="11" s="1"/>
  <c r="AE38" i="11" s="1"/>
  <c r="AM42" i="12"/>
  <c r="AM35" i="12"/>
  <c r="W34" i="11"/>
  <c r="W36" i="11" s="1"/>
  <c r="W38" i="11" s="1"/>
  <c r="AG29" i="11"/>
  <c r="AB34" i="11"/>
  <c r="AB36" i="11" s="1"/>
  <c r="AB38" i="11" s="1"/>
  <c r="O34" i="11"/>
  <c r="O36" i="11" s="1"/>
  <c r="O38" i="11" s="1"/>
  <c r="K34" i="11"/>
  <c r="K36" i="11" s="1"/>
  <c r="K38" i="11" s="1"/>
  <c r="N34" i="11"/>
  <c r="N36" i="11" s="1"/>
  <c r="N38" i="11" s="1"/>
  <c r="Z34" i="11"/>
  <c r="Z36" i="11" s="1"/>
  <c r="Z38" i="11" s="1"/>
  <c r="AC34" i="12"/>
  <c r="AC42" i="12" s="1"/>
  <c r="AC41" i="12"/>
  <c r="M34" i="11"/>
  <c r="M36" i="11" s="1"/>
  <c r="M38" i="11" s="1"/>
  <c r="T42" i="12"/>
  <c r="T35" i="12"/>
  <c r="M41" i="12"/>
  <c r="M34" i="12"/>
  <c r="M42" i="12" s="1"/>
  <c r="P30" i="11"/>
  <c r="R29" i="11"/>
  <c r="AU25" i="12"/>
  <c r="AT31" i="12"/>
  <c r="AR31" i="12" s="1"/>
  <c r="V35" i="12"/>
  <c r="N35" i="12"/>
  <c r="AK35" i="12"/>
  <c r="AH35" i="12"/>
  <c r="AT21" i="12"/>
  <c r="AO34" i="12"/>
  <c r="AO41" i="12"/>
  <c r="AK5" i="11" s="1"/>
  <c r="AK8" i="11" s="1"/>
  <c r="AK25" i="11" s="1"/>
  <c r="L41" i="12"/>
  <c r="AJ41" i="12"/>
  <c r="AJ34" i="12"/>
  <c r="AJ42" i="12" s="1"/>
  <c r="J34" i="11" l="1"/>
  <c r="J36" i="11" s="1"/>
  <c r="J38" i="11" s="1"/>
  <c r="X34" i="11"/>
  <c r="X36" i="11" s="1"/>
  <c r="X38" i="11" s="1"/>
  <c r="AK30" i="11"/>
  <c r="AK28" i="11"/>
  <c r="AK31" i="11"/>
  <c r="AK32" i="11"/>
  <c r="AK29" i="11"/>
  <c r="AK33" i="11"/>
  <c r="R31" i="11"/>
  <c r="U34" i="11"/>
  <c r="U36" i="11" s="1"/>
  <c r="U38" i="11" s="1"/>
  <c r="AQ34" i="12"/>
  <c r="R28" i="11"/>
  <c r="AG28" i="11"/>
  <c r="AG32" i="11"/>
  <c r="AC34" i="11"/>
  <c r="AC36" i="11" s="1"/>
  <c r="AC38" i="11" s="1"/>
  <c r="Q34" i="11"/>
  <c r="Q36" i="11" s="1"/>
  <c r="Q38" i="11" s="1"/>
  <c r="AD30" i="11"/>
  <c r="AG31" i="11"/>
  <c r="I5" i="11"/>
  <c r="I8" i="11" s="1"/>
  <c r="I25" i="11" s="1"/>
  <c r="I29" i="11" s="1"/>
  <c r="P32" i="11"/>
  <c r="P33" i="11"/>
  <c r="G31" i="11"/>
  <c r="G32" i="11"/>
  <c r="AD32" i="11"/>
  <c r="AD33" i="11"/>
  <c r="R30" i="11"/>
  <c r="P31" i="11"/>
  <c r="P29" i="11"/>
  <c r="G29" i="11"/>
  <c r="G33" i="11"/>
  <c r="AD31" i="11"/>
  <c r="AD29" i="11"/>
  <c r="AF5" i="11"/>
  <c r="AF8" i="11" s="1"/>
  <c r="AF25" i="11" s="1"/>
  <c r="AF33" i="11" s="1"/>
  <c r="R32" i="11"/>
  <c r="G28" i="11"/>
  <c r="Y5" i="11"/>
  <c r="Y8" i="11" s="1"/>
  <c r="Y25" i="11" s="1"/>
  <c r="Y29" i="11" s="1"/>
  <c r="AG33" i="11"/>
  <c r="AI32" i="11"/>
  <c r="AI29" i="11"/>
  <c r="AI33" i="11"/>
  <c r="AI30" i="11"/>
  <c r="AI31" i="11"/>
  <c r="AI28" i="11"/>
  <c r="AT33" i="12"/>
  <c r="AF29" i="11"/>
  <c r="AC35" i="12"/>
  <c r="H5" i="11"/>
  <c r="AQ41" i="12"/>
  <c r="I4" i="12" s="1"/>
  <c r="I33" i="11"/>
  <c r="I31" i="11"/>
  <c r="M35" i="12"/>
  <c r="AU31" i="12"/>
  <c r="AX25" i="12" s="1"/>
  <c r="AU21" i="12"/>
  <c r="L35" i="12"/>
  <c r="AJ35" i="12"/>
  <c r="AO42" i="12"/>
  <c r="AQ42" i="12" s="1"/>
  <c r="AO35" i="12"/>
  <c r="Y28" i="11" l="1"/>
  <c r="Y33" i="11"/>
  <c r="I28" i="11"/>
  <c r="I30" i="11"/>
  <c r="P34" i="11"/>
  <c r="P36" i="11" s="1"/>
  <c r="P38" i="11" s="1"/>
  <c r="AF31" i="11"/>
  <c r="I32" i="11"/>
  <c r="AG34" i="11"/>
  <c r="AG36" i="11" s="1"/>
  <c r="AG38" i="11" s="1"/>
  <c r="AK34" i="11"/>
  <c r="AK36" i="11" s="1"/>
  <c r="AK38" i="11" s="1"/>
  <c r="G34" i="11"/>
  <c r="G36" i="11" s="1"/>
  <c r="G38" i="11" s="1"/>
  <c r="G40" i="11" s="1"/>
  <c r="AP5" i="11"/>
  <c r="AP8" i="11" s="1"/>
  <c r="Y32" i="11"/>
  <c r="AF30" i="11"/>
  <c r="AD34" i="11"/>
  <c r="AD36" i="11" s="1"/>
  <c r="AD38" i="11" s="1"/>
  <c r="R34" i="11"/>
  <c r="R36" i="11" s="1"/>
  <c r="R38" i="11" s="1"/>
  <c r="Y30" i="11"/>
  <c r="AF32" i="11"/>
  <c r="AJ32" i="11" s="1"/>
  <c r="AJ34" i="11" s="1"/>
  <c r="AJ36" i="11" s="1"/>
  <c r="AJ38" i="11" s="1"/>
  <c r="AI34" i="11"/>
  <c r="AI36" i="11" s="1"/>
  <c r="AI38" i="11" s="1"/>
  <c r="Y31" i="11"/>
  <c r="AF28" i="11"/>
  <c r="H8" i="11"/>
  <c r="H25" i="11" s="1"/>
  <c r="H29" i="11" s="1"/>
  <c r="AP29" i="11" s="1"/>
  <c r="D5" i="11"/>
  <c r="AP44" i="11" s="1"/>
  <c r="AQ35" i="12"/>
  <c r="AU33" i="12"/>
  <c r="AR41" i="12"/>
  <c r="I34" i="11" l="1"/>
  <c r="I36" i="11" s="1"/>
  <c r="I38" i="11" s="1"/>
  <c r="Y34" i="11"/>
  <c r="Y36" i="11" s="1"/>
  <c r="Y38" i="11" s="1"/>
  <c r="AF34" i="11"/>
  <c r="AF36" i="11" s="1"/>
  <c r="AF38" i="11" s="1"/>
  <c r="AX33" i="12"/>
  <c r="AY33" i="12" s="1"/>
  <c r="H28" i="11"/>
  <c r="AP43" i="11"/>
  <c r="H30" i="11"/>
  <c r="AP30" i="11" s="1"/>
  <c r="H31" i="11"/>
  <c r="AP31" i="11" s="1"/>
  <c r="H33" i="11"/>
  <c r="AP33" i="11" s="1"/>
  <c r="H32" i="11"/>
  <c r="AP32" i="11" s="1"/>
  <c r="AP45" i="11"/>
  <c r="AP46" i="11"/>
  <c r="AP52" i="11"/>
  <c r="AP50" i="11"/>
  <c r="AP51" i="11"/>
  <c r="AR35" i="12"/>
  <c r="AP28" i="11"/>
  <c r="E12" i="10"/>
  <c r="AJ12" i="10" l="1"/>
  <c r="AI12" i="10"/>
  <c r="AH12" i="10"/>
  <c r="AE12" i="10"/>
  <c r="AD12" i="10"/>
  <c r="AG12" i="10"/>
  <c r="AF12" i="10"/>
  <c r="AP34" i="11"/>
  <c r="AQ33" i="11" s="1"/>
  <c r="AP47" i="11"/>
  <c r="H34" i="11"/>
  <c r="H36" i="11" s="1"/>
  <c r="H38" i="11" s="1"/>
  <c r="AP38" i="11" s="1"/>
  <c r="AP53" i="11"/>
  <c r="AQ28" i="11" l="1"/>
  <c r="H40" i="11"/>
  <c r="I40" i="11" s="1"/>
  <c r="J40" i="11" s="1"/>
  <c r="K40" i="11" s="1"/>
  <c r="L40" i="11" s="1"/>
  <c r="M40" i="11" s="1"/>
  <c r="N40" i="11" s="1"/>
  <c r="O40" i="11" s="1"/>
  <c r="P40" i="11" s="1"/>
  <c r="Q40" i="11" s="1"/>
  <c r="R40" i="11" s="1"/>
  <c r="S40" i="11" s="1"/>
  <c r="T40" i="11" s="1"/>
  <c r="AQ30" i="11"/>
  <c r="AQ29" i="11"/>
  <c r="AQ32" i="11"/>
  <c r="AQ31" i="11"/>
  <c r="AP36" i="11"/>
  <c r="AP55" i="11"/>
  <c r="AL29" i="10"/>
  <c r="E35" i="10"/>
  <c r="E28" i="10"/>
  <c r="E26" i="10"/>
  <c r="E22" i="10"/>
  <c r="E27" i="10"/>
  <c r="E16" i="10"/>
  <c r="AJ16" i="10" s="1"/>
  <c r="E24" i="10"/>
  <c r="E15" i="10"/>
  <c r="AJ15" i="10" s="1"/>
  <c r="E23" i="10"/>
  <c r="E14" i="10"/>
  <c r="AJ14" i="10" s="1"/>
  <c r="E13" i="10"/>
  <c r="AJ13" i="10" s="1"/>
  <c r="E21" i="10"/>
  <c r="E11" i="10"/>
  <c r="AJ11" i="10" s="1"/>
  <c r="E10" i="10"/>
  <c r="AJ10" i="10" s="1"/>
  <c r="E9" i="10"/>
  <c r="AJ9" i="10" s="1"/>
  <c r="E8" i="10"/>
  <c r="AJ8" i="10" l="1"/>
  <c r="AI8" i="10"/>
  <c r="AH8" i="10"/>
  <c r="AG8" i="10"/>
  <c r="AF8" i="10"/>
  <c r="AE8" i="10"/>
  <c r="AD8" i="10"/>
  <c r="AI21" i="10"/>
  <c r="AH21" i="10"/>
  <c r="G21" i="10"/>
  <c r="AG35" i="10"/>
  <c r="AJ35" i="10"/>
  <c r="AI35" i="10"/>
  <c r="AH35" i="10"/>
  <c r="AE35" i="10"/>
  <c r="AF35" i="10"/>
  <c r="AD35" i="10"/>
  <c r="U40" i="11"/>
  <c r="V40" i="11" s="1"/>
  <c r="W40" i="11" s="1"/>
  <c r="X40" i="11" s="1"/>
  <c r="Y40" i="11" s="1"/>
  <c r="Z40" i="11" s="1"/>
  <c r="AA40" i="11" s="1"/>
  <c r="AB40" i="11" s="1"/>
  <c r="AC40" i="11" s="1"/>
  <c r="AD40" i="11" s="1"/>
  <c r="AE40" i="11" s="1"/>
  <c r="AF40" i="11" s="1"/>
  <c r="AG40" i="11" s="1"/>
  <c r="AH40" i="11" s="1"/>
  <c r="AI40" i="11" s="1"/>
  <c r="AJ40" i="11" s="1"/>
  <c r="AK40" i="11" s="1"/>
  <c r="AQ34" i="11"/>
  <c r="AI9" i="10"/>
  <c r="AH9" i="10"/>
  <c r="AG9" i="10"/>
  <c r="AF9" i="10"/>
  <c r="AE9" i="10"/>
  <c r="AD9" i="10"/>
  <c r="AI13" i="10"/>
  <c r="AH13" i="10"/>
  <c r="AG13" i="10"/>
  <c r="AF13" i="10"/>
  <c r="AE13" i="10"/>
  <c r="AD13" i="10"/>
  <c r="J10" i="10"/>
  <c r="AI10" i="10"/>
  <c r="AH10" i="10"/>
  <c r="AG10" i="10"/>
  <c r="AE10" i="10"/>
  <c r="AF10" i="10"/>
  <c r="AD10" i="10"/>
  <c r="AI14" i="10"/>
  <c r="AH14" i="10"/>
  <c r="AG14" i="10"/>
  <c r="AF14" i="10"/>
  <c r="AE14" i="10"/>
  <c r="AD14" i="10"/>
  <c r="AI16" i="10"/>
  <c r="AH16" i="10"/>
  <c r="AG16" i="10"/>
  <c r="AF16" i="10"/>
  <c r="AE16" i="10"/>
  <c r="AD16" i="10"/>
  <c r="AI11" i="10"/>
  <c r="AH11" i="10"/>
  <c r="AG11" i="10"/>
  <c r="AF11" i="10"/>
  <c r="AE11" i="10"/>
  <c r="AD11" i="10"/>
  <c r="AI15" i="10"/>
  <c r="AH15" i="10"/>
  <c r="AG15" i="10"/>
  <c r="AE15" i="10"/>
  <c r="AF15" i="10"/>
  <c r="AD15" i="10"/>
  <c r="AI23" i="10"/>
  <c r="AH23" i="10"/>
  <c r="G23" i="10"/>
  <c r="AI26" i="10"/>
  <c r="AH26" i="10"/>
  <c r="G26" i="10"/>
  <c r="AI28" i="10"/>
  <c r="AH28" i="10"/>
  <c r="G28" i="10"/>
  <c r="K27" i="10"/>
  <c r="AI27" i="10"/>
  <c r="AH27" i="10"/>
  <c r="G27" i="10"/>
  <c r="AI22" i="10"/>
  <c r="AH22" i="10"/>
  <c r="G22" i="10"/>
  <c r="AI24" i="10"/>
  <c r="AH24" i="10"/>
  <c r="G24" i="10"/>
  <c r="P26" i="10"/>
  <c r="K26" i="10"/>
  <c r="Q26" i="10"/>
  <c r="M26" i="10"/>
  <c r="W26" i="10"/>
  <c r="N26" i="10"/>
  <c r="AC11" i="10"/>
  <c r="AB11" i="10"/>
  <c r="AC14" i="10"/>
  <c r="AB14" i="10"/>
  <c r="AB16" i="10"/>
  <c r="AC16" i="10"/>
  <c r="AB8" i="10"/>
  <c r="AC8" i="10"/>
  <c r="AB12" i="10"/>
  <c r="AC35" i="10"/>
  <c r="AB35" i="10"/>
  <c r="AB9" i="10"/>
  <c r="AC9" i="10"/>
  <c r="AC15" i="10"/>
  <c r="AB15" i="10"/>
  <c r="AC10" i="10"/>
  <c r="AB10" i="10"/>
  <c r="AB13" i="10"/>
  <c r="AC13" i="10"/>
  <c r="W28" i="10"/>
  <c r="Q28" i="10"/>
  <c r="P28" i="10"/>
  <c r="AA12" i="10"/>
  <c r="Z12" i="10"/>
  <c r="Y12" i="10"/>
  <c r="X12" i="10"/>
  <c r="W12" i="10"/>
  <c r="V12" i="10"/>
  <c r="U12" i="10"/>
  <c r="O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J14" i="10"/>
  <c r="O8" i="10"/>
  <c r="AA8" i="10"/>
  <c r="Z8" i="10"/>
  <c r="Y8" i="10"/>
  <c r="X8" i="10"/>
  <c r="W8" i="10"/>
  <c r="V8" i="10"/>
  <c r="U8" i="10"/>
  <c r="T8" i="10"/>
  <c r="S8" i="10"/>
  <c r="R8" i="10"/>
  <c r="Q8" i="10"/>
  <c r="P8" i="10"/>
  <c r="W27" i="10"/>
  <c r="Q27" i="10"/>
  <c r="P27" i="10"/>
  <c r="O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AA9" i="10"/>
  <c r="Z9" i="10"/>
  <c r="Y9" i="10"/>
  <c r="X9" i="10"/>
  <c r="W9" i="10"/>
  <c r="V9" i="10"/>
  <c r="U9" i="10"/>
  <c r="W23" i="10"/>
  <c r="Q23" i="10"/>
  <c r="P23" i="10"/>
  <c r="O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W24" i="10"/>
  <c r="Q24" i="10"/>
  <c r="P24" i="10"/>
  <c r="O13" i="10"/>
  <c r="AA13" i="10"/>
  <c r="Z13" i="10"/>
  <c r="Y13" i="10"/>
  <c r="X13" i="10"/>
  <c r="V13" i="10"/>
  <c r="W13" i="10"/>
  <c r="U13" i="10"/>
  <c r="T13" i="10"/>
  <c r="S13" i="10"/>
  <c r="R13" i="10"/>
  <c r="Q13" i="10"/>
  <c r="P13" i="10"/>
  <c r="O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W21" i="10"/>
  <c r="W22" i="10"/>
  <c r="T12" i="10"/>
  <c r="S12" i="10"/>
  <c r="R12" i="10"/>
  <c r="Q12" i="10"/>
  <c r="P12" i="10"/>
  <c r="O9" i="10"/>
  <c r="T9" i="10"/>
  <c r="S9" i="10"/>
  <c r="R9" i="10"/>
  <c r="Q9" i="10"/>
  <c r="P9" i="10"/>
  <c r="Q21" i="10"/>
  <c r="P21" i="10"/>
  <c r="Q22" i="10"/>
  <c r="P22" i="10"/>
  <c r="J8" i="10"/>
  <c r="N21" i="10"/>
  <c r="N12" i="10"/>
  <c r="O12" i="10"/>
  <c r="N9" i="10"/>
  <c r="M9" i="10"/>
  <c r="L9" i="10"/>
  <c r="K9" i="10"/>
  <c r="N15" i="10"/>
  <c r="M15" i="10"/>
  <c r="N23" i="10"/>
  <c r="M23" i="10"/>
  <c r="K23" i="10"/>
  <c r="J9" i="10"/>
  <c r="N10" i="10"/>
  <c r="M10" i="10"/>
  <c r="L10" i="10"/>
  <c r="K10" i="10"/>
  <c r="N13" i="10"/>
  <c r="M13" i="10"/>
  <c r="L13" i="10"/>
  <c r="K13" i="10"/>
  <c r="N24" i="10"/>
  <c r="M24" i="10"/>
  <c r="K24" i="10"/>
  <c r="J13" i="10"/>
  <c r="N22" i="10"/>
  <c r="M22" i="10"/>
  <c r="K22" i="10"/>
  <c r="N14" i="10"/>
  <c r="M14" i="10"/>
  <c r="L14" i="10"/>
  <c r="K14" i="10"/>
  <c r="J16" i="10"/>
  <c r="N16" i="10"/>
  <c r="N28" i="10"/>
  <c r="M28" i="10"/>
  <c r="K28" i="10"/>
  <c r="N8" i="10"/>
  <c r="M8" i="10"/>
  <c r="L8" i="10"/>
  <c r="K8" i="10"/>
  <c r="N11" i="10"/>
  <c r="M11" i="10"/>
  <c r="L11" i="10"/>
  <c r="K11" i="10"/>
  <c r="N27" i="10"/>
  <c r="M27" i="10"/>
  <c r="N35" i="10"/>
  <c r="M35" i="10"/>
  <c r="L35" i="10"/>
  <c r="K35" i="10"/>
  <c r="AL31" i="10"/>
  <c r="M21" i="10"/>
  <c r="K21" i="10"/>
  <c r="M16" i="10"/>
  <c r="L16" i="10"/>
  <c r="K16" i="10"/>
  <c r="J12" i="10"/>
  <c r="M12" i="10"/>
  <c r="L12" i="10"/>
  <c r="K12" i="10"/>
  <c r="J15" i="10"/>
  <c r="L15" i="10"/>
  <c r="K15" i="10"/>
  <c r="J35" i="10"/>
  <c r="I35" i="10"/>
  <c r="I8" i="10"/>
  <c r="I9" i="10"/>
  <c r="I10" i="10"/>
  <c r="I12" i="10"/>
  <c r="I13" i="10"/>
  <c r="I14" i="10"/>
  <c r="I15" i="10"/>
  <c r="I16" i="10"/>
  <c r="H35" i="10" l="1"/>
  <c r="H9" i="10"/>
  <c r="H14" i="10"/>
  <c r="H16" i="10"/>
  <c r="G35" i="10"/>
  <c r="G15" i="10"/>
  <c r="H13" i="10"/>
  <c r="G12" i="10"/>
  <c r="G11" i="10"/>
  <c r="G10" i="10"/>
  <c r="H8" i="10"/>
  <c r="G16" i="10"/>
  <c r="G14" i="10"/>
  <c r="G13" i="10"/>
  <c r="G9" i="10"/>
  <c r="H11" i="10" l="1"/>
  <c r="J11" i="10"/>
  <c r="I11" i="10"/>
  <c r="G8" i="10"/>
  <c r="H10" i="10"/>
  <c r="H15" i="10"/>
  <c r="AO15" i="10" s="1"/>
  <c r="H12" i="10"/>
  <c r="AO13" i="10" l="1"/>
  <c r="AM13" i="10"/>
  <c r="G4" i="10"/>
  <c r="AO4" i="10" s="1"/>
  <c r="AU6" i="10" s="1"/>
  <c r="E29" i="9" l="1"/>
  <c r="E30" i="9"/>
  <c r="E31" i="9"/>
  <c r="E32" i="9"/>
  <c r="E33" i="9"/>
  <c r="E28" i="9"/>
  <c r="E15" i="9"/>
  <c r="E16" i="9"/>
  <c r="E17" i="9"/>
  <c r="E18" i="9"/>
  <c r="E19" i="9"/>
  <c r="E20" i="9"/>
  <c r="E21" i="9"/>
  <c r="E22" i="9"/>
  <c r="E14" i="9"/>
  <c r="AM35" i="10"/>
  <c r="AI29" i="10"/>
  <c r="AH29" i="10"/>
  <c r="AB29" i="10"/>
  <c r="AA29" i="10"/>
  <c r="Z29" i="10"/>
  <c r="Y29" i="10"/>
  <c r="W29" i="10"/>
  <c r="U29" i="10"/>
  <c r="T29" i="10"/>
  <c r="S29" i="10"/>
  <c r="Q29" i="10"/>
  <c r="P29" i="10"/>
  <c r="O29" i="10"/>
  <c r="M29" i="10"/>
  <c r="K29" i="10"/>
  <c r="E29" i="10"/>
  <c r="D29" i="10"/>
  <c r="AM28" i="10"/>
  <c r="AM24" i="10"/>
  <c r="AM27" i="10"/>
  <c r="AL37" i="10"/>
  <c r="AJ17" i="10"/>
  <c r="AI17" i="10"/>
  <c r="AH17" i="10"/>
  <c r="AF17" i="10"/>
  <c r="Y17" i="10"/>
  <c r="R17" i="10"/>
  <c r="K17" i="10"/>
  <c r="D17" i="10"/>
  <c r="AM17" i="10" s="1"/>
  <c r="AM16" i="10"/>
  <c r="AM21" i="10"/>
  <c r="AM15" i="10"/>
  <c r="AM26" i="10"/>
  <c r="AM14" i="10"/>
  <c r="AM12" i="10"/>
  <c r="AM11" i="10"/>
  <c r="AM22" i="10"/>
  <c r="AR10" i="10"/>
  <c r="AM9" i="10"/>
  <c r="AM8" i="10"/>
  <c r="AO3" i="10"/>
  <c r="AR2" i="10" s="1"/>
  <c r="F53" i="9"/>
  <c r="F47" i="9"/>
  <c r="AL34" i="9"/>
  <c r="D34" i="9"/>
  <c r="F33" i="9" s="1"/>
  <c r="AM33" i="9"/>
  <c r="AM32" i="9"/>
  <c r="AM31" i="9"/>
  <c r="AM30" i="9"/>
  <c r="AM29" i="9"/>
  <c r="AM28" i="9"/>
  <c r="AL23" i="9"/>
  <c r="D23" i="9"/>
  <c r="F16" i="9" s="1"/>
  <c r="AM22" i="9"/>
  <c r="AM21" i="9"/>
  <c r="AM20" i="9"/>
  <c r="AM19" i="9"/>
  <c r="AM18" i="9"/>
  <c r="AM17" i="9"/>
  <c r="AM16" i="9"/>
  <c r="AM15" i="9"/>
  <c r="AM14" i="9"/>
  <c r="AP8" i="9"/>
  <c r="AJ20" i="9" l="1"/>
  <c r="AI20" i="9"/>
  <c r="AH20" i="9"/>
  <c r="AG20" i="9"/>
  <c r="AF20" i="9"/>
  <c r="AE20" i="9"/>
  <c r="AD20" i="9"/>
  <c r="AJ16" i="9"/>
  <c r="AI16" i="9"/>
  <c r="AH16" i="9"/>
  <c r="AG16" i="9"/>
  <c r="AF16" i="9"/>
  <c r="AE16" i="9"/>
  <c r="AD16" i="9"/>
  <c r="AJ14" i="9"/>
  <c r="AI14" i="9"/>
  <c r="AH14" i="9"/>
  <c r="AG14" i="9"/>
  <c r="AF14" i="9"/>
  <c r="AE14" i="9"/>
  <c r="AD14" i="9"/>
  <c r="AJ19" i="9"/>
  <c r="AI19" i="9"/>
  <c r="AH19" i="9"/>
  <c r="AG19" i="9"/>
  <c r="AE19" i="9"/>
  <c r="AF19" i="9"/>
  <c r="AD19" i="9"/>
  <c r="AJ15" i="9"/>
  <c r="AI15" i="9"/>
  <c r="AH15" i="9"/>
  <c r="AG15" i="9"/>
  <c r="AE15" i="9"/>
  <c r="AF15" i="9"/>
  <c r="AD15" i="9"/>
  <c r="AJ22" i="9"/>
  <c r="AI22" i="9"/>
  <c r="AH22" i="9"/>
  <c r="AG22" i="9"/>
  <c r="AF22" i="9"/>
  <c r="AE22" i="9"/>
  <c r="AD22" i="9"/>
  <c r="AJ18" i="9"/>
  <c r="AI18" i="9"/>
  <c r="AH18" i="9"/>
  <c r="AG18" i="9"/>
  <c r="AF18" i="9"/>
  <c r="AE18" i="9"/>
  <c r="AD18" i="9"/>
  <c r="AJ21" i="9"/>
  <c r="AI21" i="9"/>
  <c r="AH21" i="9"/>
  <c r="AG21" i="9"/>
  <c r="AE21" i="9"/>
  <c r="AF21" i="9"/>
  <c r="AD21" i="9"/>
  <c r="AJ17" i="9"/>
  <c r="AI17" i="9"/>
  <c r="AH17" i="9"/>
  <c r="AG17" i="9"/>
  <c r="AE17" i="9"/>
  <c r="AF17" i="9"/>
  <c r="AD17" i="9"/>
  <c r="F23" i="10"/>
  <c r="F25" i="10"/>
  <c r="AJ19" i="10"/>
  <c r="AR4" i="10"/>
  <c r="AS4" i="10" s="1"/>
  <c r="AU5" i="10" s="1"/>
  <c r="G16" i="9"/>
  <c r="AB16" i="9"/>
  <c r="AC16" i="9"/>
  <c r="AA16" i="9"/>
  <c r="Z16" i="9"/>
  <c r="Y16" i="9"/>
  <c r="X16" i="9"/>
  <c r="V16" i="9"/>
  <c r="W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D36" i="9"/>
  <c r="D4" i="9" s="1"/>
  <c r="G22" i="9"/>
  <c r="AB22" i="9"/>
  <c r="AC22" i="9"/>
  <c r="AA22" i="9"/>
  <c r="Z22" i="9"/>
  <c r="Y22" i="9"/>
  <c r="X22" i="9"/>
  <c r="V22" i="9"/>
  <c r="W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18" i="9"/>
  <c r="AB18" i="9"/>
  <c r="AC18" i="9"/>
  <c r="AA18" i="9"/>
  <c r="Z18" i="9"/>
  <c r="Y18" i="9"/>
  <c r="X18" i="9"/>
  <c r="V18" i="9"/>
  <c r="W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20" i="9"/>
  <c r="AB20" i="9"/>
  <c r="AC20" i="9"/>
  <c r="AA20" i="9"/>
  <c r="Z20" i="9"/>
  <c r="Y20" i="9"/>
  <c r="X20" i="9"/>
  <c r="V20" i="9"/>
  <c r="W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14" i="9"/>
  <c r="AB14" i="9"/>
  <c r="AC14" i="9"/>
  <c r="AA14" i="9"/>
  <c r="Z14" i="9"/>
  <c r="Y14" i="9"/>
  <c r="X14" i="9"/>
  <c r="V14" i="9"/>
  <c r="W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9" i="9"/>
  <c r="AC19" i="9"/>
  <c r="AB19" i="9"/>
  <c r="AA19" i="9"/>
  <c r="Z19" i="9"/>
  <c r="Y19" i="9"/>
  <c r="X19" i="9"/>
  <c r="V19" i="9"/>
  <c r="W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5" i="9"/>
  <c r="AC15" i="9"/>
  <c r="AB15" i="9"/>
  <c r="AA15" i="9"/>
  <c r="Z15" i="9"/>
  <c r="Y15" i="9"/>
  <c r="X15" i="9"/>
  <c r="V15" i="9"/>
  <c r="W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21" i="9"/>
  <c r="AC21" i="9"/>
  <c r="AB21" i="9"/>
  <c r="AA21" i="9"/>
  <c r="Z21" i="9"/>
  <c r="Y21" i="9"/>
  <c r="X21" i="9"/>
  <c r="V21" i="9"/>
  <c r="W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17" i="9"/>
  <c r="AC17" i="9"/>
  <c r="AB17" i="9"/>
  <c r="AA17" i="9"/>
  <c r="Z17" i="9"/>
  <c r="Y17" i="9"/>
  <c r="X17" i="9"/>
  <c r="V17" i="9"/>
  <c r="W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F22" i="10"/>
  <c r="F24" i="10"/>
  <c r="F21" i="10"/>
  <c r="F27" i="10"/>
  <c r="F26" i="10"/>
  <c r="AS2" i="10"/>
  <c r="AT2" i="10" s="1"/>
  <c r="AI19" i="10"/>
  <c r="AF19" i="10"/>
  <c r="Y19" i="10"/>
  <c r="R19" i="10"/>
  <c r="AH19" i="10"/>
  <c r="AJ39" i="10"/>
  <c r="AJ5" i="9" s="1"/>
  <c r="AP13" i="10"/>
  <c r="D39" i="10"/>
  <c r="AI31" i="10"/>
  <c r="F14" i="10"/>
  <c r="F16" i="10"/>
  <c r="AM23" i="9"/>
  <c r="F11" i="10"/>
  <c r="F14" i="9"/>
  <c r="F15" i="9"/>
  <c r="F32" i="9"/>
  <c r="F30" i="9"/>
  <c r="F28" i="9"/>
  <c r="AM34" i="9"/>
  <c r="F29" i="9"/>
  <c r="F31" i="9"/>
  <c r="E34" i="9"/>
  <c r="Y31" i="10"/>
  <c r="F55" i="9"/>
  <c r="F15" i="10"/>
  <c r="Y39" i="10"/>
  <c r="Y5" i="9" s="1"/>
  <c r="AH31" i="10"/>
  <c r="AF39" i="10"/>
  <c r="AF5" i="9" s="1"/>
  <c r="K39" i="10"/>
  <c r="K5" i="9" s="1"/>
  <c r="R39" i="10"/>
  <c r="R5" i="9" s="1"/>
  <c r="AH39" i="10"/>
  <c r="AH5" i="9" s="1"/>
  <c r="E17" i="10"/>
  <c r="AI39" i="10"/>
  <c r="AI5" i="9" s="1"/>
  <c r="AE17" i="10"/>
  <c r="AE19" i="10" s="1"/>
  <c r="D31" i="10"/>
  <c r="F29" i="10" s="1"/>
  <c r="F10" i="10"/>
  <c r="F9" i="10"/>
  <c r="F8" i="10"/>
  <c r="K31" i="10"/>
  <c r="K19" i="10"/>
  <c r="H17" i="10"/>
  <c r="H39" i="10" s="1"/>
  <c r="H5" i="9" s="1"/>
  <c r="AA17" i="10"/>
  <c r="AA31" i="10" s="1"/>
  <c r="AG17" i="10"/>
  <c r="F12" i="10"/>
  <c r="F13" i="10"/>
  <c r="F28" i="10"/>
  <c r="AO11" i="10"/>
  <c r="AO12" i="10"/>
  <c r="AP12" i="10" s="1"/>
  <c r="AO14" i="10"/>
  <c r="AP14" i="10" s="1"/>
  <c r="AP15" i="10"/>
  <c r="AO16" i="10"/>
  <c r="AP16" i="10" s="1"/>
  <c r="F22" i="9"/>
  <c r="F21" i="9"/>
  <c r="F20" i="9"/>
  <c r="F19" i="9"/>
  <c r="F18" i="9"/>
  <c r="F17" i="9"/>
  <c r="E23" i="9"/>
  <c r="E10" i="8"/>
  <c r="E11" i="8"/>
  <c r="AE11" i="8" s="1"/>
  <c r="E12" i="8"/>
  <c r="E13" i="8"/>
  <c r="E14" i="8"/>
  <c r="E15" i="8"/>
  <c r="E16" i="8"/>
  <c r="E17" i="8"/>
  <c r="AE17" i="8" s="1"/>
  <c r="E18" i="8"/>
  <c r="E19" i="8"/>
  <c r="E20" i="8"/>
  <c r="AE20" i="8" s="1"/>
  <c r="AF5" i="8"/>
  <c r="AE10" i="8"/>
  <c r="W23" i="9" l="1"/>
  <c r="AG23" i="9"/>
  <c r="J23" i="9"/>
  <c r="N23" i="9"/>
  <c r="R23" i="9"/>
  <c r="AO14" i="9"/>
  <c r="V23" i="9"/>
  <c r="Z23" i="9"/>
  <c r="AO16" i="9"/>
  <c r="AD23" i="9"/>
  <c r="AE23" i="9"/>
  <c r="AF23" i="9"/>
  <c r="AK16" i="8"/>
  <c r="AJ16" i="8"/>
  <c r="AH16" i="8"/>
  <c r="AI16" i="8"/>
  <c r="AG16" i="8"/>
  <c r="AO15" i="9"/>
  <c r="O23" i="9"/>
  <c r="AI23" i="9"/>
  <c r="AE16" i="8"/>
  <c r="AK19" i="8"/>
  <c r="AJ19" i="8"/>
  <c r="AI19" i="8"/>
  <c r="AH19" i="8"/>
  <c r="AG19" i="8"/>
  <c r="AK15" i="8"/>
  <c r="AJ15" i="8"/>
  <c r="AI15" i="8"/>
  <c r="AH15" i="8"/>
  <c r="AG15" i="8"/>
  <c r="AK11" i="8"/>
  <c r="AJ11" i="8"/>
  <c r="AI11" i="8"/>
  <c r="AH11" i="8"/>
  <c r="AG11" i="8"/>
  <c r="K23" i="9"/>
  <c r="AA23" i="9"/>
  <c r="AJ23" i="9"/>
  <c r="AE15" i="8"/>
  <c r="AE18" i="8"/>
  <c r="AK18" i="8"/>
  <c r="AJ18" i="8"/>
  <c r="AH18" i="8"/>
  <c r="AI18" i="8"/>
  <c r="AG18" i="8"/>
  <c r="AK14" i="8"/>
  <c r="AJ14" i="8"/>
  <c r="AH14" i="8"/>
  <c r="AI14" i="8"/>
  <c r="AG14" i="8"/>
  <c r="AK10" i="8"/>
  <c r="AJ10" i="8"/>
  <c r="AH10" i="8"/>
  <c r="AI10" i="8"/>
  <c r="AG10" i="8"/>
  <c r="AK20" i="8"/>
  <c r="AJ20" i="8"/>
  <c r="AH20" i="8"/>
  <c r="AI20" i="8"/>
  <c r="AG20" i="8"/>
  <c r="AK12" i="8"/>
  <c r="AJ12" i="8"/>
  <c r="AH12" i="8"/>
  <c r="AI12" i="8"/>
  <c r="AG12" i="8"/>
  <c r="S23" i="9"/>
  <c r="AE19" i="8"/>
  <c r="AE12" i="8"/>
  <c r="AK17" i="8"/>
  <c r="AJ17" i="8"/>
  <c r="AH17" i="8"/>
  <c r="AI17" i="8"/>
  <c r="AG17" i="8"/>
  <c r="AE13" i="8"/>
  <c r="AK13" i="8"/>
  <c r="AJ13" i="8"/>
  <c r="AI13" i="8"/>
  <c r="AH13" i="8"/>
  <c r="AG13" i="8"/>
  <c r="AP11" i="10"/>
  <c r="AR11" i="10"/>
  <c r="AS10" i="10" s="1"/>
  <c r="AH23" i="9"/>
  <c r="AJ25" i="10"/>
  <c r="AJ21" i="10"/>
  <c r="AJ24" i="10"/>
  <c r="AJ28" i="10"/>
  <c r="AJ22" i="10"/>
  <c r="AJ27" i="10"/>
  <c r="AJ23" i="10"/>
  <c r="AJ26" i="10"/>
  <c r="AF25" i="10"/>
  <c r="R25" i="10"/>
  <c r="AI40" i="10"/>
  <c r="AI33" i="10"/>
  <c r="AI41" i="10" s="1"/>
  <c r="AH40" i="10"/>
  <c r="AH33" i="10"/>
  <c r="AH41" i="10" s="1"/>
  <c r="AF27" i="10"/>
  <c r="AF22" i="10"/>
  <c r="AF26" i="10"/>
  <c r="AF21" i="10"/>
  <c r="AF24" i="10"/>
  <c r="AF28" i="10"/>
  <c r="AF23" i="10"/>
  <c r="R26" i="10"/>
  <c r="F36" i="9"/>
  <c r="R21" i="10"/>
  <c r="R28" i="10"/>
  <c r="R23" i="10"/>
  <c r="R22" i="10"/>
  <c r="R24" i="10"/>
  <c r="AA40" i="10"/>
  <c r="AA33" i="10"/>
  <c r="AA41" i="10" s="1"/>
  <c r="AA19" i="10"/>
  <c r="Y40" i="10"/>
  <c r="Y33" i="10"/>
  <c r="Y41" i="10" s="1"/>
  <c r="R27" i="10"/>
  <c r="AP4" i="10"/>
  <c r="AG19" i="10"/>
  <c r="AG25" i="10" s="1"/>
  <c r="K40" i="10"/>
  <c r="K33" i="10"/>
  <c r="K41" i="10" s="1"/>
  <c r="E39" i="10"/>
  <c r="AO5" i="10" s="1"/>
  <c r="F17" i="10"/>
  <c r="F31" i="10" s="1"/>
  <c r="E31" i="10"/>
  <c r="E37" i="10" s="1"/>
  <c r="AJ37" i="10" s="1"/>
  <c r="AR3" i="10"/>
  <c r="AS3" i="10" s="1"/>
  <c r="AT3" i="10" s="1"/>
  <c r="F34" i="9"/>
  <c r="F23" i="9"/>
  <c r="AM31" i="10"/>
  <c r="D38" i="9"/>
  <c r="E36" i="9"/>
  <c r="AO35" i="10"/>
  <c r="AP35" i="10" s="1"/>
  <c r="AB17" i="10"/>
  <c r="AB19" i="10" s="1"/>
  <c r="H19" i="10"/>
  <c r="H24" i="10" s="1"/>
  <c r="G17" i="10"/>
  <c r="AO8" i="10"/>
  <c r="W17" i="10"/>
  <c r="W19" i="10" s="1"/>
  <c r="O17" i="10"/>
  <c r="O19" i="10" s="1"/>
  <c r="V17" i="10"/>
  <c r="V19" i="10" s="1"/>
  <c r="AG39" i="10"/>
  <c r="AG5" i="9" s="1"/>
  <c r="AE39" i="10"/>
  <c r="AE5" i="9" s="1"/>
  <c r="AA39" i="10"/>
  <c r="AA5" i="9" s="1"/>
  <c r="Z17" i="10"/>
  <c r="Z19" i="10" s="1"/>
  <c r="Q17" i="10"/>
  <c r="Q19" i="10" s="1"/>
  <c r="T17" i="10"/>
  <c r="T19" i="10" s="1"/>
  <c r="P17" i="10"/>
  <c r="P19" i="10" s="1"/>
  <c r="U17" i="10"/>
  <c r="U19" i="10" s="1"/>
  <c r="D40" i="10"/>
  <c r="E40" i="10" s="1"/>
  <c r="D37" i="10"/>
  <c r="S17" i="10"/>
  <c r="S19" i="10" s="1"/>
  <c r="L17" i="10"/>
  <c r="X17" i="10"/>
  <c r="X19" i="10" s="1"/>
  <c r="X25" i="10" s="1"/>
  <c r="AO9" i="10"/>
  <c r="AP9" i="10" s="1"/>
  <c r="I17" i="10"/>
  <c r="N17" i="10"/>
  <c r="N19" i="10" s="1"/>
  <c r="AO10" i="10"/>
  <c r="AP10" i="10" s="1"/>
  <c r="M17" i="10"/>
  <c r="AD17" i="10"/>
  <c r="AD19" i="10" s="1"/>
  <c r="AD25" i="10" s="1"/>
  <c r="J17" i="10"/>
  <c r="AC17" i="10"/>
  <c r="AC19" i="10" s="1"/>
  <c r="AO22" i="9"/>
  <c r="F4" i="9"/>
  <c r="Q23" i="9"/>
  <c r="AO21" i="9"/>
  <c r="AO17" i="9"/>
  <c r="P23" i="9"/>
  <c r="U23" i="9"/>
  <c r="AC23" i="9"/>
  <c r="M23" i="9"/>
  <c r="AB23" i="9"/>
  <c r="L23" i="9"/>
  <c r="AO19" i="9"/>
  <c r="AO20" i="9"/>
  <c r="T23" i="9"/>
  <c r="G23" i="9"/>
  <c r="AO18" i="9"/>
  <c r="Y23" i="9"/>
  <c r="I23" i="9"/>
  <c r="X23" i="9"/>
  <c r="H23" i="9"/>
  <c r="AK21" i="8" l="1"/>
  <c r="AJ4" i="9"/>
  <c r="AJ8" i="9" s="1"/>
  <c r="AJ25" i="9" s="1"/>
  <c r="AJ29" i="9" s="1"/>
  <c r="AI4" i="9"/>
  <c r="AI8" i="9" s="1"/>
  <c r="AI25" i="9" s="1"/>
  <c r="AI33" i="9" s="1"/>
  <c r="AH4" i="9"/>
  <c r="AH8" i="9" s="1"/>
  <c r="AH25" i="9" s="1"/>
  <c r="AH29" i="9" s="1"/>
  <c r="AG4" i="9"/>
  <c r="AF4" i="9"/>
  <c r="AE4" i="9"/>
  <c r="AD4" i="9"/>
  <c r="AJ21" i="8"/>
  <c r="H25" i="10"/>
  <c r="AJ29" i="10"/>
  <c r="AJ31" i="10" s="1"/>
  <c r="AD24" i="10"/>
  <c r="AD23" i="10"/>
  <c r="AD27" i="10"/>
  <c r="AD22" i="10"/>
  <c r="AD26" i="10"/>
  <c r="AD21" i="10"/>
  <c r="AD28" i="10"/>
  <c r="H28" i="10"/>
  <c r="AI37" i="10"/>
  <c r="AH37" i="10"/>
  <c r="AG37" i="10"/>
  <c r="AE37" i="10"/>
  <c r="AF37" i="10"/>
  <c r="AD37" i="10"/>
  <c r="AF29" i="10"/>
  <c r="AF31" i="10" s="1"/>
  <c r="AF33" i="10" s="1"/>
  <c r="AF41" i="10" s="1"/>
  <c r="AG27" i="10"/>
  <c r="AG22" i="10"/>
  <c r="AG26" i="10"/>
  <c r="AG21" i="10"/>
  <c r="AG28" i="10"/>
  <c r="AG24" i="10"/>
  <c r="AG23" i="10"/>
  <c r="H23" i="10"/>
  <c r="H27" i="10"/>
  <c r="H21" i="10"/>
  <c r="H26" i="10"/>
  <c r="H22" i="10"/>
  <c r="X21" i="10"/>
  <c r="X26" i="10"/>
  <c r="AP5" i="10"/>
  <c r="X28" i="10"/>
  <c r="X22" i="10"/>
  <c r="X24" i="10"/>
  <c r="X23" i="10"/>
  <c r="AB37" i="10"/>
  <c r="AC37" i="10"/>
  <c r="AC4" i="9"/>
  <c r="AB4" i="9"/>
  <c r="AA4" i="9"/>
  <c r="AA8" i="9" s="1"/>
  <c r="AA25" i="9" s="1"/>
  <c r="Z4" i="9"/>
  <c r="Y4" i="9"/>
  <c r="Y8" i="9" s="1"/>
  <c r="Y25" i="9" s="1"/>
  <c r="Y28" i="9" s="1"/>
  <c r="X4" i="9"/>
  <c r="V4" i="9"/>
  <c r="W4" i="9"/>
  <c r="U4" i="9"/>
  <c r="T4" i="9"/>
  <c r="S4" i="9"/>
  <c r="R4" i="9"/>
  <c r="R8" i="9" s="1"/>
  <c r="R25" i="9" s="1"/>
  <c r="Q4" i="9"/>
  <c r="P4" i="9"/>
  <c r="O4" i="9"/>
  <c r="N4" i="9"/>
  <c r="M4" i="9"/>
  <c r="L4" i="9"/>
  <c r="K4" i="9"/>
  <c r="K8" i="9" s="1"/>
  <c r="K25" i="9" s="1"/>
  <c r="J4" i="9"/>
  <c r="I4" i="9"/>
  <c r="H4" i="9"/>
  <c r="G4" i="9"/>
  <c r="Z37" i="10"/>
  <c r="AA37" i="10"/>
  <c r="Y37" i="10"/>
  <c r="X37" i="10"/>
  <c r="V37" i="10"/>
  <c r="W37" i="10"/>
  <c r="U37" i="10"/>
  <c r="X27" i="10"/>
  <c r="T37" i="10"/>
  <c r="S37" i="10"/>
  <c r="R37" i="10"/>
  <c r="F39" i="10"/>
  <c r="R29" i="10"/>
  <c r="R31" i="10" s="1"/>
  <c r="AR1" i="10"/>
  <c r="AS1" i="10" s="1"/>
  <c r="AP3" i="10"/>
  <c r="AR6" i="10" s="1"/>
  <c r="O37" i="10"/>
  <c r="Q37" i="10"/>
  <c r="P37" i="10"/>
  <c r="AT4" i="10"/>
  <c r="M37" i="10"/>
  <c r="N37" i="10"/>
  <c r="L37" i="10"/>
  <c r="K37" i="10"/>
  <c r="I37" i="10"/>
  <c r="J37" i="10"/>
  <c r="H37" i="10"/>
  <c r="G37" i="10"/>
  <c r="G39" i="10"/>
  <c r="G5" i="9" s="1"/>
  <c r="G19" i="10"/>
  <c r="F40" i="10"/>
  <c r="AD39" i="10"/>
  <c r="AD5" i="9" s="1"/>
  <c r="N39" i="10"/>
  <c r="N5" i="9" s="1"/>
  <c r="S31" i="10"/>
  <c r="S39" i="10"/>
  <c r="S5" i="9" s="1"/>
  <c r="Z31" i="10"/>
  <c r="Z39" i="10"/>
  <c r="Z5" i="9" s="1"/>
  <c r="O31" i="10"/>
  <c r="O39" i="10"/>
  <c r="O5" i="9" s="1"/>
  <c r="M19" i="10"/>
  <c r="M31" i="10"/>
  <c r="M39" i="10"/>
  <c r="M5" i="9" s="1"/>
  <c r="X39" i="10"/>
  <c r="X5" i="9" s="1"/>
  <c r="F35" i="10"/>
  <c r="D41" i="10"/>
  <c r="E41" i="10" s="1"/>
  <c r="AM37" i="10"/>
  <c r="F37" i="10"/>
  <c r="U31" i="10"/>
  <c r="U39" i="10"/>
  <c r="U5" i="9" s="1"/>
  <c r="W31" i="10"/>
  <c r="W39" i="10"/>
  <c r="W5" i="9" s="1"/>
  <c r="AB31" i="10"/>
  <c r="AB39" i="10"/>
  <c r="AB5" i="9" s="1"/>
  <c r="AC39" i="10"/>
  <c r="AC5" i="9" s="1"/>
  <c r="I39" i="10"/>
  <c r="I5" i="9" s="1"/>
  <c r="I19" i="10"/>
  <c r="L39" i="10"/>
  <c r="L5" i="9" s="1"/>
  <c r="L19" i="10"/>
  <c r="T31" i="10"/>
  <c r="T39" i="10"/>
  <c r="T5" i="9" s="1"/>
  <c r="V39" i="10"/>
  <c r="V5" i="9" s="1"/>
  <c r="J39" i="10"/>
  <c r="J5" i="9" s="1"/>
  <c r="J19" i="10"/>
  <c r="P31" i="10"/>
  <c r="P39" i="10"/>
  <c r="P5" i="9" s="1"/>
  <c r="Q31" i="10"/>
  <c r="Q39" i="10"/>
  <c r="Q5" i="9" s="1"/>
  <c r="AO17" i="10"/>
  <c r="AP8" i="10"/>
  <c r="AE29" i="10"/>
  <c r="AE31" i="10" s="1"/>
  <c r="AG8" i="9"/>
  <c r="AG25" i="9" s="1"/>
  <c r="AF8" i="9"/>
  <c r="AF25" i="9" s="1"/>
  <c r="AO23" i="9"/>
  <c r="AJ33" i="9" l="1"/>
  <c r="AI31" i="9"/>
  <c r="AJ32" i="9"/>
  <c r="AH28" i="9"/>
  <c r="AJ28" i="9"/>
  <c r="AI29" i="9"/>
  <c r="AJ30" i="9"/>
  <c r="AJ34" i="9" s="1"/>
  <c r="AJ36" i="9" s="1"/>
  <c r="AJ38" i="9" s="1"/>
  <c r="AI28" i="9"/>
  <c r="AJ31" i="9"/>
  <c r="AH30" i="9"/>
  <c r="AI30" i="9"/>
  <c r="AH32" i="9"/>
  <c r="AH33" i="9"/>
  <c r="AI32" i="9"/>
  <c r="AH31" i="9"/>
  <c r="J26" i="10"/>
  <c r="AO26" i="10" s="1"/>
  <c r="AP26" i="10" s="1"/>
  <c r="J25" i="10"/>
  <c r="AO25" i="10" s="1"/>
  <c r="AP25" i="10" s="1"/>
  <c r="AF40" i="10"/>
  <c r="AJ40" i="10"/>
  <c r="AJ33" i="10"/>
  <c r="AJ41" i="10" s="1"/>
  <c r="AG29" i="9"/>
  <c r="AG33" i="9"/>
  <c r="AG30" i="9"/>
  <c r="AG28" i="9"/>
  <c r="AG31" i="9"/>
  <c r="AG32" i="9"/>
  <c r="H29" i="10"/>
  <c r="H31" i="10" s="1"/>
  <c r="H33" i="10" s="1"/>
  <c r="H41" i="10" s="1"/>
  <c r="AG29" i="10"/>
  <c r="AG31" i="10" s="1"/>
  <c r="AG33" i="10" s="1"/>
  <c r="AG41" i="10" s="1"/>
  <c r="AE40" i="10"/>
  <c r="AE33" i="10"/>
  <c r="AE41" i="10" s="1"/>
  <c r="AF29" i="9"/>
  <c r="AF31" i="9"/>
  <c r="AF33" i="9"/>
  <c r="AF28" i="9"/>
  <c r="AF30" i="9"/>
  <c r="AF32" i="9"/>
  <c r="AB40" i="10"/>
  <c r="AB33" i="10"/>
  <c r="AB41" i="10" s="1"/>
  <c r="J23" i="10"/>
  <c r="AO23" i="10" s="1"/>
  <c r="AP23" i="10" s="1"/>
  <c r="J21" i="10"/>
  <c r="J28" i="10"/>
  <c r="J22" i="10"/>
  <c r="J24" i="10"/>
  <c r="AA29" i="9"/>
  <c r="AA30" i="9"/>
  <c r="AA28" i="9"/>
  <c r="AA31" i="9"/>
  <c r="AA32" i="9"/>
  <c r="AA33" i="9"/>
  <c r="Y29" i="9"/>
  <c r="Y33" i="9"/>
  <c r="Y30" i="9"/>
  <c r="Y31" i="9"/>
  <c r="Y32" i="9"/>
  <c r="Z40" i="10"/>
  <c r="Z33" i="10"/>
  <c r="Z41" i="10" s="1"/>
  <c r="X29" i="10"/>
  <c r="X31" i="10" s="1"/>
  <c r="X33" i="10" s="1"/>
  <c r="X41" i="10" s="1"/>
  <c r="U40" i="10"/>
  <c r="U33" i="10"/>
  <c r="U41" i="10" s="1"/>
  <c r="W40" i="10"/>
  <c r="W33" i="10"/>
  <c r="W41" i="10" s="1"/>
  <c r="S40" i="10"/>
  <c r="S33" i="10"/>
  <c r="S41" i="10" s="1"/>
  <c r="R40" i="10"/>
  <c r="R33" i="10"/>
  <c r="R41" i="10" s="1"/>
  <c r="R29" i="9"/>
  <c r="R33" i="9"/>
  <c r="R30" i="9"/>
  <c r="R28" i="9"/>
  <c r="R31" i="9"/>
  <c r="R32" i="9"/>
  <c r="T40" i="10"/>
  <c r="T33" i="10"/>
  <c r="T41" i="10" s="1"/>
  <c r="P40" i="10"/>
  <c r="P33" i="10"/>
  <c r="P41" i="10" s="1"/>
  <c r="Q40" i="10"/>
  <c r="Q33" i="10"/>
  <c r="Q41" i="10" s="1"/>
  <c r="O40" i="10"/>
  <c r="O33" i="10"/>
  <c r="O41" i="10" s="1"/>
  <c r="M40" i="10"/>
  <c r="M33" i="10"/>
  <c r="M41" i="10" s="1"/>
  <c r="K32" i="9"/>
  <c r="K29" i="9"/>
  <c r="K33" i="9"/>
  <c r="K30" i="9"/>
  <c r="K28" i="9"/>
  <c r="K31" i="9"/>
  <c r="J27" i="10"/>
  <c r="H8" i="9"/>
  <c r="H25" i="9" s="1"/>
  <c r="Q8" i="9"/>
  <c r="Q25" i="9" s="1"/>
  <c r="U8" i="9"/>
  <c r="U25" i="9" s="1"/>
  <c r="S8" i="9"/>
  <c r="S25" i="9" s="1"/>
  <c r="T8" i="9"/>
  <c r="T25" i="9" s="1"/>
  <c r="W8" i="9"/>
  <c r="W25" i="9" s="1"/>
  <c r="M8" i="9"/>
  <c r="M25" i="9" s="1"/>
  <c r="Z8" i="9"/>
  <c r="Z25" i="9" s="1"/>
  <c r="AE8" i="9"/>
  <c r="AE25" i="9" s="1"/>
  <c r="X8" i="9"/>
  <c r="X25" i="9" s="1"/>
  <c r="P8" i="9"/>
  <c r="P25" i="9" s="1"/>
  <c r="AB8" i="9"/>
  <c r="AB25" i="9" s="1"/>
  <c r="O8" i="9"/>
  <c r="O25" i="9" s="1"/>
  <c r="O28" i="9" s="1"/>
  <c r="F41" i="10"/>
  <c r="AP17" i="10"/>
  <c r="AO39" i="10"/>
  <c r="E4" i="10" s="1"/>
  <c r="AO19" i="10"/>
  <c r="V29" i="10"/>
  <c r="V31" i="10" s="1"/>
  <c r="AP15" i="9"/>
  <c r="AP16" i="9"/>
  <c r="AP14" i="9"/>
  <c r="AP17" i="9"/>
  <c r="AP20" i="9"/>
  <c r="AP22" i="9"/>
  <c r="AO4" i="9"/>
  <c r="AP18" i="9"/>
  <c r="AP19" i="9"/>
  <c r="AP21" i="9"/>
  <c r="AH34" i="9" l="1"/>
  <c r="AH36" i="9" s="1"/>
  <c r="AH38" i="9" s="1"/>
  <c r="AI34" i="9"/>
  <c r="AI36" i="9" s="1"/>
  <c r="AI38" i="9" s="1"/>
  <c r="AG34" i="9"/>
  <c r="AG36" i="9" s="1"/>
  <c r="AG38" i="9" s="1"/>
  <c r="AG40" i="10"/>
  <c r="H40" i="10"/>
  <c r="AE29" i="9"/>
  <c r="AE31" i="9"/>
  <c r="AE33" i="9"/>
  <c r="AE30" i="9"/>
  <c r="AE32" i="9"/>
  <c r="AE28" i="9"/>
  <c r="AO22" i="10"/>
  <c r="AP22" i="10" s="1"/>
  <c r="AO21" i="10"/>
  <c r="AP21" i="10" s="1"/>
  <c r="AB30" i="9"/>
  <c r="AB28" i="9"/>
  <c r="AB31" i="9"/>
  <c r="AB32" i="9"/>
  <c r="AB29" i="9"/>
  <c r="AB33" i="9"/>
  <c r="Z32" i="9"/>
  <c r="Z29" i="9"/>
  <c r="Z33" i="9"/>
  <c r="Z30" i="9"/>
  <c r="Z28" i="9"/>
  <c r="Z31" i="9"/>
  <c r="X40" i="10"/>
  <c r="V40" i="10"/>
  <c r="V33" i="10"/>
  <c r="V41" i="10" s="1"/>
  <c r="X29" i="9"/>
  <c r="X33" i="9"/>
  <c r="X30" i="9"/>
  <c r="X28" i="9"/>
  <c r="X31" i="9"/>
  <c r="X32" i="9"/>
  <c r="W29" i="9"/>
  <c r="W33" i="9"/>
  <c r="W32" i="9"/>
  <c r="W30" i="9"/>
  <c r="W28" i="9"/>
  <c r="W31" i="9"/>
  <c r="U29" i="9"/>
  <c r="U33" i="9"/>
  <c r="U28" i="9"/>
  <c r="U31" i="9"/>
  <c r="U32" i="9"/>
  <c r="U30" i="9"/>
  <c r="Q31" i="9"/>
  <c r="Q32" i="9"/>
  <c r="Q29" i="9"/>
  <c r="Q33" i="9"/>
  <c r="Q30" i="9"/>
  <c r="Q28" i="9"/>
  <c r="T29" i="9"/>
  <c r="T33" i="9"/>
  <c r="T30" i="9"/>
  <c r="T28" i="9"/>
  <c r="T32" i="9"/>
  <c r="T31" i="9"/>
  <c r="S29" i="9"/>
  <c r="S33" i="9"/>
  <c r="S30" i="9"/>
  <c r="S28" i="9"/>
  <c r="S31" i="9"/>
  <c r="S32" i="9"/>
  <c r="P30" i="9"/>
  <c r="P28" i="9"/>
  <c r="P31" i="9"/>
  <c r="P32" i="9"/>
  <c r="P29" i="9"/>
  <c r="P33" i="9"/>
  <c r="O29" i="9"/>
  <c r="O33" i="9"/>
  <c r="O31" i="9"/>
  <c r="O30" i="9"/>
  <c r="O32" i="9"/>
  <c r="M32" i="9"/>
  <c r="M29" i="9"/>
  <c r="M33" i="9"/>
  <c r="M30" i="9"/>
  <c r="M28" i="9"/>
  <c r="M31" i="9"/>
  <c r="G29" i="10"/>
  <c r="G31" i="10" s="1"/>
  <c r="G40" i="10" s="1"/>
  <c r="G8" i="9" s="1"/>
  <c r="G25" i="9" s="1"/>
  <c r="G28" i="9" s="1"/>
  <c r="H32" i="9"/>
  <c r="H28" i="9"/>
  <c r="H29" i="9"/>
  <c r="H33" i="9"/>
  <c r="H30" i="9"/>
  <c r="H31" i="9"/>
  <c r="V8" i="9"/>
  <c r="V25" i="9" s="1"/>
  <c r="J29" i="10"/>
  <c r="J31" i="10" s="1"/>
  <c r="AD29" i="10"/>
  <c r="AD31" i="10" s="1"/>
  <c r="L29" i="10"/>
  <c r="AO24" i="10"/>
  <c r="AP24" i="10" s="1"/>
  <c r="AO28" i="10"/>
  <c r="AP28" i="10" s="1"/>
  <c r="AC29" i="10"/>
  <c r="AC31" i="10" s="1"/>
  <c r="N29" i="10"/>
  <c r="N31" i="10" s="1"/>
  <c r="I29" i="10"/>
  <c r="I31" i="10" s="1"/>
  <c r="AO27" i="10"/>
  <c r="AA34" i="9"/>
  <c r="AA36" i="9" s="1"/>
  <c r="AA38" i="9" s="1"/>
  <c r="AF34" i="9"/>
  <c r="AF36" i="9" s="1"/>
  <c r="AF38" i="9" s="1"/>
  <c r="AP23" i="9"/>
  <c r="K34" i="9"/>
  <c r="K36" i="9" s="1"/>
  <c r="K38" i="9" s="1"/>
  <c r="R34" i="9"/>
  <c r="R36" i="9" s="1"/>
  <c r="R38" i="9" s="1"/>
  <c r="Y34" i="9"/>
  <c r="Y36" i="9" s="1"/>
  <c r="Y38" i="9" s="1"/>
  <c r="AD40" i="10" l="1"/>
  <c r="AD33" i="10"/>
  <c r="AD41" i="10" s="1"/>
  <c r="AE34" i="9"/>
  <c r="AE36" i="9" s="1"/>
  <c r="AE38" i="9" s="1"/>
  <c r="AC40" i="10"/>
  <c r="AC33" i="10"/>
  <c r="AC41" i="10" s="1"/>
  <c r="AB34" i="9"/>
  <c r="AB36" i="9" s="1"/>
  <c r="AB38" i="9" s="1"/>
  <c r="Z34" i="9"/>
  <c r="Z36" i="9" s="1"/>
  <c r="Z38" i="9" s="1"/>
  <c r="U34" i="9"/>
  <c r="U36" i="9" s="1"/>
  <c r="U38" i="9" s="1"/>
  <c r="W34" i="9"/>
  <c r="W36" i="9" s="1"/>
  <c r="W38" i="9" s="1"/>
  <c r="X34" i="9"/>
  <c r="X36" i="9" s="1"/>
  <c r="X38" i="9" s="1"/>
  <c r="V31" i="9"/>
  <c r="V28" i="9"/>
  <c r="V32" i="9"/>
  <c r="V29" i="9"/>
  <c r="V33" i="9"/>
  <c r="V30" i="9"/>
  <c r="Q34" i="9"/>
  <c r="Q36" i="9" s="1"/>
  <c r="Q38" i="9" s="1"/>
  <c r="S34" i="9"/>
  <c r="S36" i="9" s="1"/>
  <c r="S38" i="9" s="1"/>
  <c r="T34" i="9"/>
  <c r="T36" i="9" s="1"/>
  <c r="T38" i="9" s="1"/>
  <c r="O34" i="9"/>
  <c r="O36" i="9" s="1"/>
  <c r="O38" i="9" s="1"/>
  <c r="P34" i="9"/>
  <c r="P36" i="9" s="1"/>
  <c r="P38" i="9" s="1"/>
  <c r="L31" i="10"/>
  <c r="L33" i="10" s="1"/>
  <c r="L41" i="10" s="1"/>
  <c r="N40" i="10"/>
  <c r="N33" i="10"/>
  <c r="N41" i="10" s="1"/>
  <c r="M34" i="9"/>
  <c r="M36" i="9" s="1"/>
  <c r="M38" i="9" s="1"/>
  <c r="G33" i="10"/>
  <c r="G41" i="10" s="1"/>
  <c r="I40" i="10"/>
  <c r="I33" i="10"/>
  <c r="I41" i="10" s="1"/>
  <c r="J40" i="10"/>
  <c r="J33" i="10"/>
  <c r="J41" i="10" s="1"/>
  <c r="G31" i="9"/>
  <c r="G29" i="9"/>
  <c r="G30" i="9"/>
  <c r="G32" i="9"/>
  <c r="G33" i="9"/>
  <c r="H34" i="9"/>
  <c r="I8" i="9"/>
  <c r="I25" i="9" s="1"/>
  <c r="J8" i="9"/>
  <c r="J25" i="9" s="1"/>
  <c r="N8" i="9"/>
  <c r="N25" i="9" s="1"/>
  <c r="AC8" i="9"/>
  <c r="AC25" i="9" s="1"/>
  <c r="L8" i="9"/>
  <c r="L25" i="9" s="1"/>
  <c r="AD8" i="9"/>
  <c r="AD25" i="9" s="1"/>
  <c r="AO29" i="10"/>
  <c r="AO31" i="10" s="1"/>
  <c r="AP27" i="10"/>
  <c r="AO37" i="10" l="1"/>
  <c r="AP37" i="10" s="1"/>
  <c r="AP31" i="10"/>
  <c r="AP29" i="10"/>
  <c r="AD29" i="9"/>
  <c r="AD33" i="9"/>
  <c r="AD30" i="9"/>
  <c r="AD28" i="9"/>
  <c r="AD31" i="9"/>
  <c r="AD32" i="9"/>
  <c r="AC32" i="9"/>
  <c r="AC29" i="9"/>
  <c r="AC30" i="9"/>
  <c r="AC28" i="9"/>
  <c r="AC31" i="9"/>
  <c r="AC33" i="9"/>
  <c r="V34" i="9"/>
  <c r="V36" i="9" s="1"/>
  <c r="V38" i="9" s="1"/>
  <c r="L40" i="10"/>
  <c r="AO40" i="10" s="1"/>
  <c r="N29" i="9"/>
  <c r="N33" i="9"/>
  <c r="N30" i="9"/>
  <c r="N28" i="9"/>
  <c r="N31" i="9"/>
  <c r="N32" i="9"/>
  <c r="L29" i="9"/>
  <c r="L33" i="9"/>
  <c r="L30" i="9"/>
  <c r="L28" i="9"/>
  <c r="L31" i="9"/>
  <c r="L32" i="9"/>
  <c r="J31" i="9"/>
  <c r="J32" i="9"/>
  <c r="J29" i="9"/>
  <c r="J33" i="9"/>
  <c r="J30" i="9"/>
  <c r="J28" i="9"/>
  <c r="I30" i="9"/>
  <c r="I28" i="9"/>
  <c r="I31" i="9"/>
  <c r="I32" i="9"/>
  <c r="I29" i="9"/>
  <c r="I33" i="9"/>
  <c r="G34" i="9"/>
  <c r="H36" i="9"/>
  <c r="H38" i="9" s="1"/>
  <c r="D5" i="9"/>
  <c r="AO46" i="9" s="1"/>
  <c r="AO41" i="10"/>
  <c r="AO5" i="9"/>
  <c r="AO8" i="9" s="1"/>
  <c r="AD34" i="9" l="1"/>
  <c r="AD36" i="9" s="1"/>
  <c r="AD38" i="9" s="1"/>
  <c r="AC34" i="9"/>
  <c r="AC36" i="9" s="1"/>
  <c r="AC38" i="9" s="1"/>
  <c r="AO33" i="9"/>
  <c r="AO29" i="9"/>
  <c r="N34" i="9"/>
  <c r="N36" i="9" s="1"/>
  <c r="N38" i="9" s="1"/>
  <c r="AO30" i="9"/>
  <c r="AO32" i="9"/>
  <c r="L34" i="9"/>
  <c r="L36" i="9" s="1"/>
  <c r="L38" i="9" s="1"/>
  <c r="AO31" i="9"/>
  <c r="J34" i="9"/>
  <c r="J36" i="9" s="1"/>
  <c r="J38" i="9" s="1"/>
  <c r="I34" i="9"/>
  <c r="I36" i="9" s="1"/>
  <c r="I38" i="9" s="1"/>
  <c r="AO28" i="9"/>
  <c r="G36" i="9"/>
  <c r="G38" i="9" s="1"/>
  <c r="G40" i="9" s="1"/>
  <c r="H40" i="9" s="1"/>
  <c r="AO43" i="9"/>
  <c r="AO45" i="9"/>
  <c r="AO52" i="9"/>
  <c r="AO51" i="9"/>
  <c r="AO44" i="9"/>
  <c r="AO50" i="9"/>
  <c r="I40" i="9" l="1"/>
  <c r="J40" i="9" s="1"/>
  <c r="K40" i="9" s="1"/>
  <c r="L40" i="9" s="1"/>
  <c r="M40" i="9" s="1"/>
  <c r="N40" i="9" s="1"/>
  <c r="O40" i="9" s="1"/>
  <c r="P40" i="9" s="1"/>
  <c r="Q40" i="9" s="1"/>
  <c r="R40" i="9" s="1"/>
  <c r="S40" i="9" s="1"/>
  <c r="T40" i="9" s="1"/>
  <c r="U40" i="9" s="1"/>
  <c r="V40" i="9" s="1"/>
  <c r="W40" i="9" s="1"/>
  <c r="X40" i="9" s="1"/>
  <c r="Y40" i="9" s="1"/>
  <c r="Z40" i="9" s="1"/>
  <c r="AA40" i="9" s="1"/>
  <c r="AB40" i="9" s="1"/>
  <c r="AC40" i="9" s="1"/>
  <c r="AD40" i="9" s="1"/>
  <c r="AE40" i="9" s="1"/>
  <c r="AF40" i="9" s="1"/>
  <c r="AG40" i="9" s="1"/>
  <c r="AH40" i="9" s="1"/>
  <c r="AI40" i="9" s="1"/>
  <c r="AJ40" i="9" s="1"/>
  <c r="AK40" i="9" s="1"/>
  <c r="AO34" i="9"/>
  <c r="AP28" i="9" s="1"/>
  <c r="AO38" i="9"/>
  <c r="AO47" i="9"/>
  <c r="AO53" i="9"/>
  <c r="AP32" i="9" l="1"/>
  <c r="AP29" i="9"/>
  <c r="AP31" i="9"/>
  <c r="AP30" i="9"/>
  <c r="AO36" i="9"/>
  <c r="AP33" i="9"/>
  <c r="AO55" i="9"/>
  <c r="AP34" i="9" l="1"/>
  <c r="AS12" i="8" l="1"/>
  <c r="G29" i="8" l="1"/>
  <c r="G5" i="8"/>
  <c r="H5" i="8"/>
  <c r="I5" i="8"/>
  <c r="J5" i="8"/>
  <c r="K5" i="8"/>
  <c r="L5" i="8"/>
  <c r="M5" i="8"/>
  <c r="N5" i="8"/>
  <c r="O5" i="8"/>
  <c r="P5" i="8"/>
  <c r="Q5" i="8"/>
  <c r="R5" i="8"/>
  <c r="R39" i="8" s="1"/>
  <c r="S5" i="8"/>
  <c r="T5" i="8"/>
  <c r="U5" i="8"/>
  <c r="V5" i="8"/>
  <c r="W5" i="8"/>
  <c r="X5" i="8"/>
  <c r="Y5" i="8"/>
  <c r="Y39" i="8" s="1"/>
  <c r="Z5" i="8"/>
  <c r="Z6" i="8" s="1"/>
  <c r="AA5" i="8"/>
  <c r="AB5" i="8"/>
  <c r="AC5" i="8"/>
  <c r="AD5" i="8"/>
  <c r="AE5" i="8"/>
  <c r="AF6" i="8"/>
  <c r="AG5" i="8"/>
  <c r="AH5" i="8"/>
  <c r="AH6" i="8" s="1"/>
  <c r="AI5" i="8"/>
  <c r="AJ5" i="8"/>
  <c r="AK5" i="8"/>
  <c r="N6" i="8"/>
  <c r="E31" i="5"/>
  <c r="E32" i="5"/>
  <c r="E33" i="5"/>
  <c r="E34" i="5"/>
  <c r="E35" i="5"/>
  <c r="E30" i="5"/>
  <c r="E17" i="7"/>
  <c r="E18" i="7"/>
  <c r="E19" i="7"/>
  <c r="E20" i="7"/>
  <c r="E21" i="7"/>
  <c r="E22" i="7"/>
  <c r="E23" i="7"/>
  <c r="E24" i="7"/>
  <c r="E16" i="7"/>
  <c r="E31" i="7"/>
  <c r="E32" i="7"/>
  <c r="E33" i="7"/>
  <c r="E34" i="7"/>
  <c r="E35" i="7"/>
  <c r="E30" i="7"/>
  <c r="E33" i="8"/>
  <c r="E28" i="8"/>
  <c r="E27" i="8"/>
  <c r="E26" i="8"/>
  <c r="E25" i="8"/>
  <c r="AE14" i="8"/>
  <c r="AJ29" i="8"/>
  <c r="AN33" i="8"/>
  <c r="AM29" i="8"/>
  <c r="AK29" i="8"/>
  <c r="AI29" i="8"/>
  <c r="AH29" i="8"/>
  <c r="AG29" i="8"/>
  <c r="AB29" i="8"/>
  <c r="AA29" i="8"/>
  <c r="Y29" i="8"/>
  <c r="W29" i="8"/>
  <c r="U29" i="8"/>
  <c r="T29" i="8"/>
  <c r="S29" i="8"/>
  <c r="R29" i="8"/>
  <c r="Q29" i="8"/>
  <c r="P29" i="8"/>
  <c r="O29" i="8"/>
  <c r="M29" i="8"/>
  <c r="K29" i="8"/>
  <c r="D29" i="8"/>
  <c r="F25" i="8" s="1"/>
  <c r="AN28" i="8"/>
  <c r="AN27" i="8"/>
  <c r="AN26" i="8"/>
  <c r="AN25" i="8"/>
  <c r="AM21" i="8"/>
  <c r="AH21" i="8"/>
  <c r="D21" i="8"/>
  <c r="AN20" i="8"/>
  <c r="AN19" i="8"/>
  <c r="AN18" i="8"/>
  <c r="AN17" i="8"/>
  <c r="AN16" i="8"/>
  <c r="AN15" i="8"/>
  <c r="AN14" i="8"/>
  <c r="AN13" i="8"/>
  <c r="AN12" i="8"/>
  <c r="AN11" i="8"/>
  <c r="AN10" i="8"/>
  <c r="R6" i="8"/>
  <c r="AP4" i="8"/>
  <c r="AS2" i="8" s="1"/>
  <c r="F55" i="7"/>
  <c r="F49" i="7"/>
  <c r="AM36" i="7"/>
  <c r="D36" i="7"/>
  <c r="F35" i="7" s="1"/>
  <c r="AN35" i="7"/>
  <c r="AN34" i="7"/>
  <c r="AN33" i="7"/>
  <c r="AN32" i="7"/>
  <c r="F32" i="7"/>
  <c r="AN31" i="7"/>
  <c r="AN30" i="7"/>
  <c r="AM25" i="7"/>
  <c r="D25" i="7"/>
  <c r="F20" i="7" s="1"/>
  <c r="AN24" i="7"/>
  <c r="AN23" i="7"/>
  <c r="AN22" i="7"/>
  <c r="AN21" i="7"/>
  <c r="AN20" i="7"/>
  <c r="AN19" i="7"/>
  <c r="AN18" i="7"/>
  <c r="AN17" i="7"/>
  <c r="AN16" i="7"/>
  <c r="AQ10" i="7"/>
  <c r="AJ31" i="6"/>
  <c r="F34" i="7" l="1"/>
  <c r="F30" i="7"/>
  <c r="F57" i="7"/>
  <c r="AJ22" i="7"/>
  <c r="AI22" i="7"/>
  <c r="AH22" i="7"/>
  <c r="H25" i="8"/>
  <c r="AF25" i="8"/>
  <c r="AH33" i="8"/>
  <c r="AJ33" i="8"/>
  <c r="AI33" i="8"/>
  <c r="AK33" i="8"/>
  <c r="AG33" i="8"/>
  <c r="AE33" i="8"/>
  <c r="AJ16" i="7"/>
  <c r="AI16" i="7"/>
  <c r="AH16" i="7"/>
  <c r="AG16" i="7"/>
  <c r="AE16" i="7"/>
  <c r="AF16" i="7"/>
  <c r="AD16" i="7"/>
  <c r="AC16" i="7"/>
  <c r="AB16" i="7"/>
  <c r="AA16" i="7"/>
  <c r="Z16" i="7"/>
  <c r="W16" i="7"/>
  <c r="Y16" i="7"/>
  <c r="X16" i="7"/>
  <c r="V16" i="7"/>
  <c r="U16" i="7"/>
  <c r="T16" i="7"/>
  <c r="R16" i="7"/>
  <c r="S16" i="7"/>
  <c r="Q16" i="7"/>
  <c r="P16" i="7"/>
  <c r="O16" i="7"/>
  <c r="N16" i="7"/>
  <c r="M16" i="7"/>
  <c r="L16" i="7"/>
  <c r="K16" i="7"/>
  <c r="J16" i="7"/>
  <c r="I16" i="7"/>
  <c r="H16" i="7"/>
  <c r="G16" i="7"/>
  <c r="AJ21" i="7"/>
  <c r="AI21" i="7"/>
  <c r="AH21" i="7"/>
  <c r="AG21" i="7"/>
  <c r="AE21" i="7"/>
  <c r="AF21" i="7"/>
  <c r="AD21" i="7"/>
  <c r="AC21" i="7"/>
  <c r="AB21" i="7"/>
  <c r="AA21" i="7"/>
  <c r="Z21" i="7"/>
  <c r="W21" i="7"/>
  <c r="Y21" i="7"/>
  <c r="X21" i="7"/>
  <c r="V21" i="7"/>
  <c r="U21" i="7"/>
  <c r="T21" i="7"/>
  <c r="R21" i="7"/>
  <c r="S21" i="7"/>
  <c r="Q21" i="7"/>
  <c r="P21" i="7"/>
  <c r="O21" i="7"/>
  <c r="N21" i="7"/>
  <c r="M21" i="7"/>
  <c r="L21" i="7"/>
  <c r="K21" i="7"/>
  <c r="J21" i="7"/>
  <c r="I21" i="7"/>
  <c r="H21" i="7"/>
  <c r="G21" i="7"/>
  <c r="AJ17" i="7"/>
  <c r="AI17" i="7"/>
  <c r="AH17" i="7"/>
  <c r="AG17" i="7"/>
  <c r="AE17" i="7"/>
  <c r="AF17" i="7"/>
  <c r="AD17" i="7"/>
  <c r="AC17" i="7"/>
  <c r="AB17" i="7"/>
  <c r="AA17" i="7"/>
  <c r="Z17" i="7"/>
  <c r="X17" i="7"/>
  <c r="Y17" i="7"/>
  <c r="W17" i="7"/>
  <c r="V17" i="7"/>
  <c r="U17" i="7"/>
  <c r="T17" i="7"/>
  <c r="S17" i="7"/>
  <c r="R17" i="7"/>
  <c r="Q17" i="7"/>
  <c r="P17" i="7"/>
  <c r="O17" i="7"/>
  <c r="N17" i="7"/>
  <c r="M17" i="7"/>
  <c r="L17" i="7"/>
  <c r="J17" i="7"/>
  <c r="K17" i="7"/>
  <c r="I17" i="7"/>
  <c r="G17" i="7"/>
  <c r="H17" i="7"/>
  <c r="AB6" i="8"/>
  <c r="P6" i="8"/>
  <c r="L6" i="8"/>
  <c r="H6" i="8"/>
  <c r="H28" i="8"/>
  <c r="AF28" i="8"/>
  <c r="AJ18" i="7"/>
  <c r="AI18" i="7"/>
  <c r="AH18" i="7"/>
  <c r="AG18" i="7"/>
  <c r="AF18" i="7"/>
  <c r="AE18" i="7"/>
  <c r="AD18" i="7"/>
  <c r="AC18" i="7"/>
  <c r="AB18" i="7"/>
  <c r="AA18" i="7"/>
  <c r="Z18" i="7"/>
  <c r="W18" i="7"/>
  <c r="Y18" i="7"/>
  <c r="X18" i="7"/>
  <c r="V18" i="7"/>
  <c r="U18" i="7"/>
  <c r="T18" i="7"/>
  <c r="S18" i="7"/>
  <c r="R18" i="7"/>
  <c r="Q18" i="7"/>
  <c r="P18" i="7"/>
  <c r="O18" i="7"/>
  <c r="N18" i="7"/>
  <c r="M18" i="7"/>
  <c r="L18" i="7"/>
  <c r="J18" i="7"/>
  <c r="K18" i="7"/>
  <c r="I18" i="7"/>
  <c r="G18" i="7"/>
  <c r="H18" i="7"/>
  <c r="AN36" i="7"/>
  <c r="H26" i="8"/>
  <c r="AF26" i="8"/>
  <c r="AJ24" i="7"/>
  <c r="AI24" i="7"/>
  <c r="AH24" i="7"/>
  <c r="AG24" i="7"/>
  <c r="AE24" i="7"/>
  <c r="AF24" i="7"/>
  <c r="AD24" i="7"/>
  <c r="AC24" i="7"/>
  <c r="AB24" i="7"/>
  <c r="AA24" i="7"/>
  <c r="Z24" i="7"/>
  <c r="Y24" i="7"/>
  <c r="X24" i="7"/>
  <c r="W24" i="7"/>
  <c r="V24" i="7"/>
  <c r="U24" i="7"/>
  <c r="T24" i="7"/>
  <c r="R24" i="7"/>
  <c r="S24" i="7"/>
  <c r="Q24" i="7"/>
  <c r="P24" i="7"/>
  <c r="O24" i="7"/>
  <c r="N24" i="7"/>
  <c r="M24" i="7"/>
  <c r="L24" i="7"/>
  <c r="J24" i="7"/>
  <c r="K24" i="7"/>
  <c r="I24" i="7"/>
  <c r="H24" i="7"/>
  <c r="G24" i="7"/>
  <c r="AJ20" i="7"/>
  <c r="AI20" i="7"/>
  <c r="AH20" i="7"/>
  <c r="AE6" i="8"/>
  <c r="AA6" i="8"/>
  <c r="W6" i="8"/>
  <c r="S6" i="8"/>
  <c r="O6" i="8"/>
  <c r="K6" i="8"/>
  <c r="K39" i="8"/>
  <c r="G6" i="8"/>
  <c r="F31" i="7"/>
  <c r="F33" i="7"/>
  <c r="AM23" i="8"/>
  <c r="H27" i="8"/>
  <c r="AF27" i="8"/>
  <c r="AJ23" i="7"/>
  <c r="AI23" i="7"/>
  <c r="AH23" i="7"/>
  <c r="AG23" i="7"/>
  <c r="AE23" i="7"/>
  <c r="AF23" i="7"/>
  <c r="AD23" i="7"/>
  <c r="AC23" i="7"/>
  <c r="AB23" i="7"/>
  <c r="AA23" i="7"/>
  <c r="Z23" i="7"/>
  <c r="X23" i="7"/>
  <c r="Y23" i="7"/>
  <c r="W23" i="7"/>
  <c r="V23" i="7"/>
  <c r="U23" i="7"/>
  <c r="T23" i="7"/>
  <c r="S23" i="7"/>
  <c r="R23" i="7"/>
  <c r="Q23" i="7"/>
  <c r="P23" i="7"/>
  <c r="O23" i="7"/>
  <c r="N23" i="7"/>
  <c r="M23" i="7"/>
  <c r="L23" i="7"/>
  <c r="J23" i="7"/>
  <c r="K23" i="7"/>
  <c r="I23" i="7"/>
  <c r="G23" i="7"/>
  <c r="H23" i="7"/>
  <c r="AJ19" i="7"/>
  <c r="AI19" i="7"/>
  <c r="AH19" i="7"/>
  <c r="AG19" i="7"/>
  <c r="AE19" i="7"/>
  <c r="AF19" i="7"/>
  <c r="AD19" i="7"/>
  <c r="AC19" i="7"/>
  <c r="AB19" i="7"/>
  <c r="AA19" i="7"/>
  <c r="Z19" i="7"/>
  <c r="X19" i="7"/>
  <c r="Y19" i="7"/>
  <c r="W19" i="7"/>
  <c r="V19" i="7"/>
  <c r="U19" i="7"/>
  <c r="T19" i="7"/>
  <c r="S19" i="7"/>
  <c r="R19" i="7"/>
  <c r="Q19" i="7"/>
  <c r="P19" i="7"/>
  <c r="O19" i="7"/>
  <c r="N19" i="7"/>
  <c r="M19" i="7"/>
  <c r="L19" i="7"/>
  <c r="J19" i="7"/>
  <c r="K19" i="7"/>
  <c r="I19" i="7"/>
  <c r="G19" i="7"/>
  <c r="H19" i="7"/>
  <c r="AD6" i="8"/>
  <c r="J6" i="8"/>
  <c r="AJ6" i="8"/>
  <c r="AJ23" i="8" s="1"/>
  <c r="AI6" i="8"/>
  <c r="AG22" i="7"/>
  <c r="AE22" i="7"/>
  <c r="AF22" i="7"/>
  <c r="AD22" i="7"/>
  <c r="AC22" i="7"/>
  <c r="AB22" i="7"/>
  <c r="AA22" i="7"/>
  <c r="Z22" i="7"/>
  <c r="W22" i="7"/>
  <c r="X22" i="7"/>
  <c r="Y22" i="7"/>
  <c r="V22" i="7"/>
  <c r="U22" i="7"/>
  <c r="T22" i="7"/>
  <c r="R22" i="7"/>
  <c r="S22" i="7"/>
  <c r="Q22" i="7"/>
  <c r="P22" i="7"/>
  <c r="O22" i="7"/>
  <c r="N22" i="7"/>
  <c r="M22" i="7"/>
  <c r="L22" i="7"/>
  <c r="K22" i="7"/>
  <c r="J22" i="7"/>
  <c r="I22" i="7"/>
  <c r="H22" i="7"/>
  <c r="G22" i="7"/>
  <c r="F23" i="7"/>
  <c r="F16" i="7"/>
  <c r="F22" i="7"/>
  <c r="F24" i="7"/>
  <c r="AG20" i="7"/>
  <c r="AE20" i="7"/>
  <c r="AF20" i="7"/>
  <c r="AD20" i="7"/>
  <c r="AC20" i="7"/>
  <c r="AB20" i="7"/>
  <c r="AA20" i="7"/>
  <c r="Z20" i="7"/>
  <c r="X20" i="7"/>
  <c r="W20" i="7"/>
  <c r="Y20" i="7"/>
  <c r="V20" i="7"/>
  <c r="U20" i="7"/>
  <c r="T20" i="7"/>
  <c r="R20" i="7"/>
  <c r="S20" i="7"/>
  <c r="Q20" i="7"/>
  <c r="P20" i="7"/>
  <c r="O20" i="7"/>
  <c r="N20" i="7"/>
  <c r="M20" i="7"/>
  <c r="L20" i="7"/>
  <c r="K20" i="7"/>
  <c r="J20" i="7"/>
  <c r="I20" i="7"/>
  <c r="H20" i="7"/>
  <c r="G20" i="7"/>
  <c r="F17" i="7"/>
  <c r="F28" i="8"/>
  <c r="AH23" i="8"/>
  <c r="F26" i="8"/>
  <c r="F27" i="8"/>
  <c r="AD10" i="8"/>
  <c r="AC10" i="8"/>
  <c r="AB10" i="8"/>
  <c r="AA10" i="8"/>
  <c r="Z10" i="8"/>
  <c r="X10" i="8"/>
  <c r="W10" i="8"/>
  <c r="V10" i="8"/>
  <c r="U10" i="8"/>
  <c r="T10" i="8"/>
  <c r="S10" i="8"/>
  <c r="Q10" i="8"/>
  <c r="P10" i="8"/>
  <c r="O10" i="8"/>
  <c r="N10" i="8"/>
  <c r="M10" i="8"/>
  <c r="L10" i="8"/>
  <c r="J10" i="8"/>
  <c r="I10" i="8"/>
  <c r="G10" i="8"/>
  <c r="H10" i="8"/>
  <c r="AD17" i="8"/>
  <c r="AC17" i="8"/>
  <c r="AB17" i="8"/>
  <c r="AA17" i="8"/>
  <c r="Z17" i="8"/>
  <c r="X17" i="8"/>
  <c r="W17" i="8"/>
  <c r="V17" i="8"/>
  <c r="U17" i="8"/>
  <c r="T17" i="8"/>
  <c r="S17" i="8"/>
  <c r="Q17" i="8"/>
  <c r="P17" i="8"/>
  <c r="O17" i="8"/>
  <c r="N17" i="8"/>
  <c r="M17" i="8"/>
  <c r="L17" i="8"/>
  <c r="I17" i="8"/>
  <c r="J17" i="8"/>
  <c r="H17" i="8"/>
  <c r="G17" i="8"/>
  <c r="AD13" i="8"/>
  <c r="AC13" i="8"/>
  <c r="AB13" i="8"/>
  <c r="AA13" i="8"/>
  <c r="Z13" i="8"/>
  <c r="X13" i="8"/>
  <c r="W13" i="8"/>
  <c r="V13" i="8"/>
  <c r="U13" i="8"/>
  <c r="T13" i="8"/>
  <c r="S13" i="8"/>
  <c r="Q13" i="8"/>
  <c r="P13" i="8"/>
  <c r="O13" i="8"/>
  <c r="N13" i="8"/>
  <c r="M13" i="8"/>
  <c r="L13" i="8"/>
  <c r="J13" i="8"/>
  <c r="I13" i="8"/>
  <c r="H13" i="8"/>
  <c r="G13" i="8"/>
  <c r="AD20" i="8"/>
  <c r="AC20" i="8"/>
  <c r="AB20" i="8"/>
  <c r="AA20" i="8"/>
  <c r="Z20" i="8"/>
  <c r="X20" i="8"/>
  <c r="W20" i="8"/>
  <c r="V20" i="8"/>
  <c r="U20" i="8"/>
  <c r="T20" i="8"/>
  <c r="S20" i="8"/>
  <c r="Q20" i="8"/>
  <c r="P20" i="8"/>
  <c r="O20" i="8"/>
  <c r="N20" i="8"/>
  <c r="M20" i="8"/>
  <c r="L20" i="8"/>
  <c r="J20" i="8"/>
  <c r="I20" i="8"/>
  <c r="H20" i="8"/>
  <c r="G20" i="8"/>
  <c r="AD16" i="8"/>
  <c r="AC16" i="8"/>
  <c r="AB16" i="8"/>
  <c r="AA16" i="8"/>
  <c r="Z16" i="8"/>
  <c r="X16" i="8"/>
  <c r="W16" i="8"/>
  <c r="V16" i="8"/>
  <c r="U16" i="8"/>
  <c r="T16" i="8"/>
  <c r="S16" i="8"/>
  <c r="AD12" i="8"/>
  <c r="AC12" i="8"/>
  <c r="AB12" i="8"/>
  <c r="AA12" i="8"/>
  <c r="Z12" i="8"/>
  <c r="X12" i="8"/>
  <c r="W12" i="8"/>
  <c r="V12" i="8"/>
  <c r="U12" i="8"/>
  <c r="T12" i="8"/>
  <c r="S12" i="8"/>
  <c r="Q12" i="8"/>
  <c r="P12" i="8"/>
  <c r="O12" i="8"/>
  <c r="N12" i="8"/>
  <c r="M12" i="8"/>
  <c r="L12" i="8"/>
  <c r="I12" i="8"/>
  <c r="J12" i="8"/>
  <c r="G12" i="8"/>
  <c r="H12" i="8"/>
  <c r="X6" i="8"/>
  <c r="AD19" i="8"/>
  <c r="AC19" i="8"/>
  <c r="AB19" i="8"/>
  <c r="AA19" i="8"/>
  <c r="Z19" i="8"/>
  <c r="W19" i="8"/>
  <c r="X19" i="8"/>
  <c r="V19" i="8"/>
  <c r="U19" i="8"/>
  <c r="T19" i="8"/>
  <c r="S19" i="8"/>
  <c r="AD15" i="8"/>
  <c r="AC15" i="8"/>
  <c r="AB15" i="8"/>
  <c r="AA15" i="8"/>
  <c r="Z15" i="8"/>
  <c r="W15" i="8"/>
  <c r="X15" i="8"/>
  <c r="V15" i="8"/>
  <c r="U15" i="8"/>
  <c r="T15" i="8"/>
  <c r="S15" i="8"/>
  <c r="Q15" i="8"/>
  <c r="P15" i="8"/>
  <c r="O15" i="8"/>
  <c r="N15" i="8"/>
  <c r="M15" i="8"/>
  <c r="L15" i="8"/>
  <c r="J15" i="8"/>
  <c r="I15" i="8"/>
  <c r="G15" i="8"/>
  <c r="H15" i="8"/>
  <c r="AD11" i="8"/>
  <c r="AC11" i="8"/>
  <c r="AB11" i="8"/>
  <c r="AA11" i="8"/>
  <c r="Z11" i="8"/>
  <c r="W11" i="8"/>
  <c r="X11" i="8"/>
  <c r="V11" i="8"/>
  <c r="U11" i="8"/>
  <c r="T11" i="8"/>
  <c r="S11" i="8"/>
  <c r="Q11" i="8"/>
  <c r="P11" i="8"/>
  <c r="O11" i="8"/>
  <c r="N11" i="8"/>
  <c r="M11" i="8"/>
  <c r="L11" i="8"/>
  <c r="J11" i="8"/>
  <c r="I11" i="8"/>
  <c r="H11" i="8"/>
  <c r="G11" i="8"/>
  <c r="AD18" i="8"/>
  <c r="AC18" i="8"/>
  <c r="AB18" i="8"/>
  <c r="AA18" i="8"/>
  <c r="Z18" i="8"/>
  <c r="X18" i="8"/>
  <c r="W18" i="8"/>
  <c r="V18" i="8"/>
  <c r="U18" i="8"/>
  <c r="T18" i="8"/>
  <c r="S18" i="8"/>
  <c r="Q18" i="8"/>
  <c r="P18" i="8"/>
  <c r="O18" i="8"/>
  <c r="N18" i="8"/>
  <c r="M18" i="8"/>
  <c r="L18" i="8"/>
  <c r="J18" i="8"/>
  <c r="I18" i="8"/>
  <c r="G18" i="8"/>
  <c r="H18" i="8"/>
  <c r="AD14" i="8"/>
  <c r="AC14" i="8"/>
  <c r="AB14" i="8"/>
  <c r="AA14" i="8"/>
  <c r="Z14" i="8"/>
  <c r="X14" i="8"/>
  <c r="W14" i="8"/>
  <c r="V14" i="8"/>
  <c r="U14" i="8"/>
  <c r="T14" i="8"/>
  <c r="S14" i="8"/>
  <c r="Q14" i="8"/>
  <c r="P14" i="8"/>
  <c r="O14" i="8"/>
  <c r="N14" i="8"/>
  <c r="M14" i="8"/>
  <c r="L14" i="8"/>
  <c r="J14" i="8"/>
  <c r="I14" i="8"/>
  <c r="AD33" i="8"/>
  <c r="AC33" i="8"/>
  <c r="AB33" i="8"/>
  <c r="AA33" i="8"/>
  <c r="Z33" i="8"/>
  <c r="X33" i="8"/>
  <c r="W33" i="8"/>
  <c r="V33" i="8"/>
  <c r="U33" i="8"/>
  <c r="T33" i="8"/>
  <c r="S33" i="8"/>
  <c r="Q33" i="8"/>
  <c r="P33" i="8"/>
  <c r="O33" i="8"/>
  <c r="N33" i="8"/>
  <c r="M33" i="8"/>
  <c r="L33" i="8"/>
  <c r="J33" i="8"/>
  <c r="I33" i="8"/>
  <c r="H33" i="8"/>
  <c r="G33" i="8"/>
  <c r="V6" i="8"/>
  <c r="Q19" i="8"/>
  <c r="P19" i="8"/>
  <c r="O19" i="8"/>
  <c r="N19" i="8"/>
  <c r="M19" i="8"/>
  <c r="L19" i="8"/>
  <c r="J19" i="8"/>
  <c r="I19" i="8"/>
  <c r="G19" i="8"/>
  <c r="H19" i="8"/>
  <c r="Q16" i="8"/>
  <c r="P16" i="8"/>
  <c r="O16" i="8"/>
  <c r="N16" i="8"/>
  <c r="M16" i="8"/>
  <c r="L16" i="8"/>
  <c r="J16" i="8"/>
  <c r="I16" i="8"/>
  <c r="H16" i="8"/>
  <c r="G16" i="8"/>
  <c r="AN21" i="8"/>
  <c r="AM31" i="8"/>
  <c r="D31" i="8"/>
  <c r="F21" i="8" s="1"/>
  <c r="D37" i="8"/>
  <c r="E37" i="8" s="1"/>
  <c r="F13" i="8"/>
  <c r="F19" i="8"/>
  <c r="E21" i="8"/>
  <c r="G14" i="8"/>
  <c r="H14" i="8"/>
  <c r="F11" i="8"/>
  <c r="F17" i="8"/>
  <c r="AT2" i="8"/>
  <c r="AU2" i="8" s="1"/>
  <c r="F15" i="8"/>
  <c r="F10" i="8"/>
  <c r="F12" i="8"/>
  <c r="F14" i="8"/>
  <c r="F16" i="8"/>
  <c r="F18" i="8"/>
  <c r="F20" i="8"/>
  <c r="AJ31" i="8"/>
  <c r="AJ38" i="8" s="1"/>
  <c r="AJ7" i="7" s="1"/>
  <c r="AJ37" i="8"/>
  <c r="AH31" i="8"/>
  <c r="AH38" i="8" s="1"/>
  <c r="AH7" i="7" s="1"/>
  <c r="AP5" i="8"/>
  <c r="AH37" i="8"/>
  <c r="T6" i="8"/>
  <c r="AK6" i="8"/>
  <c r="I6" i="8"/>
  <c r="M6" i="8"/>
  <c r="Q6" i="8"/>
  <c r="U6" i="8"/>
  <c r="Y6" i="8"/>
  <c r="AC6" i="8"/>
  <c r="AG6" i="8"/>
  <c r="E29" i="8"/>
  <c r="E25" i="7"/>
  <c r="D38" i="7"/>
  <c r="F18" i="7"/>
  <c r="AN25" i="7"/>
  <c r="F19" i="7"/>
  <c r="F21" i="7"/>
  <c r="E36" i="7"/>
  <c r="AH31" i="6"/>
  <c r="AI31" i="6"/>
  <c r="AG31" i="6"/>
  <c r="F36" i="7" l="1"/>
  <c r="AP17" i="7"/>
  <c r="AP13" i="8"/>
  <c r="AQ13" i="8" s="1"/>
  <c r="AF29" i="8"/>
  <c r="AP10" i="8"/>
  <c r="H29" i="8"/>
  <c r="AJ25" i="7"/>
  <c r="D40" i="7"/>
  <c r="E38" i="7"/>
  <c r="F25" i="7"/>
  <c r="AP17" i="8"/>
  <c r="AQ17" i="8" s="1"/>
  <c r="F29" i="8"/>
  <c r="F31" i="8" s="1"/>
  <c r="AP18" i="8"/>
  <c r="AQ18" i="8" s="1"/>
  <c r="AP12" i="8"/>
  <c r="AQ12" i="8" s="1"/>
  <c r="AP20" i="8"/>
  <c r="AQ20" i="8" s="1"/>
  <c r="D35" i="8"/>
  <c r="F33" i="8" s="1"/>
  <c r="AP15" i="8"/>
  <c r="AQ15" i="8" s="1"/>
  <c r="AP33" i="8"/>
  <c r="AQ33" i="8" s="1"/>
  <c r="AB21" i="8"/>
  <c r="AB37" i="8" s="1"/>
  <c r="I21" i="8"/>
  <c r="I37" i="8" s="1"/>
  <c r="T21" i="8"/>
  <c r="T23" i="8"/>
  <c r="M21" i="8"/>
  <c r="M37" i="8" s="1"/>
  <c r="AA21" i="8"/>
  <c r="E31" i="8"/>
  <c r="E35" i="8" s="1"/>
  <c r="J21" i="8"/>
  <c r="J37" i="8" s="1"/>
  <c r="D38" i="8"/>
  <c r="E38" i="8" s="1"/>
  <c r="F38" i="8" s="1"/>
  <c r="AN31" i="8"/>
  <c r="AM35" i="8"/>
  <c r="AP14" i="8"/>
  <c r="AQ14" i="8" s="1"/>
  <c r="N25" i="7"/>
  <c r="AP18" i="7"/>
  <c r="I25" i="7"/>
  <c r="AP21" i="7"/>
  <c r="AP24" i="7"/>
  <c r="W25" i="7"/>
  <c r="F37" i="8"/>
  <c r="AS4" i="8"/>
  <c r="AP6" i="8"/>
  <c r="AS6" i="8" s="1"/>
  <c r="AT6" i="8" s="1"/>
  <c r="AU6" i="8" s="1"/>
  <c r="Z21" i="8"/>
  <c r="AD21" i="8"/>
  <c r="V21" i="8"/>
  <c r="AG21" i="8"/>
  <c r="AG23" i="8" s="1"/>
  <c r="G21" i="8"/>
  <c r="W21" i="8"/>
  <c r="AP16" i="8"/>
  <c r="AQ16" i="8" s="1"/>
  <c r="AK23" i="8"/>
  <c r="Q21" i="8"/>
  <c r="Q23" i="8" s="1"/>
  <c r="AC21" i="8"/>
  <c r="AC23" i="8" s="1"/>
  <c r="AP11" i="8"/>
  <c r="AQ11" i="8" s="1"/>
  <c r="U21" i="8"/>
  <c r="AP19" i="8"/>
  <c r="AQ19" i="8" s="1"/>
  <c r="R21" i="8"/>
  <c r="H21" i="8"/>
  <c r="D39" i="8"/>
  <c r="K21" i="8"/>
  <c r="O21" i="8"/>
  <c r="O31" i="8" s="1"/>
  <c r="Y21" i="8"/>
  <c r="AE21" i="8"/>
  <c r="L21" i="8"/>
  <c r="S21" i="8"/>
  <c r="AI21" i="8"/>
  <c r="P21" i="8"/>
  <c r="X21" i="8"/>
  <c r="X37" i="8" s="1"/>
  <c r="AF21" i="8"/>
  <c r="N21" i="8"/>
  <c r="AI25" i="7"/>
  <c r="Q25" i="7"/>
  <c r="P25" i="7"/>
  <c r="AP22" i="7"/>
  <c r="AE25" i="7"/>
  <c r="R25" i="7"/>
  <c r="AP19" i="7"/>
  <c r="AP23" i="7"/>
  <c r="O25" i="7"/>
  <c r="AK25" i="7"/>
  <c r="AP20" i="7"/>
  <c r="Y25" i="7"/>
  <c r="AG25" i="7"/>
  <c r="U25" i="7"/>
  <c r="AH25" i="7"/>
  <c r="M25" i="7"/>
  <c r="F38" i="7"/>
  <c r="D6" i="7"/>
  <c r="F6" i="7" s="1"/>
  <c r="K25" i="7"/>
  <c r="H25" i="7"/>
  <c r="X25" i="7"/>
  <c r="Z25" i="7"/>
  <c r="AF25" i="7"/>
  <c r="AD25" i="7"/>
  <c r="V25" i="7"/>
  <c r="T25" i="7"/>
  <c r="S25" i="7"/>
  <c r="AA25" i="7"/>
  <c r="J25" i="7"/>
  <c r="AC25" i="7"/>
  <c r="G25" i="7"/>
  <c r="AP16" i="7"/>
  <c r="L25" i="7"/>
  <c r="AB25" i="7"/>
  <c r="AF31" i="6"/>
  <c r="AF31" i="8" l="1"/>
  <c r="AI35" i="8"/>
  <c r="AI39" i="8" s="1"/>
  <c r="AJ35" i="8"/>
  <c r="AJ39" i="8" s="1"/>
  <c r="AH35" i="8"/>
  <c r="AH39" i="8" s="1"/>
  <c r="AK35" i="8"/>
  <c r="AK39" i="8" s="1"/>
  <c r="AG35" i="8"/>
  <c r="AG39" i="8" s="1"/>
  <c r="AE35" i="8"/>
  <c r="AE39" i="8" s="1"/>
  <c r="AJ6" i="7"/>
  <c r="AJ10" i="7" s="1"/>
  <c r="AJ27" i="7" s="1"/>
  <c r="AI6" i="7"/>
  <c r="AH6" i="7"/>
  <c r="AG6" i="7"/>
  <c r="AE6" i="7"/>
  <c r="AF6" i="7"/>
  <c r="AD6" i="7"/>
  <c r="AC6" i="7"/>
  <c r="AB6" i="7"/>
  <c r="AA6" i="7"/>
  <c r="Z6" i="7"/>
  <c r="W6" i="7"/>
  <c r="X6" i="7"/>
  <c r="Y6" i="7"/>
  <c r="V6" i="7"/>
  <c r="U6" i="7"/>
  <c r="T6" i="7"/>
  <c r="R6" i="7"/>
  <c r="S6" i="7"/>
  <c r="Q6" i="7"/>
  <c r="P6" i="7"/>
  <c r="O6" i="7"/>
  <c r="N6" i="7"/>
  <c r="M6" i="7"/>
  <c r="L6" i="7"/>
  <c r="K6" i="7"/>
  <c r="J6" i="7"/>
  <c r="I6" i="7"/>
  <c r="H6" i="7"/>
  <c r="G6" i="7"/>
  <c r="AF38" i="8"/>
  <c r="AF37" i="8"/>
  <c r="AF35" i="8"/>
  <c r="AN35" i="8"/>
  <c r="M31" i="8"/>
  <c r="M38" i="8" s="1"/>
  <c r="M7" i="7" s="1"/>
  <c r="AB23" i="8"/>
  <c r="F35" i="8"/>
  <c r="AB31" i="8"/>
  <c r="AB38" i="8" s="1"/>
  <c r="AB7" i="7" s="1"/>
  <c r="I23" i="8"/>
  <c r="I28" i="8" s="1"/>
  <c r="J23" i="8"/>
  <c r="J26" i="8" s="1"/>
  <c r="AD35" i="8"/>
  <c r="AD39" i="8" s="1"/>
  <c r="AC35" i="8"/>
  <c r="AC39" i="8" s="1"/>
  <c r="AB35" i="8"/>
  <c r="AB39" i="8" s="1"/>
  <c r="AA35" i="8"/>
  <c r="AA39" i="8" s="1"/>
  <c r="Z35" i="8"/>
  <c r="Z39" i="8" s="1"/>
  <c r="X35" i="8"/>
  <c r="X39" i="8" s="1"/>
  <c r="W35" i="8"/>
  <c r="W39" i="8" s="1"/>
  <c r="V35" i="8"/>
  <c r="V39" i="8" s="1"/>
  <c r="U35" i="8"/>
  <c r="U39" i="8" s="1"/>
  <c r="T35" i="8"/>
  <c r="T39" i="8" s="1"/>
  <c r="S35" i="8"/>
  <c r="S39" i="8" s="1"/>
  <c r="T31" i="8"/>
  <c r="T38" i="8" s="1"/>
  <c r="T7" i="7" s="1"/>
  <c r="T37" i="8"/>
  <c r="AC28" i="8"/>
  <c r="AC27" i="8"/>
  <c r="AC26" i="8"/>
  <c r="AC25" i="8"/>
  <c r="M23" i="8"/>
  <c r="AA31" i="8"/>
  <c r="AA38" i="8" s="1"/>
  <c r="AA7" i="7" s="1"/>
  <c r="AA23" i="8"/>
  <c r="AA37" i="8"/>
  <c r="AQ6" i="8"/>
  <c r="Q35" i="8"/>
  <c r="Q39" i="8" s="1"/>
  <c r="P35" i="8"/>
  <c r="P39" i="8" s="1"/>
  <c r="O35" i="8"/>
  <c r="O39" i="8" s="1"/>
  <c r="N35" i="8"/>
  <c r="N39" i="8" s="1"/>
  <c r="M35" i="8"/>
  <c r="M39" i="8" s="1"/>
  <c r="L35" i="8"/>
  <c r="L39" i="8" s="1"/>
  <c r="J35" i="8"/>
  <c r="J39" i="8" s="1"/>
  <c r="I35" i="8"/>
  <c r="I39" i="8" s="1"/>
  <c r="E39" i="8"/>
  <c r="F39" i="8" s="1"/>
  <c r="H35" i="8"/>
  <c r="H39" i="8" s="1"/>
  <c r="G35" i="8"/>
  <c r="G39" i="8" s="1"/>
  <c r="AT4" i="8"/>
  <c r="AU4" i="8" s="1"/>
  <c r="AS1" i="8"/>
  <c r="AT1" i="8" s="1"/>
  <c r="N37" i="8"/>
  <c r="N23" i="8"/>
  <c r="L37" i="8"/>
  <c r="L23" i="8"/>
  <c r="K31" i="8"/>
  <c r="K38" i="8" s="1"/>
  <c r="K7" i="7" s="1"/>
  <c r="K23" i="8"/>
  <c r="K37" i="8"/>
  <c r="AD37" i="8"/>
  <c r="AD23" i="8"/>
  <c r="AI31" i="8"/>
  <c r="AI38" i="8" s="1"/>
  <c r="AI7" i="7" s="1"/>
  <c r="AI10" i="7" s="1"/>
  <c r="AI27" i="7" s="1"/>
  <c r="AI23" i="8"/>
  <c r="AI37" i="8"/>
  <c r="Q31" i="8"/>
  <c r="Q38" i="8" s="1"/>
  <c r="Q7" i="7" s="1"/>
  <c r="Q10" i="7" s="1"/>
  <c r="Q27" i="7" s="1"/>
  <c r="Q37" i="8"/>
  <c r="V23" i="8"/>
  <c r="V37" i="8"/>
  <c r="X23" i="8"/>
  <c r="S31" i="8"/>
  <c r="S38" i="8" s="1"/>
  <c r="S7" i="7" s="1"/>
  <c r="S10" i="7" s="1"/>
  <c r="S27" i="7" s="1"/>
  <c r="S37" i="8"/>
  <c r="S23" i="8"/>
  <c r="Y31" i="8"/>
  <c r="Y38" i="8" s="1"/>
  <c r="Y7" i="7" s="1"/>
  <c r="Y37" i="8"/>
  <c r="AK31" i="8"/>
  <c r="AK38" i="8" s="1"/>
  <c r="AK7" i="7" s="1"/>
  <c r="AK10" i="7" s="1"/>
  <c r="AK27" i="7" s="1"/>
  <c r="AK37" i="8"/>
  <c r="G31" i="8"/>
  <c r="G38" i="8" s="1"/>
  <c r="G7" i="7" s="1"/>
  <c r="G37" i="8"/>
  <c r="G23" i="8"/>
  <c r="Z23" i="8"/>
  <c r="Z37" i="8"/>
  <c r="P31" i="8"/>
  <c r="P38" i="8" s="1"/>
  <c r="P7" i="7" s="1"/>
  <c r="P10" i="7" s="1"/>
  <c r="P27" i="7" s="1"/>
  <c r="P23" i="8"/>
  <c r="P37" i="8"/>
  <c r="U31" i="8"/>
  <c r="U37" i="8"/>
  <c r="W31" i="8"/>
  <c r="W38" i="8" s="1"/>
  <c r="W7" i="7" s="1"/>
  <c r="W10" i="7" s="1"/>
  <c r="W27" i="7" s="1"/>
  <c r="W37" i="8"/>
  <c r="W23" i="8"/>
  <c r="AF7" i="7"/>
  <c r="AF10" i="7" s="1"/>
  <c r="AF27" i="7" s="1"/>
  <c r="AF23" i="8"/>
  <c r="AE23" i="8"/>
  <c r="AE37" i="8"/>
  <c r="R31" i="8"/>
  <c r="R38" i="8" s="1"/>
  <c r="R7" i="7" s="1"/>
  <c r="R10" i="7" s="1"/>
  <c r="R27" i="7" s="1"/>
  <c r="R37" i="8"/>
  <c r="R23" i="8"/>
  <c r="AP21" i="8"/>
  <c r="AQ10" i="8"/>
  <c r="U23" i="8"/>
  <c r="Y23" i="8"/>
  <c r="O38" i="8"/>
  <c r="O7" i="7" s="1"/>
  <c r="O23" i="8"/>
  <c r="O37" i="8"/>
  <c r="H31" i="8"/>
  <c r="H23" i="8"/>
  <c r="H37" i="8"/>
  <c r="AC37" i="8"/>
  <c r="AG31" i="8"/>
  <c r="AG38" i="8" s="1"/>
  <c r="AG7" i="7" s="1"/>
  <c r="AG10" i="7" s="1"/>
  <c r="AG27" i="7" s="1"/>
  <c r="AG37" i="8"/>
  <c r="AH10" i="7"/>
  <c r="AH27" i="7" s="1"/>
  <c r="AP25" i="7"/>
  <c r="AE31" i="6"/>
  <c r="M10" i="7" l="1"/>
  <c r="M27" i="7" s="1"/>
  <c r="AB10" i="7"/>
  <c r="AB27" i="7" s="1"/>
  <c r="AB35" i="7" s="1"/>
  <c r="O10" i="7"/>
  <c r="O27" i="7" s="1"/>
  <c r="O30" i="7" s="1"/>
  <c r="Y10" i="7"/>
  <c r="Y27" i="7" s="1"/>
  <c r="Y32" i="7" s="1"/>
  <c r="K10" i="7"/>
  <c r="K27" i="7" s="1"/>
  <c r="AJ34" i="7"/>
  <c r="AJ33" i="7"/>
  <c r="AJ30" i="7"/>
  <c r="AJ31" i="7"/>
  <c r="AJ35" i="7"/>
  <c r="AJ32" i="7"/>
  <c r="AA10" i="7"/>
  <c r="AA27" i="7" s="1"/>
  <c r="AA32" i="7" s="1"/>
  <c r="T10" i="7"/>
  <c r="T27" i="7" s="1"/>
  <c r="I26" i="8"/>
  <c r="I25" i="8"/>
  <c r="AE26" i="8"/>
  <c r="AE25" i="8"/>
  <c r="AE28" i="8"/>
  <c r="AE27" i="8"/>
  <c r="AQ21" i="8"/>
  <c r="J27" i="8"/>
  <c r="I27" i="8"/>
  <c r="J28" i="8"/>
  <c r="J25" i="8"/>
  <c r="U38" i="8"/>
  <c r="U7" i="7" s="1"/>
  <c r="U10" i="7" s="1"/>
  <c r="U27" i="7" s="1"/>
  <c r="AP39" i="8"/>
  <c r="AC29" i="8"/>
  <c r="AC31" i="8" s="1"/>
  <c r="AC38" i="8" s="1"/>
  <c r="AC7" i="7" s="1"/>
  <c r="AC10" i="7" s="1"/>
  <c r="AC27" i="7" s="1"/>
  <c r="AC32" i="7" s="1"/>
  <c r="V27" i="8"/>
  <c r="V26" i="8"/>
  <c r="V25" i="8"/>
  <c r="V28" i="8"/>
  <c r="AD26" i="8"/>
  <c r="AD25" i="8"/>
  <c r="AD28" i="8"/>
  <c r="AD27" i="8"/>
  <c r="AP23" i="8"/>
  <c r="AS23" i="8" s="1"/>
  <c r="N28" i="8"/>
  <c r="N27" i="8"/>
  <c r="N26" i="8"/>
  <c r="N25" i="8"/>
  <c r="H38" i="8"/>
  <c r="H7" i="7" s="1"/>
  <c r="H10" i="7" s="1"/>
  <c r="H27" i="7" s="1"/>
  <c r="L25" i="8"/>
  <c r="L26" i="8"/>
  <c r="L27" i="8"/>
  <c r="L28" i="8"/>
  <c r="AP37" i="8"/>
  <c r="AB34" i="7"/>
  <c r="AB31" i="7"/>
  <c r="AB33" i="7"/>
  <c r="T34" i="7"/>
  <c r="T30" i="7"/>
  <c r="T35" i="7"/>
  <c r="T31" i="7"/>
  <c r="T33" i="7"/>
  <c r="T32" i="7"/>
  <c r="Y31" i="7"/>
  <c r="Y30" i="7"/>
  <c r="AP6" i="7"/>
  <c r="G10" i="7"/>
  <c r="G27" i="7" s="1"/>
  <c r="AI33" i="7"/>
  <c r="AI34" i="7"/>
  <c r="AI30" i="7"/>
  <c r="AI35" i="7"/>
  <c r="AI31" i="7"/>
  <c r="AI32" i="7"/>
  <c r="S33" i="7"/>
  <c r="S34" i="7"/>
  <c r="S30" i="7"/>
  <c r="S32" i="7"/>
  <c r="S35" i="7"/>
  <c r="S31" i="7"/>
  <c r="M35" i="7"/>
  <c r="M31" i="7"/>
  <c r="M32" i="7"/>
  <c r="M34" i="7"/>
  <c r="M30" i="7"/>
  <c r="M33" i="7"/>
  <c r="R32" i="7"/>
  <c r="R33" i="7"/>
  <c r="R34" i="7"/>
  <c r="R30" i="7"/>
  <c r="R35" i="7"/>
  <c r="R31" i="7"/>
  <c r="K33" i="7"/>
  <c r="K34" i="7"/>
  <c r="K30" i="7"/>
  <c r="K35" i="7"/>
  <c r="K31" i="7"/>
  <c r="K32" i="7"/>
  <c r="AF34" i="7"/>
  <c r="AF30" i="7"/>
  <c r="AF35" i="7"/>
  <c r="AF31" i="7"/>
  <c r="AF33" i="7"/>
  <c r="AF32" i="7"/>
  <c r="Q35" i="7"/>
  <c r="Q31" i="7"/>
  <c r="Q32" i="7"/>
  <c r="Q33" i="7"/>
  <c r="Q34" i="7"/>
  <c r="Q30" i="7"/>
  <c r="AG35" i="7"/>
  <c r="AG31" i="7"/>
  <c r="AG32" i="7"/>
  <c r="AG34" i="7"/>
  <c r="AG30" i="7"/>
  <c r="AG33" i="7"/>
  <c r="AQ17" i="7"/>
  <c r="AQ21" i="7"/>
  <c r="AQ18" i="7"/>
  <c r="AQ24" i="7"/>
  <c r="AQ20" i="7"/>
  <c r="AH32" i="7"/>
  <c r="AH33" i="7"/>
  <c r="AH35" i="7"/>
  <c r="AH31" i="7"/>
  <c r="AH34" i="7"/>
  <c r="AH30" i="7"/>
  <c r="AA30" i="7"/>
  <c r="AQ23" i="7"/>
  <c r="AQ16" i="7"/>
  <c r="AQ19" i="7"/>
  <c r="AQ22" i="7"/>
  <c r="W33" i="7"/>
  <c r="W34" i="7"/>
  <c r="W30" i="7"/>
  <c r="W35" i="7"/>
  <c r="W32" i="7"/>
  <c r="W31" i="7"/>
  <c r="P34" i="7"/>
  <c r="P30" i="7"/>
  <c r="P35" i="7"/>
  <c r="P31" i="7"/>
  <c r="P33" i="7"/>
  <c r="P32" i="7"/>
  <c r="O33" i="7"/>
  <c r="O32" i="7"/>
  <c r="AK34" i="7"/>
  <c r="AK30" i="7"/>
  <c r="AK35" i="7"/>
  <c r="AK31" i="7"/>
  <c r="AK32" i="7"/>
  <c r="AK33" i="7"/>
  <c r="AD31" i="6"/>
  <c r="O35" i="7" l="1"/>
  <c r="O31" i="7"/>
  <c r="O34" i="7"/>
  <c r="O36" i="7" s="1"/>
  <c r="O38" i="7" s="1"/>
  <c r="O40" i="7" s="1"/>
  <c r="AB32" i="7"/>
  <c r="AB30" i="7"/>
  <c r="AA31" i="7"/>
  <c r="AA34" i="7"/>
  <c r="Y34" i="7"/>
  <c r="Y35" i="7"/>
  <c r="AA35" i="7"/>
  <c r="AA33" i="7"/>
  <c r="Y33" i="7"/>
  <c r="AJ36" i="7"/>
  <c r="AJ38" i="7" s="1"/>
  <c r="AJ40" i="7" s="1"/>
  <c r="I29" i="8"/>
  <c r="I31" i="8" s="1"/>
  <c r="AE29" i="8"/>
  <c r="AE31" i="8" s="1"/>
  <c r="AE38" i="8" s="1"/>
  <c r="AE7" i="7" s="1"/>
  <c r="AE10" i="7" s="1"/>
  <c r="AE27" i="7" s="1"/>
  <c r="J29" i="8"/>
  <c r="J31" i="8" s="1"/>
  <c r="J38" i="8" s="1"/>
  <c r="J7" i="7" s="1"/>
  <c r="J10" i="7" s="1"/>
  <c r="J27" i="7" s="1"/>
  <c r="J32" i="7" s="1"/>
  <c r="AC33" i="7"/>
  <c r="AC31" i="7"/>
  <c r="U35" i="7"/>
  <c r="U30" i="7"/>
  <c r="U31" i="7"/>
  <c r="U33" i="7"/>
  <c r="U32" i="7"/>
  <c r="U34" i="7"/>
  <c r="AC30" i="7"/>
  <c r="AC35" i="7"/>
  <c r="AC34" i="7"/>
  <c r="AD29" i="8"/>
  <c r="AD31" i="8" s="1"/>
  <c r="AD38" i="8" s="1"/>
  <c r="AD7" i="7" s="1"/>
  <c r="AD10" i="7" s="1"/>
  <c r="AD27" i="7" s="1"/>
  <c r="AP28" i="8"/>
  <c r="AQ28" i="8" s="1"/>
  <c r="H33" i="7"/>
  <c r="H34" i="7"/>
  <c r="H30" i="7"/>
  <c r="H35" i="7"/>
  <c r="H32" i="7"/>
  <c r="H31" i="7"/>
  <c r="L29" i="8"/>
  <c r="L31" i="8" s="1"/>
  <c r="L38" i="8" s="1"/>
  <c r="L7" i="7" s="1"/>
  <c r="L10" i="7" s="1"/>
  <c r="L27" i="7" s="1"/>
  <c r="AF36" i="7"/>
  <c r="AF38" i="7" s="1"/>
  <c r="AF40" i="7" s="1"/>
  <c r="R36" i="7"/>
  <c r="R38" i="7" s="1"/>
  <c r="R40" i="7" s="1"/>
  <c r="AK36" i="7"/>
  <c r="AK38" i="7" s="1"/>
  <c r="AK40" i="7" s="1"/>
  <c r="AP27" i="8"/>
  <c r="AQ27" i="8" s="1"/>
  <c r="AP26" i="8"/>
  <c r="AQ26" i="8" s="1"/>
  <c r="Z29" i="8"/>
  <c r="Z31" i="8" s="1"/>
  <c r="Z38" i="8" s="1"/>
  <c r="Z7" i="7" s="1"/>
  <c r="Z10" i="7" s="1"/>
  <c r="Z27" i="7" s="1"/>
  <c r="N29" i="8"/>
  <c r="N31" i="8" s="1"/>
  <c r="N38" i="8" s="1"/>
  <c r="N7" i="7" s="1"/>
  <c r="N10" i="7" s="1"/>
  <c r="N27" i="7" s="1"/>
  <c r="X29" i="8"/>
  <c r="X31" i="8" s="1"/>
  <c r="W36" i="7"/>
  <c r="W38" i="7" s="1"/>
  <c r="W40" i="7" s="1"/>
  <c r="K36" i="7"/>
  <c r="K38" i="7" s="1"/>
  <c r="K40" i="7" s="1"/>
  <c r="S36" i="7"/>
  <c r="S38" i="7" s="1"/>
  <c r="S40" i="7" s="1"/>
  <c r="P36" i="7"/>
  <c r="P38" i="7" s="1"/>
  <c r="P40" i="7" s="1"/>
  <c r="AQ25" i="7"/>
  <c r="AH36" i="7"/>
  <c r="AH38" i="7" s="1"/>
  <c r="AH40" i="7" s="1"/>
  <c r="Q36" i="7"/>
  <c r="Q38" i="7" s="1"/>
  <c r="Q40" i="7" s="1"/>
  <c r="G33" i="7"/>
  <c r="G34" i="7"/>
  <c r="G30" i="7"/>
  <c r="G35" i="7"/>
  <c r="G32" i="7"/>
  <c r="G31" i="7"/>
  <c r="T36" i="7"/>
  <c r="T38" i="7" s="1"/>
  <c r="T40" i="7" s="1"/>
  <c r="AB36" i="7"/>
  <c r="AB38" i="7" s="1"/>
  <c r="AB40" i="7" s="1"/>
  <c r="AG36" i="7"/>
  <c r="AG38" i="7" s="1"/>
  <c r="AG40" i="7" s="1"/>
  <c r="M36" i="7"/>
  <c r="M38" i="7" s="1"/>
  <c r="M40" i="7" s="1"/>
  <c r="AA36" i="7"/>
  <c r="AA38" i="7" s="1"/>
  <c r="AA40" i="7" s="1"/>
  <c r="AI36" i="7"/>
  <c r="AI38" i="7" s="1"/>
  <c r="AI40" i="7" s="1"/>
  <c r="Y36" i="7" l="1"/>
  <c r="Y38" i="7" s="1"/>
  <c r="Y40" i="7" s="1"/>
  <c r="I38" i="8"/>
  <c r="I7" i="7" s="1"/>
  <c r="I10" i="7" s="1"/>
  <c r="I27" i="7" s="1"/>
  <c r="J35" i="7"/>
  <c r="J30" i="7"/>
  <c r="J34" i="7"/>
  <c r="J31" i="7"/>
  <c r="J33" i="7"/>
  <c r="AE33" i="7"/>
  <c r="AE32" i="7"/>
  <c r="AE30" i="7"/>
  <c r="AE35" i="7"/>
  <c r="AE34" i="7"/>
  <c r="AE31" i="7"/>
  <c r="AC36" i="7"/>
  <c r="AC38" i="7" s="1"/>
  <c r="AC40" i="7" s="1"/>
  <c r="U36" i="7"/>
  <c r="U38" i="7" s="1"/>
  <c r="U40" i="7" s="1"/>
  <c r="H36" i="7"/>
  <c r="H38" i="7" s="1"/>
  <c r="H40" i="7" s="1"/>
  <c r="X38" i="8"/>
  <c r="X7" i="7" s="1"/>
  <c r="X10" i="7" s="1"/>
  <c r="X27" i="7" s="1"/>
  <c r="AD32" i="7"/>
  <c r="AD35" i="7"/>
  <c r="AD33" i="7"/>
  <c r="AD31" i="7"/>
  <c r="AD34" i="7"/>
  <c r="AD30" i="7"/>
  <c r="L34" i="7"/>
  <c r="L32" i="7"/>
  <c r="L35" i="7"/>
  <c r="L33" i="7"/>
  <c r="L31" i="7"/>
  <c r="L30" i="7"/>
  <c r="N35" i="7"/>
  <c r="N31" i="7"/>
  <c r="N32" i="7"/>
  <c r="N34" i="7"/>
  <c r="N33" i="7"/>
  <c r="N30" i="7"/>
  <c r="Z33" i="7"/>
  <c r="Z30" i="7"/>
  <c r="Z35" i="7"/>
  <c r="Z31" i="7"/>
  <c r="Z32" i="7"/>
  <c r="Z34" i="7"/>
  <c r="G36" i="7"/>
  <c r="G38" i="7" s="1"/>
  <c r="G40" i="7" s="1"/>
  <c r="G42" i="7" s="1"/>
  <c r="H42" i="7" s="1"/>
  <c r="AC31" i="6"/>
  <c r="I33" i="7" l="1"/>
  <c r="I31" i="7"/>
  <c r="I32" i="7"/>
  <c r="I34" i="7"/>
  <c r="I30" i="7"/>
  <c r="I35" i="7"/>
  <c r="J36" i="7"/>
  <c r="J38" i="7" s="1"/>
  <c r="J40" i="7" s="1"/>
  <c r="AE36" i="7"/>
  <c r="AE38" i="7" s="1"/>
  <c r="AE40" i="7" s="1"/>
  <c r="X33" i="7"/>
  <c r="X30" i="7"/>
  <c r="X31" i="7"/>
  <c r="X32" i="7"/>
  <c r="X34" i="7"/>
  <c r="X35" i="7"/>
  <c r="AD36" i="7"/>
  <c r="AD38" i="7" s="1"/>
  <c r="AD40" i="7" s="1"/>
  <c r="L36" i="7"/>
  <c r="L38" i="7" s="1"/>
  <c r="L40" i="7" s="1"/>
  <c r="N36" i="7"/>
  <c r="N38" i="7" s="1"/>
  <c r="N40" i="7" s="1"/>
  <c r="Z36" i="7"/>
  <c r="Z38" i="7" s="1"/>
  <c r="Z40" i="7" s="1"/>
  <c r="AB31" i="6"/>
  <c r="I36" i="7" l="1"/>
  <c r="I38" i="7" s="1"/>
  <c r="I40" i="7" s="1"/>
  <c r="I42" i="7" s="1"/>
  <c r="J42" i="7" s="1"/>
  <c r="K42" i="7" s="1"/>
  <c r="L42" i="7" s="1"/>
  <c r="M42" i="7" s="1"/>
  <c r="N42" i="7" s="1"/>
  <c r="O42" i="7" s="1"/>
  <c r="P42" i="7" s="1"/>
  <c r="Q42" i="7" s="1"/>
  <c r="R42" i="7" s="1"/>
  <c r="S42" i="7" s="1"/>
  <c r="T42" i="7" s="1"/>
  <c r="U42" i="7" s="1"/>
  <c r="X36" i="7"/>
  <c r="X38" i="7" s="1"/>
  <c r="X40" i="7" s="1"/>
  <c r="AA31" i="6"/>
  <c r="Y31" i="6" l="1"/>
  <c r="W31" i="6" l="1"/>
  <c r="U31" i="6" l="1"/>
  <c r="T31" i="6" l="1"/>
  <c r="S31" i="6"/>
  <c r="D23" i="6" l="1"/>
  <c r="D39" i="6" s="1"/>
  <c r="E39" i="6" l="1"/>
  <c r="F39" i="6" s="1"/>
  <c r="AR3" i="6"/>
  <c r="R31" i="6"/>
  <c r="Q31" i="6" l="1"/>
  <c r="P31" i="6" l="1"/>
  <c r="AL31" i="6" l="1"/>
  <c r="AL23" i="6"/>
  <c r="AM23" i="6" l="1"/>
  <c r="AL33" i="6"/>
  <c r="AL37" i="6" s="1"/>
  <c r="N5" i="6" l="1"/>
  <c r="K5" i="6"/>
  <c r="M31" i="6"/>
  <c r="D31" i="6"/>
  <c r="F30" i="6" s="1"/>
  <c r="M23" i="6"/>
  <c r="T23" i="6"/>
  <c r="AA23" i="6"/>
  <c r="AA33" i="6" s="1"/>
  <c r="AA37" i="6" s="1"/>
  <c r="AH23" i="6"/>
  <c r="AH33" i="6" s="1"/>
  <c r="F14" i="6"/>
  <c r="AH37" i="6" l="1"/>
  <c r="M33" i="6"/>
  <c r="M37" i="6" s="1"/>
  <c r="T33" i="6"/>
  <c r="T37" i="6" s="1"/>
  <c r="F18" i="6"/>
  <c r="F28" i="6"/>
  <c r="F29" i="6"/>
  <c r="F27" i="6"/>
  <c r="D33" i="6"/>
  <c r="D41" i="6" s="1"/>
  <c r="F11" i="6"/>
  <c r="F21" i="6"/>
  <c r="F17" i="6"/>
  <c r="F13" i="6"/>
  <c r="F20" i="6"/>
  <c r="F16" i="6"/>
  <c r="F12" i="6"/>
  <c r="F19" i="6"/>
  <c r="F15" i="6"/>
  <c r="F31" i="6" l="1"/>
  <c r="D37" i="6"/>
  <c r="D43" i="6" s="1"/>
  <c r="E43" i="6" s="1"/>
  <c r="F43" i="6" s="1"/>
  <c r="AM33" i="6"/>
  <c r="F23" i="6"/>
  <c r="F33" i="6" l="1"/>
  <c r="F35" i="6"/>
  <c r="E41" i="6" l="1"/>
  <c r="F41" i="6" s="1"/>
  <c r="AT6" i="4" l="1"/>
  <c r="AW3" i="4" s="1"/>
  <c r="E17" i="4"/>
  <c r="AM17" i="4" s="1"/>
  <c r="E18" i="4"/>
  <c r="AL18" i="4" s="1"/>
  <c r="E19" i="4"/>
  <c r="AL19" i="4" s="1"/>
  <c r="E20" i="4"/>
  <c r="AL20" i="4" s="1"/>
  <c r="E21" i="4"/>
  <c r="AL21" i="4" s="1"/>
  <c r="E22" i="4"/>
  <c r="AM22" i="4" s="1"/>
  <c r="E23" i="4"/>
  <c r="AL23" i="4" s="1"/>
  <c r="E24" i="4"/>
  <c r="AL24" i="4" s="1"/>
  <c r="E25" i="4"/>
  <c r="AM25" i="4" s="1"/>
  <c r="E26" i="4"/>
  <c r="AM26" i="4" s="1"/>
  <c r="E16" i="4"/>
  <c r="AM16" i="4" s="1"/>
  <c r="AL17" i="4"/>
  <c r="AL22" i="4" l="1"/>
  <c r="AM19" i="4"/>
  <c r="AL16" i="4"/>
  <c r="AM23" i="4"/>
  <c r="AL25" i="4"/>
  <c r="AM21" i="4"/>
  <c r="AM24" i="4"/>
  <c r="AM20" i="4"/>
  <c r="AM18" i="4"/>
  <c r="AW2" i="4"/>
  <c r="AX2" i="4" s="1"/>
  <c r="AU6" i="4"/>
  <c r="AK16" i="4"/>
  <c r="AK17" i="4"/>
  <c r="AK18" i="4"/>
  <c r="AK19" i="4"/>
  <c r="AK20" i="4"/>
  <c r="AK21" i="4"/>
  <c r="AK22" i="4"/>
  <c r="AK23" i="4"/>
  <c r="AK24" i="4"/>
  <c r="AK25" i="4"/>
  <c r="AM20" i="6"/>
  <c r="E35" i="6"/>
  <c r="AJ35" i="6" l="1"/>
  <c r="AI35" i="6"/>
  <c r="AG35" i="6"/>
  <c r="AF35" i="6"/>
  <c r="AE35" i="6"/>
  <c r="AD35" i="6"/>
  <c r="AC35" i="6"/>
  <c r="AB35" i="6"/>
  <c r="Z35" i="6"/>
  <c r="Y35" i="6"/>
  <c r="X35" i="6"/>
  <c r="W35" i="6"/>
  <c r="V35" i="6"/>
  <c r="U35" i="6"/>
  <c r="S35" i="6"/>
  <c r="R35" i="6"/>
  <c r="Q35" i="6"/>
  <c r="P35" i="6"/>
  <c r="O35" i="6"/>
  <c r="N35" i="6"/>
  <c r="L35" i="6"/>
  <c r="K35" i="6"/>
  <c r="J35" i="6"/>
  <c r="I35" i="6"/>
  <c r="H35" i="6"/>
  <c r="G35" i="6"/>
  <c r="AO3" i="6"/>
  <c r="AR2" i="6" s="1"/>
  <c r="AS2" i="6" s="1"/>
  <c r="E17" i="5"/>
  <c r="E18" i="5"/>
  <c r="E19" i="5"/>
  <c r="E23" i="5"/>
  <c r="E20" i="5"/>
  <c r="E24" i="5"/>
  <c r="E21" i="5"/>
  <c r="E22" i="5"/>
  <c r="E16" i="5"/>
  <c r="E30" i="6"/>
  <c r="E29" i="6"/>
  <c r="E28" i="6"/>
  <c r="E27" i="6"/>
  <c r="E21" i="6"/>
  <c r="E20" i="6"/>
  <c r="E12" i="6"/>
  <c r="E13" i="6"/>
  <c r="E14" i="6"/>
  <c r="E15" i="6"/>
  <c r="E16" i="6"/>
  <c r="E18" i="6"/>
  <c r="E19" i="6"/>
  <c r="E17" i="6"/>
  <c r="E11" i="6"/>
  <c r="AJ18" i="6" l="1"/>
  <c r="AI18" i="6"/>
  <c r="AG18" i="6"/>
  <c r="AF18" i="6"/>
  <c r="AE18" i="6"/>
  <c r="AD18" i="6"/>
  <c r="AC18" i="6"/>
  <c r="AB18" i="6"/>
  <c r="Z18" i="6"/>
  <c r="Y18" i="6"/>
  <c r="X18" i="6"/>
  <c r="W18" i="6"/>
  <c r="V18" i="6"/>
  <c r="U18" i="6"/>
  <c r="S18" i="6"/>
  <c r="R18" i="6"/>
  <c r="Q18" i="6"/>
  <c r="P18" i="6"/>
  <c r="AJ16" i="5"/>
  <c r="AG16" i="5"/>
  <c r="AH16" i="5"/>
  <c r="AI16" i="5"/>
  <c r="AF16" i="5"/>
  <c r="AE16" i="5"/>
  <c r="AD16" i="5"/>
  <c r="AC16" i="5"/>
  <c r="AB16" i="5"/>
  <c r="AA16" i="5"/>
  <c r="Z16" i="5"/>
  <c r="Y16" i="5"/>
  <c r="X16" i="5"/>
  <c r="W16" i="5"/>
  <c r="V16" i="5"/>
  <c r="U16" i="5"/>
  <c r="S16" i="5"/>
  <c r="T16" i="5"/>
  <c r="R16" i="5"/>
  <c r="Q16" i="5"/>
  <c r="P16" i="5"/>
  <c r="O16" i="5"/>
  <c r="N16" i="5"/>
  <c r="M16" i="5"/>
  <c r="L16" i="5"/>
  <c r="K16" i="5"/>
  <c r="J16" i="5"/>
  <c r="I16" i="5"/>
  <c r="H16" i="5"/>
  <c r="G16" i="5"/>
  <c r="AJ17" i="5"/>
  <c r="AG17" i="5"/>
  <c r="AH17" i="5"/>
  <c r="AI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M17" i="5"/>
  <c r="N17" i="5"/>
  <c r="L17" i="5"/>
  <c r="K17" i="5"/>
  <c r="J17" i="5"/>
  <c r="I17" i="5"/>
  <c r="H17" i="5"/>
  <c r="G17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S23" i="5"/>
  <c r="T23" i="5"/>
  <c r="R23" i="5"/>
  <c r="Q23" i="5"/>
  <c r="P23" i="5"/>
  <c r="O23" i="5"/>
  <c r="N23" i="5"/>
  <c r="M23" i="5"/>
  <c r="L23" i="5"/>
  <c r="K23" i="5"/>
  <c r="J23" i="5"/>
  <c r="I23" i="5"/>
  <c r="H23" i="5"/>
  <c r="G23" i="5"/>
  <c r="AJ13" i="6"/>
  <c r="AI13" i="6"/>
  <c r="AG13" i="6"/>
  <c r="AF13" i="6"/>
  <c r="AE13" i="6"/>
  <c r="AD13" i="6"/>
  <c r="AC13" i="6"/>
  <c r="AB13" i="6"/>
  <c r="Y13" i="6"/>
  <c r="Z13" i="6"/>
  <c r="X13" i="6"/>
  <c r="W13" i="6"/>
  <c r="V13" i="6"/>
  <c r="U13" i="6"/>
  <c r="S13" i="6"/>
  <c r="R13" i="6"/>
  <c r="Q13" i="6"/>
  <c r="P13" i="6"/>
  <c r="AJ20" i="5"/>
  <c r="AG20" i="5"/>
  <c r="AH20" i="5"/>
  <c r="AI20" i="5"/>
  <c r="AF20" i="5"/>
  <c r="AE20" i="5"/>
  <c r="AD20" i="5"/>
  <c r="AC20" i="5"/>
  <c r="AB20" i="5"/>
  <c r="AA20" i="5"/>
  <c r="Z20" i="5"/>
  <c r="Y20" i="5"/>
  <c r="X20" i="5"/>
  <c r="W20" i="5"/>
  <c r="V20" i="5"/>
  <c r="U20" i="5"/>
  <c r="S20" i="5"/>
  <c r="T20" i="5"/>
  <c r="R20" i="5"/>
  <c r="Q20" i="5"/>
  <c r="P20" i="5"/>
  <c r="O20" i="5"/>
  <c r="N20" i="5"/>
  <c r="M20" i="5"/>
  <c r="L20" i="5"/>
  <c r="K20" i="5"/>
  <c r="J20" i="5"/>
  <c r="I20" i="5"/>
  <c r="H20" i="5"/>
  <c r="G20" i="5"/>
  <c r="AJ11" i="6"/>
  <c r="AG11" i="6"/>
  <c r="AI11" i="6"/>
  <c r="AF11" i="6"/>
  <c r="AE11" i="6"/>
  <c r="AD11" i="6"/>
  <c r="AC11" i="6"/>
  <c r="AB11" i="6"/>
  <c r="Z11" i="6"/>
  <c r="Y11" i="6"/>
  <c r="X11" i="6"/>
  <c r="W11" i="6"/>
  <c r="V11" i="6"/>
  <c r="U11" i="6"/>
  <c r="S11" i="6"/>
  <c r="R11" i="6"/>
  <c r="Q11" i="6"/>
  <c r="P11" i="6"/>
  <c r="AJ20" i="6"/>
  <c r="AG20" i="6"/>
  <c r="AI20" i="6"/>
  <c r="AF20" i="6"/>
  <c r="AE20" i="6"/>
  <c r="AD20" i="6"/>
  <c r="AC20" i="6"/>
  <c r="AB20" i="6"/>
  <c r="Z20" i="6"/>
  <c r="Y20" i="6"/>
  <c r="X20" i="6"/>
  <c r="W20" i="6"/>
  <c r="V20" i="6"/>
  <c r="U20" i="6"/>
  <c r="S20" i="6"/>
  <c r="R20" i="6"/>
  <c r="Q20" i="6"/>
  <c r="P20" i="6"/>
  <c r="AJ21" i="5"/>
  <c r="AG21" i="5"/>
  <c r="AH21" i="5"/>
  <c r="AI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M21" i="5"/>
  <c r="N21" i="5"/>
  <c r="L21" i="5"/>
  <c r="K21" i="5"/>
  <c r="J21" i="5"/>
  <c r="I21" i="5"/>
  <c r="H21" i="5"/>
  <c r="G21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S19" i="5"/>
  <c r="T19" i="5"/>
  <c r="R19" i="5"/>
  <c r="Q19" i="5"/>
  <c r="P19" i="5"/>
  <c r="O19" i="5"/>
  <c r="N19" i="5"/>
  <c r="M19" i="5"/>
  <c r="L19" i="5"/>
  <c r="K19" i="5"/>
  <c r="J19" i="5"/>
  <c r="I19" i="5"/>
  <c r="H19" i="5"/>
  <c r="G19" i="5"/>
  <c r="AO35" i="6"/>
  <c r="AP35" i="6" s="1"/>
  <c r="AJ16" i="6"/>
  <c r="AG16" i="6"/>
  <c r="AI16" i="6"/>
  <c r="AF16" i="6"/>
  <c r="AE16" i="6"/>
  <c r="AD16" i="6"/>
  <c r="AC16" i="6"/>
  <c r="AB16" i="6"/>
  <c r="Z16" i="6"/>
  <c r="Y16" i="6"/>
  <c r="X16" i="6"/>
  <c r="W16" i="6"/>
  <c r="V16" i="6"/>
  <c r="U16" i="6"/>
  <c r="S16" i="6"/>
  <c r="R16" i="6"/>
  <c r="Q16" i="6"/>
  <c r="P16" i="6"/>
  <c r="AJ12" i="6"/>
  <c r="AG12" i="6"/>
  <c r="AI12" i="6"/>
  <c r="AF12" i="6"/>
  <c r="AE12" i="6"/>
  <c r="AD12" i="6"/>
  <c r="AC12" i="6"/>
  <c r="AB12" i="6"/>
  <c r="Z12" i="6"/>
  <c r="Y12" i="6"/>
  <c r="X12" i="6"/>
  <c r="W12" i="6"/>
  <c r="V12" i="6"/>
  <c r="U12" i="6"/>
  <c r="S12" i="6"/>
  <c r="R12" i="6"/>
  <c r="Q12" i="6"/>
  <c r="P12" i="6"/>
  <c r="AJ22" i="5"/>
  <c r="AH22" i="5"/>
  <c r="AG22" i="5"/>
  <c r="AI22" i="5"/>
  <c r="AF22" i="5"/>
  <c r="AE22" i="5"/>
  <c r="AD22" i="5"/>
  <c r="AC22" i="5"/>
  <c r="AB22" i="5"/>
  <c r="AA22" i="5"/>
  <c r="Z22" i="5"/>
  <c r="Y22" i="5"/>
  <c r="X22" i="5"/>
  <c r="W22" i="5"/>
  <c r="V22" i="5"/>
  <c r="U22" i="5"/>
  <c r="S22" i="5"/>
  <c r="T22" i="5"/>
  <c r="R22" i="5"/>
  <c r="Q22" i="5"/>
  <c r="P22" i="5"/>
  <c r="O22" i="5"/>
  <c r="M22" i="5"/>
  <c r="N22" i="5"/>
  <c r="L22" i="5"/>
  <c r="K22" i="5"/>
  <c r="J22" i="5"/>
  <c r="I22" i="5"/>
  <c r="H22" i="5"/>
  <c r="G22" i="5"/>
  <c r="AJ17" i="6"/>
  <c r="AI17" i="6"/>
  <c r="AG17" i="6"/>
  <c r="AF17" i="6"/>
  <c r="AE17" i="6"/>
  <c r="AJ15" i="6"/>
  <c r="AG15" i="6"/>
  <c r="AI15" i="6"/>
  <c r="AF15" i="6"/>
  <c r="AE15" i="6"/>
  <c r="AD15" i="6"/>
  <c r="AC15" i="6"/>
  <c r="AB15" i="6"/>
  <c r="Z15" i="6"/>
  <c r="Y15" i="6"/>
  <c r="X15" i="6"/>
  <c r="W15" i="6"/>
  <c r="V15" i="6"/>
  <c r="U15" i="6"/>
  <c r="S15" i="6"/>
  <c r="R15" i="6"/>
  <c r="Q15" i="6"/>
  <c r="P15" i="6"/>
  <c r="AJ19" i="6"/>
  <c r="AG19" i="6"/>
  <c r="AI19" i="6"/>
  <c r="AF19" i="6"/>
  <c r="AE19" i="6"/>
  <c r="AD19" i="6"/>
  <c r="AC19" i="6"/>
  <c r="AB19" i="6"/>
  <c r="Z19" i="6"/>
  <c r="Y19" i="6"/>
  <c r="X19" i="6"/>
  <c r="W19" i="6"/>
  <c r="V19" i="6"/>
  <c r="U19" i="6"/>
  <c r="S19" i="6"/>
  <c r="R19" i="6"/>
  <c r="Q19" i="6"/>
  <c r="P19" i="6"/>
  <c r="AJ14" i="6"/>
  <c r="AI14" i="6"/>
  <c r="AG14" i="6"/>
  <c r="AF14" i="6"/>
  <c r="AE14" i="6"/>
  <c r="AJ21" i="6"/>
  <c r="AG21" i="6"/>
  <c r="AI21" i="6"/>
  <c r="AF21" i="6"/>
  <c r="AE21" i="6"/>
  <c r="AD21" i="6"/>
  <c r="AC21" i="6"/>
  <c r="AB21" i="6"/>
  <c r="Y21" i="6"/>
  <c r="Z21" i="6"/>
  <c r="X21" i="6"/>
  <c r="W21" i="6"/>
  <c r="V21" i="6"/>
  <c r="U21" i="6"/>
  <c r="S21" i="6"/>
  <c r="R21" i="6"/>
  <c r="Q21" i="6"/>
  <c r="P21" i="6"/>
  <c r="AJ24" i="5"/>
  <c r="AG24" i="5"/>
  <c r="AH24" i="5"/>
  <c r="AI24" i="5"/>
  <c r="AF24" i="5"/>
  <c r="AE24" i="5"/>
  <c r="AD24" i="5"/>
  <c r="AC24" i="5"/>
  <c r="AB24" i="5"/>
  <c r="AA24" i="5"/>
  <c r="Z24" i="5"/>
  <c r="Y24" i="5"/>
  <c r="X24" i="5"/>
  <c r="W24" i="5"/>
  <c r="V24" i="5"/>
  <c r="U24" i="5"/>
  <c r="S24" i="5"/>
  <c r="T24" i="5"/>
  <c r="R24" i="5"/>
  <c r="Q24" i="5"/>
  <c r="P24" i="5"/>
  <c r="O24" i="5"/>
  <c r="M24" i="5"/>
  <c r="N24" i="5"/>
  <c r="L24" i="5"/>
  <c r="K24" i="5"/>
  <c r="J24" i="5"/>
  <c r="I24" i="5"/>
  <c r="H24" i="5"/>
  <c r="G24" i="5"/>
  <c r="AJ18" i="5"/>
  <c r="AH18" i="5"/>
  <c r="AH25" i="5" s="1"/>
  <c r="AG18" i="5"/>
  <c r="AI18" i="5"/>
  <c r="AF18" i="5"/>
  <c r="AE18" i="5"/>
  <c r="AD18" i="5"/>
  <c r="AC18" i="5"/>
  <c r="AB18" i="5"/>
  <c r="AA18" i="5"/>
  <c r="Z18" i="5"/>
  <c r="Y18" i="5"/>
  <c r="X18" i="5"/>
  <c r="W18" i="5"/>
  <c r="V18" i="5"/>
  <c r="U18" i="5"/>
  <c r="S18" i="5"/>
  <c r="T18" i="5"/>
  <c r="R18" i="5"/>
  <c r="Q18" i="5"/>
  <c r="P18" i="5"/>
  <c r="O18" i="5"/>
  <c r="M18" i="5"/>
  <c r="N18" i="5"/>
  <c r="L18" i="5"/>
  <c r="K18" i="5"/>
  <c r="J18" i="5"/>
  <c r="I18" i="5"/>
  <c r="H18" i="5"/>
  <c r="G18" i="5"/>
  <c r="AD14" i="6"/>
  <c r="AC14" i="6"/>
  <c r="AB14" i="6"/>
  <c r="Z14" i="6"/>
  <c r="Y14" i="6"/>
  <c r="X14" i="6"/>
  <c r="W14" i="6"/>
  <c r="V14" i="6"/>
  <c r="U14" i="6"/>
  <c r="S14" i="6"/>
  <c r="R14" i="6"/>
  <c r="Q14" i="6"/>
  <c r="P14" i="6"/>
  <c r="AD17" i="6"/>
  <c r="AC17" i="6"/>
  <c r="AB17" i="6"/>
  <c r="Y17" i="6"/>
  <c r="Z17" i="6"/>
  <c r="X17" i="6"/>
  <c r="W17" i="6"/>
  <c r="V17" i="6"/>
  <c r="U17" i="6"/>
  <c r="S17" i="6"/>
  <c r="R17" i="6"/>
  <c r="Q17" i="6"/>
  <c r="P17" i="6"/>
  <c r="N14" i="6"/>
  <c r="O14" i="6"/>
  <c r="N13" i="6"/>
  <c r="O13" i="6"/>
  <c r="N12" i="6"/>
  <c r="O12" i="6"/>
  <c r="N19" i="6"/>
  <c r="O19" i="6"/>
  <c r="N21" i="6"/>
  <c r="O21" i="6"/>
  <c r="N18" i="6"/>
  <c r="O18" i="6"/>
  <c r="N11" i="6"/>
  <c r="O11" i="6"/>
  <c r="N16" i="6"/>
  <c r="O16" i="6"/>
  <c r="N17" i="6"/>
  <c r="O17" i="6"/>
  <c r="N15" i="6"/>
  <c r="O15" i="6"/>
  <c r="N20" i="6"/>
  <c r="O20" i="6"/>
  <c r="E31" i="6"/>
  <c r="J11" i="6"/>
  <c r="G11" i="6"/>
  <c r="K11" i="6"/>
  <c r="H11" i="6"/>
  <c r="L11" i="6"/>
  <c r="E23" i="6"/>
  <c r="I11" i="6"/>
  <c r="G16" i="6"/>
  <c r="L16" i="6"/>
  <c r="K16" i="6"/>
  <c r="J16" i="6"/>
  <c r="I16" i="6"/>
  <c r="H16" i="6"/>
  <c r="G12" i="6"/>
  <c r="L12" i="6"/>
  <c r="K12" i="6"/>
  <c r="J12" i="6"/>
  <c r="I12" i="6"/>
  <c r="H12" i="6"/>
  <c r="L17" i="6"/>
  <c r="K17" i="6"/>
  <c r="J17" i="6"/>
  <c r="I17" i="6"/>
  <c r="G15" i="6"/>
  <c r="L15" i="6"/>
  <c r="K15" i="6"/>
  <c r="J15" i="6"/>
  <c r="I15" i="6"/>
  <c r="H15" i="6"/>
  <c r="L20" i="6"/>
  <c r="K20" i="6"/>
  <c r="J20" i="6"/>
  <c r="I20" i="6"/>
  <c r="G19" i="6"/>
  <c r="L19" i="6"/>
  <c r="K19" i="6"/>
  <c r="J19" i="6"/>
  <c r="I19" i="6"/>
  <c r="H19" i="6"/>
  <c r="L14" i="6"/>
  <c r="K14" i="6"/>
  <c r="J14" i="6"/>
  <c r="I14" i="6"/>
  <c r="H14" i="6"/>
  <c r="G21" i="6"/>
  <c r="L21" i="6"/>
  <c r="K21" i="6"/>
  <c r="J21" i="6"/>
  <c r="I21" i="6"/>
  <c r="H21" i="6"/>
  <c r="G18" i="6"/>
  <c r="L18" i="6"/>
  <c r="K18" i="6"/>
  <c r="J18" i="6"/>
  <c r="I18" i="6"/>
  <c r="H18" i="6"/>
  <c r="G13" i="6"/>
  <c r="L13" i="6"/>
  <c r="K13" i="6"/>
  <c r="J13" i="6"/>
  <c r="I13" i="6"/>
  <c r="H13" i="6"/>
  <c r="G20" i="6"/>
  <c r="H20" i="6"/>
  <c r="G17" i="6"/>
  <c r="H17" i="6"/>
  <c r="G14" i="6"/>
  <c r="L5" i="6"/>
  <c r="M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J5" i="6"/>
  <c r="I5" i="6"/>
  <c r="H5" i="6"/>
  <c r="G5" i="6"/>
  <c r="AM29" i="6"/>
  <c r="AM28" i="6"/>
  <c r="AM27" i="6"/>
  <c r="AM21" i="6"/>
  <c r="AM30" i="6"/>
  <c r="AM19" i="6"/>
  <c r="AM18" i="6"/>
  <c r="AM17" i="6"/>
  <c r="AM16" i="6"/>
  <c r="AM15" i="6"/>
  <c r="AM14" i="6"/>
  <c r="AM13" i="6"/>
  <c r="AM37" i="6"/>
  <c r="AM11" i="6"/>
  <c r="AM35" i="6"/>
  <c r="AT2" i="6"/>
  <c r="F55" i="5"/>
  <c r="F49" i="5"/>
  <c r="AL36" i="5"/>
  <c r="D36" i="5"/>
  <c r="F33" i="5" s="1"/>
  <c r="AM35" i="5"/>
  <c r="AM34" i="5"/>
  <c r="AM33" i="5"/>
  <c r="AM32" i="5"/>
  <c r="AM31" i="5"/>
  <c r="AM30" i="5"/>
  <c r="E36" i="5"/>
  <c r="AL25" i="5"/>
  <c r="D25" i="5"/>
  <c r="AM24" i="5"/>
  <c r="AM23" i="5"/>
  <c r="AM22" i="5"/>
  <c r="AM21" i="5"/>
  <c r="AM20" i="5"/>
  <c r="AM19" i="5"/>
  <c r="AM18" i="5"/>
  <c r="AM17" i="5"/>
  <c r="AM16" i="5"/>
  <c r="AP10" i="5"/>
  <c r="D38" i="5" l="1"/>
  <c r="D40" i="5" s="1"/>
  <c r="Y23" i="6"/>
  <c r="Y39" i="6" s="1"/>
  <c r="F30" i="5"/>
  <c r="F32" i="5"/>
  <c r="F31" i="5"/>
  <c r="F34" i="5"/>
  <c r="F35" i="5"/>
  <c r="AJ25" i="5"/>
  <c r="AI25" i="5"/>
  <c r="AF23" i="6"/>
  <c r="AF33" i="6" s="1"/>
  <c r="T41" i="6"/>
  <c r="T7" i="5" s="1"/>
  <c r="T43" i="6"/>
  <c r="T39" i="6"/>
  <c r="R23" i="6"/>
  <c r="R39" i="6" s="1"/>
  <c r="W23" i="6"/>
  <c r="W39" i="6" s="1"/>
  <c r="AB23" i="6"/>
  <c r="AB39" i="6" s="1"/>
  <c r="AI23" i="6"/>
  <c r="AI33" i="6" s="1"/>
  <c r="AI41" i="6" s="1"/>
  <c r="AI7" i="5" s="1"/>
  <c r="G25" i="5"/>
  <c r="AA41" i="6"/>
  <c r="AA7" i="5" s="1"/>
  <c r="AA43" i="6"/>
  <c r="AA39" i="6"/>
  <c r="N23" i="6"/>
  <c r="N39" i="6" s="1"/>
  <c r="S23" i="6"/>
  <c r="S39" i="6" s="1"/>
  <c r="X23" i="6"/>
  <c r="X39" i="6" s="1"/>
  <c r="AC23" i="6"/>
  <c r="AC33" i="6" s="1"/>
  <c r="AC41" i="6" s="1"/>
  <c r="AC7" i="5" s="1"/>
  <c r="AG23" i="6"/>
  <c r="AG33" i="6" s="1"/>
  <c r="AG41" i="6" s="1"/>
  <c r="AG7" i="5" s="1"/>
  <c r="AH39" i="6"/>
  <c r="AH41" i="6"/>
  <c r="AH7" i="5" s="1"/>
  <c r="AH43" i="6"/>
  <c r="M39" i="6"/>
  <c r="M43" i="6"/>
  <c r="M41" i="6"/>
  <c r="M7" i="5" s="1"/>
  <c r="P23" i="6"/>
  <c r="P39" i="6" s="1"/>
  <c r="U23" i="6"/>
  <c r="U39" i="6" s="1"/>
  <c r="AD23" i="6"/>
  <c r="AD39" i="6" s="1"/>
  <c r="AE23" i="6"/>
  <c r="AE33" i="6" s="1"/>
  <c r="AE41" i="6" s="1"/>
  <c r="AE7" i="5" s="1"/>
  <c r="AJ23" i="6"/>
  <c r="AJ33" i="6" s="1"/>
  <c r="AJ41" i="6" s="1"/>
  <c r="AJ7" i="5" s="1"/>
  <c r="AF41" i="6"/>
  <c r="AF7" i="5" s="1"/>
  <c r="AE39" i="6"/>
  <c r="Z23" i="6"/>
  <c r="Z39" i="6" s="1"/>
  <c r="Q23" i="6"/>
  <c r="Q39" i="6" s="1"/>
  <c r="V23" i="6"/>
  <c r="V39" i="6" s="1"/>
  <c r="AC39" i="6"/>
  <c r="AD33" i="6"/>
  <c r="AD41" i="6" s="1"/>
  <c r="AD7" i="5" s="1"/>
  <c r="Y33" i="6"/>
  <c r="Y41" i="6" s="1"/>
  <c r="Y7" i="5" s="1"/>
  <c r="R33" i="6"/>
  <c r="R41" i="6" s="1"/>
  <c r="R7" i="5" s="1"/>
  <c r="AB33" i="6"/>
  <c r="AB41" i="6" s="1"/>
  <c r="AB7" i="5" s="1"/>
  <c r="O23" i="6"/>
  <c r="O39" i="6" s="1"/>
  <c r="E33" i="6"/>
  <c r="L23" i="6"/>
  <c r="I23" i="6"/>
  <c r="H23" i="6"/>
  <c r="G23" i="6"/>
  <c r="AO21" i="6"/>
  <c r="AP21" i="6" s="1"/>
  <c r="J23" i="6"/>
  <c r="K23" i="6"/>
  <c r="AO20" i="6"/>
  <c r="AP20" i="6" s="1"/>
  <c r="F20" i="5"/>
  <c r="F19" i="5"/>
  <c r="F17" i="5"/>
  <c r="W7" i="6"/>
  <c r="AA7" i="6"/>
  <c r="AA25" i="6" s="1"/>
  <c r="K7" i="6"/>
  <c r="AE7" i="6"/>
  <c r="AE25" i="6" s="1"/>
  <c r="O7" i="6"/>
  <c r="X7" i="6"/>
  <c r="X25" i="6" s="1"/>
  <c r="P7" i="6"/>
  <c r="L7" i="6"/>
  <c r="J7" i="6"/>
  <c r="AC7" i="6"/>
  <c r="Q7" i="6"/>
  <c r="G7" i="6"/>
  <c r="AJ7" i="6"/>
  <c r="AJ25" i="6" s="1"/>
  <c r="T7" i="6"/>
  <c r="T25" i="6" s="1"/>
  <c r="H7" i="6"/>
  <c r="S7" i="6"/>
  <c r="S25" i="6" s="1"/>
  <c r="AG7" i="6"/>
  <c r="AG25" i="6" s="1"/>
  <c r="Y7" i="6"/>
  <c r="Y25" i="6" s="1"/>
  <c r="U7" i="6"/>
  <c r="M7" i="6"/>
  <c r="AB7" i="6"/>
  <c r="AB25" i="6" s="1"/>
  <c r="AF7" i="6"/>
  <c r="AH7" i="6"/>
  <c r="AH25" i="6" s="1"/>
  <c r="AD7" i="6"/>
  <c r="AD25" i="6" s="1"/>
  <c r="Z7" i="6"/>
  <c r="Z25" i="6" s="1"/>
  <c r="V7" i="6"/>
  <c r="R7" i="6"/>
  <c r="N7" i="6"/>
  <c r="N25" i="6" s="1"/>
  <c r="AI7" i="6"/>
  <c r="F21" i="5"/>
  <c r="F16" i="5"/>
  <c r="F18" i="5"/>
  <c r="F23" i="5"/>
  <c r="F24" i="5"/>
  <c r="F22" i="5"/>
  <c r="AM36" i="5"/>
  <c r="AO5" i="6"/>
  <c r="I7" i="6"/>
  <c r="AO12" i="6"/>
  <c r="AP12" i="6" s="1"/>
  <c r="AM12" i="6"/>
  <c r="AO11" i="6"/>
  <c r="AP11" i="6" s="1"/>
  <c r="AO14" i="6"/>
  <c r="AP14" i="6" s="1"/>
  <c r="AO16" i="6"/>
  <c r="AP16" i="6" s="1"/>
  <c r="AO18" i="6"/>
  <c r="AP18" i="6" s="1"/>
  <c r="AE25" i="5"/>
  <c r="F38" i="5"/>
  <c r="D6" i="5"/>
  <c r="F6" i="5" s="1"/>
  <c r="O25" i="5"/>
  <c r="E25" i="5"/>
  <c r="T25" i="5"/>
  <c r="AF25" i="5"/>
  <c r="AM25" i="5"/>
  <c r="AD25" i="5"/>
  <c r="F57" i="5"/>
  <c r="R25" i="6" l="1"/>
  <c r="P25" i="6"/>
  <c r="E38" i="5"/>
  <c r="P33" i="6"/>
  <c r="P41" i="6" s="1"/>
  <c r="P7" i="5" s="1"/>
  <c r="AF39" i="6"/>
  <c r="AF25" i="6"/>
  <c r="AC25" i="6"/>
  <c r="F36" i="5"/>
  <c r="U33" i="6"/>
  <c r="U41" i="6" s="1"/>
  <c r="U7" i="5" s="1"/>
  <c r="W25" i="6"/>
  <c r="W33" i="6"/>
  <c r="W41" i="6" s="1"/>
  <c r="W7" i="5" s="1"/>
  <c r="U25" i="6"/>
  <c r="Q25" i="6"/>
  <c r="S33" i="6"/>
  <c r="S41" i="6" s="1"/>
  <c r="S7" i="5" s="1"/>
  <c r="AG39" i="6"/>
  <c r="AJ39" i="6"/>
  <c r="AR23" i="6"/>
  <c r="AI39" i="6"/>
  <c r="AJ37" i="6"/>
  <c r="AJ43" i="6" s="1"/>
  <c r="AG37" i="6"/>
  <c r="AG43" i="6" s="1"/>
  <c r="AI37" i="6"/>
  <c r="AI43" i="6" s="1"/>
  <c r="AF37" i="6"/>
  <c r="AF43" i="6" s="1"/>
  <c r="AE37" i="6"/>
  <c r="AE43" i="6" s="1"/>
  <c r="E37" i="6"/>
  <c r="G6" i="5"/>
  <c r="AJ6" i="5"/>
  <c r="AJ10" i="5" s="1"/>
  <c r="AJ27" i="5" s="1"/>
  <c r="AG6" i="5"/>
  <c r="AG10" i="5" s="1"/>
  <c r="AH6" i="5"/>
  <c r="AH10" i="5" s="1"/>
  <c r="AH27" i="5" s="1"/>
  <c r="AI6" i="5"/>
  <c r="AI10" i="5" s="1"/>
  <c r="AI27" i="5" s="1"/>
  <c r="AF6" i="5"/>
  <c r="AE6" i="5"/>
  <c r="AE10" i="5" s="1"/>
  <c r="AE27" i="5" s="1"/>
  <c r="AD6" i="5"/>
  <c r="AD10" i="5" s="1"/>
  <c r="AD27" i="5" s="1"/>
  <c r="AC6" i="5"/>
  <c r="AB6" i="5"/>
  <c r="AA6" i="5"/>
  <c r="AA10" i="5" s="1"/>
  <c r="Z6" i="5"/>
  <c r="Y6" i="5"/>
  <c r="X6" i="5"/>
  <c r="W6" i="5"/>
  <c r="W10" i="5" s="1"/>
  <c r="V6" i="5"/>
  <c r="U6" i="5"/>
  <c r="T6" i="5"/>
  <c r="S6" i="5"/>
  <c r="R6" i="5"/>
  <c r="Q6" i="5"/>
  <c r="P6" i="5"/>
  <c r="P10" i="5" s="1"/>
  <c r="O6" i="5"/>
  <c r="M6" i="5"/>
  <c r="M10" i="5" s="1"/>
  <c r="N6" i="5"/>
  <c r="L6" i="5"/>
  <c r="K6" i="5"/>
  <c r="J6" i="5"/>
  <c r="I6" i="5"/>
  <c r="H6" i="5"/>
  <c r="AI25" i="6"/>
  <c r="V25" i="6"/>
  <c r="V30" i="6" s="1"/>
  <c r="Q33" i="6"/>
  <c r="Q41" i="6" s="1"/>
  <c r="Q7" i="5" s="1"/>
  <c r="K25" i="6"/>
  <c r="K39" i="6"/>
  <c r="L25" i="6"/>
  <c r="L39" i="6"/>
  <c r="G25" i="6"/>
  <c r="G39" i="6"/>
  <c r="AD37" i="6"/>
  <c r="AD43" i="6" s="1"/>
  <c r="AC37" i="6"/>
  <c r="AC43" i="6" s="1"/>
  <c r="H25" i="6"/>
  <c r="H39" i="6"/>
  <c r="J25" i="6"/>
  <c r="J39" i="6"/>
  <c r="I25" i="6"/>
  <c r="I39" i="6"/>
  <c r="X28" i="6"/>
  <c r="X27" i="6"/>
  <c r="X30" i="6"/>
  <c r="X29" i="6"/>
  <c r="V29" i="6"/>
  <c r="Z29" i="6"/>
  <c r="Z28" i="6"/>
  <c r="Z30" i="6"/>
  <c r="Z27" i="6"/>
  <c r="AB37" i="6"/>
  <c r="AB43" i="6" s="1"/>
  <c r="Y37" i="6"/>
  <c r="Y43" i="6" s="1"/>
  <c r="Z37" i="6"/>
  <c r="Z43" i="6" s="1"/>
  <c r="X37" i="6"/>
  <c r="X43" i="6" s="1"/>
  <c r="W37" i="6"/>
  <c r="W43" i="6" s="1"/>
  <c r="V37" i="6"/>
  <c r="V43" i="6" s="1"/>
  <c r="U37" i="6"/>
  <c r="U43" i="6" s="1"/>
  <c r="S37" i="6"/>
  <c r="S43" i="6" s="1"/>
  <c r="R37" i="6"/>
  <c r="R43" i="6" s="1"/>
  <c r="Q37" i="6"/>
  <c r="Q43" i="6" s="1"/>
  <c r="P37" i="6"/>
  <c r="P43" i="6" s="1"/>
  <c r="O37" i="6"/>
  <c r="O43" i="6" s="1"/>
  <c r="N37" i="6"/>
  <c r="N43" i="6" s="1"/>
  <c r="K37" i="6"/>
  <c r="K43" i="6" s="1"/>
  <c r="G37" i="6"/>
  <c r="G43" i="6" s="1"/>
  <c r="H37" i="6"/>
  <c r="H43" i="6" s="1"/>
  <c r="L37" i="6"/>
  <c r="L43" i="6" s="1"/>
  <c r="I37" i="6"/>
  <c r="I43" i="6" s="1"/>
  <c r="J37" i="6"/>
  <c r="J43" i="6" s="1"/>
  <c r="O25" i="6"/>
  <c r="N27" i="6"/>
  <c r="N30" i="6"/>
  <c r="N29" i="6"/>
  <c r="N28" i="6"/>
  <c r="R10" i="5"/>
  <c r="Q10" i="5"/>
  <c r="AF10" i="5"/>
  <c r="AF27" i="5" s="1"/>
  <c r="Y10" i="5"/>
  <c r="AC10" i="5"/>
  <c r="AB10" i="5"/>
  <c r="U10" i="5"/>
  <c r="AS3" i="6"/>
  <c r="AT3" i="6" s="1"/>
  <c r="F25" i="5"/>
  <c r="W25" i="5"/>
  <c r="AA25" i="5"/>
  <c r="AO18" i="5"/>
  <c r="AO20" i="5"/>
  <c r="L25" i="5"/>
  <c r="AB25" i="5"/>
  <c r="K25" i="5"/>
  <c r="X25" i="5"/>
  <c r="AO17" i="5"/>
  <c r="H25" i="5"/>
  <c r="S25" i="5"/>
  <c r="P25" i="5"/>
  <c r="AO7" i="6"/>
  <c r="AR7" i="6" s="1"/>
  <c r="AS7" i="6" s="1"/>
  <c r="AO15" i="6"/>
  <c r="AP15" i="6" s="1"/>
  <c r="AO17" i="6"/>
  <c r="AP17" i="6" s="1"/>
  <c r="AO19" i="6"/>
  <c r="AP19" i="6" s="1"/>
  <c r="AO13" i="6"/>
  <c r="N25" i="5"/>
  <c r="Q25" i="5"/>
  <c r="Z25" i="5"/>
  <c r="AC25" i="5"/>
  <c r="M25" i="5"/>
  <c r="AO24" i="5"/>
  <c r="AO22" i="5"/>
  <c r="V25" i="5"/>
  <c r="Y25" i="5"/>
  <c r="I25" i="5"/>
  <c r="AO16" i="5"/>
  <c r="AO21" i="5"/>
  <c r="AG25" i="5"/>
  <c r="J25" i="5"/>
  <c r="AO19" i="5"/>
  <c r="R25" i="5"/>
  <c r="U25" i="5"/>
  <c r="AO23" i="5"/>
  <c r="AP18" i="4"/>
  <c r="AJ16" i="4"/>
  <c r="AJ17" i="4"/>
  <c r="AJ18" i="4"/>
  <c r="AJ19" i="4"/>
  <c r="AJ21" i="4"/>
  <c r="AJ22" i="4"/>
  <c r="AJ23" i="4"/>
  <c r="AJ24" i="4"/>
  <c r="AJ25" i="4"/>
  <c r="S10" i="5" l="1"/>
  <c r="V27" i="6"/>
  <c r="V28" i="6"/>
  <c r="V31" i="6" s="1"/>
  <c r="V33" i="6" s="1"/>
  <c r="AO43" i="6"/>
  <c r="AE33" i="5"/>
  <c r="AE32" i="5"/>
  <c r="AE30" i="5"/>
  <c r="AE34" i="5"/>
  <c r="AE31" i="5"/>
  <c r="AE35" i="5"/>
  <c r="AF32" i="5"/>
  <c r="AF33" i="5"/>
  <c r="AF35" i="5"/>
  <c r="AF30" i="5"/>
  <c r="AF34" i="5"/>
  <c r="AF31" i="5"/>
  <c r="AH30" i="5"/>
  <c r="AH34" i="5"/>
  <c r="AH33" i="5"/>
  <c r="AH35" i="5"/>
  <c r="AH32" i="5"/>
  <c r="AH31" i="5"/>
  <c r="AJ31" i="5"/>
  <c r="AJ35" i="5"/>
  <c r="AJ34" i="5"/>
  <c r="AJ32" i="5"/>
  <c r="AJ33" i="5"/>
  <c r="AJ30" i="5"/>
  <c r="AI31" i="5"/>
  <c r="AI35" i="5"/>
  <c r="AI30" i="5"/>
  <c r="AI34" i="5"/>
  <c r="AI32" i="5"/>
  <c r="AI33" i="5"/>
  <c r="AD30" i="5"/>
  <c r="AD34" i="5"/>
  <c r="AD31" i="5"/>
  <c r="AD35" i="5"/>
  <c r="AD32" i="5"/>
  <c r="AD33" i="5"/>
  <c r="Z31" i="6"/>
  <c r="Z33" i="6" s="1"/>
  <c r="AO25" i="6"/>
  <c r="X31" i="6"/>
  <c r="X33" i="6" s="1"/>
  <c r="AT7" i="6"/>
  <c r="AP7" i="6"/>
  <c r="AO23" i="6"/>
  <c r="AP13" i="6"/>
  <c r="O31" i="6"/>
  <c r="O33" i="6" s="1"/>
  <c r="O41" i="6" s="1"/>
  <c r="O7" i="5" s="1"/>
  <c r="N31" i="6"/>
  <c r="N33" i="6" s="1"/>
  <c r="N41" i="6" s="1"/>
  <c r="N7" i="5" s="1"/>
  <c r="I30" i="6"/>
  <c r="I27" i="6"/>
  <c r="AO27" i="6" s="1"/>
  <c r="I28" i="6"/>
  <c r="I29" i="6"/>
  <c r="T10" i="5"/>
  <c r="T27" i="5" s="1"/>
  <c r="U27" i="5"/>
  <c r="W27" i="5"/>
  <c r="AB27" i="5"/>
  <c r="AA27" i="5"/>
  <c r="AR1" i="6"/>
  <c r="AS1" i="6" s="1"/>
  <c r="S27" i="5"/>
  <c r="AC27" i="5"/>
  <c r="P27" i="5"/>
  <c r="Y27" i="5"/>
  <c r="Y33" i="5" s="1"/>
  <c r="Q27" i="5"/>
  <c r="AG27" i="5"/>
  <c r="AO25" i="5"/>
  <c r="AP19" i="5" s="1"/>
  <c r="M27" i="5"/>
  <c r="AO6" i="5"/>
  <c r="R27" i="5"/>
  <c r="AI16" i="4"/>
  <c r="AI17" i="4"/>
  <c r="AI18" i="4"/>
  <c r="AI19" i="4"/>
  <c r="AI21" i="4"/>
  <c r="AI22" i="4"/>
  <c r="AI23" i="4"/>
  <c r="AI25" i="4"/>
  <c r="AJ36" i="5" l="1"/>
  <c r="AJ38" i="5" s="1"/>
  <c r="AJ40" i="5" s="1"/>
  <c r="AI36" i="5"/>
  <c r="AI38" i="5" s="1"/>
  <c r="AI40" i="5" s="1"/>
  <c r="AG33" i="5"/>
  <c r="AG30" i="5"/>
  <c r="AG32" i="5"/>
  <c r="AG31" i="5"/>
  <c r="AG35" i="5"/>
  <c r="AG34" i="5"/>
  <c r="AH36" i="5"/>
  <c r="AH38" i="5" s="1"/>
  <c r="AH40" i="5" s="1"/>
  <c r="V41" i="6"/>
  <c r="V7" i="5" s="1"/>
  <c r="V10" i="5" s="1"/>
  <c r="V27" i="5" s="1"/>
  <c r="X41" i="6"/>
  <c r="X7" i="5" s="1"/>
  <c r="X10" i="5" s="1"/>
  <c r="X27" i="5" s="1"/>
  <c r="Z41" i="6"/>
  <c r="Z7" i="5" s="1"/>
  <c r="Z10" i="5" s="1"/>
  <c r="Z27" i="5" s="1"/>
  <c r="AC30" i="5"/>
  <c r="AC34" i="5"/>
  <c r="AC31" i="5"/>
  <c r="AC35" i="5"/>
  <c r="AC32" i="5"/>
  <c r="AC33" i="5"/>
  <c r="AB30" i="5"/>
  <c r="AB34" i="5"/>
  <c r="AB31" i="5"/>
  <c r="AB35" i="5"/>
  <c r="AB32" i="5"/>
  <c r="AB33" i="5"/>
  <c r="T30" i="5"/>
  <c r="T34" i="5"/>
  <c r="T31" i="5"/>
  <c r="T35" i="5"/>
  <c r="T32" i="5"/>
  <c r="T33" i="5"/>
  <c r="W30" i="5"/>
  <c r="W34" i="5"/>
  <c r="W31" i="5"/>
  <c r="W35" i="5"/>
  <c r="W32" i="5"/>
  <c r="W33" i="5"/>
  <c r="S30" i="5"/>
  <c r="S32" i="5"/>
  <c r="S34" i="5"/>
  <c r="S31" i="5"/>
  <c r="S33" i="5"/>
  <c r="S35" i="5"/>
  <c r="R30" i="5"/>
  <c r="R34" i="5"/>
  <c r="R31" i="5"/>
  <c r="R35" i="5"/>
  <c r="R32" i="5"/>
  <c r="R33" i="5"/>
  <c r="U30" i="5"/>
  <c r="U34" i="5"/>
  <c r="U31" i="5"/>
  <c r="U35" i="5"/>
  <c r="U32" i="5"/>
  <c r="U33" i="5"/>
  <c r="AA30" i="5"/>
  <c r="AA31" i="5"/>
  <c r="AA35" i="5"/>
  <c r="AA32" i="5"/>
  <c r="AA33" i="5"/>
  <c r="AA34" i="5"/>
  <c r="Y30" i="5"/>
  <c r="Y34" i="5"/>
  <c r="Y31" i="5"/>
  <c r="Y35" i="5"/>
  <c r="Y32" i="5"/>
  <c r="P32" i="5"/>
  <c r="P33" i="5"/>
  <c r="P30" i="5"/>
  <c r="P34" i="5"/>
  <c r="P31" i="5"/>
  <c r="P35" i="5"/>
  <c r="Q33" i="5"/>
  <c r="Q30" i="5"/>
  <c r="Q34" i="5"/>
  <c r="Q31" i="5"/>
  <c r="Q35" i="5"/>
  <c r="Q32" i="5"/>
  <c r="O10" i="5"/>
  <c r="O27" i="5" s="1"/>
  <c r="AP23" i="6"/>
  <c r="M32" i="5"/>
  <c r="M34" i="5"/>
  <c r="M31" i="5"/>
  <c r="M33" i="5"/>
  <c r="M30" i="5"/>
  <c r="M35" i="5"/>
  <c r="I31" i="6"/>
  <c r="I33" i="6" s="1"/>
  <c r="I41" i="6" s="1"/>
  <c r="I7" i="5" s="1"/>
  <c r="N10" i="5"/>
  <c r="N27" i="5" s="1"/>
  <c r="AO29" i="6"/>
  <c r="AP29" i="6" s="1"/>
  <c r="H31" i="6"/>
  <c r="H33" i="6" s="1"/>
  <c r="H41" i="6" s="1"/>
  <c r="H7" i="5" s="1"/>
  <c r="L31" i="6"/>
  <c r="L33" i="6" s="1"/>
  <c r="L41" i="6" s="1"/>
  <c r="L7" i="5" s="1"/>
  <c r="AO30" i="6"/>
  <c r="AP30" i="6" s="1"/>
  <c r="K31" i="6"/>
  <c r="K33" i="6" s="1"/>
  <c r="K41" i="6" s="1"/>
  <c r="K7" i="5" s="1"/>
  <c r="G31" i="6"/>
  <c r="G33" i="6" s="1"/>
  <c r="G41" i="6" s="1"/>
  <c r="G7" i="5" s="1"/>
  <c r="J31" i="6"/>
  <c r="J33" i="6" s="1"/>
  <c r="J41" i="6" s="1"/>
  <c r="J7" i="5" s="1"/>
  <c r="AO28" i="6"/>
  <c r="AP24" i="5"/>
  <c r="AP23" i="5"/>
  <c r="AP16" i="5"/>
  <c r="AE36" i="5"/>
  <c r="AE38" i="5" s="1"/>
  <c r="AE40" i="5" s="1"/>
  <c r="AP21" i="5"/>
  <c r="AF36" i="5"/>
  <c r="AF38" i="5" s="1"/>
  <c r="AF40" i="5" s="1"/>
  <c r="AD36" i="5"/>
  <c r="AD38" i="5" s="1"/>
  <c r="AD40" i="5" s="1"/>
  <c r="AP20" i="5"/>
  <c r="AP18" i="5"/>
  <c r="AP17" i="5"/>
  <c r="AP22" i="5"/>
  <c r="AH25" i="4"/>
  <c r="AH23" i="4"/>
  <c r="AH22" i="4"/>
  <c r="AH21" i="4"/>
  <c r="AH19" i="4"/>
  <c r="AH18" i="4"/>
  <c r="AH17" i="4"/>
  <c r="AH16" i="4"/>
  <c r="AB36" i="5" l="1"/>
  <c r="AB38" i="5" s="1"/>
  <c r="AB40" i="5" s="1"/>
  <c r="AA36" i="5"/>
  <c r="AA38" i="5" s="1"/>
  <c r="AA40" i="5" s="1"/>
  <c r="AP28" i="6"/>
  <c r="AO31" i="6"/>
  <c r="AO33" i="6" s="1"/>
  <c r="Z30" i="5"/>
  <c r="Z33" i="5"/>
  <c r="Z35" i="5"/>
  <c r="Z34" i="5"/>
  <c r="Z31" i="5"/>
  <c r="Z32" i="5"/>
  <c r="X30" i="5"/>
  <c r="X32" i="5"/>
  <c r="X35" i="5"/>
  <c r="X34" i="5"/>
  <c r="X33" i="5"/>
  <c r="X31" i="5"/>
  <c r="V30" i="5"/>
  <c r="V32" i="5"/>
  <c r="V34" i="5"/>
  <c r="V33" i="5"/>
  <c r="V31" i="5"/>
  <c r="V35" i="5"/>
  <c r="U36" i="5"/>
  <c r="U38" i="5" s="1"/>
  <c r="U40" i="5" s="1"/>
  <c r="T36" i="5"/>
  <c r="T38" i="5" s="1"/>
  <c r="T40" i="5" s="1"/>
  <c r="AC36" i="5"/>
  <c r="AC38" i="5" s="1"/>
  <c r="AC40" i="5" s="1"/>
  <c r="S36" i="5"/>
  <c r="S38" i="5" s="1"/>
  <c r="S40" i="5" s="1"/>
  <c r="W36" i="5"/>
  <c r="W38" i="5" s="1"/>
  <c r="W40" i="5" s="1"/>
  <c r="Y36" i="5"/>
  <c r="Y38" i="5" s="1"/>
  <c r="Y40" i="5" s="1"/>
  <c r="AP27" i="6"/>
  <c r="AR28" i="6"/>
  <c r="P36" i="5"/>
  <c r="P38" i="5" s="1"/>
  <c r="P40" i="5" s="1"/>
  <c r="O33" i="5"/>
  <c r="O30" i="5"/>
  <c r="O34" i="5"/>
  <c r="O31" i="5"/>
  <c r="O35" i="5"/>
  <c r="O32" i="5"/>
  <c r="N32" i="5"/>
  <c r="N34" i="5"/>
  <c r="N35" i="5"/>
  <c r="N33" i="5"/>
  <c r="N30" i="5"/>
  <c r="N31" i="5"/>
  <c r="I10" i="5"/>
  <c r="I27" i="5" s="1"/>
  <c r="H10" i="5"/>
  <c r="H27" i="5" s="1"/>
  <c r="K10" i="5"/>
  <c r="K27" i="5" s="1"/>
  <c r="J10" i="5"/>
  <c r="J27" i="5" s="1"/>
  <c r="L10" i="5"/>
  <c r="L27" i="5" s="1"/>
  <c r="L30" i="5" s="1"/>
  <c r="AG36" i="5"/>
  <c r="AG38" i="5" s="1"/>
  <c r="AG40" i="5" s="1"/>
  <c r="AP25" i="5"/>
  <c r="M36" i="5"/>
  <c r="M38" i="5" s="1"/>
  <c r="M40" i="5" s="1"/>
  <c r="Q36" i="5"/>
  <c r="Q38" i="5" s="1"/>
  <c r="Q40" i="5" s="1"/>
  <c r="R36" i="5"/>
  <c r="R38" i="5" s="1"/>
  <c r="R40" i="5" s="1"/>
  <c r="Z36" i="5" l="1"/>
  <c r="Z38" i="5" s="1"/>
  <c r="Z40" i="5" s="1"/>
  <c r="V36" i="5"/>
  <c r="V38" i="5" s="1"/>
  <c r="V40" i="5" s="1"/>
  <c r="X36" i="5"/>
  <c r="X38" i="5" s="1"/>
  <c r="X40" i="5" s="1"/>
  <c r="AO37" i="6"/>
  <c r="AP37" i="6" s="1"/>
  <c r="AP33" i="6"/>
  <c r="AP31" i="6"/>
  <c r="O36" i="5"/>
  <c r="O38" i="5" s="1"/>
  <c r="O40" i="5" s="1"/>
  <c r="AR31" i="6"/>
  <c r="AS31" i="6" s="1"/>
  <c r="N36" i="5"/>
  <c r="N38" i="5" s="1"/>
  <c r="N40" i="5" s="1"/>
  <c r="I30" i="5"/>
  <c r="I32" i="5"/>
  <c r="I34" i="5"/>
  <c r="I33" i="5"/>
  <c r="I31" i="5"/>
  <c r="I35" i="5"/>
  <c r="L32" i="5"/>
  <c r="L33" i="5"/>
  <c r="L34" i="5"/>
  <c r="L35" i="5"/>
  <c r="L31" i="5"/>
  <c r="J34" i="5"/>
  <c r="J33" i="5"/>
  <c r="J31" i="5"/>
  <c r="J35" i="5"/>
  <c r="J30" i="5"/>
  <c r="J32" i="5"/>
  <c r="H31" i="5"/>
  <c r="H35" i="5"/>
  <c r="H33" i="5"/>
  <c r="H30" i="5"/>
  <c r="H32" i="5"/>
  <c r="H34" i="5"/>
  <c r="AO39" i="6"/>
  <c r="AR39" i="6" s="1"/>
  <c r="AO41" i="6"/>
  <c r="K35" i="5"/>
  <c r="K30" i="5"/>
  <c r="K32" i="5"/>
  <c r="K34" i="5"/>
  <c r="K33" i="5"/>
  <c r="K31" i="5"/>
  <c r="AF16" i="4"/>
  <c r="AF17" i="4"/>
  <c r="AF18" i="4"/>
  <c r="AF19" i="4"/>
  <c r="AF21" i="4"/>
  <c r="AF22" i="4"/>
  <c r="AF23" i="4"/>
  <c r="AF25" i="4"/>
  <c r="AR41" i="6" l="1"/>
  <c r="I36" i="5"/>
  <c r="I38" i="5" s="1"/>
  <c r="I40" i="5" s="1"/>
  <c r="L36" i="5"/>
  <c r="L38" i="5" s="1"/>
  <c r="L40" i="5" s="1"/>
  <c r="K36" i="5"/>
  <c r="K38" i="5" s="1"/>
  <c r="K40" i="5" s="1"/>
  <c r="H36" i="5"/>
  <c r="H38" i="5" s="1"/>
  <c r="H40" i="5" s="1"/>
  <c r="G10" i="5"/>
  <c r="G27" i="5" s="1"/>
  <c r="D7" i="5"/>
  <c r="AO7" i="5"/>
  <c r="AO10" i="5" s="1"/>
  <c r="J36" i="5"/>
  <c r="J38" i="5" s="1"/>
  <c r="J40" i="5" s="1"/>
  <c r="AC16" i="4"/>
  <c r="AC17" i="4"/>
  <c r="AC18" i="4"/>
  <c r="AC19" i="4"/>
  <c r="AC21" i="4"/>
  <c r="AC22" i="4"/>
  <c r="AC23" i="4"/>
  <c r="AC25" i="4"/>
  <c r="AO54" i="5" l="1"/>
  <c r="AO52" i="5"/>
  <c r="AO53" i="5"/>
  <c r="AO45" i="5"/>
  <c r="AO46" i="5"/>
  <c r="AO47" i="5"/>
  <c r="AO48" i="5"/>
  <c r="G30" i="5"/>
  <c r="AO30" i="5" s="1"/>
  <c r="G34" i="5"/>
  <c r="AO34" i="5" s="1"/>
  <c r="G32" i="5"/>
  <c r="AO32" i="5" s="1"/>
  <c r="G31" i="5"/>
  <c r="AO31" i="5" s="1"/>
  <c r="G33" i="5"/>
  <c r="AO33" i="5" s="1"/>
  <c r="G35" i="5"/>
  <c r="AO35" i="5" s="1"/>
  <c r="AB16" i="4"/>
  <c r="AB17" i="4"/>
  <c r="AB18" i="4"/>
  <c r="AB19" i="4"/>
  <c r="AB21" i="4"/>
  <c r="AB22" i="4"/>
  <c r="AB23" i="4"/>
  <c r="AB25" i="4"/>
  <c r="AO55" i="5" l="1"/>
  <c r="AO36" i="5"/>
  <c r="G36" i="5"/>
  <c r="G38" i="5" s="1"/>
  <c r="G40" i="5" s="1"/>
  <c r="AO49" i="5"/>
  <c r="AA25" i="4"/>
  <c r="AA23" i="4"/>
  <c r="AA22" i="4"/>
  <c r="AA21" i="4"/>
  <c r="AA19" i="4"/>
  <c r="AA18" i="4"/>
  <c r="AA17" i="4"/>
  <c r="AA16" i="4"/>
  <c r="AO57" i="5" l="1"/>
  <c r="AP30" i="5"/>
  <c r="AO38" i="5"/>
  <c r="AP31" i="5"/>
  <c r="AP33" i="5"/>
  <c r="AP32" i="5"/>
  <c r="AP34" i="5"/>
  <c r="AO40" i="5"/>
  <c r="G42" i="5"/>
  <c r="H42" i="5" s="1"/>
  <c r="I42" i="5" s="1"/>
  <c r="J42" i="5" s="1"/>
  <c r="AP35" i="5"/>
  <c r="Y16" i="4"/>
  <c r="Y17" i="4"/>
  <c r="Y18" i="4"/>
  <c r="Y19" i="4"/>
  <c r="Y21" i="4"/>
  <c r="Y22" i="4"/>
  <c r="Y23" i="4"/>
  <c r="Y25" i="4"/>
  <c r="K42" i="5" l="1"/>
  <c r="L42" i="5" s="1"/>
  <c r="M42" i="5" s="1"/>
  <c r="N42" i="5" s="1"/>
  <c r="O42" i="5" s="1"/>
  <c r="P42" i="5" s="1"/>
  <c r="Q42" i="5" s="1"/>
  <c r="R42" i="5" s="1"/>
  <c r="S42" i="5" s="1"/>
  <c r="T42" i="5" s="1"/>
  <c r="U42" i="5" s="1"/>
  <c r="V42" i="5" s="1"/>
  <c r="W42" i="5" s="1"/>
  <c r="X42" i="5" s="1"/>
  <c r="Y42" i="5" s="1"/>
  <c r="Z42" i="5" s="1"/>
  <c r="AA42" i="5" s="1"/>
  <c r="AB42" i="5" s="1"/>
  <c r="AC42" i="5" s="1"/>
  <c r="AD42" i="5" s="1"/>
  <c r="AE42" i="5" s="1"/>
  <c r="AF42" i="5" s="1"/>
  <c r="AG42" i="5" s="1"/>
  <c r="AH42" i="5" s="1"/>
  <c r="AI42" i="5" s="1"/>
  <c r="AJ42" i="5" s="1"/>
  <c r="AP36" i="5"/>
  <c r="X16" i="4"/>
  <c r="X17" i="4"/>
  <c r="X18" i="4"/>
  <c r="X19" i="4"/>
  <c r="X21" i="4"/>
  <c r="X22" i="4"/>
  <c r="X23" i="4"/>
  <c r="X25" i="4"/>
  <c r="H27" i="4" l="1"/>
  <c r="AN36" i="3" l="1"/>
  <c r="AP31" i="3"/>
  <c r="AP32" i="3"/>
  <c r="AP33" i="3"/>
  <c r="AP34" i="3"/>
  <c r="AP35" i="3"/>
  <c r="AP30" i="3"/>
  <c r="AN25" i="3"/>
  <c r="AP16" i="3"/>
  <c r="AP23" i="3"/>
  <c r="AP21" i="3"/>
  <c r="AP17" i="3"/>
  <c r="AP18" i="3"/>
  <c r="AP19" i="3"/>
  <c r="AP20" i="3"/>
  <c r="AP22" i="3"/>
  <c r="AP24" i="3"/>
  <c r="AR17" i="4"/>
  <c r="AR18" i="4"/>
  <c r="AR19" i="4"/>
  <c r="AR20" i="4"/>
  <c r="AR21" i="4"/>
  <c r="AR22" i="4"/>
  <c r="AR23" i="4"/>
  <c r="AR24" i="4"/>
  <c r="AR25" i="4"/>
  <c r="AR26" i="4"/>
  <c r="AR16" i="4"/>
  <c r="AP27" i="4"/>
  <c r="D27" i="4"/>
  <c r="G18" i="4"/>
  <c r="AN8" i="4"/>
  <c r="AN10" i="4" s="1"/>
  <c r="AM8" i="4"/>
  <c r="AM10" i="4" s="1"/>
  <c r="AL8" i="4"/>
  <c r="AL10" i="4" s="1"/>
  <c r="AK8" i="4"/>
  <c r="AK10" i="4" s="1"/>
  <c r="AJ8" i="4"/>
  <c r="AJ10" i="4" s="1"/>
  <c r="AI8" i="4"/>
  <c r="AI10" i="4" s="1"/>
  <c r="AH8" i="4"/>
  <c r="AH10" i="4" s="1"/>
  <c r="AG8" i="4"/>
  <c r="AG10" i="4" s="1"/>
  <c r="AF8" i="4"/>
  <c r="AF10" i="4" s="1"/>
  <c r="AE8" i="4"/>
  <c r="AE10" i="4" s="1"/>
  <c r="AD8" i="4"/>
  <c r="AD10" i="4" s="1"/>
  <c r="AC8" i="4"/>
  <c r="AC10" i="4" s="1"/>
  <c r="AB8" i="4"/>
  <c r="AB10" i="4" s="1"/>
  <c r="AA8" i="4"/>
  <c r="AA10" i="4" s="1"/>
  <c r="Z8" i="4"/>
  <c r="Z10" i="4" s="1"/>
  <c r="Y8" i="4"/>
  <c r="Y10" i="4" s="1"/>
  <c r="X8" i="4"/>
  <c r="X10" i="4" s="1"/>
  <c r="W8" i="4"/>
  <c r="W10" i="4" s="1"/>
  <c r="V8" i="4"/>
  <c r="V10" i="4" s="1"/>
  <c r="U8" i="4"/>
  <c r="U10" i="4" s="1"/>
  <c r="T8" i="4"/>
  <c r="T10" i="4" s="1"/>
  <c r="S8" i="4"/>
  <c r="S10" i="4" s="1"/>
  <c r="R8" i="4"/>
  <c r="R10" i="4" s="1"/>
  <c r="Q8" i="4"/>
  <c r="Q10" i="4" s="1"/>
  <c r="P8" i="4"/>
  <c r="P10" i="4" s="1"/>
  <c r="O8" i="4"/>
  <c r="O10" i="4" s="1"/>
  <c r="N8" i="4"/>
  <c r="N10" i="4" s="1"/>
  <c r="M8" i="4"/>
  <c r="M10" i="4" s="1"/>
  <c r="K8" i="4"/>
  <c r="K10" i="4" s="1"/>
  <c r="I8" i="4"/>
  <c r="I10" i="4" s="1"/>
  <c r="G8" i="4"/>
  <c r="F55" i="3"/>
  <c r="F49" i="3"/>
  <c r="D36" i="3"/>
  <c r="F32" i="3" s="1"/>
  <c r="E33" i="3"/>
  <c r="E32" i="3"/>
  <c r="E31" i="3"/>
  <c r="E35" i="3"/>
  <c r="E34" i="3"/>
  <c r="E30" i="3"/>
  <c r="D25" i="3"/>
  <c r="E22" i="3"/>
  <c r="E21" i="3"/>
  <c r="E24" i="3"/>
  <c r="E20" i="3"/>
  <c r="E23" i="3"/>
  <c r="E19" i="3"/>
  <c r="E18" i="3"/>
  <c r="E17" i="3"/>
  <c r="E16" i="3"/>
  <c r="AS10" i="3"/>
  <c r="F57" i="3" l="1"/>
  <c r="AN38" i="3"/>
  <c r="AL24" i="3"/>
  <c r="AK24" i="3"/>
  <c r="AJ24" i="3"/>
  <c r="AI24" i="3"/>
  <c r="AK19" i="3"/>
  <c r="AL19" i="3"/>
  <c r="AJ19" i="3"/>
  <c r="AI19" i="3"/>
  <c r="AL21" i="3"/>
  <c r="AK21" i="3"/>
  <c r="AJ21" i="3"/>
  <c r="AI21" i="3"/>
  <c r="AL18" i="3"/>
  <c r="AK18" i="3"/>
  <c r="AJ18" i="3"/>
  <c r="AI18" i="3"/>
  <c r="AL16" i="3"/>
  <c r="AK16" i="3"/>
  <c r="AJ16" i="3"/>
  <c r="AI16" i="3"/>
  <c r="AL23" i="3"/>
  <c r="AK23" i="3"/>
  <c r="AJ23" i="3"/>
  <c r="AI23" i="3"/>
  <c r="AL22" i="3"/>
  <c r="AK22" i="3"/>
  <c r="AJ22" i="3"/>
  <c r="AI22" i="3"/>
  <c r="AL20" i="3"/>
  <c r="AK20" i="3"/>
  <c r="AJ20" i="3"/>
  <c r="AI20" i="3"/>
  <c r="AK17" i="3"/>
  <c r="AL17" i="3"/>
  <c r="AJ17" i="3"/>
  <c r="AI17" i="3"/>
  <c r="D31" i="4"/>
  <c r="E27" i="4"/>
  <c r="AX3" i="4"/>
  <c r="AY3" i="4" s="1"/>
  <c r="AL26" i="4"/>
  <c r="AL27" i="4" s="1"/>
  <c r="AL29" i="4" s="1"/>
  <c r="AK26" i="4"/>
  <c r="AH16" i="3"/>
  <c r="AG16" i="3"/>
  <c r="AF16" i="3"/>
  <c r="AE16" i="3"/>
  <c r="AH17" i="3"/>
  <c r="AG17" i="3"/>
  <c r="AF17" i="3"/>
  <c r="AE17" i="3"/>
  <c r="AH21" i="3"/>
  <c r="AG21" i="3"/>
  <c r="AF21" i="3"/>
  <c r="AE21" i="3"/>
  <c r="AH20" i="3"/>
  <c r="AG20" i="3"/>
  <c r="AF20" i="3"/>
  <c r="AE20" i="3"/>
  <c r="AH24" i="3"/>
  <c r="AG24" i="3"/>
  <c r="AF24" i="3"/>
  <c r="AE24" i="3"/>
  <c r="AH18" i="3"/>
  <c r="AG18" i="3"/>
  <c r="AF18" i="3"/>
  <c r="AE18" i="3"/>
  <c r="AH22" i="3"/>
  <c r="AG22" i="3"/>
  <c r="AF22" i="3"/>
  <c r="AE22" i="3"/>
  <c r="AH19" i="3"/>
  <c r="AG19" i="3"/>
  <c r="AF19" i="3"/>
  <c r="AE19" i="3"/>
  <c r="AH23" i="3"/>
  <c r="AG23" i="3"/>
  <c r="AF23" i="3"/>
  <c r="AE23" i="3"/>
  <c r="AJ26" i="4"/>
  <c r="AI26" i="4"/>
  <c r="AH26" i="4"/>
  <c r="AF26" i="4"/>
  <c r="AC26" i="4"/>
  <c r="AB26" i="4"/>
  <c r="AA26" i="4"/>
  <c r="Y26" i="4"/>
  <c r="X26" i="4"/>
  <c r="AJ20" i="4"/>
  <c r="AI20" i="4"/>
  <c r="AH20" i="4"/>
  <c r="AF20" i="4"/>
  <c r="AC20" i="4"/>
  <c r="AB20" i="4"/>
  <c r="AA20" i="4"/>
  <c r="Y20" i="4"/>
  <c r="X20" i="4"/>
  <c r="AI24" i="4"/>
  <c r="AH24" i="4"/>
  <c r="AF24" i="4"/>
  <c r="AC24" i="4"/>
  <c r="AB24" i="4"/>
  <c r="AA24" i="4"/>
  <c r="Y24" i="4"/>
  <c r="X24" i="4"/>
  <c r="AC19" i="3"/>
  <c r="AB19" i="3"/>
  <c r="AD19" i="3"/>
  <c r="AA19" i="3"/>
  <c r="Z19" i="3"/>
  <c r="Y19" i="3"/>
  <c r="W19" i="3"/>
  <c r="X19" i="3"/>
  <c r="V19" i="3"/>
  <c r="AC23" i="3"/>
  <c r="AD23" i="3"/>
  <c r="AB23" i="3"/>
  <c r="AA23" i="3"/>
  <c r="Z23" i="3"/>
  <c r="Y23" i="3"/>
  <c r="W23" i="3"/>
  <c r="X23" i="3"/>
  <c r="V23" i="3"/>
  <c r="AB21" i="3"/>
  <c r="AD21" i="3"/>
  <c r="AC21" i="3"/>
  <c r="AA21" i="3"/>
  <c r="Z21" i="3"/>
  <c r="Y21" i="3"/>
  <c r="W21" i="3"/>
  <c r="X21" i="3"/>
  <c r="V21" i="3"/>
  <c r="AD24" i="3"/>
  <c r="AC24" i="3"/>
  <c r="AB24" i="3"/>
  <c r="AA24" i="3"/>
  <c r="Z24" i="3"/>
  <c r="Y24" i="3"/>
  <c r="W24" i="3"/>
  <c r="X24" i="3"/>
  <c r="V24" i="3"/>
  <c r="AB22" i="3"/>
  <c r="AD22" i="3"/>
  <c r="AC22" i="3"/>
  <c r="AA22" i="3"/>
  <c r="Z22" i="3"/>
  <c r="Y22" i="3"/>
  <c r="W22" i="3"/>
  <c r="X22" i="3"/>
  <c r="V22" i="3"/>
  <c r="AD16" i="3"/>
  <c r="AC16" i="3"/>
  <c r="AB16" i="3"/>
  <c r="AA16" i="3"/>
  <c r="Z16" i="3"/>
  <c r="Y16" i="3"/>
  <c r="W16" i="3"/>
  <c r="X16" i="3"/>
  <c r="V16" i="3"/>
  <c r="AD20" i="3"/>
  <c r="AB20" i="3"/>
  <c r="AC20" i="3"/>
  <c r="AA20" i="3"/>
  <c r="Z20" i="3"/>
  <c r="Y20" i="3"/>
  <c r="W20" i="3"/>
  <c r="X20" i="3"/>
  <c r="V20" i="3"/>
  <c r="AC17" i="3"/>
  <c r="AB17" i="3"/>
  <c r="AD17" i="3"/>
  <c r="AA17" i="3"/>
  <c r="Z17" i="3"/>
  <c r="Y17" i="3"/>
  <c r="W17" i="3"/>
  <c r="X17" i="3"/>
  <c r="V17" i="3"/>
  <c r="AB18" i="3"/>
  <c r="AC18" i="3"/>
  <c r="AD18" i="3"/>
  <c r="AA18" i="3"/>
  <c r="Z18" i="3"/>
  <c r="Y18" i="3"/>
  <c r="W18" i="3"/>
  <c r="X18" i="3"/>
  <c r="V18" i="3"/>
  <c r="G21" i="3"/>
  <c r="W17" i="4"/>
  <c r="U17" i="4"/>
  <c r="V17" i="4"/>
  <c r="T17" i="4"/>
  <c r="R17" i="4"/>
  <c r="W23" i="4"/>
  <c r="V23" i="4"/>
  <c r="U23" i="4"/>
  <c r="T23" i="4"/>
  <c r="R23" i="4"/>
  <c r="W21" i="4"/>
  <c r="U21" i="4"/>
  <c r="V21" i="4"/>
  <c r="T21" i="4"/>
  <c r="R21" i="4"/>
  <c r="G21" i="4"/>
  <c r="W25" i="4"/>
  <c r="U25" i="4"/>
  <c r="V25" i="4"/>
  <c r="T25" i="4"/>
  <c r="R25" i="4"/>
  <c r="W20" i="4"/>
  <c r="V20" i="4"/>
  <c r="U20" i="4"/>
  <c r="T20" i="4"/>
  <c r="R20" i="4"/>
  <c r="W18" i="4"/>
  <c r="V18" i="4"/>
  <c r="U18" i="4"/>
  <c r="T18" i="4"/>
  <c r="R18" i="4"/>
  <c r="W16" i="4"/>
  <c r="U16" i="4"/>
  <c r="V16" i="4"/>
  <c r="T16" i="4"/>
  <c r="R16" i="4"/>
  <c r="W19" i="4"/>
  <c r="V19" i="4"/>
  <c r="U19" i="4"/>
  <c r="T19" i="4"/>
  <c r="R19" i="4"/>
  <c r="W22" i="4"/>
  <c r="U22" i="4"/>
  <c r="V22" i="4"/>
  <c r="T22" i="4"/>
  <c r="R22" i="4"/>
  <c r="W26" i="4"/>
  <c r="U26" i="4"/>
  <c r="V26" i="4"/>
  <c r="T26" i="4"/>
  <c r="R26" i="4"/>
  <c r="W24" i="4"/>
  <c r="U24" i="4"/>
  <c r="V24" i="4"/>
  <c r="T24" i="4"/>
  <c r="R24" i="4"/>
  <c r="I18" i="3"/>
  <c r="U18" i="3"/>
  <c r="S18" i="3"/>
  <c r="T18" i="3"/>
  <c r="R18" i="3"/>
  <c r="P18" i="3"/>
  <c r="Q18" i="3"/>
  <c r="O18" i="3"/>
  <c r="N18" i="3"/>
  <c r="M18" i="3"/>
  <c r="L18" i="3"/>
  <c r="J18" i="3"/>
  <c r="K18" i="3"/>
  <c r="I19" i="3"/>
  <c r="U19" i="3"/>
  <c r="S19" i="3"/>
  <c r="T19" i="3"/>
  <c r="R19" i="3"/>
  <c r="P19" i="3"/>
  <c r="Q19" i="3"/>
  <c r="O19" i="3"/>
  <c r="N19" i="3"/>
  <c r="M19" i="3"/>
  <c r="L19" i="3"/>
  <c r="J19" i="3"/>
  <c r="K19" i="3"/>
  <c r="U24" i="3"/>
  <c r="S24" i="3"/>
  <c r="T24" i="3"/>
  <c r="R24" i="3"/>
  <c r="P24" i="3"/>
  <c r="Q24" i="3"/>
  <c r="O24" i="3"/>
  <c r="N24" i="3"/>
  <c r="M24" i="3"/>
  <c r="L24" i="3"/>
  <c r="I21" i="3"/>
  <c r="U21" i="3"/>
  <c r="T21" i="3"/>
  <c r="S21" i="3"/>
  <c r="R21" i="3"/>
  <c r="P21" i="3"/>
  <c r="Q21" i="3"/>
  <c r="O21" i="3"/>
  <c r="N21" i="3"/>
  <c r="M21" i="3"/>
  <c r="L21" i="3"/>
  <c r="K21" i="3"/>
  <c r="J21" i="3"/>
  <c r="I16" i="3"/>
  <c r="U16" i="3"/>
  <c r="S16" i="3"/>
  <c r="T16" i="3"/>
  <c r="R16" i="3"/>
  <c r="P16" i="3"/>
  <c r="Q16" i="3"/>
  <c r="O16" i="3"/>
  <c r="N16" i="3"/>
  <c r="M16" i="3"/>
  <c r="L16" i="3"/>
  <c r="K16" i="3"/>
  <c r="J16" i="3"/>
  <c r="U23" i="3"/>
  <c r="S23" i="3"/>
  <c r="T23" i="3"/>
  <c r="R23" i="3"/>
  <c r="P23" i="3"/>
  <c r="Q23" i="3"/>
  <c r="O23" i="3"/>
  <c r="N23" i="3"/>
  <c r="M23" i="3"/>
  <c r="L23" i="3"/>
  <c r="I17" i="3"/>
  <c r="U17" i="3"/>
  <c r="T17" i="3"/>
  <c r="S17" i="3"/>
  <c r="R17" i="3"/>
  <c r="P17" i="3"/>
  <c r="Q17" i="3"/>
  <c r="O17" i="3"/>
  <c r="N17" i="3"/>
  <c r="M17" i="3"/>
  <c r="L17" i="3"/>
  <c r="K17" i="3"/>
  <c r="J17" i="3"/>
  <c r="U20" i="3"/>
  <c r="S20" i="3"/>
  <c r="T20" i="3"/>
  <c r="R20" i="3"/>
  <c r="P20" i="3"/>
  <c r="Q20" i="3"/>
  <c r="O20" i="3"/>
  <c r="N20" i="3"/>
  <c r="M20" i="3"/>
  <c r="L20" i="3"/>
  <c r="K20" i="3"/>
  <c r="J20" i="3"/>
  <c r="U22" i="3"/>
  <c r="S22" i="3"/>
  <c r="T22" i="3"/>
  <c r="R22" i="3"/>
  <c r="P22" i="3"/>
  <c r="Q22" i="3"/>
  <c r="O22" i="3"/>
  <c r="N22" i="3"/>
  <c r="M22" i="3"/>
  <c r="Q16" i="4"/>
  <c r="P16" i="4"/>
  <c r="O16" i="4"/>
  <c r="N16" i="4"/>
  <c r="M16" i="4"/>
  <c r="I16" i="4"/>
  <c r="Q25" i="4"/>
  <c r="P25" i="4"/>
  <c r="O25" i="4"/>
  <c r="N25" i="4"/>
  <c r="M25" i="4"/>
  <c r="I25" i="4"/>
  <c r="G16" i="4"/>
  <c r="Q19" i="4"/>
  <c r="P19" i="4"/>
  <c r="O19" i="4"/>
  <c r="N19" i="4"/>
  <c r="M19" i="4"/>
  <c r="I19" i="4"/>
  <c r="Q22" i="4"/>
  <c r="P22" i="4"/>
  <c r="O22" i="4"/>
  <c r="N22" i="4"/>
  <c r="G25" i="4"/>
  <c r="Q17" i="4"/>
  <c r="P17" i="4"/>
  <c r="O17" i="4"/>
  <c r="N17" i="4"/>
  <c r="M17" i="4"/>
  <c r="I17" i="4"/>
  <c r="Q20" i="4"/>
  <c r="P20" i="4"/>
  <c r="O20" i="4"/>
  <c r="N20" i="4"/>
  <c r="M20" i="4"/>
  <c r="I20" i="4"/>
  <c r="Q23" i="4"/>
  <c r="P23" i="4"/>
  <c r="O23" i="4"/>
  <c r="N23" i="4"/>
  <c r="M23" i="4"/>
  <c r="I23" i="4"/>
  <c r="Q26" i="4"/>
  <c r="P26" i="4"/>
  <c r="O26" i="4"/>
  <c r="N26" i="4"/>
  <c r="M26" i="4"/>
  <c r="I26" i="4"/>
  <c r="Q18" i="4"/>
  <c r="P18" i="4"/>
  <c r="O18" i="4"/>
  <c r="N18" i="4"/>
  <c r="M18" i="4"/>
  <c r="I18" i="4"/>
  <c r="Q21" i="4"/>
  <c r="P21" i="4"/>
  <c r="O21" i="4"/>
  <c r="N21" i="4"/>
  <c r="M21" i="4"/>
  <c r="I21" i="4"/>
  <c r="Q24" i="4"/>
  <c r="P24" i="4"/>
  <c r="G26" i="4"/>
  <c r="O24" i="4"/>
  <c r="N24" i="4"/>
  <c r="L22" i="3"/>
  <c r="K22" i="3"/>
  <c r="J22" i="3"/>
  <c r="I24" i="4"/>
  <c r="M24" i="4"/>
  <c r="I22" i="4"/>
  <c r="M22" i="4"/>
  <c r="F33" i="3"/>
  <c r="I23" i="3"/>
  <c r="J23" i="3"/>
  <c r="K23" i="3"/>
  <c r="J24" i="3"/>
  <c r="K24" i="3"/>
  <c r="G24" i="3"/>
  <c r="G18" i="3"/>
  <c r="I22" i="3"/>
  <c r="I24" i="3"/>
  <c r="G17" i="3"/>
  <c r="D38" i="3"/>
  <c r="F31" i="3"/>
  <c r="F34" i="3"/>
  <c r="F30" i="3"/>
  <c r="F35" i="3"/>
  <c r="G20" i="3"/>
  <c r="I20" i="3"/>
  <c r="F24" i="4"/>
  <c r="AW6" i="4"/>
  <c r="AX6" i="4" s="1"/>
  <c r="AY6" i="4" s="1"/>
  <c r="F25" i="4"/>
  <c r="F16" i="4"/>
  <c r="F20" i="4"/>
  <c r="F21" i="4"/>
  <c r="AR27" i="4"/>
  <c r="F17" i="4"/>
  <c r="E36" i="3"/>
  <c r="AP36" i="3"/>
  <c r="AP25" i="3"/>
  <c r="G22" i="4"/>
  <c r="AT8" i="4"/>
  <c r="F17" i="3"/>
  <c r="F23" i="3"/>
  <c r="F21" i="3"/>
  <c r="F16" i="3"/>
  <c r="F19" i="3"/>
  <c r="F24" i="3"/>
  <c r="F22" i="3"/>
  <c r="F18" i="3"/>
  <c r="F20" i="3"/>
  <c r="G10" i="4"/>
  <c r="G24" i="4"/>
  <c r="G19" i="4"/>
  <c r="S27" i="4"/>
  <c r="S29" i="4" s="1"/>
  <c r="Q7" i="3" s="1"/>
  <c r="G23" i="4"/>
  <c r="F26" i="4"/>
  <c r="F22" i="4"/>
  <c r="F18" i="4"/>
  <c r="F23" i="4"/>
  <c r="F19" i="4"/>
  <c r="AD27" i="4"/>
  <c r="AD29" i="4" s="1"/>
  <c r="G20" i="4"/>
  <c r="G17" i="4"/>
  <c r="G19" i="3"/>
  <c r="G22" i="3"/>
  <c r="E25" i="3"/>
  <c r="G16" i="3"/>
  <c r="AH25" i="3"/>
  <c r="G23" i="3"/>
  <c r="AI25" i="3" l="1"/>
  <c r="R25" i="3"/>
  <c r="AF25" i="3"/>
  <c r="E38" i="3"/>
  <c r="D6" i="3"/>
  <c r="AE25" i="3"/>
  <c r="X27" i="4"/>
  <c r="X29" i="4" s="1"/>
  <c r="V7" i="3" s="1"/>
  <c r="AT18" i="4"/>
  <c r="AB27" i="4"/>
  <c r="AB29" i="4" s="1"/>
  <c r="Z7" i="3" s="1"/>
  <c r="AC27" i="4"/>
  <c r="AC29" i="4" s="1"/>
  <c r="AA7" i="3" s="1"/>
  <c r="AJ27" i="4"/>
  <c r="AJ29" i="4" s="1"/>
  <c r="AH7" i="3" s="1"/>
  <c r="Z25" i="3"/>
  <c r="W25" i="3"/>
  <c r="AR21" i="3"/>
  <c r="Y27" i="4"/>
  <c r="Y29" i="4" s="1"/>
  <c r="W7" i="3" s="1"/>
  <c r="AT20" i="4"/>
  <c r="AR18" i="3"/>
  <c r="T27" i="4"/>
  <c r="T29" i="4" s="1"/>
  <c r="R7" i="3" s="1"/>
  <c r="J25" i="3"/>
  <c r="P25" i="3"/>
  <c r="AT26" i="4"/>
  <c r="V27" i="4"/>
  <c r="V29" i="4" s="1"/>
  <c r="T7" i="3" s="1"/>
  <c r="AJ7" i="3"/>
  <c r="O27" i="4"/>
  <c r="O29" i="4" s="1"/>
  <c r="M7" i="3" s="1"/>
  <c r="AT16" i="4"/>
  <c r="P27" i="4"/>
  <c r="P29" i="4" s="1"/>
  <c r="N7" i="3" s="1"/>
  <c r="O25" i="3"/>
  <c r="S25" i="3"/>
  <c r="AR17" i="3"/>
  <c r="AR24" i="3"/>
  <c r="AB7" i="3"/>
  <c r="F38" i="3"/>
  <c r="F6" i="3"/>
  <c r="D40" i="3"/>
  <c r="F36" i="3"/>
  <c r="I27" i="4"/>
  <c r="I29" i="4" s="1"/>
  <c r="I7" i="3" s="1"/>
  <c r="F27" i="4"/>
  <c r="AN27" i="4"/>
  <c r="AN29" i="4" s="1"/>
  <c r="AH27" i="4"/>
  <c r="AH29" i="4" s="1"/>
  <c r="AT22" i="4"/>
  <c r="AG27" i="4"/>
  <c r="AG29" i="4" s="1"/>
  <c r="N27" i="4"/>
  <c r="N29" i="4" s="1"/>
  <c r="L7" i="3" s="1"/>
  <c r="F25" i="3"/>
  <c r="AT21" i="4"/>
  <c r="AF27" i="4"/>
  <c r="AF29" i="4" s="1"/>
  <c r="AT19" i="4"/>
  <c r="U27" i="4"/>
  <c r="U29" i="4" s="1"/>
  <c r="AT17" i="4"/>
  <c r="Q27" i="4"/>
  <c r="Q29" i="4" s="1"/>
  <c r="O7" i="3" s="1"/>
  <c r="AT25" i="4"/>
  <c r="W27" i="4"/>
  <c r="W29" i="4" s="1"/>
  <c r="AM27" i="4"/>
  <c r="AM29" i="4" s="1"/>
  <c r="AK7" i="3" s="1"/>
  <c r="AT23" i="4"/>
  <c r="AE27" i="4"/>
  <c r="AE29" i="4" s="1"/>
  <c r="K27" i="4"/>
  <c r="K29" i="4" s="1"/>
  <c r="J7" i="3" s="1"/>
  <c r="AT10" i="4"/>
  <c r="AW10" i="4" s="1"/>
  <c r="AX10" i="4" s="1"/>
  <c r="G27" i="4"/>
  <c r="G29" i="4" s="1"/>
  <c r="M27" i="4"/>
  <c r="M29" i="4" s="1"/>
  <c r="K7" i="3" s="1"/>
  <c r="AA27" i="4"/>
  <c r="AA29" i="4" s="1"/>
  <c r="AI27" i="4"/>
  <c r="AI29" i="4" s="1"/>
  <c r="AT24" i="4"/>
  <c r="AK27" i="4"/>
  <c r="AK29" i="4" s="1"/>
  <c r="R27" i="4"/>
  <c r="R29" i="4" s="1"/>
  <c r="P7" i="3" s="1"/>
  <c r="Z27" i="4"/>
  <c r="Z29" i="4" s="1"/>
  <c r="AR23" i="3"/>
  <c r="V25" i="3"/>
  <c r="AG25" i="3"/>
  <c r="N25" i="3"/>
  <c r="T25" i="3"/>
  <c r="AJ25" i="3"/>
  <c r="U25" i="3"/>
  <c r="AK25" i="3"/>
  <c r="K25" i="3"/>
  <c r="Q25" i="3"/>
  <c r="AL25" i="3"/>
  <c r="G25" i="3"/>
  <c r="AR16" i="3"/>
  <c r="X25" i="3"/>
  <c r="I25" i="3"/>
  <c r="Y25" i="3"/>
  <c r="AR19" i="3"/>
  <c r="AR22" i="3"/>
  <c r="AR20" i="3"/>
  <c r="AD25" i="3"/>
  <c r="L25" i="3"/>
  <c r="AB25" i="3"/>
  <c r="M25" i="3"/>
  <c r="AC25" i="3"/>
  <c r="AA25" i="3"/>
  <c r="E21" i="2"/>
  <c r="AK21" i="2" s="1"/>
  <c r="E17" i="2"/>
  <c r="AK17" i="2" s="1"/>
  <c r="E18" i="2"/>
  <c r="AK18" i="2" s="1"/>
  <c r="E20" i="2"/>
  <c r="AK20" i="2" s="1"/>
  <c r="AK6" i="3" l="1"/>
  <c r="AL6" i="3"/>
  <c r="AJ6" i="3"/>
  <c r="AJ10" i="3" s="1"/>
  <c r="AJ27" i="3" s="1"/>
  <c r="AI6" i="3"/>
  <c r="AH6" i="3"/>
  <c r="AG6" i="3"/>
  <c r="AF6" i="3"/>
  <c r="AE6" i="3"/>
  <c r="AH10" i="3"/>
  <c r="AH27" i="3" s="1"/>
  <c r="AH33" i="3" s="1"/>
  <c r="G7" i="3"/>
  <c r="AT29" i="4"/>
  <c r="AH31" i="3"/>
  <c r="I6" i="3"/>
  <c r="I10" i="3" s="1"/>
  <c r="I27" i="3" s="1"/>
  <c r="AA6" i="3"/>
  <c r="AA10" i="3" s="1"/>
  <c r="AA27" i="3" s="1"/>
  <c r="AC6" i="3"/>
  <c r="AB6" i="3"/>
  <c r="AB10" i="3" s="1"/>
  <c r="AB27" i="3" s="1"/>
  <c r="AD6" i="3"/>
  <c r="Z6" i="3"/>
  <c r="Z10" i="3" s="1"/>
  <c r="Z27" i="3" s="1"/>
  <c r="Y6" i="3"/>
  <c r="W6" i="3"/>
  <c r="W10" i="3" s="1"/>
  <c r="W27" i="3" s="1"/>
  <c r="X6" i="3"/>
  <c r="V6" i="3"/>
  <c r="V10" i="3" s="1"/>
  <c r="V27" i="3" s="1"/>
  <c r="AY10" i="4"/>
  <c r="AD7" i="3"/>
  <c r="AI7" i="3"/>
  <c r="AC7" i="3"/>
  <c r="AL7" i="3"/>
  <c r="AE7" i="3"/>
  <c r="X7" i="3"/>
  <c r="X10" i="3" s="1"/>
  <c r="X27" i="3" s="1"/>
  <c r="AG7" i="3"/>
  <c r="Y7" i="3"/>
  <c r="AF7" i="3"/>
  <c r="U6" i="3"/>
  <c r="T6" i="3"/>
  <c r="S6" i="3"/>
  <c r="R6" i="3"/>
  <c r="R10" i="3" s="1"/>
  <c r="R27" i="3" s="1"/>
  <c r="P6" i="3"/>
  <c r="P10" i="3" s="1"/>
  <c r="P27" i="3" s="1"/>
  <c r="Q6" i="3"/>
  <c r="Q10" i="3" s="1"/>
  <c r="Q27" i="3" s="1"/>
  <c r="Q32" i="3" s="1"/>
  <c r="O6" i="3"/>
  <c r="O10" i="3" s="1"/>
  <c r="O27" i="3" s="1"/>
  <c r="N6" i="3"/>
  <c r="N10" i="3" s="1"/>
  <c r="N27" i="3" s="1"/>
  <c r="M6" i="3"/>
  <c r="M10" i="3" s="1"/>
  <c r="M27" i="3" s="1"/>
  <c r="M32" i="3" s="1"/>
  <c r="T10" i="3"/>
  <c r="T27" i="3" s="1"/>
  <c r="U7" i="3"/>
  <c r="S7" i="3"/>
  <c r="K6" i="3"/>
  <c r="K10" i="3" s="1"/>
  <c r="K27" i="3" s="1"/>
  <c r="L6" i="3"/>
  <c r="L10" i="3" s="1"/>
  <c r="L27" i="3" s="1"/>
  <c r="G6" i="3"/>
  <c r="G10" i="3" s="1"/>
  <c r="G27" i="3" s="1"/>
  <c r="G34" i="3" s="1"/>
  <c r="J6" i="3"/>
  <c r="J10" i="3" s="1"/>
  <c r="J27" i="3" s="1"/>
  <c r="J31" i="3" s="1"/>
  <c r="AU10" i="4"/>
  <c r="AT27" i="4"/>
  <c r="AW27" i="4" s="1"/>
  <c r="AR25" i="3"/>
  <c r="AS23" i="3" s="1"/>
  <c r="F53" i="1"/>
  <c r="F47" i="1"/>
  <c r="D21" i="1"/>
  <c r="F16" i="1" s="1"/>
  <c r="AM26" i="2"/>
  <c r="S10" i="3" l="1"/>
  <c r="S27" i="3" s="1"/>
  <c r="S34" i="3" s="1"/>
  <c r="AF10" i="3"/>
  <c r="AF27" i="3" s="1"/>
  <c r="AF30" i="3" s="1"/>
  <c r="AI10" i="3"/>
  <c r="AI27" i="3" s="1"/>
  <c r="AI30" i="3" s="1"/>
  <c r="AH35" i="3"/>
  <c r="AH30" i="3"/>
  <c r="AH34" i="3"/>
  <c r="AL10" i="3"/>
  <c r="AL27" i="3" s="1"/>
  <c r="AG10" i="3"/>
  <c r="AG27" i="3" s="1"/>
  <c r="AG35" i="3" s="1"/>
  <c r="AH32" i="3"/>
  <c r="AJ32" i="3"/>
  <c r="AJ30" i="3"/>
  <c r="AJ34" i="3"/>
  <c r="AJ31" i="3"/>
  <c r="AJ33" i="3"/>
  <c r="AJ35" i="3"/>
  <c r="AK10" i="3"/>
  <c r="AK27" i="3" s="1"/>
  <c r="D7" i="3"/>
  <c r="AR45" i="3" s="1"/>
  <c r="AE10" i="3"/>
  <c r="AE27" i="3" s="1"/>
  <c r="AF31" i="3"/>
  <c r="AF35" i="3"/>
  <c r="AF33" i="3"/>
  <c r="AF34" i="3"/>
  <c r="V31" i="3"/>
  <c r="V35" i="3"/>
  <c r="V32" i="3"/>
  <c r="V30" i="3"/>
  <c r="V33" i="3"/>
  <c r="V34" i="3"/>
  <c r="Z31" i="3"/>
  <c r="Z35" i="3"/>
  <c r="Z32" i="3"/>
  <c r="Z30" i="3"/>
  <c r="Z33" i="3"/>
  <c r="Z34" i="3"/>
  <c r="AC10" i="3"/>
  <c r="AC27" i="3" s="1"/>
  <c r="W31" i="3"/>
  <c r="W35" i="3"/>
  <c r="W32" i="3"/>
  <c r="W30" i="3"/>
  <c r="W33" i="3"/>
  <c r="W34" i="3"/>
  <c r="AB31" i="3"/>
  <c r="AB35" i="3"/>
  <c r="AB33" i="3"/>
  <c r="AB34" i="3"/>
  <c r="AB32" i="3"/>
  <c r="AB30" i="3"/>
  <c r="Y10" i="3"/>
  <c r="Y27" i="3" s="1"/>
  <c r="AD10" i="3"/>
  <c r="AD27" i="3" s="1"/>
  <c r="AA31" i="3"/>
  <c r="AA35" i="3"/>
  <c r="AA32" i="3"/>
  <c r="AA30" i="3"/>
  <c r="AA33" i="3"/>
  <c r="AA34" i="3"/>
  <c r="X31" i="3"/>
  <c r="X35" i="3"/>
  <c r="X32" i="3"/>
  <c r="X30" i="3"/>
  <c r="X33" i="3"/>
  <c r="X34" i="3"/>
  <c r="Q35" i="3"/>
  <c r="U10" i="3"/>
  <c r="U27" i="3" s="1"/>
  <c r="U32" i="3" s="1"/>
  <c r="Q33" i="3"/>
  <c r="P34" i="3"/>
  <c r="P31" i="3"/>
  <c r="P33" i="3"/>
  <c r="P35" i="3"/>
  <c r="P30" i="3"/>
  <c r="P32" i="3"/>
  <c r="Q34" i="3"/>
  <c r="Q31" i="3"/>
  <c r="M35" i="3"/>
  <c r="Q30" i="3"/>
  <c r="O35" i="3"/>
  <c r="O34" i="3"/>
  <c r="O30" i="3"/>
  <c r="O32" i="3"/>
  <c r="O31" i="3"/>
  <c r="O33" i="3"/>
  <c r="S31" i="3"/>
  <c r="S32" i="3"/>
  <c r="M31" i="3"/>
  <c r="AR7" i="3"/>
  <c r="M30" i="3"/>
  <c r="M34" i="3"/>
  <c r="R31" i="3"/>
  <c r="R35" i="3"/>
  <c r="R32" i="3"/>
  <c r="R30" i="3"/>
  <c r="R33" i="3"/>
  <c r="R34" i="3"/>
  <c r="M33" i="3"/>
  <c r="T31" i="3"/>
  <c r="T35" i="3"/>
  <c r="T34" i="3"/>
  <c r="T32" i="3"/>
  <c r="T30" i="3"/>
  <c r="T33" i="3"/>
  <c r="AR6" i="3"/>
  <c r="N31" i="3"/>
  <c r="N35" i="3"/>
  <c r="N32" i="3"/>
  <c r="N30" i="3"/>
  <c r="N33" i="3"/>
  <c r="N34" i="3"/>
  <c r="L34" i="3"/>
  <c r="L35" i="3"/>
  <c r="L33" i="3"/>
  <c r="L31" i="3"/>
  <c r="L32" i="3"/>
  <c r="L30" i="3"/>
  <c r="J34" i="3"/>
  <c r="J30" i="3"/>
  <c r="J32" i="3"/>
  <c r="J35" i="3"/>
  <c r="J33" i="3"/>
  <c r="K31" i="3"/>
  <c r="K35" i="3"/>
  <c r="K33" i="3"/>
  <c r="K34" i="3"/>
  <c r="K32" i="3"/>
  <c r="K30" i="3"/>
  <c r="I31" i="3"/>
  <c r="I35" i="3"/>
  <c r="I32" i="3"/>
  <c r="I30" i="3"/>
  <c r="I33" i="3"/>
  <c r="I34" i="3"/>
  <c r="G31" i="3"/>
  <c r="G30" i="3"/>
  <c r="G35" i="3"/>
  <c r="G33" i="3"/>
  <c r="G32" i="3"/>
  <c r="AU22" i="4"/>
  <c r="AU18" i="4"/>
  <c r="AU26" i="4"/>
  <c r="AU16" i="4"/>
  <c r="AU21" i="4"/>
  <c r="AU20" i="4"/>
  <c r="AU24" i="4"/>
  <c r="AU23" i="4"/>
  <c r="AU17" i="4"/>
  <c r="AU19" i="4"/>
  <c r="AU25" i="4"/>
  <c r="AS19" i="3"/>
  <c r="AS24" i="3"/>
  <c r="AS21" i="3"/>
  <c r="AS17" i="3"/>
  <c r="AS18" i="3"/>
  <c r="AS20" i="3"/>
  <c r="AS22" i="3"/>
  <c r="AS16" i="3"/>
  <c r="F55" i="1"/>
  <c r="S35" i="3" l="1"/>
  <c r="S30" i="3"/>
  <c r="S33" i="3"/>
  <c r="S36" i="3" s="1"/>
  <c r="S38" i="3" s="1"/>
  <c r="S40" i="3" s="1"/>
  <c r="AI32" i="3"/>
  <c r="AI35" i="3"/>
  <c r="AH36" i="3"/>
  <c r="AH38" i="3" s="1"/>
  <c r="AH40" i="3" s="1"/>
  <c r="AI34" i="3"/>
  <c r="AF32" i="3"/>
  <c r="AF36" i="3" s="1"/>
  <c r="AF38" i="3" s="1"/>
  <c r="AF40" i="3" s="1"/>
  <c r="AI33" i="3"/>
  <c r="AI31" i="3"/>
  <c r="AG31" i="3"/>
  <c r="AG33" i="3"/>
  <c r="AG30" i="3"/>
  <c r="AG32" i="3"/>
  <c r="AG34" i="3"/>
  <c r="AL31" i="3"/>
  <c r="AL35" i="3"/>
  <c r="AL30" i="3"/>
  <c r="AL33" i="3"/>
  <c r="AL32" i="3"/>
  <c r="AL34" i="3"/>
  <c r="AK34" i="3"/>
  <c r="AK35" i="3"/>
  <c r="AK32" i="3"/>
  <c r="AK33" i="3"/>
  <c r="AK31" i="3"/>
  <c r="AK30" i="3"/>
  <c r="AE34" i="3"/>
  <c r="AE31" i="3"/>
  <c r="AE32" i="3"/>
  <c r="AE30" i="3"/>
  <c r="AE33" i="3"/>
  <c r="AE35" i="3"/>
  <c r="W36" i="3"/>
  <c r="W38" i="3" s="1"/>
  <c r="W40" i="3" s="1"/>
  <c r="Z36" i="3"/>
  <c r="Z38" i="3" s="1"/>
  <c r="Z40" i="3" s="1"/>
  <c r="AD31" i="3"/>
  <c r="AD35" i="3"/>
  <c r="AD33" i="3"/>
  <c r="AD32" i="3"/>
  <c r="AD30" i="3"/>
  <c r="AD34" i="3"/>
  <c r="Y31" i="3"/>
  <c r="Y35" i="3"/>
  <c r="Y32" i="3"/>
  <c r="Y30" i="3"/>
  <c r="Y33" i="3"/>
  <c r="Y34" i="3"/>
  <c r="X36" i="3"/>
  <c r="X38" i="3" s="1"/>
  <c r="X40" i="3" s="1"/>
  <c r="AC33" i="3"/>
  <c r="AC32" i="3"/>
  <c r="AC34" i="3"/>
  <c r="AC31" i="3"/>
  <c r="AC35" i="3"/>
  <c r="AC30" i="3"/>
  <c r="U31" i="3"/>
  <c r="U35" i="3"/>
  <c r="U34" i="3"/>
  <c r="U33" i="3"/>
  <c r="U30" i="3"/>
  <c r="Q36" i="3"/>
  <c r="Q38" i="3" s="1"/>
  <c r="Q40" i="3" s="1"/>
  <c r="P36" i="3"/>
  <c r="P38" i="3" s="1"/>
  <c r="P40" i="3" s="1"/>
  <c r="AR54" i="3"/>
  <c r="AR46" i="3"/>
  <c r="O36" i="3"/>
  <c r="O38" i="3" s="1"/>
  <c r="O40" i="3" s="1"/>
  <c r="AR52" i="3"/>
  <c r="AR48" i="3"/>
  <c r="M36" i="3"/>
  <c r="M38" i="3" s="1"/>
  <c r="M40" i="3" s="1"/>
  <c r="AR47" i="3"/>
  <c r="AR53" i="3"/>
  <c r="T36" i="3"/>
  <c r="T38" i="3" s="1"/>
  <c r="T40" i="3" s="1"/>
  <c r="R36" i="3"/>
  <c r="R38" i="3" s="1"/>
  <c r="R40" i="3" s="1"/>
  <c r="AR10" i="3"/>
  <c r="J36" i="3"/>
  <c r="J38" i="3" s="1"/>
  <c r="J40" i="3" s="1"/>
  <c r="I36" i="3"/>
  <c r="I38" i="3" s="1"/>
  <c r="I40" i="3" s="1"/>
  <c r="G36" i="3"/>
  <c r="G38" i="3" s="1"/>
  <c r="G40" i="3" s="1"/>
  <c r="G42" i="3" s="1"/>
  <c r="AA36" i="3"/>
  <c r="AA38" i="3" s="1"/>
  <c r="AA40" i="3" s="1"/>
  <c r="AU27" i="4"/>
  <c r="AS25" i="3"/>
  <c r="N36" i="3"/>
  <c r="N38" i="3" s="1"/>
  <c r="N40" i="3" s="1"/>
  <c r="AJ36" i="3"/>
  <c r="AJ38" i="3" s="1"/>
  <c r="AJ40" i="3" s="1"/>
  <c r="K36" i="3"/>
  <c r="K38" i="3" s="1"/>
  <c r="K40" i="3" s="1"/>
  <c r="L36" i="3"/>
  <c r="L38" i="3" s="1"/>
  <c r="L40" i="3" s="1"/>
  <c r="AB36" i="3"/>
  <c r="AB38" i="3" s="1"/>
  <c r="AB40" i="3" s="1"/>
  <c r="V36" i="3"/>
  <c r="V38" i="3" s="1"/>
  <c r="V40" i="3" s="1"/>
  <c r="AO5" i="2"/>
  <c r="AD7" i="2"/>
  <c r="AE7" i="2"/>
  <c r="AE9" i="2" s="1"/>
  <c r="AF7" i="2"/>
  <c r="AF9" i="2" s="1"/>
  <c r="AG7" i="2"/>
  <c r="AG9" i="2" s="1"/>
  <c r="AH7" i="2"/>
  <c r="AH9" i="2" s="1"/>
  <c r="AI7" i="2"/>
  <c r="AI9" i="2" s="1"/>
  <c r="AJ7" i="2"/>
  <c r="AJ9" i="2" s="1"/>
  <c r="AK7" i="2"/>
  <c r="AK9" i="2" s="1"/>
  <c r="AA7" i="2"/>
  <c r="AA9" i="2" s="1"/>
  <c r="AB7" i="2"/>
  <c r="AB9" i="2" s="1"/>
  <c r="AC7" i="2"/>
  <c r="AC9" i="2" s="1"/>
  <c r="AG36" i="3" l="1"/>
  <c r="AG38" i="3" s="1"/>
  <c r="AG40" i="3" s="1"/>
  <c r="AK36" i="3"/>
  <c r="AK38" i="3" s="1"/>
  <c r="AK40" i="3" s="1"/>
  <c r="AL36" i="3"/>
  <c r="AL38" i="3" s="1"/>
  <c r="AL40" i="3" s="1"/>
  <c r="AD36" i="3"/>
  <c r="AD38" i="3" s="1"/>
  <c r="AD40" i="3" s="1"/>
  <c r="AR33" i="3"/>
  <c r="AE36" i="3"/>
  <c r="AE38" i="3" s="1"/>
  <c r="AE40" i="3" s="1"/>
  <c r="AR32" i="3"/>
  <c r="AR31" i="3"/>
  <c r="AC36" i="3"/>
  <c r="AC38" i="3" s="1"/>
  <c r="AC40" i="3" s="1"/>
  <c r="AR34" i="3"/>
  <c r="Y36" i="3"/>
  <c r="Y38" i="3" s="1"/>
  <c r="Y40" i="3" s="1"/>
  <c r="AR35" i="3"/>
  <c r="U36" i="3"/>
  <c r="U38" i="3" s="1"/>
  <c r="U40" i="3" s="1"/>
  <c r="AR55" i="3"/>
  <c r="AR49" i="3"/>
  <c r="I42" i="3"/>
  <c r="J42" i="3" s="1"/>
  <c r="K42" i="3" s="1"/>
  <c r="L42" i="3" s="1"/>
  <c r="M42" i="3" s="1"/>
  <c r="N42" i="3" s="1"/>
  <c r="O42" i="3" s="1"/>
  <c r="P42" i="3" s="1"/>
  <c r="Q42" i="3" s="1"/>
  <c r="R42" i="3" s="1"/>
  <c r="S42" i="3" s="1"/>
  <c r="T42" i="3" s="1"/>
  <c r="AD9" i="2"/>
  <c r="U42" i="3" l="1"/>
  <c r="V42" i="3" s="1"/>
  <c r="W42" i="3" s="1"/>
  <c r="X42" i="3" s="1"/>
  <c r="Y42" i="3" s="1"/>
  <c r="Z42" i="3" s="1"/>
  <c r="AA42" i="3" s="1"/>
  <c r="AB42" i="3" s="1"/>
  <c r="AC42" i="3" s="1"/>
  <c r="AD42" i="3" s="1"/>
  <c r="AE42" i="3" s="1"/>
  <c r="AF42" i="3" s="1"/>
  <c r="AG42" i="3" s="1"/>
  <c r="AH42" i="3" s="1"/>
  <c r="AR57" i="3"/>
  <c r="Z7" i="2"/>
  <c r="Z9" i="2" s="1"/>
  <c r="Y7" i="2"/>
  <c r="Y9" i="2" s="1"/>
  <c r="D32" i="1" l="1"/>
  <c r="E16" i="1"/>
  <c r="D26" i="2"/>
  <c r="D30" i="2" s="1"/>
  <c r="E30" i="1"/>
  <c r="E31" i="1"/>
  <c r="E27" i="1"/>
  <c r="E28" i="1"/>
  <c r="E29" i="1"/>
  <c r="E26" i="1"/>
  <c r="X7" i="2"/>
  <c r="X9" i="2" s="1"/>
  <c r="F18" i="2" l="1"/>
  <c r="AR5" i="2"/>
  <c r="F21" i="2"/>
  <c r="E32" i="1"/>
  <c r="F2" i="1"/>
  <c r="E19" i="1"/>
  <c r="AK19" i="1" s="1"/>
  <c r="E20" i="1"/>
  <c r="P20" i="1" s="1"/>
  <c r="E18" i="1"/>
  <c r="E17" i="1"/>
  <c r="E13" i="1"/>
  <c r="E15" i="1"/>
  <c r="R15" i="1" s="1"/>
  <c r="E14" i="1"/>
  <c r="E12" i="1"/>
  <c r="W12" i="1" s="1"/>
  <c r="U16" i="1"/>
  <c r="Q16" i="1"/>
  <c r="P7" i="2"/>
  <c r="P9" i="2" s="1"/>
  <c r="Q7" i="2"/>
  <c r="Q9" i="2" s="1"/>
  <c r="R7" i="2"/>
  <c r="R9" i="2" s="1"/>
  <c r="S7" i="2"/>
  <c r="S9" i="2" s="1"/>
  <c r="T7" i="2"/>
  <c r="T9" i="2" s="1"/>
  <c r="U7" i="2"/>
  <c r="U9" i="2" s="1"/>
  <c r="V7" i="2"/>
  <c r="V9" i="2" s="1"/>
  <c r="W7" i="2"/>
  <c r="W9" i="2" s="1"/>
  <c r="O7" i="2"/>
  <c r="O9" i="2" s="1"/>
  <c r="N7" i="2"/>
  <c r="N9" i="2" s="1"/>
  <c r="E15" i="2"/>
  <c r="AK15" i="2" s="1"/>
  <c r="X19" i="1" l="1"/>
  <c r="G19" i="1"/>
  <c r="Q19" i="1"/>
  <c r="W19" i="1"/>
  <c r="U19" i="1"/>
  <c r="AA19" i="1"/>
  <c r="Z19" i="1"/>
  <c r="AF19" i="1"/>
  <c r="AD19" i="1"/>
  <c r="J19" i="1"/>
  <c r="AH19" i="1"/>
  <c r="P19" i="1"/>
  <c r="V19" i="1"/>
  <c r="AG19" i="1"/>
  <c r="AI19" i="1"/>
  <c r="AR3" i="2"/>
  <c r="AS5" i="2"/>
  <c r="AT5" i="2" s="1"/>
  <c r="V15" i="1"/>
  <c r="AE19" i="1"/>
  <c r="L19" i="1"/>
  <c r="S19" i="1"/>
  <c r="AB19" i="1"/>
  <c r="R19" i="1"/>
  <c r="AC19" i="1"/>
  <c r="M19" i="1"/>
  <c r="AJ19" i="1"/>
  <c r="K19" i="1"/>
  <c r="H19" i="1"/>
  <c r="O19" i="1"/>
  <c r="T19" i="1"/>
  <c r="N19" i="1"/>
  <c r="Y19" i="1"/>
  <c r="I19" i="1"/>
  <c r="AK13" i="1"/>
  <c r="AJ13" i="1"/>
  <c r="AI13" i="1"/>
  <c r="AH13" i="1"/>
  <c r="AK17" i="1"/>
  <c r="AJ17" i="1"/>
  <c r="AI17" i="1"/>
  <c r="AH17" i="1"/>
  <c r="AK14" i="1"/>
  <c r="AJ14" i="1"/>
  <c r="AI14" i="1"/>
  <c r="AH14" i="1"/>
  <c r="AK18" i="1"/>
  <c r="AJ18" i="1"/>
  <c r="AI18" i="1"/>
  <c r="AH18" i="1"/>
  <c r="N15" i="1"/>
  <c r="AK15" i="1"/>
  <c r="AJ15" i="1"/>
  <c r="AI15" i="1"/>
  <c r="AH15" i="1"/>
  <c r="T20" i="1"/>
  <c r="AK20" i="1"/>
  <c r="AJ20" i="1"/>
  <c r="AI20" i="1"/>
  <c r="AH20" i="1"/>
  <c r="Q20" i="1"/>
  <c r="T15" i="1"/>
  <c r="AK12" i="1"/>
  <c r="AJ12" i="1"/>
  <c r="AI12" i="1"/>
  <c r="AH12" i="1"/>
  <c r="V16" i="1"/>
  <c r="AK16" i="1"/>
  <c r="AJ16" i="1"/>
  <c r="AI16" i="1"/>
  <c r="AH16" i="1"/>
  <c r="AI2" i="1"/>
  <c r="AK2" i="1"/>
  <c r="AJ2" i="1"/>
  <c r="AH2" i="1"/>
  <c r="AC2" i="1"/>
  <c r="AH15" i="2"/>
  <c r="AF15" i="2"/>
  <c r="AC15" i="2"/>
  <c r="AB15" i="2"/>
  <c r="X15" i="2"/>
  <c r="W15" i="2"/>
  <c r="Q15" i="2"/>
  <c r="O16" i="1"/>
  <c r="W16" i="1"/>
  <c r="Q15" i="1"/>
  <c r="P16" i="1"/>
  <c r="Z13" i="1"/>
  <c r="AF13" i="1"/>
  <c r="AG13" i="1"/>
  <c r="AE13" i="1"/>
  <c r="AD13" i="1"/>
  <c r="AC13" i="1"/>
  <c r="AA13" i="1"/>
  <c r="AB13" i="1"/>
  <c r="Z14" i="1"/>
  <c r="AF14" i="1"/>
  <c r="AG14" i="1"/>
  <c r="AE14" i="1"/>
  <c r="AD14" i="1"/>
  <c r="AB14" i="1"/>
  <c r="AC14" i="1"/>
  <c r="AA14" i="1"/>
  <c r="Z18" i="1"/>
  <c r="AF18" i="1"/>
  <c r="AG18" i="1"/>
  <c r="AE18" i="1"/>
  <c r="AD18" i="1"/>
  <c r="AA18" i="1"/>
  <c r="AB18" i="1"/>
  <c r="AC18" i="1"/>
  <c r="Z15" i="1"/>
  <c r="AF15" i="1"/>
  <c r="AG15" i="1"/>
  <c r="AE15" i="1"/>
  <c r="AD15" i="1"/>
  <c r="AA15" i="1"/>
  <c r="AB15" i="1"/>
  <c r="AC15" i="1"/>
  <c r="Z20" i="1"/>
  <c r="AG20" i="1"/>
  <c r="AF20" i="1"/>
  <c r="AE20" i="1"/>
  <c r="AD20" i="1"/>
  <c r="AA20" i="1"/>
  <c r="AC20" i="1"/>
  <c r="AB20" i="1"/>
  <c r="AF17" i="1"/>
  <c r="AG17" i="1"/>
  <c r="AE17" i="1"/>
  <c r="AD17" i="1"/>
  <c r="AC17" i="1"/>
  <c r="AA17" i="1"/>
  <c r="AB17" i="1"/>
  <c r="AG12" i="1"/>
  <c r="AF12" i="1"/>
  <c r="AE12" i="1"/>
  <c r="AD12" i="1"/>
  <c r="AB12" i="1"/>
  <c r="AA12" i="1"/>
  <c r="AC12" i="1"/>
  <c r="T16" i="1"/>
  <c r="AG16" i="1"/>
  <c r="AF16" i="1"/>
  <c r="AE16" i="1"/>
  <c r="AD16" i="1"/>
  <c r="AB16" i="1"/>
  <c r="AC16" i="1"/>
  <c r="AA16" i="1"/>
  <c r="AG2" i="1"/>
  <c r="AE2" i="1"/>
  <c r="AF2" i="1"/>
  <c r="AD2" i="1"/>
  <c r="AB2" i="1"/>
  <c r="R18" i="1"/>
  <c r="W14" i="1"/>
  <c r="O13" i="1"/>
  <c r="W18" i="1"/>
  <c r="Q18" i="1"/>
  <c r="N18" i="1"/>
  <c r="P15" i="1"/>
  <c r="Q14" i="1"/>
  <c r="W15" i="1"/>
  <c r="U20" i="1"/>
  <c r="L14" i="1"/>
  <c r="R14" i="1"/>
  <c r="O20" i="1"/>
  <c r="R20" i="1"/>
  <c r="N20" i="1"/>
  <c r="R16" i="1"/>
  <c r="N16" i="1"/>
  <c r="O15" i="1"/>
  <c r="T18" i="1"/>
  <c r="W20" i="1"/>
  <c r="V13" i="1"/>
  <c r="S18" i="1"/>
  <c r="S17" i="1"/>
  <c r="Z17" i="1"/>
  <c r="O17" i="1"/>
  <c r="P18" i="1"/>
  <c r="P14" i="1"/>
  <c r="T14" i="1"/>
  <c r="S14" i="1"/>
  <c r="O18" i="1"/>
  <c r="N14" i="1"/>
  <c r="V14" i="1"/>
  <c r="W17" i="1"/>
  <c r="S12" i="1"/>
  <c r="Z12" i="1"/>
  <c r="S16" i="1"/>
  <c r="Z16" i="1"/>
  <c r="L18" i="1"/>
  <c r="Z2" i="1"/>
  <c r="AA2" i="1"/>
  <c r="Y13" i="1"/>
  <c r="X13" i="1"/>
  <c r="R17" i="1"/>
  <c r="N17" i="1"/>
  <c r="R13" i="1"/>
  <c r="N13" i="1"/>
  <c r="W13" i="1"/>
  <c r="T17" i="1"/>
  <c r="Y14" i="1"/>
  <c r="X14" i="1"/>
  <c r="Y18" i="1"/>
  <c r="X18" i="1"/>
  <c r="L17" i="1"/>
  <c r="L13" i="1"/>
  <c r="S13" i="1"/>
  <c r="Y17" i="1"/>
  <c r="X17" i="1"/>
  <c r="Q17" i="1"/>
  <c r="Q13" i="1"/>
  <c r="T13" i="1"/>
  <c r="U17" i="1"/>
  <c r="U18" i="1"/>
  <c r="X15" i="1"/>
  <c r="Y15" i="1"/>
  <c r="X20" i="1"/>
  <c r="Y20" i="1"/>
  <c r="L16" i="1"/>
  <c r="L12" i="1"/>
  <c r="P17" i="1"/>
  <c r="O14" i="1"/>
  <c r="P13" i="1"/>
  <c r="U13" i="1"/>
  <c r="U14" i="1"/>
  <c r="U15" i="1"/>
  <c r="V17" i="1"/>
  <c r="V18" i="1"/>
  <c r="V20" i="1"/>
  <c r="Y12" i="1"/>
  <c r="X12" i="1"/>
  <c r="Y16" i="1"/>
  <c r="X16" i="1"/>
  <c r="L20" i="1"/>
  <c r="L15" i="1"/>
  <c r="S20" i="1"/>
  <c r="S15" i="1"/>
  <c r="G2" i="1"/>
  <c r="K2" i="1"/>
  <c r="O2" i="1"/>
  <c r="S2" i="1"/>
  <c r="W2" i="1"/>
  <c r="H2" i="1"/>
  <c r="L2" i="1"/>
  <c r="P2" i="1"/>
  <c r="T2" i="1"/>
  <c r="X2" i="1"/>
  <c r="I2" i="1"/>
  <c r="M2" i="1"/>
  <c r="Q2" i="1"/>
  <c r="U2" i="1"/>
  <c r="Y2" i="1"/>
  <c r="J2" i="1"/>
  <c r="N2" i="1"/>
  <c r="R2" i="1"/>
  <c r="V2" i="1"/>
  <c r="Q12" i="1"/>
  <c r="T12" i="1"/>
  <c r="P12" i="1"/>
  <c r="U12" i="1"/>
  <c r="O12" i="1"/>
  <c r="V12" i="1"/>
  <c r="R12" i="1"/>
  <c r="N12" i="1"/>
  <c r="H7" i="2"/>
  <c r="I7" i="2"/>
  <c r="I9" i="2" s="1"/>
  <c r="J7" i="2"/>
  <c r="J9" i="2" s="1"/>
  <c r="K7" i="2"/>
  <c r="K9" i="2" s="1"/>
  <c r="L7" i="2"/>
  <c r="L9" i="2" s="1"/>
  <c r="M7" i="2"/>
  <c r="M9" i="2" s="1"/>
  <c r="E16" i="2"/>
  <c r="AK16" i="2" s="1"/>
  <c r="E19" i="2"/>
  <c r="AK19" i="2" s="1"/>
  <c r="E23" i="2"/>
  <c r="AK23" i="2" s="1"/>
  <c r="E25" i="2"/>
  <c r="E24" i="2"/>
  <c r="AK24" i="2" s="1"/>
  <c r="E22" i="2"/>
  <c r="G7" i="2"/>
  <c r="G9" i="2" s="1"/>
  <c r="M15" i="2"/>
  <c r="G22" i="2" l="1"/>
  <c r="AK22" i="2"/>
  <c r="AI15" i="2"/>
  <c r="AK25" i="2"/>
  <c r="AR2" i="2"/>
  <c r="AS2" i="2" s="1"/>
  <c r="AS3" i="2"/>
  <c r="AT3" i="2" s="1"/>
  <c r="G23" i="2"/>
  <c r="AA23" i="2"/>
  <c r="K23" i="2"/>
  <c r="V23" i="2"/>
  <c r="Q23" i="2"/>
  <c r="AF23" i="2"/>
  <c r="P23" i="2"/>
  <c r="AH23" i="2"/>
  <c r="AC23" i="2"/>
  <c r="M23" i="2"/>
  <c r="AI23" i="2"/>
  <c r="AD23" i="2"/>
  <c r="Y23" i="2"/>
  <c r="X23" i="2"/>
  <c r="O23" i="2"/>
  <c r="J23" i="2"/>
  <c r="AJ23" i="2"/>
  <c r="W23" i="2"/>
  <c r="R23" i="2"/>
  <c r="AB23" i="2"/>
  <c r="N23" i="2"/>
  <c r="I23" i="2"/>
  <c r="H23" i="2"/>
  <c r="AE23" i="2"/>
  <c r="U23" i="2"/>
  <c r="T23" i="2"/>
  <c r="J16" i="2"/>
  <c r="AI24" i="2"/>
  <c r="AD24" i="2"/>
  <c r="Y24" i="2"/>
  <c r="H24" i="2"/>
  <c r="K24" i="2"/>
  <c r="J24" i="2"/>
  <c r="I24" i="2"/>
  <c r="U24" i="2"/>
  <c r="R24" i="2"/>
  <c r="AJ24" i="2"/>
  <c r="AA24" i="2"/>
  <c r="P24" i="2"/>
  <c r="N24" i="2"/>
  <c r="AH24" i="2"/>
  <c r="AC24" i="2"/>
  <c r="V24" i="2"/>
  <c r="G24" i="2"/>
  <c r="X24" i="2"/>
  <c r="W24" i="2"/>
  <c r="AF24" i="2"/>
  <c r="AB24" i="2"/>
  <c r="Q24" i="2"/>
  <c r="T24" i="2"/>
  <c r="AE24" i="2"/>
  <c r="M24" i="2"/>
  <c r="O24" i="2"/>
  <c r="V15" i="2"/>
  <c r="Y15" i="2"/>
  <c r="AD15" i="2"/>
  <c r="H21" i="2"/>
  <c r="P21" i="2"/>
  <c r="X21" i="2"/>
  <c r="AF21" i="2"/>
  <c r="Q21" i="2"/>
  <c r="AG26" i="2"/>
  <c r="AG28" i="2" s="1"/>
  <c r="AG3" i="1" s="1"/>
  <c r="AG6" i="1" s="1"/>
  <c r="T21" i="2"/>
  <c r="AB21" i="2"/>
  <c r="AJ21" i="2"/>
  <c r="AC21" i="2"/>
  <c r="I21" i="2"/>
  <c r="Y21" i="2"/>
  <c r="M21" i="2"/>
  <c r="U21" i="2"/>
  <c r="G21" i="2"/>
  <c r="AI21" i="2"/>
  <c r="AE21" i="2"/>
  <c r="V21" i="2"/>
  <c r="AA21" i="2"/>
  <c r="R21" i="2"/>
  <c r="AD21" i="2"/>
  <c r="J21" i="2"/>
  <c r="O21" i="2"/>
  <c r="K21" i="2"/>
  <c r="AH21" i="2"/>
  <c r="W21" i="2"/>
  <c r="N21" i="2"/>
  <c r="T15" i="2"/>
  <c r="U15" i="2"/>
  <c r="O15" i="2"/>
  <c r="P15" i="2"/>
  <c r="N15" i="2"/>
  <c r="R15" i="2"/>
  <c r="AA15" i="2"/>
  <c r="AE15" i="2"/>
  <c r="AJ15" i="2"/>
  <c r="AJ22" i="2"/>
  <c r="AI22" i="2"/>
  <c r="AH22" i="2"/>
  <c r="AF22" i="2"/>
  <c r="AE22" i="2"/>
  <c r="AD22" i="2"/>
  <c r="AB22" i="2"/>
  <c r="AA22" i="2"/>
  <c r="AC22" i="2"/>
  <c r="Y22" i="2"/>
  <c r="AJ17" i="2"/>
  <c r="AI17" i="2"/>
  <c r="AH17" i="2"/>
  <c r="AF17" i="2"/>
  <c r="AE17" i="2"/>
  <c r="AD17" i="2"/>
  <c r="AC17" i="2"/>
  <c r="AB17" i="2"/>
  <c r="AA17" i="2"/>
  <c r="Y17" i="2"/>
  <c r="AJ20" i="2"/>
  <c r="AI20" i="2"/>
  <c r="AH20" i="2"/>
  <c r="AF20" i="2"/>
  <c r="AE20" i="2"/>
  <c r="AD20" i="2"/>
  <c r="AA20" i="2"/>
  <c r="AC20" i="2"/>
  <c r="AB20" i="2"/>
  <c r="Y20" i="2"/>
  <c r="AJ16" i="2"/>
  <c r="AI16" i="2"/>
  <c r="AH16" i="2"/>
  <c r="AF16" i="2"/>
  <c r="AE16" i="2"/>
  <c r="AD16" i="2"/>
  <c r="AB16" i="2"/>
  <c r="AA16" i="2"/>
  <c r="AC16" i="2"/>
  <c r="Y16" i="2"/>
  <c r="I22" i="2"/>
  <c r="AJ19" i="2"/>
  <c r="AI19" i="2"/>
  <c r="AH19" i="2"/>
  <c r="AF19" i="2"/>
  <c r="AE19" i="2"/>
  <c r="AD19" i="2"/>
  <c r="AC19" i="2"/>
  <c r="AB19" i="2"/>
  <c r="AA19" i="2"/>
  <c r="Y19" i="2"/>
  <c r="AJ25" i="2"/>
  <c r="AI25" i="2"/>
  <c r="AH25" i="2"/>
  <c r="AF25" i="2"/>
  <c r="AE25" i="2"/>
  <c r="AD25" i="2"/>
  <c r="AC25" i="2"/>
  <c r="AB25" i="2"/>
  <c r="AA25" i="2"/>
  <c r="Y25" i="2"/>
  <c r="AJ18" i="2"/>
  <c r="AI18" i="2"/>
  <c r="AH18" i="2"/>
  <c r="H9" i="2"/>
  <c r="AO9" i="2" s="1"/>
  <c r="AR9" i="2" s="1"/>
  <c r="AO7" i="2"/>
  <c r="AF18" i="2"/>
  <c r="AE18" i="2"/>
  <c r="AD18" i="2"/>
  <c r="AC18" i="2"/>
  <c r="AB18" i="2"/>
  <c r="AA18" i="2"/>
  <c r="Y18" i="2"/>
  <c r="F22" i="2"/>
  <c r="F20" i="2"/>
  <c r="X22" i="2"/>
  <c r="Q22" i="2"/>
  <c r="V22" i="2"/>
  <c r="R22" i="2"/>
  <c r="W22" i="2"/>
  <c r="T22" i="2"/>
  <c r="P22" i="2"/>
  <c r="U22" i="2"/>
  <c r="O22" i="2"/>
  <c r="N22" i="2"/>
  <c r="X17" i="2"/>
  <c r="Q17" i="2"/>
  <c r="V17" i="2"/>
  <c r="R17" i="2"/>
  <c r="W17" i="2"/>
  <c r="T17" i="2"/>
  <c r="P17" i="2"/>
  <c r="U17" i="2"/>
  <c r="O17" i="2"/>
  <c r="N17" i="2"/>
  <c r="X20" i="2"/>
  <c r="P20" i="2"/>
  <c r="U20" i="2"/>
  <c r="Q20" i="2"/>
  <c r="V20" i="2"/>
  <c r="R20" i="2"/>
  <c r="W20" i="2"/>
  <c r="O20" i="2"/>
  <c r="N20" i="2"/>
  <c r="T20" i="2"/>
  <c r="X16" i="2"/>
  <c r="P16" i="2"/>
  <c r="U16" i="2"/>
  <c r="Q16" i="2"/>
  <c r="V16" i="2"/>
  <c r="R16" i="2"/>
  <c r="W16" i="2"/>
  <c r="O16" i="2"/>
  <c r="N16" i="2"/>
  <c r="T16" i="2"/>
  <c r="I17" i="2"/>
  <c r="M19" i="2"/>
  <c r="X19" i="2"/>
  <c r="T19" i="2"/>
  <c r="O19" i="2"/>
  <c r="P19" i="2"/>
  <c r="U19" i="2"/>
  <c r="N19" i="2"/>
  <c r="Q19" i="2"/>
  <c r="V19" i="2"/>
  <c r="R19" i="2"/>
  <c r="W19" i="2"/>
  <c r="J20" i="2"/>
  <c r="J25" i="2"/>
  <c r="X25" i="2"/>
  <c r="R25" i="2"/>
  <c r="W25" i="2"/>
  <c r="O25" i="2"/>
  <c r="N25" i="2"/>
  <c r="T25" i="2"/>
  <c r="P25" i="2"/>
  <c r="U25" i="2"/>
  <c r="Q25" i="2"/>
  <c r="V25" i="2"/>
  <c r="J18" i="2"/>
  <c r="X18" i="2"/>
  <c r="R18" i="2"/>
  <c r="W18" i="2"/>
  <c r="O18" i="2"/>
  <c r="N18" i="2"/>
  <c r="T18" i="2"/>
  <c r="P18" i="2"/>
  <c r="U18" i="2"/>
  <c r="Q18" i="2"/>
  <c r="V18" i="2"/>
  <c r="G15" i="2"/>
  <c r="I25" i="2"/>
  <c r="G20" i="2"/>
  <c r="F15" i="2"/>
  <c r="F24" i="2"/>
  <c r="F23" i="2"/>
  <c r="K19" i="2"/>
  <c r="G19" i="2"/>
  <c r="F16" i="2"/>
  <c r="I18" i="2"/>
  <c r="K15" i="2"/>
  <c r="G16" i="2"/>
  <c r="F19" i="2"/>
  <c r="H20" i="2"/>
  <c r="F17" i="2"/>
  <c r="H16" i="2"/>
  <c r="F25" i="2"/>
  <c r="H15" i="2"/>
  <c r="K16" i="2"/>
  <c r="H19" i="2"/>
  <c r="K20" i="2"/>
  <c r="J15" i="2"/>
  <c r="J19" i="2"/>
  <c r="K17" i="2"/>
  <c r="G17" i="2"/>
  <c r="J17" i="2"/>
  <c r="K22" i="2"/>
  <c r="J22" i="2"/>
  <c r="M17" i="2"/>
  <c r="M22" i="2"/>
  <c r="E26" i="2"/>
  <c r="H17" i="2"/>
  <c r="H18" i="2"/>
  <c r="K18" i="2"/>
  <c r="G18" i="2"/>
  <c r="M18" i="2"/>
  <c r="H22" i="2"/>
  <c r="H25" i="2"/>
  <c r="K25" i="2"/>
  <c r="G25" i="2"/>
  <c r="M25" i="2"/>
  <c r="I16" i="2"/>
  <c r="M16" i="2"/>
  <c r="I20" i="2"/>
  <c r="M20" i="2"/>
  <c r="I15" i="2"/>
  <c r="I19" i="2"/>
  <c r="AN6" i="1"/>
  <c r="AI21" i="1"/>
  <c r="AJ21" i="1"/>
  <c r="AK21" i="1"/>
  <c r="K13" i="1"/>
  <c r="K14" i="1"/>
  <c r="I15" i="1"/>
  <c r="M16" i="1"/>
  <c r="I17" i="1"/>
  <c r="I18" i="1"/>
  <c r="K20" i="1"/>
  <c r="J12" i="1"/>
  <c r="AH21" i="1"/>
  <c r="F13" i="1"/>
  <c r="AK26" i="2" l="1"/>
  <c r="AK28" i="2" s="1"/>
  <c r="AK3" i="1" s="1"/>
  <c r="AK6" i="1" s="1"/>
  <c r="AO15" i="2"/>
  <c r="AO23" i="2"/>
  <c r="AO25" i="2"/>
  <c r="AO16" i="2"/>
  <c r="AO19" i="2"/>
  <c r="AO24" i="2"/>
  <c r="AO20" i="2"/>
  <c r="AO22" i="2"/>
  <c r="AO18" i="2"/>
  <c r="AO17" i="2"/>
  <c r="AO21" i="2"/>
  <c r="S26" i="2"/>
  <c r="S28" i="2" s="1"/>
  <c r="S3" i="1" s="1"/>
  <c r="S6" i="1" s="1"/>
  <c r="Z26" i="2"/>
  <c r="Z28" i="2" s="1"/>
  <c r="Z3" i="1" s="1"/>
  <c r="Z6" i="1" s="1"/>
  <c r="AI26" i="2"/>
  <c r="AI28" i="2" s="1"/>
  <c r="AI3" i="1" s="1"/>
  <c r="AI6" i="1" s="1"/>
  <c r="AI23" i="1" s="1"/>
  <c r="AC26" i="2"/>
  <c r="AC28" i="2" s="1"/>
  <c r="AC3" i="1" s="1"/>
  <c r="AC6" i="1" s="1"/>
  <c r="Y26" i="2"/>
  <c r="Y28" i="2" s="1"/>
  <c r="Y3" i="1" s="1"/>
  <c r="Y6" i="1" s="1"/>
  <c r="AD26" i="2"/>
  <c r="AD28" i="2" s="1"/>
  <c r="AD3" i="1" s="1"/>
  <c r="AD6" i="1" s="1"/>
  <c r="AJ26" i="2"/>
  <c r="AJ28" i="2" s="1"/>
  <c r="AJ3" i="1" s="1"/>
  <c r="AJ6" i="1" s="1"/>
  <c r="AJ23" i="1" s="1"/>
  <c r="R26" i="2"/>
  <c r="R28" i="2" s="1"/>
  <c r="R3" i="1" s="1"/>
  <c r="R6" i="1" s="1"/>
  <c r="AA26" i="2"/>
  <c r="AA28" i="2" s="1"/>
  <c r="AA3" i="1" s="1"/>
  <c r="AA6" i="1" s="1"/>
  <c r="AE26" i="2"/>
  <c r="AE28" i="2" s="1"/>
  <c r="AE3" i="1" s="1"/>
  <c r="AE6" i="1" s="1"/>
  <c r="AB26" i="2"/>
  <c r="AB28" i="2" s="1"/>
  <c r="AB3" i="1" s="1"/>
  <c r="AB6" i="1" s="1"/>
  <c r="AF26" i="2"/>
  <c r="AF28" i="2" s="1"/>
  <c r="AF3" i="1" s="1"/>
  <c r="AF6" i="1" s="1"/>
  <c r="AH26" i="2"/>
  <c r="AH28" i="2" s="1"/>
  <c r="AH3" i="1" s="1"/>
  <c r="AH6" i="1" s="1"/>
  <c r="AH23" i="1" s="1"/>
  <c r="AP9" i="2"/>
  <c r="T26" i="2"/>
  <c r="T28" i="2" s="1"/>
  <c r="P26" i="2"/>
  <c r="P28" i="2" s="1"/>
  <c r="V26" i="2"/>
  <c r="V28" i="2" s="1"/>
  <c r="V3" i="1" s="1"/>
  <c r="V6" i="1" s="1"/>
  <c r="Q26" i="2"/>
  <c r="Q28" i="2" s="1"/>
  <c r="Q3" i="1" s="1"/>
  <c r="Q6" i="1" s="1"/>
  <c r="N26" i="2"/>
  <c r="N28" i="2" s="1"/>
  <c r="N3" i="1" s="1"/>
  <c r="N6" i="1" s="1"/>
  <c r="X26" i="2"/>
  <c r="O26" i="2"/>
  <c r="O28" i="2" s="1"/>
  <c r="O3" i="1" s="1"/>
  <c r="O6" i="1" s="1"/>
  <c r="W26" i="2"/>
  <c r="W28" i="2" s="1"/>
  <c r="W3" i="1" s="1"/>
  <c r="W6" i="1" s="1"/>
  <c r="U26" i="2"/>
  <c r="U28" i="2" s="1"/>
  <c r="U3" i="1" s="1"/>
  <c r="U6" i="1" s="1"/>
  <c r="F30" i="1"/>
  <c r="D34" i="1"/>
  <c r="F26" i="2"/>
  <c r="K26" i="2"/>
  <c r="K28" i="2" s="1"/>
  <c r="K3" i="1" s="1"/>
  <c r="K6" i="1" s="1"/>
  <c r="H26" i="2"/>
  <c r="H28" i="2" s="1"/>
  <c r="H3" i="1" s="1"/>
  <c r="H6" i="1" s="1"/>
  <c r="M26" i="2"/>
  <c r="M28" i="2" s="1"/>
  <c r="M3" i="1" s="1"/>
  <c r="M6" i="1" s="1"/>
  <c r="L26" i="2"/>
  <c r="L28" i="2" s="1"/>
  <c r="L3" i="1" s="1"/>
  <c r="L6" i="1" s="1"/>
  <c r="J26" i="2"/>
  <c r="J28" i="2" s="1"/>
  <c r="J3" i="1" s="1"/>
  <c r="J6" i="1" s="1"/>
  <c r="I26" i="2"/>
  <c r="G26" i="2"/>
  <c r="F28" i="1"/>
  <c r="J14" i="1"/>
  <c r="I13" i="1"/>
  <c r="M15" i="1"/>
  <c r="H17" i="1"/>
  <c r="I14" i="1"/>
  <c r="K18" i="1"/>
  <c r="M14" i="1"/>
  <c r="G17" i="1"/>
  <c r="K17" i="1"/>
  <c r="J13" i="1"/>
  <c r="F18" i="1"/>
  <c r="F19" i="1"/>
  <c r="F26" i="1"/>
  <c r="F17" i="1"/>
  <c r="H15" i="1"/>
  <c r="H14" i="1"/>
  <c r="H13" i="1"/>
  <c r="J18" i="1"/>
  <c r="M20" i="1"/>
  <c r="F27" i="1"/>
  <c r="F12" i="1"/>
  <c r="J20" i="1"/>
  <c r="H18" i="1"/>
  <c r="M18" i="1"/>
  <c r="M13" i="1"/>
  <c r="I12" i="1"/>
  <c r="G16" i="1"/>
  <c r="I16" i="1"/>
  <c r="H12" i="1"/>
  <c r="K15" i="1"/>
  <c r="I20" i="1"/>
  <c r="H16" i="1"/>
  <c r="F31" i="1"/>
  <c r="F20" i="1"/>
  <c r="F15" i="1"/>
  <c r="F14" i="1"/>
  <c r="K12" i="1"/>
  <c r="G13" i="1"/>
  <c r="G14" i="1"/>
  <c r="G18" i="1"/>
  <c r="J15" i="1"/>
  <c r="H20" i="1"/>
  <c r="J17" i="1"/>
  <c r="K16" i="1"/>
  <c r="M17" i="1"/>
  <c r="M12" i="1"/>
  <c r="G12" i="1"/>
  <c r="F29" i="1"/>
  <c r="E21" i="1"/>
  <c r="G15" i="1"/>
  <c r="G20" i="1"/>
  <c r="J16" i="1"/>
  <c r="AM2" i="1"/>
  <c r="AK23" i="1"/>
  <c r="AK31" i="1" l="1"/>
  <c r="AK30" i="1"/>
  <c r="AK29" i="1"/>
  <c r="AK27" i="1"/>
  <c r="AK26" i="1"/>
  <c r="AK28" i="1"/>
  <c r="AO26" i="2"/>
  <c r="AR26" i="2" s="1"/>
  <c r="AI27" i="1"/>
  <c r="AI31" i="1"/>
  <c r="AI28" i="1"/>
  <c r="AI26" i="1"/>
  <c r="AI29" i="1"/>
  <c r="AI30" i="1"/>
  <c r="AJ29" i="1"/>
  <c r="AJ30" i="1"/>
  <c r="AJ27" i="1"/>
  <c r="AJ31" i="1"/>
  <c r="AJ28" i="1"/>
  <c r="AJ26" i="1"/>
  <c r="AH27" i="1"/>
  <c r="AH31" i="1"/>
  <c r="AH28" i="1"/>
  <c r="AH26" i="1"/>
  <c r="AH29" i="1"/>
  <c r="AH30" i="1"/>
  <c r="X28" i="2"/>
  <c r="X3" i="1" s="1"/>
  <c r="X6" i="1" s="1"/>
  <c r="P3" i="1"/>
  <c r="P6" i="1" s="1"/>
  <c r="T3" i="1"/>
  <c r="T6" i="1" s="1"/>
  <c r="E34" i="1"/>
  <c r="F34" i="1"/>
  <c r="F32" i="1"/>
  <c r="I28" i="2"/>
  <c r="I3" i="1" s="1"/>
  <c r="I6" i="1" s="1"/>
  <c r="G28" i="2"/>
  <c r="F21" i="1"/>
  <c r="D36" i="1"/>
  <c r="AP15" i="2" l="1"/>
  <c r="AP21" i="2"/>
  <c r="AP22" i="2"/>
  <c r="AP23" i="2"/>
  <c r="AI32" i="1"/>
  <c r="AI34" i="1" s="1"/>
  <c r="AO28" i="2"/>
  <c r="AH32" i="1"/>
  <c r="AH34" i="1" s="1"/>
  <c r="AH36" i="1" s="1"/>
  <c r="AK32" i="1"/>
  <c r="AK34" i="1" s="1"/>
  <c r="AK36" i="1" s="1"/>
  <c r="AJ32" i="1"/>
  <c r="AJ34" i="1" s="1"/>
  <c r="AJ36" i="1" s="1"/>
  <c r="G3" i="1"/>
  <c r="AP17" i="2"/>
  <c r="AP24" i="2"/>
  <c r="AP16" i="2"/>
  <c r="AP20" i="2"/>
  <c r="AP19" i="2"/>
  <c r="AP18" i="2"/>
  <c r="AP25" i="2"/>
  <c r="AI36" i="1"/>
  <c r="AM13" i="1"/>
  <c r="G6" i="1" l="1"/>
  <c r="AM3" i="1"/>
  <c r="AM6" i="1" s="1"/>
  <c r="D3" i="1"/>
  <c r="AM50" i="1" s="1"/>
  <c r="AP26" i="2"/>
  <c r="AM14" i="1"/>
  <c r="AM15" i="1"/>
  <c r="AM20" i="1"/>
  <c r="AM17" i="1"/>
  <c r="AM16" i="1"/>
  <c r="AM18" i="1"/>
  <c r="AM12" i="1"/>
  <c r="G21" i="1"/>
  <c r="G23" i="1" l="1"/>
  <c r="G29" i="1" s="1"/>
  <c r="AM51" i="1"/>
  <c r="AM45" i="1"/>
  <c r="AM46" i="1"/>
  <c r="AM44" i="1"/>
  <c r="AM52" i="1"/>
  <c r="AM53" i="1" s="1"/>
  <c r="AM43" i="1"/>
  <c r="G30" i="1"/>
  <c r="G31" i="1" l="1"/>
  <c r="G27" i="1"/>
  <c r="G26" i="1"/>
  <c r="G28" i="1"/>
  <c r="AM47" i="1"/>
  <c r="AM55" i="1" s="1"/>
  <c r="G32" i="1" l="1"/>
  <c r="G34" i="1" s="1"/>
  <c r="G36" i="1" s="1"/>
  <c r="G38" i="1" s="1"/>
  <c r="N21" i="1"/>
  <c r="N23" i="1" s="1"/>
  <c r="N28" i="1" s="1"/>
  <c r="I21" i="1"/>
  <c r="I23" i="1" s="1"/>
  <c r="I29" i="1" s="1"/>
  <c r="AE21" i="1"/>
  <c r="AE23" i="1" s="1"/>
  <c r="AE30" i="1" s="1"/>
  <c r="X21" i="1"/>
  <c r="R21" i="1"/>
  <c r="R23" i="1" s="1"/>
  <c r="R26" i="1" s="1"/>
  <c r="S21" i="1"/>
  <c r="S23" i="1" s="1"/>
  <c r="S28" i="1" s="1"/>
  <c r="AA21" i="1"/>
  <c r="AA23" i="1" s="1"/>
  <c r="AA27" i="1" s="1"/>
  <c r="L21" i="1"/>
  <c r="L23" i="1" s="1"/>
  <c r="L28" i="1" s="1"/>
  <c r="M21" i="1"/>
  <c r="O21" i="1"/>
  <c r="O23" i="1" s="1"/>
  <c r="O28" i="1" s="1"/>
  <c r="AM19" i="1"/>
  <c r="AD21" i="1"/>
  <c r="AD23" i="1" s="1"/>
  <c r="AD29" i="1" s="1"/>
  <c r="Z21" i="1"/>
  <c r="V21" i="1"/>
  <c r="AC21" i="1"/>
  <c r="W21" i="1"/>
  <c r="W23" i="1" s="1"/>
  <c r="W28" i="1" s="1"/>
  <c r="AB21" i="1"/>
  <c r="P21" i="1"/>
  <c r="T21" i="1"/>
  <c r="T23" i="1" s="1"/>
  <c r="T31" i="1" s="1"/>
  <c r="Q21" i="1"/>
  <c r="Q23" i="1" s="1"/>
  <c r="Q27" i="1" s="1"/>
  <c r="U21" i="1"/>
  <c r="U23" i="1" s="1"/>
  <c r="U29" i="1" s="1"/>
  <c r="AF21" i="1"/>
  <c r="AG21" i="1"/>
  <c r="AG23" i="1" s="1"/>
  <c r="AG30" i="1" s="1"/>
  <c r="J21" i="1"/>
  <c r="K21" i="1"/>
  <c r="K23" i="1" s="1"/>
  <c r="Y21" i="1"/>
  <c r="Y23" i="1" s="1"/>
  <c r="H21" i="1"/>
  <c r="L26" i="1" l="1"/>
  <c r="AA28" i="1"/>
  <c r="N30" i="1"/>
  <c r="O26" i="1"/>
  <c r="Q28" i="1"/>
  <c r="AE29" i="1"/>
  <c r="AE26" i="1"/>
  <c r="U26" i="1"/>
  <c r="Q30" i="1"/>
  <c r="R30" i="1"/>
  <c r="Q26" i="1"/>
  <c r="Q31" i="1"/>
  <c r="W26" i="1"/>
  <c r="S29" i="1"/>
  <c r="AE31" i="1"/>
  <c r="K28" i="1"/>
  <c r="K31" i="1"/>
  <c r="AM21" i="1"/>
  <c r="AN19" i="1" s="1"/>
  <c r="Y31" i="1"/>
  <c r="Y30" i="1"/>
  <c r="Y26" i="1"/>
  <c r="Y29" i="1"/>
  <c r="Y28" i="1"/>
  <c r="AD27" i="1"/>
  <c r="AD28" i="1"/>
  <c r="U27" i="1"/>
  <c r="U30" i="1"/>
  <c r="L31" i="1"/>
  <c r="L27" i="1"/>
  <c r="R31" i="1"/>
  <c r="R29" i="1"/>
  <c r="R28" i="1"/>
  <c r="I28" i="1"/>
  <c r="I27" i="1"/>
  <c r="I30" i="1"/>
  <c r="I26" i="1"/>
  <c r="N27" i="1"/>
  <c r="N31" i="1"/>
  <c r="L29" i="1"/>
  <c r="N29" i="1"/>
  <c r="U31" i="1"/>
  <c r="R27" i="1"/>
  <c r="AD30" i="1"/>
  <c r="Y27" i="1"/>
  <c r="J23" i="1"/>
  <c r="M23" i="1"/>
  <c r="X23" i="1"/>
  <c r="Z23" i="1"/>
  <c r="K30" i="1"/>
  <c r="W31" i="1"/>
  <c r="W30" i="1"/>
  <c r="W27" i="1"/>
  <c r="W29" i="1"/>
  <c r="AC23" i="1"/>
  <c r="AD26" i="1"/>
  <c r="K26" i="1"/>
  <c r="K29" i="1"/>
  <c r="AD31" i="1"/>
  <c r="AG31" i="1"/>
  <c r="AG28" i="1"/>
  <c r="AG27" i="1"/>
  <c r="AG26" i="1"/>
  <c r="AG29" i="1"/>
  <c r="T28" i="1"/>
  <c r="T30" i="1"/>
  <c r="T29" i="1"/>
  <c r="T27" i="1"/>
  <c r="H23" i="1"/>
  <c r="P23" i="1"/>
  <c r="AB23" i="1"/>
  <c r="V23" i="1"/>
  <c r="O29" i="1"/>
  <c r="O31" i="1"/>
  <c r="O30" i="1"/>
  <c r="AA31" i="1"/>
  <c r="AA26" i="1"/>
  <c r="AA30" i="1"/>
  <c r="S30" i="1"/>
  <c r="S31" i="1"/>
  <c r="S26" i="1"/>
  <c r="S27" i="1"/>
  <c r="N26" i="1"/>
  <c r="T26" i="1"/>
  <c r="I31" i="1"/>
  <c r="K27" i="1"/>
  <c r="L30" i="1"/>
  <c r="O27" i="1"/>
  <c r="U28" i="1"/>
  <c r="AA29" i="1"/>
  <c r="AF23" i="1"/>
  <c r="Q29" i="1"/>
  <c r="AE28" i="1"/>
  <c r="AE27" i="1"/>
  <c r="L32" i="1" l="1"/>
  <c r="L34" i="1" s="1"/>
  <c r="L36" i="1" s="1"/>
  <c r="W32" i="1"/>
  <c r="W34" i="1" s="1"/>
  <c r="W36" i="1" s="1"/>
  <c r="Q32" i="1"/>
  <c r="Q34" i="1" s="1"/>
  <c r="Q36" i="1" s="1"/>
  <c r="O32" i="1"/>
  <c r="O34" i="1" s="1"/>
  <c r="O36" i="1" s="1"/>
  <c r="AG32" i="1"/>
  <c r="AG34" i="1" s="1"/>
  <c r="AG36" i="1" s="1"/>
  <c r="R32" i="1"/>
  <c r="R34" i="1" s="1"/>
  <c r="R36" i="1" s="1"/>
  <c r="U32" i="1"/>
  <c r="U34" i="1" s="1"/>
  <c r="U36" i="1" s="1"/>
  <c r="T32" i="1"/>
  <c r="T34" i="1" s="1"/>
  <c r="T36" i="1" s="1"/>
  <c r="AE32" i="1"/>
  <c r="AE34" i="1" s="1"/>
  <c r="AE36" i="1" s="1"/>
  <c r="V31" i="1"/>
  <c r="V30" i="1"/>
  <c r="V29" i="1"/>
  <c r="V28" i="1"/>
  <c r="V26" i="1"/>
  <c r="V27" i="1"/>
  <c r="AC29" i="1"/>
  <c r="AC30" i="1"/>
  <c r="AC28" i="1"/>
  <c r="AC31" i="1"/>
  <c r="AC27" i="1"/>
  <c r="AC26" i="1"/>
  <c r="J29" i="1"/>
  <c r="J27" i="1"/>
  <c r="J30" i="1"/>
  <c r="J28" i="1"/>
  <c r="J31" i="1"/>
  <c r="J26" i="1"/>
  <c r="N32" i="1"/>
  <c r="N34" i="1" s="1"/>
  <c r="N36" i="1" s="1"/>
  <c r="M29" i="1"/>
  <c r="M30" i="1"/>
  <c r="M31" i="1"/>
  <c r="M26" i="1"/>
  <c r="M27" i="1"/>
  <c r="M28" i="1"/>
  <c r="P27" i="1"/>
  <c r="P28" i="1"/>
  <c r="P29" i="1"/>
  <c r="P26" i="1"/>
  <c r="P30" i="1"/>
  <c r="P31" i="1"/>
  <c r="H31" i="1"/>
  <c r="H30" i="1"/>
  <c r="H29" i="1"/>
  <c r="H26" i="1"/>
  <c r="H28" i="1"/>
  <c r="H27" i="1"/>
  <c r="K32" i="1"/>
  <c r="K34" i="1" s="1"/>
  <c r="K36" i="1" s="1"/>
  <c r="Z29" i="1"/>
  <c r="Z27" i="1"/>
  <c r="Z28" i="1"/>
  <c r="Z31" i="1"/>
  <c r="Z26" i="1"/>
  <c r="Z30" i="1"/>
  <c r="I32" i="1"/>
  <c r="I34" i="1" s="1"/>
  <c r="I36" i="1" s="1"/>
  <c r="Y32" i="1"/>
  <c r="Y34" i="1" s="1"/>
  <c r="Y36" i="1" s="1"/>
  <c r="AN17" i="1"/>
  <c r="AN16" i="1"/>
  <c r="AN20" i="1"/>
  <c r="AN13" i="1"/>
  <c r="AN12" i="1"/>
  <c r="AN15" i="1"/>
  <c r="AN14" i="1"/>
  <c r="AN18" i="1"/>
  <c r="AF29" i="1"/>
  <c r="AF31" i="1"/>
  <c r="AF26" i="1"/>
  <c r="AF28" i="1"/>
  <c r="AF30" i="1"/>
  <c r="AF27" i="1"/>
  <c r="AB27" i="1"/>
  <c r="AB29" i="1"/>
  <c r="AB30" i="1"/>
  <c r="AB26" i="1"/>
  <c r="AB28" i="1"/>
  <c r="AB31" i="1"/>
  <c r="S32" i="1"/>
  <c r="S34" i="1" s="1"/>
  <c r="S36" i="1" s="1"/>
  <c r="AA32" i="1"/>
  <c r="AA34" i="1" s="1"/>
  <c r="AA36" i="1" s="1"/>
  <c r="AD32" i="1"/>
  <c r="AD34" i="1" s="1"/>
  <c r="AD36" i="1" s="1"/>
  <c r="X30" i="1"/>
  <c r="X31" i="1"/>
  <c r="X29" i="1"/>
  <c r="X26" i="1"/>
  <c r="X28" i="1"/>
  <c r="X27" i="1"/>
  <c r="AN21" i="1" l="1"/>
  <c r="J32" i="1"/>
  <c r="J34" i="1" s="1"/>
  <c r="J36" i="1" s="1"/>
  <c r="AM29" i="1"/>
  <c r="AB32" i="1"/>
  <c r="AB34" i="1" s="1"/>
  <c r="AB36" i="1" s="1"/>
  <c r="AM30" i="1"/>
  <c r="AM28" i="1"/>
  <c r="AM31" i="1"/>
  <c r="AC32" i="1"/>
  <c r="AC34" i="1" s="1"/>
  <c r="AC36" i="1" s="1"/>
  <c r="AM27" i="1"/>
  <c r="P32" i="1"/>
  <c r="P34" i="1" s="1"/>
  <c r="P36" i="1" s="1"/>
  <c r="V32" i="1"/>
  <c r="V34" i="1" s="1"/>
  <c r="V36" i="1" s="1"/>
  <c r="X32" i="1"/>
  <c r="X34" i="1" s="1"/>
  <c r="X36" i="1" s="1"/>
  <c r="AF32" i="1"/>
  <c r="AF34" i="1" s="1"/>
  <c r="AF36" i="1" s="1"/>
  <c r="Z32" i="1"/>
  <c r="Z34" i="1" s="1"/>
  <c r="Z36" i="1" s="1"/>
  <c r="AM26" i="1"/>
  <c r="H32" i="1"/>
  <c r="H34" i="1" s="1"/>
  <c r="H36" i="1" s="1"/>
  <c r="M32" i="1"/>
  <c r="M34" i="1" s="1"/>
  <c r="M36" i="1" s="1"/>
  <c r="AM36" i="1" l="1"/>
  <c r="H38" i="1"/>
  <c r="I38" i="1" s="1"/>
  <c r="J38" i="1" s="1"/>
  <c r="K38" i="1" s="1"/>
  <c r="L38" i="1" s="1"/>
  <c r="M38" i="1" s="1"/>
  <c r="N38" i="1" s="1"/>
  <c r="O38" i="1" s="1"/>
  <c r="P38" i="1" s="1"/>
  <c r="Q38" i="1" s="1"/>
  <c r="R38" i="1" s="1"/>
  <c r="S38" i="1" s="1"/>
  <c r="T38" i="1" s="1"/>
  <c r="U38" i="1" s="1"/>
  <c r="V38" i="1" s="1"/>
  <c r="W38" i="1" s="1"/>
  <c r="X38" i="1" s="1"/>
  <c r="Y38" i="1" s="1"/>
  <c r="Z38" i="1" s="1"/>
  <c r="AA38" i="1" s="1"/>
  <c r="AB38" i="1" s="1"/>
  <c r="AC38" i="1" s="1"/>
  <c r="AD38" i="1" s="1"/>
  <c r="AE38" i="1" s="1"/>
  <c r="AF38" i="1" s="1"/>
  <c r="AG38" i="1" s="1"/>
  <c r="AH38" i="1" s="1"/>
  <c r="AI38" i="1" s="1"/>
  <c r="AJ38" i="1" s="1"/>
  <c r="AK38" i="1" s="1"/>
  <c r="AM32" i="1"/>
  <c r="AN28" i="1" s="1"/>
  <c r="AN26" i="1" l="1"/>
  <c r="AM34" i="1"/>
  <c r="AN29" i="1"/>
  <c r="AN31" i="1"/>
  <c r="AN30" i="1"/>
  <c r="AN27" i="1"/>
  <c r="AN32" i="1" l="1"/>
  <c r="AR30" i="3"/>
  <c r="AI36" i="3"/>
  <c r="AI38" i="3" s="1"/>
  <c r="AI40" i="3" s="1"/>
  <c r="AR40" i="3" s="1"/>
  <c r="AI42" i="3" l="1"/>
  <c r="AJ42" i="3" s="1"/>
  <c r="AK42" i="3" s="1"/>
  <c r="AL42" i="3" s="1"/>
  <c r="AR36" i="3"/>
  <c r="AS30" i="3" s="1"/>
  <c r="AS31" i="3" l="1"/>
  <c r="AR38" i="3"/>
  <c r="AS38" i="3" s="1"/>
  <c r="AS35" i="3"/>
  <c r="AS34" i="3"/>
  <c r="AS32" i="3"/>
  <c r="AS33" i="3"/>
  <c r="AS36" i="3" l="1"/>
  <c r="AP25" i="8"/>
  <c r="AQ25" i="8" s="1"/>
  <c r="V29" i="8"/>
  <c r="V31" i="8" s="1"/>
  <c r="V38" i="8" s="1"/>
  <c r="AP29" i="8" l="1"/>
  <c r="V7" i="7"/>
  <c r="AP38" i="8"/>
  <c r="AS26" i="8"/>
  <c r="AQ29" i="8" l="1"/>
  <c r="AP31" i="8"/>
  <c r="V10" i="7"/>
  <c r="V27" i="7" s="1"/>
  <c r="AP7" i="7"/>
  <c r="AP10" i="7" s="1"/>
  <c r="D7" i="7"/>
  <c r="AQ31" i="8" l="1"/>
  <c r="AP35" i="8"/>
  <c r="AQ35" i="8" s="1"/>
  <c r="AP48" i="7"/>
  <c r="AP45" i="7"/>
  <c r="AP46" i="7"/>
  <c r="AP54" i="7"/>
  <c r="AP53" i="7"/>
  <c r="AP52" i="7"/>
  <c r="AP47" i="7"/>
  <c r="V34" i="7"/>
  <c r="AP34" i="7" s="1"/>
  <c r="V31" i="7"/>
  <c r="AP31" i="7" s="1"/>
  <c r="V32" i="7"/>
  <c r="AP32" i="7" s="1"/>
  <c r="V30" i="7"/>
  <c r="V35" i="7"/>
  <c r="AP35" i="7" s="1"/>
  <c r="V33" i="7"/>
  <c r="AP33" i="7" s="1"/>
  <c r="V36" i="7" l="1"/>
  <c r="V38" i="7" s="1"/>
  <c r="V40" i="7" s="1"/>
  <c r="AP30" i="7"/>
  <c r="AP55" i="7"/>
  <c r="AP49" i="7"/>
  <c r="AP57" i="7" l="1"/>
  <c r="AP36" i="7"/>
  <c r="AQ30" i="7" s="1"/>
  <c r="AP40" i="7"/>
  <c r="V42" i="7"/>
  <c r="W42" i="7" s="1"/>
  <c r="X42" i="7" s="1"/>
  <c r="Y42" i="7" s="1"/>
  <c r="Z42" i="7" s="1"/>
  <c r="AA42" i="7" s="1"/>
  <c r="AB42" i="7" s="1"/>
  <c r="AC42" i="7" s="1"/>
  <c r="AD42" i="7" s="1"/>
  <c r="AE42" i="7" s="1"/>
  <c r="AF42" i="7" s="1"/>
  <c r="AG42" i="7" s="1"/>
  <c r="AH42" i="7" s="1"/>
  <c r="AI42" i="7" s="1"/>
  <c r="AJ42" i="7" s="1"/>
  <c r="AK42" i="7" s="1"/>
  <c r="AL42" i="7" s="1"/>
  <c r="AP38" i="7" l="1"/>
  <c r="AQ35" i="7"/>
  <c r="AQ32" i="7"/>
  <c r="AQ31" i="7"/>
  <c r="AQ34" i="7"/>
  <c r="AQ33" i="7"/>
  <c r="AQ36" i="7" l="1"/>
  <c r="BT29" i="16"/>
  <c r="BT36" i="16" s="1"/>
  <c r="U29" i="16"/>
  <c r="W29" i="16" s="1"/>
  <c r="W36" i="16" s="1"/>
  <c r="BR44" i="16"/>
  <c r="BT46" i="16" l="1"/>
  <c r="BU29" i="16"/>
  <c r="BR36" i="16" l="1"/>
  <c r="BU36" i="16"/>
  <c r="BV29" i="16" s="1"/>
  <c r="M48" i="16"/>
  <c r="M49" i="16"/>
  <c r="M47" i="16"/>
  <c r="BQ47" i="16" s="1"/>
  <c r="BV47" i="16" s="1"/>
  <c r="M51" i="16" l="1"/>
  <c r="M53" i="16" s="1"/>
  <c r="U49" i="16"/>
  <c r="BQ49" i="16"/>
  <c r="U47" i="16"/>
  <c r="BQ48" i="16"/>
  <c r="U48" i="16"/>
  <c r="BQ51" i="16" l="1"/>
  <c r="U51" i="16"/>
  <c r="U53" i="16" l="1"/>
  <c r="BQ53" i="16"/>
  <c r="BQ38" i="16"/>
  <c r="BM38" i="16"/>
  <c r="I92" i="23"/>
  <c r="H92" i="23"/>
  <c r="G92" i="23"/>
  <c r="F92" i="23"/>
  <c r="K54" i="23" l="1"/>
  <c r="K95" i="23"/>
  <c r="K80" i="23"/>
  <c r="K78" i="23"/>
  <c r="K52" i="23" l="1"/>
  <c r="K83" i="23" l="1"/>
  <c r="I83" i="23"/>
  <c r="F83" i="23"/>
  <c r="G83" i="23"/>
  <c r="H83" i="23"/>
  <c r="O83" i="23" l="1"/>
  <c r="N83" i="23"/>
  <c r="BL86" i="23"/>
  <c r="BJ86" i="23"/>
  <c r="P83" i="23"/>
  <c r="H84" i="23"/>
  <c r="K84" i="23"/>
  <c r="F84" i="23"/>
  <c r="G84" i="23"/>
  <c r="I84" i="23"/>
  <c r="S92" i="23" l="1"/>
  <c r="S93" i="23"/>
  <c r="BJ92" i="23"/>
  <c r="BN86" i="23"/>
  <c r="BJ93" i="23"/>
  <c r="BR83" i="23"/>
  <c r="BS83" i="23" s="1"/>
  <c r="V83" i="23"/>
  <c r="P93" i="23"/>
  <c r="P92" i="23"/>
  <c r="BL93" i="23"/>
  <c r="BL92" i="23"/>
  <c r="O92" i="23"/>
  <c r="O93" i="23"/>
  <c r="N84" i="23"/>
  <c r="O84" i="23"/>
  <c r="P84" i="23"/>
  <c r="T93" i="23"/>
  <c r="T92" i="23"/>
  <c r="Q92" i="23"/>
  <c r="Q93" i="23"/>
  <c r="N92" i="23"/>
  <c r="V86" i="23"/>
  <c r="N93" i="23"/>
  <c r="BR86" i="23"/>
  <c r="BS86" i="23" s="1"/>
  <c r="R93" i="23"/>
  <c r="R92" i="23"/>
  <c r="BK93" i="23"/>
  <c r="BK92" i="23"/>
  <c r="BR93" i="23" l="1"/>
  <c r="BK95" i="23"/>
  <c r="BK97" i="23" s="1"/>
  <c r="R95" i="23"/>
  <c r="R97" i="23" s="1"/>
  <c r="T95" i="23"/>
  <c r="T97" i="23" s="1"/>
  <c r="P95" i="23"/>
  <c r="P97" i="23" s="1"/>
  <c r="V84" i="23"/>
  <c r="BR84" i="23"/>
  <c r="BS84" i="23" s="1"/>
  <c r="V92" i="23"/>
  <c r="N95" i="23"/>
  <c r="BR92" i="23"/>
  <c r="BN93" i="23"/>
  <c r="S95" i="23"/>
  <c r="S97" i="23" s="1"/>
  <c r="O95" i="23"/>
  <c r="O97" i="23" s="1"/>
  <c r="V93" i="23"/>
  <c r="Q95" i="23"/>
  <c r="Q97" i="23" s="1"/>
  <c r="BL95" i="23"/>
  <c r="BL97" i="23" s="1"/>
  <c r="BJ95" i="23"/>
  <c r="BN92" i="23"/>
  <c r="BR95" i="23" l="1"/>
  <c r="BN95" i="23"/>
  <c r="BJ97" i="23"/>
  <c r="BN97" i="23" s="1"/>
  <c r="V95" i="23"/>
  <c r="N97" i="23"/>
  <c r="BR97" i="23" l="1"/>
  <c r="BS97" i="23" s="1"/>
  <c r="V97" i="23"/>
  <c r="AR7" i="33"/>
  <c r="AT6" i="33"/>
  <c r="AV7" i="33" s="1"/>
  <c r="BT6" i="33"/>
  <c r="AR10" i="33"/>
  <c r="AT10" i="33" s="1"/>
  <c r="AR11" i="33" l="1"/>
  <c r="AR47" i="33" s="1"/>
  <c r="BT7" i="33"/>
  <c r="BZ1" i="33" s="1"/>
  <c r="BU6" i="33"/>
  <c r="BY14" i="33" s="1"/>
  <c r="J6" i="33"/>
  <c r="BY7" i="33"/>
  <c r="BW7" i="33"/>
  <c r="BW8" i="33" s="1"/>
  <c r="AT7" i="33"/>
  <c r="BT10" i="33"/>
  <c r="J10" i="33" s="1"/>
  <c r="AR51" i="33" l="1"/>
  <c r="AR57" i="33"/>
  <c r="AR53" i="33"/>
  <c r="AR49" i="33"/>
  <c r="AR52" i="33"/>
  <c r="AR54" i="33"/>
  <c r="AR50" i="33"/>
  <c r="AR55" i="33"/>
  <c r="AR56" i="33"/>
  <c r="AT11" i="33"/>
  <c r="AU36" i="33"/>
  <c r="AV36" i="33" s="1"/>
  <c r="AU19" i="33"/>
  <c r="AV19" i="33" s="1"/>
  <c r="AU18" i="33"/>
  <c r="AU21" i="33"/>
  <c r="AV21" i="33" s="1"/>
  <c r="AU27" i="33"/>
  <c r="AV27" i="33" s="1"/>
  <c r="AU22" i="33"/>
  <c r="AV22" i="33" s="1"/>
  <c r="AU26" i="33"/>
  <c r="AV26" i="33" s="1"/>
  <c r="AU23" i="33"/>
  <c r="AV23" i="33" s="1"/>
  <c r="AU29" i="33"/>
  <c r="AV29" i="33" s="1"/>
  <c r="AU37" i="33"/>
  <c r="AV37" i="33" s="1"/>
  <c r="AU6" i="33"/>
  <c r="AU34" i="33"/>
  <c r="AV34" i="33" s="1"/>
  <c r="AU31" i="33"/>
  <c r="AV31" i="33" s="1"/>
  <c r="AU30" i="33"/>
  <c r="AV30" i="33" s="1"/>
  <c r="AU35" i="33"/>
  <c r="AV35" i="33" s="1"/>
  <c r="AU39" i="33"/>
  <c r="AV39" i="33" s="1"/>
  <c r="AU25" i="33"/>
  <c r="AV25" i="33" s="1"/>
  <c r="AU20" i="33"/>
  <c r="AV20" i="33" s="1"/>
  <c r="AU41" i="33"/>
  <c r="AV41" i="33" s="1"/>
  <c r="AU33" i="33"/>
  <c r="AV33" i="33" s="1"/>
  <c r="AU38" i="33"/>
  <c r="AV38" i="33" s="1"/>
  <c r="AU32" i="33"/>
  <c r="AV32" i="33" s="1"/>
  <c r="AU24" i="33"/>
  <c r="AV24" i="33" s="1"/>
  <c r="AU40" i="33"/>
  <c r="AV40" i="33" s="1"/>
  <c r="AU28" i="33"/>
  <c r="AV28" i="33" s="1"/>
  <c r="E6" i="33"/>
  <c r="CA4" i="33" s="1"/>
  <c r="J7" i="33"/>
  <c r="K7" i="33" s="1"/>
  <c r="BZ2" i="33"/>
  <c r="CA1" i="33"/>
  <c r="CB1" i="33" s="1"/>
  <c r="K10" i="33" s="1"/>
  <c r="AR58" i="33" l="1"/>
  <c r="AR60" i="33" s="1"/>
  <c r="AT47" i="33"/>
  <c r="BQ47" i="33"/>
  <c r="AR83" i="33"/>
  <c r="BZ7" i="33"/>
  <c r="AV18" i="33"/>
  <c r="AV43" i="33" s="1"/>
  <c r="AU43" i="33"/>
  <c r="AR69" i="33" l="1"/>
  <c r="AR70" i="33"/>
  <c r="AR67" i="33"/>
  <c r="AR63" i="33"/>
  <c r="AR66" i="33"/>
  <c r="AR68" i="33"/>
  <c r="AR64" i="33"/>
  <c r="AR65" i="33"/>
  <c r="AR62" i="33"/>
  <c r="AT54" i="33"/>
  <c r="AV54" i="33" s="1"/>
  <c r="BT54" i="33"/>
  <c r="BU54" i="33" s="1"/>
  <c r="AT57" i="33"/>
  <c r="AV57" i="33" s="1"/>
  <c r="BT57" i="33"/>
  <c r="BU57" i="33" s="1"/>
  <c r="AT53" i="33"/>
  <c r="AV53" i="33" s="1"/>
  <c r="BT53" i="33"/>
  <c r="BU53" i="33" s="1"/>
  <c r="BT49" i="33"/>
  <c r="AT49" i="33"/>
  <c r="AT56" i="33"/>
  <c r="AV56" i="33" s="1"/>
  <c r="BT56" i="33"/>
  <c r="BU56" i="33" s="1"/>
  <c r="BQ83" i="33"/>
  <c r="AT83" i="33"/>
  <c r="BT50" i="33"/>
  <c r="BU50" i="33" s="1"/>
  <c r="AT50" i="33"/>
  <c r="AV50" i="33" s="1"/>
  <c r="AT55" i="33"/>
  <c r="AV55" i="33" s="1"/>
  <c r="BT55" i="33"/>
  <c r="BU55" i="33" s="1"/>
  <c r="AT52" i="33"/>
  <c r="AV52" i="33" s="1"/>
  <c r="BT52" i="33"/>
  <c r="BU52" i="33" s="1"/>
  <c r="AT51" i="33"/>
  <c r="AV51" i="33" s="1"/>
  <c r="BT51" i="33"/>
  <c r="BU51" i="33" s="1"/>
  <c r="AR71" i="33" l="1"/>
  <c r="AR73" i="33" s="1"/>
  <c r="AR76" i="33" s="1"/>
  <c r="AR81" i="33" s="1"/>
  <c r="BT58" i="33"/>
  <c r="BU58" i="33" s="1"/>
  <c r="BW49" i="33" s="1"/>
  <c r="BU49" i="33"/>
  <c r="AT58" i="33"/>
  <c r="AV49" i="33"/>
  <c r="AV58" i="33" s="1"/>
  <c r="BQ58" i="33" s="1"/>
  <c r="AR86" i="33" l="1"/>
  <c r="AT76" i="33"/>
  <c r="BQ76" i="33"/>
  <c r="AT66" i="33"/>
  <c r="AV66" i="33" s="1"/>
  <c r="BT66" i="33"/>
  <c r="BU66" i="33" s="1"/>
  <c r="BT62" i="33"/>
  <c r="AT62" i="33"/>
  <c r="AV62" i="33" s="1"/>
  <c r="AT68" i="33"/>
  <c r="AV68" i="33" s="1"/>
  <c r="BT68" i="33"/>
  <c r="BU68" i="33" s="1"/>
  <c r="AT65" i="33"/>
  <c r="AV65" i="33" s="1"/>
  <c r="BT65" i="33"/>
  <c r="BU65" i="33" s="1"/>
  <c r="AT70" i="33"/>
  <c r="AV70" i="33" s="1"/>
  <c r="BT70" i="33"/>
  <c r="BU70" i="33" s="1"/>
  <c r="BT67" i="33"/>
  <c r="BU67" i="33" s="1"/>
  <c r="AT67" i="33"/>
  <c r="AV67" i="33" s="1"/>
  <c r="BT69" i="33"/>
  <c r="BU69" i="33" s="1"/>
  <c r="AT69" i="33"/>
  <c r="AV69" i="33" s="1"/>
  <c r="BT64" i="33"/>
  <c r="BU64" i="33" s="1"/>
  <c r="AT64" i="33"/>
  <c r="AV64" i="33" s="1"/>
  <c r="BT63" i="33"/>
  <c r="BU63" i="33" s="1"/>
  <c r="AT63" i="33"/>
  <c r="AV63" i="33" s="1"/>
  <c r="AR87" i="33" l="1"/>
  <c r="AR88" i="33"/>
  <c r="BQ81" i="33"/>
  <c r="BR81" i="33" s="1"/>
  <c r="AT81" i="33"/>
  <c r="BQ86" i="33"/>
  <c r="AT86" i="33"/>
  <c r="AT71" i="33"/>
  <c r="BU62" i="33"/>
  <c r="BT71" i="33"/>
  <c r="BU71" i="33" s="1"/>
  <c r="BW62" i="33" s="1"/>
  <c r="AV71" i="33"/>
  <c r="BQ71" i="33" s="1"/>
  <c r="AT88" i="33" l="1"/>
  <c r="BQ88" i="33"/>
  <c r="BQ87" i="33"/>
  <c r="AT87" i="33"/>
  <c r="AR90" i="33"/>
  <c r="AT90" i="33" l="1"/>
  <c r="BQ90" i="33"/>
  <c r="AR92" i="33"/>
  <c r="AT92" i="33" l="1"/>
  <c r="BQ92" i="33"/>
  <c r="BR92" i="33" s="1"/>
  <c r="T10" i="36"/>
  <c r="T11" i="36" s="1"/>
  <c r="T7" i="36"/>
  <c r="V6" i="36"/>
  <c r="X7" i="36" s="1"/>
  <c r="V11" i="36" l="1"/>
  <c r="T46" i="36"/>
  <c r="V10" i="36"/>
  <c r="V7" i="36"/>
  <c r="T54" i="36" l="1"/>
  <c r="T50" i="36"/>
  <c r="T55" i="36"/>
  <c r="T51" i="36"/>
  <c r="T56" i="36"/>
  <c r="T52" i="36"/>
  <c r="T48" i="36"/>
  <c r="T53" i="36"/>
  <c r="T49" i="36"/>
  <c r="T82" i="36"/>
  <c r="V46" i="36"/>
  <c r="W6" i="36"/>
  <c r="W21" i="36"/>
  <c r="X21" i="36" s="1"/>
  <c r="W28" i="36"/>
  <c r="X28" i="36" s="1"/>
  <c r="W26" i="36"/>
  <c r="X26" i="36" s="1"/>
  <c r="W33" i="36"/>
  <c r="X33" i="36" s="1"/>
  <c r="W17" i="36"/>
  <c r="W29" i="36"/>
  <c r="X29" i="36" s="1"/>
  <c r="W35" i="36"/>
  <c r="X35" i="36" s="1"/>
  <c r="W37" i="36"/>
  <c r="X37" i="36" s="1"/>
  <c r="W34" i="36"/>
  <c r="X34" i="36" s="1"/>
  <c r="W25" i="36"/>
  <c r="X25" i="36" s="1"/>
  <c r="W23" i="36"/>
  <c r="X23" i="36" s="1"/>
  <c r="W19" i="36"/>
  <c r="X19" i="36" s="1"/>
  <c r="W39" i="36"/>
  <c r="X39" i="36" s="1"/>
  <c r="W31" i="36"/>
  <c r="X31" i="36" s="1"/>
  <c r="W30" i="36"/>
  <c r="X30" i="36" s="1"/>
  <c r="W18" i="36"/>
  <c r="X18" i="36" s="1"/>
  <c r="W36" i="36"/>
  <c r="X36" i="36" s="1"/>
  <c r="W40" i="36"/>
  <c r="X40" i="36" s="1"/>
  <c r="W22" i="36"/>
  <c r="X22" i="36" s="1"/>
  <c r="W20" i="36"/>
  <c r="X20" i="36" s="1"/>
  <c r="X6" i="36"/>
  <c r="W38" i="36"/>
  <c r="X38" i="36" s="1"/>
  <c r="W27" i="36"/>
  <c r="X27" i="36" s="1"/>
  <c r="W24" i="36"/>
  <c r="X24" i="36" s="1"/>
  <c r="W32" i="36"/>
  <c r="X32" i="36" s="1"/>
  <c r="V53" i="36" l="1"/>
  <c r="X53" i="36" s="1"/>
  <c r="V51" i="36"/>
  <c r="X51" i="36" s="1"/>
  <c r="V49" i="36"/>
  <c r="X49" i="36" s="1"/>
  <c r="V56" i="36"/>
  <c r="X56" i="36" s="1"/>
  <c r="V54" i="36"/>
  <c r="X54" i="36" s="1"/>
  <c r="V82" i="36"/>
  <c r="V52" i="36"/>
  <c r="X52" i="36" s="1"/>
  <c r="V50" i="36"/>
  <c r="X50" i="36" s="1"/>
  <c r="T57" i="36"/>
  <c r="T59" i="36" s="1"/>
  <c r="V48" i="36"/>
  <c r="V55" i="36"/>
  <c r="X55" i="36" s="1"/>
  <c r="W42" i="36"/>
  <c r="X17" i="36"/>
  <c r="X42" i="36" s="1"/>
  <c r="X48" i="36" l="1"/>
  <c r="X57" i="36" s="1"/>
  <c r="BR57" i="36" s="1"/>
  <c r="V57" i="36"/>
  <c r="T68" i="36"/>
  <c r="T64" i="36"/>
  <c r="T69" i="36"/>
  <c r="T65" i="36"/>
  <c r="T61" i="36"/>
  <c r="T66" i="36"/>
  <c r="T62" i="36"/>
  <c r="T67" i="36"/>
  <c r="T63" i="36"/>
  <c r="V62" i="36" l="1"/>
  <c r="X62" i="36" s="1"/>
  <c r="V69" i="36"/>
  <c r="X69" i="36" s="1"/>
  <c r="V65" i="36"/>
  <c r="X65" i="36" s="1"/>
  <c r="V67" i="36"/>
  <c r="X67" i="36" s="1"/>
  <c r="T70" i="36"/>
  <c r="T72" i="36" s="1"/>
  <c r="T75" i="36" s="1"/>
  <c r="T80" i="36" s="1"/>
  <c r="V61" i="36"/>
  <c r="V68" i="36"/>
  <c r="X68" i="36" s="1"/>
  <c r="V63" i="36"/>
  <c r="X63" i="36" s="1"/>
  <c r="V66" i="36"/>
  <c r="X66" i="36" s="1"/>
  <c r="V64" i="36"/>
  <c r="X64" i="36" s="1"/>
  <c r="T85" i="36" l="1"/>
  <c r="V75" i="36"/>
  <c r="V70" i="36"/>
  <c r="X61" i="36"/>
  <c r="X70" i="36" s="1"/>
  <c r="BR70" i="36" s="1"/>
  <c r="T86" i="36" l="1"/>
  <c r="T87" i="36"/>
  <c r="V80" i="36"/>
  <c r="V85" i="36"/>
  <c r="V86" i="36" l="1"/>
  <c r="V87" i="36"/>
  <c r="T89" i="36"/>
  <c r="T91" i="36" l="1"/>
  <c r="V89" i="36"/>
  <c r="V91" i="36" l="1"/>
  <c r="BD7" i="36"/>
  <c r="BF6" i="36"/>
  <c r="BF7" i="36" s="1"/>
  <c r="BU6" i="36"/>
  <c r="BX6" i="36" s="1"/>
  <c r="BD10" i="36"/>
  <c r="BD11" i="36" s="1"/>
  <c r="BF11" i="36" l="1"/>
  <c r="BD46" i="36"/>
  <c r="BU10" i="36"/>
  <c r="J10" i="36" s="1"/>
  <c r="BG35" i="36"/>
  <c r="BH35" i="36" s="1"/>
  <c r="BG32" i="36"/>
  <c r="BH32" i="36" s="1"/>
  <c r="BG36" i="36"/>
  <c r="BH36" i="36" s="1"/>
  <c r="BG27" i="36"/>
  <c r="BH27" i="36" s="1"/>
  <c r="BG25" i="36"/>
  <c r="BH25" i="36" s="1"/>
  <c r="BG19" i="36"/>
  <c r="BH19" i="36" s="1"/>
  <c r="BG17" i="36"/>
  <c r="BG33" i="36"/>
  <c r="BH33" i="36" s="1"/>
  <c r="BG37" i="36"/>
  <c r="BH37" i="36" s="1"/>
  <c r="BG28" i="36"/>
  <c r="BH28" i="36" s="1"/>
  <c r="BG6" i="36"/>
  <c r="BG23" i="36"/>
  <c r="BH23" i="36" s="1"/>
  <c r="BG26" i="36"/>
  <c r="BH26" i="36" s="1"/>
  <c r="BG21" i="36"/>
  <c r="BH21" i="36" s="1"/>
  <c r="BG29" i="36"/>
  <c r="BH29" i="36" s="1"/>
  <c r="BG38" i="36"/>
  <c r="BH38" i="36" s="1"/>
  <c r="BG39" i="36"/>
  <c r="BH39" i="36" s="1"/>
  <c r="BG34" i="36"/>
  <c r="BH34" i="36" s="1"/>
  <c r="BG40" i="36"/>
  <c r="BH40" i="36" s="1"/>
  <c r="BG24" i="36"/>
  <c r="BH24" i="36" s="1"/>
  <c r="BG30" i="36"/>
  <c r="BH30" i="36" s="1"/>
  <c r="BG31" i="36"/>
  <c r="BH31" i="36" s="1"/>
  <c r="BG22" i="36"/>
  <c r="BH22" i="36" s="1"/>
  <c r="BG18" i="36"/>
  <c r="BH18" i="36" s="1"/>
  <c r="BG20" i="36"/>
  <c r="BH20" i="36" s="1"/>
  <c r="BU7" i="36"/>
  <c r="CA1" i="36" s="1"/>
  <c r="BX7" i="36"/>
  <c r="BX8" i="36" s="1"/>
  <c r="BF10" i="36"/>
  <c r="J6" i="36"/>
  <c r="J7" i="36" s="1"/>
  <c r="BH7" i="36"/>
  <c r="BV6" i="36"/>
  <c r="BZ14" i="36" s="1"/>
  <c r="BD49" i="36" l="1"/>
  <c r="BD53" i="36"/>
  <c r="BD48" i="36"/>
  <c r="BD52" i="36"/>
  <c r="BD56" i="36"/>
  <c r="BD51" i="36"/>
  <c r="BD55" i="36"/>
  <c r="BD50" i="36"/>
  <c r="BD54" i="36"/>
  <c r="BD82" i="36"/>
  <c r="BF46" i="36"/>
  <c r="BR46" i="36"/>
  <c r="BG42" i="36"/>
  <c r="BH17" i="36"/>
  <c r="BH42" i="36" s="1"/>
  <c r="CA2" i="36"/>
  <c r="CB1" i="36"/>
  <c r="CC1" i="36" s="1"/>
  <c r="K10" i="36" s="1"/>
  <c r="CD3" i="36" l="1"/>
  <c r="CD4" i="36" s="1"/>
  <c r="CD5" i="36" s="1"/>
  <c r="CE5" i="36" s="1"/>
  <c r="BF54" i="36"/>
  <c r="BH54" i="36" s="1"/>
  <c r="BU54" i="36"/>
  <c r="BV54" i="36" s="1"/>
  <c r="BF56" i="36"/>
  <c r="BH56" i="36" s="1"/>
  <c r="BU56" i="36"/>
  <c r="BV56" i="36" s="1"/>
  <c r="BF49" i="36"/>
  <c r="BH49" i="36" s="1"/>
  <c r="BU49" i="36"/>
  <c r="BV49" i="36" s="1"/>
  <c r="BF51" i="36"/>
  <c r="BH51" i="36" s="1"/>
  <c r="BU51" i="36"/>
  <c r="BV51" i="36" s="1"/>
  <c r="BF53" i="36"/>
  <c r="BH53" i="36" s="1"/>
  <c r="BU53" i="36"/>
  <c r="BV53" i="36" s="1"/>
  <c r="BF55" i="36"/>
  <c r="BH55" i="36" s="1"/>
  <c r="BU55" i="36"/>
  <c r="BV55" i="36" s="1"/>
  <c r="BD57" i="36"/>
  <c r="BD59" i="36" s="1"/>
  <c r="BF48" i="36"/>
  <c r="BU48" i="36"/>
  <c r="BF82" i="36"/>
  <c r="BR82" i="36"/>
  <c r="BF50" i="36"/>
  <c r="BH50" i="36" s="1"/>
  <c r="BU50" i="36"/>
  <c r="BV50" i="36" s="1"/>
  <c r="BF52" i="36"/>
  <c r="BH52" i="36" s="1"/>
  <c r="BU52" i="36"/>
  <c r="BV52" i="36" s="1"/>
  <c r="BD63" i="36" l="1"/>
  <c r="BD67" i="36"/>
  <c r="BD62" i="36"/>
  <c r="BD66" i="36"/>
  <c r="BD61" i="36"/>
  <c r="BD65" i="36"/>
  <c r="BD69" i="36"/>
  <c r="BD64" i="36"/>
  <c r="BD68" i="36"/>
  <c r="BH48" i="36"/>
  <c r="BF57" i="36"/>
  <c r="BU57" i="36"/>
  <c r="BV57" i="36" s="1"/>
  <c r="BX48" i="36" s="1"/>
  <c r="BV48" i="36"/>
  <c r="BF63" i="36" l="1"/>
  <c r="BH63" i="36" s="1"/>
  <c r="BU63" i="36"/>
  <c r="BV63" i="36" s="1"/>
  <c r="BF67" i="36"/>
  <c r="BH67" i="36" s="1"/>
  <c r="BU67" i="36"/>
  <c r="BV67" i="36" s="1"/>
  <c r="BF64" i="36"/>
  <c r="BH64" i="36" s="1"/>
  <c r="BU64" i="36"/>
  <c r="BV64" i="36" s="1"/>
  <c r="BD70" i="36"/>
  <c r="BF61" i="36"/>
  <c r="BH61" i="36" s="1"/>
  <c r="BU61" i="36"/>
  <c r="BH57" i="36"/>
  <c r="BF65" i="36"/>
  <c r="BH65" i="36" s="1"/>
  <c r="BU65" i="36"/>
  <c r="BV65" i="36" s="1"/>
  <c r="BF66" i="36"/>
  <c r="BH66" i="36" s="1"/>
  <c r="BU66" i="36"/>
  <c r="BV66" i="36" s="1"/>
  <c r="BF68" i="36"/>
  <c r="BH68" i="36" s="1"/>
  <c r="BU68" i="36"/>
  <c r="BV68" i="36" s="1"/>
  <c r="BF69" i="36"/>
  <c r="BH69" i="36" s="1"/>
  <c r="BU69" i="36"/>
  <c r="BV69" i="36" s="1"/>
  <c r="BF62" i="36"/>
  <c r="BH62" i="36" s="1"/>
  <c r="BU62" i="36"/>
  <c r="BV62" i="36" s="1"/>
  <c r="BH70" i="36" l="1"/>
  <c r="BV61" i="36"/>
  <c r="BU70" i="36"/>
  <c r="BV70" i="36" s="1"/>
  <c r="BX61" i="36" s="1"/>
  <c r="BF70" i="36"/>
  <c r="BD72" i="36"/>
  <c r="BD75" i="36" s="1"/>
  <c r="BD80" i="36" l="1"/>
  <c r="BD85" i="36"/>
  <c r="BF75" i="36"/>
  <c r="BR75" i="36"/>
  <c r="BD87" i="36" l="1"/>
  <c r="BD86" i="36"/>
  <c r="BF80" i="36"/>
  <c r="BR80" i="36"/>
  <c r="BS80" i="36" s="1"/>
  <c r="BF85" i="36"/>
  <c r="BR85" i="36"/>
  <c r="BF87" i="36" l="1"/>
  <c r="BR87" i="36"/>
  <c r="BD89" i="36"/>
  <c r="BF86" i="36"/>
  <c r="BR86" i="36"/>
  <c r="BD91" i="36" l="1"/>
  <c r="BF89" i="36"/>
  <c r="BR89" i="36"/>
  <c r="BF91" i="36" l="1"/>
  <c r="BR91" i="36"/>
  <c r="BS91" i="36" s="1"/>
  <c r="R10" i="38"/>
  <c r="M21" i="37"/>
  <c r="BE21" i="37" l="1"/>
  <c r="AS21" i="37"/>
  <c r="AG21" i="37"/>
  <c r="K21" i="37"/>
  <c r="AF21" i="37" l="1"/>
  <c r="AC21" i="37"/>
  <c r="V21" i="37"/>
  <c r="AQ21" i="37"/>
  <c r="AR21" i="37"/>
  <c r="AH21" i="37"/>
  <c r="T21" i="37"/>
  <c r="S21" i="37"/>
  <c r="BB21" i="37"/>
  <c r="Q21" i="37"/>
  <c r="AO21" i="37"/>
  <c r="W21" i="37"/>
  <c r="AU21" i="37"/>
  <c r="R21" i="37"/>
  <c r="AE21" i="37"/>
  <c r="AT21" i="37"/>
  <c r="BA21" i="37"/>
  <c r="AI21" i="37"/>
  <c r="BD21" i="37"/>
  <c r="AD21" i="37"/>
  <c r="AP21" i="37"/>
  <c r="BC21" i="37"/>
  <c r="AK21" i="37" l="1"/>
  <c r="AW21" i="37"/>
  <c r="Y21" i="37"/>
  <c r="BW21" i="37"/>
  <c r="BI21" i="37"/>
  <c r="BX21" i="37" l="1"/>
  <c r="AY21" i="37"/>
  <c r="AA21" i="37"/>
  <c r="AM21" i="37"/>
  <c r="BK21" i="37"/>
  <c r="M36" i="37"/>
  <c r="M24" i="37"/>
  <c r="M40" i="37"/>
  <c r="M35" i="37"/>
  <c r="M42" i="37"/>
  <c r="J42" i="37"/>
  <c r="K42" i="37" s="1"/>
  <c r="AC42" i="37" s="1"/>
  <c r="AT35" i="37"/>
  <c r="J35" i="37"/>
  <c r="K35" i="37" s="1"/>
  <c r="AC35" i="37" s="1"/>
  <c r="M32" i="37"/>
  <c r="M29" i="37"/>
  <c r="J29" i="37"/>
  <c r="K29" i="37" s="1"/>
  <c r="M26" i="37"/>
  <c r="M41" i="37"/>
  <c r="J41" i="37"/>
  <c r="K41" i="37" s="1"/>
  <c r="Q41" i="37" s="1"/>
  <c r="M38" i="37"/>
  <c r="M34" i="37"/>
  <c r="J34" i="37"/>
  <c r="K34" i="37" s="1"/>
  <c r="Q34" i="37" s="1"/>
  <c r="M28" i="37"/>
  <c r="J28" i="37"/>
  <c r="K28" i="37" s="1"/>
  <c r="AE28" i="37" s="1"/>
  <c r="M25" i="37"/>
  <c r="M44" i="37"/>
  <c r="J40" i="37"/>
  <c r="K40" i="37" s="1"/>
  <c r="AO40" i="37" s="1"/>
  <c r="J37" i="37"/>
  <c r="K37" i="37" s="1"/>
  <c r="M31" i="37"/>
  <c r="J31" i="37"/>
  <c r="K31" i="37" s="1"/>
  <c r="J25" i="37"/>
  <c r="K25" i="37" s="1"/>
  <c r="J43" i="37"/>
  <c r="K43" i="37" s="1"/>
  <c r="M39" i="37"/>
  <c r="J36" i="37"/>
  <c r="K36" i="37" s="1"/>
  <c r="W33" i="37"/>
  <c r="M33" i="37"/>
  <c r="J33" i="37"/>
  <c r="K33" i="37" s="1"/>
  <c r="AQ33" i="37" s="1"/>
  <c r="M30" i="37"/>
  <c r="J30" i="37"/>
  <c r="K30" i="37" s="1"/>
  <c r="AE30" i="37" s="1"/>
  <c r="M27" i="37"/>
  <c r="J27" i="37"/>
  <c r="K27" i="37" s="1"/>
  <c r="BD27" i="37" s="1"/>
  <c r="J24" i="37"/>
  <c r="K24" i="37" s="1"/>
  <c r="AD24" i="37" s="1"/>
  <c r="AC29" i="37" l="1"/>
  <c r="BN29" i="37"/>
  <c r="BG29" i="37"/>
  <c r="BM29" i="37"/>
  <c r="BP29" i="37" s="1"/>
  <c r="BR29" i="37" s="1"/>
  <c r="BF29" i="37"/>
  <c r="AF37" i="37"/>
  <c r="BN37" i="37"/>
  <c r="BG37" i="37"/>
  <c r="BM37" i="37"/>
  <c r="BP37" i="37" s="1"/>
  <c r="BR37" i="37" s="1"/>
  <c r="BF37" i="37"/>
  <c r="AF36" i="37"/>
  <c r="BN36" i="37"/>
  <c r="BM36" i="37"/>
  <c r="BP36" i="37" s="1"/>
  <c r="BR36" i="37" s="1"/>
  <c r="BG36" i="37"/>
  <c r="BF36" i="37"/>
  <c r="W31" i="37"/>
  <c r="BN31" i="37"/>
  <c r="BM31" i="37"/>
  <c r="BP31" i="37" s="1"/>
  <c r="BR31" i="37" s="1"/>
  <c r="BG31" i="37"/>
  <c r="BF31" i="37"/>
  <c r="AQ25" i="37"/>
  <c r="BM25" i="37"/>
  <c r="BG25" i="37"/>
  <c r="BF25" i="37"/>
  <c r="AT33" i="37"/>
  <c r="AU27" i="37"/>
  <c r="W34" i="37"/>
  <c r="AG27" i="37"/>
  <c r="BE27" i="37"/>
  <c r="AS27" i="37"/>
  <c r="W40" i="37"/>
  <c r="BE28" i="37"/>
  <c r="AS28" i="37"/>
  <c r="AG28" i="37"/>
  <c r="BE34" i="37"/>
  <c r="AS34" i="37"/>
  <c r="AG34" i="37"/>
  <c r="BE41" i="37"/>
  <c r="AS41" i="37"/>
  <c r="AG41" i="37"/>
  <c r="BE40" i="37"/>
  <c r="AS40" i="37"/>
  <c r="AG40" i="37"/>
  <c r="AP24" i="37"/>
  <c r="W24" i="37"/>
  <c r="AR27" i="37"/>
  <c r="T27" i="37"/>
  <c r="BE30" i="37"/>
  <c r="AS30" i="37"/>
  <c r="AG30" i="37"/>
  <c r="AT36" i="37"/>
  <c r="T37" i="37"/>
  <c r="BD40" i="37"/>
  <c r="BE44" i="37"/>
  <c r="AS44" i="37"/>
  <c r="AG44" i="37"/>
  <c r="AD28" i="37"/>
  <c r="BB34" i="37"/>
  <c r="AE34" i="37"/>
  <c r="AF41" i="37"/>
  <c r="BE29" i="37"/>
  <c r="AS29" i="37"/>
  <c r="AG29" i="37"/>
  <c r="BE24" i="37"/>
  <c r="AS24" i="37"/>
  <c r="AG24" i="37"/>
  <c r="BC27" i="37"/>
  <c r="BB27" i="37"/>
  <c r="AE27" i="37"/>
  <c r="V33" i="37"/>
  <c r="BD36" i="37"/>
  <c r="AH37" i="37"/>
  <c r="BC40" i="37"/>
  <c r="BE25" i="37"/>
  <c r="AS25" i="37"/>
  <c r="AG25" i="37"/>
  <c r="S28" i="37"/>
  <c r="V34" i="37"/>
  <c r="BE38" i="37"/>
  <c r="AS38" i="37"/>
  <c r="AG38" i="37"/>
  <c r="AE41" i="37"/>
  <c r="BE32" i="37"/>
  <c r="AS32" i="37"/>
  <c r="AG32" i="37"/>
  <c r="BE42" i="37"/>
  <c r="AS42" i="37"/>
  <c r="AG42" i="37"/>
  <c r="BE36" i="37"/>
  <c r="AS36" i="37"/>
  <c r="AG36" i="37"/>
  <c r="AQ24" i="37"/>
  <c r="R27" i="37"/>
  <c r="AP27" i="37"/>
  <c r="BE33" i="37"/>
  <c r="AS33" i="37"/>
  <c r="AG33" i="37"/>
  <c r="AE33" i="37"/>
  <c r="AG39" i="37"/>
  <c r="BE39" i="37"/>
  <c r="AS39" i="37"/>
  <c r="AG31" i="37"/>
  <c r="BE31" i="37"/>
  <c r="AS31" i="37"/>
  <c r="R40" i="37"/>
  <c r="V40" i="37"/>
  <c r="BD34" i="37"/>
  <c r="BE26" i="37"/>
  <c r="AS26" i="37"/>
  <c r="AG26" i="37"/>
  <c r="AG35" i="37"/>
  <c r="BE35" i="37"/>
  <c r="AS35" i="37"/>
  <c r="AR43" i="37"/>
  <c r="AH43" i="37"/>
  <c r="AF25" i="37"/>
  <c r="T24" i="37"/>
  <c r="AI27" i="37"/>
  <c r="W27" i="37"/>
  <c r="AT27" i="37"/>
  <c r="S33" i="37"/>
  <c r="AF33" i="37"/>
  <c r="AD33" i="37"/>
  <c r="AE36" i="37"/>
  <c r="AQ43" i="37"/>
  <c r="S43" i="37"/>
  <c r="W43" i="37"/>
  <c r="BD25" i="37"/>
  <c r="AT25" i="37"/>
  <c r="AD25" i="37"/>
  <c r="S37" i="37"/>
  <c r="AP37" i="37"/>
  <c r="AR40" i="37"/>
  <c r="AF40" i="37"/>
  <c r="AI28" i="37"/>
  <c r="W28" i="37"/>
  <c r="T34" i="37"/>
  <c r="S34" i="37"/>
  <c r="BC34" i="37"/>
  <c r="W41" i="37"/>
  <c r="S41" i="37"/>
  <c r="BB41" i="37"/>
  <c r="BD24" i="37"/>
  <c r="V27" i="37"/>
  <c r="T33" i="37"/>
  <c r="BB33" i="37"/>
  <c r="R43" i="37"/>
  <c r="V43" i="37"/>
  <c r="AD43" i="37"/>
  <c r="AE25" i="37"/>
  <c r="S25" i="37"/>
  <c r="BC25" i="37"/>
  <c r="AE37" i="37"/>
  <c r="AQ40" i="37"/>
  <c r="S40" i="37"/>
  <c r="AE40" i="37"/>
  <c r="BC28" i="37"/>
  <c r="BB28" i="37"/>
  <c r="AF28" i="37"/>
  <c r="AT34" i="37"/>
  <c r="AI34" i="37"/>
  <c r="R41" i="37"/>
  <c r="V41" i="37"/>
  <c r="AD41" i="37"/>
  <c r="AI41" i="37"/>
  <c r="BB43" i="37"/>
  <c r="BD43" i="37"/>
  <c r="T43" i="37"/>
  <c r="BB25" i="37"/>
  <c r="AP25" i="37"/>
  <c r="AT28" i="37"/>
  <c r="AP41" i="37"/>
  <c r="AD27" i="37"/>
  <c r="S30" i="37"/>
  <c r="BD30" i="37"/>
  <c r="W30" i="37"/>
  <c r="AR30" i="37"/>
  <c r="R33" i="37"/>
  <c r="BC33" i="37"/>
  <c r="AI33" i="37"/>
  <c r="BB36" i="37"/>
  <c r="R36" i="37"/>
  <c r="AI36" i="37"/>
  <c r="W36" i="37"/>
  <c r="S36" i="37"/>
  <c r="AU43" i="37"/>
  <c r="AP43" i="37"/>
  <c r="AE43" i="37"/>
  <c r="AF43" i="37"/>
  <c r="AO25" i="37"/>
  <c r="BA25" i="37"/>
  <c r="Q25" i="37"/>
  <c r="AC25" i="37"/>
  <c r="AU25" i="37"/>
  <c r="AH25" i="37"/>
  <c r="T25" i="37"/>
  <c r="BC31" i="37"/>
  <c r="AQ31" i="37"/>
  <c r="R31" i="37"/>
  <c r="AF31" i="37"/>
  <c r="AI31" i="37"/>
  <c r="BB37" i="37"/>
  <c r="AU37" i="37"/>
  <c r="BB24" i="37"/>
  <c r="S24" i="37"/>
  <c r="AH24" i="37"/>
  <c r="AO30" i="37"/>
  <c r="BA30" i="37"/>
  <c r="AC30" i="37"/>
  <c r="Q30" i="37"/>
  <c r="V30" i="37"/>
  <c r="AT30" i="37"/>
  <c r="AF30" i="37"/>
  <c r="R30" i="37"/>
  <c r="AD30" i="37"/>
  <c r="BA36" i="37"/>
  <c r="AC36" i="37"/>
  <c r="AO36" i="37"/>
  <c r="Q36" i="37"/>
  <c r="AR36" i="37"/>
  <c r="AD36" i="37"/>
  <c r="BC36" i="37"/>
  <c r="V36" i="37"/>
  <c r="AC31" i="37"/>
  <c r="AO31" i="37"/>
  <c r="Q31" i="37"/>
  <c r="BA31" i="37"/>
  <c r="BI31" i="37" s="1"/>
  <c r="BK31" i="37" s="1"/>
  <c r="BB31" i="37"/>
  <c r="AR31" i="37"/>
  <c r="S31" i="37"/>
  <c r="AD31" i="37"/>
  <c r="V31" i="37"/>
  <c r="AO24" i="37"/>
  <c r="Q24" i="37"/>
  <c r="BA24" i="37"/>
  <c r="AC24" i="37"/>
  <c r="AR24" i="37"/>
  <c r="V24" i="37"/>
  <c r="AU30" i="37"/>
  <c r="AP30" i="37"/>
  <c r="BC30" i="37"/>
  <c r="AQ36" i="37"/>
  <c r="T36" i="37"/>
  <c r="AT31" i="37"/>
  <c r="AE31" i="37"/>
  <c r="T31" i="37"/>
  <c r="BC24" i="37"/>
  <c r="R24" i="37"/>
  <c r="AU24" i="37"/>
  <c r="AT24" i="37"/>
  <c r="AI24" i="37"/>
  <c r="AE24" i="37"/>
  <c r="AF24" i="37"/>
  <c r="AC27" i="37"/>
  <c r="BA27" i="37"/>
  <c r="BI27" i="37" s="1"/>
  <c r="BK27" i="37" s="1"/>
  <c r="AO27" i="37"/>
  <c r="Q27" i="37"/>
  <c r="AQ27" i="37"/>
  <c r="S27" i="37"/>
  <c r="AF27" i="37"/>
  <c r="AH27" i="37"/>
  <c r="BB30" i="37"/>
  <c r="AQ30" i="37"/>
  <c r="T30" i="37"/>
  <c r="AH30" i="37"/>
  <c r="AI30" i="37"/>
  <c r="AC33" i="37"/>
  <c r="Q33" i="37"/>
  <c r="BA33" i="37"/>
  <c r="AO33" i="37"/>
  <c r="BD33" i="37"/>
  <c r="AP33" i="37"/>
  <c r="AR33" i="37"/>
  <c r="AU33" i="37"/>
  <c r="AH33" i="37"/>
  <c r="AP36" i="37"/>
  <c r="AU36" i="37"/>
  <c r="AH36" i="37"/>
  <c r="BA43" i="37"/>
  <c r="Q43" i="37"/>
  <c r="AC43" i="37"/>
  <c r="AO43" i="37"/>
  <c r="AT43" i="37"/>
  <c r="AI43" i="37"/>
  <c r="BC43" i="37"/>
  <c r="AR25" i="37"/>
  <c r="R25" i="37"/>
  <c r="W25" i="37"/>
  <c r="AI25" i="37"/>
  <c r="V25" i="37"/>
  <c r="AU31" i="37"/>
  <c r="AW31" i="37" s="1"/>
  <c r="AY31" i="37" s="1"/>
  <c r="AP31" i="37"/>
  <c r="BD31" i="37"/>
  <c r="AH31" i="37"/>
  <c r="AC37" i="37"/>
  <c r="Q37" i="37"/>
  <c r="AR37" i="37"/>
  <c r="AQ37" i="37"/>
  <c r="AI37" i="37"/>
  <c r="BA37" i="37"/>
  <c r="AO37" i="37"/>
  <c r="AT37" i="37"/>
  <c r="W37" i="37"/>
  <c r="BC37" i="37"/>
  <c r="BD37" i="37"/>
  <c r="R37" i="37"/>
  <c r="V37" i="37"/>
  <c r="AD37" i="37"/>
  <c r="T28" i="37"/>
  <c r="AR28" i="37"/>
  <c r="AP28" i="37"/>
  <c r="AU28" i="37"/>
  <c r="AC28" i="37"/>
  <c r="Q28" i="37"/>
  <c r="BA28" i="37"/>
  <c r="AO28" i="37"/>
  <c r="V28" i="37"/>
  <c r="BD28" i="37"/>
  <c r="AQ28" i="37"/>
  <c r="R28" i="37"/>
  <c r="AH28" i="37"/>
  <c r="AU40" i="37"/>
  <c r="AP40" i="37"/>
  <c r="AH40" i="37"/>
  <c r="AI40" i="37"/>
  <c r="AD40" i="37"/>
  <c r="AQ34" i="37"/>
  <c r="R34" i="37"/>
  <c r="AR34" i="37"/>
  <c r="AH34" i="37"/>
  <c r="AT41" i="37"/>
  <c r="T41" i="37"/>
  <c r="AH41" i="37"/>
  <c r="T29" i="37"/>
  <c r="AD29" i="37"/>
  <c r="AQ29" i="37"/>
  <c r="AT29" i="37"/>
  <c r="BC35" i="37"/>
  <c r="BB35" i="37"/>
  <c r="AU35" i="37"/>
  <c r="T35" i="37"/>
  <c r="AF35" i="37"/>
  <c r="S42" i="37"/>
  <c r="BD42" i="37"/>
  <c r="V42" i="37"/>
  <c r="R42" i="37"/>
  <c r="AH42" i="37"/>
  <c r="Q29" i="37"/>
  <c r="BA41" i="37"/>
  <c r="BA42" i="37"/>
  <c r="R29" i="37"/>
  <c r="AF29" i="37"/>
  <c r="AR29" i="37"/>
  <c r="AI29" i="37"/>
  <c r="BB29" i="37"/>
  <c r="AP29" i="37"/>
  <c r="AR35" i="37"/>
  <c r="AI35" i="37"/>
  <c r="AE35" i="37"/>
  <c r="W35" i="37"/>
  <c r="T42" i="37"/>
  <c r="AD42" i="37"/>
  <c r="AF42" i="37"/>
  <c r="W42" i="37"/>
  <c r="AQ42" i="37"/>
  <c r="BB42" i="37"/>
  <c r="Q42" i="37"/>
  <c r="BA29" i="37"/>
  <c r="BA40" i="37"/>
  <c r="BA34" i="37"/>
  <c r="BI34" i="37" s="1"/>
  <c r="BK34" i="37" s="1"/>
  <c r="AO41" i="37"/>
  <c r="AO42" i="37"/>
  <c r="AC41" i="37"/>
  <c r="AC40" i="37"/>
  <c r="AK40" i="37" s="1"/>
  <c r="AM40" i="37" s="1"/>
  <c r="W29" i="37"/>
  <c r="BD29" i="37"/>
  <c r="BC29" i="37"/>
  <c r="AH29" i="37"/>
  <c r="S35" i="37"/>
  <c r="R35" i="37"/>
  <c r="AH35" i="37"/>
  <c r="AT42" i="37"/>
  <c r="AR42" i="37"/>
  <c r="BC42" i="37"/>
  <c r="AU42" i="37"/>
  <c r="AE42" i="37"/>
  <c r="Q35" i="37"/>
  <c r="AC34" i="37"/>
  <c r="BA35" i="37"/>
  <c r="AO34" i="37"/>
  <c r="AO35" i="37"/>
  <c r="AT40" i="37"/>
  <c r="BB40" i="37"/>
  <c r="T40" i="37"/>
  <c r="AU34" i="37"/>
  <c r="AP34" i="37"/>
  <c r="AF34" i="37"/>
  <c r="AD34" i="37"/>
  <c r="BD41" i="37"/>
  <c r="BC41" i="37"/>
  <c r="AR41" i="37"/>
  <c r="AQ41" i="37"/>
  <c r="AU41" i="37"/>
  <c r="V29" i="37"/>
  <c r="AE29" i="37"/>
  <c r="AU29" i="37"/>
  <c r="S29" i="37"/>
  <c r="AP35" i="37"/>
  <c r="V35" i="37"/>
  <c r="BD35" i="37"/>
  <c r="AQ35" i="37"/>
  <c r="AD35" i="37"/>
  <c r="AP42" i="37"/>
  <c r="AI42" i="37"/>
  <c r="Q40" i="37"/>
  <c r="AO29" i="37"/>
  <c r="AK33" i="37"/>
  <c r="AM33" i="37" s="1"/>
  <c r="AW33" i="37"/>
  <c r="AY33" i="37" s="1"/>
  <c r="Y25" i="37"/>
  <c r="AA25" i="37" s="1"/>
  <c r="J39" i="37"/>
  <c r="K39" i="37" s="1"/>
  <c r="BI24" i="37"/>
  <c r="BK24" i="37" s="1"/>
  <c r="M43" i="37"/>
  <c r="Y43" i="37"/>
  <c r="AA43" i="37" s="1"/>
  <c r="M37" i="37"/>
  <c r="Y34" i="37"/>
  <c r="AA34" i="37" s="1"/>
  <c r="J44" i="37"/>
  <c r="K44" i="37" s="1"/>
  <c r="J38" i="37"/>
  <c r="K38" i="37" s="1"/>
  <c r="J26" i="37"/>
  <c r="K26" i="37" s="1"/>
  <c r="J32" i="37"/>
  <c r="K32" i="37" s="1"/>
  <c r="AW30" i="37"/>
  <c r="AY30" i="37" s="1"/>
  <c r="J23" i="37"/>
  <c r="BN32" i="37" l="1"/>
  <c r="BG32" i="37"/>
  <c r="BM32" i="37"/>
  <c r="BP32" i="37" s="1"/>
  <c r="BR32" i="37" s="1"/>
  <c r="BF32" i="37"/>
  <c r="BP25" i="37"/>
  <c r="AW27" i="37"/>
  <c r="AY27" i="37" s="1"/>
  <c r="BI36" i="37"/>
  <c r="BK36" i="37" s="1"/>
  <c r="Y35" i="37"/>
  <c r="AA35" i="37" s="1"/>
  <c r="BW34" i="37"/>
  <c r="BX34" i="37" s="1"/>
  <c r="Y27" i="37"/>
  <c r="AA27" i="37" s="1"/>
  <c r="BE37" i="37"/>
  <c r="AS37" i="37"/>
  <c r="AG37" i="37"/>
  <c r="AK37" i="37" s="1"/>
  <c r="AM37" i="37" s="1"/>
  <c r="BI29" i="37"/>
  <c r="BK29" i="37" s="1"/>
  <c r="BI33" i="37"/>
  <c r="BK33" i="37" s="1"/>
  <c r="BI40" i="37"/>
  <c r="BK40" i="37" s="1"/>
  <c r="Y28" i="37"/>
  <c r="AA28" i="37" s="1"/>
  <c r="BI37" i="37"/>
  <c r="BK37" i="37" s="1"/>
  <c r="Y33" i="37"/>
  <c r="AA33" i="37" s="1"/>
  <c r="AG43" i="37"/>
  <c r="AK43" i="37" s="1"/>
  <c r="AM43" i="37" s="1"/>
  <c r="BE43" i="37"/>
  <c r="AS43" i="37"/>
  <c r="BI25" i="37"/>
  <c r="BK25" i="37" s="1"/>
  <c r="AK31" i="37"/>
  <c r="AM31" i="37" s="1"/>
  <c r="BW27" i="37"/>
  <c r="BX27" i="37" s="1"/>
  <c r="BW36" i="37"/>
  <c r="BX36" i="37" s="1"/>
  <c r="AW41" i="37"/>
  <c r="AY41" i="37" s="1"/>
  <c r="AW40" i="37"/>
  <c r="AY40" i="37" s="1"/>
  <c r="AK30" i="37"/>
  <c r="AM30" i="37" s="1"/>
  <c r="BW40" i="37"/>
  <c r="BX40" i="37" s="1"/>
  <c r="AK34" i="37"/>
  <c r="AM34" i="37" s="1"/>
  <c r="AW35" i="37"/>
  <c r="AY35" i="37" s="1"/>
  <c r="BW35" i="37"/>
  <c r="BX35" i="37" s="1"/>
  <c r="AK41" i="37"/>
  <c r="AM41" i="37" s="1"/>
  <c r="Y42" i="37"/>
  <c r="AA42" i="37" s="1"/>
  <c r="BI41" i="37"/>
  <c r="BK41" i="37" s="1"/>
  <c r="BI35" i="37"/>
  <c r="BK35" i="37" s="1"/>
  <c r="AK29" i="37"/>
  <c r="AM29" i="37" s="1"/>
  <c r="BW41" i="37"/>
  <c r="BX41" i="37" s="1"/>
  <c r="AK28" i="37"/>
  <c r="AM28" i="37" s="1"/>
  <c r="BI28" i="37"/>
  <c r="BK28" i="37" s="1"/>
  <c r="AW28" i="37"/>
  <c r="AY28" i="37" s="1"/>
  <c r="BW25" i="37"/>
  <c r="BX25" i="37" s="1"/>
  <c r="BI43" i="37"/>
  <c r="BK43" i="37" s="1"/>
  <c r="AW43" i="37"/>
  <c r="AY43" i="37" s="1"/>
  <c r="AK36" i="37"/>
  <c r="AM36" i="37" s="1"/>
  <c r="AW36" i="37"/>
  <c r="AY36" i="37" s="1"/>
  <c r="BW33" i="37"/>
  <c r="BX33" i="37" s="1"/>
  <c r="Y30" i="37"/>
  <c r="AA30" i="37" s="1"/>
  <c r="AW24" i="37"/>
  <c r="AY24" i="37" s="1"/>
  <c r="AK24" i="37"/>
  <c r="AM24" i="37" s="1"/>
  <c r="BW31" i="37"/>
  <c r="BX31" i="37" s="1"/>
  <c r="BI30" i="37"/>
  <c r="BK30" i="37" s="1"/>
  <c r="Y24" i="37"/>
  <c r="AA24" i="37" s="1"/>
  <c r="AW25" i="37"/>
  <c r="AY25" i="37" s="1"/>
  <c r="Y36" i="37"/>
  <c r="AA36" i="37" s="1"/>
  <c r="AK35" i="37"/>
  <c r="AM35" i="37" s="1"/>
  <c r="AW34" i="37"/>
  <c r="AY34" i="37" s="1"/>
  <c r="AK42" i="37"/>
  <c r="AM42" i="37" s="1"/>
  <c r="AW42" i="37"/>
  <c r="AY42" i="37" s="1"/>
  <c r="AW29" i="37"/>
  <c r="AY29" i="37" s="1"/>
  <c r="BW29" i="37"/>
  <c r="BX29" i="37" s="1"/>
  <c r="AW37" i="37"/>
  <c r="AY37" i="37" s="1"/>
  <c r="BW30" i="37"/>
  <c r="BX30" i="37" s="1"/>
  <c r="Y37" i="37"/>
  <c r="AA37" i="37" s="1"/>
  <c r="AO26" i="37"/>
  <c r="AC26" i="37"/>
  <c r="Q26" i="37"/>
  <c r="AQ26" i="37"/>
  <c r="BD26" i="37"/>
  <c r="AU26" i="37"/>
  <c r="R26" i="37"/>
  <c r="BA26" i="37"/>
  <c r="W26" i="37"/>
  <c r="AE26" i="37"/>
  <c r="AH26" i="37"/>
  <c r="AP26" i="37"/>
  <c r="BB26" i="37"/>
  <c r="T26" i="37"/>
  <c r="AD26" i="37"/>
  <c r="S26" i="37"/>
  <c r="AF26" i="37"/>
  <c r="AI26" i="37"/>
  <c r="V26" i="37"/>
  <c r="AR26" i="37"/>
  <c r="AT26" i="37"/>
  <c r="BC26" i="37"/>
  <c r="BW28" i="37"/>
  <c r="BX28" i="37" s="1"/>
  <c r="Y41" i="37"/>
  <c r="AA41" i="37" s="1"/>
  <c r="BA38" i="37"/>
  <c r="W38" i="37"/>
  <c r="AE38" i="37"/>
  <c r="AQ38" i="37"/>
  <c r="AR38" i="37"/>
  <c r="AO38" i="37"/>
  <c r="AC38" i="37"/>
  <c r="Q38" i="37"/>
  <c r="BB38" i="37"/>
  <c r="AD38" i="37"/>
  <c r="T38" i="37"/>
  <c r="AI38" i="37"/>
  <c r="V38" i="37"/>
  <c r="BC38" i="37"/>
  <c r="AF38" i="37"/>
  <c r="S38" i="37"/>
  <c r="BD38" i="37"/>
  <c r="AH38" i="37"/>
  <c r="AP38" i="37"/>
  <c r="R38" i="37"/>
  <c r="AT38" i="37"/>
  <c r="AU38" i="37"/>
  <c r="BA39" i="37"/>
  <c r="Q39" i="37"/>
  <c r="W39" i="37"/>
  <c r="T39" i="37"/>
  <c r="AR39" i="37"/>
  <c r="S39" i="37"/>
  <c r="AI39" i="37"/>
  <c r="R39" i="37"/>
  <c r="V39" i="37"/>
  <c r="AQ39" i="37"/>
  <c r="AO39" i="37"/>
  <c r="AF39" i="37"/>
  <c r="BD39" i="37"/>
  <c r="AP39" i="37"/>
  <c r="AU39" i="37"/>
  <c r="BC39" i="37"/>
  <c r="AC39" i="37"/>
  <c r="AD39" i="37"/>
  <c r="AH39" i="37"/>
  <c r="AE39" i="37"/>
  <c r="AT39" i="37"/>
  <c r="BB39" i="37"/>
  <c r="Y29" i="37"/>
  <c r="AA29" i="37" s="1"/>
  <c r="Y40" i="37"/>
  <c r="AA40" i="37" s="1"/>
  <c r="AK25" i="37"/>
  <c r="AM25" i="37" s="1"/>
  <c r="BW42" i="37"/>
  <c r="BX42" i="37" s="1"/>
  <c r="AK27" i="37"/>
  <c r="AM27" i="37" s="1"/>
  <c r="W32" i="37"/>
  <c r="AF32" i="37"/>
  <c r="V32" i="37"/>
  <c r="AQ32" i="37"/>
  <c r="R32" i="37"/>
  <c r="BA32" i="37"/>
  <c r="AE32" i="37"/>
  <c r="S32" i="37"/>
  <c r="AU32" i="37"/>
  <c r="AR32" i="37"/>
  <c r="AD32" i="37"/>
  <c r="BC32" i="37"/>
  <c r="AH32" i="37"/>
  <c r="BD32" i="37"/>
  <c r="BB32" i="37"/>
  <c r="AC32" i="37"/>
  <c r="AO32" i="37"/>
  <c r="Q32" i="37"/>
  <c r="T32" i="37"/>
  <c r="AT32" i="37"/>
  <c r="AP32" i="37"/>
  <c r="AI32" i="37"/>
  <c r="Y31" i="37"/>
  <c r="AA31" i="37" s="1"/>
  <c r="J46" i="37"/>
  <c r="J20" i="37" s="1"/>
  <c r="K23" i="37"/>
  <c r="BN23" i="37" s="1"/>
  <c r="BN46" i="37" s="1"/>
  <c r="BN11" i="37" s="1"/>
  <c r="BN12" i="37" s="1"/>
  <c r="BN50" i="37" s="1"/>
  <c r="AC44" i="37"/>
  <c r="S44" i="37"/>
  <c r="AE44" i="37"/>
  <c r="AT44" i="37"/>
  <c r="BD44" i="37"/>
  <c r="R44" i="37"/>
  <c r="AO44" i="37"/>
  <c r="Q44" i="37"/>
  <c r="BA44" i="37"/>
  <c r="V44" i="37"/>
  <c r="W44" i="37"/>
  <c r="AP44" i="37"/>
  <c r="AU44" i="37"/>
  <c r="AF44" i="37"/>
  <c r="BB44" i="37"/>
  <c r="AH44" i="37"/>
  <c r="BC44" i="37"/>
  <c r="AR44" i="37"/>
  <c r="AQ44" i="37"/>
  <c r="T44" i="37"/>
  <c r="AD44" i="37"/>
  <c r="AI44" i="37"/>
  <c r="BW24" i="37"/>
  <c r="BX24" i="37" s="1"/>
  <c r="BW43" i="37"/>
  <c r="BX43" i="37" s="1"/>
  <c r="BI42" i="37"/>
  <c r="BK42" i="37" s="1"/>
  <c r="M23" i="37"/>
  <c r="L46" i="37"/>
  <c r="L20" i="37" s="1"/>
  <c r="M20" i="37" s="1"/>
  <c r="BN57" i="37" l="1"/>
  <c r="BN52" i="37"/>
  <c r="BN54" i="37"/>
  <c r="BN60" i="37"/>
  <c r="BN55" i="37"/>
  <c r="BN58" i="37"/>
  <c r="BN53" i="37"/>
  <c r="BN59" i="37"/>
  <c r="BN86" i="37"/>
  <c r="BN56" i="37"/>
  <c r="BM23" i="37"/>
  <c r="BG23" i="37"/>
  <c r="BG46" i="37" s="1"/>
  <c r="BG11" i="37" s="1"/>
  <c r="BG12" i="37" s="1"/>
  <c r="BG50" i="37" s="1"/>
  <c r="BF23" i="37"/>
  <c r="BF46" i="37" s="1"/>
  <c r="BF11" i="37" s="1"/>
  <c r="BF12" i="37" s="1"/>
  <c r="BF50" i="37" s="1"/>
  <c r="BR25" i="37"/>
  <c r="M46" i="37"/>
  <c r="M48" i="37" s="1"/>
  <c r="AG23" i="37"/>
  <c r="BE23" i="37"/>
  <c r="BE46" i="37" s="1"/>
  <c r="BE11" i="37" s="1"/>
  <c r="BE12" i="37" s="1"/>
  <c r="BE50" i="37" s="1"/>
  <c r="AS23" i="37"/>
  <c r="BW37" i="37"/>
  <c r="BX37" i="37" s="1"/>
  <c r="AW44" i="37"/>
  <c r="AY44" i="37" s="1"/>
  <c r="AK26" i="37"/>
  <c r="AM26" i="37" s="1"/>
  <c r="BI26" i="37"/>
  <c r="BK26" i="37" s="1"/>
  <c r="AP23" i="37"/>
  <c r="AP46" i="37" s="1"/>
  <c r="AP11" i="37" s="1"/>
  <c r="AP12" i="37" s="1"/>
  <c r="AP50" i="37" s="1"/>
  <c r="R23" i="37"/>
  <c r="R46" i="37" s="1"/>
  <c r="R11" i="37" s="1"/>
  <c r="R12" i="37" s="1"/>
  <c r="R50" i="37" s="1"/>
  <c r="AG46" i="37"/>
  <c r="AG11" i="37" s="1"/>
  <c r="AG12" i="37" s="1"/>
  <c r="AG50" i="37" s="1"/>
  <c r="K46" i="37"/>
  <c r="BQ5" i="37" s="1"/>
  <c r="AE23" i="37"/>
  <c r="AE46" i="37" s="1"/>
  <c r="AE11" i="37" s="1"/>
  <c r="AE12" i="37" s="1"/>
  <c r="AE50" i="37" s="1"/>
  <c r="AF23" i="37"/>
  <c r="AF46" i="37" s="1"/>
  <c r="AF11" i="37" s="1"/>
  <c r="AF12" i="37" s="1"/>
  <c r="AF50" i="37" s="1"/>
  <c r="BC23" i="37"/>
  <c r="BC46" i="37" s="1"/>
  <c r="BC11" i="37" s="1"/>
  <c r="BC12" i="37" s="1"/>
  <c r="BC50" i="37" s="1"/>
  <c r="AR23" i="37"/>
  <c r="AR46" i="37" s="1"/>
  <c r="AR11" i="37" s="1"/>
  <c r="AR12" i="37" s="1"/>
  <c r="AR50" i="37" s="1"/>
  <c r="AT23" i="37"/>
  <c r="AT46" i="37" s="1"/>
  <c r="AT11" i="37" s="1"/>
  <c r="AT12" i="37" s="1"/>
  <c r="AT50" i="37" s="1"/>
  <c r="AD23" i="37"/>
  <c r="AD46" i="37" s="1"/>
  <c r="AD11" i="37" s="1"/>
  <c r="AD12" i="37" s="1"/>
  <c r="AD50" i="37" s="1"/>
  <c r="AO23" i="37"/>
  <c r="AC23" i="37"/>
  <c r="V23" i="37"/>
  <c r="V46" i="37" s="1"/>
  <c r="V11" i="37" s="1"/>
  <c r="V12" i="37" s="1"/>
  <c r="V50" i="37" s="1"/>
  <c r="BD23" i="37"/>
  <c r="BD46" i="37" s="1"/>
  <c r="BD11" i="37" s="1"/>
  <c r="BD12" i="37" s="1"/>
  <c r="BD50" i="37" s="1"/>
  <c r="T23" i="37"/>
  <c r="T46" i="37" s="1"/>
  <c r="T11" i="37" s="1"/>
  <c r="T12" i="37" s="1"/>
  <c r="T50" i="37" s="1"/>
  <c r="AQ23" i="37"/>
  <c r="AQ46" i="37" s="1"/>
  <c r="AQ11" i="37" s="1"/>
  <c r="AQ12" i="37" s="1"/>
  <c r="AQ50" i="37" s="1"/>
  <c r="S23" i="37"/>
  <c r="S46" i="37" s="1"/>
  <c r="S11" i="37" s="1"/>
  <c r="S12" i="37" s="1"/>
  <c r="S50" i="37" s="1"/>
  <c r="AU23" i="37"/>
  <c r="AU46" i="37" s="1"/>
  <c r="AU11" i="37" s="1"/>
  <c r="AU12" i="37" s="1"/>
  <c r="AU50" i="37" s="1"/>
  <c r="AI23" i="37"/>
  <c r="AI46" i="37" s="1"/>
  <c r="AI11" i="37" s="1"/>
  <c r="AI12" i="37" s="1"/>
  <c r="AI50" i="37" s="1"/>
  <c r="AS46" i="37"/>
  <c r="AS11" i="37" s="1"/>
  <c r="AS12" i="37" s="1"/>
  <c r="AS50" i="37" s="1"/>
  <c r="BB23" i="37"/>
  <c r="BB46" i="37" s="1"/>
  <c r="BB11" i="37" s="1"/>
  <c r="BB12" i="37" s="1"/>
  <c r="BB50" i="37" s="1"/>
  <c r="BA23" i="37"/>
  <c r="Q23" i="37"/>
  <c r="W23" i="37"/>
  <c r="W46" i="37" s="1"/>
  <c r="W11" i="37" s="1"/>
  <c r="W12" i="37" s="1"/>
  <c r="W50" i="37" s="1"/>
  <c r="AH23" i="37"/>
  <c r="AH46" i="37" s="1"/>
  <c r="AH11" i="37" s="1"/>
  <c r="AH12" i="37" s="1"/>
  <c r="AH50" i="37" s="1"/>
  <c r="AK32" i="37"/>
  <c r="AM32" i="37" s="1"/>
  <c r="BW32" i="37"/>
  <c r="BX32" i="37" s="1"/>
  <c r="AK39" i="37"/>
  <c r="AM39" i="37" s="1"/>
  <c r="AW38" i="37"/>
  <c r="AY38" i="37" s="1"/>
  <c r="AW26" i="37"/>
  <c r="AY26" i="37" s="1"/>
  <c r="AW32" i="37"/>
  <c r="AY32" i="37" s="1"/>
  <c r="AK38" i="37"/>
  <c r="AM38" i="37" s="1"/>
  <c r="BI44" i="37"/>
  <c r="BK44" i="37" s="1"/>
  <c r="BI32" i="37"/>
  <c r="BK32" i="37" s="1"/>
  <c r="Y39" i="37"/>
  <c r="AA39" i="37" s="1"/>
  <c r="BW39" i="37"/>
  <c r="BX39" i="37" s="1"/>
  <c r="Y44" i="37"/>
  <c r="AA44" i="37" s="1"/>
  <c r="BW44" i="37"/>
  <c r="BX44" i="37" s="1"/>
  <c r="AK44" i="37"/>
  <c r="AM44" i="37" s="1"/>
  <c r="Y32" i="37"/>
  <c r="AA32" i="37" s="1"/>
  <c r="AW39" i="37"/>
  <c r="AY39" i="37" s="1"/>
  <c r="BI39" i="37"/>
  <c r="BK39" i="37" s="1"/>
  <c r="BW38" i="37"/>
  <c r="BX38" i="37" s="1"/>
  <c r="Y38" i="37"/>
  <c r="AA38" i="37" s="1"/>
  <c r="BI38" i="37"/>
  <c r="BK38" i="37" s="1"/>
  <c r="BW26" i="37"/>
  <c r="BX26" i="37" s="1"/>
  <c r="Y26" i="37"/>
  <c r="AA26" i="37" s="1"/>
  <c r="BN61" i="37" l="1"/>
  <c r="BN63" i="37" s="1"/>
  <c r="BF86" i="37"/>
  <c r="BF55" i="37"/>
  <c r="BF59" i="37"/>
  <c r="BF57" i="37"/>
  <c r="BF53" i="37"/>
  <c r="BF52" i="37"/>
  <c r="BF60" i="37"/>
  <c r="BF56" i="37"/>
  <c r="BF54" i="37"/>
  <c r="BF58" i="37"/>
  <c r="BG56" i="37"/>
  <c r="BG54" i="37"/>
  <c r="BG60" i="37"/>
  <c r="BG55" i="37"/>
  <c r="BG86" i="37"/>
  <c r="BG59" i="37"/>
  <c r="BG57" i="37"/>
  <c r="BG53" i="37"/>
  <c r="BG52" i="37"/>
  <c r="BG58" i="37"/>
  <c r="BP23" i="37"/>
  <c r="BM46" i="37"/>
  <c r="BM11" i="37" s="1"/>
  <c r="K50" i="37"/>
  <c r="BJ5" i="37"/>
  <c r="K20" i="37"/>
  <c r="BE57" i="37"/>
  <c r="BE52" i="37"/>
  <c r="BE54" i="37"/>
  <c r="BE53" i="37"/>
  <c r="BE59" i="37"/>
  <c r="BE86" i="37"/>
  <c r="BE60" i="37"/>
  <c r="BE55" i="37"/>
  <c r="BE56" i="37"/>
  <c r="BE58" i="37"/>
  <c r="W54" i="37"/>
  <c r="W59" i="37"/>
  <c r="W57" i="37"/>
  <c r="W52" i="37"/>
  <c r="W53" i="37"/>
  <c r="W60" i="37"/>
  <c r="W55" i="37"/>
  <c r="W86" i="37"/>
  <c r="W56" i="37"/>
  <c r="W58" i="37"/>
  <c r="Y23" i="37"/>
  <c r="Q46" i="37"/>
  <c r="Q11" i="37" s="1"/>
  <c r="BW23" i="37"/>
  <c r="AI57" i="37"/>
  <c r="AI86" i="37"/>
  <c r="AI54" i="37"/>
  <c r="AI52" i="37"/>
  <c r="AI58" i="37"/>
  <c r="AI53" i="37"/>
  <c r="AI60" i="37"/>
  <c r="AI55" i="37"/>
  <c r="AI56" i="37"/>
  <c r="AI59" i="37"/>
  <c r="T86" i="37"/>
  <c r="T57" i="37"/>
  <c r="T52" i="37"/>
  <c r="T58" i="37"/>
  <c r="T55" i="37"/>
  <c r="T53" i="37"/>
  <c r="T59" i="37"/>
  <c r="T56" i="37"/>
  <c r="T54" i="37"/>
  <c r="T60" i="37"/>
  <c r="AW23" i="37"/>
  <c r="AO46" i="37"/>
  <c r="AO11" i="37" s="1"/>
  <c r="BC58" i="37"/>
  <c r="BC60" i="37"/>
  <c r="BC56" i="37"/>
  <c r="BC55" i="37"/>
  <c r="BC53" i="37"/>
  <c r="BC57" i="37"/>
  <c r="BC52" i="37"/>
  <c r="BC59" i="37"/>
  <c r="BC54" i="37"/>
  <c r="BC86" i="37"/>
  <c r="AG60" i="37"/>
  <c r="AG56" i="37"/>
  <c r="AG58" i="37"/>
  <c r="AG55" i="37"/>
  <c r="AG86" i="37"/>
  <c r="AG57" i="37"/>
  <c r="AG59" i="37"/>
  <c r="AG54" i="37"/>
  <c r="AG52" i="37"/>
  <c r="AG53" i="37"/>
  <c r="AS52" i="37"/>
  <c r="AS56" i="37"/>
  <c r="AS59" i="37"/>
  <c r="AS60" i="37"/>
  <c r="AS55" i="37"/>
  <c r="AS54" i="37"/>
  <c r="AS58" i="37"/>
  <c r="AS57" i="37"/>
  <c r="AS53" i="37"/>
  <c r="AS86" i="37"/>
  <c r="AR52" i="37"/>
  <c r="AR57" i="37"/>
  <c r="AR54" i="37"/>
  <c r="AR55" i="37"/>
  <c r="AR60" i="37"/>
  <c r="AR86" i="37"/>
  <c r="AR58" i="37"/>
  <c r="AR59" i="37"/>
  <c r="AR56" i="37"/>
  <c r="AR53" i="37"/>
  <c r="BA46" i="37"/>
  <c r="BA11" i="37" s="1"/>
  <c r="BI23" i="37"/>
  <c r="AU60" i="37"/>
  <c r="AU57" i="37"/>
  <c r="AU56" i="37"/>
  <c r="AU86" i="37"/>
  <c r="AU53" i="37"/>
  <c r="AU54" i="37"/>
  <c r="AU59" i="37"/>
  <c r="AU52" i="37"/>
  <c r="AU55" i="37"/>
  <c r="AU58" i="37"/>
  <c r="BD53" i="37"/>
  <c r="BD54" i="37"/>
  <c r="BD86" i="37"/>
  <c r="BD58" i="37"/>
  <c r="BD60" i="37"/>
  <c r="BD55" i="37"/>
  <c r="BD52" i="37"/>
  <c r="BD56" i="37"/>
  <c r="BD59" i="37"/>
  <c r="BD57" i="37"/>
  <c r="AD59" i="37"/>
  <c r="AD55" i="37"/>
  <c r="AD60" i="37"/>
  <c r="AD52" i="37"/>
  <c r="AD53" i="37"/>
  <c r="AD57" i="37"/>
  <c r="AD54" i="37"/>
  <c r="AD86" i="37"/>
  <c r="AD58" i="37"/>
  <c r="AD56" i="37"/>
  <c r="AF56" i="37"/>
  <c r="AF52" i="37"/>
  <c r="AF53" i="37"/>
  <c r="AF86" i="37"/>
  <c r="AF54" i="37"/>
  <c r="AF57" i="37"/>
  <c r="AF60" i="37"/>
  <c r="AF59" i="37"/>
  <c r="AF55" i="37"/>
  <c r="AF58" i="37"/>
  <c r="R57" i="37"/>
  <c r="R52" i="37"/>
  <c r="R60" i="37"/>
  <c r="R86" i="37"/>
  <c r="R58" i="37"/>
  <c r="R56" i="37"/>
  <c r="R55" i="37"/>
  <c r="R54" i="37"/>
  <c r="R59" i="37"/>
  <c r="R53" i="37"/>
  <c r="AQ56" i="37"/>
  <c r="AQ59" i="37"/>
  <c r="AQ60" i="37"/>
  <c r="AQ54" i="37"/>
  <c r="AQ52" i="37"/>
  <c r="AQ53" i="37"/>
  <c r="AQ86" i="37"/>
  <c r="AQ55" i="37"/>
  <c r="AQ58" i="37"/>
  <c r="AQ57" i="37"/>
  <c r="AC46" i="37"/>
  <c r="AC11" i="37" s="1"/>
  <c r="AK23" i="37"/>
  <c r="Z5" i="37"/>
  <c r="K48" i="37"/>
  <c r="AX5" i="37"/>
  <c r="AL5" i="37"/>
  <c r="AH54" i="37"/>
  <c r="AH60" i="37"/>
  <c r="AH58" i="37"/>
  <c r="AH59" i="37"/>
  <c r="AH56" i="37"/>
  <c r="AH52" i="37"/>
  <c r="AH86" i="37"/>
  <c r="AH53" i="37"/>
  <c r="AH55" i="37"/>
  <c r="AH57" i="37"/>
  <c r="BB59" i="37"/>
  <c r="BB58" i="37"/>
  <c r="BB56" i="37"/>
  <c r="BB57" i="37"/>
  <c r="BB53" i="37"/>
  <c r="BB54" i="37"/>
  <c r="BB55" i="37"/>
  <c r="BB86" i="37"/>
  <c r="BB52" i="37"/>
  <c r="BB60" i="37"/>
  <c r="S57" i="37"/>
  <c r="S54" i="37"/>
  <c r="S58" i="37"/>
  <c r="S86" i="37"/>
  <c r="S56" i="37"/>
  <c r="S53" i="37"/>
  <c r="S55" i="37"/>
  <c r="S52" i="37"/>
  <c r="S60" i="37"/>
  <c r="S59" i="37"/>
  <c r="V57" i="37"/>
  <c r="V59" i="37"/>
  <c r="V86" i="37"/>
  <c r="V60" i="37"/>
  <c r="V58" i="37"/>
  <c r="V56" i="37"/>
  <c r="V55" i="37"/>
  <c r="V54" i="37"/>
  <c r="V53" i="37"/>
  <c r="V52" i="37"/>
  <c r="AT59" i="37"/>
  <c r="AT56" i="37"/>
  <c r="AT53" i="37"/>
  <c r="AT60" i="37"/>
  <c r="AT58" i="37"/>
  <c r="AT54" i="37"/>
  <c r="AT55" i="37"/>
  <c r="AT57" i="37"/>
  <c r="AT52" i="37"/>
  <c r="AT86" i="37"/>
  <c r="AE59" i="37"/>
  <c r="AE54" i="37"/>
  <c r="AE57" i="37"/>
  <c r="AE58" i="37"/>
  <c r="AE55" i="37"/>
  <c r="AE60" i="37"/>
  <c r="AE52" i="37"/>
  <c r="AE86" i="37"/>
  <c r="AE53" i="37"/>
  <c r="AE56" i="37"/>
  <c r="AP52" i="37"/>
  <c r="AP54" i="37"/>
  <c r="AP58" i="37"/>
  <c r="AP60" i="37"/>
  <c r="AP59" i="37"/>
  <c r="AP57" i="37"/>
  <c r="AP86" i="37"/>
  <c r="AP55" i="37"/>
  <c r="AP56" i="37"/>
  <c r="AP53" i="37"/>
  <c r="BN71" i="37" l="1"/>
  <c r="BN73" i="37"/>
  <c r="BN68" i="37"/>
  <c r="BN70" i="37"/>
  <c r="BN65" i="37"/>
  <c r="BN72" i="37"/>
  <c r="BN67" i="37"/>
  <c r="BN69" i="37"/>
  <c r="BN66" i="37"/>
  <c r="BG61" i="37"/>
  <c r="BG63" i="37" s="1"/>
  <c r="BM12" i="37"/>
  <c r="BP11" i="37"/>
  <c r="BR23" i="37"/>
  <c r="BR46" i="37" s="1"/>
  <c r="BP46" i="37"/>
  <c r="BF61" i="37"/>
  <c r="BF63" i="37" s="1"/>
  <c r="W61" i="37"/>
  <c r="W63" i="37" s="1"/>
  <c r="W67" i="37" s="1"/>
  <c r="BE61" i="37"/>
  <c r="BE63" i="37" s="1"/>
  <c r="AE61" i="37"/>
  <c r="AE63" i="37" s="1"/>
  <c r="AE66" i="37" s="1"/>
  <c r="AT61" i="37"/>
  <c r="AT63" i="37" s="1"/>
  <c r="AT73" i="37" s="1"/>
  <c r="AP61" i="37"/>
  <c r="AP63" i="37" s="1"/>
  <c r="AP71" i="37" s="1"/>
  <c r="Z7" i="37"/>
  <c r="AA5" i="37"/>
  <c r="AA7" i="37" s="1"/>
  <c r="BA12" i="37"/>
  <c r="BI11" i="37"/>
  <c r="AE68" i="37"/>
  <c r="AQ61" i="37"/>
  <c r="AQ63" i="37" s="1"/>
  <c r="AS61" i="37"/>
  <c r="AS63" i="37" s="1"/>
  <c r="AY5" i="37"/>
  <c r="AY7" i="37" s="1"/>
  <c r="AX7" i="37"/>
  <c r="Q12" i="37"/>
  <c r="Y11" i="37"/>
  <c r="V61" i="37"/>
  <c r="V63" i="37" s="1"/>
  <c r="S61" i="37"/>
  <c r="S63" i="37" s="1"/>
  <c r="R61" i="37"/>
  <c r="R63" i="37" s="1"/>
  <c r="BW11" i="37"/>
  <c r="K11" i="37" s="1"/>
  <c r="N11" i="37" s="1"/>
  <c r="AO12" i="37"/>
  <c r="AW11" i="37"/>
  <c r="AA23" i="37"/>
  <c r="AA46" i="37" s="1"/>
  <c r="Y46" i="37"/>
  <c r="BB61" i="37"/>
  <c r="BB63" i="37" s="1"/>
  <c r="BK5" i="37"/>
  <c r="BK7" i="37" s="1"/>
  <c r="BJ7" i="37"/>
  <c r="BQ7" i="37"/>
  <c r="BR5" i="37"/>
  <c r="BR7" i="37" s="1"/>
  <c r="AC12" i="37"/>
  <c r="AK11" i="37"/>
  <c r="BD61" i="37"/>
  <c r="BD63" i="37" s="1"/>
  <c r="AR61" i="37"/>
  <c r="AR63" i="37" s="1"/>
  <c r="AG61" i="37"/>
  <c r="AG63" i="37" s="1"/>
  <c r="BC61" i="37"/>
  <c r="BC63" i="37" s="1"/>
  <c r="AY23" i="37"/>
  <c r="AY46" i="37" s="1"/>
  <c r="AW46" i="37"/>
  <c r="T61" i="37"/>
  <c r="T63" i="37" s="1"/>
  <c r="AM5" i="37"/>
  <c r="AM7" i="37" s="1"/>
  <c r="AL7" i="37"/>
  <c r="AM23" i="37"/>
  <c r="AM46" i="37" s="1"/>
  <c r="AK46" i="37"/>
  <c r="AH61" i="37"/>
  <c r="AH63" i="37" s="1"/>
  <c r="AF61" i="37"/>
  <c r="AF63" i="37" s="1"/>
  <c r="AD61" i="37"/>
  <c r="AD63" i="37" s="1"/>
  <c r="AU61" i="37"/>
  <c r="AU63" i="37" s="1"/>
  <c r="BI46" i="37"/>
  <c r="BK23" i="37"/>
  <c r="BK46" i="37" s="1"/>
  <c r="AI61" i="37"/>
  <c r="AI63" i="37" s="1"/>
  <c r="BX23" i="37"/>
  <c r="BW46" i="37"/>
  <c r="BX46" i="37" s="1"/>
  <c r="AP72" i="37" l="1"/>
  <c r="AP70" i="37"/>
  <c r="W68" i="37"/>
  <c r="BN74" i="37"/>
  <c r="BN76" i="37" s="1"/>
  <c r="BN79" i="37" s="1"/>
  <c r="AP73" i="37"/>
  <c r="AP67" i="37"/>
  <c r="W69" i="37"/>
  <c r="W70" i="37"/>
  <c r="AP68" i="37"/>
  <c r="AP66" i="37"/>
  <c r="W66" i="37"/>
  <c r="BF70" i="37"/>
  <c r="BF65" i="37"/>
  <c r="BF66" i="37"/>
  <c r="BF69" i="37"/>
  <c r="BF72" i="37"/>
  <c r="BF73" i="37"/>
  <c r="BF71" i="37"/>
  <c r="BF68" i="37"/>
  <c r="BF67" i="37"/>
  <c r="BM50" i="37"/>
  <c r="BP12" i="37"/>
  <c r="W72" i="37"/>
  <c r="AP69" i="37"/>
  <c r="W73" i="37"/>
  <c r="W71" i="37"/>
  <c r="W65" i="37"/>
  <c r="BG71" i="37"/>
  <c r="BG68" i="37"/>
  <c r="BG73" i="37"/>
  <c r="BG72" i="37"/>
  <c r="BG70" i="37"/>
  <c r="BG69" i="37"/>
  <c r="BG67" i="37"/>
  <c r="BG66" i="37"/>
  <c r="BG65" i="37"/>
  <c r="BG74" i="37" s="1"/>
  <c r="BG76" i="37" s="1"/>
  <c r="BG79" i="37" s="1"/>
  <c r="BG84" i="37" s="1"/>
  <c r="AE67" i="37"/>
  <c r="AE73" i="37"/>
  <c r="AE71" i="37"/>
  <c r="AT71" i="37"/>
  <c r="AE72" i="37"/>
  <c r="AE65" i="37"/>
  <c r="AE70" i="37"/>
  <c r="AE69" i="37"/>
  <c r="AT69" i="37"/>
  <c r="AT65" i="37"/>
  <c r="AT72" i="37"/>
  <c r="AT70" i="37"/>
  <c r="AT66" i="37"/>
  <c r="AT67" i="37"/>
  <c r="AT68" i="37"/>
  <c r="BE71" i="37"/>
  <c r="BE73" i="37"/>
  <c r="BE68" i="37"/>
  <c r="BE67" i="37"/>
  <c r="BE69" i="37"/>
  <c r="BE72" i="37"/>
  <c r="BE70" i="37"/>
  <c r="BE65" i="37"/>
  <c r="BE66" i="37"/>
  <c r="AP65" i="37"/>
  <c r="V72" i="37"/>
  <c r="V67" i="37"/>
  <c r="V71" i="37"/>
  <c r="V69" i="37"/>
  <c r="V66" i="37"/>
  <c r="V70" i="37"/>
  <c r="V68" i="37"/>
  <c r="V65" i="37"/>
  <c r="V73" i="37"/>
  <c r="BI12" i="37"/>
  <c r="BA50" i="37"/>
  <c r="AH69" i="37"/>
  <c r="AH68" i="37"/>
  <c r="AH71" i="37"/>
  <c r="AH73" i="37"/>
  <c r="AH70" i="37"/>
  <c r="AH65" i="37"/>
  <c r="AH72" i="37"/>
  <c r="AH66" i="37"/>
  <c r="AH67" i="37"/>
  <c r="BC68" i="37"/>
  <c r="BC67" i="37"/>
  <c r="BC72" i="37"/>
  <c r="BC65" i="37"/>
  <c r="BC70" i="37"/>
  <c r="BC71" i="37"/>
  <c r="BC69" i="37"/>
  <c r="BC73" i="37"/>
  <c r="BC66" i="37"/>
  <c r="R73" i="37"/>
  <c r="R70" i="37"/>
  <c r="R71" i="37"/>
  <c r="R69" i="37"/>
  <c r="R66" i="37"/>
  <c r="R68" i="37"/>
  <c r="R65" i="37"/>
  <c r="R72" i="37"/>
  <c r="R67" i="37"/>
  <c r="AQ72" i="37"/>
  <c r="AQ71" i="37"/>
  <c r="AQ65" i="37"/>
  <c r="AQ67" i="37"/>
  <c r="AQ70" i="37"/>
  <c r="AQ73" i="37"/>
  <c r="AQ68" i="37"/>
  <c r="AQ69" i="37"/>
  <c r="AQ66" i="37"/>
  <c r="AI71" i="37"/>
  <c r="AI72" i="37"/>
  <c r="AI67" i="37"/>
  <c r="AI69" i="37"/>
  <c r="AI66" i="37"/>
  <c r="AI70" i="37"/>
  <c r="AI73" i="37"/>
  <c r="AI68" i="37"/>
  <c r="AI65" i="37"/>
  <c r="AD65" i="37"/>
  <c r="AD73" i="37"/>
  <c r="AD71" i="37"/>
  <c r="AD70" i="37"/>
  <c r="AD66" i="37"/>
  <c r="AD68" i="37"/>
  <c r="AD67" i="37"/>
  <c r="AD72" i="37"/>
  <c r="AD69" i="37"/>
  <c r="AR65" i="37"/>
  <c r="AR68" i="37"/>
  <c r="AR66" i="37"/>
  <c r="AR70" i="37"/>
  <c r="AR71" i="37"/>
  <c r="AR67" i="37"/>
  <c r="AR69" i="37"/>
  <c r="AR73" i="37"/>
  <c r="AR72" i="37"/>
  <c r="BB68" i="37"/>
  <c r="BB71" i="37"/>
  <c r="BB72" i="37"/>
  <c r="BB65" i="37"/>
  <c r="BB69" i="37"/>
  <c r="BB66" i="37"/>
  <c r="BB70" i="37"/>
  <c r="BB73" i="37"/>
  <c r="BB67" i="37"/>
  <c r="AW12" i="37"/>
  <c r="AO50" i="37"/>
  <c r="Q50" i="37"/>
  <c r="Y12" i="37"/>
  <c r="AF70" i="37"/>
  <c r="AF69" i="37"/>
  <c r="AF67" i="37"/>
  <c r="AF65" i="37"/>
  <c r="AF72" i="37"/>
  <c r="AF71" i="37"/>
  <c r="AF66" i="37"/>
  <c r="AF68" i="37"/>
  <c r="AF73" i="37"/>
  <c r="BD71" i="37"/>
  <c r="BD66" i="37"/>
  <c r="BD72" i="37"/>
  <c r="BD73" i="37"/>
  <c r="BD70" i="37"/>
  <c r="BD68" i="37"/>
  <c r="BD67" i="37"/>
  <c r="BD69" i="37"/>
  <c r="BD65" i="37"/>
  <c r="AS70" i="37"/>
  <c r="AS67" i="37"/>
  <c r="AS65" i="37"/>
  <c r="AS72" i="37"/>
  <c r="AS66" i="37"/>
  <c r="AS73" i="37"/>
  <c r="AS71" i="37"/>
  <c r="AS69" i="37"/>
  <c r="AS68" i="37"/>
  <c r="AU70" i="37"/>
  <c r="AU68" i="37"/>
  <c r="AU73" i="37"/>
  <c r="AU72" i="37"/>
  <c r="AU69" i="37"/>
  <c r="AU67" i="37"/>
  <c r="AU66" i="37"/>
  <c r="AU71" i="37"/>
  <c r="AU65" i="37"/>
  <c r="T73" i="37"/>
  <c r="T66" i="37"/>
  <c r="T69" i="37"/>
  <c r="T68" i="37"/>
  <c r="T72" i="37"/>
  <c r="T67" i="37"/>
  <c r="T65" i="37"/>
  <c r="T71" i="37"/>
  <c r="T70" i="37"/>
  <c r="AG71" i="37"/>
  <c r="AG68" i="37"/>
  <c r="AG72" i="37"/>
  <c r="AG65" i="37"/>
  <c r="AG70" i="37"/>
  <c r="AG67" i="37"/>
  <c r="AG73" i="37"/>
  <c r="AG66" i="37"/>
  <c r="AG69" i="37"/>
  <c r="AC50" i="37"/>
  <c r="AK12" i="37"/>
  <c r="S68" i="37"/>
  <c r="S70" i="37"/>
  <c r="S71" i="37"/>
  <c r="S65" i="37"/>
  <c r="S69" i="37"/>
  <c r="S67" i="37"/>
  <c r="S73" i="37"/>
  <c r="S72" i="37"/>
  <c r="S66" i="37"/>
  <c r="AP74" i="37" l="1"/>
  <c r="AP76" i="37" s="1"/>
  <c r="AP79" i="37" s="1"/>
  <c r="W74" i="37"/>
  <c r="W76" i="37" s="1"/>
  <c r="W79" i="37" s="1"/>
  <c r="W84" i="37" s="1"/>
  <c r="BN84" i="37"/>
  <c r="BN89" i="37"/>
  <c r="AT74" i="37"/>
  <c r="AT76" i="37" s="1"/>
  <c r="AT79" i="37" s="1"/>
  <c r="BG89" i="37"/>
  <c r="AE74" i="37"/>
  <c r="AE76" i="37" s="1"/>
  <c r="AE79" i="37" s="1"/>
  <c r="AE89" i="37" s="1"/>
  <c r="AI74" i="37"/>
  <c r="AI76" i="37" s="1"/>
  <c r="AI79" i="37" s="1"/>
  <c r="AI89" i="37" s="1"/>
  <c r="R74" i="37"/>
  <c r="R76" i="37" s="1"/>
  <c r="R79" i="37" s="1"/>
  <c r="R84" i="37" s="1"/>
  <c r="BM58" i="37"/>
  <c r="BP58" i="37" s="1"/>
  <c r="BR58" i="37" s="1"/>
  <c r="BM53" i="37"/>
  <c r="BP53" i="37" s="1"/>
  <c r="BR53" i="37" s="1"/>
  <c r="BP50" i="37"/>
  <c r="BM54" i="37"/>
  <c r="BP54" i="37" s="1"/>
  <c r="BR54" i="37" s="1"/>
  <c r="BM57" i="37"/>
  <c r="BP57" i="37" s="1"/>
  <c r="BR57" i="37" s="1"/>
  <c r="BM59" i="37"/>
  <c r="BP59" i="37" s="1"/>
  <c r="BR59" i="37" s="1"/>
  <c r="BM86" i="37"/>
  <c r="BP86" i="37" s="1"/>
  <c r="BM55" i="37"/>
  <c r="BP55" i="37" s="1"/>
  <c r="BR55" i="37" s="1"/>
  <c r="BM52" i="37"/>
  <c r="BM60" i="37"/>
  <c r="BP60" i="37" s="1"/>
  <c r="BR60" i="37" s="1"/>
  <c r="BM56" i="37"/>
  <c r="BP56" i="37" s="1"/>
  <c r="BR56" i="37" s="1"/>
  <c r="BF74" i="37"/>
  <c r="BF76" i="37" s="1"/>
  <c r="BF79" i="37" s="1"/>
  <c r="AE84" i="37"/>
  <c r="AE90" i="37" s="1"/>
  <c r="AT89" i="37"/>
  <c r="AT84" i="37"/>
  <c r="AT91" i="37" s="1"/>
  <c r="BG90" i="37"/>
  <c r="BG91" i="37"/>
  <c r="W89" i="37"/>
  <c r="BC74" i="37"/>
  <c r="BC76" i="37" s="1"/>
  <c r="BC79" i="37" s="1"/>
  <c r="BC89" i="37" s="1"/>
  <c r="BE74" i="37"/>
  <c r="BE76" i="37" s="1"/>
  <c r="BE79" i="37" s="1"/>
  <c r="AS74" i="37"/>
  <c r="AS76" i="37" s="1"/>
  <c r="AS79" i="37" s="1"/>
  <c r="AS89" i="37" s="1"/>
  <c r="AP89" i="37"/>
  <c r="AP84" i="37"/>
  <c r="AP91" i="37" s="1"/>
  <c r="AG74" i="37"/>
  <c r="AG76" i="37" s="1"/>
  <c r="AG79" i="37" s="1"/>
  <c r="V74" i="37"/>
  <c r="V76" i="37" s="1"/>
  <c r="V79" i="37" s="1"/>
  <c r="R89" i="37"/>
  <c r="S74" i="37"/>
  <c r="S76" i="37" s="1"/>
  <c r="S79" i="37" s="1"/>
  <c r="AU74" i="37"/>
  <c r="AU76" i="37" s="1"/>
  <c r="AU79" i="37" s="1"/>
  <c r="AF74" i="37"/>
  <c r="AF76" i="37" s="1"/>
  <c r="AF79" i="37" s="1"/>
  <c r="BA58" i="37"/>
  <c r="BI58" i="37" s="1"/>
  <c r="BK58" i="37" s="1"/>
  <c r="BA55" i="37"/>
  <c r="BI55" i="37" s="1"/>
  <c r="BK55" i="37" s="1"/>
  <c r="BA60" i="37"/>
  <c r="BI60" i="37" s="1"/>
  <c r="BK60" i="37" s="1"/>
  <c r="BI50" i="37"/>
  <c r="BA52" i="37"/>
  <c r="BA57" i="37"/>
  <c r="BI57" i="37" s="1"/>
  <c r="BK57" i="37" s="1"/>
  <c r="BA56" i="37"/>
  <c r="BI56" i="37" s="1"/>
  <c r="BK56" i="37" s="1"/>
  <c r="BA59" i="37"/>
  <c r="BI59" i="37" s="1"/>
  <c r="BK59" i="37" s="1"/>
  <c r="BA53" i="37"/>
  <c r="BI53" i="37" s="1"/>
  <c r="BK53" i="37" s="1"/>
  <c r="BA54" i="37"/>
  <c r="BI54" i="37" s="1"/>
  <c r="BK54" i="37" s="1"/>
  <c r="BA86" i="37"/>
  <c r="BI86" i="37" s="1"/>
  <c r="AC52" i="37"/>
  <c r="AC54" i="37"/>
  <c r="AK54" i="37" s="1"/>
  <c r="AM54" i="37" s="1"/>
  <c r="AC55" i="37"/>
  <c r="AK55" i="37" s="1"/>
  <c r="AM55" i="37" s="1"/>
  <c r="AC53" i="37"/>
  <c r="AK53" i="37" s="1"/>
  <c r="AM53" i="37" s="1"/>
  <c r="AC56" i="37"/>
  <c r="AK56" i="37" s="1"/>
  <c r="AM56" i="37" s="1"/>
  <c r="AC86" i="37"/>
  <c r="AK86" i="37" s="1"/>
  <c r="AC58" i="37"/>
  <c r="AK58" i="37" s="1"/>
  <c r="AM58" i="37" s="1"/>
  <c r="AC57" i="37"/>
  <c r="AK57" i="37" s="1"/>
  <c r="AM57" i="37" s="1"/>
  <c r="AK50" i="37"/>
  <c r="AC59" i="37"/>
  <c r="AK59" i="37" s="1"/>
  <c r="AM59" i="37" s="1"/>
  <c r="AC60" i="37"/>
  <c r="AK60" i="37" s="1"/>
  <c r="AM60" i="37" s="1"/>
  <c r="T74" i="37"/>
  <c r="T76" i="37" s="1"/>
  <c r="T79" i="37" s="1"/>
  <c r="Q55" i="37"/>
  <c r="Q57" i="37"/>
  <c r="Y50" i="37"/>
  <c r="Q54" i="37"/>
  <c r="BT50" i="37"/>
  <c r="Q56" i="37"/>
  <c r="Q60" i="37"/>
  <c r="Q59" i="37"/>
  <c r="Q53" i="37"/>
  <c r="Q86" i="37"/>
  <c r="Q52" i="37"/>
  <c r="Q58" i="37"/>
  <c r="BB74" i="37"/>
  <c r="BB76" i="37" s="1"/>
  <c r="BB79" i="37" s="1"/>
  <c r="AR74" i="37"/>
  <c r="AR76" i="37" s="1"/>
  <c r="AR79" i="37" s="1"/>
  <c r="BD74" i="37"/>
  <c r="BD76" i="37" s="1"/>
  <c r="BD79" i="37" s="1"/>
  <c r="AO59" i="37"/>
  <c r="AW59" i="37" s="1"/>
  <c r="AY59" i="37" s="1"/>
  <c r="AO86" i="37"/>
  <c r="AW86" i="37" s="1"/>
  <c r="AO53" i="37"/>
  <c r="AW53" i="37" s="1"/>
  <c r="AY53" i="37" s="1"/>
  <c r="AO60" i="37"/>
  <c r="AW60" i="37" s="1"/>
  <c r="AY60" i="37" s="1"/>
  <c r="AO54" i="37"/>
  <c r="AW54" i="37" s="1"/>
  <c r="AY54" i="37" s="1"/>
  <c r="AO55" i="37"/>
  <c r="AW55" i="37" s="1"/>
  <c r="AY55" i="37" s="1"/>
  <c r="AO56" i="37"/>
  <c r="AW56" i="37" s="1"/>
  <c r="AY56" i="37" s="1"/>
  <c r="AO52" i="37"/>
  <c r="AO58" i="37"/>
  <c r="AW58" i="37" s="1"/>
  <c r="AY58" i="37" s="1"/>
  <c r="AW50" i="37"/>
  <c r="AO57" i="37"/>
  <c r="AW57" i="37" s="1"/>
  <c r="AY57" i="37" s="1"/>
  <c r="AD74" i="37"/>
  <c r="AD76" i="37" s="1"/>
  <c r="AD79" i="37" s="1"/>
  <c r="AQ74" i="37"/>
  <c r="AQ76" i="37" s="1"/>
  <c r="AQ79" i="37" s="1"/>
  <c r="AH74" i="37"/>
  <c r="AH76" i="37" s="1"/>
  <c r="AH79" i="37" s="1"/>
  <c r="W90" i="37"/>
  <c r="W91" i="37"/>
  <c r="R91" i="37"/>
  <c r="R90" i="37"/>
  <c r="AE91" i="37"/>
  <c r="AT90" i="37"/>
  <c r="AP90" i="37" l="1"/>
  <c r="BC84" i="37"/>
  <c r="BC90" i="37" s="1"/>
  <c r="AI84" i="37"/>
  <c r="BN91" i="37"/>
  <c r="BN90" i="37"/>
  <c r="BC91" i="37"/>
  <c r="BG93" i="37"/>
  <c r="BG95" i="37" s="1"/>
  <c r="BP52" i="37"/>
  <c r="BM61" i="37"/>
  <c r="BM63" i="37" s="1"/>
  <c r="BF84" i="37"/>
  <c r="BF89" i="37"/>
  <c r="AS84" i="37"/>
  <c r="BE84" i="37"/>
  <c r="BE89" i="37"/>
  <c r="Y56" i="37"/>
  <c r="AA56" i="37" s="1"/>
  <c r="BW56" i="37"/>
  <c r="BX56" i="37" s="1"/>
  <c r="AD84" i="37"/>
  <c r="AD89" i="37"/>
  <c r="AW52" i="37"/>
  <c r="AO61" i="37"/>
  <c r="AO63" i="37" s="1"/>
  <c r="BD84" i="37"/>
  <c r="BD89" i="37"/>
  <c r="BB84" i="37"/>
  <c r="BB89" i="37"/>
  <c r="Y53" i="37"/>
  <c r="AA53" i="37" s="1"/>
  <c r="BW53" i="37"/>
  <c r="BX53" i="37" s="1"/>
  <c r="Y55" i="37"/>
  <c r="AA55" i="37" s="1"/>
  <c r="BW55" i="37"/>
  <c r="BX55" i="37" s="1"/>
  <c r="AK52" i="37"/>
  <c r="AC61" i="37"/>
  <c r="AC63" i="37" s="1"/>
  <c r="BI52" i="37"/>
  <c r="BA61" i="37"/>
  <c r="BA63" i="37" s="1"/>
  <c r="AQ84" i="37"/>
  <c r="AQ89" i="37"/>
  <c r="Y86" i="37"/>
  <c r="BT86" i="37"/>
  <c r="Y57" i="37"/>
  <c r="AA57" i="37" s="1"/>
  <c r="BW57" i="37"/>
  <c r="BX57" i="37" s="1"/>
  <c r="AI91" i="37"/>
  <c r="AI90" i="37"/>
  <c r="Y58" i="37"/>
  <c r="AA58" i="37" s="1"/>
  <c r="BW58" i="37"/>
  <c r="BX58" i="37" s="1"/>
  <c r="Y59" i="37"/>
  <c r="AA59" i="37" s="1"/>
  <c r="BW59" i="37"/>
  <c r="BX59" i="37" s="1"/>
  <c r="Y54" i="37"/>
  <c r="AA54" i="37" s="1"/>
  <c r="BW54" i="37"/>
  <c r="BX54" i="37" s="1"/>
  <c r="T84" i="37"/>
  <c r="T89" i="37"/>
  <c r="AF89" i="37"/>
  <c r="AF84" i="37"/>
  <c r="V84" i="37"/>
  <c r="V89" i="37"/>
  <c r="AR89" i="37"/>
  <c r="AR84" i="37"/>
  <c r="S84" i="37"/>
  <c r="S89" i="37"/>
  <c r="AE93" i="37"/>
  <c r="AE95" i="37" s="1"/>
  <c r="R93" i="37"/>
  <c r="R95" i="37" s="1"/>
  <c r="AH84" i="37"/>
  <c r="AH89" i="37"/>
  <c r="Y52" i="37"/>
  <c r="Q61" i="37"/>
  <c r="Q63" i="37" s="1"/>
  <c r="BW52" i="37"/>
  <c r="Y60" i="37"/>
  <c r="AA60" i="37" s="1"/>
  <c r="BW60" i="37"/>
  <c r="BX60" i="37" s="1"/>
  <c r="AU89" i="37"/>
  <c r="AU84" i="37"/>
  <c r="AG89" i="37"/>
  <c r="AG84" i="37"/>
  <c r="AT93" i="37"/>
  <c r="AT95" i="37" s="1"/>
  <c r="BC93" i="37"/>
  <c r="BC95" i="37" s="1"/>
  <c r="AP93" i="37"/>
  <c r="AP95" i="37" s="1"/>
  <c r="W93" i="37"/>
  <c r="W95" i="37" s="1"/>
  <c r="BN93" i="37" l="1"/>
  <c r="BN95" i="37" s="1"/>
  <c r="BM71" i="37"/>
  <c r="BP71" i="37" s="1"/>
  <c r="BR71" i="37" s="1"/>
  <c r="BM69" i="37"/>
  <c r="BP69" i="37" s="1"/>
  <c r="BR69" i="37" s="1"/>
  <c r="BM72" i="37"/>
  <c r="BP72" i="37" s="1"/>
  <c r="BR72" i="37" s="1"/>
  <c r="BM67" i="37"/>
  <c r="BP67" i="37" s="1"/>
  <c r="BR67" i="37" s="1"/>
  <c r="BM73" i="37"/>
  <c r="BP73" i="37" s="1"/>
  <c r="BR73" i="37" s="1"/>
  <c r="BM70" i="37"/>
  <c r="BP70" i="37" s="1"/>
  <c r="BR70" i="37" s="1"/>
  <c r="BM68" i="37"/>
  <c r="BP68" i="37" s="1"/>
  <c r="BR68" i="37" s="1"/>
  <c r="BM65" i="37"/>
  <c r="BM66" i="37"/>
  <c r="BP66" i="37" s="1"/>
  <c r="BR66" i="37" s="1"/>
  <c r="BP61" i="37"/>
  <c r="BR52" i="37"/>
  <c r="BR61" i="37" s="1"/>
  <c r="BF90" i="37"/>
  <c r="BF91" i="37"/>
  <c r="AI93" i="37"/>
  <c r="AI95" i="37" s="1"/>
  <c r="BE90" i="37"/>
  <c r="BE91" i="37"/>
  <c r="AS91" i="37"/>
  <c r="AS90" i="37"/>
  <c r="Q65" i="37"/>
  <c r="Q72" i="37"/>
  <c r="Q66" i="37"/>
  <c r="Q73" i="37"/>
  <c r="Q68" i="37"/>
  <c r="Q69" i="37"/>
  <c r="Q71" i="37"/>
  <c r="Q70" i="37"/>
  <c r="Q67" i="37"/>
  <c r="AR90" i="37"/>
  <c r="AR91" i="37"/>
  <c r="AF91" i="37"/>
  <c r="AF90" i="37"/>
  <c r="AG90" i="37"/>
  <c r="AG91" i="37"/>
  <c r="AA52" i="37"/>
  <c r="AA61" i="37" s="1"/>
  <c r="Y61" i="37"/>
  <c r="AM52" i="37"/>
  <c r="AK61" i="37"/>
  <c r="BD90" i="37"/>
  <c r="BD91" i="37"/>
  <c r="BA68" i="37"/>
  <c r="BI68" i="37" s="1"/>
  <c r="BK68" i="37" s="1"/>
  <c r="BA66" i="37"/>
  <c r="BI66" i="37" s="1"/>
  <c r="BK66" i="37" s="1"/>
  <c r="BA69" i="37"/>
  <c r="BI69" i="37" s="1"/>
  <c r="BK69" i="37" s="1"/>
  <c r="BA70" i="37"/>
  <c r="BI70" i="37" s="1"/>
  <c r="BK70" i="37" s="1"/>
  <c r="BA72" i="37"/>
  <c r="BI72" i="37" s="1"/>
  <c r="BK72" i="37" s="1"/>
  <c r="BA65" i="37"/>
  <c r="BA67" i="37"/>
  <c r="BI67" i="37" s="1"/>
  <c r="BK67" i="37" s="1"/>
  <c r="BA71" i="37"/>
  <c r="BI71" i="37" s="1"/>
  <c r="BK71" i="37" s="1"/>
  <c r="BA73" i="37"/>
  <c r="BI73" i="37" s="1"/>
  <c r="BK73" i="37" s="1"/>
  <c r="AO73" i="37"/>
  <c r="AW73" i="37" s="1"/>
  <c r="AY73" i="37" s="1"/>
  <c r="AO68" i="37"/>
  <c r="AW68" i="37" s="1"/>
  <c r="AY68" i="37" s="1"/>
  <c r="AO71" i="37"/>
  <c r="AW71" i="37" s="1"/>
  <c r="AY71" i="37" s="1"/>
  <c r="AO65" i="37"/>
  <c r="AO66" i="37"/>
  <c r="AW66" i="37" s="1"/>
  <c r="AY66" i="37" s="1"/>
  <c r="AO69" i="37"/>
  <c r="AW69" i="37" s="1"/>
  <c r="AY69" i="37" s="1"/>
  <c r="AO67" i="37"/>
  <c r="AW67" i="37" s="1"/>
  <c r="AY67" i="37" s="1"/>
  <c r="AO70" i="37"/>
  <c r="AW70" i="37" s="1"/>
  <c r="AY70" i="37" s="1"/>
  <c r="AO72" i="37"/>
  <c r="AW72" i="37" s="1"/>
  <c r="AY72" i="37" s="1"/>
  <c r="AC68" i="37"/>
  <c r="AK68" i="37" s="1"/>
  <c r="AM68" i="37" s="1"/>
  <c r="AC69" i="37"/>
  <c r="AK69" i="37" s="1"/>
  <c r="AM69" i="37" s="1"/>
  <c r="AC71" i="37"/>
  <c r="AK71" i="37" s="1"/>
  <c r="AM71" i="37" s="1"/>
  <c r="AC65" i="37"/>
  <c r="AC67" i="37"/>
  <c r="AK67" i="37" s="1"/>
  <c r="AM67" i="37" s="1"/>
  <c r="AC70" i="37"/>
  <c r="AK70" i="37" s="1"/>
  <c r="AM70" i="37" s="1"/>
  <c r="AC72" i="37"/>
  <c r="AK72" i="37" s="1"/>
  <c r="AM72" i="37" s="1"/>
  <c r="AC73" i="37"/>
  <c r="AK73" i="37" s="1"/>
  <c r="AM73" i="37" s="1"/>
  <c r="AC66" i="37"/>
  <c r="AK66" i="37" s="1"/>
  <c r="AM66" i="37" s="1"/>
  <c r="AQ90" i="37"/>
  <c r="AQ91" i="37"/>
  <c r="AD90" i="37"/>
  <c r="AD91" i="37"/>
  <c r="AU91" i="37"/>
  <c r="AU90" i="37"/>
  <c r="BW61" i="37"/>
  <c r="BX61" i="37" s="1"/>
  <c r="BZ52" i="37" s="1"/>
  <c r="BX52" i="37"/>
  <c r="AH91" i="37"/>
  <c r="AH90" i="37"/>
  <c r="S90" i="37"/>
  <c r="S91" i="37"/>
  <c r="V90" i="37"/>
  <c r="V91" i="37"/>
  <c r="T90" i="37"/>
  <c r="T91" i="37"/>
  <c r="BK52" i="37"/>
  <c r="BK61" i="37" s="1"/>
  <c r="BI61" i="37"/>
  <c r="BB91" i="37"/>
  <c r="BB90" i="37"/>
  <c r="AW61" i="37"/>
  <c r="AY52" i="37"/>
  <c r="AY61" i="37" s="1"/>
  <c r="BP65" i="37" l="1"/>
  <c r="BR65" i="37" s="1"/>
  <c r="BR74" i="37" s="1"/>
  <c r="BM74" i="37"/>
  <c r="BF93" i="37"/>
  <c r="BF95" i="37" s="1"/>
  <c r="BD93" i="37"/>
  <c r="BD95" i="37" s="1"/>
  <c r="AG93" i="37"/>
  <c r="AG95" i="37" s="1"/>
  <c r="BE93" i="37"/>
  <c r="BE95" i="37" s="1"/>
  <c r="AU93" i="37"/>
  <c r="AU95" i="37" s="1"/>
  <c r="AS93" i="37"/>
  <c r="AS95" i="37" s="1"/>
  <c r="V93" i="37"/>
  <c r="V95" i="37" s="1"/>
  <c r="T93" i="37"/>
  <c r="T95" i="37" s="1"/>
  <c r="S93" i="37"/>
  <c r="S95" i="37" s="1"/>
  <c r="AD93" i="37"/>
  <c r="AD95" i="37" s="1"/>
  <c r="AF93" i="37"/>
  <c r="AF95" i="37" s="1"/>
  <c r="BA74" i="37"/>
  <c r="BI65" i="37"/>
  <c r="BK65" i="37" s="1"/>
  <c r="BK74" i="37" s="1"/>
  <c r="Y71" i="37"/>
  <c r="AA71" i="37" s="1"/>
  <c r="BW71" i="37"/>
  <c r="BX71" i="37" s="1"/>
  <c r="Y66" i="37"/>
  <c r="AA66" i="37" s="1"/>
  <c r="BW66" i="37"/>
  <c r="BX66" i="37" s="1"/>
  <c r="AH93" i="37"/>
  <c r="AH95" i="37" s="1"/>
  <c r="AW65" i="37"/>
  <c r="AY65" i="37" s="1"/>
  <c r="AY74" i="37" s="1"/>
  <c r="AO74" i="37"/>
  <c r="AM61" i="37"/>
  <c r="BT61" i="37" s="1"/>
  <c r="AR93" i="37"/>
  <c r="AR95" i="37" s="1"/>
  <c r="Y69" i="37"/>
  <c r="AA69" i="37" s="1"/>
  <c r="BW69" i="37"/>
  <c r="BX69" i="37" s="1"/>
  <c r="Y72" i="37"/>
  <c r="AA72" i="37" s="1"/>
  <c r="BW72" i="37"/>
  <c r="BX72" i="37" s="1"/>
  <c r="Y67" i="37"/>
  <c r="AA67" i="37" s="1"/>
  <c r="BW67" i="37"/>
  <c r="BX67" i="37" s="1"/>
  <c r="Y68" i="37"/>
  <c r="AA68" i="37" s="1"/>
  <c r="BW68" i="37"/>
  <c r="BX68" i="37" s="1"/>
  <c r="Y65" i="37"/>
  <c r="Q74" i="37"/>
  <c r="Q76" i="37" s="1"/>
  <c r="Q79" i="37" s="1"/>
  <c r="BW65" i="37"/>
  <c r="BB93" i="37"/>
  <c r="BB95" i="37" s="1"/>
  <c r="AQ93" i="37"/>
  <c r="AQ95" i="37" s="1"/>
  <c r="AC74" i="37"/>
  <c r="AK65" i="37"/>
  <c r="AM65" i="37" s="1"/>
  <c r="AM74" i="37" s="1"/>
  <c r="Y70" i="37"/>
  <c r="AA70" i="37" s="1"/>
  <c r="BW70" i="37"/>
  <c r="BX70" i="37" s="1"/>
  <c r="Y73" i="37"/>
  <c r="AA73" i="37" s="1"/>
  <c r="BW73" i="37"/>
  <c r="BX73" i="37" s="1"/>
  <c r="BM76" i="37" l="1"/>
  <c r="BM79" i="37" s="1"/>
  <c r="BP74" i="37"/>
  <c r="BX65" i="37"/>
  <c r="BW74" i="37"/>
  <c r="BX74" i="37" s="1"/>
  <c r="BZ65" i="37" s="1"/>
  <c r="AK74" i="37"/>
  <c r="AC76" i="37"/>
  <c r="AC79" i="37" s="1"/>
  <c r="Q84" i="37"/>
  <c r="Q89" i="37"/>
  <c r="Y79" i="37"/>
  <c r="Y74" i="37"/>
  <c r="AA65" i="37"/>
  <c r="AA74" i="37" s="1"/>
  <c r="BT74" i="37" s="1"/>
  <c r="AW74" i="37"/>
  <c r="AO76" i="37"/>
  <c r="AO79" i="37" s="1"/>
  <c r="BI74" i="37"/>
  <c r="BA76" i="37"/>
  <c r="BA79" i="37" s="1"/>
  <c r="BM84" i="37" l="1"/>
  <c r="BM89" i="37"/>
  <c r="BP89" i="37" s="1"/>
  <c r="BP79" i="37"/>
  <c r="AC89" i="37"/>
  <c r="AC84" i="37"/>
  <c r="AK79" i="37"/>
  <c r="BT79" i="37"/>
  <c r="AO84" i="37"/>
  <c r="AW79" i="37"/>
  <c r="AO89" i="37"/>
  <c r="AW89" i="37" s="1"/>
  <c r="Y89" i="37"/>
  <c r="BI79" i="37"/>
  <c r="BA84" i="37"/>
  <c r="BA89" i="37"/>
  <c r="BI89" i="37" s="1"/>
  <c r="Y84" i="37"/>
  <c r="Q90" i="37"/>
  <c r="Y90" i="37" s="1"/>
  <c r="Q91" i="37"/>
  <c r="Y91" i="37" s="1"/>
  <c r="BP84" i="37" l="1"/>
  <c r="BM91" i="37"/>
  <c r="BP91" i="37" s="1"/>
  <c r="BM90" i="37"/>
  <c r="BA91" i="37"/>
  <c r="BI91" i="37" s="1"/>
  <c r="BI84" i="37"/>
  <c r="BA90" i="37"/>
  <c r="AC90" i="37"/>
  <c r="AK84" i="37"/>
  <c r="AC91" i="37"/>
  <c r="AK91" i="37" s="1"/>
  <c r="BT84" i="37"/>
  <c r="BU84" i="37" s="1"/>
  <c r="Q93" i="37"/>
  <c r="AO90" i="37"/>
  <c r="AW84" i="37"/>
  <c r="AO91" i="37"/>
  <c r="AW91" i="37" s="1"/>
  <c r="AK89" i="37"/>
  <c r="BT89" i="37"/>
  <c r="BP90" i="37" l="1"/>
  <c r="BM93" i="37"/>
  <c r="AC93" i="37"/>
  <c r="AK93" i="37" s="1"/>
  <c r="BT91" i="37"/>
  <c r="AK90" i="37"/>
  <c r="BT90" i="37"/>
  <c r="BI90" i="37"/>
  <c r="BA93" i="37"/>
  <c r="AO93" i="37"/>
  <c r="AW90" i="37"/>
  <c r="Q95" i="37"/>
  <c r="Y95" i="37" s="1"/>
  <c r="Y93" i="37"/>
  <c r="AC95" i="37" l="1"/>
  <c r="AK95" i="37" s="1"/>
  <c r="BM95" i="37"/>
  <c r="BP95" i="37" s="1"/>
  <c r="BP93" i="37"/>
  <c r="AO95" i="37"/>
  <c r="AW95" i="37" s="1"/>
  <c r="BT93" i="37"/>
  <c r="AW93" i="37"/>
  <c r="BI93" i="37"/>
  <c r="BA95" i="37"/>
  <c r="BI95" i="37" s="1"/>
  <c r="BT95" i="37" l="1"/>
  <c r="BU95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D73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D7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D76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D7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G79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B8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G78" authorId="0" shapeId="0" xr:uid="{BF612D3C-FBD1-455C-8C7C-7EF383B9BA38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C89" authorId="0" shapeId="0" xr:uid="{DB9DDEBB-9A8B-4108-AD86-62D4B492481B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<sst xmlns="http://schemas.openxmlformats.org/spreadsheetml/2006/main" count="3402" uniqueCount="321">
  <si>
    <t>#</t>
  </si>
  <si>
    <t>DISCRIPTION</t>
  </si>
  <si>
    <t>%</t>
  </si>
  <si>
    <t>ARAB BANK LOAN PAYMENT</t>
  </si>
  <si>
    <t>HOME RENT</t>
  </si>
  <si>
    <t>MOBILE PHONE COST</t>
  </si>
  <si>
    <t>FAMILY MONTLY PAYMENT</t>
  </si>
  <si>
    <t>TOTAL</t>
  </si>
  <si>
    <t>FOOD</t>
  </si>
  <si>
    <t>ELECTRICITY</t>
  </si>
  <si>
    <t>WATER</t>
  </si>
  <si>
    <t>CAR LOAN PAYMENT</t>
  </si>
  <si>
    <t>TUITION FEES</t>
  </si>
  <si>
    <t>MY MEDICATION</t>
  </si>
  <si>
    <t xml:space="preserve">CAR MAINTENANCE </t>
  </si>
  <si>
    <t>TOTAL DAILY INCOME</t>
  </si>
  <si>
    <t>ZAIN NET COST</t>
  </si>
  <si>
    <t>TOTAL FIXED EXPENSES</t>
  </si>
  <si>
    <t>TOTAL VARIABLE EXPENSES</t>
  </si>
  <si>
    <t>FIXED EXPENSES</t>
  </si>
  <si>
    <t>VARIABLE EXPENSES</t>
  </si>
  <si>
    <t>SHOP RENT</t>
  </si>
  <si>
    <t>HAYA SALARY</t>
  </si>
  <si>
    <t>HAYA TRANSPORTATION</t>
  </si>
  <si>
    <t>JOD/MNT</t>
  </si>
  <si>
    <t>JOD/DAY</t>
  </si>
  <si>
    <t xml:space="preserve"> </t>
  </si>
  <si>
    <t>TOTAL INCOME AFTER FIXED</t>
  </si>
  <si>
    <t>TOTAL SURPLUS INCOME</t>
  </si>
  <si>
    <t>3rd INCOM</t>
  </si>
  <si>
    <t>HOME IMPROVEMENT</t>
  </si>
  <si>
    <t>DINE OUT ( MONYHLY )</t>
  </si>
  <si>
    <t>MOVIES ( MONYHLY )</t>
  </si>
  <si>
    <t>BB TRIPS ( MONYHLY )</t>
  </si>
  <si>
    <t>CAR GASOLINE</t>
  </si>
  <si>
    <t>CASH FLOW</t>
  </si>
  <si>
    <t>27.50 % PROFIT</t>
  </si>
  <si>
    <t>ELECRICITY</t>
  </si>
  <si>
    <t>CAR GAS</t>
  </si>
  <si>
    <t xml:space="preserve">CAR MAINTINANCE </t>
  </si>
  <si>
    <t>SHOP INCOME</t>
  </si>
  <si>
    <t>ESWARAH &amp; MIKYAG</t>
  </si>
  <si>
    <t>ALPHA CRYPTO INCOME</t>
  </si>
  <si>
    <t>SHOP LICENSE</t>
  </si>
  <si>
    <t>SOCIAL SECURITY</t>
  </si>
  <si>
    <t>FRI</t>
  </si>
  <si>
    <t>SAT</t>
  </si>
  <si>
    <t>SUN</t>
  </si>
  <si>
    <t>MON</t>
  </si>
  <si>
    <t>TUE</t>
  </si>
  <si>
    <t>WED</t>
  </si>
  <si>
    <t>THU</t>
  </si>
  <si>
    <t>IN COUNTRY TRIPS ( YEARLY )</t>
  </si>
  <si>
    <t>OVERSEAS TRIPS ( 3 YEARS )</t>
  </si>
  <si>
    <t>ACTUAL PAID</t>
  </si>
  <si>
    <t>RECREATIONAL EXPENSES (MONTHLY)</t>
  </si>
  <si>
    <t>RECREATIONAL EXPENSES (YEARLY)</t>
  </si>
  <si>
    <t xml:space="preserve">SUB TOTAL RECREATIONAL EXPENSES (YEARLY </t>
  </si>
  <si>
    <t>SUB TOTAL RECREATIONAL EXPENSES (YEARLY )</t>
  </si>
  <si>
    <t>CAR HYBRED BATATRY DEBRETIATION</t>
  </si>
  <si>
    <t>FAMILY MOBILE PHONE COST</t>
  </si>
  <si>
    <t>% USED</t>
  </si>
  <si>
    <t>V</t>
  </si>
  <si>
    <t>A</t>
  </si>
  <si>
    <r>
      <t>V</t>
    </r>
    <r>
      <rPr>
        <b/>
        <sz val="11"/>
        <color theme="1"/>
        <rFont val="Arial"/>
        <family val="2"/>
        <scheme val="minor"/>
      </rPr>
      <t>*</t>
    </r>
  </si>
  <si>
    <r>
      <t>A</t>
    </r>
    <r>
      <rPr>
        <b/>
        <sz val="11"/>
        <color rgb="FFC00000"/>
        <rFont val="Arial"/>
        <family val="2"/>
        <scheme val="minor"/>
      </rPr>
      <t>*</t>
    </r>
  </si>
  <si>
    <t>V = VIRTUAL</t>
  </si>
  <si>
    <t>A = ACTUAL</t>
  </si>
  <si>
    <t>MARKETING INVESTMENT FUNDS</t>
  </si>
  <si>
    <t>SHOP IMPROVEMENT FUNDS</t>
  </si>
  <si>
    <t>SEASONAL CATEGORY INVESTMENT FUNDS</t>
  </si>
  <si>
    <t>NEW CATEGORY INVESTMENT FUNDS</t>
  </si>
  <si>
    <t>30 % PROFIT</t>
  </si>
  <si>
    <t xml:space="preserve">SAT </t>
  </si>
  <si>
    <t>YOUSEF SALARY (VIRTUAL)</t>
  </si>
  <si>
    <t>YOUSEF SALARY AFTER VIRTUAL</t>
  </si>
  <si>
    <t>NEW CATEGORY FUNDS</t>
  </si>
  <si>
    <t>TOTAL AFTER FIXED EXPENSES</t>
  </si>
  <si>
    <t>TOTAL NEW CATEGORY FUNDS</t>
  </si>
  <si>
    <t>TOTAL EXPENSES (VIRTUAL)</t>
  </si>
  <si>
    <t xml:space="preserve">TOTAL FIXED &amp; NEW CAT. </t>
  </si>
  <si>
    <t>TOTAL INCOME ( FIXED &amp; NEW CAT. )</t>
  </si>
  <si>
    <t>EXTRA</t>
  </si>
  <si>
    <t>EXTRAPOLATION</t>
  </si>
  <si>
    <t>OPEN</t>
  </si>
  <si>
    <t>LAUNDRY</t>
  </si>
  <si>
    <t>HEATING ( WINTER )</t>
  </si>
  <si>
    <t>WESTREN UNION $ DEFERANCE</t>
  </si>
  <si>
    <t>CAR HYBRED BATATRY DEPRECIATION</t>
  </si>
  <si>
    <t>AT 30 % PROFIT</t>
  </si>
  <si>
    <t xml:space="preserve">TIME GUN </t>
  </si>
  <si>
    <t>B. E. P.</t>
  </si>
  <si>
    <t>SHOP EXPENDITURE</t>
  </si>
  <si>
    <t>OTHER EXPENSES</t>
  </si>
  <si>
    <t>TOTAL OTHER EXPENSES</t>
  </si>
  <si>
    <t>TOTAL FIXED &amp; OTHER EXPENSES</t>
  </si>
  <si>
    <t>TOTAL AFTER FIXED &amp; OTHER EXPENSES</t>
  </si>
  <si>
    <t>TOTAL INCOME ( FIXED &amp; OTHER EXP. )</t>
  </si>
  <si>
    <t>DEAD ITEMS DISPOSAL EXPENSES</t>
  </si>
  <si>
    <t>PROGRESS</t>
  </si>
  <si>
    <t>TOTAL ALL</t>
  </si>
  <si>
    <t>B. E. P. D.</t>
  </si>
  <si>
    <t>MARKETING &amp; FACEBOOK &amp; TV COST</t>
  </si>
  <si>
    <t xml:space="preserve">ZAIN NET COST SHOP </t>
  </si>
  <si>
    <t>ZAIN NET COST HOME</t>
  </si>
  <si>
    <t>SHOP RENT ( VERY HIGH )</t>
  </si>
  <si>
    <t>MAIN INCOME</t>
  </si>
  <si>
    <t>JOD/30DAY</t>
  </si>
  <si>
    <t>JOD/10DAY</t>
  </si>
  <si>
    <t>JOD/15DAY</t>
  </si>
  <si>
    <t>JOD/20DAY</t>
  </si>
  <si>
    <t>JOD/25DAY</t>
  </si>
  <si>
    <t>TUS</t>
  </si>
  <si>
    <t>JOD/31DAY</t>
  </si>
  <si>
    <t>ZAIN NET COST SHOP</t>
  </si>
  <si>
    <t>CAR MAINTENANCE</t>
  </si>
  <si>
    <t>FAMILY NET COST</t>
  </si>
  <si>
    <t>FAMILY MOBILE PHONES COST</t>
  </si>
  <si>
    <t>HOME ELECTRICITY</t>
  </si>
  <si>
    <t>HOME WATER COST</t>
  </si>
  <si>
    <t>SCHOOL COST</t>
  </si>
  <si>
    <t>FOOD COST</t>
  </si>
  <si>
    <t>MY MEDECATION</t>
  </si>
  <si>
    <t>FAMILY PAYMENT</t>
  </si>
  <si>
    <t>SHOP WATER COST</t>
  </si>
  <si>
    <t>ARAB BANK LOAN ( LIABILITY )</t>
  </si>
  <si>
    <t>CAR PAYMENT ( LIABILITY )</t>
  </si>
  <si>
    <t>SHOP ELECTRICITY</t>
  </si>
  <si>
    <t>SYSTEM LOAN</t>
  </si>
  <si>
    <t>JOD/28DAY</t>
  </si>
  <si>
    <t>SHOP CASH FLOW</t>
  </si>
  <si>
    <t>SHOP WINDOW CLEANING</t>
  </si>
  <si>
    <t>ARAB BANK LOAN ( V. HIGH LIABILITY )</t>
  </si>
  <si>
    <t>CAR PAYMENT ( V. HIGH LIABILITY )</t>
  </si>
  <si>
    <t>SHOP RENT ( VERY HIGH LIABILITY )</t>
  </si>
  <si>
    <t>WEEK 1</t>
  </si>
  <si>
    <t>WEEK 2</t>
  </si>
  <si>
    <t>WEEK 3</t>
  </si>
  <si>
    <t>WEEK 4</t>
  </si>
  <si>
    <t>WEEK 1 SUMMARY</t>
  </si>
  <si>
    <t>WEEK 2 SUMMARY</t>
  </si>
  <si>
    <t>WEEK 3 SUMMARY</t>
  </si>
  <si>
    <t>WEEK 4 SUMMARY</t>
  </si>
  <si>
    <t>OWN EXPENSES</t>
  </si>
  <si>
    <t>SHOP PACKAGING COST</t>
  </si>
  <si>
    <t>WEEK 5</t>
  </si>
  <si>
    <t>WEEK 5 SUMMARY</t>
  </si>
  <si>
    <t>TOTAL AFTER FIXED &amp; OWN EXPENSES</t>
  </si>
  <si>
    <t>TOTAL OWN EXPENSES</t>
  </si>
  <si>
    <t>TOTAL AFTER OWN EXPENSES</t>
  </si>
  <si>
    <t>TOTAL SALES TO COVER FIXED EXPENSES</t>
  </si>
  <si>
    <t>TOTAL SALES TO COVER OWN EXPENSES</t>
  </si>
  <si>
    <t>SALES PER DAY OVER 322.581 JD,s</t>
  </si>
  <si>
    <t>TOTAL SALES TO COVER Y. SALARY (VIRTUAL)</t>
  </si>
  <si>
    <t>DEVIATION AFTER EVERY THING</t>
  </si>
  <si>
    <t>LEVEL MAX</t>
  </si>
  <si>
    <t>DATA SERIES</t>
  </si>
  <si>
    <t>ACTUAL</t>
  </si>
  <si>
    <t>REMAINDER</t>
  </si>
  <si>
    <t>LEVEL 1</t>
  </si>
  <si>
    <t>LEVEL 2</t>
  </si>
  <si>
    <t>LEVEL 3</t>
  </si>
  <si>
    <t>INTERNAL SHOP USE</t>
  </si>
  <si>
    <t xml:space="preserve">MON </t>
  </si>
  <si>
    <t>OTHERS</t>
  </si>
  <si>
    <t xml:space="preserve">ZAIN SHOP NET COST </t>
  </si>
  <si>
    <t>ZAIN FAMILY NET COST</t>
  </si>
  <si>
    <t>DAMEGED GOODS</t>
  </si>
  <si>
    <t>ESWARAH &amp; MIKYAG CASH FLOW</t>
  </si>
  <si>
    <t>TOTAL PROFITS</t>
  </si>
  <si>
    <t>E&amp;M DIRECT FIXED EXPENSES</t>
  </si>
  <si>
    <t>OTHERS ( HOME )</t>
  </si>
  <si>
    <t>SALARY</t>
  </si>
  <si>
    <t>SHOP NET</t>
  </si>
  <si>
    <t>SHOP PACKAGING</t>
  </si>
  <si>
    <t>DAMAGED GOODS</t>
  </si>
  <si>
    <t>E&amp;M 30% GROSS PROFIT</t>
  </si>
  <si>
    <t>NEW SHOP RENT ( VERY HIGH LIABILITY )</t>
  </si>
  <si>
    <t>YOUSEF SALARY ( VIRTUAL )</t>
  </si>
  <si>
    <t>ACCOUNTING COST</t>
  </si>
  <si>
    <t>MARKITING COST</t>
  </si>
  <si>
    <t>SHOPS EXPENSES</t>
  </si>
  <si>
    <t>SYSTEM YEARLY COST</t>
  </si>
  <si>
    <t>ALARM COST</t>
  </si>
  <si>
    <t>WATER COST</t>
  </si>
  <si>
    <t>E&amp;M CASH FLOW</t>
  </si>
  <si>
    <t>NOT OPEN YET</t>
  </si>
  <si>
    <t xml:space="preserve">E&amp;M &amp; RAWABI </t>
  </si>
  <si>
    <t>RAWABI DIRECT FIXED EXPENSES</t>
  </si>
  <si>
    <t>RAWABI CASH FLOW</t>
  </si>
  <si>
    <t>RAWABI NET YOUSEF'S PROFET</t>
  </si>
  <si>
    <t>OWN EXPENSES ( TOP PRIORITY TO KEEP GOING )</t>
  </si>
  <si>
    <t>TOTAL TOP PRIORITY</t>
  </si>
  <si>
    <t>OWN EXPENSES ( PRIORITY )</t>
  </si>
  <si>
    <t>TOTAL PRIORITY</t>
  </si>
  <si>
    <t>SALES PER DAY OVER 635.484 JD,s</t>
  </si>
  <si>
    <t xml:space="preserve">SHOP INCOME E&amp;M &amp; RAWABI </t>
  </si>
  <si>
    <t>NEW SHOP RENT إيجار المحل</t>
  </si>
  <si>
    <t>SALARY رواتب</t>
  </si>
  <si>
    <t>CAR MAINTENANCE صيانة السيارات</t>
  </si>
  <si>
    <t>ACCOUNTING COST المحاسب</t>
  </si>
  <si>
    <t>MARKITING COST التسويق</t>
  </si>
  <si>
    <t>SHOP PACKAGING تغليف</t>
  </si>
  <si>
    <t>DAMAGED GOODS توالف</t>
  </si>
  <si>
    <t>INTERNAL SHOP USE إستهلاك داخلي</t>
  </si>
  <si>
    <t>SHOP NET نت</t>
  </si>
  <si>
    <t>SYSTEM YEARLY COST السستم</t>
  </si>
  <si>
    <t>WATER COST ماء</t>
  </si>
  <si>
    <t>ALARM COST جهاز الإنذار</t>
  </si>
  <si>
    <t>;/</t>
  </si>
  <si>
    <t>RAWABI GROSS PROFIT ACCORDING TO SYSTEM</t>
  </si>
  <si>
    <t>SHOP ELECTRICITY كهرباء المحل</t>
  </si>
  <si>
    <t>E&amp;M EXPENSES</t>
  </si>
  <si>
    <t>RAWABI EXPENSES</t>
  </si>
  <si>
    <t>SHOP DEVELOPMENT تطوير المحل</t>
  </si>
  <si>
    <t>RAWABI SALES TO COVER YOUSEF PERSONAL EXPENSES</t>
  </si>
  <si>
    <t>SHOP RENT  إيجار المحل</t>
  </si>
  <si>
    <t>DOUA' SALARY رواتب</t>
  </si>
  <si>
    <t>ZAIN SHOP NET COST نت</t>
  </si>
  <si>
    <t>SHOP PACKAGING COST تغليف</t>
  </si>
  <si>
    <t>DAMEGED GOODS توالف</t>
  </si>
  <si>
    <t>SHOP WATER COST ماء</t>
  </si>
  <si>
    <t>CAR GAS بنزين السياره</t>
  </si>
  <si>
    <t>CAR MAINTENANCE صيانة السياره</t>
  </si>
  <si>
    <t>عيد الأضحى المبارك</t>
  </si>
  <si>
    <t>SALEEMS MEAL وجبة سليم</t>
  </si>
  <si>
    <t>DAYS OFF</t>
  </si>
  <si>
    <t>SAHAR DEBT ( 2500 JD )  139</t>
  </si>
  <si>
    <t>FIRYAL DEBT ( 8300 $ ) 196.5</t>
  </si>
  <si>
    <t>CAR PAYMENT ( HIGH LIABILITY )</t>
  </si>
  <si>
    <t>CAR GAS  بنزين السيارات</t>
  </si>
  <si>
    <t>OFF</t>
  </si>
  <si>
    <t>SCHOOL COST  ( V. HIGH LIABILITY )</t>
  </si>
  <si>
    <t>HOME RENT  ( V. HIGH LIABILITY )</t>
  </si>
  <si>
    <t>TAMWEELKOM LOAN  ( HIGH LIABILITY )</t>
  </si>
  <si>
    <t>SHOP LICENSE نرخيص المحل</t>
  </si>
  <si>
    <t>TAMWEELKOM تمويلكم</t>
  </si>
  <si>
    <t>HOME RENT إيجار البيت</t>
  </si>
  <si>
    <t xml:space="preserve">MY MEDECATION </t>
  </si>
  <si>
    <t>ACCOUNTING COST تكاليف محاسبية</t>
  </si>
  <si>
    <t>STATIONARY قرطاسية</t>
  </si>
  <si>
    <t>SHAHWAN PAYMENT</t>
  </si>
  <si>
    <t xml:space="preserve">HOME DEVELOPMENT </t>
  </si>
  <si>
    <t>ZAIN HOME NET</t>
  </si>
  <si>
    <t>WATER COST كلفة الماء</t>
  </si>
  <si>
    <t>TAMWEELKOM PAYMENT دفعة تمويلكم</t>
  </si>
  <si>
    <t>EMAD COST</t>
  </si>
  <si>
    <t>SALEEM TAXI OR MEAL تكسي أو وجة سليم</t>
  </si>
  <si>
    <t>SHOP ELECTRICITY ABU SALAMA -  كهرباء المحل أبو سلمى</t>
  </si>
  <si>
    <t>CAR GAS بنزين سيارات</t>
  </si>
  <si>
    <t>عمولة سليم SALEEM COMMISSION</t>
  </si>
  <si>
    <t>DAYS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</si>
  <si>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</si>
  <si>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ORGANIC</t>
  </si>
  <si>
    <t>BANK FEES عمولات بنكية</t>
  </si>
  <si>
    <t>VISA FEES عمولات الفيزا</t>
  </si>
  <si>
    <t xml:space="preserve">SHOP INCOME RAWABI </t>
  </si>
  <si>
    <t>MARKETING COST مصاريف تسويق</t>
  </si>
  <si>
    <t>CLEANING COST مصاريف نظافة</t>
  </si>
  <si>
    <t>HOSPITALITY COST مصاريف ضيافة</t>
  </si>
  <si>
    <t>LABOR WORH COST مصاريف اتعاب مهنية</t>
  </si>
  <si>
    <t>CHARITY DONATIONS تبرعات خيرية</t>
  </si>
  <si>
    <t>SALEEM COMISSION عمولة سليم</t>
  </si>
  <si>
    <t>SOLD THE SHOP</t>
  </si>
  <si>
    <t>RAWABI CASH FLOW - 2ND FLOOR</t>
  </si>
  <si>
    <t>RAWABI CASH FLOW - 1ST FLOOR</t>
  </si>
  <si>
    <t>RAWABI EXPENSES - 1ST FLOOR</t>
  </si>
  <si>
    <t>RAWABI EXPENSES - 2ND FLOOR</t>
  </si>
  <si>
    <t>تدقيق حسابات + ضريبة مبيعات + ضريبة دخل</t>
  </si>
  <si>
    <t>ZAIN COST</t>
  </si>
  <si>
    <t>SHOP INCOME RAWABI 01/2020</t>
  </si>
  <si>
    <t>SHOP INCOME RAWABI 02/2020</t>
  </si>
  <si>
    <t>YOUSEF PERSONAL EXPENSES</t>
  </si>
  <si>
    <t>SHOP INCOME RAWABI 03/2020</t>
  </si>
  <si>
    <t>MARGIN OF ERROR</t>
  </si>
  <si>
    <t>CLOSED</t>
  </si>
  <si>
    <t>SHOP INCOME RAWABI 04/2020</t>
  </si>
  <si>
    <t>DEVIATION DUE TO P. @ HIGHER PRICES</t>
  </si>
  <si>
    <t>DEVIATION DUE TO DISCOUNTS</t>
  </si>
  <si>
    <t>.</t>
  </si>
  <si>
    <t>SHOP INCOME RAWABI 05/2020</t>
  </si>
  <si>
    <t>SHOP INCOME RAWABI 06/2020</t>
  </si>
  <si>
    <t>DAILY WORKERS موظف مياومة</t>
  </si>
  <si>
    <t>SHOP DEVELOPMENT M.P.  تطوير المحل اقساط شهرية</t>
  </si>
  <si>
    <t>SHOP DEVELOPMENT CASH  تطوير المحل نقدا</t>
  </si>
  <si>
    <t>SHOP 1</t>
  </si>
  <si>
    <t>SHOP 2</t>
  </si>
  <si>
    <t>TIME GUN DEVIATION</t>
  </si>
  <si>
    <t>NO PREVIOUS DATA</t>
  </si>
  <si>
    <t>SHOP 3</t>
  </si>
  <si>
    <t>EXTRAPOLATION 2 SHOPS</t>
  </si>
  <si>
    <t>ALL WEEK DAYS</t>
  </si>
  <si>
    <t>PER FRI</t>
  </si>
  <si>
    <t>3 FRI'S</t>
  </si>
  <si>
    <t>FRIDAY'S</t>
  </si>
  <si>
    <t>SHOP INCOME RAWABI 07/2020</t>
  </si>
  <si>
    <t>5 FRI'S</t>
  </si>
  <si>
    <t>FRIDAY'S 1.6129%</t>
  </si>
  <si>
    <t>B</t>
  </si>
  <si>
    <t>C</t>
  </si>
  <si>
    <t>D</t>
  </si>
  <si>
    <t>SALEEM TOTAL COMISSION  عمولة سليم كاملة</t>
  </si>
  <si>
    <t>SALES مبيعات</t>
  </si>
  <si>
    <t>CASH CONTROL ضبط الكاش</t>
  </si>
  <si>
    <t>DISTROYED GOODS CONTROL ضبط البضائع التالفة</t>
  </si>
  <si>
    <t>SAME AS ACCOMPLESHED</t>
  </si>
  <si>
    <t xml:space="preserve">OVER 100% IS DOBULE </t>
  </si>
  <si>
    <t>ABOVE</t>
  </si>
  <si>
    <t>PARAMETER</t>
  </si>
  <si>
    <t>INTERNAL CONSUMPTION CONTROL ضبط استهلاك داخلي</t>
  </si>
  <si>
    <t>BELOW</t>
  </si>
  <si>
    <t>PARAMETER 1</t>
  </si>
  <si>
    <t>PARAMETER 2</t>
  </si>
  <si>
    <t>PARAMETER 3</t>
  </si>
  <si>
    <t>PARAMETER 4</t>
  </si>
  <si>
    <t>PARAMETER 5</t>
  </si>
  <si>
    <t>Sales</t>
  </si>
  <si>
    <t>Commision %</t>
  </si>
  <si>
    <t>Commission</t>
  </si>
  <si>
    <t>entry</t>
  </si>
  <si>
    <t>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</si>
</sst>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د_._ا_._‏_-;\-* #,##0.00\ _د_._ا_._‏_-;_-* &quot;-&quot;??\ _د_._ا_._‏_-;_-@_-"/>
    <numFmt numFmtId="165" formatCode="_(* #,##0.00_);_(* \(#,##0.00\);_(* &quot;-&quot;??_);_(@_)"/>
    <numFmt numFmtId="166" formatCode="0.000"/>
    <numFmt numFmtId="167" formatCode="0.000%"/>
    <numFmt numFmtId="168" formatCode="_(* #,##0.000_);_(* \(#,##0.000\);_(* &quot;-&quot;??_);_(@_)"/>
    <numFmt numFmtId="169" formatCode="_(* #,##0.000_);_(* \(#,##0.000\);_(* &quot;-&quot;???_);_(@_)"/>
    <numFmt numFmtId="170" formatCode="0.0000"/>
    <numFmt numFmtId="171" formatCode="[$-409]d\-mmm\-yy;@"/>
    <numFmt numFmtId="172" formatCode="[$-409]dd\-mmm\-yy;@"/>
    <numFmt numFmtId="173" formatCode="_-* #,##0.000\ _د_._ا_._‏_-;\-* #,##0.000\ _د_._ا_._‏_-;_-* &quot;-&quot;??\ _د_._ا_._‏_-;_-@_-"/>
    <numFmt numFmtId="174" formatCode="_-* #,##0.000\ _د_._ا_._‏_-;\-* #,##0.000\ _د_._ا_._‏_-;_-* &quot;-&quot;???\ _د_._ا_._‏_-;_-@_-"/>
    <numFmt numFmtId="175" formatCode="0.0000%"/>
    <numFmt numFmtId="176" formatCode="#,##0.000\ &quot;د.ا.‏&quot;"/>
  </numFmts>
  <fonts count="6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1"/>
      <color rgb="FFC00000"/>
      <name val="Arial"/>
      <family val="2"/>
      <scheme val="minor"/>
    </font>
    <font>
      <b/>
      <sz val="11"/>
      <color rgb="FF0070C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color rgb="FFFFC000"/>
      <name val="Arial"/>
      <family val="2"/>
      <scheme val="minor"/>
    </font>
    <font>
      <sz val="11"/>
      <color rgb="FFC00000"/>
      <name val="Arial"/>
      <family val="2"/>
      <scheme val="minor"/>
    </font>
    <font>
      <b/>
      <u val="double"/>
      <sz val="11"/>
      <color rgb="FFC00000"/>
      <name val="Arial"/>
      <family val="2"/>
      <scheme val="minor"/>
    </font>
    <font>
      <b/>
      <sz val="11"/>
      <color rgb="FFFFFF00"/>
      <name val="Arial"/>
      <family val="2"/>
      <scheme val="minor"/>
    </font>
    <font>
      <b/>
      <sz val="20"/>
      <color rgb="FFC00000"/>
      <name val="Arial"/>
      <family val="2"/>
      <scheme val="minor"/>
    </font>
    <font>
      <b/>
      <sz val="12"/>
      <color rgb="FFC00000"/>
      <name val="Arial"/>
      <family val="2"/>
      <scheme val="minor"/>
    </font>
    <font>
      <sz val="20"/>
      <color theme="1"/>
      <name val="Arial"/>
      <family val="2"/>
      <scheme val="minor"/>
    </font>
    <font>
      <sz val="16"/>
      <color rgb="FFC0000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28"/>
      <color theme="1"/>
      <name val="Arial"/>
      <family val="2"/>
      <scheme val="minor"/>
    </font>
    <font>
      <b/>
      <sz val="28"/>
      <color rgb="FFC00000"/>
      <name val="Arial"/>
      <family val="2"/>
      <scheme val="minor"/>
    </font>
    <font>
      <b/>
      <sz val="1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6"/>
      <color rgb="FFC00000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1"/>
      <color theme="9" tint="-0.249977111117893"/>
      <name val="Arial"/>
      <family val="2"/>
      <scheme val="minor"/>
    </font>
    <font>
      <b/>
      <sz val="11"/>
      <color rgb="FF92D050"/>
      <name val="Arial"/>
      <family val="2"/>
      <scheme val="minor"/>
    </font>
    <font>
      <b/>
      <sz val="11"/>
      <color theme="8" tint="-0.249977111117893"/>
      <name val="Arial"/>
      <family val="2"/>
      <scheme val="minor"/>
    </font>
    <font>
      <b/>
      <sz val="11"/>
      <color theme="6" tint="-0.249977111117893"/>
      <name val="Arial"/>
      <family val="2"/>
      <scheme val="minor"/>
    </font>
    <font>
      <b/>
      <sz val="11"/>
      <color theme="3" tint="0.39997558519241921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8"/>
      <color rgb="FFC00000"/>
      <name val="Arial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18"/>
      <color theme="1"/>
      <name val="Arial Narrow"/>
      <family val="2"/>
    </font>
    <font>
      <b/>
      <sz val="16"/>
      <color theme="1"/>
      <name val="Arial Narrow"/>
      <family val="2"/>
    </font>
    <font>
      <b/>
      <sz val="12"/>
      <color theme="1"/>
      <name val="Arial Narrow"/>
      <family val="2"/>
    </font>
    <font>
      <b/>
      <sz val="20"/>
      <color theme="1"/>
      <name val="Arial Narrow"/>
      <family val="2"/>
    </font>
    <font>
      <b/>
      <sz val="11"/>
      <color rgb="FFC00000"/>
      <name val="Arial Narrow"/>
      <family val="2"/>
    </font>
    <font>
      <b/>
      <sz val="14"/>
      <color rgb="FFC00000"/>
      <name val="Arial Narrow"/>
      <family val="2"/>
    </font>
    <font>
      <b/>
      <sz val="12"/>
      <color rgb="FFC00000"/>
      <name val="Arial Narrow"/>
      <family val="2"/>
    </font>
    <font>
      <b/>
      <sz val="18"/>
      <color rgb="FFC00000"/>
      <name val="Arial Narrow"/>
      <family val="2"/>
    </font>
    <font>
      <b/>
      <sz val="16"/>
      <color rgb="FFC00000"/>
      <name val="Arial Narrow"/>
      <family val="2"/>
    </font>
    <font>
      <sz val="12"/>
      <color theme="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b/>
      <sz val="12"/>
      <color theme="9" tint="-0.249977111117893"/>
      <name val="Arial Narrow"/>
      <family val="2"/>
    </font>
    <font>
      <b/>
      <sz val="12"/>
      <color theme="6" tint="-0.249977111117893"/>
      <name val="Arial Narrow"/>
      <family val="2"/>
    </font>
    <font>
      <b/>
      <sz val="11"/>
      <color rgb="FF0070C0"/>
      <name val="Arial Narrow"/>
      <family val="2"/>
    </font>
    <font>
      <b/>
      <sz val="14"/>
      <color rgb="FF0070C0"/>
      <name val="Arial Narrow"/>
      <family val="2"/>
    </font>
    <font>
      <b/>
      <sz val="12"/>
      <color rgb="FF0070C0"/>
      <name val="Arial Narrow"/>
      <family val="2"/>
    </font>
    <font>
      <b/>
      <sz val="18"/>
      <color rgb="FF0070C0"/>
      <name val="Arial Narrow"/>
      <family val="2"/>
    </font>
    <font>
      <b/>
      <sz val="16"/>
      <color rgb="FF0070C0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16"/>
      <name val="Arial Narrow"/>
      <family val="2"/>
    </font>
    <font>
      <b/>
      <sz val="9"/>
      <color indexed="81"/>
      <name val="Tahoma"/>
      <family val="2"/>
    </font>
    <font>
      <b/>
      <sz val="20"/>
      <name val="Arial Narrow"/>
      <family val="2"/>
    </font>
    <font>
      <b/>
      <sz val="20"/>
      <color rgb="FFC00000"/>
      <name val="Arial Narrow"/>
      <family val="2"/>
    </font>
    <font>
      <b/>
      <sz val="9"/>
      <color rgb="FFC00000"/>
      <name val="Arial Narrow"/>
      <family val="2"/>
    </font>
    <font>
      <b/>
      <sz val="22"/>
      <color rgb="FFC00000"/>
      <name val="Arial Narrow"/>
      <family val="2"/>
    </font>
    <font>
      <b/>
      <sz val="11"/>
      <color rgb="FFFA7D00"/>
      <name val="Arial"/>
      <family val="2"/>
      <charset val="178"/>
      <scheme val="minor"/>
    </font>
    <font>
      <b/>
      <sz val="14"/>
      <color rgb="FFFA7D00"/>
      <name val="Arial"/>
      <family val="2"/>
      <charset val="178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2F2F2"/>
      </patternFill>
    </fill>
  </fills>
  <borders count="27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slantDashDot">
        <color rgb="FFC00000"/>
      </left>
      <right style="thin">
        <color theme="0" tint="-0.499984740745262"/>
      </right>
      <top style="slantDashDot">
        <color rgb="FFC0000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rgb="FFC00000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rgb="FFC00000"/>
      </right>
      <top style="slantDashDot">
        <color rgb="FFC00000"/>
      </top>
      <bottom style="thin">
        <color theme="0" tint="-0.499984740745262"/>
      </bottom>
      <diagonal/>
    </border>
    <border>
      <left style="slantDashDot">
        <color rgb="FFC0000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rgb="FFC00000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rgb="FFC00000"/>
      </left>
      <right style="thin">
        <color theme="0" tint="-0.499984740745262"/>
      </right>
      <top style="thin">
        <color theme="0" tint="-0.499984740745262"/>
      </top>
      <bottom style="slantDashDot">
        <color rgb="FFC00000"/>
      </bottom>
      <diagonal/>
    </border>
    <border>
      <left style="thin">
        <color theme="0" tint="-0.499984740745262"/>
      </left>
      <right style="slantDashDot">
        <color rgb="FFC00000"/>
      </right>
      <top style="thin">
        <color theme="0" tint="-0.499984740745262"/>
      </top>
      <bottom style="slantDashDot">
        <color rgb="FFC00000"/>
      </bottom>
      <diagonal/>
    </border>
    <border>
      <left style="slantDashDot">
        <color rgb="FFC00000"/>
      </left>
      <right style="slantDashDot">
        <color rgb="FFC00000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rgb="FFC00000"/>
      </left>
      <right style="thin">
        <color theme="0" tint="-0.499984740745262"/>
      </right>
      <top/>
      <bottom style="slantDashDot">
        <color rgb="FFC0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slantDashDot">
        <color rgb="FFC00000"/>
      </bottom>
      <diagonal/>
    </border>
    <border>
      <left style="thin">
        <color theme="0" tint="-0.499984740745262"/>
      </left>
      <right style="slantDashDot">
        <color rgb="FFC00000"/>
      </right>
      <top/>
      <bottom style="slantDashDot">
        <color rgb="FFC00000"/>
      </bottom>
      <diagonal/>
    </border>
    <border>
      <left style="slantDashDot">
        <color rgb="FFC00000"/>
      </left>
      <right style="slantDashDot">
        <color rgb="FFC00000"/>
      </right>
      <top style="slantDashDot">
        <color rgb="FFC00000"/>
      </top>
      <bottom style="thin">
        <color theme="0" tint="-0.499984740745262"/>
      </bottom>
      <diagonal/>
    </border>
    <border>
      <left style="slantDashDot">
        <color rgb="FFC00000"/>
      </left>
      <right style="slantDashDot">
        <color rgb="FFC00000"/>
      </right>
      <top style="thin">
        <color theme="0" tint="-0.499984740745262"/>
      </top>
      <bottom style="slantDashDot">
        <color rgb="FFC00000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slantDashDot">
        <color rgb="FFC00000"/>
      </top>
      <bottom style="thin">
        <color theme="0" tint="-0.499984740745262"/>
      </bottom>
      <diagonal/>
    </border>
    <border>
      <left/>
      <right style="slantDashDot">
        <color rgb="FFC0000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slantDashDot">
        <color rgb="FFC00000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slantDashDot">
        <color rgb="FFC00000"/>
      </bottom>
      <diagonal/>
    </border>
    <border>
      <left/>
      <right style="slantDashDot">
        <color rgb="FFC00000"/>
      </right>
      <top/>
      <bottom/>
      <diagonal/>
    </border>
    <border>
      <left/>
      <right style="slantDashDot">
        <color rgb="FFC00000"/>
      </right>
      <top style="thin">
        <color theme="0" tint="-0.499984740745262"/>
      </top>
      <bottom/>
      <diagonal/>
    </border>
    <border>
      <left/>
      <right style="slantDashDot">
        <color rgb="FFC00000"/>
      </right>
      <top/>
      <bottom style="thin">
        <color theme="0" tint="-0.499984740745262"/>
      </bottom>
      <diagonal/>
    </border>
    <border>
      <left style="slantDashDot">
        <color rgb="FFC00000"/>
      </left>
      <right/>
      <top style="slantDashDot">
        <color rgb="FFC00000"/>
      </top>
      <bottom/>
      <diagonal/>
    </border>
    <border>
      <left/>
      <right/>
      <top style="slantDashDot">
        <color rgb="FFC00000"/>
      </top>
      <bottom/>
      <diagonal/>
    </border>
    <border>
      <left/>
      <right style="slantDashDot">
        <color rgb="FFC00000"/>
      </right>
      <top style="slantDashDot">
        <color rgb="FFC00000"/>
      </top>
      <bottom/>
      <diagonal/>
    </border>
    <border>
      <left style="slantDashDot">
        <color rgb="FFC00000"/>
      </left>
      <right/>
      <top/>
      <bottom style="slantDashDot">
        <color rgb="FFC00000"/>
      </bottom>
      <diagonal/>
    </border>
    <border>
      <left/>
      <right/>
      <top/>
      <bottom style="slantDashDot">
        <color rgb="FFC00000"/>
      </bottom>
      <diagonal/>
    </border>
    <border>
      <left/>
      <right style="slantDashDot">
        <color rgb="FFC00000"/>
      </right>
      <top/>
      <bottom style="slantDashDot">
        <color rgb="FFC00000"/>
      </bottom>
      <diagonal/>
    </border>
    <border>
      <left style="slantDashDot">
        <color rgb="FFC00000"/>
      </left>
      <right/>
      <top/>
      <bottom/>
      <diagonal/>
    </border>
    <border>
      <left/>
      <right/>
      <top style="slantDashDot">
        <color rgb="FFC0000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rgb="FFC0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rgb="FFC00000"/>
      </bottom>
      <diagonal/>
    </border>
    <border>
      <left style="thin">
        <color theme="0" tint="-0.499984740745262"/>
      </left>
      <right style="slantDashDot">
        <color rgb="FFC00000"/>
      </right>
      <top style="thin">
        <color theme="0" tint="-0.499984740745262"/>
      </top>
      <bottom/>
      <diagonal/>
    </border>
    <border>
      <left style="slantDashDot">
        <color rgb="FFC00000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rgb="FFC00000"/>
      </top>
      <bottom/>
      <diagonal/>
    </border>
    <border>
      <left style="thin">
        <color theme="0" tint="-0.499984740745262"/>
      </left>
      <right style="slantDashDot">
        <color rgb="FFC00000"/>
      </right>
      <top style="slantDashDot">
        <color rgb="FFC00000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slantDashDot">
        <color theme="3" tint="-0.24994659260841701"/>
      </left>
      <right style="thin">
        <color theme="0" tint="-0.499984740745262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rgb="FFC00000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/>
      <right style="thin">
        <color theme="0" tint="-0.499984740745262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theme="3" tint="-0.24994659260841701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slant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3" tint="-0.24994659260841701"/>
      </right>
      <top style="slantDashDot">
        <color theme="3" tint="-0.24994659260841701"/>
      </top>
      <bottom style="thin">
        <color theme="0" tint="-0.499984740745262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3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thin">
        <color theme="0" tint="-0.499984740745262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theme="3" tint="-0.24994659260841701"/>
      </right>
      <top style="thin">
        <color theme="0" tint="-0.499984740745262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rgb="FFC00000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3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rgb="FFC00000"/>
      </right>
      <top style="slantDashDot">
        <color theme="3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slant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slantDashDot">
        <color theme="3" tint="-0.24994659260841701"/>
      </top>
      <bottom/>
      <diagonal/>
    </border>
    <border>
      <left style="thin">
        <color theme="0" tint="-0.499984740745262"/>
      </left>
      <right style="slantDashDot">
        <color theme="3" tint="-0.24994659260841701"/>
      </right>
      <top style="slantDashDot">
        <color theme="3" tint="-0.24994659260841701"/>
      </top>
      <bottom/>
      <diagonal/>
    </border>
    <border>
      <left style="thin">
        <color theme="0" tint="-0.499984740745262"/>
      </left>
      <right style="slantDashDot">
        <color theme="3" tint="-0.24994659260841701"/>
      </right>
      <top style="thin">
        <color theme="0" tint="-0.499984740745262"/>
      </top>
      <bottom/>
      <diagonal/>
    </border>
    <border>
      <left style="slantDashDot">
        <color theme="3" tint="-0.24994659260841701"/>
      </left>
      <right style="thin">
        <color theme="0" tint="-0.499984740745262"/>
      </right>
      <top/>
      <bottom style="slantDashDot">
        <color theme="3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rgb="FFC00000"/>
      </right>
      <top/>
      <bottom style="slantDashDot">
        <color theme="3" tint="-0.24994659260841701"/>
      </bottom>
      <diagonal/>
    </border>
    <border>
      <left/>
      <right style="thin">
        <color theme="0" tint="-0.499984740745262"/>
      </right>
      <top/>
      <bottom style="slantDashDot">
        <color theme="3" tint="-0.24994659260841701"/>
      </bottom>
      <diagonal/>
    </border>
    <border>
      <left style="thin">
        <color theme="0" tint="-0.499984740745262"/>
      </left>
      <right/>
      <top/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theme="3" tint="-0.24994659260841701"/>
      </right>
      <top/>
      <bottom style="slantDashDot">
        <color theme="3" tint="-0.24994659260841701"/>
      </bottom>
      <diagonal/>
    </border>
    <border>
      <left/>
      <right/>
      <top style="slant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slant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3" tint="-0.24994659260841701"/>
      </bottom>
      <diagonal/>
    </border>
    <border>
      <left style="thin">
        <color theme="0" tint="-0.499984740745262"/>
      </left>
      <right style="slantDashDot">
        <color rgb="FFC00000"/>
      </right>
      <top style="thin">
        <color theme="0" tint="-0.499984740745262"/>
      </top>
      <bottom style="slantDashDot">
        <color theme="3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theme="3" tint="-0.24994659260841701"/>
      </bottom>
      <diagonal/>
    </border>
    <border>
      <left/>
      <right style="slantDashDot">
        <color theme="3" tint="-0.24994659260841701"/>
      </right>
      <top style="thin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/>
      <top style="slantDashDot">
        <color theme="3" tint="-0.24994659260841701"/>
      </top>
      <bottom/>
      <diagonal/>
    </border>
    <border>
      <left/>
      <right style="slantDashDot">
        <color theme="3" tint="-0.24994659260841701"/>
      </right>
      <top style="slantDashDot">
        <color theme="3" tint="-0.24994659260841701"/>
      </top>
      <bottom/>
      <diagonal/>
    </border>
    <border>
      <left style="slantDashDot">
        <color theme="3" tint="-0.24994659260841701"/>
      </left>
      <right/>
      <top/>
      <bottom style="slantDashDot">
        <color theme="3" tint="-0.24994659260841701"/>
      </bottom>
      <diagonal/>
    </border>
    <border>
      <left/>
      <right style="slantDashDot">
        <color theme="3" tint="-0.24994659260841701"/>
      </right>
      <top/>
      <bottom style="slantDashDot">
        <color theme="3" tint="-0.24994659260841701"/>
      </bottom>
      <diagonal/>
    </border>
    <border>
      <left/>
      <right/>
      <top style="slantDashDot">
        <color theme="3" tint="-0.24994659260841701"/>
      </top>
      <bottom/>
      <diagonal/>
    </border>
    <border>
      <left/>
      <right/>
      <top/>
      <bottom style="slantDashDot">
        <color theme="3" tint="-0.24994659260841701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5117038483843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511703848384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5117038483843"/>
      </right>
      <top style="thin">
        <color theme="3" tint="0.79998168889431442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slantDashDot">
        <color theme="3" tint="-0.24994659260841701"/>
      </top>
      <bottom/>
      <diagonal/>
    </border>
    <border>
      <left style="slantDashDot">
        <color theme="3" tint="-0.24994659260841701"/>
      </left>
      <right style="slantDashDot">
        <color theme="3" tint="-0.24994659260841701"/>
      </right>
      <top/>
      <bottom/>
      <diagonal/>
    </border>
    <border>
      <left style="slantDashDot">
        <color theme="3" tint="-0.24994659260841701"/>
      </left>
      <right style="slantDashDot">
        <color theme="3" tint="-0.24994659260841701"/>
      </right>
      <top/>
      <bottom style="slantDashDot">
        <color theme="3" tint="-0.24994659260841701"/>
      </bottom>
      <diagonal/>
    </border>
    <border>
      <left style="slantDashDot">
        <color theme="3" tint="-0.24994659260841701"/>
      </left>
      <right/>
      <top/>
      <bottom/>
      <diagonal/>
    </border>
    <border>
      <left style="slantDashDot">
        <color theme="3" tint="-0.24994659260841701"/>
      </left>
      <right/>
      <top/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slantDashDot">
        <color theme="3" tint="-0.24994659260841701"/>
      </right>
      <top style="slantDashDot">
        <color theme="3" tint="-0.24994659260841701"/>
      </top>
      <bottom style="thin">
        <color theme="0" tint="-0.499984740745262"/>
      </bottom>
      <diagonal/>
    </border>
    <border>
      <left/>
      <right style="slantDashDot">
        <color theme="3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slantDashDot">
        <color theme="3" tint="-0.24994659260841701"/>
      </top>
      <bottom/>
      <diagonal/>
    </border>
    <border>
      <left/>
      <right style="thin">
        <color theme="0" tint="-0.499984740745262"/>
      </right>
      <top style="slantDashDot">
        <color theme="3" tint="-0.24994659260841701"/>
      </top>
      <bottom/>
      <diagonal/>
    </border>
    <border>
      <left style="thin">
        <color theme="0" tint="-0.499984740745262"/>
      </left>
      <right/>
      <top style="slantDashDot">
        <color theme="3" tint="-0.24994659260841701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/>
      <top style="slantDashDot">
        <color theme="3" tint="-0.24994659260841701"/>
      </top>
      <bottom style="thin">
        <color theme="0" tint="-0.499984740745262"/>
      </bottom>
      <diagonal/>
    </border>
    <border>
      <left/>
      <right style="slantDashDot">
        <color theme="3" tint="-0.24994659260841701"/>
      </right>
      <top style="thin">
        <color theme="0" tint="-0.499984740745262"/>
      </top>
      <bottom/>
      <diagonal/>
    </border>
    <border>
      <left/>
      <right/>
      <top style="slantDashDot">
        <color theme="3" tint="-0.24994659260841701"/>
      </top>
      <bottom style="slantDashDot">
        <color theme="3" tint="-0.24994659260841701"/>
      </bottom>
      <diagonal/>
    </border>
    <border>
      <left/>
      <right/>
      <top style="thin">
        <color theme="3" tint="0.79995117038483843"/>
      </top>
      <bottom style="thin">
        <color theme="3" tint="0.79998168889431442"/>
      </bottom>
      <diagonal/>
    </border>
    <border>
      <left/>
      <right style="slantDashDot">
        <color theme="3" tint="-0.24994659260841701"/>
      </right>
      <top style="slantDashDot">
        <color theme="3" tint="-0.24994659260841701"/>
      </top>
      <bottom style="slantDashDot">
        <color theme="3" tint="-0.24994659260841701"/>
      </bottom>
      <diagonal/>
    </border>
    <border>
      <left/>
      <right style="slantDashDot">
        <color theme="3" tint="-0.24994659260841701"/>
      </right>
      <top/>
      <bottom/>
      <diagonal/>
    </border>
    <border>
      <left style="slantDashDot">
        <color theme="3" tint="-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slantDashDot">
        <color theme="3" tint="-0.24994659260841701"/>
      </right>
      <top/>
      <bottom/>
      <diagonal/>
    </border>
    <border>
      <left style="mediumDashDot">
        <color theme="3" tint="-0.24994659260841701"/>
      </left>
      <right style="thin">
        <color theme="0" tint="-0.499984740745262"/>
      </right>
      <top style="thin">
        <color theme="0" tint="-0.499984740745262"/>
      </top>
      <bottom style="mediumDashDot">
        <color theme="3" tint="-0.24994659260841701"/>
      </bottom>
      <diagonal/>
    </border>
    <border>
      <left style="thin">
        <color theme="0" tint="-0.499984740745262"/>
      </left>
      <right style="mediumDashDot">
        <color theme="3" tint="-0.24994659260841701"/>
      </right>
      <top style="thin">
        <color theme="0" tint="-0.499984740745262"/>
      </top>
      <bottom style="mediumDashDot">
        <color theme="3" tint="-0.24994659260841701"/>
      </bottom>
      <diagonal/>
    </border>
    <border>
      <left style="mediumDashDot">
        <color theme="3" tint="-0.24994659260841701"/>
      </left>
      <right style="thin">
        <color theme="0" tint="-0.499984740745262"/>
      </right>
      <top style="medium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mediumDashDot">
        <color theme="3" tint="-0.24994659260841701"/>
      </right>
      <top style="mediumDashDot">
        <color theme="3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DashDot">
        <color theme="3" tint="-0.24994659260841701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3" tint="-0.24994659260841701"/>
      </left>
      <right/>
      <top style="slantDashDot">
        <color theme="3" tint="-0.24994659260841701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3" tint="-0.24994659260841701"/>
      </right>
      <top/>
      <bottom style="thin">
        <color theme="0" tint="-0.499984740745262"/>
      </bottom>
      <diagonal/>
    </border>
    <border>
      <left/>
      <right style="slantDashDot">
        <color theme="3" tint="-0.2499465926084170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slantDashDot">
        <color theme="3" tint="-0.24994659260841701"/>
      </top>
      <bottom style="thin">
        <color theme="0" tint="-0.499984740745262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thin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/>
      <top style="thin">
        <color theme="0" tint="-0.499984740745262"/>
      </top>
      <bottom/>
      <diagonal/>
    </border>
    <border>
      <left style="slantDashDot">
        <color rgb="FFC00000"/>
      </left>
      <right style="thin">
        <color theme="0" tint="-0.499984740745262"/>
      </right>
      <top/>
      <bottom/>
      <diagonal/>
    </border>
    <border>
      <left style="slantDashDot">
        <color theme="3" tint="-0.24994659260841701"/>
      </left>
      <right style="slantDashDot">
        <color theme="3" tint="-0.24994659260841701"/>
      </right>
      <top/>
      <bottom style="thin">
        <color theme="0" tint="-0.499984740745262"/>
      </bottom>
      <diagonal/>
    </border>
    <border>
      <left style="slantDashDot">
        <color theme="1" tint="4.9989318521683403E-2"/>
      </left>
      <right style="thin">
        <color theme="0" tint="-0.499984740745262"/>
      </right>
      <top style="slantDashDot">
        <color theme="1" tint="4.9989318521683403E-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1" tint="4.9989318521683403E-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1" tint="4.9989318521683403E-2"/>
      </top>
      <bottom/>
      <diagonal/>
    </border>
    <border>
      <left style="thin">
        <color theme="0" tint="-0.499984740745262"/>
      </left>
      <right style="slantDashDot">
        <color theme="1" tint="4.9989318521683403E-2"/>
      </right>
      <top style="slantDashDot">
        <color theme="1" tint="4.9989318521683403E-2"/>
      </top>
      <bottom style="thin">
        <color theme="0" tint="-0.499984740745262"/>
      </bottom>
      <diagonal/>
    </border>
    <border>
      <left style="slantDashDot">
        <color theme="1" tint="4.9989318521683403E-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1" tint="4.9989318521683403E-2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1" tint="4.9989318521683403E-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slantDashDot">
        <color theme="1" tint="4.9989318521683403E-2"/>
      </left>
      <right style="thin">
        <color theme="0" tint="-0.499984740745262"/>
      </right>
      <top/>
      <bottom style="slantDashDot">
        <color theme="1" tint="4.9989318521683403E-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1" tint="4.9989318521683403E-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slantDashDot">
        <color theme="1" tint="4.9989318521683403E-2"/>
      </bottom>
      <diagonal/>
    </border>
    <border>
      <left style="thin">
        <color theme="0" tint="-0.499984740745262"/>
      </left>
      <right style="slantDashDot">
        <color theme="1" tint="4.9989318521683403E-2"/>
      </right>
      <top style="thin">
        <color theme="0" tint="-0.499984740745262"/>
      </top>
      <bottom style="slantDashDot">
        <color theme="1" tint="4.9989318521683403E-2"/>
      </bottom>
      <diagonal/>
    </border>
    <border>
      <left style="slantDashDot">
        <color theme="3" tint="-0.24994659260841701"/>
      </left>
      <right style="medium">
        <color theme="0" tint="-0.499984740745262"/>
      </right>
      <top style="medium">
        <color theme="0" tint="-0.499984740745262"/>
      </top>
      <bottom style="slantDashDot">
        <color theme="3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slantDashDot">
        <color theme="3" tint="-0.24994659260841701"/>
      </bottom>
      <diagonal/>
    </border>
    <border>
      <left style="medium">
        <color theme="0" tint="-0.499984740745262"/>
      </left>
      <right style="slantDashDot">
        <color theme="3" tint="-0.24994659260841701"/>
      </right>
      <top style="medium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24994659260841701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3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slantDashDot">
        <color theme="3" tint="-0.24994659260841701"/>
      </left>
      <right/>
      <top/>
      <bottom style="thin">
        <color theme="0" tint="-0.499984740745262"/>
      </bottom>
      <diagonal/>
    </border>
    <border>
      <left style="slantDashDot">
        <color theme="3" tint="-0.24994659260841701"/>
      </left>
      <right style="slantDashDot">
        <color theme="3" tint="-0.24994659260841701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/>
      <right style="slantDashDot">
        <color theme="0" tint="-0.499984740745262"/>
      </right>
      <top/>
      <bottom style="slantDashDot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/>
      <right style="slantDashDot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/>
      <right style="slantDashDot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/>
      <right style="slantDashDot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 style="slantDashDot">
        <color theme="0" tint="-0.499984740745262"/>
      </top>
      <bottom style="slantDashDot">
        <color theme="0" tint="-0.499984740745262"/>
      </bottom>
      <diagonal/>
    </border>
    <border>
      <left/>
      <right style="thin">
        <color theme="0" tint="-0.499984740745262"/>
      </right>
      <top style="slantDashDot">
        <color theme="0" tint="-0.499984740745262"/>
      </top>
      <bottom style="slantDashDot">
        <color theme="0" tint="-0.499984740745262"/>
      </bottom>
      <diagonal/>
    </border>
    <border>
      <left/>
      <right style="slantDashDot">
        <color theme="0" tint="-0.499984740745262"/>
      </right>
      <top style="slantDashDot">
        <color theme="0" tint="-0.499984740745262"/>
      </top>
      <bottom style="slantDashDot">
        <color theme="0" tint="-0.499984740745262"/>
      </bottom>
      <diagonal/>
    </border>
    <border>
      <left/>
      <right/>
      <top style="slantDashDot">
        <color theme="0" tint="-0.499984740745262"/>
      </top>
      <bottom style="slantDashDot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 style="slantDashDot">
        <color theme="0" tint="-0.499984740745262"/>
      </top>
      <bottom/>
      <diagonal/>
    </border>
    <border>
      <left/>
      <right style="thin">
        <color theme="0" tint="-0.499984740745262"/>
      </right>
      <top style="slantDashDot">
        <color theme="0" tint="-0.499984740745262"/>
      </top>
      <bottom/>
      <diagonal/>
    </border>
    <border>
      <left style="thin">
        <color theme="0" tint="-0.499984740745262"/>
      </left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slantDashDot">
        <color theme="0" tint="-0.499984740745262"/>
      </right>
      <top/>
      <bottom style="thin">
        <color theme="0" tint="-0.499984740745262"/>
      </bottom>
      <diagonal/>
    </border>
    <border>
      <left style="slantDashDot">
        <color theme="0" tint="-0.499984740745262"/>
      </left>
      <right style="thin">
        <color theme="0" tint="-0.499984740745262"/>
      </right>
      <top/>
      <bottom style="slantDashDot">
        <color theme="0" tint="-0.499984740745262"/>
      </bottom>
      <diagonal/>
    </border>
    <border>
      <left/>
      <right style="thin">
        <color theme="0" tint="-0.499984740745262"/>
      </right>
      <top/>
      <bottom style="slant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0" tint="-0.499984740745262"/>
      </top>
      <bottom style="slantDashDot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 style="slantDashDot">
        <color theme="0" tint="-0.499984740745262"/>
      </top>
      <bottom style="slantDashDot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slantDashDot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/>
      <bottom style="slantDashDot">
        <color theme="0" tint="-0.499984740745262"/>
      </bottom>
      <diagonal/>
    </border>
    <border>
      <left style="slantDashDot">
        <color theme="0" tint="-0.499984740745262"/>
      </left>
      <right/>
      <top style="slantDashDot">
        <color theme="0" tint="-0.499984740745262"/>
      </top>
      <bottom style="thin">
        <color theme="0" tint="-0.499984740745262"/>
      </bottom>
      <diagonal/>
    </border>
    <border>
      <left/>
      <right/>
      <top style="slantDashDot">
        <color theme="0" tint="-0.499984740745262"/>
      </top>
      <bottom style="thin">
        <color theme="0" tint="-0.499984740745262"/>
      </bottom>
      <diagonal/>
    </border>
    <border>
      <left style="slantDashDot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0" tint="-0.499984740745262"/>
      </left>
      <right/>
      <top style="thin">
        <color theme="0" tint="-0.499984740745262"/>
      </top>
      <bottom style="slantDashDot">
        <color theme="0" tint="-0.499984740745262"/>
      </bottom>
      <diagonal/>
    </border>
    <border>
      <left/>
      <right/>
      <top style="thin">
        <color theme="0" tint="-0.499984740745262"/>
      </top>
      <bottom style="slantDashDot">
        <color theme="0" tint="-0.499984740745262"/>
      </bottom>
      <diagonal/>
    </border>
    <border>
      <left style="slantDashDot">
        <color theme="0" tint="-0.499984740745262"/>
      </left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 style="slantDashDot">
        <color theme="0" tint="-0.499984740745262"/>
      </right>
      <top/>
      <bottom style="slantDashDot">
        <color theme="0" tint="-0.499984740745262"/>
      </bottom>
      <diagonal/>
    </border>
    <border>
      <left style="slantDashDot">
        <color theme="0" tint="-0.499984740745262"/>
      </left>
      <right style="slantDashDot">
        <color theme="0" tint="-0.499984740745262"/>
      </right>
      <top style="slantDashDot">
        <color theme="0" tint="-0.499984740745262"/>
      </top>
      <bottom style="thin">
        <color theme="0" tint="-0.499984740745262"/>
      </bottom>
      <diagonal/>
    </border>
    <border>
      <left style="slantDashDot">
        <color theme="0" tint="-0.499984740745262"/>
      </left>
      <right style="slantDashDot">
        <color theme="0" tint="-0.499984740745262"/>
      </right>
      <top style="thin">
        <color theme="0" tint="-0.499984740745262"/>
      </top>
      <bottom style="slantDashDot">
        <color theme="0" tint="-0.499984740745262"/>
      </bottom>
      <diagonal/>
    </border>
    <border>
      <left style="slantDashDot">
        <color theme="0" tint="-0.499984740745262"/>
      </left>
      <right style="slantDashDot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0" tint="-0.499984740745262"/>
      </right>
      <top/>
      <bottom style="thin">
        <color theme="0" tint="-0.499984740745262"/>
      </bottom>
      <diagonal/>
    </border>
    <border>
      <left style="slantDashDot">
        <color theme="0" tint="-0.499984740745262"/>
      </left>
      <right style="slantDashDot">
        <color theme="0" tint="-0.499984740745262"/>
      </right>
      <top/>
      <bottom style="thin">
        <color theme="0" tint="-0.499984740745262"/>
      </bottom>
      <diagonal/>
    </border>
    <border>
      <left style="slantDashDot">
        <color theme="0" tint="-0.499984740745262"/>
      </left>
      <right/>
      <top style="slantDashDot">
        <color theme="0" tint="-0.499984740745262"/>
      </top>
      <bottom style="slantDashDot">
        <color theme="0" tint="-0.499984740745262"/>
      </bottom>
      <diagonal/>
    </border>
    <border>
      <left/>
      <right style="slantDashDot">
        <color theme="0" tint="-0.499984740745262"/>
      </right>
      <top/>
      <bottom/>
      <diagonal/>
    </border>
    <border>
      <left style="slantDashDot">
        <color theme="0" tint="-0.499984740745262"/>
      </left>
      <right/>
      <top/>
      <bottom/>
      <diagonal/>
    </border>
    <border>
      <left style="slantDashDot">
        <color theme="0" tint="-0.499984740745262"/>
      </left>
      <right/>
      <top style="slantDashDot">
        <color theme="0" tint="-0.499984740745262"/>
      </top>
      <bottom/>
      <diagonal/>
    </border>
    <border>
      <left/>
      <right/>
      <top style="slantDashDot">
        <color theme="0" tint="-0.499984740745262"/>
      </top>
      <bottom/>
      <diagonal/>
    </border>
    <border>
      <left/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/>
      <top/>
      <bottom style="slantDashDot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  <border>
      <left style="slantDashDot">
        <color theme="3" tint="-0.24994659260841701"/>
      </left>
      <right/>
      <top style="thin">
        <color theme="0" tint="-0.499984740745262"/>
      </top>
      <bottom style="slantDashDot">
        <color theme="3" tint="-0.24994659260841701"/>
      </bottom>
      <diagonal/>
    </border>
    <border>
      <left style="slantDashDot">
        <color theme="3" tint="-0.499984740745262"/>
      </left>
      <right style="slantDashDot">
        <color theme="3" tint="-0.499984740745262"/>
      </right>
      <top style="slantDashDot">
        <color theme="3" tint="-0.499984740745262"/>
      </top>
      <bottom style="thin">
        <color theme="0" tint="-0.499984740745262"/>
      </bottom>
      <diagonal/>
    </border>
    <border>
      <left style="slantDashDot">
        <color theme="3" tint="-0.499984740745262"/>
      </left>
      <right style="slantDashDot">
        <color theme="3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slantDashDot">
        <color theme="3" tint="-0.499984740745262"/>
      </left>
      <right style="slantDashDot">
        <color theme="3" tint="-0.499984740745262"/>
      </right>
      <top style="thin">
        <color theme="0" tint="-0.499984740745262"/>
      </top>
      <bottom style="slantDashDot">
        <color theme="3" tint="-0.499984740745262"/>
      </bottom>
      <diagonal/>
    </border>
    <border>
      <left style="slantDashDot">
        <color theme="3" tint="-0.499984740745262"/>
      </left>
      <right style="thin">
        <color theme="0" tint="-0.499984740745262"/>
      </right>
      <top style="slantDashDot">
        <color theme="3" tint="-0.499984740745262"/>
      </top>
      <bottom style="slantDashDot">
        <color theme="3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3" tint="-0.499984740745262"/>
      </top>
      <bottom style="slantDashDot">
        <color theme="3" tint="-0.499984740745262"/>
      </bottom>
      <diagonal/>
    </border>
    <border>
      <left style="thin">
        <color theme="0" tint="-0.499984740745262"/>
      </left>
      <right style="slantDashDot">
        <color theme="3" tint="-0.499984740745262"/>
      </right>
      <top style="slantDashDot">
        <color theme="3" tint="-0.499984740745262"/>
      </top>
      <bottom style="slantDashDot">
        <color theme="3" tint="-0.499984740745262"/>
      </bottom>
      <diagonal/>
    </border>
    <border>
      <left style="slantDashDot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slantDashDot">
        <color theme="3" tint="-0.24994659260841701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 style="thin">
        <color theme="0" tint="-0.499984740745262"/>
      </bottom>
      <diagonal/>
    </border>
    <border>
      <left/>
      <right style="thick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 style="slantDashDot">
        <color rgb="FFC00000"/>
      </right>
      <top/>
      <bottom/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slantDashDot">
        <color theme="1" tint="0.14996795556505021"/>
      </left>
      <right style="thin">
        <color theme="0" tint="-0.499984740745262"/>
      </right>
      <top style="slantDashDot">
        <color theme="1" tint="0.14996795556505021"/>
      </top>
      <bottom/>
      <diagonal/>
    </border>
    <border>
      <left/>
      <right/>
      <top style="slantDashDot">
        <color theme="1" tint="0.14996795556505021"/>
      </top>
      <bottom/>
      <diagonal/>
    </border>
    <border>
      <left style="slantDashDot">
        <color theme="1" tint="0.14996795556505021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slantDashDot">
        <color theme="1" tint="0.1499679555650502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1" tint="0.1499679555650502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slantDashDot">
        <color theme="1" tint="0.14996795556505021"/>
      </right>
      <top style="thin">
        <color theme="0" tint="-0.499984740745262"/>
      </top>
      <bottom/>
      <diagonal/>
    </border>
    <border>
      <left style="slantDashDot">
        <color theme="1" tint="0.14996795556505021"/>
      </left>
      <right style="thin">
        <color theme="0" tint="-0.499984740745262"/>
      </right>
      <top/>
      <bottom style="slantDashDot">
        <color theme="1" tint="0.14996795556505021"/>
      </bottom>
      <diagonal/>
    </border>
    <border>
      <left/>
      <right/>
      <top/>
      <bottom style="slantDashDot">
        <color theme="1" tint="0.14996795556505021"/>
      </bottom>
      <diagonal/>
    </border>
    <border>
      <left/>
      <right/>
      <top/>
      <bottom style="slantDashDot">
        <color theme="1" tint="0.1499374370555742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slantDashDot">
        <color theme="1" tint="0.1499679555650502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slantDashDot">
        <color theme="1" tint="0.149967955565050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23" borderId="274" applyNumberFormat="0" applyAlignment="0" applyProtection="0"/>
  </cellStyleXfs>
  <cellXfs count="487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/>
    </xf>
    <xf numFmtId="167" fontId="2" fillId="0" borderId="1" xfId="1" applyNumberFormat="1" applyFont="1" applyBorder="1" applyAlignment="1">
      <alignment horizontal="center" vertical="center"/>
    </xf>
    <xf numFmtId="9" fontId="0" fillId="0" borderId="1" xfId="1" applyNumberFormat="1" applyFont="1" applyBorder="1" applyAlignment="1">
      <alignment horizontal="center" vertical="center"/>
    </xf>
    <xf numFmtId="9" fontId="0" fillId="0" borderId="0" xfId="1" applyNumberFormat="1" applyFont="1" applyAlignment="1">
      <alignment horizontal="center" vertical="center"/>
    </xf>
    <xf numFmtId="9" fontId="2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9" fontId="2" fillId="0" borderId="1" xfId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9" fontId="2" fillId="0" borderId="2" xfId="1" applyNumberFormat="1" applyFont="1" applyBorder="1" applyAlignment="1">
      <alignment horizontal="center" vertical="center"/>
    </xf>
    <xf numFmtId="167" fontId="2" fillId="0" borderId="2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9" fontId="2" fillId="0" borderId="3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166" fontId="0" fillId="0" borderId="1" xfId="1" applyNumberFormat="1" applyFont="1" applyBorder="1" applyAlignment="1">
      <alignment horizontal="center" vertical="center"/>
    </xf>
    <xf numFmtId="9" fontId="2" fillId="0" borderId="0" xfId="1" applyNumberFormat="1" applyFont="1" applyBorder="1" applyAlignment="1">
      <alignment horizontal="center" vertical="center"/>
    </xf>
    <xf numFmtId="167" fontId="2" fillId="0" borderId="0" xfId="1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166" fontId="2" fillId="2" borderId="1" xfId="0" applyNumberFormat="1" applyFont="1" applyFill="1" applyBorder="1" applyAlignment="1">
      <alignment horizontal="center" vertical="center"/>
    </xf>
    <xf numFmtId="9" fontId="2" fillId="2" borderId="1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167" fontId="0" fillId="0" borderId="4" xfId="1" applyNumberFormat="1" applyFon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66" fontId="0" fillId="0" borderId="4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7" fontId="4" fillId="0" borderId="1" xfId="1" applyNumberFormat="1" applyFont="1" applyBorder="1" applyAlignment="1">
      <alignment horizontal="center" vertical="center"/>
    </xf>
    <xf numFmtId="167" fontId="5" fillId="0" borderId="1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7" fontId="9" fillId="0" borderId="1" xfId="1" applyNumberFormat="1" applyFont="1" applyBorder="1" applyAlignment="1">
      <alignment horizontal="center" vertical="center"/>
    </xf>
    <xf numFmtId="167" fontId="0" fillId="0" borderId="0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7" fontId="4" fillId="0" borderId="0" xfId="1" applyNumberFormat="1" applyFont="1" applyBorder="1" applyAlignment="1">
      <alignment horizontal="center" vertical="center"/>
    </xf>
    <xf numFmtId="166" fontId="9" fillId="0" borderId="1" xfId="1" applyNumberFormat="1" applyFon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9" fontId="0" fillId="0" borderId="3" xfId="1" applyNumberFormat="1" applyFon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 vertical="center"/>
    </xf>
    <xf numFmtId="9" fontId="0" fillId="0" borderId="0" xfId="1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165" fontId="0" fillId="0" borderId="0" xfId="2" applyFont="1" applyAlignment="1">
      <alignment horizontal="center" vertical="center"/>
    </xf>
    <xf numFmtId="9" fontId="4" fillId="0" borderId="1" xfId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10" fillId="3" borderId="1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9" fontId="4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6" fontId="18" fillId="3" borderId="1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9" fontId="4" fillId="0" borderId="0" xfId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9" fontId="4" fillId="4" borderId="1" xfId="1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166" fontId="4" fillId="5" borderId="22" xfId="0" applyNumberFormat="1" applyFont="1" applyFill="1" applyBorder="1" applyAlignment="1">
      <alignment horizontal="center" vertical="center"/>
    </xf>
    <xf numFmtId="9" fontId="4" fillId="5" borderId="22" xfId="1" applyFont="1" applyFill="1" applyBorder="1" applyAlignment="1">
      <alignment horizontal="center" vertical="center"/>
    </xf>
    <xf numFmtId="166" fontId="4" fillId="5" borderId="18" xfId="0" applyNumberFormat="1" applyFont="1" applyFill="1" applyBorder="1" applyAlignment="1">
      <alignment horizontal="center" vertical="center"/>
    </xf>
    <xf numFmtId="9" fontId="4" fillId="5" borderId="18" xfId="1" applyFont="1" applyFill="1" applyBorder="1" applyAlignment="1">
      <alignment horizontal="center" vertical="center"/>
    </xf>
    <xf numFmtId="166" fontId="4" fillId="5" borderId="23" xfId="0" applyNumberFormat="1" applyFont="1" applyFill="1" applyBorder="1" applyAlignment="1">
      <alignment horizontal="center" vertical="center"/>
    </xf>
    <xf numFmtId="9" fontId="4" fillId="5" borderId="23" xfId="1" applyFont="1" applyFill="1" applyBorder="1" applyAlignment="1">
      <alignment horizontal="center" vertical="center"/>
    </xf>
    <xf numFmtId="166" fontId="2" fillId="5" borderId="11" xfId="0" applyNumberFormat="1" applyFont="1" applyFill="1" applyBorder="1" applyAlignment="1">
      <alignment horizontal="center" vertical="center"/>
    </xf>
    <xf numFmtId="166" fontId="2" fillId="5" borderId="14" xfId="0" applyNumberFormat="1" applyFont="1" applyFill="1" applyBorder="1" applyAlignment="1">
      <alignment horizontal="center" vertical="center"/>
    </xf>
    <xf numFmtId="166" fontId="2" fillId="5" borderId="16" xfId="0" applyNumberFormat="1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166" fontId="2" fillId="5" borderId="12" xfId="0" applyNumberFormat="1" applyFont="1" applyFill="1" applyBorder="1" applyAlignment="1">
      <alignment horizontal="center" vertical="center"/>
    </xf>
    <xf numFmtId="9" fontId="2" fillId="5" borderId="12" xfId="1" applyNumberFormat="1" applyFont="1" applyFill="1" applyBorder="1" applyAlignment="1">
      <alignment horizontal="center" vertical="center"/>
    </xf>
    <xf numFmtId="166" fontId="2" fillId="5" borderId="13" xfId="0" applyNumberFormat="1" applyFont="1" applyFill="1" applyBorder="1" applyAlignment="1">
      <alignment horizontal="center" vertical="center"/>
    </xf>
    <xf numFmtId="9" fontId="2" fillId="5" borderId="13" xfId="1" applyNumberFormat="1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9" fontId="2" fillId="5" borderId="1" xfId="1" applyNumberFormat="1" applyFont="1" applyFill="1" applyBorder="1" applyAlignment="1">
      <alignment horizontal="center" vertical="center"/>
    </xf>
    <xf numFmtId="166" fontId="2" fillId="5" borderId="15" xfId="0" applyNumberFormat="1" applyFont="1" applyFill="1" applyBorder="1" applyAlignment="1">
      <alignment horizontal="center" vertical="center"/>
    </xf>
    <xf numFmtId="9" fontId="2" fillId="5" borderId="15" xfId="1" applyNumberFormat="1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166" fontId="2" fillId="5" borderId="20" xfId="0" applyNumberFormat="1" applyFont="1" applyFill="1" applyBorder="1" applyAlignment="1">
      <alignment horizontal="center" vertical="center"/>
    </xf>
    <xf numFmtId="9" fontId="2" fillId="5" borderId="20" xfId="1" applyNumberFormat="1" applyFont="1" applyFill="1" applyBorder="1" applyAlignment="1">
      <alignment horizontal="center" vertical="center"/>
    </xf>
    <xf numFmtId="166" fontId="2" fillId="5" borderId="21" xfId="0" applyNumberFormat="1" applyFont="1" applyFill="1" applyBorder="1" applyAlignment="1">
      <alignment horizontal="center" vertical="center"/>
    </xf>
    <xf numFmtId="9" fontId="2" fillId="5" borderId="17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9" fontId="2" fillId="4" borderId="1" xfId="1" applyNumberFormat="1" applyFont="1" applyFill="1" applyBorder="1" applyAlignment="1">
      <alignment horizontal="center" vertical="center"/>
    </xf>
    <xf numFmtId="166" fontId="4" fillId="0" borderId="1" xfId="2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8" fontId="0" fillId="0" borderId="0" xfId="2" applyNumberFormat="1" applyFont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 textRotation="255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9" fontId="0" fillId="0" borderId="6" xfId="1" applyNumberFormat="1" applyFont="1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166" fontId="2" fillId="0" borderId="10" xfId="0" applyNumberFormat="1" applyFont="1" applyBorder="1" applyAlignment="1">
      <alignment horizontal="center" vertical="center"/>
    </xf>
    <xf numFmtId="9" fontId="0" fillId="0" borderId="24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9" fontId="2" fillId="0" borderId="4" xfId="1" applyNumberFormat="1" applyFont="1" applyBorder="1" applyAlignment="1">
      <alignment horizontal="center" vertical="center"/>
    </xf>
    <xf numFmtId="9" fontId="4" fillId="0" borderId="4" xfId="1" applyFont="1" applyBorder="1" applyAlignment="1">
      <alignment horizontal="center" vertical="center"/>
    </xf>
    <xf numFmtId="9" fontId="18" fillId="0" borderId="1" xfId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5" borderId="8" xfId="0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2" fontId="0" fillId="0" borderId="0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6" fontId="2" fillId="4" borderId="8" xfId="0" applyNumberFormat="1" applyFont="1" applyFill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9" fontId="4" fillId="6" borderId="1" xfId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5" borderId="9" xfId="0" applyNumberFormat="1" applyFont="1" applyFill="1" applyBorder="1" applyAlignment="1">
      <alignment horizontal="center" vertical="center"/>
    </xf>
    <xf numFmtId="166" fontId="2" fillId="5" borderId="28" xfId="0" applyNumberFormat="1" applyFont="1" applyFill="1" applyBorder="1" applyAlignment="1">
      <alignment horizontal="center" vertical="center"/>
    </xf>
    <xf numFmtId="166" fontId="2" fillId="4" borderId="9" xfId="0" applyNumberFormat="1" applyFont="1" applyFill="1" applyBorder="1" applyAlignment="1">
      <alignment horizontal="center" vertical="center"/>
    </xf>
    <xf numFmtId="167" fontId="4" fillId="0" borderId="15" xfId="1" applyNumberFormat="1" applyFont="1" applyBorder="1" applyAlignment="1">
      <alignment horizontal="center" vertical="center"/>
    </xf>
    <xf numFmtId="9" fontId="2" fillId="0" borderId="15" xfId="1" applyNumberFormat="1" applyFont="1" applyBorder="1" applyAlignment="1">
      <alignment horizontal="center" vertical="center"/>
    </xf>
    <xf numFmtId="9" fontId="2" fillId="5" borderId="21" xfId="1" applyNumberFormat="1" applyFont="1" applyFill="1" applyBorder="1" applyAlignment="1">
      <alignment horizontal="center" vertical="center"/>
    </xf>
    <xf numFmtId="9" fontId="2" fillId="0" borderId="26" xfId="1" applyNumberFormat="1" applyFont="1" applyBorder="1" applyAlignment="1">
      <alignment horizontal="center" vertical="center"/>
    </xf>
    <xf numFmtId="9" fontId="2" fillId="0" borderId="30" xfId="1" applyNumberFormat="1" applyFont="1" applyBorder="1" applyAlignment="1">
      <alignment horizontal="center" vertical="center"/>
    </xf>
    <xf numFmtId="9" fontId="2" fillId="4" borderId="15" xfId="1" applyNumberFormat="1" applyFont="1" applyFill="1" applyBorder="1" applyAlignment="1">
      <alignment horizontal="center" vertical="center"/>
    </xf>
    <xf numFmtId="166" fontId="4" fillId="3" borderId="15" xfId="1" applyNumberFormat="1" applyFont="1" applyFill="1" applyBorder="1" applyAlignment="1">
      <alignment horizontal="center" vertical="center"/>
    </xf>
    <xf numFmtId="9" fontId="2" fillId="0" borderId="29" xfId="1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6" fontId="18" fillId="0" borderId="1" xfId="0" applyNumberFormat="1" applyFont="1" applyBorder="1" applyAlignment="1">
      <alignment horizontal="center" vertical="center"/>
    </xf>
    <xf numFmtId="166" fontId="18" fillId="0" borderId="0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6" fontId="18" fillId="0" borderId="5" xfId="0" applyNumberFormat="1" applyFont="1" applyBorder="1" applyAlignment="1">
      <alignment horizontal="center" vertical="center"/>
    </xf>
    <xf numFmtId="9" fontId="4" fillId="0" borderId="15" xfId="1" applyNumberFormat="1" applyFont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166" fontId="4" fillId="5" borderId="12" xfId="0" applyNumberFormat="1" applyFont="1" applyFill="1" applyBorder="1" applyAlignment="1">
      <alignment horizontal="center" vertical="center"/>
    </xf>
    <xf numFmtId="9" fontId="4" fillId="5" borderId="13" xfId="1" applyNumberFormat="1" applyFont="1" applyFill="1" applyBorder="1" applyAlignment="1">
      <alignment horizontal="center" vertical="center"/>
    </xf>
    <xf numFmtId="166" fontId="4" fillId="5" borderId="27" xfId="0" applyNumberFormat="1" applyFont="1" applyFill="1" applyBorder="1" applyAlignment="1">
      <alignment horizontal="center" vertical="center"/>
    </xf>
    <xf numFmtId="166" fontId="4" fillId="5" borderId="11" xfId="0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166" fontId="4" fillId="5" borderId="1" xfId="0" applyNumberFormat="1" applyFont="1" applyFill="1" applyBorder="1" applyAlignment="1">
      <alignment horizontal="center" vertical="center"/>
    </xf>
    <xf numFmtId="9" fontId="4" fillId="5" borderId="15" xfId="1" applyNumberFormat="1" applyFont="1" applyFill="1" applyBorder="1" applyAlignment="1">
      <alignment horizontal="center" vertical="center"/>
    </xf>
    <xf numFmtId="166" fontId="4" fillId="5" borderId="9" xfId="0" applyNumberFormat="1" applyFont="1" applyFill="1" applyBorder="1" applyAlignment="1">
      <alignment horizontal="center" vertical="center"/>
    </xf>
    <xf numFmtId="166" fontId="4" fillId="5" borderId="15" xfId="0" applyNumberFormat="1" applyFont="1" applyFill="1" applyBorder="1" applyAlignment="1">
      <alignment horizontal="center" vertical="center"/>
    </xf>
    <xf numFmtId="166" fontId="4" fillId="5" borderId="14" xfId="0" applyNumberFormat="1" applyFont="1" applyFill="1" applyBorder="1" applyAlignment="1">
      <alignment horizontal="center" vertical="center"/>
    </xf>
    <xf numFmtId="9" fontId="4" fillId="0" borderId="15" xfId="1" applyFont="1" applyBorder="1" applyAlignment="1">
      <alignment horizontal="center" vertical="center"/>
    </xf>
    <xf numFmtId="166" fontId="18" fillId="3" borderId="15" xfId="1" applyNumberFormat="1" applyFont="1" applyFill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8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1" xfId="1" applyNumberFormat="1" applyFont="1" applyBorder="1" applyAlignment="1">
      <alignment horizontal="center" vertical="center"/>
    </xf>
    <xf numFmtId="167" fontId="18" fillId="0" borderId="0" xfId="1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18" fillId="0" borderId="1" xfId="1" applyNumberFormat="1" applyFont="1" applyBorder="1" applyAlignment="1">
      <alignment horizontal="center" vertical="center"/>
    </xf>
    <xf numFmtId="167" fontId="18" fillId="0" borderId="15" xfId="1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9" fontId="18" fillId="0" borderId="1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8" fontId="2" fillId="0" borderId="32" xfId="2" applyNumberFormat="1" applyFont="1" applyBorder="1" applyAlignment="1">
      <alignment horizontal="center" vertical="center"/>
    </xf>
    <xf numFmtId="168" fontId="2" fillId="0" borderId="33" xfId="2" applyNumberFormat="1" applyFont="1" applyBorder="1" applyAlignment="1">
      <alignment horizontal="center" vertical="center"/>
    </xf>
    <xf numFmtId="168" fontId="2" fillId="0" borderId="34" xfId="2" applyNumberFormat="1" applyFont="1" applyBorder="1" applyAlignment="1">
      <alignment horizontal="center" vertical="center"/>
    </xf>
    <xf numFmtId="168" fontId="2" fillId="0" borderId="35" xfId="2" applyNumberFormat="1" applyFont="1" applyBorder="1" applyAlignment="1">
      <alignment horizontal="center" vertical="center"/>
    </xf>
    <xf numFmtId="168" fontId="2" fillId="0" borderId="36" xfId="2" applyNumberFormat="1" applyFont="1" applyBorder="1" applyAlignment="1">
      <alignment horizontal="center" vertical="center"/>
    </xf>
    <xf numFmtId="168" fontId="2" fillId="0" borderId="37" xfId="2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2" applyNumberFormat="1" applyFont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167" fontId="2" fillId="0" borderId="15" xfId="1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9" fontId="18" fillId="0" borderId="15" xfId="1" applyNumberFormat="1" applyFont="1" applyBorder="1" applyAlignment="1">
      <alignment horizontal="center" vertical="center"/>
    </xf>
    <xf numFmtId="2" fontId="4" fillId="0" borderId="0" xfId="1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9" fillId="0" borderId="0" xfId="0" applyFont="1" applyAlignment="1">
      <alignment vertical="center" textRotation="90"/>
    </xf>
    <xf numFmtId="0" fontId="0" fillId="5" borderId="1" xfId="0" applyFill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166" fontId="4" fillId="0" borderId="8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9" fontId="2" fillId="0" borderId="15" xfId="1" applyFont="1" applyBorder="1" applyAlignment="1">
      <alignment horizontal="center" vertical="center"/>
    </xf>
    <xf numFmtId="166" fontId="18" fillId="0" borderId="0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18" fillId="6" borderId="4" xfId="0" applyNumberFormat="1" applyFont="1" applyFill="1" applyBorder="1" applyAlignment="1">
      <alignment horizontal="center" vertical="center"/>
    </xf>
    <xf numFmtId="166" fontId="18" fillId="6" borderId="8" xfId="0" applyNumberFormat="1" applyFont="1" applyFill="1" applyBorder="1" applyAlignment="1">
      <alignment horizontal="center" vertical="center"/>
    </xf>
    <xf numFmtId="166" fontId="18" fillId="6" borderId="1" xfId="0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5" borderId="8" xfId="0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0" borderId="14" xfId="0" applyNumberFormat="1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7" fontId="4" fillId="0" borderId="13" xfId="1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0" xfId="0" applyFont="1" applyBorder="1" applyAlignment="1">
      <alignment vertical="center" textRotation="90"/>
    </xf>
    <xf numFmtId="166" fontId="4" fillId="0" borderId="8" xfId="0" applyNumberFormat="1" applyFont="1" applyBorder="1" applyAlignment="1">
      <alignment horizontal="center" vertical="center"/>
    </xf>
    <xf numFmtId="9" fontId="4" fillId="5" borderId="15" xfId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7" fontId="2" fillId="0" borderId="0" xfId="1" applyNumberFormat="1" applyFont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167" fontId="4" fillId="0" borderId="17" xfId="1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9" fontId="4" fillId="5" borderId="42" xfId="1" applyNumberFormat="1" applyFont="1" applyFill="1" applyBorder="1" applyAlignment="1">
      <alignment horizontal="center" vertical="center"/>
    </xf>
    <xf numFmtId="0" fontId="4" fillId="5" borderId="43" xfId="0" applyFont="1" applyFill="1" applyBorder="1" applyAlignment="1">
      <alignment horizontal="center" vertical="center"/>
    </xf>
    <xf numFmtId="166" fontId="4" fillId="5" borderId="5" xfId="0" applyNumberFormat="1" applyFont="1" applyFill="1" applyBorder="1" applyAlignment="1">
      <alignment horizontal="center" vertical="center"/>
    </xf>
    <xf numFmtId="166" fontId="4" fillId="5" borderId="44" xfId="0" applyNumberFormat="1" applyFont="1" applyFill="1" applyBorder="1" applyAlignment="1">
      <alignment horizontal="center" vertical="center"/>
    </xf>
    <xf numFmtId="166" fontId="4" fillId="5" borderId="42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166" fontId="2" fillId="3" borderId="15" xfId="1" applyNumberFormat="1" applyFont="1" applyFill="1" applyBorder="1" applyAlignment="1">
      <alignment horizontal="center" vertical="center"/>
    </xf>
    <xf numFmtId="166" fontId="2" fillId="0" borderId="15" xfId="0" applyNumberFormat="1" applyFont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/>
    </xf>
    <xf numFmtId="166" fontId="4" fillId="5" borderId="20" xfId="0" applyNumberFormat="1" applyFont="1" applyFill="1" applyBorder="1" applyAlignment="1">
      <alignment horizontal="center" vertical="center"/>
    </xf>
    <xf numFmtId="9" fontId="4" fillId="5" borderId="21" xfId="1" applyNumberFormat="1" applyFont="1" applyFill="1" applyBorder="1" applyAlignment="1">
      <alignment horizontal="center" vertical="center"/>
    </xf>
    <xf numFmtId="166" fontId="4" fillId="5" borderId="28" xfId="0" applyNumberFormat="1" applyFont="1" applyFill="1" applyBorder="1" applyAlignment="1">
      <alignment horizontal="center" vertical="center"/>
    </xf>
    <xf numFmtId="166" fontId="4" fillId="5" borderId="21" xfId="0" applyNumberFormat="1" applyFont="1" applyFill="1" applyBorder="1" applyAlignment="1">
      <alignment horizontal="center" vertical="center"/>
    </xf>
    <xf numFmtId="166" fontId="4" fillId="5" borderId="16" xfId="0" applyNumberFormat="1" applyFont="1" applyFill="1" applyBorder="1" applyAlignment="1">
      <alignment horizontal="center" vertical="center"/>
    </xf>
    <xf numFmtId="9" fontId="4" fillId="5" borderId="17" xfId="1" applyFont="1" applyFill="1" applyBorder="1" applyAlignment="1">
      <alignment horizontal="center" vertical="center"/>
    </xf>
    <xf numFmtId="9" fontId="4" fillId="5" borderId="17" xfId="1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9" fontId="4" fillId="4" borderId="15" xfId="1" applyNumberFormat="1" applyFont="1" applyFill="1" applyBorder="1" applyAlignment="1">
      <alignment horizontal="center" vertical="center"/>
    </xf>
    <xf numFmtId="166" fontId="4" fillId="4" borderId="9" xfId="0" applyNumberFormat="1" applyFont="1" applyFill="1" applyBorder="1" applyAlignment="1">
      <alignment horizontal="center" vertical="center"/>
    </xf>
    <xf numFmtId="9" fontId="4" fillId="4" borderId="1" xfId="1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4" fillId="3" borderId="12" xfId="0" applyNumberFormat="1" applyFont="1" applyFill="1" applyBorder="1" applyAlignment="1">
      <alignment horizontal="center" vertical="center"/>
    </xf>
    <xf numFmtId="166" fontId="4" fillId="3" borderId="13" xfId="1" applyNumberFormat="1" applyFont="1" applyFill="1" applyBorder="1" applyAlignment="1">
      <alignment horizontal="center" vertical="center"/>
    </xf>
    <xf numFmtId="166" fontId="4" fillId="0" borderId="39" xfId="0" applyNumberFormat="1" applyFont="1" applyBorder="1" applyAlignment="1">
      <alignment horizontal="center" vertical="center"/>
    </xf>
    <xf numFmtId="166" fontId="4" fillId="0" borderId="25" xfId="0" applyNumberFormat="1" applyFont="1" applyBorder="1" applyAlignment="1">
      <alignment horizontal="center" vertical="center"/>
    </xf>
    <xf numFmtId="166" fontId="4" fillId="0" borderId="13" xfId="0" applyNumberFormat="1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66" fontId="4" fillId="3" borderId="40" xfId="0" applyNumberFormat="1" applyFont="1" applyFill="1" applyBorder="1" applyAlignment="1">
      <alignment horizontal="center" vertical="center"/>
    </xf>
    <xf numFmtId="166" fontId="4" fillId="3" borderId="17" xfId="1" applyNumberFormat="1" applyFont="1" applyFill="1" applyBorder="1" applyAlignment="1">
      <alignment horizontal="center" vertical="center"/>
    </xf>
    <xf numFmtId="166" fontId="4" fillId="0" borderId="41" xfId="0" applyNumberFormat="1" applyFont="1" applyBorder="1" applyAlignment="1">
      <alignment horizontal="center" vertical="center"/>
    </xf>
    <xf numFmtId="166" fontId="4" fillId="0" borderId="17" xfId="0" applyNumberFormat="1" applyFont="1" applyBorder="1" applyAlignment="1">
      <alignment horizontal="center" vertical="center"/>
    </xf>
    <xf numFmtId="166" fontId="4" fillId="0" borderId="16" xfId="0" applyNumberFormat="1" applyFont="1" applyBorder="1" applyAlignment="1">
      <alignment horizontal="center" vertical="center"/>
    </xf>
    <xf numFmtId="166" fontId="4" fillId="0" borderId="17" xfId="1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166" fontId="2" fillId="5" borderId="45" xfId="0" applyNumberFormat="1" applyFont="1" applyFill="1" applyBorder="1" applyAlignment="1">
      <alignment horizontal="center" vertical="center"/>
    </xf>
    <xf numFmtId="166" fontId="2" fillId="5" borderId="27" xfId="0" applyNumberFormat="1" applyFont="1" applyFill="1" applyBorder="1" applyAlignment="1">
      <alignment horizontal="center" vertical="center"/>
    </xf>
    <xf numFmtId="166" fontId="2" fillId="5" borderId="46" xfId="0" applyNumberFormat="1" applyFont="1" applyFill="1" applyBorder="1" applyAlignment="1">
      <alignment horizontal="center" vertical="center"/>
    </xf>
    <xf numFmtId="9" fontId="2" fillId="5" borderId="13" xfId="1" applyFont="1" applyFill="1" applyBorder="1" applyAlignment="1">
      <alignment horizontal="center" vertical="center"/>
    </xf>
    <xf numFmtId="9" fontId="2" fillId="5" borderId="15" xfId="1" applyFont="1" applyFill="1" applyBorder="1" applyAlignment="1">
      <alignment horizontal="center" vertical="center"/>
    </xf>
    <xf numFmtId="0" fontId="2" fillId="5" borderId="4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66" fontId="2" fillId="5" borderId="5" xfId="0" applyNumberFormat="1" applyFont="1" applyFill="1" applyBorder="1" applyAlignment="1">
      <alignment horizontal="center" vertical="center"/>
    </xf>
    <xf numFmtId="9" fontId="2" fillId="5" borderId="42" xfId="1" applyNumberFormat="1" applyFont="1" applyFill="1" applyBorder="1" applyAlignment="1">
      <alignment horizontal="center" vertical="center"/>
    </xf>
    <xf numFmtId="166" fontId="2" fillId="5" borderId="44" xfId="0" applyNumberFormat="1" applyFont="1" applyFill="1" applyBorder="1" applyAlignment="1">
      <alignment horizontal="center" vertical="center"/>
    </xf>
    <xf numFmtId="166" fontId="2" fillId="5" borderId="42" xfId="0" applyNumberFormat="1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9" fontId="2" fillId="0" borderId="4" xfId="1" applyFont="1" applyBorder="1" applyAlignment="1">
      <alignment horizontal="center" vertical="center"/>
    </xf>
    <xf numFmtId="9" fontId="2" fillId="0" borderId="30" xfId="1" applyFont="1" applyBorder="1" applyAlignment="1">
      <alignment horizontal="center" vertical="center"/>
    </xf>
    <xf numFmtId="9" fontId="2" fillId="0" borderId="2" xfId="1" applyFont="1" applyBorder="1" applyAlignment="1">
      <alignment horizontal="center" vertical="center"/>
    </xf>
    <xf numFmtId="166" fontId="2" fillId="0" borderId="11" xfId="0" applyNumberFormat="1" applyFont="1" applyBorder="1" applyAlignment="1">
      <alignment horizontal="center" vertical="center"/>
    </xf>
    <xf numFmtId="9" fontId="4" fillId="0" borderId="29" xfId="1" applyNumberFormat="1" applyFont="1" applyBorder="1" applyAlignment="1">
      <alignment horizontal="center" vertical="center"/>
    </xf>
    <xf numFmtId="9" fontId="4" fillId="0" borderId="0" xfId="1" applyNumberFormat="1" applyFont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66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7" fontId="4" fillId="3" borderId="15" xfId="1" applyNumberFormat="1" applyFont="1" applyFill="1" applyBorder="1" applyAlignment="1">
      <alignment horizontal="center" vertical="center"/>
    </xf>
    <xf numFmtId="166" fontId="4" fillId="3" borderId="4" xfId="0" applyNumberFormat="1" applyFont="1" applyFill="1" applyBorder="1" applyAlignment="1">
      <alignment horizontal="center" vertical="center"/>
    </xf>
    <xf numFmtId="166" fontId="4" fillId="3" borderId="8" xfId="0" applyNumberFormat="1" applyFont="1" applyFill="1" applyBorder="1" applyAlignment="1">
      <alignment horizontal="center" vertical="center"/>
    </xf>
    <xf numFmtId="166" fontId="4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7" fontId="2" fillId="3" borderId="15" xfId="1" applyNumberFormat="1" applyFont="1" applyFill="1" applyBorder="1" applyAlignment="1">
      <alignment horizontal="center" vertical="center"/>
    </xf>
    <xf numFmtId="166" fontId="2" fillId="3" borderId="4" xfId="0" applyNumberFormat="1" applyFont="1" applyFill="1" applyBorder="1" applyAlignment="1">
      <alignment horizontal="center" vertical="center"/>
    </xf>
    <xf numFmtId="166" fontId="2" fillId="3" borderId="8" xfId="0" applyNumberFormat="1" applyFont="1" applyFill="1" applyBorder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166" fontId="4" fillId="3" borderId="9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6" fontId="4" fillId="7" borderId="9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vertical="center"/>
    </xf>
    <xf numFmtId="9" fontId="4" fillId="7" borderId="15" xfId="1" applyNumberFormat="1" applyFont="1" applyFill="1" applyBorder="1" applyAlignment="1">
      <alignment horizontal="center" vertical="center"/>
    </xf>
    <xf numFmtId="9" fontId="2" fillId="7" borderId="15" xfId="1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166" fontId="4" fillId="7" borderId="1" xfId="0" applyNumberFormat="1" applyFont="1" applyFill="1" applyBorder="1" applyAlignment="1">
      <alignment horizontal="center" vertical="center"/>
    </xf>
    <xf numFmtId="166" fontId="4" fillId="7" borderId="8" xfId="0" applyNumberFormat="1" applyFont="1" applyFill="1" applyBorder="1" applyAlignment="1">
      <alignment horizontal="center" vertical="center"/>
    </xf>
    <xf numFmtId="166" fontId="2" fillId="7" borderId="9" xfId="0" applyNumberFormat="1" applyFont="1" applyFill="1" applyBorder="1" applyAlignment="1">
      <alignment horizontal="center" vertical="center"/>
    </xf>
    <xf numFmtId="166" fontId="2" fillId="7" borderId="8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7" borderId="55" xfId="0" applyNumberFormat="1" applyFont="1" applyFill="1" applyBorder="1" applyAlignment="1">
      <alignment horizontal="center" vertical="center"/>
    </xf>
    <xf numFmtId="166" fontId="2" fillId="7" borderId="55" xfId="0" applyNumberFormat="1" applyFont="1" applyFill="1" applyBorder="1" applyAlignment="1">
      <alignment horizontal="center" vertical="center"/>
    </xf>
    <xf numFmtId="9" fontId="4" fillId="7" borderId="56" xfId="1" applyFont="1" applyFill="1" applyBorder="1" applyAlignment="1">
      <alignment horizontal="center" vertical="center"/>
    </xf>
    <xf numFmtId="9" fontId="2" fillId="7" borderId="56" xfId="1" applyFont="1" applyFill="1" applyBorder="1" applyAlignment="1">
      <alignment horizontal="center" vertical="center"/>
    </xf>
    <xf numFmtId="0" fontId="4" fillId="7" borderId="55" xfId="0" applyFont="1" applyFill="1" applyBorder="1" applyAlignment="1">
      <alignment horizontal="center" vertical="center"/>
    </xf>
    <xf numFmtId="166" fontId="4" fillId="7" borderId="56" xfId="0" applyNumberFormat="1" applyFont="1" applyFill="1" applyBorder="1" applyAlignment="1">
      <alignment horizontal="center" vertical="center"/>
    </xf>
    <xf numFmtId="0" fontId="2" fillId="7" borderId="55" xfId="0" applyFont="1" applyFill="1" applyBorder="1" applyAlignment="1">
      <alignment horizontal="center" vertical="center"/>
    </xf>
    <xf numFmtId="166" fontId="2" fillId="7" borderId="56" xfId="0" applyNumberFormat="1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166" fontId="4" fillId="3" borderId="53" xfId="0" applyNumberFormat="1" applyFont="1" applyFill="1" applyBorder="1" applyAlignment="1">
      <alignment horizontal="center" vertical="center"/>
    </xf>
    <xf numFmtId="166" fontId="4" fillId="3" borderId="57" xfId="0" applyNumberFormat="1" applyFont="1" applyFill="1" applyBorder="1" applyAlignment="1">
      <alignment horizontal="center" vertical="center"/>
    </xf>
    <xf numFmtId="166" fontId="2" fillId="3" borderId="86" xfId="0" applyNumberFormat="1" applyFont="1" applyFill="1" applyBorder="1" applyAlignment="1">
      <alignment horizontal="center" vertical="center"/>
    </xf>
    <xf numFmtId="0" fontId="4" fillId="3" borderId="95" xfId="0" applyFont="1" applyFill="1" applyBorder="1" applyAlignment="1">
      <alignment horizontal="center" vertical="center"/>
    </xf>
    <xf numFmtId="0" fontId="2" fillId="3" borderId="95" xfId="0" applyFont="1" applyFill="1" applyBorder="1" applyAlignment="1">
      <alignment horizontal="center" vertical="center"/>
    </xf>
    <xf numFmtId="0" fontId="2" fillId="3" borderId="95" xfId="0" applyFont="1" applyFill="1" applyBorder="1" applyAlignment="1">
      <alignment vertical="center"/>
    </xf>
    <xf numFmtId="166" fontId="4" fillId="3" borderId="86" xfId="0" applyNumberFormat="1" applyFont="1" applyFill="1" applyBorder="1" applyAlignment="1">
      <alignment horizontal="center" vertical="center"/>
    </xf>
    <xf numFmtId="166" fontId="4" fillId="3" borderId="62" xfId="1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9" fontId="4" fillId="3" borderId="15" xfId="1" applyNumberFormat="1" applyFont="1" applyFill="1" applyBorder="1" applyAlignment="1">
      <alignment horizontal="center" vertical="center"/>
    </xf>
    <xf numFmtId="166" fontId="4" fillId="3" borderId="0" xfId="0" applyNumberFormat="1" applyFont="1" applyFill="1" applyBorder="1" applyAlignment="1">
      <alignment horizontal="center" vertical="center"/>
    </xf>
    <xf numFmtId="167" fontId="4" fillId="3" borderId="0" xfId="1" applyNumberFormat="1" applyFont="1" applyFill="1" applyBorder="1" applyAlignment="1">
      <alignment horizontal="center" vertical="center"/>
    </xf>
    <xf numFmtId="166" fontId="2" fillId="3" borderId="0" xfId="0" applyNumberFormat="1" applyFont="1" applyFill="1" applyBorder="1" applyAlignment="1">
      <alignment horizontal="center" vertical="center"/>
    </xf>
    <xf numFmtId="167" fontId="2" fillId="3" borderId="0" xfId="1" applyNumberFormat="1" applyFont="1" applyFill="1" applyBorder="1" applyAlignment="1">
      <alignment horizontal="center" vertical="center"/>
    </xf>
    <xf numFmtId="166" fontId="2" fillId="3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3" borderId="1" xfId="1" applyNumberFormat="1" applyFont="1" applyFill="1" applyBorder="1" applyAlignment="1">
      <alignment horizontal="center" vertical="center"/>
    </xf>
    <xf numFmtId="167" fontId="2" fillId="7" borderId="56" xfId="1" applyNumberFormat="1" applyFont="1" applyFill="1" applyBorder="1" applyAlignment="1">
      <alignment horizontal="center" vertical="center"/>
    </xf>
    <xf numFmtId="167" fontId="4" fillId="7" borderId="56" xfId="1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9" fontId="2" fillId="3" borderId="0" xfId="1" applyNumberFormat="1" applyFont="1" applyFill="1" applyBorder="1" applyAlignment="1">
      <alignment horizontal="center" vertical="center"/>
    </xf>
    <xf numFmtId="9" fontId="4" fillId="3" borderId="0" xfId="1" applyNumberFormat="1" applyFont="1" applyFill="1" applyBorder="1" applyAlignment="1">
      <alignment horizontal="center" vertical="center"/>
    </xf>
    <xf numFmtId="167" fontId="4" fillId="3" borderId="75" xfId="1" applyNumberFormat="1" applyFont="1" applyFill="1" applyBorder="1" applyAlignment="1">
      <alignment horizontal="center" vertical="center"/>
    </xf>
    <xf numFmtId="167" fontId="2" fillId="3" borderId="8" xfId="1" applyNumberFormat="1" applyFont="1" applyFill="1" applyBorder="1" applyAlignment="1">
      <alignment horizontal="center" vertical="center"/>
    </xf>
    <xf numFmtId="167" fontId="4" fillId="3" borderId="96" xfId="1" applyNumberFormat="1" applyFont="1" applyFill="1" applyBorder="1" applyAlignment="1">
      <alignment horizontal="center" vertical="center"/>
    </xf>
    <xf numFmtId="166" fontId="4" fillId="3" borderId="54" xfId="1" applyNumberFormat="1" applyFont="1" applyFill="1" applyBorder="1" applyAlignment="1">
      <alignment horizontal="center" vertical="center"/>
    </xf>
    <xf numFmtId="166" fontId="2" fillId="3" borderId="56" xfId="1" applyNumberFormat="1" applyFont="1" applyFill="1" applyBorder="1" applyAlignment="1">
      <alignment horizontal="center" vertical="center"/>
    </xf>
    <xf numFmtId="166" fontId="4" fillId="3" borderId="58" xfId="1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8" fontId="2" fillId="0" borderId="53" xfId="2" applyNumberFormat="1" applyFont="1" applyBorder="1" applyAlignment="1">
      <alignment horizontal="center" vertical="center"/>
    </xf>
    <xf numFmtId="168" fontId="2" fillId="0" borderId="62" xfId="2" applyNumberFormat="1" applyFont="1" applyBorder="1" applyAlignment="1">
      <alignment horizontal="center" vertical="center"/>
    </xf>
    <xf numFmtId="168" fontId="2" fillId="0" borderId="57" xfId="2" applyNumberFormat="1" applyFont="1" applyBorder="1" applyAlignment="1">
      <alignment horizontal="center" vertical="center"/>
    </xf>
    <xf numFmtId="168" fontId="2" fillId="0" borderId="76" xfId="2" applyNumberFormat="1" applyFont="1" applyBorder="1" applyAlignment="1">
      <alignment horizontal="center" vertical="center"/>
    </xf>
    <xf numFmtId="168" fontId="2" fillId="0" borderId="58" xfId="2" applyNumberFormat="1" applyFont="1" applyBorder="1" applyAlignment="1">
      <alignment horizontal="center" vertical="center"/>
    </xf>
    <xf numFmtId="166" fontId="2" fillId="3" borderId="57" xfId="0" applyNumberFormat="1" applyFont="1" applyFill="1" applyBorder="1" applyAlignment="1">
      <alignment horizontal="center" vertical="center"/>
    </xf>
    <xf numFmtId="166" fontId="2" fillId="3" borderId="76" xfId="1" applyNumberFormat="1" applyFont="1" applyFill="1" applyBorder="1" applyAlignment="1">
      <alignment horizontal="center" vertical="center"/>
    </xf>
    <xf numFmtId="166" fontId="2" fillId="3" borderId="58" xfId="1" applyNumberFormat="1" applyFont="1" applyFill="1" applyBorder="1" applyAlignment="1">
      <alignment horizontal="center" vertical="center"/>
    </xf>
    <xf numFmtId="166" fontId="2" fillId="0" borderId="97" xfId="0" applyNumberFormat="1" applyFont="1" applyBorder="1" applyAlignment="1">
      <alignment horizontal="center" vertical="center"/>
    </xf>
    <xf numFmtId="167" fontId="2" fillId="3" borderId="97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9" fontId="2" fillId="3" borderId="15" xfId="1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7" borderId="5" xfId="0" applyNumberFormat="1" applyFont="1" applyFill="1" applyBorder="1" applyAlignment="1">
      <alignment horizontal="center" vertical="center"/>
    </xf>
    <xf numFmtId="9" fontId="4" fillId="7" borderId="42" xfId="1" applyNumberFormat="1" applyFont="1" applyFill="1" applyBorder="1" applyAlignment="1">
      <alignment horizontal="center" vertical="center"/>
    </xf>
    <xf numFmtId="166" fontId="4" fillId="7" borderId="44" xfId="0" applyNumberFormat="1" applyFont="1" applyFill="1" applyBorder="1" applyAlignment="1">
      <alignment horizontal="center" vertical="center"/>
    </xf>
    <xf numFmtId="166" fontId="4" fillId="7" borderId="47" xfId="0" applyNumberFormat="1" applyFont="1" applyFill="1" applyBorder="1" applyAlignment="1">
      <alignment horizontal="center" vertical="center"/>
    </xf>
    <xf numFmtId="166" fontId="4" fillId="7" borderId="67" xfId="0" applyNumberFormat="1" applyFont="1" applyFill="1" applyBorder="1" applyAlignment="1">
      <alignment horizontal="center" vertical="center"/>
    </xf>
    <xf numFmtId="0" fontId="4" fillId="7" borderId="68" xfId="0" applyFont="1" applyFill="1" applyBorder="1" applyAlignment="1">
      <alignment horizontal="center" vertical="center"/>
    </xf>
    <xf numFmtId="166" fontId="4" fillId="7" borderId="69" xfId="0" applyNumberFormat="1" applyFont="1" applyFill="1" applyBorder="1" applyAlignment="1">
      <alignment horizontal="center" vertical="center"/>
    </xf>
    <xf numFmtId="9" fontId="4" fillId="7" borderId="70" xfId="1" applyNumberFormat="1" applyFont="1" applyFill="1" applyBorder="1" applyAlignment="1">
      <alignment horizontal="center" vertical="center"/>
    </xf>
    <xf numFmtId="166" fontId="4" fillId="7" borderId="71" xfId="0" applyNumberFormat="1" applyFont="1" applyFill="1" applyBorder="1" applyAlignment="1">
      <alignment horizontal="center" vertical="center"/>
    </xf>
    <xf numFmtId="166" fontId="4" fillId="7" borderId="72" xfId="0" applyNumberFormat="1" applyFont="1" applyFill="1" applyBorder="1" applyAlignment="1">
      <alignment horizontal="center" vertical="center"/>
    </xf>
    <xf numFmtId="166" fontId="4" fillId="7" borderId="73" xfId="0" applyNumberFormat="1" applyFont="1" applyFill="1" applyBorder="1" applyAlignment="1">
      <alignment horizontal="center" vertical="center"/>
    </xf>
    <xf numFmtId="166" fontId="4" fillId="7" borderId="57" xfId="0" applyNumberFormat="1" applyFont="1" applyFill="1" applyBorder="1" applyAlignment="1">
      <alignment horizontal="center" vertical="center"/>
    </xf>
    <xf numFmtId="9" fontId="4" fillId="7" borderId="58" xfId="1" applyFont="1" applyFill="1" applyBorder="1" applyAlignment="1">
      <alignment horizontal="center" vertical="center"/>
    </xf>
    <xf numFmtId="167" fontId="4" fillId="7" borderId="58" xfId="1" applyNumberFormat="1" applyFont="1" applyFill="1" applyBorder="1" applyAlignment="1">
      <alignment horizontal="center" vertical="center"/>
    </xf>
    <xf numFmtId="166" fontId="4" fillId="0" borderId="97" xfId="0" applyNumberFormat="1" applyFont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center"/>
    </xf>
    <xf numFmtId="0" fontId="4" fillId="7" borderId="49" xfId="0" applyFont="1" applyFill="1" applyBorder="1" applyAlignment="1">
      <alignment horizontal="center" vertical="center"/>
    </xf>
    <xf numFmtId="166" fontId="4" fillId="7" borderId="49" xfId="0" applyNumberFormat="1" applyFont="1" applyFill="1" applyBorder="1" applyAlignment="1">
      <alignment horizontal="center" vertical="center"/>
    </xf>
    <xf numFmtId="9" fontId="4" fillId="7" borderId="50" xfId="1" applyFont="1" applyFill="1" applyBorder="1" applyAlignment="1">
      <alignment horizontal="center" vertical="center"/>
    </xf>
    <xf numFmtId="166" fontId="4" fillId="7" borderId="51" xfId="0" applyNumberFormat="1" applyFont="1" applyFill="1" applyBorder="1" applyAlignment="1">
      <alignment horizontal="center" vertical="center"/>
    </xf>
    <xf numFmtId="166" fontId="4" fillId="7" borderId="48" xfId="0" applyNumberFormat="1" applyFont="1" applyFill="1" applyBorder="1" applyAlignment="1">
      <alignment horizontal="center" vertical="center"/>
    </xf>
    <xf numFmtId="167" fontId="4" fillId="7" borderId="52" xfId="1" applyNumberFormat="1" applyFont="1" applyFill="1" applyBorder="1" applyAlignment="1">
      <alignment horizontal="center" vertical="center"/>
    </xf>
    <xf numFmtId="166" fontId="4" fillId="3" borderId="89" xfId="0" applyNumberFormat="1" applyFont="1" applyFill="1" applyBorder="1" applyAlignment="1">
      <alignment horizontal="center" vertical="center"/>
    </xf>
    <xf numFmtId="9" fontId="4" fillId="3" borderId="90" xfId="1" applyNumberFormat="1" applyFont="1" applyFill="1" applyBorder="1" applyAlignment="1">
      <alignment horizontal="center" vertical="center"/>
    </xf>
    <xf numFmtId="166" fontId="4" fillId="0" borderId="87" xfId="0" applyNumberFormat="1" applyFont="1" applyBorder="1" applyAlignment="1">
      <alignment horizontal="center" vertical="center"/>
    </xf>
    <xf numFmtId="9" fontId="4" fillId="0" borderId="88" xfId="1" applyNumberFormat="1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166" fontId="4" fillId="0" borderId="56" xfId="0" applyNumberFormat="1" applyFont="1" applyBorder="1" applyAlignment="1">
      <alignment horizontal="center" vertical="center"/>
    </xf>
    <xf numFmtId="166" fontId="4" fillId="4" borderId="55" xfId="0" applyNumberFormat="1" applyFont="1" applyFill="1" applyBorder="1" applyAlignment="1">
      <alignment horizontal="center" vertical="center"/>
    </xf>
    <xf numFmtId="2" fontId="2" fillId="0" borderId="0" xfId="1" applyNumberFormat="1" applyFont="1" applyBorder="1" applyAlignment="1">
      <alignment vertical="center"/>
    </xf>
    <xf numFmtId="166" fontId="2" fillId="0" borderId="97" xfId="0" quotePrefix="1" applyNumberFormat="1" applyFont="1" applyBorder="1" applyAlignment="1">
      <alignment horizontal="center" vertical="center"/>
    </xf>
    <xf numFmtId="167" fontId="2" fillId="0" borderId="54" xfId="1" applyNumberFormat="1" applyFont="1" applyBorder="1" applyAlignment="1">
      <alignment horizontal="center" vertical="center"/>
    </xf>
    <xf numFmtId="0" fontId="2" fillId="7" borderId="53" xfId="0" applyFont="1" applyFill="1" applyBorder="1" applyAlignment="1">
      <alignment horizontal="center" vertical="center"/>
    </xf>
    <xf numFmtId="0" fontId="2" fillId="7" borderId="61" xfId="0" applyFont="1" applyFill="1" applyBorder="1" applyAlignment="1">
      <alignment horizontal="center" vertical="center"/>
    </xf>
    <xf numFmtId="166" fontId="2" fillId="7" borderId="61" xfId="0" applyNumberFormat="1" applyFont="1" applyFill="1" applyBorder="1" applyAlignment="1">
      <alignment horizontal="center" vertical="center"/>
    </xf>
    <xf numFmtId="166" fontId="2" fillId="7" borderId="62" xfId="0" applyNumberFormat="1" applyFont="1" applyFill="1" applyBorder="1" applyAlignment="1">
      <alignment horizontal="center" vertical="center"/>
    </xf>
    <xf numFmtId="9" fontId="2" fillId="7" borderId="63" xfId="1" applyNumberFormat="1" applyFont="1" applyFill="1" applyBorder="1" applyAlignment="1">
      <alignment horizontal="center" vertical="center"/>
    </xf>
    <xf numFmtId="166" fontId="2" fillId="7" borderId="64" xfId="0" applyNumberFormat="1" applyFont="1" applyFill="1" applyBorder="1" applyAlignment="1">
      <alignment horizontal="center" vertical="center"/>
    </xf>
    <xf numFmtId="166" fontId="2" fillId="7" borderId="65" xfId="0" applyNumberFormat="1" applyFont="1" applyFill="1" applyBorder="1" applyAlignment="1">
      <alignment horizontal="center" vertical="center"/>
    </xf>
    <xf numFmtId="166" fontId="2" fillId="7" borderId="66" xfId="0" applyNumberFormat="1" applyFont="1" applyFill="1" applyBorder="1" applyAlignment="1">
      <alignment horizontal="center" vertical="center"/>
    </xf>
    <xf numFmtId="166" fontId="2" fillId="7" borderId="53" xfId="0" applyNumberFormat="1" applyFont="1" applyFill="1" applyBorder="1" applyAlignment="1">
      <alignment horizontal="center" vertical="center"/>
    </xf>
    <xf numFmtId="9" fontId="2" fillId="7" borderId="54" xfId="1" applyFont="1" applyFill="1" applyBorder="1" applyAlignment="1">
      <alignment horizontal="center" vertical="center"/>
    </xf>
    <xf numFmtId="167" fontId="2" fillId="7" borderId="54" xfId="1" applyNumberFormat="1" applyFont="1" applyFill="1" applyBorder="1" applyAlignment="1">
      <alignment horizontal="center" vertical="center"/>
    </xf>
    <xf numFmtId="166" fontId="2" fillId="0" borderId="7" xfId="0" applyNumberFormat="1" applyFont="1" applyBorder="1" applyAlignment="1">
      <alignment horizontal="center" vertical="center"/>
    </xf>
    <xf numFmtId="9" fontId="2" fillId="0" borderId="59" xfId="1" applyNumberFormat="1" applyFont="1" applyBorder="1" applyAlignment="1">
      <alignment horizontal="center" vertical="center"/>
    </xf>
    <xf numFmtId="166" fontId="2" fillId="0" borderId="60" xfId="0" applyNumberFormat="1" applyFont="1" applyBorder="1" applyAlignment="1">
      <alignment horizontal="center" vertical="center"/>
    </xf>
    <xf numFmtId="166" fontId="2" fillId="4" borderId="7" xfId="1" applyNumberFormat="1" applyFont="1" applyFill="1" applyBorder="1" applyAlignment="1">
      <alignment horizontal="center" vertical="center"/>
    </xf>
    <xf numFmtId="167" fontId="2" fillId="0" borderId="7" xfId="1" applyNumberFormat="1" applyFont="1" applyBorder="1" applyAlignment="1">
      <alignment horizontal="center" vertical="center"/>
    </xf>
    <xf numFmtId="167" fontId="2" fillId="0" borderId="4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9" fontId="2" fillId="0" borderId="42" xfId="1" applyFont="1" applyBorder="1" applyAlignment="1">
      <alignment horizontal="center" vertical="center"/>
    </xf>
    <xf numFmtId="166" fontId="2" fillId="0" borderId="44" xfId="0" applyNumberFormat="1" applyFont="1" applyBorder="1" applyAlignment="1">
      <alignment horizontal="center" vertical="center"/>
    </xf>
    <xf numFmtId="9" fontId="2" fillId="0" borderId="5" xfId="1" applyFont="1" applyBorder="1" applyAlignment="1">
      <alignment horizontal="center" vertical="center"/>
    </xf>
    <xf numFmtId="166" fontId="2" fillId="0" borderId="91" xfId="0" applyNumberFormat="1" applyFont="1" applyBorder="1" applyAlignment="1">
      <alignment horizontal="center" vertical="center"/>
    </xf>
    <xf numFmtId="9" fontId="2" fillId="0" borderId="92" xfId="1" applyNumberFormat="1" applyFont="1" applyBorder="1" applyAlignment="1">
      <alignment horizontal="center" vertical="center"/>
    </xf>
    <xf numFmtId="166" fontId="2" fillId="3" borderId="93" xfId="0" applyNumberFormat="1" applyFont="1" applyFill="1" applyBorder="1" applyAlignment="1">
      <alignment horizontal="center" vertical="center"/>
    </xf>
    <xf numFmtId="9" fontId="2" fillId="3" borderId="94" xfId="1" applyNumberFormat="1" applyFont="1" applyFill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166" fontId="2" fillId="3" borderId="62" xfId="0" applyNumberFormat="1" applyFont="1" applyFill="1" applyBorder="1" applyAlignment="1">
      <alignment horizontal="center" vertical="center"/>
    </xf>
    <xf numFmtId="166" fontId="2" fillId="3" borderId="63" xfId="1" applyNumberFormat="1" applyFont="1" applyFill="1" applyBorder="1" applyAlignment="1">
      <alignment horizontal="center" vertical="center"/>
    </xf>
    <xf numFmtId="166" fontId="2" fillId="0" borderId="74" xfId="0" applyNumberFormat="1" applyFont="1" applyBorder="1" applyAlignment="1">
      <alignment horizontal="center" vertical="center"/>
    </xf>
    <xf numFmtId="166" fontId="2" fillId="0" borderId="75" xfId="0" applyNumberFormat="1" applyFont="1" applyBorder="1" applyAlignment="1">
      <alignment horizontal="center" vertical="center"/>
    </xf>
    <xf numFmtId="166" fontId="2" fillId="0" borderId="54" xfId="0" applyNumberFormat="1" applyFont="1" applyBorder="1" applyAlignment="1">
      <alignment horizontal="center" vertical="center"/>
    </xf>
    <xf numFmtId="166" fontId="2" fillId="0" borderId="53" xfId="0" applyNumberFormat="1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166" fontId="2" fillId="3" borderId="76" xfId="0" applyNumberFormat="1" applyFont="1" applyFill="1" applyBorder="1" applyAlignment="1">
      <alignment horizontal="center" vertical="center"/>
    </xf>
    <xf numFmtId="166" fontId="2" fillId="3" borderId="77" xfId="1" applyNumberFormat="1" applyFont="1" applyFill="1" applyBorder="1" applyAlignment="1">
      <alignment horizontal="center" vertical="center"/>
    </xf>
    <xf numFmtId="166" fontId="2" fillId="0" borderId="78" xfId="0" applyNumberFormat="1" applyFont="1" applyBorder="1" applyAlignment="1">
      <alignment horizontal="center" vertical="center"/>
    </xf>
    <xf numFmtId="166" fontId="2" fillId="0" borderId="79" xfId="0" applyNumberFormat="1" applyFont="1" applyBorder="1" applyAlignment="1">
      <alignment horizontal="center" vertical="center"/>
    </xf>
    <xf numFmtId="166" fontId="2" fillId="0" borderId="57" xfId="0" applyNumberFormat="1" applyFont="1" applyBorder="1" applyAlignment="1">
      <alignment horizontal="center" vertical="center"/>
    </xf>
    <xf numFmtId="166" fontId="2" fillId="0" borderId="58" xfId="0" applyNumberFormat="1" applyFont="1" applyBorder="1" applyAlignment="1">
      <alignment horizontal="center" vertical="center"/>
    </xf>
    <xf numFmtId="2" fontId="2" fillId="0" borderId="84" xfId="1" applyNumberFormat="1" applyFont="1" applyBorder="1" applyAlignment="1">
      <alignment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7" fontId="4" fillId="3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4" borderId="62" xfId="0" applyNumberFormat="1" applyFont="1" applyFill="1" applyBorder="1" applyAlignment="1">
      <alignment horizontal="center" vertical="center"/>
    </xf>
    <xf numFmtId="166" fontId="2" fillId="4" borderId="76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166" fontId="2" fillId="8" borderId="62" xfId="0" applyNumberFormat="1" applyFont="1" applyFill="1" applyBorder="1" applyAlignment="1">
      <alignment horizontal="center" vertical="center"/>
    </xf>
    <xf numFmtId="166" fontId="4" fillId="8" borderId="1" xfId="0" applyNumberFormat="1" applyFont="1" applyFill="1" applyBorder="1" applyAlignment="1">
      <alignment horizontal="center" vertical="center"/>
    </xf>
    <xf numFmtId="166" fontId="2" fillId="8" borderId="76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6" fontId="2" fillId="9" borderId="62" xfId="0" applyNumberFormat="1" applyFont="1" applyFill="1" applyBorder="1" applyAlignment="1">
      <alignment horizontal="center" vertical="center"/>
    </xf>
    <xf numFmtId="166" fontId="4" fillId="9" borderId="1" xfId="0" applyNumberFormat="1" applyFont="1" applyFill="1" applyBorder="1" applyAlignment="1">
      <alignment horizontal="center" vertical="center"/>
    </xf>
    <xf numFmtId="166" fontId="2" fillId="9" borderId="76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166" fontId="2" fillId="10" borderId="62" xfId="0" applyNumberFormat="1" applyFont="1" applyFill="1" applyBorder="1" applyAlignment="1">
      <alignment horizontal="center" vertical="center"/>
    </xf>
    <xf numFmtId="166" fontId="4" fillId="10" borderId="1" xfId="0" applyNumberFormat="1" applyFont="1" applyFill="1" applyBorder="1" applyAlignment="1">
      <alignment horizontal="center" vertical="center"/>
    </xf>
    <xf numFmtId="166" fontId="2" fillId="10" borderId="76" xfId="0" applyNumberFormat="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166" fontId="2" fillId="11" borderId="62" xfId="0" applyNumberFormat="1" applyFont="1" applyFill="1" applyBorder="1" applyAlignment="1">
      <alignment horizontal="center" vertical="center"/>
    </xf>
    <xf numFmtId="166" fontId="4" fillId="11" borderId="1" xfId="0" applyNumberFormat="1" applyFont="1" applyFill="1" applyBorder="1" applyAlignment="1">
      <alignment horizontal="center" vertical="center"/>
    </xf>
    <xf numFmtId="166" fontId="2" fillId="11" borderId="7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66" fontId="2" fillId="3" borderId="5" xfId="0" applyNumberFormat="1" applyFont="1" applyFill="1" applyBorder="1" applyAlignment="1">
      <alignment horizontal="center" vertical="center"/>
    </xf>
    <xf numFmtId="9" fontId="2" fillId="3" borderId="42" xfId="1" applyNumberFormat="1" applyFont="1" applyFill="1" applyBorder="1" applyAlignment="1">
      <alignment horizontal="center" vertical="center"/>
    </xf>
    <xf numFmtId="166" fontId="2" fillId="3" borderId="43" xfId="0" applyNumberFormat="1" applyFont="1" applyFill="1" applyBorder="1" applyAlignment="1">
      <alignment horizontal="center" vertical="center"/>
    </xf>
    <xf numFmtId="166" fontId="2" fillId="3" borderId="44" xfId="0" applyNumberFormat="1" applyFont="1" applyFill="1" applyBorder="1" applyAlignment="1">
      <alignment horizontal="center" vertical="center"/>
    </xf>
    <xf numFmtId="166" fontId="4" fillId="3" borderId="14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3" borderId="62" xfId="0" applyNumberFormat="1" applyFont="1" applyFill="1" applyBorder="1" applyAlignment="1">
      <alignment horizontal="center" vertical="center"/>
    </xf>
    <xf numFmtId="2" fontId="4" fillId="0" borderId="0" xfId="1" applyNumberFormat="1" applyFont="1" applyBorder="1" applyAlignment="1">
      <alignment vertical="center"/>
    </xf>
    <xf numFmtId="166" fontId="2" fillId="0" borderId="0" xfId="0" quotePrefix="1" applyNumberFormat="1" applyFont="1" applyBorder="1" applyAlignment="1">
      <alignment horizontal="center" vertical="center"/>
    </xf>
    <xf numFmtId="0" fontId="3" fillId="0" borderId="101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02" xfId="0" applyFont="1" applyBorder="1" applyAlignment="1">
      <alignment vertical="center"/>
    </xf>
    <xf numFmtId="0" fontId="3" fillId="0" borderId="103" xfId="0" applyFont="1" applyBorder="1" applyAlignment="1">
      <alignment vertical="center"/>
    </xf>
    <xf numFmtId="166" fontId="4" fillId="3" borderId="104" xfId="0" applyNumberFormat="1" applyFont="1" applyFill="1" applyBorder="1" applyAlignment="1">
      <alignment horizontal="center" vertical="center"/>
    </xf>
    <xf numFmtId="166" fontId="2" fillId="3" borderId="104" xfId="0" applyNumberFormat="1" applyFont="1" applyFill="1" applyBorder="1" applyAlignment="1">
      <alignment horizontal="center" vertical="center"/>
    </xf>
    <xf numFmtId="0" fontId="4" fillId="3" borderId="105" xfId="0" applyFont="1" applyFill="1" applyBorder="1" applyAlignment="1">
      <alignment horizontal="center" vertical="center"/>
    </xf>
    <xf numFmtId="170" fontId="4" fillId="3" borderId="54" xfId="0" applyNumberFormat="1" applyFont="1" applyFill="1" applyBorder="1" applyAlignment="1">
      <alignment horizontal="center" vertical="center"/>
    </xf>
    <xf numFmtId="170" fontId="2" fillId="3" borderId="58" xfId="0" applyNumberFormat="1" applyFont="1" applyFill="1" applyBorder="1" applyAlignment="1">
      <alignment horizontal="center" vertical="center"/>
    </xf>
    <xf numFmtId="169" fontId="2" fillId="0" borderId="67" xfId="0" applyNumberFormat="1" applyFont="1" applyBorder="1" applyAlignment="1">
      <alignment vertical="center"/>
    </xf>
    <xf numFmtId="168" fontId="2" fillId="0" borderId="53" xfId="0" applyNumberFormat="1" applyFont="1" applyBorder="1" applyAlignment="1">
      <alignment vertical="center"/>
    </xf>
    <xf numFmtId="169" fontId="2" fillId="0" borderId="62" xfId="0" applyNumberFormat="1" applyFont="1" applyBorder="1" applyAlignment="1">
      <alignment vertical="center"/>
    </xf>
    <xf numFmtId="167" fontId="2" fillId="0" borderId="54" xfId="1" applyNumberFormat="1" applyFont="1" applyBorder="1" applyAlignment="1">
      <alignment vertical="center"/>
    </xf>
    <xf numFmtId="166" fontId="2" fillId="0" borderId="6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4" fillId="7" borderId="53" xfId="0" applyFont="1" applyFill="1" applyBorder="1" applyAlignment="1">
      <alignment horizontal="center" vertical="center"/>
    </xf>
    <xf numFmtId="0" fontId="4" fillId="7" borderId="61" xfId="0" applyFont="1" applyFill="1" applyBorder="1" applyAlignment="1">
      <alignment horizontal="center" vertical="center"/>
    </xf>
    <xf numFmtId="166" fontId="4" fillId="7" borderId="61" xfId="0" applyNumberFormat="1" applyFont="1" applyFill="1" applyBorder="1" applyAlignment="1">
      <alignment horizontal="center" vertical="center"/>
    </xf>
    <xf numFmtId="166" fontId="4" fillId="7" borderId="62" xfId="0" applyNumberFormat="1" applyFont="1" applyFill="1" applyBorder="1" applyAlignment="1">
      <alignment horizontal="center" vertical="center"/>
    </xf>
    <xf numFmtId="9" fontId="4" fillId="7" borderId="63" xfId="1" applyNumberFormat="1" applyFont="1" applyFill="1" applyBorder="1" applyAlignment="1">
      <alignment horizontal="center" vertical="center"/>
    </xf>
    <xf numFmtId="166" fontId="4" fillId="7" borderId="64" xfId="0" applyNumberFormat="1" applyFont="1" applyFill="1" applyBorder="1" applyAlignment="1">
      <alignment horizontal="center" vertical="center"/>
    </xf>
    <xf numFmtId="166" fontId="4" fillId="7" borderId="66" xfId="0" applyNumberFormat="1" applyFont="1" applyFill="1" applyBorder="1" applyAlignment="1">
      <alignment horizontal="center" vertical="center"/>
    </xf>
    <xf numFmtId="166" fontId="4" fillId="7" borderId="53" xfId="0" applyNumberFormat="1" applyFont="1" applyFill="1" applyBorder="1" applyAlignment="1">
      <alignment horizontal="center" vertical="center"/>
    </xf>
    <xf numFmtId="9" fontId="4" fillId="7" borderId="54" xfId="1" applyFont="1" applyFill="1" applyBorder="1" applyAlignment="1">
      <alignment horizontal="center" vertical="center"/>
    </xf>
    <xf numFmtId="167" fontId="4" fillId="7" borderId="54" xfId="1" applyNumberFormat="1" applyFont="1" applyFill="1" applyBorder="1" applyAlignment="1">
      <alignment horizontal="center" vertical="center"/>
    </xf>
    <xf numFmtId="0" fontId="4" fillId="7" borderId="69" xfId="0" applyFont="1" applyFill="1" applyBorder="1" applyAlignment="1">
      <alignment horizontal="center" vertical="center"/>
    </xf>
    <xf numFmtId="166" fontId="2" fillId="7" borderId="106" xfId="0" applyNumberFormat="1" applyFont="1" applyFill="1" applyBorder="1" applyAlignment="1">
      <alignment horizontal="center" vertical="center"/>
    </xf>
    <xf numFmtId="9" fontId="2" fillId="7" borderId="67" xfId="1" applyFont="1" applyFill="1" applyBorder="1" applyAlignment="1">
      <alignment horizontal="center" vertical="center"/>
    </xf>
    <xf numFmtId="167" fontId="2" fillId="7" borderId="67" xfId="1" applyNumberFormat="1" applyFont="1" applyFill="1" applyBorder="1" applyAlignment="1">
      <alignment horizontal="center" vertical="center"/>
    </xf>
    <xf numFmtId="166" fontId="4" fillId="7" borderId="106" xfId="0" applyNumberFormat="1" applyFont="1" applyFill="1" applyBorder="1" applyAlignment="1">
      <alignment horizontal="center" vertical="center"/>
    </xf>
    <xf numFmtId="9" fontId="4" fillId="7" borderId="67" xfId="1" applyFont="1" applyFill="1" applyBorder="1" applyAlignment="1">
      <alignment horizontal="center" vertical="center"/>
    </xf>
    <xf numFmtId="167" fontId="4" fillId="7" borderId="67" xfId="1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7" borderId="57" xfId="0" applyFont="1" applyFill="1" applyBorder="1" applyAlignment="1">
      <alignment horizontal="center" vertical="center"/>
    </xf>
    <xf numFmtId="166" fontId="4" fillId="0" borderId="48" xfId="0" applyNumberFormat="1" applyFont="1" applyBorder="1" applyAlignment="1">
      <alignment horizontal="center" vertical="center"/>
    </xf>
    <xf numFmtId="166" fontId="4" fillId="0" borderId="49" xfId="1" applyNumberFormat="1" applyFont="1" applyBorder="1" applyAlignment="1">
      <alignment horizontal="center" vertical="center"/>
    </xf>
    <xf numFmtId="166" fontId="4" fillId="0" borderId="52" xfId="1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9" fontId="4" fillId="0" borderId="26" xfId="1" applyNumberFormat="1" applyFont="1" applyBorder="1" applyAlignment="1">
      <alignment horizontal="center" vertical="center"/>
    </xf>
    <xf numFmtId="167" fontId="4" fillId="0" borderId="4" xfId="1" applyNumberFormat="1" applyFont="1" applyBorder="1" applyAlignment="1">
      <alignment horizontal="center" vertical="center"/>
    </xf>
    <xf numFmtId="166" fontId="4" fillId="0" borderId="91" xfId="0" applyNumberFormat="1" applyFont="1" applyBorder="1" applyAlignment="1">
      <alignment horizontal="center" vertical="center"/>
    </xf>
    <xf numFmtId="9" fontId="4" fillId="0" borderId="92" xfId="1" applyNumberFormat="1" applyFont="1" applyBorder="1" applyAlignment="1">
      <alignment horizontal="center" vertical="center"/>
    </xf>
    <xf numFmtId="9" fontId="4" fillId="0" borderId="30" xfId="1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8" fontId="2" fillId="0" borderId="106" xfId="2" applyNumberFormat="1" applyFont="1" applyBorder="1" applyAlignment="1">
      <alignment vertical="center"/>
    </xf>
    <xf numFmtId="168" fontId="2" fillId="0" borderId="5" xfId="0" applyNumberFormat="1" applyFont="1" applyBorder="1" applyAlignment="1">
      <alignment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67" xfId="0" applyNumberFormat="1" applyFont="1" applyBorder="1" applyAlignment="1">
      <alignment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6" borderId="1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66" fontId="4" fillId="3" borderId="6" xfId="0" applyNumberFormat="1" applyFont="1" applyFill="1" applyBorder="1" applyAlignment="1">
      <alignment horizontal="center" vertical="center"/>
    </xf>
    <xf numFmtId="166" fontId="2" fillId="3" borderId="6" xfId="0" applyNumberFormat="1" applyFont="1" applyFill="1" applyBorder="1" applyAlignment="1">
      <alignment horizontal="center" vertical="center"/>
    </xf>
    <xf numFmtId="166" fontId="4" fillId="3" borderId="10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6" fontId="2" fillId="3" borderId="10" xfId="0" applyNumberFormat="1" applyFont="1" applyFill="1" applyBorder="1" applyAlignment="1">
      <alignment horizontal="center" vertical="center"/>
    </xf>
    <xf numFmtId="166" fontId="4" fillId="0" borderId="10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6" fontId="4" fillId="7" borderId="107" xfId="0" applyNumberFormat="1" applyFont="1" applyFill="1" applyBorder="1" applyAlignment="1">
      <alignment horizontal="center" vertical="center"/>
    </xf>
    <xf numFmtId="166" fontId="4" fillId="7" borderId="68" xfId="0" applyNumberFormat="1" applyFont="1" applyFill="1" applyBorder="1" applyAlignment="1">
      <alignment horizontal="center" vertical="center"/>
    </xf>
    <xf numFmtId="166" fontId="4" fillId="7" borderId="83" xfId="0" applyNumberFormat="1" applyFont="1" applyFill="1" applyBorder="1" applyAlignment="1">
      <alignment horizontal="center" vertical="center"/>
    </xf>
    <xf numFmtId="166" fontId="4" fillId="7" borderId="54" xfId="0" applyNumberFormat="1" applyFont="1" applyFill="1" applyBorder="1" applyAlignment="1">
      <alignment horizontal="center" vertical="center"/>
    </xf>
    <xf numFmtId="166" fontId="4" fillId="7" borderId="52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7" borderId="109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7" fontId="6" fillId="0" borderId="0" xfId="0" applyNumberFormat="1" applyFont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7" borderId="65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72" xfId="0" applyFont="1" applyFill="1" applyBorder="1" applyAlignment="1">
      <alignment horizontal="center" vertical="center"/>
    </xf>
    <xf numFmtId="166" fontId="4" fillId="7" borderId="110" xfId="0" applyNumberFormat="1" applyFont="1" applyFill="1" applyBorder="1" applyAlignment="1">
      <alignment horizontal="center" vertical="center"/>
    </xf>
    <xf numFmtId="0" fontId="4" fillId="3" borderId="99" xfId="0" applyFont="1" applyFill="1" applyBorder="1" applyAlignment="1">
      <alignment horizontal="center" vertical="center"/>
    </xf>
    <xf numFmtId="0" fontId="4" fillId="7" borderId="11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9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9" fontId="18" fillId="3" borderId="15" xfId="1" applyNumberFormat="1" applyFont="1" applyFill="1" applyBorder="1" applyAlignment="1">
      <alignment horizontal="center" vertical="center"/>
    </xf>
    <xf numFmtId="166" fontId="18" fillId="3" borderId="9" xfId="0" applyNumberFormat="1" applyFont="1" applyFill="1" applyBorder="1" applyAlignment="1">
      <alignment horizontal="center" vertical="center"/>
    </xf>
    <xf numFmtId="166" fontId="18" fillId="3" borderId="10" xfId="0" applyNumberFormat="1" applyFont="1" applyFill="1" applyBorder="1" applyAlignment="1">
      <alignment horizontal="center" vertical="center"/>
    </xf>
    <xf numFmtId="167" fontId="18" fillId="3" borderId="1" xfId="1" applyNumberFormat="1" applyFont="1" applyFill="1" applyBorder="1" applyAlignment="1">
      <alignment horizontal="center" vertical="center"/>
    </xf>
    <xf numFmtId="167" fontId="18" fillId="3" borderId="0" xfId="1" applyNumberFormat="1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6" fontId="18" fillId="0" borderId="10" xfId="0" applyNumberFormat="1" applyFont="1" applyBorder="1" applyAlignment="1">
      <alignment horizontal="center" vertical="center"/>
    </xf>
    <xf numFmtId="9" fontId="18" fillId="0" borderId="29" xfId="1" applyNumberFormat="1" applyFont="1" applyBorder="1" applyAlignment="1">
      <alignment horizontal="center" vertical="center"/>
    </xf>
    <xf numFmtId="9" fontId="18" fillId="0" borderId="0" xfId="1" applyFont="1" applyBorder="1" applyAlignment="1">
      <alignment horizontal="center" vertical="center"/>
    </xf>
    <xf numFmtId="9" fontId="18" fillId="0" borderId="0" xfId="1" applyNumberFormat="1" applyFont="1" applyBorder="1" applyAlignment="1">
      <alignment horizontal="center" vertical="center"/>
    </xf>
    <xf numFmtId="166" fontId="18" fillId="0" borderId="6" xfId="0" applyNumberFormat="1" applyFont="1" applyBorder="1" applyAlignment="1">
      <alignment horizontal="center" vertical="center"/>
    </xf>
    <xf numFmtId="0" fontId="18" fillId="13" borderId="0" xfId="0" applyFont="1" applyFill="1" applyAlignment="1">
      <alignment horizontal="center" vertical="center"/>
    </xf>
    <xf numFmtId="0" fontId="18" fillId="3" borderId="99" xfId="0" applyFont="1" applyFill="1" applyBorder="1" applyAlignment="1">
      <alignment horizontal="center" vertical="center"/>
    </xf>
    <xf numFmtId="0" fontId="18" fillId="7" borderId="5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166" fontId="18" fillId="7" borderId="9" xfId="0" applyNumberFormat="1" applyFont="1" applyFill="1" applyBorder="1" applyAlignment="1">
      <alignment horizontal="center" vertical="center"/>
    </xf>
    <xf numFmtId="166" fontId="18" fillId="7" borderId="1" xfId="0" applyNumberFormat="1" applyFont="1" applyFill="1" applyBorder="1" applyAlignment="1">
      <alignment horizontal="center" vertical="center"/>
    </xf>
    <xf numFmtId="9" fontId="18" fillId="7" borderId="15" xfId="1" applyNumberFormat="1" applyFont="1" applyFill="1" applyBorder="1" applyAlignment="1">
      <alignment horizontal="center" vertical="center"/>
    </xf>
    <xf numFmtId="166" fontId="18" fillId="7" borderId="56" xfId="0" applyNumberFormat="1" applyFont="1" applyFill="1" applyBorder="1" applyAlignment="1">
      <alignment horizontal="center" vertical="center"/>
    </xf>
    <xf numFmtId="166" fontId="18" fillId="7" borderId="55" xfId="0" applyNumberFormat="1" applyFont="1" applyFill="1" applyBorder="1" applyAlignment="1">
      <alignment horizontal="center" vertical="center"/>
    </xf>
    <xf numFmtId="166" fontId="18" fillId="7" borderId="108" xfId="0" applyNumberFormat="1" applyFont="1" applyFill="1" applyBorder="1" applyAlignment="1">
      <alignment horizontal="center" vertical="center"/>
    </xf>
    <xf numFmtId="9" fontId="18" fillId="7" borderId="56" xfId="1" applyFont="1" applyFill="1" applyBorder="1" applyAlignment="1">
      <alignment horizontal="center" vertical="center"/>
    </xf>
    <xf numFmtId="167" fontId="18" fillId="7" borderId="56" xfId="1" applyNumberFormat="1" applyFont="1" applyFill="1" applyBorder="1" applyAlignment="1">
      <alignment horizontal="center" vertical="center"/>
    </xf>
    <xf numFmtId="166" fontId="18" fillId="7" borderId="106" xfId="0" applyNumberFormat="1" applyFont="1" applyFill="1" applyBorder="1" applyAlignment="1">
      <alignment horizontal="center" vertical="center"/>
    </xf>
    <xf numFmtId="9" fontId="18" fillId="7" borderId="67" xfId="1" applyFont="1" applyFill="1" applyBorder="1" applyAlignment="1">
      <alignment horizontal="center" vertical="center"/>
    </xf>
    <xf numFmtId="167" fontId="18" fillId="7" borderId="67" xfId="1" applyNumberFormat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66" fontId="18" fillId="0" borderId="7" xfId="0" applyNumberFormat="1" applyFont="1" applyBorder="1" applyAlignment="1">
      <alignment horizontal="center" vertical="center"/>
    </xf>
    <xf numFmtId="166" fontId="18" fillId="0" borderId="60" xfId="0" applyNumberFormat="1" applyFont="1" applyBorder="1" applyAlignment="1">
      <alignment horizontal="center" vertical="center"/>
    </xf>
    <xf numFmtId="166" fontId="18" fillId="4" borderId="7" xfId="1" applyNumberFormat="1" applyFont="1" applyFill="1" applyBorder="1" applyAlignment="1">
      <alignment horizontal="center" vertical="center"/>
    </xf>
    <xf numFmtId="167" fontId="18" fillId="0" borderId="7" xfId="1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26" xfId="1" applyNumberFormat="1" applyFont="1" applyBorder="1" applyAlignment="1">
      <alignment horizontal="center" vertical="center"/>
    </xf>
    <xf numFmtId="9" fontId="18" fillId="0" borderId="4" xfId="1" applyFont="1" applyBorder="1" applyAlignment="1">
      <alignment horizontal="center" vertical="center"/>
    </xf>
    <xf numFmtId="167" fontId="18" fillId="0" borderId="4" xfId="1" applyNumberFormat="1" applyFont="1" applyBorder="1" applyAlignment="1">
      <alignment horizontal="center" vertical="center"/>
    </xf>
    <xf numFmtId="9" fontId="18" fillId="0" borderId="42" xfId="1" applyFont="1" applyBorder="1" applyAlignment="1">
      <alignment horizontal="center" vertical="center"/>
    </xf>
    <xf numFmtId="166" fontId="18" fillId="0" borderId="44" xfId="0" applyNumberFormat="1" applyFont="1" applyBorder="1" applyAlignment="1">
      <alignment horizontal="center" vertical="center"/>
    </xf>
    <xf numFmtId="166" fontId="18" fillId="6" borderId="44" xfId="0" applyNumberFormat="1" applyFont="1" applyFill="1" applyBorder="1" applyAlignment="1">
      <alignment horizontal="center" vertical="center"/>
    </xf>
    <xf numFmtId="9" fontId="18" fillId="0" borderId="5" xfId="1" applyFont="1" applyBorder="1" applyAlignment="1">
      <alignment horizontal="center" vertical="center"/>
    </xf>
    <xf numFmtId="9" fontId="18" fillId="3" borderId="0" xfId="1" applyNumberFormat="1" applyFont="1" applyFill="1" applyBorder="1" applyAlignment="1">
      <alignment horizontal="center" vertical="center"/>
    </xf>
    <xf numFmtId="166" fontId="18" fillId="0" borderId="91" xfId="0" applyNumberFormat="1" applyFont="1" applyBorder="1" applyAlignment="1">
      <alignment horizontal="center" vertical="center"/>
    </xf>
    <xf numFmtId="9" fontId="18" fillId="0" borderId="92" xfId="1" applyNumberFormat="1" applyFont="1" applyBorder="1" applyAlignment="1">
      <alignment horizontal="center" vertical="center"/>
    </xf>
    <xf numFmtId="166" fontId="18" fillId="3" borderId="93" xfId="0" applyNumberFormat="1" applyFont="1" applyFill="1" applyBorder="1" applyAlignment="1">
      <alignment horizontal="center" vertical="center"/>
    </xf>
    <xf numFmtId="9" fontId="18" fillId="3" borderId="94" xfId="1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9" fontId="18" fillId="0" borderId="30" xfId="1" applyNumberFormat="1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99" xfId="0" applyFont="1" applyBorder="1" applyAlignment="1">
      <alignment horizontal="center" vertical="center"/>
    </xf>
    <xf numFmtId="166" fontId="18" fillId="3" borderId="64" xfId="0" applyNumberFormat="1" applyFont="1" applyFill="1" applyBorder="1" applyAlignment="1">
      <alignment horizontal="center" vertical="center"/>
    </xf>
    <xf numFmtId="166" fontId="18" fillId="4" borderId="62" xfId="0" applyNumberFormat="1" applyFont="1" applyFill="1" applyBorder="1" applyAlignment="1">
      <alignment horizontal="center" vertical="center"/>
    </xf>
    <xf numFmtId="166" fontId="18" fillId="8" borderId="62" xfId="0" applyNumberFormat="1" applyFont="1" applyFill="1" applyBorder="1" applyAlignment="1">
      <alignment horizontal="center" vertical="center"/>
    </xf>
    <xf numFmtId="166" fontId="18" fillId="9" borderId="62" xfId="0" applyNumberFormat="1" applyFont="1" applyFill="1" applyBorder="1" applyAlignment="1">
      <alignment horizontal="center" vertical="center"/>
    </xf>
    <xf numFmtId="166" fontId="18" fillId="10" borderId="62" xfId="0" applyNumberFormat="1" applyFont="1" applyFill="1" applyBorder="1" applyAlignment="1">
      <alignment horizontal="center" vertical="center"/>
    </xf>
    <xf numFmtId="166" fontId="18" fillId="11" borderId="62" xfId="0" applyNumberFormat="1" applyFont="1" applyFill="1" applyBorder="1" applyAlignment="1">
      <alignment horizontal="center" vertical="center"/>
    </xf>
    <xf numFmtId="166" fontId="18" fillId="3" borderId="63" xfId="1" applyNumberFormat="1" applyFont="1" applyFill="1" applyBorder="1" applyAlignment="1">
      <alignment horizontal="center" vertical="center"/>
    </xf>
    <xf numFmtId="166" fontId="18" fillId="0" borderId="75" xfId="0" applyNumberFormat="1" applyFont="1" applyBorder="1" applyAlignment="1">
      <alignment horizontal="center" vertical="center"/>
    </xf>
    <xf numFmtId="166" fontId="18" fillId="0" borderId="24" xfId="0" applyNumberFormat="1" applyFont="1" applyBorder="1" applyAlignment="1">
      <alignment horizontal="center" vertical="center"/>
    </xf>
    <xf numFmtId="166" fontId="18" fillId="0" borderId="53" xfId="0" applyNumberFormat="1" applyFont="1" applyBorder="1" applyAlignment="1">
      <alignment horizontal="center" vertical="center"/>
    </xf>
    <xf numFmtId="166" fontId="18" fillId="0" borderId="54" xfId="0" applyNumberFormat="1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96" xfId="0" applyFont="1" applyBorder="1" applyAlignment="1">
      <alignment horizontal="center" vertical="center"/>
    </xf>
    <xf numFmtId="166" fontId="18" fillId="3" borderId="78" xfId="0" applyNumberFormat="1" applyFont="1" applyFill="1" applyBorder="1" applyAlignment="1">
      <alignment horizontal="center" vertical="center"/>
    </xf>
    <xf numFmtId="166" fontId="18" fillId="4" borderId="76" xfId="0" applyNumberFormat="1" applyFont="1" applyFill="1" applyBorder="1" applyAlignment="1">
      <alignment horizontal="center" vertical="center"/>
    </xf>
    <xf numFmtId="166" fontId="18" fillId="8" borderId="76" xfId="0" applyNumberFormat="1" applyFont="1" applyFill="1" applyBorder="1" applyAlignment="1">
      <alignment horizontal="center" vertical="center"/>
    </xf>
    <xf numFmtId="166" fontId="18" fillId="9" borderId="76" xfId="0" applyNumberFormat="1" applyFont="1" applyFill="1" applyBorder="1" applyAlignment="1">
      <alignment horizontal="center" vertical="center"/>
    </xf>
    <xf numFmtId="166" fontId="18" fillId="10" borderId="76" xfId="0" applyNumberFormat="1" applyFont="1" applyFill="1" applyBorder="1" applyAlignment="1">
      <alignment horizontal="center" vertical="center"/>
    </xf>
    <xf numFmtId="166" fontId="18" fillId="11" borderId="76" xfId="0" applyNumberFormat="1" applyFont="1" applyFill="1" applyBorder="1" applyAlignment="1">
      <alignment horizontal="center" vertical="center"/>
    </xf>
    <xf numFmtId="166" fontId="18" fillId="3" borderId="77" xfId="1" applyNumberFormat="1" applyFont="1" applyFill="1" applyBorder="1" applyAlignment="1">
      <alignment horizontal="center" vertical="center"/>
    </xf>
    <xf numFmtId="166" fontId="18" fillId="0" borderId="78" xfId="0" applyNumberFormat="1" applyFont="1" applyBorder="1" applyAlignment="1">
      <alignment horizontal="center" vertical="center"/>
    </xf>
    <xf numFmtId="166" fontId="18" fillId="0" borderId="57" xfId="0" applyNumberFormat="1" applyFont="1" applyBorder="1" applyAlignment="1">
      <alignment horizontal="center" vertical="center"/>
    </xf>
    <xf numFmtId="166" fontId="18" fillId="0" borderId="58" xfId="0" applyNumberFormat="1" applyFont="1" applyBorder="1" applyAlignment="1">
      <alignment horizontal="center" vertical="center"/>
    </xf>
    <xf numFmtId="166" fontId="4" fillId="0" borderId="55" xfId="0" applyNumberFormat="1" applyFont="1" applyBorder="1" applyAlignment="1">
      <alignment horizontal="center" vertical="center"/>
    </xf>
    <xf numFmtId="166" fontId="18" fillId="0" borderId="79" xfId="0" applyNumberFormat="1" applyFont="1" applyBorder="1" applyAlignment="1">
      <alignment horizontal="center" vertical="center"/>
    </xf>
    <xf numFmtId="166" fontId="18" fillId="0" borderId="112" xfId="0" applyNumberFormat="1" applyFont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6" fillId="6" borderId="0" xfId="0" applyFont="1" applyFill="1" applyBorder="1" applyAlignment="1">
      <alignment vertical="center" textRotation="90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166" fontId="4" fillId="3" borderId="24" xfId="0" applyNumberFormat="1" applyFont="1" applyFill="1" applyBorder="1" applyAlignment="1">
      <alignment horizontal="center" vertical="center"/>
    </xf>
    <xf numFmtId="166" fontId="2" fillId="3" borderId="24" xfId="0" applyNumberFormat="1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66" fontId="4" fillId="3" borderId="55" xfId="0" applyNumberFormat="1" applyFont="1" applyFill="1" applyBorder="1" applyAlignment="1">
      <alignment horizontal="center" vertical="center"/>
    </xf>
    <xf numFmtId="166" fontId="4" fillId="3" borderId="56" xfId="0" applyNumberFormat="1" applyFont="1" applyFill="1" applyBorder="1" applyAlignment="1">
      <alignment horizontal="center" vertical="center"/>
    </xf>
    <xf numFmtId="166" fontId="2" fillId="3" borderId="55" xfId="0" applyNumberFormat="1" applyFont="1" applyFill="1" applyBorder="1" applyAlignment="1">
      <alignment horizontal="center" vertical="center"/>
    </xf>
    <xf numFmtId="166" fontId="2" fillId="3" borderId="56" xfId="0" applyNumberFormat="1" applyFont="1" applyFill="1" applyBorder="1" applyAlignment="1">
      <alignment horizontal="center" vertical="center"/>
    </xf>
    <xf numFmtId="166" fontId="4" fillId="3" borderId="108" xfId="0" applyNumberFormat="1" applyFont="1" applyFill="1" applyBorder="1" applyAlignment="1">
      <alignment horizontal="center" vertical="center"/>
    </xf>
    <xf numFmtId="0" fontId="2" fillId="3" borderId="57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166" fontId="2" fillId="3" borderId="53" xfId="0" applyNumberFormat="1" applyFont="1" applyFill="1" applyBorder="1" applyAlignment="1">
      <alignment horizontal="center" vertical="center"/>
    </xf>
    <xf numFmtId="166" fontId="2" fillId="3" borderId="64" xfId="0" applyNumberFormat="1" applyFont="1" applyFill="1" applyBorder="1" applyAlignment="1">
      <alignment horizontal="center" vertical="center"/>
    </xf>
    <xf numFmtId="166" fontId="2" fillId="3" borderId="107" xfId="0" applyNumberFormat="1" applyFont="1" applyFill="1" applyBorder="1" applyAlignment="1">
      <alignment horizontal="center" vertical="center"/>
    </xf>
    <xf numFmtId="166" fontId="4" fillId="0" borderId="108" xfId="0" applyNumberFormat="1" applyFont="1" applyBorder="1" applyAlignment="1">
      <alignment horizontal="center" vertical="center"/>
    </xf>
    <xf numFmtId="166" fontId="2" fillId="0" borderId="55" xfId="0" applyNumberFormat="1" applyFont="1" applyBorder="1" applyAlignment="1">
      <alignment horizontal="center" vertical="center"/>
    </xf>
    <xf numFmtId="166" fontId="2" fillId="0" borderId="108" xfId="0" applyNumberFormat="1" applyFont="1" applyBorder="1" applyAlignment="1">
      <alignment horizontal="center" vertical="center"/>
    </xf>
    <xf numFmtId="166" fontId="2" fillId="3" borderId="108" xfId="0" applyNumberFormat="1" applyFont="1" applyFill="1" applyBorder="1" applyAlignment="1">
      <alignment horizontal="center" vertical="center"/>
    </xf>
    <xf numFmtId="166" fontId="2" fillId="3" borderId="106" xfId="0" applyNumberFormat="1" applyFont="1" applyFill="1" applyBorder="1" applyAlignment="1">
      <alignment horizontal="center" vertical="center"/>
    </xf>
    <xf numFmtId="166" fontId="2" fillId="3" borderId="113" xfId="0" applyNumberFormat="1" applyFont="1" applyFill="1" applyBorder="1" applyAlignment="1">
      <alignment horizontal="center" vertical="center"/>
    </xf>
    <xf numFmtId="166" fontId="18" fillId="3" borderId="55" xfId="0" applyNumberFormat="1" applyFont="1" applyFill="1" applyBorder="1" applyAlignment="1">
      <alignment horizontal="center" vertical="center"/>
    </xf>
    <xf numFmtId="166" fontId="18" fillId="3" borderId="108" xfId="0" applyNumberFormat="1" applyFont="1" applyFill="1" applyBorder="1" applyAlignment="1">
      <alignment horizontal="center" vertical="center"/>
    </xf>
    <xf numFmtId="166" fontId="18" fillId="0" borderId="55" xfId="0" applyNumberFormat="1" applyFont="1" applyBorder="1" applyAlignment="1">
      <alignment horizontal="center" vertical="center"/>
    </xf>
    <xf numFmtId="166" fontId="18" fillId="0" borderId="108" xfId="0" applyNumberFormat="1" applyFont="1" applyBorder="1" applyAlignment="1">
      <alignment horizontal="center" vertical="center"/>
    </xf>
    <xf numFmtId="166" fontId="4" fillId="0" borderId="24" xfId="0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/>
    </xf>
    <xf numFmtId="166" fontId="4" fillId="6" borderId="52" xfId="0" applyNumberFormat="1" applyFont="1" applyFill="1" applyBorder="1" applyAlignment="1">
      <alignment horizontal="center" vertical="center"/>
    </xf>
    <xf numFmtId="166" fontId="18" fillId="0" borderId="48" xfId="0" applyNumberFormat="1" applyFont="1" applyBorder="1" applyAlignment="1">
      <alignment horizontal="center" vertical="center"/>
    </xf>
    <xf numFmtId="166" fontId="18" fillId="0" borderId="49" xfId="0" applyNumberFormat="1" applyFont="1" applyBorder="1" applyAlignment="1">
      <alignment horizontal="center" vertical="center"/>
    </xf>
    <xf numFmtId="166" fontId="18" fillId="6" borderId="52" xfId="0" applyNumberFormat="1" applyFont="1" applyFill="1" applyBorder="1" applyAlignment="1">
      <alignment horizontal="center" vertical="center"/>
    </xf>
    <xf numFmtId="166" fontId="4" fillId="0" borderId="53" xfId="0" applyNumberFormat="1" applyFont="1" applyBorder="1" applyAlignment="1">
      <alignment horizontal="center" vertical="center"/>
    </xf>
    <xf numFmtId="166" fontId="4" fillId="0" borderId="64" xfId="0" applyNumberFormat="1" applyFont="1" applyBorder="1" applyAlignment="1">
      <alignment horizontal="center" vertical="center"/>
    </xf>
    <xf numFmtId="166" fontId="4" fillId="0" borderId="107" xfId="0" applyNumberFormat="1" applyFont="1" applyBorder="1" applyAlignment="1">
      <alignment horizontal="center" vertical="center"/>
    </xf>
    <xf numFmtId="166" fontId="18" fillId="3" borderId="53" xfId="0" applyNumberFormat="1" applyFont="1" applyFill="1" applyBorder="1" applyAlignment="1">
      <alignment horizontal="center" vertical="center"/>
    </xf>
    <xf numFmtId="166" fontId="18" fillId="3" borderId="107" xfId="0" applyNumberFormat="1" applyFont="1" applyFill="1" applyBorder="1" applyAlignment="1">
      <alignment horizontal="center" vertical="center"/>
    </xf>
    <xf numFmtId="166" fontId="4" fillId="0" borderId="57" xfId="0" applyNumberFormat="1" applyFont="1" applyBorder="1" applyAlignment="1">
      <alignment horizontal="center" vertical="center"/>
    </xf>
    <xf numFmtId="166" fontId="4" fillId="0" borderId="78" xfId="0" applyNumberFormat="1" applyFont="1" applyBorder="1" applyAlignment="1">
      <alignment horizontal="center" vertical="center"/>
    </xf>
    <xf numFmtId="166" fontId="4" fillId="0" borderId="7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18" fillId="3" borderId="79" xfId="0" applyNumberFormat="1" applyFont="1" applyFill="1" applyBorder="1" applyAlignment="1">
      <alignment horizontal="center" vertical="center"/>
    </xf>
    <xf numFmtId="166" fontId="4" fillId="7" borderId="50" xfId="1" applyNumberFormat="1" applyFont="1" applyFill="1" applyBorder="1" applyAlignment="1">
      <alignment horizontal="center" vertical="center"/>
    </xf>
    <xf numFmtId="167" fontId="18" fillId="0" borderId="59" xfId="1" applyNumberFormat="1" applyFont="1" applyBorder="1" applyAlignment="1">
      <alignment horizontal="center" vertical="center"/>
    </xf>
    <xf numFmtId="167" fontId="18" fillId="3" borderId="15" xfId="1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7" borderId="114" xfId="0" applyNumberFormat="1" applyFont="1" applyFill="1" applyBorder="1" applyAlignment="1">
      <alignment horizontal="center" vertical="center"/>
    </xf>
    <xf numFmtId="166" fontId="4" fillId="3" borderId="99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5" fontId="2" fillId="0" borderId="62" xfId="0" applyNumberFormat="1" applyFont="1" applyBorder="1" applyAlignment="1">
      <alignment vertical="center"/>
    </xf>
    <xf numFmtId="2" fontId="4" fillId="7" borderId="52" xfId="1" applyNumberFormat="1" applyFont="1" applyFill="1" applyBorder="1" applyAlignment="1">
      <alignment horizontal="center" vertical="center"/>
    </xf>
    <xf numFmtId="166" fontId="18" fillId="0" borderId="97" xfId="1" applyNumberFormat="1" applyFont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166" fontId="4" fillId="3" borderId="56" xfId="1" applyNumberFormat="1" applyFont="1" applyFill="1" applyBorder="1" applyAlignment="1">
      <alignment horizontal="center" vertical="center"/>
    </xf>
    <xf numFmtId="166" fontId="4" fillId="3" borderId="0" xfId="1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4" fillId="7" borderId="52" xfId="0" applyFont="1" applyFill="1" applyBorder="1" applyAlignment="1">
      <alignment horizontal="center" vertical="center"/>
    </xf>
    <xf numFmtId="166" fontId="4" fillId="3" borderId="115" xfId="0" applyNumberFormat="1" applyFont="1" applyFill="1" applyBorder="1" applyAlignment="1">
      <alignment horizontal="center" vertical="center"/>
    </xf>
    <xf numFmtId="9" fontId="4" fillId="7" borderId="49" xfId="1" applyNumberFormat="1" applyFont="1" applyFill="1" applyBorder="1" applyAlignment="1">
      <alignment horizontal="center" vertical="center"/>
    </xf>
    <xf numFmtId="166" fontId="4" fillId="7" borderId="48" xfId="1" applyNumberFormat="1" applyFont="1" applyFill="1" applyBorder="1" applyAlignment="1">
      <alignment horizontal="center" vertical="center"/>
    </xf>
    <xf numFmtId="166" fontId="4" fillId="7" borderId="49" xfId="1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18" fillId="0" borderId="0" xfId="0" applyNumberFormat="1" applyFont="1" applyBorder="1" applyAlignment="1">
      <alignment horizontal="center" vertical="center"/>
    </xf>
    <xf numFmtId="166" fontId="18" fillId="3" borderId="5" xfId="0" applyNumberFormat="1" applyFont="1" applyFill="1" applyBorder="1" applyAlignment="1">
      <alignment horizontal="center" vertical="center"/>
    </xf>
    <xf numFmtId="9" fontId="18" fillId="3" borderId="42" xfId="1" applyNumberFormat="1" applyFont="1" applyFill="1" applyBorder="1" applyAlignment="1">
      <alignment horizontal="center" vertical="center"/>
    </xf>
    <xf numFmtId="166" fontId="18" fillId="3" borderId="106" xfId="0" applyNumberFormat="1" applyFont="1" applyFill="1" applyBorder="1" applyAlignment="1">
      <alignment horizontal="center" vertical="center"/>
    </xf>
    <xf numFmtId="166" fontId="18" fillId="3" borderId="44" xfId="0" applyNumberFormat="1" applyFont="1" applyFill="1" applyBorder="1" applyAlignment="1">
      <alignment horizontal="center" vertical="center"/>
    </xf>
    <xf numFmtId="166" fontId="18" fillId="3" borderId="113" xfId="0" applyNumberFormat="1" applyFont="1" applyFill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166" fontId="4" fillId="4" borderId="76" xfId="0" applyNumberFormat="1" applyFont="1" applyFill="1" applyBorder="1" applyAlignment="1">
      <alignment horizontal="center" vertical="center"/>
    </xf>
    <xf numFmtId="166" fontId="4" fillId="8" borderId="76" xfId="0" applyNumberFormat="1" applyFont="1" applyFill="1" applyBorder="1" applyAlignment="1">
      <alignment horizontal="center" vertical="center"/>
    </xf>
    <xf numFmtId="166" fontId="4" fillId="9" borderId="76" xfId="0" applyNumberFormat="1" applyFont="1" applyFill="1" applyBorder="1" applyAlignment="1">
      <alignment horizontal="center" vertical="center"/>
    </xf>
    <xf numFmtId="166" fontId="4" fillId="10" borderId="76" xfId="0" applyNumberFormat="1" applyFont="1" applyFill="1" applyBorder="1" applyAlignment="1">
      <alignment horizontal="center" vertical="center"/>
    </xf>
    <xf numFmtId="166" fontId="4" fillId="11" borderId="76" xfId="0" applyNumberFormat="1" applyFont="1" applyFill="1" applyBorder="1" applyAlignment="1">
      <alignment horizontal="center" vertical="center"/>
    </xf>
    <xf numFmtId="166" fontId="4" fillId="0" borderId="76" xfId="0" applyNumberFormat="1" applyFont="1" applyBorder="1" applyAlignment="1">
      <alignment horizontal="center" vertical="center"/>
    </xf>
    <xf numFmtId="166" fontId="4" fillId="0" borderId="58" xfId="0" applyNumberFormat="1" applyFont="1" applyBorder="1" applyAlignment="1">
      <alignment horizontal="center" vertical="center"/>
    </xf>
    <xf numFmtId="166" fontId="4" fillId="7" borderId="116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167" fontId="2" fillId="3" borderId="54" xfId="1" applyNumberFormat="1" applyFont="1" applyFill="1" applyBorder="1" applyAlignment="1">
      <alignment horizontal="center" vertical="center"/>
    </xf>
    <xf numFmtId="167" fontId="4" fillId="3" borderId="56" xfId="1" applyNumberFormat="1" applyFont="1" applyFill="1" applyBorder="1" applyAlignment="1">
      <alignment horizontal="center" vertical="center"/>
    </xf>
    <xf numFmtId="167" fontId="2" fillId="0" borderId="56" xfId="1" applyNumberFormat="1" applyFont="1" applyBorder="1" applyAlignment="1">
      <alignment horizontal="center" vertical="center"/>
    </xf>
    <xf numFmtId="167" fontId="4" fillId="0" borderId="56" xfId="1" applyNumberFormat="1" applyFont="1" applyBorder="1" applyAlignment="1">
      <alignment horizontal="center" vertical="center"/>
    </xf>
    <xf numFmtId="167" fontId="2" fillId="3" borderId="56" xfId="1" applyNumberFormat="1" applyFont="1" applyFill="1" applyBorder="1" applyAlignment="1">
      <alignment horizontal="center" vertical="center"/>
    </xf>
    <xf numFmtId="167" fontId="18" fillId="3" borderId="56" xfId="1" applyNumberFormat="1" applyFont="1" applyFill="1" applyBorder="1" applyAlignment="1">
      <alignment horizontal="center" vertical="center"/>
    </xf>
    <xf numFmtId="167" fontId="18" fillId="0" borderId="56" xfId="1" applyNumberFormat="1" applyFont="1" applyBorder="1" applyAlignment="1">
      <alignment horizontal="center" vertical="center"/>
    </xf>
    <xf numFmtId="170" fontId="4" fillId="3" borderId="105" xfId="0" applyNumberFormat="1" applyFont="1" applyFill="1" applyBorder="1" applyAlignment="1">
      <alignment horizontal="center" vertical="center"/>
    </xf>
    <xf numFmtId="170" fontId="4" fillId="3" borderId="95" xfId="0" applyNumberFormat="1" applyFont="1" applyFill="1" applyBorder="1" applyAlignment="1">
      <alignment horizontal="center" vertical="center"/>
    </xf>
    <xf numFmtId="172" fontId="18" fillId="0" borderId="0" xfId="1" applyNumberFormat="1" applyFont="1" applyBorder="1" applyAlignment="1">
      <alignment horizontal="center" vertical="center"/>
    </xf>
    <xf numFmtId="167" fontId="4" fillId="0" borderId="80" xfId="1" applyNumberFormat="1" applyFont="1" applyBorder="1" applyAlignment="1">
      <alignment horizontal="center" vertical="center"/>
    </xf>
    <xf numFmtId="167" fontId="4" fillId="0" borderId="84" xfId="1" applyNumberFormat="1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2" fillId="3" borderId="117" xfId="0" applyFont="1" applyFill="1" applyBorder="1" applyAlignment="1">
      <alignment horizontal="center" vertical="center"/>
    </xf>
    <xf numFmtId="167" fontId="4" fillId="0" borderId="101" xfId="1" applyNumberFormat="1" applyFont="1" applyBorder="1" applyAlignment="1">
      <alignment horizontal="center" vertical="center"/>
    </xf>
    <xf numFmtId="0" fontId="4" fillId="0" borderId="117" xfId="0" applyFont="1" applyBorder="1" applyAlignment="1">
      <alignment horizontal="center" vertical="center"/>
    </xf>
    <xf numFmtId="0" fontId="18" fillId="3" borderId="117" xfId="0" applyFont="1" applyFill="1" applyBorder="1" applyAlignment="1">
      <alignment horizontal="center" vertical="center"/>
    </xf>
    <xf numFmtId="167" fontId="18" fillId="0" borderId="101" xfId="1" applyNumberFormat="1" applyFont="1" applyBorder="1" applyAlignment="1">
      <alignment horizontal="center" vertical="center"/>
    </xf>
    <xf numFmtId="0" fontId="18" fillId="0" borderId="117" xfId="0" applyFont="1" applyBorder="1" applyAlignment="1">
      <alignment horizontal="center" vertical="center"/>
    </xf>
    <xf numFmtId="167" fontId="4" fillId="0" borderId="0" xfId="0" applyNumberFormat="1" applyFont="1" applyBorder="1" applyAlignment="1">
      <alignment horizontal="center" vertical="center"/>
    </xf>
    <xf numFmtId="171" fontId="18" fillId="0" borderId="101" xfId="1" applyNumberFormat="1" applyFont="1" applyBorder="1" applyAlignment="1">
      <alignment horizontal="center" vertical="center"/>
    </xf>
    <xf numFmtId="0" fontId="4" fillId="0" borderId="101" xfId="0" applyFont="1" applyBorder="1" applyAlignment="1">
      <alignment horizontal="center" vertical="center"/>
    </xf>
    <xf numFmtId="167" fontId="22" fillId="0" borderId="101" xfId="1" applyNumberFormat="1" applyFont="1" applyBorder="1" applyAlignment="1">
      <alignment horizontal="center" vertical="center"/>
    </xf>
    <xf numFmtId="167" fontId="5" fillId="0" borderId="101" xfId="1" applyNumberFormat="1" applyFont="1" applyBorder="1" applyAlignment="1">
      <alignment horizontal="center" vertical="center"/>
    </xf>
    <xf numFmtId="167" fontId="23" fillId="0" borderId="101" xfId="1" applyNumberFormat="1" applyFont="1" applyBorder="1" applyAlignment="1">
      <alignment horizontal="center" vertical="center"/>
    </xf>
    <xf numFmtId="14" fontId="4" fillId="0" borderId="101" xfId="0" applyNumberFormat="1" applyFont="1" applyBorder="1" applyAlignment="1">
      <alignment horizontal="center" vertical="center"/>
    </xf>
    <xf numFmtId="14" fontId="2" fillId="0" borderId="101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4" fontId="4" fillId="3" borderId="101" xfId="1" applyNumberFormat="1" applyFont="1" applyFill="1" applyBorder="1" applyAlignment="1">
      <alignment horizontal="center" vertical="center"/>
    </xf>
    <xf numFmtId="1" fontId="18" fillId="3" borderId="101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7" borderId="118" xfId="0" applyNumberFormat="1" applyFont="1" applyFill="1" applyBorder="1" applyAlignment="1">
      <alignment horizontal="center" vertical="center"/>
    </xf>
    <xf numFmtId="167" fontId="2" fillId="0" borderId="101" xfId="1" applyNumberFormat="1" applyFont="1" applyBorder="1" applyAlignment="1">
      <alignment horizontal="center" vertical="center"/>
    </xf>
    <xf numFmtId="167" fontId="2" fillId="0" borderId="0" xfId="0" applyNumberFormat="1" applyFont="1" applyBorder="1" applyAlignment="1">
      <alignment horizontal="center" vertical="center"/>
    </xf>
    <xf numFmtId="0" fontId="2" fillId="0" borderId="117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2" xfId="1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2" fillId="0" borderId="106" xfId="0" applyNumberFormat="1" applyFont="1" applyBorder="1" applyAlignment="1">
      <alignment horizontal="center" vertical="center"/>
    </xf>
    <xf numFmtId="166" fontId="2" fillId="0" borderId="113" xfId="0" applyNumberFormat="1" applyFont="1" applyBorder="1" applyAlignment="1">
      <alignment horizontal="center" vertical="center"/>
    </xf>
    <xf numFmtId="167" fontId="2" fillId="0" borderId="67" xfId="1" applyNumberFormat="1" applyFont="1" applyBorder="1" applyAlignment="1">
      <alignment horizontal="center" vertical="center"/>
    </xf>
    <xf numFmtId="167" fontId="4" fillId="0" borderId="58" xfId="1" applyNumberFormat="1" applyFont="1" applyBorder="1" applyAlignment="1">
      <alignment horizontal="center" vertical="center"/>
    </xf>
    <xf numFmtId="167" fontId="4" fillId="0" borderId="29" xfId="1" applyNumberFormat="1" applyFont="1" applyBorder="1" applyAlignment="1">
      <alignment horizontal="center" vertical="center"/>
    </xf>
    <xf numFmtId="166" fontId="4" fillId="7" borderId="108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67" fontId="4" fillId="0" borderId="59" xfId="1" applyNumberFormat="1" applyFont="1" applyBorder="1" applyAlignment="1">
      <alignment horizontal="center" vertical="center"/>
    </xf>
    <xf numFmtId="166" fontId="4" fillId="0" borderId="62" xfId="0" applyNumberFormat="1" applyFont="1" applyBorder="1" applyAlignment="1">
      <alignment horizontal="center" vertical="center"/>
    </xf>
    <xf numFmtId="166" fontId="4" fillId="4" borderId="7" xfId="1" applyNumberFormat="1" applyFont="1" applyFill="1" applyBorder="1" applyAlignment="1">
      <alignment horizontal="center" vertical="center"/>
    </xf>
    <xf numFmtId="167" fontId="4" fillId="0" borderId="7" xfId="1" applyNumberFormat="1" applyFont="1" applyBorder="1" applyAlignment="1">
      <alignment horizontal="center" vertical="center"/>
    </xf>
    <xf numFmtId="167" fontId="4" fillId="0" borderId="26" xfId="1" applyNumberFormat="1" applyFont="1" applyBorder="1" applyAlignment="1">
      <alignment horizontal="center" vertical="center"/>
    </xf>
    <xf numFmtId="166" fontId="4" fillId="3" borderId="29" xfId="1" applyNumberFormat="1" applyFont="1" applyFill="1" applyBorder="1" applyAlignment="1">
      <alignment horizontal="center" vertical="center"/>
    </xf>
    <xf numFmtId="167" fontId="4" fillId="0" borderId="30" xfId="1" applyNumberFormat="1" applyFont="1" applyBorder="1" applyAlignment="1">
      <alignment horizontal="center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0" xfId="1" applyNumberFormat="1" applyFont="1" applyAlignment="1">
      <alignment horizontal="center" vertical="center"/>
    </xf>
    <xf numFmtId="0" fontId="2" fillId="7" borderId="48" xfId="0" applyFont="1" applyFill="1" applyBorder="1" applyAlignment="1">
      <alignment horizontal="center" vertical="center"/>
    </xf>
    <xf numFmtId="0" fontId="2" fillId="7" borderId="111" xfId="0" applyFont="1" applyFill="1" applyBorder="1" applyAlignment="1">
      <alignment horizontal="center" vertical="center"/>
    </xf>
    <xf numFmtId="0" fontId="2" fillId="3" borderId="99" xfId="0" applyFont="1" applyFill="1" applyBorder="1" applyAlignment="1">
      <alignment horizontal="center" vertical="center"/>
    </xf>
    <xf numFmtId="166" fontId="2" fillId="7" borderId="51" xfId="0" applyNumberFormat="1" applyFont="1" applyFill="1" applyBorder="1" applyAlignment="1">
      <alignment horizontal="center" vertical="center"/>
    </xf>
    <xf numFmtId="166" fontId="2" fillId="7" borderId="49" xfId="0" applyNumberFormat="1" applyFont="1" applyFill="1" applyBorder="1" applyAlignment="1">
      <alignment horizontal="center" vertical="center"/>
    </xf>
    <xf numFmtId="166" fontId="2" fillId="7" borderId="50" xfId="1" applyNumberFormat="1" applyFont="1" applyFill="1" applyBorder="1" applyAlignment="1">
      <alignment horizontal="center" vertical="center"/>
    </xf>
    <xf numFmtId="166" fontId="2" fillId="3" borderId="0" xfId="1" applyNumberFormat="1" applyFont="1" applyFill="1" applyBorder="1" applyAlignment="1">
      <alignment horizontal="center" vertical="center"/>
    </xf>
    <xf numFmtId="166" fontId="2" fillId="7" borderId="48" xfId="0" applyNumberFormat="1" applyFont="1" applyFill="1" applyBorder="1" applyAlignment="1">
      <alignment horizontal="center" vertical="center"/>
    </xf>
    <xf numFmtId="166" fontId="2" fillId="7" borderId="52" xfId="0" applyNumberFormat="1" applyFont="1" applyFill="1" applyBorder="1" applyAlignment="1">
      <alignment horizontal="center" vertical="center"/>
    </xf>
    <xf numFmtId="166" fontId="2" fillId="3" borderId="99" xfId="0" applyNumberFormat="1" applyFont="1" applyFill="1" applyBorder="1" applyAlignment="1">
      <alignment horizontal="center" vertical="center"/>
    </xf>
    <xf numFmtId="166" fontId="2" fillId="7" borderId="49" xfId="1" applyNumberFormat="1" applyFont="1" applyFill="1" applyBorder="1" applyAlignment="1">
      <alignment horizontal="center" vertical="center"/>
    </xf>
    <xf numFmtId="166" fontId="2" fillId="3" borderId="115" xfId="0" applyNumberFormat="1" applyFont="1" applyFill="1" applyBorder="1" applyAlignment="1">
      <alignment horizontal="center" vertical="center"/>
    </xf>
    <xf numFmtId="166" fontId="2" fillId="7" borderId="48" xfId="1" applyNumberFormat="1" applyFont="1" applyFill="1" applyBorder="1" applyAlignment="1">
      <alignment horizontal="center" vertical="center"/>
    </xf>
    <xf numFmtId="167" fontId="2" fillId="7" borderId="52" xfId="1" applyNumberFormat="1" applyFont="1" applyFill="1" applyBorder="1" applyAlignment="1">
      <alignment horizontal="center" vertical="center"/>
    </xf>
    <xf numFmtId="0" fontId="2" fillId="7" borderId="65" xfId="0" applyFont="1" applyFill="1" applyBorder="1" applyAlignment="1">
      <alignment horizontal="center" vertical="center"/>
    </xf>
    <xf numFmtId="166" fontId="2" fillId="7" borderId="110" xfId="0" applyNumberFormat="1" applyFont="1" applyFill="1" applyBorder="1" applyAlignment="1">
      <alignment horizontal="center" vertical="center"/>
    </xf>
    <xf numFmtId="166" fontId="2" fillId="7" borderId="54" xfId="0" applyNumberFormat="1" applyFont="1" applyFill="1" applyBorder="1" applyAlignment="1">
      <alignment horizontal="center" vertical="center"/>
    </xf>
    <xf numFmtId="166" fontId="2" fillId="7" borderId="107" xfId="0" applyNumberFormat="1" applyFont="1" applyFill="1" applyBorder="1" applyAlignment="1">
      <alignment horizontal="center" vertical="center"/>
    </xf>
    <xf numFmtId="166" fontId="2" fillId="7" borderId="80" xfId="0" applyNumberFormat="1" applyFont="1" applyFill="1" applyBorder="1" applyAlignment="1">
      <alignment horizontal="center" vertical="center"/>
    </xf>
    <xf numFmtId="166" fontId="2" fillId="7" borderId="109" xfId="0" applyNumberFormat="1" applyFont="1" applyFill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166" fontId="2" fillId="7" borderId="118" xfId="0" applyNumberFormat="1" applyFont="1" applyFill="1" applyBorder="1" applyAlignment="1">
      <alignment horizontal="center" vertical="center"/>
    </xf>
    <xf numFmtId="0" fontId="2" fillId="7" borderId="57" xfId="0" applyFont="1" applyFill="1" applyBorder="1" applyAlignment="1">
      <alignment horizontal="center" vertical="center"/>
    </xf>
    <xf numFmtId="0" fontId="2" fillId="7" borderId="72" xfId="0" applyFont="1" applyFill="1" applyBorder="1" applyAlignment="1">
      <alignment horizontal="center" vertical="center"/>
    </xf>
    <xf numFmtId="166" fontId="2" fillId="7" borderId="71" xfId="0" applyNumberFormat="1" applyFont="1" applyFill="1" applyBorder="1" applyAlignment="1">
      <alignment horizontal="center" vertical="center"/>
    </xf>
    <xf numFmtId="166" fontId="2" fillId="7" borderId="69" xfId="0" applyNumberFormat="1" applyFont="1" applyFill="1" applyBorder="1" applyAlignment="1">
      <alignment horizontal="center" vertical="center"/>
    </xf>
    <xf numFmtId="9" fontId="2" fillId="7" borderId="70" xfId="1" applyNumberFormat="1" applyFont="1" applyFill="1" applyBorder="1" applyAlignment="1">
      <alignment horizontal="center" vertical="center"/>
    </xf>
    <xf numFmtId="166" fontId="2" fillId="7" borderId="68" xfId="0" applyNumberFormat="1" applyFont="1" applyFill="1" applyBorder="1" applyAlignment="1">
      <alignment horizontal="center" vertical="center"/>
    </xf>
    <xf numFmtId="166" fontId="2" fillId="7" borderId="73" xfId="0" applyNumberFormat="1" applyFont="1" applyFill="1" applyBorder="1" applyAlignment="1">
      <alignment horizontal="center" vertical="center"/>
    </xf>
    <xf numFmtId="166" fontId="2" fillId="7" borderId="83" xfId="0" applyNumberFormat="1" applyFont="1" applyFill="1" applyBorder="1" applyAlignment="1">
      <alignment horizontal="center" vertical="center"/>
    </xf>
    <xf numFmtId="166" fontId="2" fillId="7" borderId="57" xfId="0" applyNumberFormat="1" applyFont="1" applyFill="1" applyBorder="1" applyAlignment="1">
      <alignment horizontal="center" vertical="center"/>
    </xf>
    <xf numFmtId="166" fontId="2" fillId="7" borderId="76" xfId="0" applyNumberFormat="1" applyFont="1" applyFill="1" applyBorder="1" applyAlignment="1">
      <alignment horizontal="center" vertical="center"/>
    </xf>
    <xf numFmtId="166" fontId="2" fillId="7" borderId="82" xfId="0" applyNumberFormat="1" applyFont="1" applyFill="1" applyBorder="1" applyAlignment="1">
      <alignment horizontal="center" vertical="center"/>
    </xf>
    <xf numFmtId="9" fontId="2" fillId="7" borderId="58" xfId="1" applyFont="1" applyFill="1" applyBorder="1" applyAlignment="1">
      <alignment horizontal="center" vertical="center"/>
    </xf>
    <xf numFmtId="167" fontId="2" fillId="7" borderId="58" xfId="1" applyNumberFormat="1" applyFont="1" applyFill="1" applyBorder="1" applyAlignment="1">
      <alignment horizontal="center" vertical="center"/>
    </xf>
    <xf numFmtId="166" fontId="2" fillId="0" borderId="76" xfId="0" applyNumberFormat="1" applyFont="1" applyBorder="1" applyAlignment="1">
      <alignment horizontal="center" vertical="center"/>
    </xf>
    <xf numFmtId="166" fontId="2" fillId="0" borderId="64" xfId="0" applyNumberFormat="1" applyFont="1" applyBorder="1" applyAlignment="1">
      <alignment horizontal="center" vertical="center"/>
    </xf>
    <xf numFmtId="166" fontId="2" fillId="0" borderId="107" xfId="0" applyNumberFormat="1" applyFont="1" applyBorder="1" applyAlignment="1">
      <alignment horizontal="center" vertical="center"/>
    </xf>
    <xf numFmtId="0" fontId="2" fillId="7" borderId="52" xfId="0" applyFont="1" applyFill="1" applyBorder="1" applyAlignment="1">
      <alignment horizontal="center" vertical="center"/>
    </xf>
    <xf numFmtId="9" fontId="2" fillId="7" borderId="49" xfId="1" applyNumberFormat="1" applyFont="1" applyFill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166" fontId="2" fillId="3" borderId="54" xfId="1" applyNumberFormat="1" applyFont="1" applyFill="1" applyBorder="1" applyAlignment="1">
      <alignment horizontal="center" vertical="center"/>
    </xf>
    <xf numFmtId="166" fontId="2" fillId="0" borderId="62" xfId="0" applyNumberFormat="1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166" fontId="2" fillId="8" borderId="1" xfId="0" applyNumberFormat="1" applyFont="1" applyFill="1" applyBorder="1" applyAlignment="1">
      <alignment horizontal="center" vertical="center"/>
    </xf>
    <xf numFmtId="166" fontId="2" fillId="9" borderId="1" xfId="0" applyNumberFormat="1" applyFont="1" applyFill="1" applyBorder="1" applyAlignment="1">
      <alignment horizontal="center" vertical="center"/>
    </xf>
    <xf numFmtId="166" fontId="2" fillId="10" borderId="1" xfId="0" applyNumberFormat="1" applyFont="1" applyFill="1" applyBorder="1" applyAlignment="1">
      <alignment horizontal="center" vertical="center"/>
    </xf>
    <xf numFmtId="166" fontId="2" fillId="11" borderId="1" xfId="0" applyNumberFormat="1" applyFont="1" applyFill="1" applyBorder="1" applyAlignment="1">
      <alignment horizontal="center" vertical="center"/>
    </xf>
    <xf numFmtId="166" fontId="2" fillId="0" borderId="56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2" fontId="2" fillId="7" borderId="48" xfId="1" applyNumberFormat="1" applyFont="1" applyFill="1" applyBorder="1" applyAlignment="1">
      <alignment horizontal="center" vertical="center"/>
    </xf>
    <xf numFmtId="166" fontId="2" fillId="7" borderId="52" xfId="1" applyNumberFormat="1" applyFont="1" applyFill="1" applyBorder="1" applyAlignment="1">
      <alignment horizontal="center" vertical="center"/>
    </xf>
    <xf numFmtId="2" fontId="4" fillId="7" borderId="49" xfId="1" applyNumberFormat="1" applyFont="1" applyFill="1" applyBorder="1" applyAlignment="1">
      <alignment horizontal="center" vertical="center"/>
    </xf>
    <xf numFmtId="167" fontId="2" fillId="7" borderId="50" xfId="1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9" fontId="4" fillId="3" borderId="4" xfId="1" applyNumberFormat="1" applyFont="1" applyFill="1" applyBorder="1" applyAlignment="1">
      <alignment horizontal="center" vertical="center"/>
    </xf>
    <xf numFmtId="172" fontId="4" fillId="0" borderId="0" xfId="1" applyNumberFormat="1" applyFont="1" applyBorder="1" applyAlignment="1">
      <alignment horizontal="center" vertical="center"/>
    </xf>
    <xf numFmtId="166" fontId="4" fillId="3" borderId="3" xfId="0" applyNumberFormat="1" applyFont="1" applyFill="1" applyBorder="1" applyAlignment="1">
      <alignment horizontal="center" vertical="center"/>
    </xf>
    <xf numFmtId="166" fontId="4" fillId="3" borderId="78" xfId="0" applyNumberFormat="1" applyFont="1" applyFill="1" applyBorder="1" applyAlignment="1">
      <alignment horizontal="center" vertical="center"/>
    </xf>
    <xf numFmtId="166" fontId="4" fillId="3" borderId="79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9" fontId="2" fillId="3" borderId="4" xfId="1" applyNumberFormat="1" applyFont="1" applyFill="1" applyBorder="1" applyAlignment="1">
      <alignment horizontal="center" vertical="center"/>
    </xf>
    <xf numFmtId="166" fontId="18" fillId="3" borderId="57" xfId="0" applyNumberFormat="1" applyFont="1" applyFill="1" applyBorder="1" applyAlignment="1">
      <alignment horizontal="center" vertical="center"/>
    </xf>
    <xf numFmtId="166" fontId="4" fillId="0" borderId="106" xfId="0" applyNumberFormat="1" applyFont="1" applyBorder="1" applyAlignment="1">
      <alignment horizontal="center" vertical="center"/>
    </xf>
    <xf numFmtId="166" fontId="4" fillId="0" borderId="113" xfId="0" applyNumberFormat="1" applyFont="1" applyBorder="1" applyAlignment="1">
      <alignment horizontal="center" vertical="center"/>
    </xf>
    <xf numFmtId="166" fontId="4" fillId="0" borderId="44" xfId="0" applyNumberFormat="1" applyFont="1" applyBorder="1" applyAlignment="1">
      <alignment horizontal="center" vertical="center"/>
    </xf>
    <xf numFmtId="166" fontId="2" fillId="3" borderId="54" xfId="0" applyNumberFormat="1" applyFont="1" applyFill="1" applyBorder="1" applyAlignment="1">
      <alignment horizontal="center" vertical="center"/>
    </xf>
    <xf numFmtId="166" fontId="18" fillId="3" borderId="48" xfId="0" applyNumberFormat="1" applyFont="1" applyFill="1" applyBorder="1" applyAlignment="1">
      <alignment horizontal="center" vertical="center"/>
    </xf>
    <xf numFmtId="166" fontId="18" fillId="3" borderId="49" xfId="0" applyNumberFormat="1" applyFont="1" applyFill="1" applyBorder="1" applyAlignment="1">
      <alignment horizontal="center" vertical="center"/>
    </xf>
    <xf numFmtId="166" fontId="18" fillId="3" borderId="52" xfId="0" applyNumberFormat="1" applyFont="1" applyFill="1" applyBorder="1" applyAlignment="1">
      <alignment horizontal="center" vertical="center"/>
    </xf>
    <xf numFmtId="166" fontId="2" fillId="0" borderId="48" xfId="0" applyNumberFormat="1" applyFont="1" applyBorder="1" applyAlignment="1">
      <alignment horizontal="center" vertical="center"/>
    </xf>
    <xf numFmtId="166" fontId="2" fillId="0" borderId="51" xfId="0" applyNumberFormat="1" applyFont="1" applyBorder="1" applyAlignment="1">
      <alignment horizontal="center" vertical="center"/>
    </xf>
    <xf numFmtId="166" fontId="2" fillId="0" borderId="116" xfId="0" applyNumberFormat="1" applyFont="1" applyBorder="1" applyAlignment="1">
      <alignment horizontal="center" vertical="center"/>
    </xf>
    <xf numFmtId="166" fontId="4" fillId="0" borderId="51" xfId="0" applyNumberFormat="1" applyFont="1" applyBorder="1" applyAlignment="1">
      <alignment horizontal="center" vertical="center"/>
    </xf>
    <xf numFmtId="166" fontId="4" fillId="0" borderId="116" xfId="0" applyNumberFormat="1" applyFont="1" applyBorder="1" applyAlignment="1">
      <alignment horizontal="center" vertical="center"/>
    </xf>
    <xf numFmtId="167" fontId="2" fillId="0" borderId="52" xfId="1" applyNumberFormat="1" applyFont="1" applyBorder="1" applyAlignment="1">
      <alignment horizontal="center" vertical="center"/>
    </xf>
    <xf numFmtId="167" fontId="4" fillId="3" borderId="3" xfId="1" applyNumberFormat="1" applyFont="1" applyFill="1" applyBorder="1" applyAlignment="1">
      <alignment horizontal="center" vertical="center"/>
    </xf>
    <xf numFmtId="167" fontId="18" fillId="3" borderId="52" xfId="1" applyNumberFormat="1" applyFont="1" applyFill="1" applyBorder="1" applyAlignment="1">
      <alignment horizontal="center" vertical="center"/>
    </xf>
    <xf numFmtId="167" fontId="4" fillId="0" borderId="52" xfId="1" applyNumberFormat="1" applyFont="1" applyBorder="1" applyAlignment="1">
      <alignment horizontal="center" vertical="center"/>
    </xf>
    <xf numFmtId="166" fontId="4" fillId="3" borderId="119" xfId="0" applyNumberFormat="1" applyFont="1" applyFill="1" applyBorder="1" applyAlignment="1">
      <alignment horizontal="center" vertical="center"/>
    </xf>
    <xf numFmtId="166" fontId="4" fillId="3" borderId="76" xfId="0" applyNumberFormat="1" applyFont="1" applyFill="1" applyBorder="1" applyAlignment="1">
      <alignment horizontal="center" vertical="center"/>
    </xf>
    <xf numFmtId="166" fontId="4" fillId="3" borderId="58" xfId="0" applyNumberFormat="1" applyFont="1" applyFill="1" applyBorder="1" applyAlignment="1">
      <alignment horizontal="center" vertical="center"/>
    </xf>
    <xf numFmtId="167" fontId="4" fillId="3" borderId="58" xfId="1" applyNumberFormat="1" applyFont="1" applyFill="1" applyBorder="1" applyAlignment="1">
      <alignment horizontal="center" vertical="center"/>
    </xf>
    <xf numFmtId="167" fontId="4" fillId="0" borderId="54" xfId="1" applyNumberFormat="1" applyFont="1" applyBorder="1" applyAlignment="1">
      <alignment horizontal="center" vertical="center"/>
    </xf>
    <xf numFmtId="9" fontId="22" fillId="0" borderId="0" xfId="1" applyNumberFormat="1" applyFont="1" applyBorder="1" applyAlignment="1">
      <alignment horizontal="center" vertical="center"/>
    </xf>
    <xf numFmtId="167" fontId="22" fillId="0" borderId="0" xfId="1" applyNumberFormat="1" applyFont="1" applyBorder="1" applyAlignment="1">
      <alignment horizontal="center" vertical="center"/>
    </xf>
    <xf numFmtId="167" fontId="25" fillId="0" borderId="0" xfId="1" applyNumberFormat="1" applyFont="1" applyBorder="1" applyAlignment="1">
      <alignment horizontal="center" vertical="center"/>
    </xf>
    <xf numFmtId="166" fontId="4" fillId="0" borderId="85" xfId="0" applyNumberFormat="1" applyFont="1" applyBorder="1" applyAlignment="1">
      <alignment horizontal="center" vertical="center"/>
    </xf>
    <xf numFmtId="167" fontId="4" fillId="0" borderId="85" xfId="1" applyNumberFormat="1" applyFont="1" applyBorder="1" applyAlignment="1">
      <alignment horizontal="center" vertical="center"/>
    </xf>
    <xf numFmtId="167" fontId="2" fillId="3" borderId="0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4" fillId="7" borderId="52" xfId="0" applyNumberFormat="1" applyFont="1" applyFill="1" applyBorder="1" applyAlignment="1">
      <alignment horizontal="center" vertical="center"/>
    </xf>
    <xf numFmtId="2" fontId="4" fillId="3" borderId="0" xfId="0" applyNumberFormat="1" applyFont="1" applyFill="1" applyBorder="1" applyAlignment="1">
      <alignment horizontal="center" vertical="center"/>
    </xf>
    <xf numFmtId="2" fontId="2" fillId="3" borderId="9" xfId="0" applyNumberFormat="1" applyFont="1" applyFill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2" fontId="2" fillId="7" borderId="52" xfId="0" applyNumberFormat="1" applyFont="1" applyFill="1" applyBorder="1" applyAlignment="1">
      <alignment horizontal="center" vertical="center"/>
    </xf>
    <xf numFmtId="166" fontId="4" fillId="6" borderId="55" xfId="0" applyNumberFormat="1" applyFont="1" applyFill="1" applyBorder="1" applyAlignment="1">
      <alignment horizontal="center" vertical="center"/>
    </xf>
    <xf numFmtId="166" fontId="2" fillId="6" borderId="55" xfId="0" applyNumberFormat="1" applyFont="1" applyFill="1" applyBorder="1" applyAlignment="1">
      <alignment horizontal="center" vertical="center"/>
    </xf>
    <xf numFmtId="166" fontId="18" fillId="6" borderId="55" xfId="0" applyNumberFormat="1" applyFont="1" applyFill="1" applyBorder="1" applyAlignment="1">
      <alignment horizontal="center" vertical="center"/>
    </xf>
    <xf numFmtId="166" fontId="2" fillId="6" borderId="106" xfId="0" applyNumberFormat="1" applyFont="1" applyFill="1" applyBorder="1" applyAlignment="1">
      <alignment horizontal="center" vertical="center"/>
    </xf>
    <xf numFmtId="166" fontId="2" fillId="6" borderId="53" xfId="0" applyNumberFormat="1" applyFont="1" applyFill="1" applyBorder="1" applyAlignment="1">
      <alignment horizontal="center" vertical="center"/>
    </xf>
    <xf numFmtId="166" fontId="18" fillId="3" borderId="1" xfId="0" applyNumberFormat="1" applyFont="1" applyFill="1" applyBorder="1" applyAlignment="1">
      <alignment horizontal="right" vertical="center"/>
    </xf>
    <xf numFmtId="166" fontId="2" fillId="3" borderId="1" xfId="0" applyNumberFormat="1" applyFont="1" applyFill="1" applyBorder="1" applyAlignment="1">
      <alignment horizontal="right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2" xfId="1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2" fillId="3" borderId="0" xfId="1" applyNumberFormat="1" applyFont="1" applyFill="1" applyBorder="1" applyAlignment="1">
      <alignment horizontal="center" vertical="center"/>
    </xf>
    <xf numFmtId="1" fontId="4" fillId="3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71" fontId="4" fillId="0" borderId="0" xfId="1" applyNumberFormat="1" applyFont="1" applyBorder="1" applyAlignment="1">
      <alignment horizontal="center" vertical="center"/>
    </xf>
    <xf numFmtId="167" fontId="26" fillId="0" borderId="101" xfId="1" applyNumberFormat="1" applyFont="1" applyBorder="1" applyAlignment="1">
      <alignment horizontal="center" vertical="center"/>
    </xf>
    <xf numFmtId="9" fontId="26" fillId="0" borderId="0" xfId="1" applyNumberFormat="1" applyFont="1" applyBorder="1" applyAlignment="1">
      <alignment horizontal="center" vertical="center"/>
    </xf>
    <xf numFmtId="167" fontId="26" fillId="0" borderId="0" xfId="1" applyNumberFormat="1" applyFont="1" applyBorder="1" applyAlignment="1">
      <alignment horizontal="center" vertical="center"/>
    </xf>
    <xf numFmtId="9" fontId="23" fillId="0" borderId="0" xfId="1" applyFont="1" applyBorder="1" applyAlignment="1">
      <alignment horizontal="center" vertical="center"/>
    </xf>
    <xf numFmtId="167" fontId="23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4" fontId="18" fillId="0" borderId="101" xfId="0" applyNumberFormat="1" applyFont="1" applyBorder="1" applyAlignment="1">
      <alignment horizontal="center" vertical="center"/>
    </xf>
    <xf numFmtId="0" fontId="18" fillId="0" borderId="101" xfId="0" applyFont="1" applyBorder="1" applyAlignment="1">
      <alignment horizontal="center" vertical="center"/>
    </xf>
    <xf numFmtId="14" fontId="18" fillId="3" borderId="101" xfId="1" applyNumberFormat="1" applyFont="1" applyFill="1" applyBorder="1" applyAlignment="1">
      <alignment horizontal="center" vertical="center"/>
    </xf>
    <xf numFmtId="1" fontId="4" fillId="3" borderId="101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2" fontId="24" fillId="0" borderId="0" xfId="1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3" borderId="2" xfId="0" applyNumberFormat="1" applyFont="1" applyFill="1" applyBorder="1" applyAlignment="1">
      <alignment horizontal="center" vertical="center"/>
    </xf>
    <xf numFmtId="166" fontId="18" fillId="3" borderId="51" xfId="0" applyNumberFormat="1" applyFont="1" applyFill="1" applyBorder="1" applyAlignment="1">
      <alignment horizontal="center" vertical="center"/>
    </xf>
    <xf numFmtId="166" fontId="18" fillId="3" borderId="116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vertical="center" textRotation="90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2" xfId="1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7" borderId="84" xfId="0" applyNumberFormat="1" applyFont="1" applyFill="1" applyBorder="1" applyAlignment="1">
      <alignment horizontal="center" vertical="center"/>
    </xf>
    <xf numFmtId="166" fontId="4" fillId="7" borderId="4" xfId="0" applyNumberFormat="1" applyFont="1" applyFill="1" applyBorder="1" applyAlignment="1">
      <alignment horizontal="center" vertical="center"/>
    </xf>
    <xf numFmtId="166" fontId="2" fillId="7" borderId="4" xfId="0" applyNumberFormat="1" applyFont="1" applyFill="1" applyBorder="1" applyAlignment="1">
      <alignment horizontal="center" vertical="center"/>
    </xf>
    <xf numFmtId="166" fontId="2" fillId="7" borderId="85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5" fontId="2" fillId="0" borderId="0" xfId="2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2" xfId="1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8" fontId="2" fillId="0" borderId="120" xfId="2" applyNumberFormat="1" applyFont="1" applyBorder="1" applyAlignment="1">
      <alignment horizontal="center" vertical="center"/>
    </xf>
    <xf numFmtId="168" fontId="2" fillId="0" borderId="6" xfId="2" applyNumberFormat="1" applyFont="1" applyBorder="1" applyAlignment="1">
      <alignment horizontal="center" vertical="center"/>
    </xf>
    <xf numFmtId="168" fontId="2" fillId="0" borderId="121" xfId="2" applyNumberFormat="1" applyFont="1" applyBorder="1" applyAlignment="1">
      <alignment horizontal="center" vertical="center"/>
    </xf>
    <xf numFmtId="168" fontId="2" fillId="0" borderId="120" xfId="2" applyNumberFormat="1" applyFont="1" applyBorder="1" applyAlignment="1">
      <alignment vertical="center"/>
    </xf>
    <xf numFmtId="168" fontId="2" fillId="0" borderId="6" xfId="0" applyNumberFormat="1" applyFont="1" applyBorder="1" applyAlignment="1">
      <alignment vertical="center"/>
    </xf>
    <xf numFmtId="165" fontId="2" fillId="0" borderId="121" xfId="0" applyNumberFormat="1" applyFont="1" applyBorder="1" applyAlignment="1">
      <alignment vertical="center"/>
    </xf>
    <xf numFmtId="169" fontId="2" fillId="0" borderId="121" xfId="0" applyNumberFormat="1" applyFont="1" applyBorder="1" applyAlignment="1">
      <alignment vertical="center"/>
    </xf>
    <xf numFmtId="167" fontId="2" fillId="3" borderId="29" xfId="1" applyNumberFormat="1" applyFont="1" applyFill="1" applyBorder="1" applyAlignment="1">
      <alignment horizontal="center" vertical="center"/>
    </xf>
    <xf numFmtId="170" fontId="2" fillId="3" borderId="0" xfId="0" applyNumberFormat="1" applyFont="1" applyFill="1" applyBorder="1" applyAlignment="1">
      <alignment horizontal="center" vertical="center"/>
    </xf>
    <xf numFmtId="0" fontId="2" fillId="3" borderId="104" xfId="0" applyFont="1" applyFill="1" applyBorder="1" applyAlignment="1">
      <alignment horizontal="center" vertical="center"/>
    </xf>
    <xf numFmtId="170" fontId="4" fillId="3" borderId="0" xfId="0" applyNumberFormat="1" applyFont="1" applyFill="1" applyBorder="1" applyAlignment="1">
      <alignment horizontal="center" vertical="center"/>
    </xf>
    <xf numFmtId="0" fontId="4" fillId="3" borderId="104" xfId="0" applyFont="1" applyFill="1" applyBorder="1" applyAlignment="1">
      <alignment horizontal="center" vertical="center"/>
    </xf>
    <xf numFmtId="167" fontId="4" fillId="3" borderId="29" xfId="1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9" fontId="2" fillId="3" borderId="29" xfId="1" applyNumberFormat="1" applyFont="1" applyFill="1" applyBorder="1" applyAlignment="1">
      <alignment horizontal="center" vertical="center"/>
    </xf>
    <xf numFmtId="9" fontId="4" fillId="3" borderId="29" xfId="1" applyNumberFormat="1" applyFont="1" applyFill="1" applyBorder="1" applyAlignment="1">
      <alignment horizontal="center" vertical="center"/>
    </xf>
    <xf numFmtId="167" fontId="18" fillId="3" borderId="29" xfId="1" applyNumberFormat="1" applyFont="1" applyFill="1" applyBorder="1" applyAlignment="1">
      <alignment horizontal="center" vertical="center"/>
    </xf>
    <xf numFmtId="166" fontId="2" fillId="3" borderId="29" xfId="1" applyNumberFormat="1" applyFont="1" applyFill="1" applyBorder="1" applyAlignment="1">
      <alignment horizontal="center" vertical="center"/>
    </xf>
    <xf numFmtId="9" fontId="4" fillId="7" borderId="56" xfId="1" applyNumberFormat="1" applyFont="1" applyFill="1" applyBorder="1" applyAlignment="1">
      <alignment horizontal="center" vertical="center"/>
    </xf>
    <xf numFmtId="9" fontId="2" fillId="7" borderId="56" xfId="1" applyNumberFormat="1" applyFont="1" applyFill="1" applyBorder="1" applyAlignment="1">
      <alignment horizontal="center" vertical="center"/>
    </xf>
    <xf numFmtId="166" fontId="4" fillId="7" borderId="52" xfId="1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8" fontId="4" fillId="0" borderId="120" xfId="2" applyNumberFormat="1" applyFont="1" applyBorder="1" applyAlignment="1">
      <alignment horizontal="center" vertical="center"/>
    </xf>
    <xf numFmtId="168" fontId="4" fillId="0" borderId="6" xfId="2" applyNumberFormat="1" applyFont="1" applyBorder="1" applyAlignment="1">
      <alignment horizontal="center" vertical="center"/>
    </xf>
    <xf numFmtId="168" fontId="4" fillId="0" borderId="121" xfId="2" applyNumberFormat="1" applyFont="1" applyBorder="1" applyAlignment="1">
      <alignment horizontal="center" vertical="center"/>
    </xf>
    <xf numFmtId="0" fontId="20" fillId="0" borderId="103" xfId="0" applyFont="1" applyBorder="1" applyAlignment="1">
      <alignment vertical="center"/>
    </xf>
    <xf numFmtId="168" fontId="4" fillId="0" borderId="120" xfId="2" applyNumberFormat="1" applyFont="1" applyBorder="1" applyAlignment="1">
      <alignment vertical="center"/>
    </xf>
    <xf numFmtId="168" fontId="4" fillId="0" borderId="6" xfId="0" applyNumberFormat="1" applyFont="1" applyBorder="1" applyAlignment="1">
      <alignment vertical="center"/>
    </xf>
    <xf numFmtId="165" fontId="4" fillId="0" borderId="121" xfId="0" applyNumberFormat="1" applyFont="1" applyBorder="1" applyAlignment="1">
      <alignment vertical="center"/>
    </xf>
    <xf numFmtId="169" fontId="4" fillId="0" borderId="121" xfId="0" applyNumberFormat="1" applyFont="1" applyBorder="1" applyAlignment="1">
      <alignment vertical="center"/>
    </xf>
    <xf numFmtId="166" fontId="4" fillId="3" borderId="64" xfId="0" applyNumberFormat="1" applyFont="1" applyFill="1" applyBorder="1" applyAlignment="1">
      <alignment horizontal="center" vertical="center"/>
    </xf>
    <xf numFmtId="166" fontId="4" fillId="3" borderId="107" xfId="0" applyNumberFormat="1" applyFont="1" applyFill="1" applyBorder="1" applyAlignment="1">
      <alignment horizontal="center" vertical="center"/>
    </xf>
    <xf numFmtId="166" fontId="2" fillId="3" borderId="78" xfId="0" applyNumberFormat="1" applyFont="1" applyFill="1" applyBorder="1" applyAlignment="1">
      <alignment horizontal="center" vertical="center"/>
    </xf>
    <xf numFmtId="166" fontId="2" fillId="3" borderId="79" xfId="0" applyNumberFormat="1" applyFont="1" applyFill="1" applyBorder="1" applyAlignment="1">
      <alignment horizontal="center" vertical="center"/>
    </xf>
    <xf numFmtId="166" fontId="2" fillId="3" borderId="58" xfId="0" applyNumberFormat="1" applyFont="1" applyFill="1" applyBorder="1" applyAlignment="1">
      <alignment horizontal="center" vertical="center"/>
    </xf>
    <xf numFmtId="166" fontId="2" fillId="3" borderId="117" xfId="0" applyNumberFormat="1" applyFont="1" applyFill="1" applyBorder="1" applyAlignment="1">
      <alignment horizontal="center" vertical="center"/>
    </xf>
    <xf numFmtId="166" fontId="2" fillId="3" borderId="101" xfId="0" applyNumberFormat="1" applyFont="1" applyFill="1" applyBorder="1" applyAlignment="1">
      <alignment horizontal="center" vertical="center"/>
    </xf>
    <xf numFmtId="166" fontId="2" fillId="7" borderId="122" xfId="0" applyNumberFormat="1" applyFont="1" applyFill="1" applyBorder="1" applyAlignment="1">
      <alignment horizontal="center" vertical="center"/>
    </xf>
    <xf numFmtId="166" fontId="2" fillId="3" borderId="123" xfId="1" applyNumberFormat="1" applyFont="1" applyFill="1" applyBorder="1" applyAlignment="1">
      <alignment horizontal="center" vertical="center"/>
    </xf>
    <xf numFmtId="166" fontId="4" fillId="3" borderId="124" xfId="0" applyNumberFormat="1" applyFont="1" applyFill="1" applyBorder="1" applyAlignment="1">
      <alignment horizontal="center" vertical="center"/>
    </xf>
    <xf numFmtId="167" fontId="4" fillId="3" borderId="125" xfId="1" applyNumberFormat="1" applyFont="1" applyFill="1" applyBorder="1" applyAlignment="1">
      <alignment horizontal="center" vertical="center"/>
    </xf>
    <xf numFmtId="166" fontId="4" fillId="3" borderId="126" xfId="1" applyNumberFormat="1" applyFont="1" applyFill="1" applyBorder="1" applyAlignment="1">
      <alignment horizontal="center" vertical="center"/>
    </xf>
    <xf numFmtId="167" fontId="2" fillId="3" borderId="127" xfId="1" applyNumberFormat="1" applyFont="1" applyFill="1" applyBorder="1" applyAlignment="1">
      <alignment horizontal="center" vertical="center"/>
    </xf>
    <xf numFmtId="166" fontId="0" fillId="3" borderId="107" xfId="0" applyNumberFormat="1" applyFont="1" applyFill="1" applyBorder="1" applyAlignment="1">
      <alignment horizontal="center" vertical="center"/>
    </xf>
    <xf numFmtId="167" fontId="4" fillId="0" borderId="62" xfId="1" applyNumberFormat="1" applyFont="1" applyBorder="1" applyAlignment="1">
      <alignment horizontal="center" vertical="center"/>
    </xf>
    <xf numFmtId="167" fontId="2" fillId="3" borderId="76" xfId="1" applyNumberFormat="1" applyFont="1" applyFill="1" applyBorder="1" applyAlignment="1">
      <alignment horizontal="center" vertical="center"/>
    </xf>
    <xf numFmtId="166" fontId="2" fillId="7" borderId="55" xfId="1" applyNumberFormat="1" applyFont="1" applyFill="1" applyBorder="1" applyAlignment="1">
      <alignment horizontal="center" vertical="center"/>
    </xf>
    <xf numFmtId="168" fontId="2" fillId="0" borderId="57" xfId="2" applyNumberFormat="1" applyFont="1" applyBorder="1" applyAlignment="1">
      <alignment vertical="center"/>
    </xf>
    <xf numFmtId="168" fontId="2" fillId="0" borderId="76" xfId="0" applyNumberFormat="1" applyFont="1" applyBorder="1" applyAlignment="1">
      <alignment vertical="center"/>
    </xf>
    <xf numFmtId="165" fontId="2" fillId="0" borderId="58" xfId="0" applyNumberFormat="1" applyFont="1" applyBorder="1" applyAlignment="1">
      <alignment vertical="center"/>
    </xf>
    <xf numFmtId="169" fontId="2" fillId="0" borderId="58" xfId="0" applyNumberFormat="1" applyFont="1" applyBorder="1" applyAlignment="1">
      <alignment vertical="center"/>
    </xf>
    <xf numFmtId="166" fontId="4" fillId="14" borderId="48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5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167" fontId="2" fillId="0" borderId="58" xfId="1" applyNumberFormat="1" applyFont="1" applyBorder="1" applyAlignment="1">
      <alignment horizontal="center" vertical="center"/>
    </xf>
    <xf numFmtId="1" fontId="2" fillId="3" borderId="101" xfId="0" applyNumberFormat="1" applyFont="1" applyFill="1" applyBorder="1" applyAlignment="1">
      <alignment horizontal="center" vertical="center"/>
    </xf>
    <xf numFmtId="166" fontId="2" fillId="0" borderId="85" xfId="0" applyNumberFormat="1" applyFont="1" applyBorder="1" applyAlignment="1">
      <alignment horizontal="center" vertical="center"/>
    </xf>
    <xf numFmtId="172" fontId="2" fillId="0" borderId="0" xfId="1" applyNumberFormat="1" applyFont="1" applyBorder="1" applyAlignment="1">
      <alignment horizontal="center" vertical="center"/>
    </xf>
    <xf numFmtId="171" fontId="2" fillId="0" borderId="101" xfId="1" applyNumberFormat="1" applyFont="1" applyBorder="1" applyAlignment="1">
      <alignment horizontal="center" vertical="center"/>
    </xf>
    <xf numFmtId="167" fontId="2" fillId="0" borderId="29" xfId="1" applyNumberFormat="1" applyFont="1" applyBorder="1" applyAlignment="1">
      <alignment horizontal="center" vertical="center"/>
    </xf>
    <xf numFmtId="166" fontId="2" fillId="7" borderId="108" xfId="0" applyNumberFormat="1" applyFont="1" applyFill="1" applyBorder="1" applyAlignment="1">
      <alignment horizontal="center" vertical="center"/>
    </xf>
    <xf numFmtId="0" fontId="4" fillId="3" borderId="117" xfId="0" applyFont="1" applyFill="1" applyBorder="1" applyAlignment="1">
      <alignment horizontal="center" vertical="center"/>
    </xf>
    <xf numFmtId="9" fontId="4" fillId="7" borderId="54" xfId="1" applyNumberFormat="1" applyFont="1" applyFill="1" applyBorder="1" applyAlignment="1">
      <alignment horizontal="center" vertical="center"/>
    </xf>
    <xf numFmtId="9" fontId="24" fillId="3" borderId="0" xfId="1" applyNumberFormat="1" applyFont="1" applyFill="1" applyBorder="1" applyAlignment="1">
      <alignment horizontal="center" vertical="center"/>
    </xf>
    <xf numFmtId="167" fontId="24" fillId="3" borderId="0" xfId="1" applyNumberFormat="1" applyFont="1" applyFill="1" applyBorder="1" applyAlignment="1">
      <alignment horizontal="center" vertical="center"/>
    </xf>
    <xf numFmtId="9" fontId="25" fillId="0" borderId="0" xfId="1" applyNumberFormat="1" applyFont="1" applyBorder="1" applyAlignment="1">
      <alignment horizontal="center" vertical="center"/>
    </xf>
    <xf numFmtId="167" fontId="25" fillId="0" borderId="0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9" fontId="4" fillId="3" borderId="3" xfId="1" applyNumberFormat="1" applyFont="1" applyFill="1" applyBorder="1" applyAlignment="1">
      <alignment horizontal="center" vertical="center"/>
    </xf>
    <xf numFmtId="9" fontId="4" fillId="3" borderId="38" xfId="1" applyNumberFormat="1" applyFont="1" applyFill="1" applyBorder="1" applyAlignment="1">
      <alignment horizontal="center" vertical="center"/>
    </xf>
    <xf numFmtId="166" fontId="2" fillId="7" borderId="5" xfId="0" applyNumberFormat="1" applyFont="1" applyFill="1" applyBorder="1" applyAlignment="1">
      <alignment horizontal="center" vertical="center"/>
    </xf>
    <xf numFmtId="166" fontId="2" fillId="7" borderId="44" xfId="0" applyNumberFormat="1" applyFont="1" applyFill="1" applyBorder="1" applyAlignment="1">
      <alignment horizontal="center" vertical="center"/>
    </xf>
    <xf numFmtId="9" fontId="2" fillId="7" borderId="67" xfId="1" applyNumberFormat="1" applyFont="1" applyFill="1" applyBorder="1" applyAlignment="1">
      <alignment horizontal="center" vertical="center"/>
    </xf>
    <xf numFmtId="0" fontId="4" fillId="3" borderId="128" xfId="0" applyFont="1" applyFill="1" applyBorder="1" applyAlignment="1">
      <alignment horizontal="center" vertical="center"/>
    </xf>
    <xf numFmtId="167" fontId="4" fillId="0" borderId="67" xfId="1" applyNumberFormat="1" applyFont="1" applyBorder="1" applyAlignment="1">
      <alignment horizontal="center" vertical="center"/>
    </xf>
    <xf numFmtId="14" fontId="2" fillId="3" borderId="101" xfId="1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53" xfId="1" applyNumberFormat="1" applyFont="1" applyBorder="1" applyAlignment="1">
      <alignment horizontal="center" vertical="center"/>
    </xf>
    <xf numFmtId="166" fontId="4" fillId="15" borderId="1" xfId="0" applyNumberFormat="1" applyFont="1" applyFill="1" applyBorder="1" applyAlignment="1">
      <alignment horizontal="center" vertical="center"/>
    </xf>
    <xf numFmtId="167" fontId="4" fillId="15" borderId="1" xfId="1" applyNumberFormat="1" applyFont="1" applyFill="1" applyBorder="1" applyAlignment="1">
      <alignment horizontal="center" vertical="center"/>
    </xf>
    <xf numFmtId="166" fontId="2" fillId="15" borderId="1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20" fontId="2" fillId="0" borderId="0" xfId="0" applyNumberFormat="1" applyFont="1" applyAlignment="1">
      <alignment horizontal="center" vertical="center"/>
    </xf>
    <xf numFmtId="46" fontId="2" fillId="0" borderId="0" xfId="0" applyNumberFormat="1" applyFont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166" fontId="2" fillId="14" borderId="1" xfId="0" applyNumberFormat="1" applyFont="1" applyFill="1" applyBorder="1" applyAlignment="1">
      <alignment horizontal="center" vertical="center"/>
    </xf>
    <xf numFmtId="9" fontId="2" fillId="14" borderId="1" xfId="1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166" fontId="4" fillId="14" borderId="1" xfId="0" applyNumberFormat="1" applyFont="1" applyFill="1" applyBorder="1" applyAlignment="1">
      <alignment horizontal="center" vertical="center"/>
    </xf>
    <xf numFmtId="9" fontId="4" fillId="14" borderId="1" xfId="1" applyNumberFormat="1" applyFont="1" applyFill="1" applyBorder="1" applyAlignment="1">
      <alignment horizontal="center" vertical="center"/>
    </xf>
    <xf numFmtId="166" fontId="4" fillId="14" borderId="1" xfId="0" applyNumberFormat="1" applyFont="1" applyFill="1" applyBorder="1" applyAlignment="1">
      <alignment horizontal="right" vertical="center"/>
    </xf>
    <xf numFmtId="167" fontId="4" fillId="14" borderId="1" xfId="1" applyNumberFormat="1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right" vertical="center"/>
    </xf>
    <xf numFmtId="0" fontId="2" fillId="14" borderId="7" xfId="0" applyFont="1" applyFill="1" applyBorder="1" applyAlignment="1">
      <alignment horizontal="center" vertical="center"/>
    </xf>
    <xf numFmtId="166" fontId="2" fillId="14" borderId="7" xfId="0" applyNumberFormat="1" applyFont="1" applyFill="1" applyBorder="1" applyAlignment="1">
      <alignment horizontal="center" vertical="center"/>
    </xf>
    <xf numFmtId="9" fontId="2" fillId="14" borderId="7" xfId="1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 vertical="center" textRotation="90"/>
    </xf>
    <xf numFmtId="166" fontId="21" fillId="0" borderId="0" xfId="0" applyNumberFormat="1" applyFont="1" applyBorder="1" applyAlignment="1">
      <alignment horizontal="center" vertical="center" textRotation="90"/>
    </xf>
    <xf numFmtId="0" fontId="2" fillId="3" borderId="0" xfId="0" applyFont="1" applyFill="1" applyBorder="1" applyAlignment="1">
      <alignment vertical="center"/>
    </xf>
    <xf numFmtId="167" fontId="2" fillId="14" borderId="1" xfId="1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166" fontId="2" fillId="14" borderId="53" xfId="0" applyNumberFormat="1" applyFont="1" applyFill="1" applyBorder="1" applyAlignment="1">
      <alignment horizontal="center" vertical="center"/>
    </xf>
    <xf numFmtId="166" fontId="2" fillId="14" borderId="64" xfId="0" applyNumberFormat="1" applyFont="1" applyFill="1" applyBorder="1" applyAlignment="1">
      <alignment horizontal="center" vertical="center"/>
    </xf>
    <xf numFmtId="166" fontId="2" fillId="14" borderId="107" xfId="0" applyNumberFormat="1" applyFont="1" applyFill="1" applyBorder="1" applyAlignment="1">
      <alignment horizontal="center" vertical="center"/>
    </xf>
    <xf numFmtId="166" fontId="4" fillId="14" borderId="55" xfId="0" applyNumberFormat="1" applyFont="1" applyFill="1" applyBorder="1" applyAlignment="1">
      <alignment horizontal="center" vertical="center"/>
    </xf>
    <xf numFmtId="166" fontId="4" fillId="14" borderId="108" xfId="0" applyNumberFormat="1" applyFont="1" applyFill="1" applyBorder="1" applyAlignment="1">
      <alignment horizontal="center" vertical="center"/>
    </xf>
    <xf numFmtId="166" fontId="2" fillId="14" borderId="55" xfId="0" applyNumberFormat="1" applyFont="1" applyFill="1" applyBorder="1" applyAlignment="1">
      <alignment horizontal="center" vertical="center"/>
    </xf>
    <xf numFmtId="166" fontId="2" fillId="14" borderId="9" xfId="0" applyNumberFormat="1" applyFont="1" applyFill="1" applyBorder="1" applyAlignment="1">
      <alignment horizontal="center" vertical="center"/>
    </xf>
    <xf numFmtId="166" fontId="2" fillId="14" borderId="108" xfId="0" applyNumberFormat="1" applyFont="1" applyFill="1" applyBorder="1" applyAlignment="1">
      <alignment horizontal="center" vertical="center"/>
    </xf>
    <xf numFmtId="166" fontId="2" fillId="14" borderId="106" xfId="0" applyNumberFormat="1" applyFont="1" applyFill="1" applyBorder="1" applyAlignment="1">
      <alignment horizontal="center" vertical="center"/>
    </xf>
    <xf numFmtId="166" fontId="2" fillId="14" borderId="44" xfId="0" applyNumberFormat="1" applyFont="1" applyFill="1" applyBorder="1" applyAlignment="1">
      <alignment horizontal="center" vertical="center"/>
    </xf>
    <xf numFmtId="166" fontId="2" fillId="14" borderId="113" xfId="0" applyNumberFormat="1" applyFont="1" applyFill="1" applyBorder="1" applyAlignment="1">
      <alignment horizontal="center" vertical="center"/>
    </xf>
    <xf numFmtId="166" fontId="4" fillId="14" borderId="106" xfId="0" applyNumberFormat="1" applyFont="1" applyFill="1" applyBorder="1" applyAlignment="1">
      <alignment horizontal="center" vertical="center"/>
    </xf>
    <xf numFmtId="166" fontId="4" fillId="14" borderId="44" xfId="0" applyNumberFormat="1" applyFont="1" applyFill="1" applyBorder="1" applyAlignment="1">
      <alignment horizontal="center" vertical="center"/>
    </xf>
    <xf numFmtId="166" fontId="4" fillId="14" borderId="113" xfId="0" applyNumberFormat="1" applyFont="1" applyFill="1" applyBorder="1" applyAlignment="1">
      <alignment horizontal="center" vertical="center"/>
    </xf>
    <xf numFmtId="166" fontId="2" fillId="14" borderId="57" xfId="0" applyNumberFormat="1" applyFont="1" applyFill="1" applyBorder="1" applyAlignment="1">
      <alignment horizontal="center" vertical="center"/>
    </xf>
    <xf numFmtId="166" fontId="2" fillId="14" borderId="78" xfId="0" applyNumberFormat="1" applyFont="1" applyFill="1" applyBorder="1" applyAlignment="1">
      <alignment horizontal="center" vertical="center"/>
    </xf>
    <xf numFmtId="166" fontId="2" fillId="14" borderId="79" xfId="0" applyNumberFormat="1" applyFont="1" applyFill="1" applyBorder="1" applyAlignment="1">
      <alignment horizontal="center" vertical="center"/>
    </xf>
    <xf numFmtId="166" fontId="4" fillId="14" borderId="51" xfId="0" applyNumberFormat="1" applyFont="1" applyFill="1" applyBorder="1" applyAlignment="1">
      <alignment horizontal="center" vertical="center"/>
    </xf>
    <xf numFmtId="166" fontId="4" fillId="14" borderId="116" xfId="0" applyNumberFormat="1" applyFont="1" applyFill="1" applyBorder="1" applyAlignment="1">
      <alignment horizontal="center" vertical="center"/>
    </xf>
    <xf numFmtId="167" fontId="2" fillId="3" borderId="84" xfId="0" applyNumberFormat="1" applyFont="1" applyFill="1" applyBorder="1" applyAlignment="1">
      <alignment horizontal="center" vertical="center"/>
    </xf>
    <xf numFmtId="166" fontId="4" fillId="7" borderId="129" xfId="0" applyNumberFormat="1" applyFont="1" applyFill="1" applyBorder="1" applyAlignment="1">
      <alignment horizontal="center" vertical="center"/>
    </xf>
    <xf numFmtId="166" fontId="2" fillId="7" borderId="129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0" xfId="1" applyNumberFormat="1" applyFont="1" applyBorder="1" applyAlignment="1">
      <alignment horizontal="center" vertical="center"/>
    </xf>
    <xf numFmtId="167" fontId="2" fillId="0" borderId="84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7" fontId="4" fillId="3" borderId="2" xfId="1" applyNumberFormat="1" applyFont="1" applyFill="1" applyBorder="1" applyAlignment="1">
      <alignment horizontal="center" vertical="center"/>
    </xf>
    <xf numFmtId="0" fontId="4" fillId="7" borderId="106" xfId="0" applyFont="1" applyFill="1" applyBorder="1" applyAlignment="1">
      <alignment horizontal="center" vertical="center"/>
    </xf>
    <xf numFmtId="9" fontId="4" fillId="7" borderId="67" xfId="1" applyNumberFormat="1" applyFont="1" applyFill="1" applyBorder="1" applyAlignment="1">
      <alignment horizontal="center" vertical="center"/>
    </xf>
    <xf numFmtId="166" fontId="4" fillId="7" borderId="113" xfId="0" applyNumberFormat="1" applyFont="1" applyFill="1" applyBorder="1" applyAlignment="1">
      <alignment horizontal="center" vertical="center"/>
    </xf>
    <xf numFmtId="9" fontId="4" fillId="7" borderId="52" xfId="1" applyNumberFormat="1" applyFont="1" applyFill="1" applyBorder="1" applyAlignment="1">
      <alignment horizontal="center" vertical="center"/>
    </xf>
    <xf numFmtId="0" fontId="18" fillId="7" borderId="48" xfId="0" applyFont="1" applyFill="1" applyBorder="1" applyAlignment="1">
      <alignment horizontal="center" vertical="center"/>
    </xf>
    <xf numFmtId="0" fontId="18" fillId="7" borderId="52" xfId="0" applyFont="1" applyFill="1" applyBorder="1" applyAlignment="1">
      <alignment horizontal="center" vertical="center"/>
    </xf>
    <xf numFmtId="166" fontId="18" fillId="7" borderId="48" xfId="0" applyNumberFormat="1" applyFont="1" applyFill="1" applyBorder="1" applyAlignment="1">
      <alignment horizontal="center" vertical="center"/>
    </xf>
    <xf numFmtId="166" fontId="18" fillId="7" borderId="49" xfId="0" applyNumberFormat="1" applyFont="1" applyFill="1" applyBorder="1" applyAlignment="1">
      <alignment horizontal="center" vertical="center"/>
    </xf>
    <xf numFmtId="9" fontId="18" fillId="7" borderId="52" xfId="1" applyNumberFormat="1" applyFont="1" applyFill="1" applyBorder="1" applyAlignment="1">
      <alignment horizontal="center" vertical="center"/>
    </xf>
    <xf numFmtId="9" fontId="18" fillId="3" borderId="29" xfId="1" applyNumberFormat="1" applyFont="1" applyFill="1" applyBorder="1" applyAlignment="1">
      <alignment horizontal="center" vertical="center"/>
    </xf>
    <xf numFmtId="166" fontId="18" fillId="7" borderId="51" xfId="0" applyNumberFormat="1" applyFont="1" applyFill="1" applyBorder="1" applyAlignment="1">
      <alignment horizontal="center" vertical="center"/>
    </xf>
    <xf numFmtId="166" fontId="18" fillId="7" borderId="52" xfId="0" applyNumberFormat="1" applyFont="1" applyFill="1" applyBorder="1" applyAlignment="1">
      <alignment horizontal="center" vertical="center"/>
    </xf>
    <xf numFmtId="166" fontId="18" fillId="7" borderId="116" xfId="0" applyNumberFormat="1" applyFont="1" applyFill="1" applyBorder="1" applyAlignment="1">
      <alignment horizontal="center" vertical="center"/>
    </xf>
    <xf numFmtId="0" fontId="2" fillId="7" borderId="54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center" vertical="center"/>
    </xf>
    <xf numFmtId="0" fontId="2" fillId="7" borderId="56" xfId="0" applyFont="1" applyFill="1" applyBorder="1" applyAlignment="1">
      <alignment horizontal="center" vertical="center"/>
    </xf>
    <xf numFmtId="9" fontId="2" fillId="7" borderId="54" xfId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7" fontId="4" fillId="0" borderId="3" xfId="1" applyNumberFormat="1" applyFont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/>
    </xf>
    <xf numFmtId="0" fontId="2" fillId="7" borderId="67" xfId="0" applyFont="1" applyFill="1" applyBorder="1" applyAlignment="1">
      <alignment horizontal="center" vertical="center"/>
    </xf>
    <xf numFmtId="0" fontId="4" fillId="7" borderId="67" xfId="0" applyFont="1" applyFill="1" applyBorder="1" applyAlignment="1">
      <alignment horizontal="center" vertical="center"/>
    </xf>
    <xf numFmtId="9" fontId="4" fillId="0" borderId="3" xfId="1" applyFont="1" applyBorder="1" applyAlignment="1">
      <alignment horizontal="center" vertical="center"/>
    </xf>
    <xf numFmtId="167" fontId="2" fillId="0" borderId="3" xfId="1" applyNumberFormat="1" applyFont="1" applyBorder="1" applyAlignment="1">
      <alignment horizontal="center" vertical="center"/>
    </xf>
    <xf numFmtId="166" fontId="2" fillId="0" borderId="87" xfId="0" applyNumberFormat="1" applyFont="1" applyBorder="1" applyAlignment="1">
      <alignment horizontal="center" vertical="center"/>
    </xf>
    <xf numFmtId="9" fontId="2" fillId="0" borderId="88" xfId="1" applyNumberFormat="1" applyFont="1" applyBorder="1" applyAlignment="1">
      <alignment horizontal="center" vertical="center"/>
    </xf>
    <xf numFmtId="166" fontId="4" fillId="3" borderId="93" xfId="0" applyNumberFormat="1" applyFont="1" applyFill="1" applyBorder="1" applyAlignment="1">
      <alignment horizontal="center" vertical="center"/>
    </xf>
    <xf numFmtId="9" fontId="4" fillId="3" borderId="94" xfId="1" applyNumberFormat="1" applyFont="1" applyFill="1" applyBorder="1" applyAlignment="1">
      <alignment horizontal="center" vertical="center"/>
    </xf>
    <xf numFmtId="167" fontId="2" fillId="0" borderId="84" xfId="1" applyNumberFormat="1" applyFont="1" applyBorder="1" applyAlignment="1">
      <alignment vertical="center"/>
    </xf>
    <xf numFmtId="167" fontId="2" fillId="0" borderId="0" xfId="1" applyNumberFormat="1" applyFont="1" applyBorder="1" applyAlignment="1">
      <alignment vertical="center"/>
    </xf>
    <xf numFmtId="167" fontId="2" fillId="0" borderId="85" xfId="1" applyNumberFormat="1" applyFont="1" applyBorder="1" applyAlignment="1">
      <alignment vertical="center"/>
    </xf>
    <xf numFmtId="9" fontId="4" fillId="3" borderId="0" xfId="1" applyFont="1" applyFill="1" applyBorder="1" applyAlignment="1">
      <alignment horizontal="center" vertical="center"/>
    </xf>
    <xf numFmtId="167" fontId="18" fillId="7" borderId="52" xfId="1" applyNumberFormat="1" applyFont="1" applyFill="1" applyBorder="1" applyAlignment="1">
      <alignment horizontal="center" vertical="center"/>
    </xf>
    <xf numFmtId="9" fontId="2" fillId="7" borderId="66" xfId="1" applyFont="1" applyFill="1" applyBorder="1" applyAlignment="1">
      <alignment horizontal="center" vertical="center"/>
    </xf>
    <xf numFmtId="167" fontId="2" fillId="7" borderId="66" xfId="1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27" fillId="16" borderId="1" xfId="0" applyFont="1" applyFill="1" applyBorder="1" applyAlignment="1">
      <alignment horizontal="center" vertical="center"/>
    </xf>
    <xf numFmtId="0" fontId="2" fillId="16" borderId="7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166" fontId="2" fillId="16" borderId="7" xfId="0" applyNumberFormat="1" applyFont="1" applyFill="1" applyBorder="1" applyAlignment="1">
      <alignment horizontal="center" vertical="center"/>
    </xf>
    <xf numFmtId="9" fontId="2" fillId="16" borderId="7" xfId="1" applyNumberFormat="1" applyFont="1" applyFill="1" applyBorder="1" applyAlignment="1">
      <alignment horizontal="center" vertical="center"/>
    </xf>
    <xf numFmtId="166" fontId="4" fillId="16" borderId="1" xfId="0" applyNumberFormat="1" applyFont="1" applyFill="1" applyBorder="1" applyAlignment="1">
      <alignment horizontal="center" vertical="center"/>
    </xf>
    <xf numFmtId="9" fontId="4" fillId="16" borderId="1" xfId="1" applyNumberFormat="1" applyFont="1" applyFill="1" applyBorder="1" applyAlignment="1">
      <alignment horizontal="center" vertical="center"/>
    </xf>
    <xf numFmtId="166" fontId="2" fillId="16" borderId="1" xfId="0" applyNumberFormat="1" applyFont="1" applyFill="1" applyBorder="1" applyAlignment="1">
      <alignment horizontal="center" vertical="center"/>
    </xf>
    <xf numFmtId="9" fontId="2" fillId="16" borderId="1" xfId="1" applyNumberFormat="1" applyFont="1" applyFill="1" applyBorder="1" applyAlignment="1">
      <alignment horizontal="center" vertical="center"/>
    </xf>
    <xf numFmtId="166" fontId="2" fillId="16" borderId="5" xfId="0" applyNumberFormat="1" applyFont="1" applyFill="1" applyBorder="1" applyAlignment="1">
      <alignment horizontal="center" vertical="center"/>
    </xf>
    <xf numFmtId="9" fontId="2" fillId="16" borderId="5" xfId="1" applyNumberFormat="1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center" vertical="center"/>
    </xf>
    <xf numFmtId="166" fontId="18" fillId="16" borderId="1" xfId="0" applyNumberFormat="1" applyFont="1" applyFill="1" applyBorder="1" applyAlignment="1">
      <alignment horizontal="right" vertical="center"/>
    </xf>
    <xf numFmtId="166" fontId="18" fillId="16" borderId="1" xfId="0" applyNumberFormat="1" applyFont="1" applyFill="1" applyBorder="1" applyAlignment="1">
      <alignment horizontal="center" vertical="center"/>
    </xf>
    <xf numFmtId="167" fontId="18" fillId="16" borderId="1" xfId="1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/>
    </xf>
    <xf numFmtId="167" fontId="4" fillId="16" borderId="1" xfId="1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9" fontId="4" fillId="7" borderId="58" xfId="1" applyNumberFormat="1" applyFont="1" applyFill="1" applyBorder="1" applyAlignment="1">
      <alignment horizontal="center" vertical="center"/>
    </xf>
    <xf numFmtId="166" fontId="2" fillId="16" borderId="1" xfId="1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18" fillId="7" borderId="52" xfId="1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12" fillId="3" borderId="1" xfId="0" applyNumberFormat="1" applyFont="1" applyFill="1" applyBorder="1" applyAlignment="1">
      <alignment horizontal="center" vertical="center"/>
    </xf>
    <xf numFmtId="166" fontId="15" fillId="3" borderId="1" xfId="0" applyNumberFormat="1" applyFont="1" applyFill="1" applyBorder="1" applyAlignment="1">
      <alignment horizontal="center" vertical="center"/>
    </xf>
    <xf numFmtId="166" fontId="15" fillId="3" borderId="4" xfId="0" applyNumberFormat="1" applyFont="1" applyFill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166" fontId="12" fillId="3" borderId="55" xfId="0" applyNumberFormat="1" applyFont="1" applyFill="1" applyBorder="1" applyAlignment="1">
      <alignment horizontal="center" vertical="center"/>
    </xf>
    <xf numFmtId="166" fontId="15" fillId="3" borderId="57" xfId="0" applyNumberFormat="1" applyFont="1" applyFill="1" applyBorder="1" applyAlignment="1">
      <alignment horizontal="center" vertical="center"/>
    </xf>
    <xf numFmtId="166" fontId="12" fillId="0" borderId="55" xfId="0" applyNumberFormat="1" applyFont="1" applyBorder="1" applyAlignment="1">
      <alignment horizontal="center" vertical="center"/>
    </xf>
    <xf numFmtId="166" fontId="15" fillId="0" borderId="55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" fillId="7" borderId="58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12" fillId="0" borderId="56" xfId="0" applyNumberFormat="1" applyFont="1" applyBorder="1" applyAlignment="1">
      <alignment horizontal="center" vertical="center"/>
    </xf>
    <xf numFmtId="166" fontId="15" fillId="0" borderId="56" xfId="0" applyNumberFormat="1" applyFont="1" applyBorder="1" applyAlignment="1">
      <alignment horizontal="center" vertical="center"/>
    </xf>
    <xf numFmtId="166" fontId="4" fillId="7" borderId="76" xfId="0" applyNumberFormat="1" applyFont="1" applyFill="1" applyBorder="1" applyAlignment="1">
      <alignment horizontal="center" vertical="center"/>
    </xf>
    <xf numFmtId="166" fontId="4" fillId="7" borderId="58" xfId="0" applyNumberFormat="1" applyFont="1" applyFill="1" applyBorder="1" applyAlignment="1">
      <alignment horizontal="center" vertical="center"/>
    </xf>
    <xf numFmtId="166" fontId="4" fillId="7" borderId="78" xfId="0" applyNumberFormat="1" applyFont="1" applyFill="1" applyBorder="1" applyAlignment="1">
      <alignment horizontal="center" vertical="center"/>
    </xf>
    <xf numFmtId="166" fontId="4" fillId="7" borderId="79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2" fillId="7" borderId="74" xfId="0" applyNumberFormat="1" applyFont="1" applyFill="1" applyBorder="1" applyAlignment="1">
      <alignment horizontal="center" vertical="center"/>
    </xf>
    <xf numFmtId="166" fontId="4" fillId="7" borderId="119" xfId="0" applyNumberFormat="1" applyFont="1" applyFill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2" fillId="7" borderId="67" xfId="0" applyNumberFormat="1" applyFont="1" applyFill="1" applyBorder="1" applyAlignment="1">
      <alignment horizontal="center" vertical="center"/>
    </xf>
    <xf numFmtId="166" fontId="4" fillId="14" borderId="1" xfId="0" applyNumberFormat="1" applyFont="1" applyFill="1" applyBorder="1" applyAlignment="1">
      <alignment vertical="center"/>
    </xf>
    <xf numFmtId="166" fontId="2" fillId="0" borderId="24" xfId="0" applyNumberFormat="1" applyFont="1" applyBorder="1" applyAlignment="1">
      <alignment horizontal="center" vertical="center"/>
    </xf>
    <xf numFmtId="166" fontId="4" fillId="3" borderId="24" xfId="0" applyNumberFormat="1" applyFont="1" applyFill="1" applyBorder="1" applyAlignment="1">
      <alignment vertical="center"/>
    </xf>
    <xf numFmtId="166" fontId="2" fillId="3" borderId="118" xfId="0" applyNumberFormat="1" applyFont="1" applyFill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2" fillId="15" borderId="1" xfId="1" applyNumberFormat="1" applyFont="1" applyFill="1" applyBorder="1" applyAlignment="1">
      <alignment horizontal="center" vertical="center"/>
    </xf>
    <xf numFmtId="166" fontId="4" fillId="6" borderId="106" xfId="0" applyNumberFormat="1" applyFont="1" applyFill="1" applyBorder="1" applyAlignment="1">
      <alignment horizontal="center" vertical="center"/>
    </xf>
    <xf numFmtId="166" fontId="4" fillId="6" borderId="53" xfId="0" applyNumberFormat="1" applyFont="1" applyFill="1" applyBorder="1" applyAlignment="1">
      <alignment horizontal="center" vertical="center"/>
    </xf>
    <xf numFmtId="166" fontId="4" fillId="6" borderId="97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103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3" borderId="6" xfId="0" applyFont="1" applyFill="1" applyBorder="1" applyAlignment="1">
      <alignment horizontal="center" vertical="center"/>
    </xf>
    <xf numFmtId="166" fontId="37" fillId="14" borderId="1" xfId="0" applyNumberFormat="1" applyFont="1" applyFill="1" applyBorder="1" applyAlignment="1">
      <alignment horizontal="center" vertical="center"/>
    </xf>
    <xf numFmtId="167" fontId="37" fillId="14" borderId="1" xfId="1" applyNumberFormat="1" applyFont="1" applyFill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166" fontId="37" fillId="0" borderId="1" xfId="0" applyNumberFormat="1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166" fontId="37" fillId="0" borderId="55" xfId="0" applyNumberFormat="1" applyFont="1" applyBorder="1" applyAlignment="1">
      <alignment horizontal="center" vertical="center"/>
    </xf>
    <xf numFmtId="166" fontId="37" fillId="3" borderId="1" xfId="0" applyNumberFormat="1" applyFont="1" applyFill="1" applyBorder="1" applyAlignment="1">
      <alignment horizontal="center" vertical="center"/>
    </xf>
    <xf numFmtId="166" fontId="37" fillId="0" borderId="56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103" xfId="0" applyFont="1" applyBorder="1" applyAlignment="1">
      <alignment vertical="center"/>
    </xf>
    <xf numFmtId="0" fontId="39" fillId="0" borderId="103" xfId="0" applyFont="1" applyBorder="1" applyAlignment="1">
      <alignment vertical="center"/>
    </xf>
    <xf numFmtId="0" fontId="30" fillId="14" borderId="1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/>
    </xf>
    <xf numFmtId="166" fontId="29" fillId="14" borderId="1" xfId="0" applyNumberFormat="1" applyFont="1" applyFill="1" applyBorder="1" applyAlignment="1">
      <alignment horizontal="center" vertical="center"/>
    </xf>
    <xf numFmtId="166" fontId="33" fillId="14" borderId="1" xfId="0" applyNumberFormat="1" applyFont="1" applyFill="1" applyBorder="1" applyAlignment="1">
      <alignment horizontal="center" vertical="center"/>
    </xf>
    <xf numFmtId="166" fontId="33" fillId="0" borderId="1" xfId="0" applyNumberFormat="1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166" fontId="33" fillId="0" borderId="55" xfId="0" applyNumberFormat="1" applyFont="1" applyBorder="1" applyAlignment="1">
      <alignment horizontal="center" vertical="center"/>
    </xf>
    <xf numFmtId="166" fontId="33" fillId="3" borderId="1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7" fontId="33" fillId="0" borderId="1" xfId="1" applyNumberFormat="1" applyFont="1" applyBorder="1" applyAlignment="1">
      <alignment horizontal="center" vertical="center"/>
    </xf>
    <xf numFmtId="167" fontId="33" fillId="0" borderId="56" xfId="1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03" xfId="0" applyFont="1" applyBorder="1" applyAlignment="1">
      <alignment vertical="center"/>
    </xf>
    <xf numFmtId="0" fontId="35" fillId="3" borderId="0" xfId="0" applyFont="1" applyFill="1" applyAlignment="1">
      <alignment horizontal="center" vertical="center"/>
    </xf>
    <xf numFmtId="0" fontId="36" fillId="16" borderId="1" xfId="0" applyFont="1" applyFill="1" applyBorder="1" applyAlignment="1">
      <alignment horizontal="center" vertical="center"/>
    </xf>
    <xf numFmtId="166" fontId="35" fillId="16" borderId="1" xfId="0" applyNumberFormat="1" applyFont="1" applyFill="1" applyBorder="1" applyAlignment="1">
      <alignment horizontal="center" vertical="center"/>
    </xf>
    <xf numFmtId="166" fontId="37" fillId="16" borderId="1" xfId="0" applyNumberFormat="1" applyFont="1" applyFill="1" applyBorder="1" applyAlignment="1">
      <alignment horizontal="center" vertical="center"/>
    </xf>
    <xf numFmtId="167" fontId="35" fillId="3" borderId="29" xfId="1" applyNumberFormat="1" applyFont="1" applyFill="1" applyBorder="1" applyAlignment="1">
      <alignment horizontal="center" vertical="center"/>
    </xf>
    <xf numFmtId="167" fontId="35" fillId="3" borderId="0" xfId="1" applyNumberFormat="1" applyFont="1" applyFill="1" applyBorder="1" applyAlignment="1">
      <alignment horizontal="center" vertical="center"/>
    </xf>
    <xf numFmtId="166" fontId="37" fillId="3" borderId="24" xfId="0" applyNumberFormat="1" applyFont="1" applyFill="1" applyBorder="1" applyAlignment="1">
      <alignment horizontal="center" vertical="center"/>
    </xf>
    <xf numFmtId="166" fontId="37" fillId="3" borderId="55" xfId="0" applyNumberFormat="1" applyFont="1" applyFill="1" applyBorder="1" applyAlignment="1">
      <alignment horizontal="center" vertical="center"/>
    </xf>
    <xf numFmtId="166" fontId="35" fillId="3" borderId="10" xfId="0" applyNumberFormat="1" applyFont="1" applyFill="1" applyBorder="1" applyAlignment="1">
      <alignment horizontal="center" vertical="center"/>
    </xf>
    <xf numFmtId="166" fontId="35" fillId="3" borderId="6" xfId="0" applyNumberFormat="1" applyFont="1" applyFill="1" applyBorder="1" applyAlignment="1">
      <alignment horizontal="center" vertical="center"/>
    </xf>
    <xf numFmtId="166" fontId="35" fillId="3" borderId="0" xfId="0" applyNumberFormat="1" applyFont="1" applyFill="1" applyBorder="1" applyAlignment="1">
      <alignment horizontal="center" vertical="center"/>
    </xf>
    <xf numFmtId="166" fontId="35" fillId="3" borderId="0" xfId="0" applyNumberFormat="1" applyFont="1" applyFill="1" applyAlignment="1">
      <alignment horizontal="center" vertical="center"/>
    </xf>
    <xf numFmtId="167" fontId="37" fillId="3" borderId="1" xfId="1" applyNumberFormat="1" applyFont="1" applyFill="1" applyBorder="1" applyAlignment="1">
      <alignment horizontal="center" vertical="center"/>
    </xf>
    <xf numFmtId="166" fontId="37" fillId="3" borderId="56" xfId="1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6" fontId="37" fillId="3" borderId="53" xfId="0" applyNumberFormat="1" applyFont="1" applyFill="1" applyBorder="1" applyAlignment="1">
      <alignment horizontal="center" vertical="center"/>
    </xf>
    <xf numFmtId="166" fontId="37" fillId="3" borderId="62" xfId="1" applyNumberFormat="1" applyFont="1" applyFill="1" applyBorder="1" applyAlignment="1">
      <alignment horizontal="center" vertical="center"/>
    </xf>
    <xf numFmtId="166" fontId="37" fillId="3" borderId="54" xfId="1" applyNumberFormat="1" applyFont="1" applyFill="1" applyBorder="1" applyAlignment="1">
      <alignment horizontal="center" vertical="center"/>
    </xf>
    <xf numFmtId="166" fontId="37" fillId="3" borderId="104" xfId="0" applyNumberFormat="1" applyFont="1" applyFill="1" applyBorder="1" applyAlignment="1">
      <alignment horizontal="center" vertical="center"/>
    </xf>
    <xf numFmtId="166" fontId="35" fillId="3" borderId="86" xfId="0" applyNumberFormat="1" applyFont="1" applyFill="1" applyBorder="1" applyAlignment="1">
      <alignment horizontal="center" vertical="center"/>
    </xf>
    <xf numFmtId="0" fontId="35" fillId="3" borderId="95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166" fontId="29" fillId="16" borderId="1" xfId="0" applyNumberFormat="1" applyFont="1" applyFill="1" applyBorder="1" applyAlignment="1">
      <alignment horizontal="center" vertical="center"/>
    </xf>
    <xf numFmtId="166" fontId="33" fillId="16" borderId="1" xfId="0" applyNumberFormat="1" applyFont="1" applyFill="1" applyBorder="1" applyAlignment="1">
      <alignment horizontal="center" vertical="center"/>
    </xf>
    <xf numFmtId="166" fontId="33" fillId="16" borderId="1" xfId="1" applyNumberFormat="1" applyFont="1" applyFill="1" applyBorder="1" applyAlignment="1">
      <alignment horizontal="center" vertical="center"/>
    </xf>
    <xf numFmtId="167" fontId="29" fillId="3" borderId="29" xfId="1" applyNumberFormat="1" applyFont="1" applyFill="1" applyBorder="1" applyAlignment="1">
      <alignment horizontal="center" vertical="center"/>
    </xf>
    <xf numFmtId="167" fontId="29" fillId="3" borderId="0" xfId="1" applyNumberFormat="1" applyFont="1" applyFill="1" applyBorder="1" applyAlignment="1">
      <alignment horizontal="center" vertical="center"/>
    </xf>
    <xf numFmtId="166" fontId="33" fillId="3" borderId="24" xfId="0" applyNumberFormat="1" applyFont="1" applyFill="1" applyBorder="1" applyAlignment="1">
      <alignment horizontal="center" vertical="center"/>
    </xf>
    <xf numFmtId="166" fontId="33" fillId="3" borderId="57" xfId="0" applyNumberFormat="1" applyFont="1" applyFill="1" applyBorder="1" applyAlignment="1">
      <alignment horizontal="center" vertical="center"/>
    </xf>
    <xf numFmtId="166" fontId="33" fillId="3" borderId="76" xfId="0" applyNumberFormat="1" applyFont="1" applyFill="1" applyBorder="1" applyAlignment="1">
      <alignment horizontal="center" vertical="center"/>
    </xf>
    <xf numFmtId="166" fontId="33" fillId="3" borderId="58" xfId="0" applyNumberFormat="1" applyFont="1" applyFill="1" applyBorder="1" applyAlignment="1">
      <alignment horizontal="center" vertical="center"/>
    </xf>
    <xf numFmtId="166" fontId="29" fillId="3" borderId="10" xfId="0" applyNumberFormat="1" applyFont="1" applyFill="1" applyBorder="1" applyAlignment="1">
      <alignment horizontal="center" vertical="center"/>
    </xf>
    <xf numFmtId="166" fontId="29" fillId="3" borderId="6" xfId="0" applyNumberFormat="1" applyFont="1" applyFill="1" applyBorder="1" applyAlignment="1">
      <alignment horizontal="center" vertical="center"/>
    </xf>
    <xf numFmtId="166" fontId="29" fillId="3" borderId="1" xfId="0" applyNumberFormat="1" applyFont="1" applyFill="1" applyBorder="1" applyAlignment="1">
      <alignment horizontal="center" vertical="center"/>
    </xf>
    <xf numFmtId="166" fontId="29" fillId="3" borderId="0" xfId="0" applyNumberFormat="1" applyFont="1" applyFill="1" applyBorder="1" applyAlignment="1">
      <alignment horizontal="center" vertical="center"/>
    </xf>
    <xf numFmtId="166" fontId="29" fillId="3" borderId="0" xfId="0" applyNumberFormat="1" applyFont="1" applyFill="1" applyAlignment="1">
      <alignment horizontal="center" vertical="center"/>
    </xf>
    <xf numFmtId="166" fontId="33" fillId="7" borderId="57" xfId="0" applyNumberFormat="1" applyFont="1" applyFill="1" applyBorder="1" applyAlignment="1">
      <alignment horizontal="center" vertical="center"/>
    </xf>
    <xf numFmtId="166" fontId="33" fillId="3" borderId="58" xfId="1" applyNumberFormat="1" applyFont="1" applyFill="1" applyBorder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6" fontId="33" fillId="3" borderId="76" xfId="1" applyNumberFormat="1" applyFont="1" applyFill="1" applyBorder="1" applyAlignment="1">
      <alignment horizontal="center" vertical="center"/>
    </xf>
    <xf numFmtId="166" fontId="33" fillId="3" borderId="104" xfId="0" applyNumberFormat="1" applyFont="1" applyFill="1" applyBorder="1" applyAlignment="1">
      <alignment horizontal="center" vertical="center"/>
    </xf>
    <xf numFmtId="166" fontId="29" fillId="3" borderId="86" xfId="0" applyNumberFormat="1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33" fillId="3" borderId="0" xfId="0" applyNumberFormat="1" applyFont="1" applyFill="1" applyBorder="1" applyAlignment="1">
      <alignment horizontal="center" vertical="center"/>
    </xf>
    <xf numFmtId="167" fontId="33" fillId="3" borderId="0" xfId="1" applyNumberFormat="1" applyFont="1" applyFill="1" applyBorder="1" applyAlignment="1">
      <alignment horizontal="center" vertical="center"/>
    </xf>
    <xf numFmtId="166" fontId="33" fillId="3" borderId="4" xfId="0" applyNumberFormat="1" applyFont="1" applyFill="1" applyBorder="1" applyAlignment="1">
      <alignment horizontal="center" vertical="center"/>
    </xf>
    <xf numFmtId="166" fontId="29" fillId="3" borderId="4" xfId="0" applyNumberFormat="1" applyFont="1" applyFill="1" applyBorder="1" applyAlignment="1">
      <alignment horizontal="center" vertical="center"/>
    </xf>
    <xf numFmtId="166" fontId="33" fillId="3" borderId="0" xfId="1" applyNumberFormat="1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center" vertical="center"/>
    </xf>
    <xf numFmtId="170" fontId="29" fillId="3" borderId="0" xfId="0" applyNumberFormat="1" applyFont="1" applyFill="1" applyBorder="1" applyAlignment="1">
      <alignment horizontal="center" vertical="center"/>
    </xf>
    <xf numFmtId="166" fontId="29" fillId="3" borderId="104" xfId="0" applyNumberFormat="1" applyFont="1" applyFill="1" applyBorder="1" applyAlignment="1">
      <alignment horizontal="center" vertical="center"/>
    </xf>
    <xf numFmtId="0" fontId="29" fillId="3" borderId="104" xfId="0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0" fontId="36" fillId="15" borderId="1" xfId="0" applyFont="1" applyFill="1" applyBorder="1" applyAlignment="1">
      <alignment horizontal="center" vertical="center"/>
    </xf>
    <xf numFmtId="166" fontId="35" fillId="15" borderId="1" xfId="0" applyNumberFormat="1" applyFont="1" applyFill="1" applyBorder="1" applyAlignment="1">
      <alignment horizontal="center" vertical="center"/>
    </xf>
    <xf numFmtId="166" fontId="37" fillId="15" borderId="1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64" xfId="0" applyNumberFormat="1" applyFont="1" applyFill="1" applyBorder="1" applyAlignment="1">
      <alignment horizontal="center" vertical="center"/>
    </xf>
    <xf numFmtId="166" fontId="37" fillId="3" borderId="107" xfId="0" applyNumberFormat="1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166" fontId="37" fillId="3" borderId="0" xfId="1" applyNumberFormat="1" applyFont="1" applyFill="1" applyBorder="1" applyAlignment="1">
      <alignment horizontal="center" vertical="center"/>
    </xf>
    <xf numFmtId="170" fontId="35" fillId="3" borderId="0" xfId="0" applyNumberFormat="1" applyFont="1" applyFill="1" applyBorder="1" applyAlignment="1">
      <alignment horizontal="center" vertical="center"/>
    </xf>
    <xf numFmtId="166" fontId="35" fillId="3" borderId="104" xfId="0" applyNumberFormat="1" applyFont="1" applyFill="1" applyBorder="1" applyAlignment="1">
      <alignment horizontal="center" vertical="center"/>
    </xf>
    <xf numFmtId="0" fontId="35" fillId="3" borderId="104" xfId="0" applyFont="1" applyFill="1" applyBorder="1" applyAlignment="1">
      <alignment horizontal="center" vertical="center"/>
    </xf>
    <xf numFmtId="0" fontId="30" fillId="15" borderId="1" xfId="0" applyFont="1" applyFill="1" applyBorder="1" applyAlignment="1">
      <alignment horizontal="center" vertical="center"/>
    </xf>
    <xf numFmtId="166" fontId="29" fillId="15" borderId="1" xfId="0" applyNumberFormat="1" applyFont="1" applyFill="1" applyBorder="1" applyAlignment="1">
      <alignment horizontal="center" vertical="center"/>
    </xf>
    <xf numFmtId="166" fontId="33" fillId="15" borderId="1" xfId="0" applyNumberFormat="1" applyFont="1" applyFill="1" applyBorder="1" applyAlignment="1">
      <alignment horizontal="center" vertical="center"/>
    </xf>
    <xf numFmtId="166" fontId="33" fillId="3" borderId="78" xfId="0" applyNumberFormat="1" applyFont="1" applyFill="1" applyBorder="1" applyAlignment="1">
      <alignment horizontal="center" vertical="center"/>
    </xf>
    <xf numFmtId="166" fontId="33" fillId="3" borderId="79" xfId="0" applyNumberFormat="1" applyFont="1" applyFill="1" applyBorder="1" applyAlignment="1">
      <alignment horizontal="center" vertical="center"/>
    </xf>
    <xf numFmtId="0" fontId="35" fillId="3" borderId="29" xfId="0" applyFont="1" applyFill="1" applyBorder="1" applyAlignment="1">
      <alignment horizontal="center" vertical="center"/>
    </xf>
    <xf numFmtId="166" fontId="37" fillId="10" borderId="1" xfId="0" applyNumberFormat="1" applyFont="1" applyFill="1" applyBorder="1" applyAlignment="1">
      <alignment horizontal="center" vertical="center"/>
    </xf>
    <xf numFmtId="166" fontId="40" fillId="3" borderId="107" xfId="0" applyNumberFormat="1" applyFont="1" applyFill="1" applyBorder="1" applyAlignment="1">
      <alignment horizontal="center" vertical="center"/>
    </xf>
    <xf numFmtId="167" fontId="37" fillId="3" borderId="0" xfId="1" applyNumberFormat="1" applyFont="1" applyFill="1" applyBorder="1" applyAlignment="1">
      <alignment horizontal="center" vertical="center"/>
    </xf>
    <xf numFmtId="0" fontId="37" fillId="3" borderId="95" xfId="0" applyFont="1" applyFill="1" applyBorder="1" applyAlignment="1">
      <alignment horizontal="center" vertical="center"/>
    </xf>
    <xf numFmtId="0" fontId="35" fillId="3" borderId="105" xfId="0" applyFont="1" applyFill="1" applyBorder="1" applyAlignment="1">
      <alignment horizontal="center" vertical="center"/>
    </xf>
    <xf numFmtId="170" fontId="35" fillId="3" borderId="105" xfId="0" applyNumberFormat="1" applyFont="1" applyFill="1" applyBorder="1" applyAlignment="1">
      <alignment horizontal="center" vertical="center"/>
    </xf>
    <xf numFmtId="170" fontId="35" fillId="3" borderId="95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0" fontId="33" fillId="3" borderId="24" xfId="0" applyFont="1" applyFill="1" applyBorder="1" applyAlignment="1">
      <alignment horizontal="center" vertical="center"/>
    </xf>
    <xf numFmtId="0" fontId="33" fillId="3" borderId="57" xfId="0" applyFont="1" applyFill="1" applyBorder="1" applyAlignment="1">
      <alignment horizontal="center" vertical="center"/>
    </xf>
    <xf numFmtId="0" fontId="33" fillId="3" borderId="76" xfId="0" applyFont="1" applyFill="1" applyBorder="1" applyAlignment="1">
      <alignment horizontal="center" vertical="center"/>
    </xf>
    <xf numFmtId="0" fontId="33" fillId="3" borderId="58" xfId="0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33" fillId="3" borderId="95" xfId="0" applyFont="1" applyFill="1" applyBorder="1" applyAlignment="1">
      <alignment vertical="center"/>
    </xf>
    <xf numFmtId="0" fontId="29" fillId="4" borderId="0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/>
    </xf>
    <xf numFmtId="0" fontId="29" fillId="10" borderId="0" xfId="0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 textRotation="90"/>
    </xf>
    <xf numFmtId="166" fontId="34" fillId="0" borderId="0" xfId="0" applyNumberFormat="1" applyFont="1" applyBorder="1" applyAlignment="1">
      <alignment horizontal="center" vertical="center" textRotation="90"/>
    </xf>
    <xf numFmtId="167" fontId="29" fillId="3" borderId="84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vertical="center"/>
    </xf>
    <xf numFmtId="0" fontId="37" fillId="16" borderId="1" xfId="0" applyFont="1" applyFill="1" applyBorder="1" applyAlignment="1">
      <alignment horizontal="center" vertical="center"/>
    </xf>
    <xf numFmtId="0" fontId="39" fillId="16" borderId="1" xfId="0" applyFont="1" applyFill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166" fontId="33" fillId="16" borderId="7" xfId="0" applyNumberFormat="1" applyFont="1" applyFill="1" applyBorder="1" applyAlignment="1">
      <alignment horizontal="center" vertical="center"/>
    </xf>
    <xf numFmtId="9" fontId="33" fillId="16" borderId="7" xfId="1" applyNumberFormat="1" applyFont="1" applyFill="1" applyBorder="1" applyAlignment="1">
      <alignment horizontal="center" vertical="center"/>
    </xf>
    <xf numFmtId="9" fontId="29" fillId="3" borderId="29" xfId="1" applyNumberFormat="1" applyFont="1" applyFill="1" applyBorder="1" applyAlignment="1">
      <alignment horizontal="center" vertical="center"/>
    </xf>
    <xf numFmtId="9" fontId="29" fillId="3" borderId="0" xfId="1" applyNumberFormat="1" applyFont="1" applyFill="1" applyBorder="1" applyAlignment="1">
      <alignment horizontal="center" vertical="center"/>
    </xf>
    <xf numFmtId="166" fontId="33" fillId="16" borderId="53" xfId="0" applyNumberFormat="1" applyFont="1" applyFill="1" applyBorder="1" applyAlignment="1">
      <alignment horizontal="center" vertical="center"/>
    </xf>
    <xf numFmtId="166" fontId="33" fillId="16" borderId="62" xfId="0" applyNumberFormat="1" applyFont="1" applyFill="1" applyBorder="1" applyAlignment="1">
      <alignment horizontal="center" vertical="center"/>
    </xf>
    <xf numFmtId="166" fontId="33" fillId="16" borderId="54" xfId="0" applyNumberFormat="1" applyFont="1" applyFill="1" applyBorder="1" applyAlignment="1">
      <alignment horizontal="center" vertical="center"/>
    </xf>
    <xf numFmtId="167" fontId="33" fillId="3" borderId="1" xfId="1" applyNumberFormat="1" applyFont="1" applyFill="1" applyBorder="1" applyAlignment="1">
      <alignment horizontal="center" vertical="center"/>
    </xf>
    <xf numFmtId="166" fontId="33" fillId="3" borderId="53" xfId="0" applyNumberFormat="1" applyFont="1" applyFill="1" applyBorder="1" applyAlignment="1">
      <alignment horizontal="center" vertical="center"/>
    </xf>
    <xf numFmtId="167" fontId="33" fillId="3" borderId="54" xfId="1" applyNumberFormat="1" applyFont="1" applyFill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9" fontId="37" fillId="16" borderId="1" xfId="1" applyNumberFormat="1" applyFont="1" applyFill="1" applyBorder="1" applyAlignment="1">
      <alignment horizontal="center" vertical="center"/>
    </xf>
    <xf numFmtId="9" fontId="35" fillId="0" borderId="29" xfId="1" applyNumberFormat="1" applyFont="1" applyBorder="1" applyAlignment="1">
      <alignment horizontal="center" vertical="center"/>
    </xf>
    <xf numFmtId="9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16" borderId="55" xfId="0" applyNumberFormat="1" applyFont="1" applyFill="1" applyBorder="1" applyAlignment="1">
      <alignment horizontal="center" vertical="center"/>
    </xf>
    <xf numFmtId="166" fontId="37" fillId="16" borderId="56" xfId="0" applyNumberFormat="1" applyFont="1" applyFill="1" applyBorder="1" applyAlignment="1">
      <alignment horizontal="center" vertical="center"/>
    </xf>
    <xf numFmtId="166" fontId="35" fillId="0" borderId="10" xfId="0" applyNumberFormat="1" applyFont="1" applyBorder="1" applyAlignment="1">
      <alignment horizontal="center" vertical="center"/>
    </xf>
    <xf numFmtId="167" fontId="37" fillId="0" borderId="1" xfId="1" applyNumberFormat="1" applyFont="1" applyBorder="1" applyAlignment="1">
      <alignment horizontal="center" vertical="center"/>
    </xf>
    <xf numFmtId="167" fontId="37" fillId="3" borderId="56" xfId="1" applyNumberFormat="1" applyFont="1" applyFill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1" xfId="0" applyFont="1" applyFill="1" applyBorder="1" applyAlignment="1">
      <alignment horizontal="center" vertical="center"/>
    </xf>
    <xf numFmtId="0" fontId="41" fillId="3" borderId="6" xfId="0" applyFont="1" applyFill="1" applyBorder="1" applyAlignment="1">
      <alignment horizontal="center" vertical="center"/>
    </xf>
    <xf numFmtId="166" fontId="42" fillId="16" borderId="1" xfId="0" applyNumberFormat="1" applyFont="1" applyFill="1" applyBorder="1" applyAlignment="1">
      <alignment horizontal="center" vertical="center"/>
    </xf>
    <xf numFmtId="9" fontId="42" fillId="16" borderId="1" xfId="1" applyNumberFormat="1" applyFont="1" applyFill="1" applyBorder="1" applyAlignment="1">
      <alignment horizontal="center" vertical="center"/>
    </xf>
    <xf numFmtId="9" fontId="41" fillId="0" borderId="29" xfId="1" applyNumberFormat="1" applyFont="1" applyBorder="1" applyAlignment="1">
      <alignment horizontal="center" vertical="center"/>
    </xf>
    <xf numFmtId="9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42" fillId="16" borderId="55" xfId="0" applyNumberFormat="1" applyFont="1" applyFill="1" applyBorder="1" applyAlignment="1">
      <alignment horizontal="center" vertical="center"/>
    </xf>
    <xf numFmtId="166" fontId="42" fillId="16" borderId="56" xfId="0" applyNumberFormat="1" applyFont="1" applyFill="1" applyBorder="1" applyAlignment="1">
      <alignment horizontal="center" vertical="center"/>
    </xf>
    <xf numFmtId="166" fontId="41" fillId="0" borderId="10" xfId="0" applyNumberFormat="1" applyFont="1" applyBorder="1" applyAlignment="1">
      <alignment horizontal="center" vertical="center"/>
    </xf>
    <xf numFmtId="166" fontId="41" fillId="0" borderId="0" xfId="0" applyNumberFormat="1" applyFont="1" applyBorder="1" applyAlignment="1">
      <alignment horizontal="center" vertical="center"/>
    </xf>
    <xf numFmtId="166" fontId="42" fillId="0" borderId="1" xfId="0" applyNumberFormat="1" applyFont="1" applyBorder="1" applyAlignment="1">
      <alignment horizontal="center" vertical="center"/>
    </xf>
    <xf numFmtId="167" fontId="42" fillId="0" borderId="1" xfId="1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66" fontId="42" fillId="3" borderId="55" xfId="0" applyNumberFormat="1" applyFont="1" applyFill="1" applyBorder="1" applyAlignment="1">
      <alignment horizontal="center" vertical="center"/>
    </xf>
    <xf numFmtId="167" fontId="42" fillId="3" borderId="56" xfId="1" applyNumberFormat="1" applyFont="1" applyFill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4" fontId="41" fillId="0" borderId="0" xfId="0" applyNumberFormat="1" applyFont="1" applyBorder="1" applyAlignment="1">
      <alignment horizontal="center" vertical="center"/>
    </xf>
    <xf numFmtId="167" fontId="41" fillId="3" borderId="0" xfId="1" applyNumberFormat="1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horizontal="center" vertical="center"/>
    </xf>
    <xf numFmtId="9" fontId="33" fillId="16" borderId="1" xfId="1" applyNumberFormat="1" applyFont="1" applyFill="1" applyBorder="1" applyAlignment="1">
      <alignment horizontal="center" vertical="center"/>
    </xf>
    <xf numFmtId="9" fontId="29" fillId="0" borderId="29" xfId="1" applyNumberFormat="1" applyFont="1" applyBorder="1" applyAlignment="1">
      <alignment horizontal="center" vertical="center"/>
    </xf>
    <xf numFmtId="9" fontId="29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3" fillId="16" borderId="55" xfId="0" applyNumberFormat="1" applyFont="1" applyFill="1" applyBorder="1" applyAlignment="1">
      <alignment horizontal="center" vertical="center"/>
    </xf>
    <xf numFmtId="166" fontId="33" fillId="16" borderId="56" xfId="0" applyNumberFormat="1" applyFont="1" applyFill="1" applyBorder="1" applyAlignment="1">
      <alignment horizontal="center" vertical="center"/>
    </xf>
    <xf numFmtId="166" fontId="29" fillId="0" borderId="10" xfId="0" applyNumberFormat="1" applyFont="1" applyBorder="1" applyAlignment="1">
      <alignment horizontal="center" vertical="center"/>
    </xf>
    <xf numFmtId="166" fontId="29" fillId="0" borderId="0" xfId="0" applyNumberFormat="1" applyFont="1" applyBorder="1" applyAlignment="1">
      <alignment horizontal="center" vertical="center"/>
    </xf>
    <xf numFmtId="167" fontId="29" fillId="0" borderId="0" xfId="1" applyNumberFormat="1" applyFont="1" applyBorder="1" applyAlignment="1">
      <alignment horizontal="center" vertical="center"/>
    </xf>
    <xf numFmtId="14" fontId="29" fillId="3" borderId="0" xfId="1" applyNumberFormat="1" applyFont="1" applyFill="1" applyBorder="1" applyAlignment="1">
      <alignment horizontal="center" vertical="center"/>
    </xf>
    <xf numFmtId="167" fontId="37" fillId="0" borderId="56" xfId="1" applyNumberFormat="1" applyFont="1" applyBorder="1" applyAlignment="1">
      <alignment horizontal="center" vertical="center"/>
    </xf>
    <xf numFmtId="1" fontId="35" fillId="3" borderId="0" xfId="0" applyNumberFormat="1" applyFont="1" applyFill="1" applyBorder="1" applyAlignment="1">
      <alignment horizontal="center" vertical="center"/>
    </xf>
    <xf numFmtId="167" fontId="35" fillId="0" borderId="0" xfId="0" applyNumberFormat="1" applyFont="1" applyBorder="1" applyAlignment="1">
      <alignment horizontal="center" vertical="center"/>
    </xf>
    <xf numFmtId="165" fontId="29" fillId="0" borderId="0" xfId="2" applyFont="1" applyBorder="1" applyAlignment="1">
      <alignment horizontal="center" vertical="center"/>
    </xf>
    <xf numFmtId="167" fontId="29" fillId="3" borderId="0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9" fontId="35" fillId="3" borderId="0" xfId="1" applyNumberFormat="1" applyFont="1" applyFill="1" applyBorder="1" applyAlignment="1">
      <alignment horizontal="center" vertical="center"/>
    </xf>
    <xf numFmtId="165" fontId="35" fillId="0" borderId="0" xfId="0" applyNumberFormat="1" applyFont="1" applyBorder="1" applyAlignment="1">
      <alignment horizontal="center" vertical="center"/>
    </xf>
    <xf numFmtId="166" fontId="29" fillId="3" borderId="8" xfId="0" applyNumberFormat="1" applyFont="1" applyFill="1" applyBorder="1" applyAlignment="1">
      <alignment horizontal="center" vertical="center"/>
    </xf>
    <xf numFmtId="166" fontId="29" fillId="3" borderId="55" xfId="0" applyNumberFormat="1" applyFont="1" applyFill="1" applyBorder="1" applyAlignment="1">
      <alignment horizontal="center" vertical="center"/>
    </xf>
    <xf numFmtId="166" fontId="33" fillId="3" borderId="8" xfId="0" applyNumberFormat="1" applyFont="1" applyFill="1" applyBorder="1" applyAlignment="1">
      <alignment horizontal="center" vertical="center"/>
    </xf>
    <xf numFmtId="166" fontId="33" fillId="3" borderId="101" xfId="0" applyNumberFormat="1" applyFont="1" applyFill="1" applyBorder="1" applyAlignment="1">
      <alignment horizontal="center" vertical="center"/>
    </xf>
    <xf numFmtId="167" fontId="33" fillId="3" borderId="56" xfId="1" applyNumberFormat="1" applyFont="1" applyFill="1" applyBorder="1" applyAlignment="1">
      <alignment horizontal="center" vertical="center"/>
    </xf>
    <xf numFmtId="9" fontId="35" fillId="3" borderId="29" xfId="1" applyNumberFormat="1" applyFont="1" applyFill="1" applyBorder="1" applyAlignment="1">
      <alignment horizontal="center" vertical="center"/>
    </xf>
    <xf numFmtId="0" fontId="33" fillId="16" borderId="5" xfId="0" applyFont="1" applyFill="1" applyBorder="1" applyAlignment="1">
      <alignment horizontal="center" vertical="center"/>
    </xf>
    <xf numFmtId="166" fontId="33" fillId="16" borderId="5" xfId="0" applyNumberFormat="1" applyFont="1" applyFill="1" applyBorder="1" applyAlignment="1">
      <alignment horizontal="center" vertical="center"/>
    </xf>
    <xf numFmtId="9" fontId="33" fillId="16" borderId="5" xfId="1" applyNumberFormat="1" applyFont="1" applyFill="1" applyBorder="1" applyAlignment="1">
      <alignment horizontal="center" vertical="center"/>
    </xf>
    <xf numFmtId="166" fontId="33" fillId="3" borderId="55" xfId="0" applyNumberFormat="1" applyFont="1" applyFill="1" applyBorder="1" applyAlignment="1">
      <alignment horizontal="center" vertical="center"/>
    </xf>
    <xf numFmtId="166" fontId="37" fillId="16" borderId="57" xfId="0" applyNumberFormat="1" applyFont="1" applyFill="1" applyBorder="1" applyAlignment="1">
      <alignment horizontal="center" vertical="center"/>
    </xf>
    <xf numFmtId="166" fontId="37" fillId="16" borderId="76" xfId="0" applyNumberFormat="1" applyFont="1" applyFill="1" applyBorder="1" applyAlignment="1">
      <alignment horizontal="center" vertical="center"/>
    </xf>
    <xf numFmtId="166" fontId="37" fillId="16" borderId="58" xfId="0" applyNumberFormat="1" applyFont="1" applyFill="1" applyBorder="1" applyAlignment="1">
      <alignment horizontal="center" vertical="center"/>
    </xf>
    <xf numFmtId="166" fontId="37" fillId="3" borderId="57" xfId="0" applyNumberFormat="1" applyFont="1" applyFill="1" applyBorder="1" applyAlignment="1">
      <alignment horizontal="center" vertical="center"/>
    </xf>
    <xf numFmtId="167" fontId="37" fillId="3" borderId="58" xfId="1" applyNumberFormat="1" applyFont="1" applyFill="1" applyBorder="1" applyAlignment="1">
      <alignment horizontal="center" vertical="center"/>
    </xf>
    <xf numFmtId="171" fontId="35" fillId="0" borderId="0" xfId="1" applyNumberFormat="1" applyFont="1" applyBorder="1" applyAlignment="1">
      <alignment horizontal="center" vertical="center"/>
    </xf>
    <xf numFmtId="0" fontId="37" fillId="3" borderId="4" xfId="0" applyFont="1" applyFill="1" applyBorder="1" applyAlignment="1">
      <alignment horizontal="center" vertical="center"/>
    </xf>
    <xf numFmtId="0" fontId="35" fillId="3" borderId="4" xfId="0" applyFont="1" applyFill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9" fontId="37" fillId="3" borderId="4" xfId="1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167" fontId="42" fillId="16" borderId="1" xfId="1" applyNumberFormat="1" applyFont="1" applyFill="1" applyBorder="1" applyAlignment="1">
      <alignment horizontal="center" vertical="center"/>
    </xf>
    <xf numFmtId="167" fontId="41" fillId="3" borderId="29" xfId="1" applyNumberFormat="1" applyFont="1" applyFill="1" applyBorder="1" applyAlignment="1">
      <alignment horizontal="center" vertical="center"/>
    </xf>
    <xf numFmtId="9" fontId="41" fillId="3" borderId="0" xfId="1" applyNumberFormat="1" applyFont="1" applyFill="1" applyBorder="1" applyAlignment="1">
      <alignment horizontal="center" vertical="center"/>
    </xf>
    <xf numFmtId="166" fontId="42" fillId="3" borderId="0" xfId="0" applyNumberFormat="1" applyFont="1" applyFill="1" applyBorder="1" applyAlignment="1">
      <alignment horizontal="center" vertical="center"/>
    </xf>
    <xf numFmtId="166" fontId="42" fillId="16" borderId="48" xfId="0" applyNumberFormat="1" applyFont="1" applyFill="1" applyBorder="1" applyAlignment="1">
      <alignment horizontal="center" vertical="center"/>
    </xf>
    <xf numFmtId="166" fontId="42" fillId="16" borderId="49" xfId="0" applyNumberFormat="1" applyFont="1" applyFill="1" applyBorder="1" applyAlignment="1">
      <alignment horizontal="center" vertical="center"/>
    </xf>
    <xf numFmtId="166" fontId="42" fillId="16" borderId="52" xfId="0" applyNumberFormat="1" applyFont="1" applyFill="1" applyBorder="1" applyAlignment="1">
      <alignment horizontal="center" vertical="center"/>
    </xf>
    <xf numFmtId="166" fontId="41" fillId="3" borderId="10" xfId="0" applyNumberFormat="1" applyFont="1" applyFill="1" applyBorder="1" applyAlignment="1">
      <alignment horizontal="center" vertical="center"/>
    </xf>
    <xf numFmtId="166" fontId="41" fillId="3" borderId="0" xfId="0" applyNumberFormat="1" applyFont="1" applyFill="1" applyBorder="1" applyAlignment="1">
      <alignment horizontal="center" vertical="center"/>
    </xf>
    <xf numFmtId="166" fontId="42" fillId="3" borderId="48" xfId="0" applyNumberFormat="1" applyFont="1" applyFill="1" applyBorder="1" applyAlignment="1">
      <alignment horizontal="center" vertical="center"/>
    </xf>
    <xf numFmtId="167" fontId="42" fillId="3" borderId="52" xfId="1" applyNumberFormat="1" applyFont="1" applyFill="1" applyBorder="1" applyAlignment="1">
      <alignment horizontal="center" vertical="center"/>
    </xf>
    <xf numFmtId="0" fontId="4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166" fontId="41" fillId="3" borderId="0" xfId="0" applyNumberFormat="1" applyFont="1" applyFill="1" applyBorder="1" applyAlignment="1">
      <alignment horizontal="right" vertical="center"/>
    </xf>
    <xf numFmtId="167" fontId="42" fillId="3" borderId="0" xfId="1" applyNumberFormat="1" applyFont="1" applyFill="1" applyBorder="1" applyAlignment="1">
      <alignment horizontal="center" vertical="center"/>
    </xf>
    <xf numFmtId="0" fontId="37" fillId="14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/>
    </xf>
    <xf numFmtId="9" fontId="37" fillId="14" borderId="1" xfId="1" applyNumberFormat="1" applyFont="1" applyFill="1" applyBorder="1" applyAlignment="1">
      <alignment horizontal="center" vertical="center"/>
    </xf>
    <xf numFmtId="9" fontId="35" fillId="3" borderId="38" xfId="1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7" fontId="37" fillId="3" borderId="3" xfId="1" applyNumberFormat="1" applyFont="1" applyFill="1" applyBorder="1" applyAlignment="1">
      <alignment horizontal="center" vertical="center"/>
    </xf>
    <xf numFmtId="0" fontId="33" fillId="14" borderId="7" xfId="0" applyFont="1" applyFill="1" applyBorder="1" applyAlignment="1">
      <alignment horizontal="center" vertical="center"/>
    </xf>
    <xf numFmtId="166" fontId="33" fillId="14" borderId="7" xfId="0" applyNumberFormat="1" applyFont="1" applyFill="1" applyBorder="1" applyAlignment="1">
      <alignment horizontal="center" vertical="center"/>
    </xf>
    <xf numFmtId="9" fontId="33" fillId="14" borderId="7" xfId="1" applyNumberFormat="1" applyFont="1" applyFill="1" applyBorder="1" applyAlignment="1">
      <alignment horizontal="center" vertical="center"/>
    </xf>
    <xf numFmtId="166" fontId="33" fillId="14" borderId="53" xfId="0" applyNumberFormat="1" applyFont="1" applyFill="1" applyBorder="1" applyAlignment="1">
      <alignment horizontal="center" vertical="center"/>
    </xf>
    <xf numFmtId="166" fontId="33" fillId="14" borderId="64" xfId="0" applyNumberFormat="1" applyFont="1" applyFill="1" applyBorder="1" applyAlignment="1">
      <alignment horizontal="center" vertical="center"/>
    </xf>
    <xf numFmtId="166" fontId="33" fillId="14" borderId="107" xfId="0" applyNumberFormat="1" applyFont="1" applyFill="1" applyBorder="1" applyAlignment="1">
      <alignment horizontal="center" vertical="center"/>
    </xf>
    <xf numFmtId="166" fontId="33" fillId="0" borderId="53" xfId="0" applyNumberFormat="1" applyFont="1" applyBorder="1" applyAlignment="1">
      <alignment horizontal="center" vertical="center"/>
    </xf>
    <xf numFmtId="167" fontId="33" fillId="0" borderId="54" xfId="1" applyNumberFormat="1" applyFont="1" applyBorder="1" applyAlignment="1">
      <alignment horizontal="center" vertical="center"/>
    </xf>
    <xf numFmtId="166" fontId="29" fillId="0" borderId="0" xfId="1" applyNumberFormat="1" applyFont="1" applyBorder="1" applyAlignment="1">
      <alignment horizontal="center" vertical="center"/>
    </xf>
    <xf numFmtId="167" fontId="29" fillId="0" borderId="80" xfId="1" applyNumberFormat="1" applyFont="1" applyBorder="1" applyAlignment="1">
      <alignment horizontal="center" vertical="center"/>
    </xf>
    <xf numFmtId="167" fontId="29" fillId="0" borderId="84" xfId="1" applyNumberFormat="1" applyFont="1" applyBorder="1" applyAlignment="1">
      <alignment horizontal="center" vertical="center"/>
    </xf>
    <xf numFmtId="0" fontId="29" fillId="0" borderId="84" xfId="0" applyFont="1" applyBorder="1" applyAlignment="1">
      <alignment horizontal="center" vertical="center"/>
    </xf>
    <xf numFmtId="0" fontId="29" fillId="0" borderId="81" xfId="0" applyFont="1" applyBorder="1" applyAlignment="1">
      <alignment horizontal="center" vertical="center"/>
    </xf>
    <xf numFmtId="166" fontId="37" fillId="14" borderId="55" xfId="0" applyNumberFormat="1" applyFont="1" applyFill="1" applyBorder="1" applyAlignment="1">
      <alignment horizontal="center" vertical="center"/>
    </xf>
    <xf numFmtId="166" fontId="37" fillId="14" borderId="9" xfId="0" applyNumberFormat="1" applyFont="1" applyFill="1" applyBorder="1" applyAlignment="1">
      <alignment horizontal="center" vertical="center"/>
    </xf>
    <xf numFmtId="166" fontId="37" fillId="14" borderId="108" xfId="0" applyNumberFormat="1" applyFont="1" applyFill="1" applyBorder="1" applyAlignment="1">
      <alignment horizontal="center" vertical="center"/>
    </xf>
    <xf numFmtId="14" fontId="37" fillId="0" borderId="101" xfId="0" applyNumberFormat="1" applyFont="1" applyBorder="1" applyAlignment="1">
      <alignment horizontal="center" vertical="center"/>
    </xf>
    <xf numFmtId="0" fontId="35" fillId="3" borderId="117" xfId="0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center" vertical="center"/>
    </xf>
    <xf numFmtId="9" fontId="33" fillId="14" borderId="1" xfId="1" applyNumberFormat="1" applyFont="1" applyFill="1" applyBorder="1" applyAlignment="1">
      <alignment horizontal="center" vertical="center"/>
    </xf>
    <xf numFmtId="166" fontId="33" fillId="14" borderId="55" xfId="0" applyNumberFormat="1" applyFont="1" applyFill="1" applyBorder="1" applyAlignment="1">
      <alignment horizontal="center" vertical="center"/>
    </xf>
    <xf numFmtId="166" fontId="33" fillId="14" borderId="9" xfId="0" applyNumberFormat="1" applyFont="1" applyFill="1" applyBorder="1" applyAlignment="1">
      <alignment horizontal="center" vertical="center"/>
    </xf>
    <xf numFmtId="166" fontId="33" fillId="14" borderId="108" xfId="0" applyNumberFormat="1" applyFont="1" applyFill="1" applyBorder="1" applyAlignment="1">
      <alignment horizontal="center" vertical="center"/>
    </xf>
    <xf numFmtId="14" fontId="33" fillId="0" borderId="101" xfId="0" applyNumberFormat="1" applyFont="1" applyBorder="1" applyAlignment="1">
      <alignment horizontal="center" vertical="center"/>
    </xf>
    <xf numFmtId="167" fontId="33" fillId="0" borderId="0" xfId="1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29" fillId="0" borderId="117" xfId="0" applyFont="1" applyBorder="1" applyAlignment="1">
      <alignment horizontal="center" vertical="center"/>
    </xf>
    <xf numFmtId="0" fontId="37" fillId="0" borderId="101" xfId="0" applyFont="1" applyBorder="1" applyAlignment="1">
      <alignment horizontal="center" vertical="center"/>
    </xf>
    <xf numFmtId="167" fontId="37" fillId="0" borderId="0" xfId="1" applyNumberFormat="1" applyFont="1" applyBorder="1" applyAlignment="1">
      <alignment horizontal="center" vertical="center"/>
    </xf>
    <xf numFmtId="0" fontId="35" fillId="0" borderId="117" xfId="0" applyFont="1" applyBorder="1" applyAlignment="1">
      <alignment horizontal="center" vertical="center"/>
    </xf>
    <xf numFmtId="0" fontId="42" fillId="14" borderId="7" xfId="0" applyFont="1" applyFill="1" applyBorder="1" applyAlignment="1">
      <alignment horizontal="center" vertical="center"/>
    </xf>
    <xf numFmtId="0" fontId="42" fillId="14" borderId="1" xfId="0" applyFont="1" applyFill="1" applyBorder="1" applyAlignment="1">
      <alignment horizontal="center" vertical="center"/>
    </xf>
    <xf numFmtId="166" fontId="42" fillId="14" borderId="1" xfId="0" applyNumberFormat="1" applyFont="1" applyFill="1" applyBorder="1" applyAlignment="1">
      <alignment horizontal="center" vertical="center"/>
    </xf>
    <xf numFmtId="9" fontId="42" fillId="14" borderId="1" xfId="1" applyNumberFormat="1" applyFont="1" applyFill="1" applyBorder="1" applyAlignment="1">
      <alignment horizontal="center" vertical="center"/>
    </xf>
    <xf numFmtId="9" fontId="41" fillId="3" borderId="29" xfId="1" applyNumberFormat="1" applyFont="1" applyFill="1" applyBorder="1" applyAlignment="1">
      <alignment horizontal="center" vertical="center"/>
    </xf>
    <xf numFmtId="166" fontId="42" fillId="14" borderId="55" xfId="0" applyNumberFormat="1" applyFont="1" applyFill="1" applyBorder="1" applyAlignment="1">
      <alignment horizontal="center" vertical="center"/>
    </xf>
    <xf numFmtId="166" fontId="42" fillId="14" borderId="9" xfId="0" applyNumberFormat="1" applyFont="1" applyFill="1" applyBorder="1" applyAlignment="1">
      <alignment horizontal="center" vertical="center"/>
    </xf>
    <xf numFmtId="166" fontId="42" fillId="14" borderId="108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7" fontId="42" fillId="3" borderId="1" xfId="1" applyNumberFormat="1" applyFont="1" applyFill="1" applyBorder="1" applyAlignment="1">
      <alignment horizontal="center" vertical="center"/>
    </xf>
    <xf numFmtId="14" fontId="42" fillId="0" borderId="101" xfId="0" applyNumberFormat="1" applyFont="1" applyBorder="1" applyAlignment="1">
      <alignment horizontal="center" vertical="center"/>
    </xf>
    <xf numFmtId="167" fontId="42" fillId="0" borderId="0" xfId="1" applyNumberFormat="1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1" fillId="0" borderId="117" xfId="0" applyFont="1" applyBorder="1" applyAlignment="1">
      <alignment horizontal="center" vertical="center"/>
    </xf>
    <xf numFmtId="0" fontId="37" fillId="3" borderId="101" xfId="0" applyFont="1" applyFill="1" applyBorder="1" applyAlignment="1">
      <alignment horizontal="center" vertical="center"/>
    </xf>
    <xf numFmtId="2" fontId="35" fillId="0" borderId="0" xfId="1" applyNumberFormat="1" applyFont="1" applyBorder="1" applyAlignment="1">
      <alignment horizontal="center" vertical="center"/>
    </xf>
    <xf numFmtId="14" fontId="37" fillId="3" borderId="101" xfId="1" applyNumberFormat="1" applyFont="1" applyFill="1" applyBorder="1" applyAlignment="1">
      <alignment horizontal="center" vertical="center"/>
    </xf>
    <xf numFmtId="166" fontId="37" fillId="14" borderId="106" xfId="0" applyNumberFormat="1" applyFont="1" applyFill="1" applyBorder="1" applyAlignment="1">
      <alignment horizontal="center" vertical="center"/>
    </xf>
    <xf numFmtId="166" fontId="37" fillId="14" borderId="44" xfId="0" applyNumberFormat="1" applyFont="1" applyFill="1" applyBorder="1" applyAlignment="1">
      <alignment horizontal="center" vertical="center"/>
    </xf>
    <xf numFmtId="166" fontId="37" fillId="14" borderId="113" xfId="0" applyNumberFormat="1" applyFont="1" applyFill="1" applyBorder="1" applyAlignment="1">
      <alignment horizontal="center" vertical="center"/>
    </xf>
    <xf numFmtId="166" fontId="37" fillId="0" borderId="106" xfId="0" applyNumberFormat="1" applyFont="1" applyBorder="1" applyAlignment="1">
      <alignment horizontal="center" vertical="center"/>
    </xf>
    <xf numFmtId="167" fontId="37" fillId="0" borderId="67" xfId="1" applyNumberFormat="1" applyFont="1" applyBorder="1" applyAlignment="1">
      <alignment horizontal="center" vertical="center"/>
    </xf>
    <xf numFmtId="166" fontId="33" fillId="0" borderId="57" xfId="0" applyNumberFormat="1" applyFont="1" applyBorder="1" applyAlignment="1">
      <alignment horizontal="center" vertical="center"/>
    </xf>
    <xf numFmtId="167" fontId="33" fillId="0" borderId="58" xfId="1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9" fontId="33" fillId="3" borderId="4" xfId="1" applyNumberFormat="1" applyFont="1" applyFill="1" applyBorder="1" applyAlignment="1">
      <alignment horizontal="center" vertical="center"/>
    </xf>
    <xf numFmtId="166" fontId="33" fillId="0" borderId="4" xfId="0" applyNumberFormat="1" applyFont="1" applyBorder="1" applyAlignment="1">
      <alignment horizontal="center" vertical="center"/>
    </xf>
    <xf numFmtId="166" fontId="33" fillId="0" borderId="85" xfId="0" applyNumberFormat="1" applyFont="1" applyBorder="1" applyAlignment="1">
      <alignment horizontal="center" vertical="center"/>
    </xf>
    <xf numFmtId="167" fontId="33" fillId="0" borderId="85" xfId="1" applyNumberFormat="1" applyFont="1" applyBorder="1" applyAlignment="1">
      <alignment horizontal="center" vertical="center"/>
    </xf>
    <xf numFmtId="167" fontId="33" fillId="0" borderId="101" xfId="1" applyNumberFormat="1" applyFont="1" applyBorder="1" applyAlignment="1">
      <alignment horizontal="center" vertical="center"/>
    </xf>
    <xf numFmtId="172" fontId="33" fillId="0" borderId="0" xfId="1" applyNumberFormat="1" applyFont="1" applyBorder="1" applyAlignment="1">
      <alignment horizontal="center" vertical="center"/>
    </xf>
    <xf numFmtId="166" fontId="37" fillId="14" borderId="48" xfId="0" applyNumberFormat="1" applyFont="1" applyFill="1" applyBorder="1" applyAlignment="1">
      <alignment horizontal="center" vertical="center"/>
    </xf>
    <xf numFmtId="166" fontId="37" fillId="14" borderId="51" xfId="0" applyNumberFormat="1" applyFont="1" applyFill="1" applyBorder="1" applyAlignment="1">
      <alignment horizontal="center" vertical="center"/>
    </xf>
    <xf numFmtId="166" fontId="37" fillId="14" borderId="116" xfId="0" applyNumberFormat="1" applyFont="1" applyFill="1" applyBorder="1" applyAlignment="1">
      <alignment horizontal="center" vertical="center"/>
    </xf>
    <xf numFmtId="166" fontId="37" fillId="0" borderId="48" xfId="0" applyNumberFormat="1" applyFont="1" applyBorder="1" applyAlignment="1">
      <alignment horizontal="center" vertical="center"/>
    </xf>
    <xf numFmtId="167" fontId="37" fillId="0" borderId="52" xfId="1" applyNumberFormat="1" applyFont="1" applyBorder="1" applyAlignment="1">
      <alignment horizontal="center" vertical="center"/>
    </xf>
    <xf numFmtId="167" fontId="37" fillId="0" borderId="101" xfId="1" applyNumberFormat="1" applyFont="1" applyBorder="1" applyAlignment="1">
      <alignment horizontal="center" vertical="center"/>
    </xf>
    <xf numFmtId="167" fontId="37" fillId="0" borderId="0" xfId="0" applyNumberFormat="1" applyFont="1" applyBorder="1" applyAlignment="1">
      <alignment horizontal="center" vertical="center"/>
    </xf>
    <xf numFmtId="171" fontId="33" fillId="0" borderId="101" xfId="1" applyNumberFormat="1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67" fontId="29" fillId="0" borderId="29" xfId="1" applyNumberFormat="1" applyFont="1" applyBorder="1" applyAlignment="1">
      <alignment horizontal="center" vertical="center"/>
    </xf>
    <xf numFmtId="166" fontId="33" fillId="0" borderId="48" xfId="0" applyNumberFormat="1" applyFont="1" applyBorder="1" applyAlignment="1">
      <alignment horizontal="center" vertical="center"/>
    </xf>
    <xf numFmtId="166" fontId="33" fillId="0" borderId="51" xfId="0" applyNumberFormat="1" applyFont="1" applyBorder="1" applyAlignment="1">
      <alignment horizontal="center" vertical="center"/>
    </xf>
    <xf numFmtId="166" fontId="33" fillId="0" borderId="116" xfId="0" applyNumberFormat="1" applyFont="1" applyBorder="1" applyAlignment="1">
      <alignment horizontal="center" vertical="center"/>
    </xf>
    <xf numFmtId="166" fontId="33" fillId="0" borderId="9" xfId="0" applyNumberFormat="1" applyFont="1" applyBorder="1" applyAlignment="1">
      <alignment horizontal="center" vertical="center"/>
    </xf>
    <xf numFmtId="167" fontId="33" fillId="0" borderId="52" xfId="1" applyNumberFormat="1" applyFont="1" applyBorder="1" applyAlignment="1">
      <alignment horizontal="center" vertical="center"/>
    </xf>
    <xf numFmtId="9" fontId="33" fillId="0" borderId="0" xfId="1" applyFont="1" applyBorder="1" applyAlignment="1">
      <alignment horizontal="center" vertical="center"/>
    </xf>
    <xf numFmtId="9" fontId="33" fillId="0" borderId="0" xfId="1" applyNumberFormat="1" applyFont="1" applyBorder="1" applyAlignment="1">
      <alignment horizontal="center" vertical="center"/>
    </xf>
    <xf numFmtId="0" fontId="33" fillId="0" borderId="101" xfId="0" applyFont="1" applyBorder="1" applyAlignment="1">
      <alignment horizontal="center" vertical="center"/>
    </xf>
    <xf numFmtId="0" fontId="37" fillId="7" borderId="48" xfId="0" applyFont="1" applyFill="1" applyBorder="1" applyAlignment="1">
      <alignment horizontal="center" vertical="center"/>
    </xf>
    <xf numFmtId="0" fontId="37" fillId="7" borderId="111" xfId="0" applyFont="1" applyFill="1" applyBorder="1" applyAlignment="1">
      <alignment horizontal="center" vertical="center"/>
    </xf>
    <xf numFmtId="0" fontId="37" fillId="3" borderId="99" xfId="0" applyFont="1" applyFill="1" applyBorder="1" applyAlignment="1">
      <alignment horizontal="center" vertical="center"/>
    </xf>
    <xf numFmtId="166" fontId="37" fillId="7" borderId="51" xfId="0" applyNumberFormat="1" applyFont="1" applyFill="1" applyBorder="1" applyAlignment="1">
      <alignment horizontal="center" vertical="center"/>
    </xf>
    <xf numFmtId="166" fontId="37" fillId="7" borderId="49" xfId="0" applyNumberFormat="1" applyFont="1" applyFill="1" applyBorder="1" applyAlignment="1">
      <alignment horizontal="center" vertical="center"/>
    </xf>
    <xf numFmtId="167" fontId="37" fillId="7" borderId="52" xfId="1" applyNumberFormat="1" applyFont="1" applyFill="1" applyBorder="1" applyAlignment="1">
      <alignment horizontal="center" vertical="center"/>
    </xf>
    <xf numFmtId="166" fontId="35" fillId="3" borderId="0" xfId="1" applyNumberFormat="1" applyFont="1" applyFill="1" applyBorder="1" applyAlignment="1">
      <alignment horizontal="center" vertical="center"/>
    </xf>
    <xf numFmtId="166" fontId="37" fillId="7" borderId="48" xfId="0" applyNumberFormat="1" applyFont="1" applyFill="1" applyBorder="1" applyAlignment="1">
      <alignment horizontal="center" vertical="center"/>
    </xf>
    <xf numFmtId="166" fontId="37" fillId="7" borderId="52" xfId="0" applyNumberFormat="1" applyFont="1" applyFill="1" applyBorder="1" applyAlignment="1">
      <alignment horizontal="center" vertical="center"/>
    </xf>
    <xf numFmtId="166" fontId="37" fillId="7" borderId="48" xfId="1" applyNumberFormat="1" applyFont="1" applyFill="1" applyBorder="1" applyAlignment="1">
      <alignment horizontal="center" vertical="center"/>
    </xf>
    <xf numFmtId="9" fontId="37" fillId="0" borderId="0" xfId="1" applyNumberFormat="1" applyFont="1" applyBorder="1" applyAlignment="1">
      <alignment horizontal="center" vertical="center"/>
    </xf>
    <xf numFmtId="167" fontId="43" fillId="0" borderId="101" xfId="1" applyNumberFormat="1" applyFont="1" applyBorder="1" applyAlignment="1">
      <alignment horizontal="center" vertical="center"/>
    </xf>
    <xf numFmtId="9" fontId="43" fillId="0" borderId="0" xfId="1" applyNumberFormat="1" applyFont="1" applyBorder="1" applyAlignment="1">
      <alignment horizontal="center" vertical="center"/>
    </xf>
    <xf numFmtId="167" fontId="43" fillId="0" borderId="0" xfId="1" applyNumberFormat="1" applyFont="1" applyBorder="1" applyAlignment="1">
      <alignment horizontal="center" vertical="center"/>
    </xf>
    <xf numFmtId="166" fontId="37" fillId="7" borderId="110" xfId="0" applyNumberFormat="1" applyFont="1" applyFill="1" applyBorder="1" applyAlignment="1">
      <alignment horizontal="center" vertical="center"/>
    </xf>
    <xf numFmtId="166" fontId="37" fillId="7" borderId="61" xfId="0" applyNumberFormat="1" applyFont="1" applyFill="1" applyBorder="1" applyAlignment="1">
      <alignment horizontal="center" vertical="center"/>
    </xf>
    <xf numFmtId="166" fontId="37" fillId="7" borderId="62" xfId="0" applyNumberFormat="1" applyFont="1" applyFill="1" applyBorder="1" applyAlignment="1">
      <alignment horizontal="center" vertical="center"/>
    </xf>
    <xf numFmtId="9" fontId="37" fillId="7" borderId="54" xfId="1" applyNumberFormat="1" applyFont="1" applyFill="1" applyBorder="1" applyAlignment="1">
      <alignment horizontal="center" vertical="center"/>
    </xf>
    <xf numFmtId="166" fontId="37" fillId="7" borderId="53" xfId="0" applyNumberFormat="1" applyFont="1" applyFill="1" applyBorder="1" applyAlignment="1">
      <alignment horizontal="center" vertical="center"/>
    </xf>
    <xf numFmtId="166" fontId="37" fillId="7" borderId="64" xfId="0" applyNumberFormat="1" applyFont="1" applyFill="1" applyBorder="1" applyAlignment="1">
      <alignment horizontal="center" vertical="center"/>
    </xf>
    <xf numFmtId="166" fontId="37" fillId="7" borderId="54" xfId="0" applyNumberFormat="1" applyFont="1" applyFill="1" applyBorder="1" applyAlignment="1">
      <alignment horizontal="center" vertical="center"/>
    </xf>
    <xf numFmtId="166" fontId="37" fillId="7" borderId="107" xfId="0" applyNumberFormat="1" applyFont="1" applyFill="1" applyBorder="1" applyAlignment="1">
      <alignment horizontal="center" vertical="center"/>
    </xf>
    <xf numFmtId="9" fontId="37" fillId="7" borderId="54" xfId="1" applyFont="1" applyFill="1" applyBorder="1" applyAlignment="1">
      <alignment horizontal="center" vertical="center"/>
    </xf>
    <xf numFmtId="167" fontId="37" fillId="7" borderId="54" xfId="1" applyNumberFormat="1" applyFont="1" applyFill="1" applyBorder="1" applyAlignment="1">
      <alignment horizontal="center" vertical="center"/>
    </xf>
    <xf numFmtId="0" fontId="33" fillId="3" borderId="99" xfId="0" applyFont="1" applyFill="1" applyBorder="1" applyAlignment="1">
      <alignment horizontal="center" vertical="center"/>
    </xf>
    <xf numFmtId="166" fontId="33" fillId="7" borderId="9" xfId="0" applyNumberFormat="1" applyFont="1" applyFill="1" applyBorder="1" applyAlignment="1">
      <alignment horizontal="center" vertical="center"/>
    </xf>
    <xf numFmtId="166" fontId="33" fillId="7" borderId="1" xfId="0" applyNumberFormat="1" applyFont="1" applyFill="1" applyBorder="1" applyAlignment="1">
      <alignment horizontal="center" vertical="center"/>
    </xf>
    <xf numFmtId="9" fontId="33" fillId="7" borderId="56" xfId="1" applyNumberFormat="1" applyFont="1" applyFill="1" applyBorder="1" applyAlignment="1">
      <alignment horizontal="center" vertical="center"/>
    </xf>
    <xf numFmtId="166" fontId="33" fillId="7" borderId="55" xfId="0" applyNumberFormat="1" applyFont="1" applyFill="1" applyBorder="1" applyAlignment="1">
      <alignment horizontal="center" vertical="center"/>
    </xf>
    <xf numFmtId="166" fontId="33" fillId="7" borderId="56" xfId="0" applyNumberFormat="1" applyFont="1" applyFill="1" applyBorder="1" applyAlignment="1">
      <alignment horizontal="center" vertical="center"/>
    </xf>
    <xf numFmtId="166" fontId="33" fillId="7" borderId="108" xfId="0" applyNumberFormat="1" applyFont="1" applyFill="1" applyBorder="1" applyAlignment="1">
      <alignment horizontal="center" vertical="center"/>
    </xf>
    <xf numFmtId="9" fontId="33" fillId="7" borderId="56" xfId="1" applyFont="1" applyFill="1" applyBorder="1" applyAlignment="1">
      <alignment horizontal="center" vertical="center"/>
    </xf>
    <xf numFmtId="167" fontId="33" fillId="7" borderId="56" xfId="1" applyNumberFormat="1" applyFont="1" applyFill="1" applyBorder="1" applyAlignment="1">
      <alignment horizontal="center" vertical="center"/>
    </xf>
    <xf numFmtId="167" fontId="44" fillId="0" borderId="0" xfId="1" applyNumberFormat="1" applyFont="1" applyBorder="1" applyAlignment="1">
      <alignment horizontal="center" vertical="center"/>
    </xf>
    <xf numFmtId="9" fontId="44" fillId="0" borderId="0" xfId="1" applyNumberFormat="1" applyFont="1" applyBorder="1" applyAlignment="1">
      <alignment horizontal="center" vertical="center"/>
    </xf>
    <xf numFmtId="167" fontId="44" fillId="0" borderId="0" xfId="0" applyNumberFormat="1" applyFont="1" applyBorder="1" applyAlignment="1">
      <alignment horizontal="center" vertical="center"/>
    </xf>
    <xf numFmtId="0" fontId="37" fillId="7" borderId="55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/>
    </xf>
    <xf numFmtId="166" fontId="37" fillId="7" borderId="9" xfId="0" applyNumberFormat="1" applyFont="1" applyFill="1" applyBorder="1" applyAlignment="1">
      <alignment horizontal="center" vertical="center"/>
    </xf>
    <xf numFmtId="166" fontId="37" fillId="7" borderId="1" xfId="0" applyNumberFormat="1" applyFont="1" applyFill="1" applyBorder="1" applyAlignment="1">
      <alignment horizontal="center" vertical="center"/>
    </xf>
    <xf numFmtId="9" fontId="37" fillId="7" borderId="56" xfId="1" applyNumberFormat="1" applyFont="1" applyFill="1" applyBorder="1" applyAlignment="1">
      <alignment horizontal="center" vertical="center"/>
    </xf>
    <xf numFmtId="166" fontId="37" fillId="7" borderId="55" xfId="0" applyNumberFormat="1" applyFont="1" applyFill="1" applyBorder="1" applyAlignment="1">
      <alignment horizontal="center" vertical="center"/>
    </xf>
    <xf numFmtId="166" fontId="37" fillId="7" borderId="56" xfId="0" applyNumberFormat="1" applyFont="1" applyFill="1" applyBorder="1" applyAlignment="1">
      <alignment horizontal="center" vertical="center"/>
    </xf>
    <xf numFmtId="166" fontId="37" fillId="7" borderId="106" xfId="0" applyNumberFormat="1" applyFont="1" applyFill="1" applyBorder="1" applyAlignment="1">
      <alignment horizontal="center" vertical="center"/>
    </xf>
    <xf numFmtId="9" fontId="37" fillId="7" borderId="67" xfId="1" applyFont="1" applyFill="1" applyBorder="1" applyAlignment="1">
      <alignment horizontal="center" vertical="center"/>
    </xf>
    <xf numFmtId="167" fontId="37" fillId="7" borderId="67" xfId="1" applyNumberFormat="1" applyFont="1" applyFill="1" applyBorder="1" applyAlignment="1">
      <alignment horizontal="center" vertical="center"/>
    </xf>
    <xf numFmtId="0" fontId="33" fillId="7" borderId="55" xfId="0" applyFont="1" applyFill="1" applyBorder="1" applyAlignment="1">
      <alignment horizontal="center" vertical="center"/>
    </xf>
    <xf numFmtId="0" fontId="33" fillId="7" borderId="56" xfId="0" applyFont="1" applyFill="1" applyBorder="1" applyAlignment="1">
      <alignment horizontal="center" vertical="center"/>
    </xf>
    <xf numFmtId="166" fontId="33" fillId="7" borderId="106" xfId="0" applyNumberFormat="1" applyFont="1" applyFill="1" applyBorder="1" applyAlignment="1">
      <alignment horizontal="center" vertical="center"/>
    </xf>
    <xf numFmtId="9" fontId="33" fillId="7" borderId="67" xfId="1" applyFont="1" applyFill="1" applyBorder="1" applyAlignment="1">
      <alignment horizontal="center" vertical="center"/>
    </xf>
    <xf numFmtId="167" fontId="33" fillId="7" borderId="67" xfId="1" applyNumberFormat="1" applyFont="1" applyFill="1" applyBorder="1" applyAlignment="1">
      <alignment horizontal="center" vertical="center"/>
    </xf>
    <xf numFmtId="0" fontId="33" fillId="7" borderId="67" xfId="0" applyFont="1" applyFill="1" applyBorder="1" applyAlignment="1">
      <alignment horizontal="center" vertical="center"/>
    </xf>
    <xf numFmtId="166" fontId="33" fillId="7" borderId="44" xfId="0" applyNumberFormat="1" applyFont="1" applyFill="1" applyBorder="1" applyAlignment="1">
      <alignment horizontal="center" vertical="center"/>
    </xf>
    <xf numFmtId="166" fontId="33" fillId="7" borderId="5" xfId="0" applyNumberFormat="1" applyFont="1" applyFill="1" applyBorder="1" applyAlignment="1">
      <alignment horizontal="center" vertical="center"/>
    </xf>
    <xf numFmtId="9" fontId="33" fillId="7" borderId="67" xfId="1" applyNumberFormat="1" applyFont="1" applyFill="1" applyBorder="1" applyAlignment="1">
      <alignment horizontal="center" vertical="center"/>
    </xf>
    <xf numFmtId="167" fontId="29" fillId="0" borderId="85" xfId="1" applyNumberFormat="1" applyFont="1" applyBorder="1" applyAlignment="1">
      <alignment horizontal="center" vertical="center"/>
    </xf>
    <xf numFmtId="0" fontId="29" fillId="0" borderId="85" xfId="0" applyFont="1" applyBorder="1" applyAlignment="1">
      <alignment horizontal="center" vertical="center"/>
    </xf>
    <xf numFmtId="0" fontId="29" fillId="0" borderId="83" xfId="0" applyFont="1" applyBorder="1" applyAlignment="1">
      <alignment horizontal="center" vertical="center"/>
    </xf>
    <xf numFmtId="0" fontId="37" fillId="7" borderId="106" xfId="0" applyFont="1" applyFill="1" applyBorder="1" applyAlignment="1">
      <alignment horizontal="center" vertical="center"/>
    </xf>
    <xf numFmtId="0" fontId="37" fillId="7" borderId="67" xfId="0" applyFont="1" applyFill="1" applyBorder="1" applyAlignment="1">
      <alignment horizontal="center" vertical="center"/>
    </xf>
    <xf numFmtId="0" fontId="37" fillId="3" borderId="128" xfId="0" applyFont="1" applyFill="1" applyBorder="1" applyAlignment="1">
      <alignment horizontal="center" vertical="center"/>
    </xf>
    <xf numFmtId="166" fontId="37" fillId="7" borderId="44" xfId="0" applyNumberFormat="1" applyFont="1" applyFill="1" applyBorder="1" applyAlignment="1">
      <alignment horizontal="center" vertical="center"/>
    </xf>
    <xf numFmtId="166" fontId="37" fillId="7" borderId="5" xfId="0" applyNumberFormat="1" applyFont="1" applyFill="1" applyBorder="1" applyAlignment="1">
      <alignment horizontal="center" vertical="center"/>
    </xf>
    <xf numFmtId="9" fontId="37" fillId="7" borderId="67" xfId="1" applyNumberFormat="1" applyFont="1" applyFill="1" applyBorder="1" applyAlignment="1">
      <alignment horizontal="center" vertical="center"/>
    </xf>
    <xf numFmtId="166" fontId="37" fillId="7" borderId="67" xfId="0" applyNumberFormat="1" applyFont="1" applyFill="1" applyBorder="1" applyAlignment="1">
      <alignment horizontal="center" vertical="center"/>
    </xf>
    <xf numFmtId="166" fontId="37" fillId="7" borderId="113" xfId="0" applyNumberFormat="1" applyFont="1" applyFill="1" applyBorder="1" applyAlignment="1">
      <alignment horizontal="center" vertical="center"/>
    </xf>
    <xf numFmtId="167" fontId="35" fillId="0" borderId="84" xfId="1" applyNumberFormat="1" applyFont="1" applyBorder="1" applyAlignment="1">
      <alignment horizontal="center" vertical="center"/>
    </xf>
    <xf numFmtId="0" fontId="35" fillId="0" borderId="84" xfId="0" applyFont="1" applyBorder="1" applyAlignment="1">
      <alignment horizontal="center" vertical="center"/>
    </xf>
    <xf numFmtId="0" fontId="42" fillId="7" borderId="48" xfId="0" applyFont="1" applyFill="1" applyBorder="1" applyAlignment="1">
      <alignment horizontal="center" vertical="center"/>
    </xf>
    <xf numFmtId="0" fontId="42" fillId="7" borderId="52" xfId="0" applyFont="1" applyFill="1" applyBorder="1" applyAlignment="1">
      <alignment horizontal="center" vertical="center"/>
    </xf>
    <xf numFmtId="0" fontId="42" fillId="3" borderId="99" xfId="0" applyFont="1" applyFill="1" applyBorder="1" applyAlignment="1">
      <alignment horizontal="center" vertical="center"/>
    </xf>
    <xf numFmtId="166" fontId="42" fillId="7" borderId="48" xfId="0" applyNumberFormat="1" applyFont="1" applyFill="1" applyBorder="1" applyAlignment="1">
      <alignment horizontal="center" vertical="center"/>
    </xf>
    <xf numFmtId="166" fontId="42" fillId="7" borderId="49" xfId="0" applyNumberFormat="1" applyFont="1" applyFill="1" applyBorder="1" applyAlignment="1">
      <alignment horizontal="center" vertical="center"/>
    </xf>
    <xf numFmtId="9" fontId="42" fillId="7" borderId="52" xfId="1" applyNumberFormat="1" applyFont="1" applyFill="1" applyBorder="1" applyAlignment="1">
      <alignment horizontal="center" vertical="center"/>
    </xf>
    <xf numFmtId="166" fontId="42" fillId="7" borderId="51" xfId="0" applyNumberFormat="1" applyFont="1" applyFill="1" applyBorder="1" applyAlignment="1">
      <alignment horizontal="center" vertical="center"/>
    </xf>
    <xf numFmtId="166" fontId="42" fillId="7" borderId="52" xfId="0" applyNumberFormat="1" applyFont="1" applyFill="1" applyBorder="1" applyAlignment="1">
      <alignment horizontal="center" vertical="center"/>
    </xf>
    <xf numFmtId="166" fontId="42" fillId="7" borderId="116" xfId="0" applyNumberFormat="1" applyFont="1" applyFill="1" applyBorder="1" applyAlignment="1">
      <alignment horizontal="center" vertical="center"/>
    </xf>
    <xf numFmtId="166" fontId="41" fillId="7" borderId="48" xfId="0" applyNumberFormat="1" applyFont="1" applyFill="1" applyBorder="1" applyAlignment="1">
      <alignment horizontal="center" vertical="center"/>
    </xf>
    <xf numFmtId="166" fontId="41" fillId="7" borderId="52" xfId="0" applyNumberFormat="1" applyFont="1" applyFill="1" applyBorder="1" applyAlignment="1">
      <alignment horizontal="center" vertical="center"/>
    </xf>
    <xf numFmtId="166" fontId="41" fillId="7" borderId="51" xfId="0" applyNumberFormat="1" applyFont="1" applyFill="1" applyBorder="1" applyAlignment="1">
      <alignment horizontal="center" vertical="center"/>
    </xf>
    <xf numFmtId="166" fontId="42" fillId="7" borderId="52" xfId="1" applyNumberFormat="1" applyFont="1" applyFill="1" applyBorder="1" applyAlignment="1">
      <alignment horizontal="center" vertical="center"/>
    </xf>
    <xf numFmtId="167" fontId="42" fillId="7" borderId="52" xfId="1" applyNumberFormat="1" applyFont="1" applyFill="1" applyBorder="1" applyAlignment="1">
      <alignment horizontal="center" vertical="center"/>
    </xf>
    <xf numFmtId="9" fontId="37" fillId="3" borderId="0" xfId="1" applyNumberFormat="1" applyFont="1" applyFill="1" applyBorder="1" applyAlignment="1">
      <alignment horizontal="center" vertical="center"/>
    </xf>
    <xf numFmtId="9" fontId="37" fillId="3" borderId="0" xfId="1" applyFont="1" applyFill="1" applyBorder="1" applyAlignment="1">
      <alignment horizontal="center" vertical="center"/>
    </xf>
    <xf numFmtId="167" fontId="29" fillId="0" borderId="84" xfId="1" applyNumberFormat="1" applyFont="1" applyBorder="1" applyAlignment="1">
      <alignment vertical="center"/>
    </xf>
    <xf numFmtId="166" fontId="37" fillId="3" borderId="97" xfId="0" applyNumberFormat="1" applyFont="1" applyFill="1" applyBorder="1" applyAlignment="1">
      <alignment horizontal="center" vertical="center"/>
    </xf>
    <xf numFmtId="9" fontId="37" fillId="3" borderId="1" xfId="1" applyFont="1" applyFill="1" applyBorder="1" applyAlignment="1">
      <alignment horizontal="center" vertical="center"/>
    </xf>
    <xf numFmtId="167" fontId="29" fillId="0" borderId="0" xfId="1" applyNumberFormat="1" applyFont="1" applyBorder="1" applyAlignment="1">
      <alignment vertical="center"/>
    </xf>
    <xf numFmtId="166" fontId="37" fillId="3" borderId="2" xfId="0" applyNumberFormat="1" applyFont="1" applyFill="1" applyBorder="1" applyAlignment="1">
      <alignment horizontal="center" vertical="center"/>
    </xf>
    <xf numFmtId="9" fontId="37" fillId="3" borderId="2" xfId="1" applyFont="1" applyFill="1" applyBorder="1" applyAlignment="1">
      <alignment horizontal="center" vertical="center"/>
    </xf>
    <xf numFmtId="167" fontId="37" fillId="3" borderId="2" xfId="1" applyNumberFormat="1" applyFont="1" applyFill="1" applyBorder="1" applyAlignment="1">
      <alignment horizontal="center" vertical="center"/>
    </xf>
    <xf numFmtId="167" fontId="29" fillId="0" borderId="85" xfId="1" applyNumberFormat="1" applyFont="1" applyBorder="1" applyAlignment="1">
      <alignment vertical="center"/>
    </xf>
    <xf numFmtId="0" fontId="33" fillId="7" borderId="53" xfId="0" applyFont="1" applyFill="1" applyBorder="1" applyAlignment="1">
      <alignment horizontal="center" vertical="center"/>
    </xf>
    <xf numFmtId="0" fontId="33" fillId="7" borderId="54" xfId="0" applyFont="1" applyFill="1" applyBorder="1" applyAlignment="1">
      <alignment horizontal="center" vertical="center"/>
    </xf>
    <xf numFmtId="166" fontId="33" fillId="7" borderId="53" xfId="0" applyNumberFormat="1" applyFont="1" applyFill="1" applyBorder="1" applyAlignment="1">
      <alignment horizontal="center" vertical="center"/>
    </xf>
    <xf numFmtId="166" fontId="33" fillId="7" borderId="62" xfId="0" applyNumberFormat="1" applyFont="1" applyFill="1" applyBorder="1" applyAlignment="1">
      <alignment horizontal="center" vertical="center"/>
    </xf>
    <xf numFmtId="9" fontId="33" fillId="7" borderId="54" xfId="1" applyNumberFormat="1" applyFont="1" applyFill="1" applyBorder="1" applyAlignment="1">
      <alignment horizontal="center" vertical="center"/>
    </xf>
    <xf numFmtId="166" fontId="33" fillId="7" borderId="54" xfId="0" applyNumberFormat="1" applyFont="1" applyFill="1" applyBorder="1" applyAlignment="1">
      <alignment horizontal="center" vertical="center"/>
    </xf>
    <xf numFmtId="166" fontId="33" fillId="7" borderId="64" xfId="0" applyNumberFormat="1" applyFont="1" applyFill="1" applyBorder="1" applyAlignment="1">
      <alignment horizontal="center" vertical="center"/>
    </xf>
    <xf numFmtId="166" fontId="33" fillId="7" borderId="107" xfId="0" applyNumberFormat="1" applyFont="1" applyFill="1" applyBorder="1" applyAlignment="1">
      <alignment horizontal="center" vertical="center"/>
    </xf>
    <xf numFmtId="9" fontId="33" fillId="7" borderId="54" xfId="1" applyFont="1" applyFill="1" applyBorder="1" applyAlignment="1">
      <alignment horizontal="center" vertical="center"/>
    </xf>
    <xf numFmtId="167" fontId="33" fillId="7" borderId="54" xfId="1" applyNumberFormat="1" applyFont="1" applyFill="1" applyBorder="1" applyAlignment="1">
      <alignment horizontal="center" vertical="center"/>
    </xf>
    <xf numFmtId="0" fontId="37" fillId="7" borderId="130" xfId="0" applyFont="1" applyFill="1" applyBorder="1" applyAlignment="1">
      <alignment horizontal="center" vertical="center"/>
    </xf>
    <xf numFmtId="0" fontId="37" fillId="7" borderId="131" xfId="0" applyFont="1" applyFill="1" applyBorder="1" applyAlignment="1">
      <alignment horizontal="center" vertical="center"/>
    </xf>
    <xf numFmtId="166" fontId="37" fillId="7" borderId="130" xfId="0" applyNumberFormat="1" applyFont="1" applyFill="1" applyBorder="1" applyAlignment="1">
      <alignment horizontal="center" vertical="center"/>
    </xf>
    <xf numFmtId="166" fontId="37" fillId="7" borderId="7" xfId="0" applyNumberFormat="1" applyFont="1" applyFill="1" applyBorder="1" applyAlignment="1">
      <alignment horizontal="center" vertical="center"/>
    </xf>
    <xf numFmtId="9" fontId="37" fillId="7" borderId="131" xfId="1" applyNumberFormat="1" applyFont="1" applyFill="1" applyBorder="1" applyAlignment="1">
      <alignment horizontal="center" vertical="center"/>
    </xf>
    <xf numFmtId="166" fontId="37" fillId="7" borderId="131" xfId="0" applyNumberFormat="1" applyFont="1" applyFill="1" applyBorder="1" applyAlignment="1">
      <alignment horizontal="center" vertical="center"/>
    </xf>
    <xf numFmtId="166" fontId="37" fillId="7" borderId="60" xfId="0" applyNumberFormat="1" applyFont="1" applyFill="1" applyBorder="1" applyAlignment="1">
      <alignment horizontal="center" vertical="center"/>
    </xf>
    <xf numFmtId="166" fontId="37" fillId="7" borderId="132" xfId="0" applyNumberFormat="1" applyFont="1" applyFill="1" applyBorder="1" applyAlignment="1">
      <alignment horizontal="center" vertical="center"/>
    </xf>
    <xf numFmtId="9" fontId="37" fillId="7" borderId="56" xfId="1" applyFont="1" applyFill="1" applyBorder="1" applyAlignment="1">
      <alignment horizontal="center" vertical="center"/>
    </xf>
    <xf numFmtId="167" fontId="37" fillId="7" borderId="56" xfId="1" applyNumberFormat="1" applyFont="1" applyFill="1" applyBorder="1" applyAlignment="1">
      <alignment horizontal="center" vertical="center"/>
    </xf>
    <xf numFmtId="0" fontId="42" fillId="7" borderId="130" xfId="0" applyFont="1" applyFill="1" applyBorder="1" applyAlignment="1">
      <alignment horizontal="center" vertical="center"/>
    </xf>
    <xf numFmtId="0" fontId="42" fillId="7" borderId="131" xfId="0" applyFont="1" applyFill="1" applyBorder="1" applyAlignment="1">
      <alignment horizontal="center" vertical="center"/>
    </xf>
    <xf numFmtId="166" fontId="42" fillId="7" borderId="130" xfId="0" applyNumberFormat="1" applyFont="1" applyFill="1" applyBorder="1" applyAlignment="1">
      <alignment horizontal="center" vertical="center"/>
    </xf>
    <xf numFmtId="166" fontId="42" fillId="7" borderId="7" xfId="0" applyNumberFormat="1" applyFont="1" applyFill="1" applyBorder="1" applyAlignment="1">
      <alignment horizontal="center" vertical="center"/>
    </xf>
    <xf numFmtId="9" fontId="42" fillId="7" borderId="131" xfId="1" applyNumberFormat="1" applyFont="1" applyFill="1" applyBorder="1" applyAlignment="1">
      <alignment horizontal="center" vertical="center"/>
    </xf>
    <xf numFmtId="166" fontId="42" fillId="7" borderId="131" xfId="0" applyNumberFormat="1" applyFont="1" applyFill="1" applyBorder="1" applyAlignment="1">
      <alignment horizontal="center" vertical="center"/>
    </xf>
    <xf numFmtId="166" fontId="42" fillId="7" borderId="60" xfId="0" applyNumberFormat="1" applyFont="1" applyFill="1" applyBorder="1" applyAlignment="1">
      <alignment horizontal="center" vertical="center"/>
    </xf>
    <xf numFmtId="166" fontId="42" fillId="7" borderId="132" xfId="0" applyNumberFormat="1" applyFont="1" applyFill="1" applyBorder="1" applyAlignment="1">
      <alignment horizontal="center" vertical="center"/>
    </xf>
    <xf numFmtId="166" fontId="42" fillId="7" borderId="55" xfId="0" applyNumberFormat="1" applyFont="1" applyFill="1" applyBorder="1" applyAlignment="1">
      <alignment horizontal="center" vertical="center"/>
    </xf>
    <xf numFmtId="166" fontId="42" fillId="7" borderId="9" xfId="0" applyNumberFormat="1" applyFont="1" applyFill="1" applyBorder="1" applyAlignment="1">
      <alignment horizontal="center" vertical="center"/>
    </xf>
    <xf numFmtId="166" fontId="42" fillId="7" borderId="56" xfId="0" applyNumberFormat="1" applyFont="1" applyFill="1" applyBorder="1" applyAlignment="1">
      <alignment horizontal="center" vertical="center"/>
    </xf>
    <xf numFmtId="9" fontId="42" fillId="7" borderId="56" xfId="1" applyFont="1" applyFill="1" applyBorder="1" applyAlignment="1">
      <alignment horizontal="center" vertical="center"/>
    </xf>
    <xf numFmtId="167" fontId="42" fillId="7" borderId="56" xfId="1" applyNumberFormat="1" applyFont="1" applyFill="1" applyBorder="1" applyAlignment="1">
      <alignment horizontal="center" vertical="center"/>
    </xf>
    <xf numFmtId="166" fontId="37" fillId="7" borderId="108" xfId="0" applyNumberFormat="1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166" fontId="42" fillId="7" borderId="1" xfId="0" applyNumberFormat="1" applyFont="1" applyFill="1" applyBorder="1" applyAlignment="1">
      <alignment horizontal="center" vertical="center"/>
    </xf>
    <xf numFmtId="9" fontId="42" fillId="7" borderId="56" xfId="1" applyNumberFormat="1" applyFont="1" applyFill="1" applyBorder="1" applyAlignment="1">
      <alignment horizontal="center" vertical="center"/>
    </xf>
    <xf numFmtId="166" fontId="42" fillId="7" borderId="108" xfId="0" applyNumberFormat="1" applyFont="1" applyFill="1" applyBorder="1" applyAlignment="1">
      <alignment horizontal="center" vertical="center"/>
    </xf>
    <xf numFmtId="166" fontId="42" fillId="7" borderId="106" xfId="0" applyNumberFormat="1" applyFont="1" applyFill="1" applyBorder="1" applyAlignment="1">
      <alignment horizontal="center" vertical="center"/>
    </xf>
    <xf numFmtId="9" fontId="42" fillId="7" borderId="67" xfId="1" applyFont="1" applyFill="1" applyBorder="1" applyAlignment="1">
      <alignment horizontal="center" vertical="center"/>
    </xf>
    <xf numFmtId="167" fontId="42" fillId="7" borderId="67" xfId="1" applyNumberFormat="1" applyFont="1" applyFill="1" applyBorder="1" applyAlignment="1">
      <alignment horizontal="center" vertical="center"/>
    </xf>
    <xf numFmtId="0" fontId="42" fillId="7" borderId="55" xfId="0" applyFont="1" applyFill="1" applyBorder="1" applyAlignment="1">
      <alignment horizontal="center" vertical="center"/>
    </xf>
    <xf numFmtId="166" fontId="42" fillId="7" borderId="68" xfId="0" applyNumberFormat="1" applyFont="1" applyFill="1" applyBorder="1" applyAlignment="1">
      <alignment horizontal="center" vertical="center"/>
    </xf>
    <xf numFmtId="166" fontId="42" fillId="7" borderId="71" xfId="0" applyNumberFormat="1" applyFont="1" applyFill="1" applyBorder="1" applyAlignment="1">
      <alignment horizontal="center" vertical="center"/>
    </xf>
    <xf numFmtId="166" fontId="42" fillId="7" borderId="83" xfId="0" applyNumberFormat="1" applyFont="1" applyFill="1" applyBorder="1" applyAlignment="1">
      <alignment horizontal="center" vertical="center"/>
    </xf>
    <xf numFmtId="166" fontId="42" fillId="7" borderId="73" xfId="0" applyNumberFormat="1" applyFont="1" applyFill="1" applyBorder="1" applyAlignment="1">
      <alignment horizontal="center" vertical="center"/>
    </xf>
    <xf numFmtId="166" fontId="42" fillId="7" borderId="57" xfId="0" applyNumberFormat="1" applyFont="1" applyFill="1" applyBorder="1" applyAlignment="1">
      <alignment horizontal="center" vertical="center"/>
    </xf>
    <xf numFmtId="9" fontId="42" fillId="7" borderId="58" xfId="1" applyFont="1" applyFill="1" applyBorder="1" applyAlignment="1">
      <alignment horizontal="center" vertical="center"/>
    </xf>
    <xf numFmtId="167" fontId="42" fillId="7" borderId="58" xfId="1" applyNumberFormat="1" applyFont="1" applyFill="1" applyBorder="1" applyAlignment="1">
      <alignment horizontal="center" vertical="center"/>
    </xf>
    <xf numFmtId="0" fontId="37" fillId="7" borderId="52" xfId="0" applyFont="1" applyFill="1" applyBorder="1" applyAlignment="1">
      <alignment horizontal="center" vertical="center"/>
    </xf>
    <xf numFmtId="9" fontId="37" fillId="7" borderId="52" xfId="1" applyNumberFormat="1" applyFont="1" applyFill="1" applyBorder="1" applyAlignment="1">
      <alignment horizontal="center" vertical="center"/>
    </xf>
    <xf numFmtId="166" fontId="37" fillId="7" borderId="116" xfId="0" applyNumberFormat="1" applyFont="1" applyFill="1" applyBorder="1" applyAlignment="1">
      <alignment horizontal="center" vertical="center"/>
    </xf>
    <xf numFmtId="166" fontId="37" fillId="7" borderId="57" xfId="0" applyNumberFormat="1" applyFont="1" applyFill="1" applyBorder="1" applyAlignment="1">
      <alignment horizontal="center" vertical="center"/>
    </xf>
    <xf numFmtId="9" fontId="37" fillId="7" borderId="58" xfId="1" applyNumberFormat="1" applyFont="1" applyFill="1" applyBorder="1" applyAlignment="1">
      <alignment horizontal="center" vertical="center"/>
    </xf>
    <xf numFmtId="167" fontId="37" fillId="7" borderId="58" xfId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166" fontId="37" fillId="0" borderId="3" xfId="0" applyNumberFormat="1" applyFont="1" applyBorder="1" applyAlignment="1">
      <alignment horizontal="center" vertical="center"/>
    </xf>
    <xf numFmtId="167" fontId="37" fillId="0" borderId="3" xfId="1" applyNumberFormat="1" applyFont="1" applyBorder="1" applyAlignment="1">
      <alignment horizontal="center" vertical="center"/>
    </xf>
    <xf numFmtId="166" fontId="37" fillId="0" borderId="4" xfId="0" applyNumberFormat="1" applyFont="1" applyBorder="1" applyAlignment="1">
      <alignment horizontal="center" vertical="center"/>
    </xf>
    <xf numFmtId="9" fontId="37" fillId="0" borderId="3" xfId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9" fontId="42" fillId="0" borderId="1" xfId="1" applyFont="1" applyBorder="1" applyAlignment="1">
      <alignment horizontal="center" vertical="center"/>
    </xf>
    <xf numFmtId="9" fontId="37" fillId="0" borderId="4" xfId="1" applyFont="1" applyBorder="1" applyAlignment="1">
      <alignment horizontal="center" vertical="center"/>
    </xf>
    <xf numFmtId="167" fontId="37" fillId="0" borderId="4" xfId="1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166" fontId="37" fillId="0" borderId="85" xfId="0" applyNumberFormat="1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64" xfId="0" applyNumberFormat="1" applyFont="1" applyBorder="1" applyAlignment="1">
      <alignment horizontal="center" vertical="center"/>
    </xf>
    <xf numFmtId="166" fontId="37" fillId="0" borderId="107" xfId="0" applyNumberFormat="1" applyFont="1" applyBorder="1" applyAlignment="1">
      <alignment horizontal="center" vertical="center"/>
    </xf>
    <xf numFmtId="166" fontId="37" fillId="0" borderId="9" xfId="0" applyNumberFormat="1" applyFont="1" applyBorder="1" applyAlignment="1">
      <alignment horizontal="center" vertical="center"/>
    </xf>
    <xf numFmtId="9" fontId="37" fillId="0" borderId="1" xfId="1" applyFont="1" applyBorder="1" applyAlignment="1">
      <alignment horizontal="center" vertical="center"/>
    </xf>
    <xf numFmtId="0" fontId="42" fillId="7" borderId="111" xfId="0" applyFont="1" applyFill="1" applyBorder="1" applyAlignment="1">
      <alignment horizontal="center" vertical="center"/>
    </xf>
    <xf numFmtId="166" fontId="41" fillId="3" borderId="29" xfId="1" applyNumberFormat="1" applyFont="1" applyFill="1" applyBorder="1" applyAlignment="1">
      <alignment horizontal="center" vertical="center"/>
    </xf>
    <xf numFmtId="166" fontId="41" fillId="3" borderId="0" xfId="1" applyNumberFormat="1" applyFont="1" applyFill="1" applyBorder="1" applyAlignment="1">
      <alignment horizontal="center" vertical="center"/>
    </xf>
    <xf numFmtId="166" fontId="42" fillId="7" borderId="48" xfId="1" applyNumberFormat="1" applyFont="1" applyFill="1" applyBorder="1" applyAlignment="1">
      <alignment horizontal="center" vertical="center"/>
    </xf>
    <xf numFmtId="166" fontId="35" fillId="3" borderId="29" xfId="1" applyNumberFormat="1" applyFont="1" applyFill="1" applyBorder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0" fontId="42" fillId="3" borderId="1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166" fontId="42" fillId="3" borderId="53" xfId="0" applyNumberFormat="1" applyFont="1" applyFill="1" applyBorder="1" applyAlignment="1">
      <alignment horizontal="center" vertical="center"/>
    </xf>
    <xf numFmtId="166" fontId="42" fillId="3" borderId="64" xfId="0" applyNumberFormat="1" applyFont="1" applyFill="1" applyBorder="1" applyAlignment="1">
      <alignment horizontal="center" vertical="center"/>
    </xf>
    <xf numFmtId="166" fontId="42" fillId="3" borderId="107" xfId="0" applyNumberFormat="1" applyFont="1" applyFill="1" applyBorder="1" applyAlignment="1">
      <alignment horizontal="center" vertical="center"/>
    </xf>
    <xf numFmtId="166" fontId="42" fillId="3" borderId="9" xfId="0" applyNumberFormat="1" applyFont="1" applyFill="1" applyBorder="1" applyAlignment="1">
      <alignment horizontal="center" vertical="center"/>
    </xf>
    <xf numFmtId="166" fontId="42" fillId="3" borderId="93" xfId="0" applyNumberFormat="1" applyFont="1" applyFill="1" applyBorder="1" applyAlignment="1">
      <alignment horizontal="center" vertical="center"/>
    </xf>
    <xf numFmtId="9" fontId="42" fillId="3" borderId="94" xfId="1" applyNumberFormat="1" applyFont="1" applyFill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78" xfId="0" applyNumberFormat="1" applyFont="1" applyBorder="1" applyAlignment="1">
      <alignment horizontal="center" vertical="center"/>
    </xf>
    <xf numFmtId="166" fontId="37" fillId="0" borderId="79" xfId="0" applyNumberFormat="1" applyFont="1" applyBorder="1" applyAlignment="1">
      <alignment horizontal="center" vertical="center"/>
    </xf>
    <xf numFmtId="166" fontId="37" fillId="0" borderId="87" xfId="0" applyNumberFormat="1" applyFont="1" applyBorder="1" applyAlignment="1">
      <alignment horizontal="center" vertical="center"/>
    </xf>
    <xf numFmtId="9" fontId="37" fillId="0" borderId="88" xfId="1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166" fontId="37" fillId="0" borderId="2" xfId="0" applyNumberFormat="1" applyFont="1" applyBorder="1" applyAlignment="1">
      <alignment horizontal="center" vertical="center"/>
    </xf>
    <xf numFmtId="167" fontId="37" fillId="0" borderId="2" xfId="1" applyNumberFormat="1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center"/>
    </xf>
    <xf numFmtId="166" fontId="42" fillId="4" borderId="62" xfId="0" applyNumberFormat="1" applyFont="1" applyFill="1" applyBorder="1" applyAlignment="1">
      <alignment horizontal="center" vertical="center"/>
    </xf>
    <xf numFmtId="166" fontId="42" fillId="8" borderId="62" xfId="0" applyNumberFormat="1" applyFont="1" applyFill="1" applyBorder="1" applyAlignment="1">
      <alignment horizontal="center" vertical="center"/>
    </xf>
    <xf numFmtId="166" fontId="42" fillId="9" borderId="62" xfId="0" applyNumberFormat="1" applyFont="1" applyFill="1" applyBorder="1" applyAlignment="1">
      <alignment horizontal="center" vertical="center"/>
    </xf>
    <xf numFmtId="166" fontId="42" fillId="10" borderId="62" xfId="0" applyNumberFormat="1" applyFont="1" applyFill="1" applyBorder="1" applyAlignment="1">
      <alignment horizontal="center" vertical="center"/>
    </xf>
    <xf numFmtId="166" fontId="42" fillId="11" borderId="62" xfId="0" applyNumberFormat="1" applyFont="1" applyFill="1" applyBorder="1" applyAlignment="1">
      <alignment horizontal="center" vertical="center"/>
    </xf>
    <xf numFmtId="166" fontId="42" fillId="3" borderId="54" xfId="1" applyNumberFormat="1" applyFont="1" applyFill="1" applyBorder="1" applyAlignment="1">
      <alignment horizontal="center" vertical="center"/>
    </xf>
    <xf numFmtId="166" fontId="42" fillId="0" borderId="54" xfId="0" applyNumberFormat="1" applyFont="1" applyBorder="1" applyAlignment="1">
      <alignment horizontal="center" vertical="center"/>
    </xf>
    <xf numFmtId="166" fontId="42" fillId="11" borderId="1" xfId="0" applyNumberFormat="1" applyFont="1" applyFill="1" applyBorder="1" applyAlignment="1">
      <alignment horizontal="center" vertical="center"/>
    </xf>
    <xf numFmtId="166" fontId="42" fillId="0" borderId="55" xfId="0" applyNumberFormat="1" applyFont="1" applyBorder="1" applyAlignment="1">
      <alignment horizontal="center" vertical="center"/>
    </xf>
    <xf numFmtId="166" fontId="42" fillId="0" borderId="56" xfId="0" applyNumberFormat="1" applyFont="1" applyBorder="1" applyAlignment="1">
      <alignment horizontal="center" vertical="center"/>
    </xf>
    <xf numFmtId="166" fontId="37" fillId="0" borderId="0" xfId="1" applyNumberFormat="1" applyFont="1" applyBorder="1" applyAlignment="1">
      <alignment horizontal="center" vertical="center"/>
    </xf>
    <xf numFmtId="166" fontId="35" fillId="0" borderId="0" xfId="1" applyNumberFormat="1" applyFont="1" applyBorder="1" applyAlignment="1">
      <alignment horizontal="center" vertical="center"/>
    </xf>
    <xf numFmtId="166" fontId="42" fillId="0" borderId="57" xfId="0" applyNumberFormat="1" applyFont="1" applyBorder="1" applyAlignment="1">
      <alignment horizontal="center" vertical="center"/>
    </xf>
    <xf numFmtId="166" fontId="42" fillId="0" borderId="76" xfId="0" applyNumberFormat="1" applyFont="1" applyBorder="1" applyAlignment="1">
      <alignment horizontal="center" vertical="center"/>
    </xf>
    <xf numFmtId="166" fontId="42" fillId="0" borderId="58" xfId="0" applyNumberFormat="1" applyFont="1" applyBorder="1" applyAlignment="1">
      <alignment horizontal="center" vertical="center"/>
    </xf>
    <xf numFmtId="166" fontId="42" fillId="0" borderId="0" xfId="1" applyNumberFormat="1" applyFont="1" applyBorder="1" applyAlignment="1">
      <alignment horizontal="center" vertical="center"/>
    </xf>
    <xf numFmtId="166" fontId="41" fillId="0" borderId="0" xfId="1" applyNumberFormat="1" applyFont="1" applyBorder="1" applyAlignment="1">
      <alignment horizontal="center" vertical="center"/>
    </xf>
    <xf numFmtId="166" fontId="37" fillId="7" borderId="52" xfId="1" applyNumberFormat="1" applyFont="1" applyFill="1" applyBorder="1" applyAlignment="1">
      <alignment horizontal="center" vertical="center"/>
    </xf>
    <xf numFmtId="166" fontId="42" fillId="3" borderId="99" xfId="0" applyNumberFormat="1" applyFont="1" applyFill="1" applyBorder="1" applyAlignment="1">
      <alignment horizontal="center" vertical="center"/>
    </xf>
    <xf numFmtId="20" fontId="29" fillId="0" borderId="0" xfId="0" applyNumberFormat="1" applyFont="1" applyAlignment="1">
      <alignment horizontal="center" vertical="center"/>
    </xf>
    <xf numFmtId="46" fontId="29" fillId="0" borderId="0" xfId="0" applyNumberFormat="1" applyFont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6" fillId="14" borderId="7" xfId="0" applyFont="1" applyFill="1" applyBorder="1" applyAlignment="1">
      <alignment horizontal="center" vertical="center"/>
    </xf>
    <xf numFmtId="166" fontId="35" fillId="14" borderId="7" xfId="0" applyNumberFormat="1" applyFont="1" applyFill="1" applyBorder="1" applyAlignment="1">
      <alignment horizontal="center" vertical="center"/>
    </xf>
    <xf numFmtId="166" fontId="37" fillId="14" borderId="7" xfId="0" applyNumberFormat="1" applyFont="1" applyFill="1" applyBorder="1" applyAlignment="1">
      <alignment horizontal="center" vertical="center"/>
    </xf>
    <xf numFmtId="167" fontId="37" fillId="3" borderId="134" xfId="0" applyNumberFormat="1" applyFont="1" applyFill="1" applyBorder="1" applyAlignment="1">
      <alignment horizontal="center" vertical="center"/>
    </xf>
    <xf numFmtId="167" fontId="33" fillId="3" borderId="135" xfId="0" applyNumberFormat="1" applyFont="1" applyFill="1" applyBorder="1" applyAlignment="1">
      <alignment horizontal="center" vertical="center"/>
    </xf>
    <xf numFmtId="166" fontId="33" fillId="11" borderId="1" xfId="0" applyNumberFormat="1" applyFont="1" applyFill="1" applyBorder="1" applyAlignment="1">
      <alignment horizontal="center" vertical="center"/>
    </xf>
    <xf numFmtId="166" fontId="37" fillId="11" borderId="1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vertical="center"/>
    </xf>
    <xf numFmtId="0" fontId="33" fillId="11" borderId="1" xfId="0" applyFont="1" applyFill="1" applyBorder="1" applyAlignment="1">
      <alignment horizontal="center" vertical="center"/>
    </xf>
    <xf numFmtId="166" fontId="37" fillId="14" borderId="9" xfId="0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3" fillId="0" borderId="0" xfId="2" applyNumberFormat="1" applyFont="1" applyBorder="1" applyAlignment="1">
      <alignment horizontal="center" vertical="center"/>
    </xf>
    <xf numFmtId="168" fontId="33" fillId="0" borderId="0" xfId="2" applyNumberFormat="1" applyFont="1" applyBorder="1" applyAlignment="1">
      <alignment horizontal="center" vertical="center"/>
    </xf>
    <xf numFmtId="167" fontId="33" fillId="3" borderId="4" xfId="1" applyNumberFormat="1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166" fontId="33" fillId="0" borderId="2" xfId="0" applyNumberFormat="1" applyFont="1" applyBorder="1" applyAlignment="1">
      <alignment horizontal="center" vertical="center"/>
    </xf>
    <xf numFmtId="166" fontId="37" fillId="3" borderId="62" xfId="0" applyNumberFormat="1" applyFont="1" applyFill="1" applyBorder="1" applyAlignment="1">
      <alignment horizontal="center" vertical="center"/>
    </xf>
    <xf numFmtId="166" fontId="37" fillId="3" borderId="54" xfId="0" applyNumberFormat="1" applyFont="1" applyFill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3" fillId="0" borderId="58" xfId="0" applyNumberFormat="1" applyFont="1" applyBorder="1" applyAlignment="1">
      <alignment horizontal="center" vertical="center"/>
    </xf>
    <xf numFmtId="166" fontId="33" fillId="3" borderId="9" xfId="0" applyNumberFormat="1" applyFont="1" applyFill="1" applyBorder="1" applyAlignment="1">
      <alignment horizontal="center" vertical="center"/>
    </xf>
    <xf numFmtId="0" fontId="42" fillId="7" borderId="53" xfId="0" applyFont="1" applyFill="1" applyBorder="1" applyAlignment="1">
      <alignment horizontal="center" vertical="center"/>
    </xf>
    <xf numFmtId="0" fontId="37" fillId="7" borderId="54" xfId="0" applyFont="1" applyFill="1" applyBorder="1" applyAlignment="1">
      <alignment horizontal="center" vertical="center"/>
    </xf>
    <xf numFmtId="166" fontId="37" fillId="7" borderId="112" xfId="0" applyNumberFormat="1" applyFont="1" applyFill="1" applyBorder="1" applyAlignment="1">
      <alignment horizontal="center" vertical="center"/>
    </xf>
    <xf numFmtId="166" fontId="33" fillId="7" borderId="118" xfId="0" applyNumberFormat="1" applyFont="1" applyFill="1" applyBorder="1" applyAlignment="1">
      <alignment horizontal="center" vertical="center"/>
    </xf>
    <xf numFmtId="166" fontId="37" fillId="7" borderId="118" xfId="0" applyNumberFormat="1" applyFont="1" applyFill="1" applyBorder="1" applyAlignment="1">
      <alignment horizontal="center" vertical="center"/>
    </xf>
    <xf numFmtId="166" fontId="37" fillId="7" borderId="136" xfId="0" applyNumberFormat="1" applyFont="1" applyFill="1" applyBorder="1" applyAlignment="1">
      <alignment horizontal="center" vertical="center"/>
    </xf>
    <xf numFmtId="166" fontId="42" fillId="7" borderId="129" xfId="0" applyNumberFormat="1" applyFont="1" applyFill="1" applyBorder="1" applyAlignment="1">
      <alignment horizontal="center" vertical="center"/>
    </xf>
    <xf numFmtId="166" fontId="37" fillId="3" borderId="6" xfId="0" applyNumberFormat="1" applyFont="1" applyFill="1" applyBorder="1" applyAlignment="1">
      <alignment horizontal="center" vertical="center"/>
    </xf>
    <xf numFmtId="166" fontId="33" fillId="3" borderId="6" xfId="0" applyNumberFormat="1" applyFont="1" applyFill="1" applyBorder="1" applyAlignment="1">
      <alignment horizontal="center" vertical="center"/>
    </xf>
    <xf numFmtId="166" fontId="37" fillId="3" borderId="10" xfId="0" applyNumberFormat="1" applyFont="1" applyFill="1" applyBorder="1" applyAlignment="1">
      <alignment horizontal="center" vertical="center"/>
    </xf>
    <xf numFmtId="166" fontId="33" fillId="3" borderId="10" xfId="0" applyNumberFormat="1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166" fontId="33" fillId="16" borderId="9" xfId="0" applyNumberFormat="1" applyFont="1" applyFill="1" applyBorder="1" applyAlignment="1">
      <alignment horizontal="center" vertical="center"/>
    </xf>
    <xf numFmtId="166" fontId="37" fillId="0" borderId="10" xfId="0" applyNumberFormat="1" applyFont="1" applyBorder="1" applyAlignment="1">
      <alignment horizontal="center" vertical="center"/>
    </xf>
    <xf numFmtId="166" fontId="37" fillId="16" borderId="9" xfId="0" applyNumberFormat="1" applyFont="1" applyFill="1" applyBorder="1" applyAlignment="1">
      <alignment horizontal="center" vertical="center"/>
    </xf>
    <xf numFmtId="166" fontId="42" fillId="0" borderId="10" xfId="0" applyNumberFormat="1" applyFont="1" applyBorder="1" applyAlignment="1">
      <alignment horizontal="center" vertical="center"/>
    </xf>
    <xf numFmtId="166" fontId="42" fillId="16" borderId="9" xfId="0" applyNumberFormat="1" applyFont="1" applyFill="1" applyBorder="1" applyAlignment="1">
      <alignment horizontal="center" vertical="center"/>
    </xf>
    <xf numFmtId="166" fontId="33" fillId="0" borderId="10" xfId="0" applyNumberFormat="1" applyFont="1" applyBorder="1" applyAlignment="1">
      <alignment horizontal="center" vertical="center"/>
    </xf>
    <xf numFmtId="166" fontId="33" fillId="16" borderId="44" xfId="0" applyNumberFormat="1" applyFont="1" applyFill="1" applyBorder="1" applyAlignment="1">
      <alignment horizontal="center" vertical="center"/>
    </xf>
    <xf numFmtId="166" fontId="42" fillId="3" borderId="10" xfId="0" applyNumberFormat="1" applyFont="1" applyFill="1" applyBorder="1" applyAlignment="1">
      <alignment horizontal="center" vertical="center"/>
    </xf>
    <xf numFmtId="166" fontId="37" fillId="3" borderId="99" xfId="0" applyNumberFormat="1" applyFont="1" applyFill="1" applyBorder="1" applyAlignment="1">
      <alignment horizontal="center" vertical="center"/>
    </xf>
    <xf numFmtId="166" fontId="37" fillId="3" borderId="115" xfId="0" applyNumberFormat="1" applyFont="1" applyFill="1" applyBorder="1" applyAlignment="1">
      <alignment horizontal="center" vertical="center"/>
    </xf>
    <xf numFmtId="166" fontId="37" fillId="7" borderId="49" xfId="1" applyNumberFormat="1" applyFont="1" applyFill="1" applyBorder="1" applyAlignment="1">
      <alignment horizontal="center" vertical="center"/>
    </xf>
    <xf numFmtId="166" fontId="33" fillId="7" borderId="74" xfId="0" applyNumberFormat="1" applyFont="1" applyFill="1" applyBorder="1" applyAlignment="1">
      <alignment horizontal="center" vertical="center"/>
    </xf>
    <xf numFmtId="166" fontId="37" fillId="7" borderId="3" xfId="0" applyNumberFormat="1" applyFont="1" applyFill="1" applyBorder="1" applyAlignment="1">
      <alignment horizontal="center" vertical="center"/>
    </xf>
    <xf numFmtId="166" fontId="37" fillId="7" borderId="4" xfId="0" applyNumberFormat="1" applyFont="1" applyFill="1" applyBorder="1" applyAlignment="1">
      <alignment horizontal="center" vertical="center"/>
    </xf>
    <xf numFmtId="166" fontId="42" fillId="7" borderId="3" xfId="0" applyNumberFormat="1" applyFont="1" applyFill="1" applyBorder="1" applyAlignment="1">
      <alignment horizontal="center" vertical="center"/>
    </xf>
    <xf numFmtId="166" fontId="42" fillId="7" borderId="4" xfId="0" applyNumberFormat="1" applyFont="1" applyFill="1" applyBorder="1" applyAlignment="1">
      <alignment horizontal="center" vertical="center"/>
    </xf>
    <xf numFmtId="166" fontId="42" fillId="7" borderId="76" xfId="0" applyNumberFormat="1" applyFont="1" applyFill="1" applyBorder="1" applyAlignment="1">
      <alignment horizontal="center" vertical="center"/>
    </xf>
    <xf numFmtId="166" fontId="42" fillId="7" borderId="58" xfId="0" applyNumberFormat="1" applyFont="1" applyFill="1" applyBorder="1" applyAlignment="1">
      <alignment horizontal="center" vertical="center"/>
    </xf>
    <xf numFmtId="166" fontId="42" fillId="7" borderId="85" xfId="0" applyNumberFormat="1" applyFont="1" applyFill="1" applyBorder="1" applyAlignment="1">
      <alignment horizontal="center" vertical="center"/>
    </xf>
    <xf numFmtId="166" fontId="42" fillId="7" borderId="69" xfId="0" applyNumberFormat="1" applyFont="1" applyFill="1" applyBorder="1" applyAlignment="1">
      <alignment horizontal="center" vertical="center"/>
    </xf>
    <xf numFmtId="166" fontId="37" fillId="7" borderId="119" xfId="0" applyNumberFormat="1" applyFont="1" applyFill="1" applyBorder="1" applyAlignment="1">
      <alignment horizontal="center" vertical="center"/>
    </xf>
    <xf numFmtId="166" fontId="37" fillId="7" borderId="76" xfId="0" applyNumberFormat="1" applyFont="1" applyFill="1" applyBorder="1" applyAlignment="1">
      <alignment horizontal="center" vertical="center"/>
    </xf>
    <xf numFmtId="166" fontId="37" fillId="7" borderId="58" xfId="0" applyNumberFormat="1" applyFont="1" applyFill="1" applyBorder="1" applyAlignment="1">
      <alignment horizontal="center" vertical="center"/>
    </xf>
    <xf numFmtId="166" fontId="37" fillId="7" borderId="78" xfId="0" applyNumberFormat="1" applyFont="1" applyFill="1" applyBorder="1" applyAlignment="1">
      <alignment horizontal="center" vertical="center"/>
    </xf>
    <xf numFmtId="166" fontId="37" fillId="7" borderId="79" xfId="0" applyNumberFormat="1" applyFont="1" applyFill="1" applyBorder="1" applyAlignment="1">
      <alignment horizontal="center" vertical="center"/>
    </xf>
    <xf numFmtId="166" fontId="42" fillId="3" borderId="115" xfId="0" applyNumberFormat="1" applyFont="1" applyFill="1" applyBorder="1" applyAlignment="1">
      <alignment horizontal="center" vertical="center"/>
    </xf>
    <xf numFmtId="9" fontId="42" fillId="7" borderId="49" xfId="1" applyNumberFormat="1" applyFont="1" applyFill="1" applyBorder="1" applyAlignment="1">
      <alignment horizontal="center" vertical="center"/>
    </xf>
    <xf numFmtId="166" fontId="42" fillId="0" borderId="53" xfId="0" applyNumberFormat="1" applyFont="1" applyBorder="1" applyAlignment="1">
      <alignment horizontal="center" vertical="center"/>
    </xf>
    <xf numFmtId="166" fontId="42" fillId="0" borderId="62" xfId="0" applyNumberFormat="1" applyFont="1" applyBorder="1" applyAlignment="1">
      <alignment horizontal="center" vertical="center"/>
    </xf>
    <xf numFmtId="166" fontId="42" fillId="0" borderId="64" xfId="0" applyNumberFormat="1" applyFont="1" applyBorder="1" applyAlignment="1">
      <alignment horizontal="center" vertical="center"/>
    </xf>
    <xf numFmtId="166" fontId="42" fillId="0" borderId="9" xfId="0" applyNumberFormat="1" applyFont="1" applyBorder="1" applyAlignment="1">
      <alignment horizontal="center" vertical="center"/>
    </xf>
    <xf numFmtId="166" fontId="42" fillId="0" borderId="78" xfId="0" applyNumberFormat="1" applyFont="1" applyBorder="1" applyAlignment="1">
      <alignment horizontal="center" vertical="center"/>
    </xf>
    <xf numFmtId="9" fontId="37" fillId="7" borderId="49" xfId="1" applyNumberFormat="1" applyFont="1" applyFill="1" applyBorder="1" applyAlignment="1">
      <alignment horizontal="center" vertical="center"/>
    </xf>
    <xf numFmtId="166" fontId="33" fillId="0" borderId="0" xfId="1" applyNumberFormat="1" applyFont="1" applyBorder="1" applyAlignment="1">
      <alignment horizontal="center" vertical="center"/>
    </xf>
    <xf numFmtId="166" fontId="33" fillId="7" borderId="57" xfId="1" applyNumberFormat="1" applyFont="1" applyFill="1" applyBorder="1" applyAlignment="1">
      <alignment horizontal="center" vertical="center"/>
    </xf>
    <xf numFmtId="166" fontId="37" fillId="0" borderId="109" xfId="2" applyNumberFormat="1" applyFont="1" applyBorder="1" applyAlignment="1">
      <alignment horizontal="center" vertical="center"/>
    </xf>
    <xf numFmtId="166" fontId="37" fillId="0" borderId="61" xfId="2" applyNumberFormat="1" applyFont="1" applyBorder="1" applyAlignment="1">
      <alignment horizontal="center" vertical="center"/>
    </xf>
    <xf numFmtId="166" fontId="37" fillId="0" borderId="66" xfId="2" applyNumberFormat="1" applyFont="1" applyBorder="1" applyAlignment="1">
      <alignment horizontal="center" vertical="center"/>
    </xf>
    <xf numFmtId="166" fontId="33" fillId="0" borderId="68" xfId="2" applyNumberFormat="1" applyFont="1" applyBorder="1" applyAlignment="1">
      <alignment horizontal="center" vertical="center"/>
    </xf>
    <xf numFmtId="166" fontId="33" fillId="0" borderId="69" xfId="2" applyNumberFormat="1" applyFont="1" applyBorder="1" applyAlignment="1">
      <alignment horizontal="center" vertical="center"/>
    </xf>
    <xf numFmtId="166" fontId="33" fillId="0" borderId="73" xfId="2" applyNumberFormat="1" applyFont="1" applyBorder="1" applyAlignment="1">
      <alignment horizontal="center" vertical="center"/>
    </xf>
    <xf numFmtId="168" fontId="37" fillId="0" borderId="109" xfId="2" applyNumberFormat="1" applyFont="1" applyBorder="1" applyAlignment="1">
      <alignment horizontal="center" vertical="center"/>
    </xf>
    <xf numFmtId="168" fontId="37" fillId="0" borderId="61" xfId="2" applyNumberFormat="1" applyFont="1" applyBorder="1" applyAlignment="1">
      <alignment horizontal="center" vertical="center"/>
    </xf>
    <xf numFmtId="168" fontId="37" fillId="0" borderId="66" xfId="2" applyNumberFormat="1" applyFont="1" applyBorder="1" applyAlignment="1">
      <alignment horizontal="center" vertical="center"/>
    </xf>
    <xf numFmtId="168" fontId="33" fillId="0" borderId="68" xfId="2" applyNumberFormat="1" applyFont="1" applyBorder="1" applyAlignment="1">
      <alignment horizontal="center" vertical="center"/>
    </xf>
    <xf numFmtId="168" fontId="33" fillId="0" borderId="69" xfId="2" applyNumberFormat="1" applyFont="1" applyBorder="1" applyAlignment="1">
      <alignment horizontal="center" vertical="center"/>
    </xf>
    <xf numFmtId="168" fontId="33" fillId="0" borderId="73" xfId="2" applyNumberFormat="1" applyFont="1" applyBorder="1" applyAlignment="1">
      <alignment horizontal="center" vertical="center"/>
    </xf>
    <xf numFmtId="9" fontId="42" fillId="3" borderId="0" xfId="1" applyNumberFormat="1" applyFont="1" applyFill="1" applyBorder="1" applyAlignment="1">
      <alignment horizontal="center" vertical="center"/>
    </xf>
    <xf numFmtId="167" fontId="37" fillId="3" borderId="54" xfId="1" applyNumberFormat="1" applyFont="1" applyFill="1" applyBorder="1" applyAlignment="1">
      <alignment horizontal="center" vertical="center"/>
    </xf>
    <xf numFmtId="167" fontId="33" fillId="3" borderId="58" xfId="1" applyNumberFormat="1" applyFont="1" applyFill="1" applyBorder="1" applyAlignment="1">
      <alignment horizontal="center" vertical="center"/>
    </xf>
    <xf numFmtId="166" fontId="33" fillId="0" borderId="135" xfId="1" applyNumberFormat="1" applyFont="1" applyBorder="1" applyAlignment="1">
      <alignment horizontal="center" vertical="center"/>
    </xf>
    <xf numFmtId="166" fontId="37" fillId="3" borderId="134" xfId="1" applyNumberFormat="1" applyFont="1" applyFill="1" applyBorder="1" applyAlignment="1">
      <alignment horizontal="center" vertical="center"/>
    </xf>
    <xf numFmtId="166" fontId="33" fillId="3" borderId="135" xfId="1" applyNumberFormat="1" applyFont="1" applyFill="1" applyBorder="1" applyAlignment="1">
      <alignment horizontal="center" vertical="center"/>
    </xf>
    <xf numFmtId="166" fontId="37" fillId="0" borderId="130" xfId="1" applyNumberFormat="1" applyFont="1" applyBorder="1" applyAlignment="1">
      <alignment horizontal="center" vertical="center"/>
    </xf>
    <xf numFmtId="167" fontId="37" fillId="0" borderId="131" xfId="1" applyNumberFormat="1" applyFont="1" applyBorder="1" applyAlignment="1">
      <alignment horizontal="center" vertical="center"/>
    </xf>
    <xf numFmtId="166" fontId="37" fillId="0" borderId="138" xfId="1" applyNumberFormat="1" applyFont="1" applyBorder="1" applyAlignment="1">
      <alignment horizontal="center" vertical="center"/>
    </xf>
    <xf numFmtId="1" fontId="37" fillId="3" borderId="134" xfId="1" applyNumberFormat="1" applyFont="1" applyFill="1" applyBorder="1" applyAlignment="1">
      <alignment horizontal="center" vertical="center"/>
    </xf>
    <xf numFmtId="1" fontId="33" fillId="3" borderId="135" xfId="1" applyNumberFormat="1" applyFont="1" applyFill="1" applyBorder="1" applyAlignment="1">
      <alignment horizontal="center" vertical="center"/>
    </xf>
    <xf numFmtId="170" fontId="42" fillId="7" borderId="52" xfId="1" applyNumberFormat="1" applyFont="1" applyFill="1" applyBorder="1" applyAlignment="1">
      <alignment horizontal="center" vertical="center"/>
    </xf>
    <xf numFmtId="167" fontId="37" fillId="3" borderId="117" xfId="1" applyNumberFormat="1" applyFont="1" applyFill="1" applyBorder="1" applyAlignment="1">
      <alignment horizontal="center" vertical="center"/>
    </xf>
    <xf numFmtId="167" fontId="33" fillId="3" borderId="117" xfId="1" applyNumberFormat="1" applyFont="1" applyFill="1" applyBorder="1" applyAlignment="1">
      <alignment horizontal="center" vertical="center"/>
    </xf>
    <xf numFmtId="167" fontId="42" fillId="3" borderId="117" xfId="1" applyNumberFormat="1" applyFont="1" applyFill="1" applyBorder="1" applyAlignment="1">
      <alignment horizontal="center" vertical="center"/>
    </xf>
    <xf numFmtId="166" fontId="42" fillId="0" borderId="3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7" fillId="0" borderId="58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42" fillId="0" borderId="58" xfId="0" applyFont="1" applyBorder="1" applyAlignment="1">
      <alignment horizontal="center" vertical="center"/>
    </xf>
    <xf numFmtId="166" fontId="37" fillId="4" borderId="76" xfId="0" applyNumberFormat="1" applyFont="1" applyFill="1" applyBorder="1" applyAlignment="1">
      <alignment horizontal="center" vertical="center"/>
    </xf>
    <xf numFmtId="166" fontId="37" fillId="8" borderId="76" xfId="0" applyNumberFormat="1" applyFont="1" applyFill="1" applyBorder="1" applyAlignment="1">
      <alignment horizontal="center" vertical="center"/>
    </xf>
    <xf numFmtId="166" fontId="37" fillId="9" borderId="76" xfId="0" applyNumberFormat="1" applyFont="1" applyFill="1" applyBorder="1" applyAlignment="1">
      <alignment horizontal="center" vertical="center"/>
    </xf>
    <xf numFmtId="166" fontId="37" fillId="10" borderId="76" xfId="0" applyNumberFormat="1" applyFont="1" applyFill="1" applyBorder="1" applyAlignment="1">
      <alignment horizontal="center" vertical="center"/>
    </xf>
    <xf numFmtId="166" fontId="37" fillId="11" borderId="76" xfId="0" applyNumberFormat="1" applyFont="1" applyFill="1" applyBorder="1" applyAlignment="1">
      <alignment horizontal="center" vertical="center"/>
    </xf>
    <xf numFmtId="166" fontId="37" fillId="3" borderId="58" xfId="1" applyNumberFormat="1" applyFont="1" applyFill="1" applyBorder="1" applyAlignment="1">
      <alignment horizontal="center" vertical="center"/>
    </xf>
    <xf numFmtId="166" fontId="37" fillId="4" borderId="0" xfId="0" applyNumberFormat="1" applyFont="1" applyFill="1" applyBorder="1" applyAlignment="1">
      <alignment horizontal="center" vertical="center"/>
    </xf>
    <xf numFmtId="166" fontId="37" fillId="8" borderId="0" xfId="0" applyNumberFormat="1" applyFont="1" applyFill="1" applyBorder="1" applyAlignment="1">
      <alignment horizontal="center" vertical="center"/>
    </xf>
    <xf numFmtId="166" fontId="37" fillId="9" borderId="0" xfId="0" applyNumberFormat="1" applyFont="1" applyFill="1" applyBorder="1" applyAlignment="1">
      <alignment horizontal="center" vertical="center"/>
    </xf>
    <xf numFmtId="166" fontId="37" fillId="10" borderId="0" xfId="0" applyNumberFormat="1" applyFont="1" applyFill="1" applyBorder="1" applyAlignment="1">
      <alignment horizontal="center" vertical="center"/>
    </xf>
    <xf numFmtId="166" fontId="37" fillId="4" borderId="1" xfId="0" applyNumberFormat="1" applyFont="1" applyFill="1" applyBorder="1" applyAlignment="1">
      <alignment horizontal="center" vertical="center"/>
    </xf>
    <xf numFmtId="166" fontId="37" fillId="8" borderId="1" xfId="0" applyNumberFormat="1" applyFont="1" applyFill="1" applyBorder="1" applyAlignment="1">
      <alignment horizontal="center" vertical="center"/>
    </xf>
    <xf numFmtId="166" fontId="37" fillId="9" borderId="1" xfId="0" applyNumberFormat="1" applyFont="1" applyFill="1" applyBorder="1" applyAlignment="1">
      <alignment horizontal="center" vertical="center"/>
    </xf>
    <xf numFmtId="166" fontId="42" fillId="3" borderId="57" xfId="0" applyNumberFormat="1" applyFont="1" applyFill="1" applyBorder="1" applyAlignment="1">
      <alignment horizontal="center" vertical="center"/>
    </xf>
    <xf numFmtId="166" fontId="42" fillId="4" borderId="76" xfId="0" applyNumberFormat="1" applyFont="1" applyFill="1" applyBorder="1" applyAlignment="1">
      <alignment horizontal="center" vertical="center"/>
    </xf>
    <xf numFmtId="166" fontId="42" fillId="8" borderId="76" xfId="0" applyNumberFormat="1" applyFont="1" applyFill="1" applyBorder="1" applyAlignment="1">
      <alignment horizontal="center" vertical="center"/>
    </xf>
    <xf numFmtId="166" fontId="42" fillId="9" borderId="76" xfId="0" applyNumberFormat="1" applyFont="1" applyFill="1" applyBorder="1" applyAlignment="1">
      <alignment horizontal="center" vertical="center"/>
    </xf>
    <xf numFmtId="166" fontId="42" fillId="10" borderId="76" xfId="0" applyNumberFormat="1" applyFont="1" applyFill="1" applyBorder="1" applyAlignment="1">
      <alignment horizontal="center" vertical="center"/>
    </xf>
    <xf numFmtId="166" fontId="42" fillId="11" borderId="76" xfId="0" applyNumberFormat="1" applyFont="1" applyFill="1" applyBorder="1" applyAlignment="1">
      <alignment horizontal="center" vertical="center"/>
    </xf>
    <xf numFmtId="166" fontId="42" fillId="3" borderId="58" xfId="1" applyNumberFormat="1" applyFont="1" applyFill="1" applyBorder="1" applyAlignment="1">
      <alignment horizontal="center" vertical="center"/>
    </xf>
    <xf numFmtId="166" fontId="42" fillId="4" borderId="53" xfId="0" applyNumberFormat="1" applyFont="1" applyFill="1" applyBorder="1" applyAlignment="1">
      <alignment horizontal="center" vertical="center"/>
    </xf>
    <xf numFmtId="166" fontId="33" fillId="14" borderId="1" xfId="1" applyNumberFormat="1" applyFont="1" applyFill="1" applyBorder="1" applyAlignment="1">
      <alignment horizontal="center" vertical="center"/>
    </xf>
    <xf numFmtId="166" fontId="37" fillId="14" borderId="1" xfId="1" applyNumberFormat="1" applyFont="1" applyFill="1" applyBorder="1" applyAlignment="1">
      <alignment horizontal="center" vertical="center"/>
    </xf>
    <xf numFmtId="166" fontId="42" fillId="16" borderId="1" xfId="0" applyNumberFormat="1" applyFont="1" applyFill="1" applyBorder="1" applyAlignment="1">
      <alignment horizontal="right" vertical="center"/>
    </xf>
    <xf numFmtId="166" fontId="37" fillId="14" borderId="1" xfId="0" applyNumberFormat="1" applyFont="1" applyFill="1" applyBorder="1" applyAlignment="1">
      <alignment horizontal="right" vertical="center"/>
    </xf>
    <xf numFmtId="0" fontId="41" fillId="3" borderId="117" xfId="0" applyFont="1" applyFill="1" applyBorder="1" applyAlignment="1">
      <alignment horizontal="center" vertical="center"/>
    </xf>
    <xf numFmtId="167" fontId="42" fillId="0" borderId="56" xfId="1" applyNumberFormat="1" applyFont="1" applyBorder="1" applyAlignment="1">
      <alignment horizontal="center" vertical="center"/>
    </xf>
    <xf numFmtId="166" fontId="42" fillId="0" borderId="106" xfId="0" applyNumberFormat="1" applyFont="1" applyBorder="1" applyAlignment="1">
      <alignment horizontal="center" vertical="center"/>
    </xf>
    <xf numFmtId="167" fontId="42" fillId="0" borderId="67" xfId="1" applyNumberFormat="1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3" borderId="4" xfId="0" applyFont="1" applyFill="1" applyBorder="1" applyAlignment="1">
      <alignment horizontal="center" vertical="center"/>
    </xf>
    <xf numFmtId="166" fontId="42" fillId="3" borderId="4" xfId="0" applyNumberFormat="1" applyFont="1" applyFill="1" applyBorder="1" applyAlignment="1">
      <alignment horizontal="center" vertical="center"/>
    </xf>
    <xf numFmtId="9" fontId="42" fillId="3" borderId="4" xfId="1" applyNumberFormat="1" applyFont="1" applyFill="1" applyBorder="1" applyAlignment="1">
      <alignment horizontal="center" vertical="center"/>
    </xf>
    <xf numFmtId="166" fontId="42" fillId="0" borderId="4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7" fontId="42" fillId="0" borderId="85" xfId="1" applyNumberFormat="1" applyFont="1" applyBorder="1" applyAlignment="1">
      <alignment horizontal="center" vertical="center"/>
    </xf>
    <xf numFmtId="166" fontId="42" fillId="0" borderId="48" xfId="0" applyNumberFormat="1" applyFont="1" applyBorder="1" applyAlignment="1">
      <alignment horizontal="center" vertical="center"/>
    </xf>
    <xf numFmtId="167" fontId="42" fillId="0" borderId="52" xfId="1" applyNumberFormat="1" applyFont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9" fontId="42" fillId="3" borderId="3" xfId="1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9" fontId="42" fillId="0" borderId="0" xfId="1" applyFont="1" applyBorder="1" applyAlignment="1">
      <alignment horizontal="center" vertical="center"/>
    </xf>
    <xf numFmtId="9" fontId="42" fillId="0" borderId="0" xfId="1" applyNumberFormat="1" applyFont="1" applyBorder="1" applyAlignment="1">
      <alignment horizontal="center" vertical="center"/>
    </xf>
    <xf numFmtId="0" fontId="42" fillId="7" borderId="54" xfId="0" applyFont="1" applyFill="1" applyBorder="1" applyAlignment="1">
      <alignment horizontal="center" vertical="center"/>
    </xf>
    <xf numFmtId="166" fontId="42" fillId="7" borderId="62" xfId="0" applyNumberFormat="1" applyFont="1" applyFill="1" applyBorder="1" applyAlignment="1">
      <alignment horizontal="center" vertical="center"/>
    </xf>
    <xf numFmtId="9" fontId="42" fillId="7" borderId="54" xfId="1" applyNumberFormat="1" applyFont="1" applyFill="1" applyBorder="1" applyAlignment="1">
      <alignment horizontal="center" vertical="center"/>
    </xf>
    <xf numFmtId="166" fontId="42" fillId="7" borderId="64" xfId="0" applyNumberFormat="1" applyFont="1" applyFill="1" applyBorder="1" applyAlignment="1">
      <alignment horizontal="center" vertical="center"/>
    </xf>
    <xf numFmtId="166" fontId="42" fillId="7" borderId="54" xfId="0" applyNumberFormat="1" applyFont="1" applyFill="1" applyBorder="1" applyAlignment="1">
      <alignment horizontal="center" vertical="center"/>
    </xf>
    <xf numFmtId="166" fontId="42" fillId="7" borderId="53" xfId="0" applyNumberFormat="1" applyFont="1" applyFill="1" applyBorder="1" applyAlignment="1">
      <alignment horizontal="center" vertical="center"/>
    </xf>
    <xf numFmtId="166" fontId="42" fillId="7" borderId="107" xfId="0" applyNumberFormat="1" applyFont="1" applyFill="1" applyBorder="1" applyAlignment="1">
      <alignment horizontal="center" vertical="center"/>
    </xf>
    <xf numFmtId="9" fontId="42" fillId="7" borderId="54" xfId="1" applyFont="1" applyFill="1" applyBorder="1" applyAlignment="1">
      <alignment horizontal="center" vertical="center"/>
    </xf>
    <xf numFmtId="167" fontId="42" fillId="7" borderId="54" xfId="1" applyNumberFormat="1" applyFont="1" applyFill="1" applyBorder="1" applyAlignment="1">
      <alignment horizontal="center" vertical="center"/>
    </xf>
    <xf numFmtId="171" fontId="42" fillId="0" borderId="101" xfId="1" applyNumberFormat="1" applyFont="1" applyBorder="1" applyAlignment="1">
      <alignment horizontal="center" vertical="center"/>
    </xf>
    <xf numFmtId="166" fontId="42" fillId="7" borderId="118" xfId="0" applyNumberFormat="1" applyFont="1" applyFill="1" applyBorder="1" applyAlignment="1">
      <alignment horizontal="center" vertical="center"/>
    </xf>
    <xf numFmtId="0" fontId="42" fillId="0" borderId="101" xfId="0" applyFont="1" applyBorder="1" applyAlignment="1">
      <alignment horizontal="center" vertical="center"/>
    </xf>
    <xf numFmtId="0" fontId="42" fillId="7" borderId="67" xfId="0" applyFont="1" applyFill="1" applyBorder="1" applyAlignment="1">
      <alignment horizontal="center" vertical="center"/>
    </xf>
    <xf numFmtId="166" fontId="42" fillId="7" borderId="5" xfId="0" applyNumberFormat="1" applyFont="1" applyFill="1" applyBorder="1" applyAlignment="1">
      <alignment horizontal="center" vertical="center"/>
    </xf>
    <xf numFmtId="9" fontId="42" fillId="7" borderId="67" xfId="1" applyNumberFormat="1" applyFont="1" applyFill="1" applyBorder="1" applyAlignment="1">
      <alignment horizontal="center" vertical="center"/>
    </xf>
    <xf numFmtId="0" fontId="42" fillId="7" borderId="106" xfId="0" applyFont="1" applyFill="1" applyBorder="1" applyAlignment="1">
      <alignment horizontal="center" vertical="center"/>
    </xf>
    <xf numFmtId="166" fontId="42" fillId="3" borderId="2" xfId="0" applyNumberFormat="1" applyFont="1" applyFill="1" applyBorder="1" applyAlignment="1">
      <alignment horizontal="center" vertical="center"/>
    </xf>
    <xf numFmtId="9" fontId="42" fillId="3" borderId="0" xfId="1" applyFont="1" applyFill="1" applyBorder="1" applyAlignment="1">
      <alignment horizontal="center" vertical="center"/>
    </xf>
    <xf numFmtId="167" fontId="41" fillId="0" borderId="84" xfId="1" applyNumberFormat="1" applyFont="1" applyBorder="1" applyAlignment="1">
      <alignment vertical="center"/>
    </xf>
    <xf numFmtId="9" fontId="42" fillId="3" borderId="2" xfId="1" applyFont="1" applyFill="1" applyBorder="1" applyAlignment="1">
      <alignment horizontal="center" vertical="center"/>
    </xf>
    <xf numFmtId="167" fontId="42" fillId="3" borderId="2" xfId="1" applyNumberFormat="1" applyFont="1" applyFill="1" applyBorder="1" applyAlignment="1">
      <alignment horizontal="center" vertical="center"/>
    </xf>
    <xf numFmtId="167" fontId="41" fillId="0" borderId="85" xfId="1" applyNumberFormat="1" applyFont="1" applyBorder="1" applyAlignment="1">
      <alignment vertical="center"/>
    </xf>
    <xf numFmtId="9" fontId="42" fillId="7" borderId="58" xfId="1" applyNumberFormat="1" applyFont="1" applyFill="1" applyBorder="1" applyAlignment="1">
      <alignment horizontal="center" vertical="center"/>
    </xf>
    <xf numFmtId="167" fontId="42" fillId="0" borderId="3" xfId="1" applyNumberFormat="1" applyFont="1" applyBorder="1" applyAlignment="1">
      <alignment horizontal="center" vertical="center"/>
    </xf>
    <xf numFmtId="9" fontId="42" fillId="0" borderId="3" xfId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9" fontId="42" fillId="0" borderId="4" xfId="1" applyFont="1" applyBorder="1" applyAlignment="1">
      <alignment horizontal="center" vertical="center"/>
    </xf>
    <xf numFmtId="167" fontId="42" fillId="0" borderId="4" xfId="1" applyNumberFormat="1" applyFont="1" applyBorder="1" applyAlignment="1">
      <alignment horizontal="center" vertical="center"/>
    </xf>
    <xf numFmtId="166" fontId="42" fillId="0" borderId="107" xfId="0" applyNumberFormat="1" applyFont="1" applyBorder="1" applyAlignment="1">
      <alignment horizontal="center" vertical="center"/>
    </xf>
    <xf numFmtId="166" fontId="42" fillId="3" borderId="0" xfId="1" applyNumberFormat="1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167" fontId="42" fillId="0" borderId="2" xfId="1" applyNumberFormat="1" applyFont="1" applyBorder="1" applyAlignment="1">
      <alignment horizontal="center" vertical="center"/>
    </xf>
    <xf numFmtId="166" fontId="42" fillId="4" borderId="0" xfId="0" applyNumberFormat="1" applyFont="1" applyFill="1" applyBorder="1" applyAlignment="1">
      <alignment horizontal="center" vertical="center"/>
    </xf>
    <xf numFmtId="166" fontId="42" fillId="8" borderId="0" xfId="0" applyNumberFormat="1" applyFont="1" applyFill="1" applyBorder="1" applyAlignment="1">
      <alignment horizontal="center" vertical="center"/>
    </xf>
    <xf numFmtId="166" fontId="42" fillId="9" borderId="0" xfId="0" applyNumberFormat="1" applyFont="1" applyFill="1" applyBorder="1" applyAlignment="1">
      <alignment horizontal="center" vertical="center"/>
    </xf>
    <xf numFmtId="166" fontId="42" fillId="10" borderId="0" xfId="0" applyNumberFormat="1" applyFont="1" applyFill="1" applyBorder="1" applyAlignment="1">
      <alignment horizontal="center" vertical="center"/>
    </xf>
    <xf numFmtId="0" fontId="41" fillId="3" borderId="29" xfId="0" applyFont="1" applyFill="1" applyBorder="1" applyAlignment="1">
      <alignment horizontal="center" vertical="center"/>
    </xf>
    <xf numFmtId="166" fontId="37" fillId="3" borderId="9" xfId="0" applyNumberFormat="1" applyFont="1" applyFill="1" applyBorder="1" applyAlignment="1">
      <alignment horizontal="center" vertical="center"/>
    </xf>
    <xf numFmtId="0" fontId="35" fillId="13" borderId="0" xfId="0" applyFont="1" applyFill="1" applyAlignment="1">
      <alignment horizontal="center" vertical="center"/>
    </xf>
    <xf numFmtId="0" fontId="37" fillId="7" borderId="53" xfId="0" applyFont="1" applyFill="1" applyBorder="1" applyAlignment="1">
      <alignment horizontal="center" vertical="center"/>
    </xf>
    <xf numFmtId="166" fontId="37" fillId="7" borderId="68" xfId="0" applyNumberFormat="1" applyFont="1" applyFill="1" applyBorder="1" applyAlignment="1">
      <alignment horizontal="center" vertical="center"/>
    </xf>
    <xf numFmtId="166" fontId="37" fillId="7" borderId="69" xfId="0" applyNumberFormat="1" applyFont="1" applyFill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166" fontId="30" fillId="0" borderId="0" xfId="0" applyNumberFormat="1" applyFont="1" applyAlignment="1">
      <alignment horizontal="right" vertical="center"/>
    </xf>
    <xf numFmtId="166" fontId="30" fillId="0" borderId="0" xfId="0" applyNumberFormat="1" applyFont="1" applyAlignment="1">
      <alignment horizontal="center" vertical="center"/>
    </xf>
    <xf numFmtId="166" fontId="30" fillId="0" borderId="0" xfId="0" applyNumberFormat="1" applyFont="1" applyBorder="1" applyAlignment="1">
      <alignment horizontal="center" vertical="center"/>
    </xf>
    <xf numFmtId="166" fontId="36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35" fillId="0" borderId="137" xfId="0" applyFont="1" applyBorder="1" applyAlignment="1">
      <alignment horizontal="center" vertical="center"/>
    </xf>
    <xf numFmtId="168" fontId="37" fillId="0" borderId="109" xfId="2" applyNumberFormat="1" applyFont="1" applyBorder="1" applyAlignment="1">
      <alignment vertical="center"/>
    </xf>
    <xf numFmtId="168" fontId="37" fillId="0" borderId="61" xfId="2" applyNumberFormat="1" applyFont="1" applyBorder="1" applyAlignment="1">
      <alignment vertical="center"/>
    </xf>
    <xf numFmtId="168" fontId="37" fillId="0" borderId="66" xfId="2" applyNumberFormat="1" applyFont="1" applyBorder="1" applyAlignment="1">
      <alignment vertical="center"/>
    </xf>
    <xf numFmtId="168" fontId="33" fillId="0" borderId="68" xfId="2" applyNumberFormat="1" applyFont="1" applyBorder="1" applyAlignment="1">
      <alignment vertical="center"/>
    </xf>
    <xf numFmtId="168" fontId="33" fillId="0" borderId="69" xfId="2" applyNumberFormat="1" applyFont="1" applyBorder="1" applyAlignment="1">
      <alignment vertical="center"/>
    </xf>
    <xf numFmtId="168" fontId="33" fillId="0" borderId="73" xfId="2" applyNumberFormat="1" applyFont="1" applyBorder="1" applyAlignment="1">
      <alignment vertical="center"/>
    </xf>
    <xf numFmtId="173" fontId="36" fillId="0" borderId="0" xfId="0" applyNumberFormat="1" applyFont="1" applyAlignment="1">
      <alignment horizontal="center" vertical="center"/>
    </xf>
    <xf numFmtId="0" fontId="33" fillId="13" borderId="0" xfId="0" applyFont="1" applyFill="1" applyAlignment="1">
      <alignment horizontal="center" vertical="center"/>
    </xf>
    <xf numFmtId="9" fontId="33" fillId="3" borderId="29" xfId="1" applyNumberFormat="1" applyFont="1" applyFill="1" applyBorder="1" applyAlignment="1">
      <alignment horizontal="center" vertical="center"/>
    </xf>
    <xf numFmtId="9" fontId="33" fillId="3" borderId="0" xfId="1" applyNumberFormat="1" applyFont="1" applyFill="1" applyBorder="1" applyAlignment="1">
      <alignment horizontal="center" vertical="center"/>
    </xf>
    <xf numFmtId="0" fontId="42" fillId="13" borderId="0" xfId="0" applyFont="1" applyFill="1" applyAlignment="1">
      <alignment horizontal="center" vertical="center"/>
    </xf>
    <xf numFmtId="9" fontId="37" fillId="3" borderId="29" xfId="1" applyNumberFormat="1" applyFont="1" applyFill="1" applyBorder="1" applyAlignment="1">
      <alignment horizontal="center" vertical="center"/>
    </xf>
    <xf numFmtId="0" fontId="37" fillId="13" borderId="0" xfId="0" applyFont="1" applyFill="1" applyAlignment="1">
      <alignment horizontal="center" vertical="center"/>
    </xf>
    <xf numFmtId="0" fontId="37" fillId="0" borderId="117" xfId="0" applyFont="1" applyBorder="1" applyAlignment="1">
      <alignment horizontal="center" vertical="center"/>
    </xf>
    <xf numFmtId="9" fontId="42" fillId="3" borderId="29" xfId="1" applyNumberFormat="1" applyFont="1" applyFill="1" applyBorder="1" applyAlignment="1">
      <alignment horizontal="center" vertical="center"/>
    </xf>
    <xf numFmtId="166" fontId="37" fillId="14" borderId="7" xfId="1" applyNumberFormat="1" applyFont="1" applyFill="1" applyBorder="1" applyAlignment="1">
      <alignment horizontal="center" vertical="center"/>
    </xf>
    <xf numFmtId="166" fontId="37" fillId="16" borderId="1" xfId="1" applyNumberFormat="1" applyFont="1" applyFill="1" applyBorder="1" applyAlignment="1">
      <alignment horizontal="center" vertical="center"/>
    </xf>
    <xf numFmtId="166" fontId="37" fillId="5" borderId="1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3" borderId="3" xfId="0" applyNumberFormat="1" applyFont="1" applyFill="1" applyBorder="1" applyAlignment="1">
      <alignment horizontal="center" vertical="center"/>
    </xf>
    <xf numFmtId="166" fontId="42" fillId="3" borderId="3" xfId="0" applyNumberFormat="1" applyFont="1" applyFill="1" applyBorder="1" applyAlignment="1">
      <alignment horizontal="center" vertical="center"/>
    </xf>
    <xf numFmtId="1" fontId="42" fillId="3" borderId="101" xfId="0" applyNumberFormat="1" applyFont="1" applyFill="1" applyBorder="1" applyAlignment="1">
      <alignment horizontal="center" vertical="center"/>
    </xf>
    <xf numFmtId="14" fontId="42" fillId="3" borderId="101" xfId="1" applyNumberFormat="1" applyFont="1" applyFill="1" applyBorder="1" applyAlignment="1">
      <alignment horizontal="center" vertical="center"/>
    </xf>
    <xf numFmtId="166" fontId="42" fillId="14" borderId="106" xfId="0" applyNumberFormat="1" applyFont="1" applyFill="1" applyBorder="1" applyAlignment="1">
      <alignment horizontal="center" vertical="center"/>
    </xf>
    <xf numFmtId="166" fontId="42" fillId="14" borderId="44" xfId="0" applyNumberFormat="1" applyFont="1" applyFill="1" applyBorder="1" applyAlignment="1">
      <alignment horizontal="center" vertical="center"/>
    </xf>
    <xf numFmtId="166" fontId="42" fillId="14" borderId="113" xfId="0" applyNumberFormat="1" applyFont="1" applyFill="1" applyBorder="1" applyAlignment="1">
      <alignment horizontal="center" vertical="center"/>
    </xf>
    <xf numFmtId="166" fontId="42" fillId="14" borderId="57" xfId="0" applyNumberFormat="1" applyFont="1" applyFill="1" applyBorder="1" applyAlignment="1">
      <alignment horizontal="center" vertical="center"/>
    </xf>
    <xf numFmtId="166" fontId="42" fillId="14" borderId="78" xfId="0" applyNumberFormat="1" applyFont="1" applyFill="1" applyBorder="1" applyAlignment="1">
      <alignment horizontal="center" vertical="center"/>
    </xf>
    <xf numFmtId="166" fontId="42" fillId="14" borderId="79" xfId="0" applyNumberFormat="1" applyFont="1" applyFill="1" applyBorder="1" applyAlignment="1">
      <alignment horizontal="center" vertical="center"/>
    </xf>
    <xf numFmtId="167" fontId="42" fillId="0" borderId="58" xfId="1" applyNumberFormat="1" applyFont="1" applyBorder="1" applyAlignment="1">
      <alignment horizontal="center" vertical="center"/>
    </xf>
    <xf numFmtId="167" fontId="42" fillId="0" borderId="101" xfId="1" applyNumberFormat="1" applyFont="1" applyBorder="1" applyAlignment="1">
      <alignment horizontal="center" vertical="center"/>
    </xf>
    <xf numFmtId="172" fontId="42" fillId="0" borderId="0" xfId="1" applyNumberFormat="1" applyFont="1" applyBorder="1" applyAlignment="1">
      <alignment horizontal="center" vertical="center"/>
    </xf>
    <xf numFmtId="167" fontId="42" fillId="0" borderId="0" xfId="0" applyNumberFormat="1" applyFont="1" applyBorder="1" applyAlignment="1">
      <alignment horizontal="center" vertical="center"/>
    </xf>
    <xf numFmtId="167" fontId="41" fillId="0" borderId="29" xfId="1" applyNumberFormat="1" applyFont="1" applyBorder="1" applyAlignment="1">
      <alignment horizontal="center" vertical="center"/>
    </xf>
    <xf numFmtId="166" fontId="42" fillId="0" borderId="51" xfId="0" applyNumberFormat="1" applyFont="1" applyBorder="1" applyAlignment="1">
      <alignment horizontal="center" vertical="center"/>
    </xf>
    <xf numFmtId="166" fontId="42" fillId="0" borderId="116" xfId="0" applyNumberFormat="1" applyFont="1" applyBorder="1" applyAlignment="1">
      <alignment horizontal="center" vertical="center"/>
    </xf>
    <xf numFmtId="166" fontId="42" fillId="11" borderId="9" xfId="0" applyNumberFormat="1" applyFont="1" applyFill="1" applyBorder="1" applyAlignment="1">
      <alignment horizontal="center" vertical="center"/>
    </xf>
    <xf numFmtId="167" fontId="41" fillId="0" borderId="85" xfId="1" applyNumberFormat="1" applyFont="1" applyBorder="1" applyAlignment="1">
      <alignment horizontal="center" vertical="center"/>
    </xf>
    <xf numFmtId="0" fontId="41" fillId="0" borderId="85" xfId="0" applyFont="1" applyBorder="1" applyAlignment="1">
      <alignment horizontal="center" vertical="center"/>
    </xf>
    <xf numFmtId="0" fontId="41" fillId="0" borderId="83" xfId="0" applyFont="1" applyBorder="1" applyAlignment="1">
      <alignment horizontal="center" vertical="center"/>
    </xf>
    <xf numFmtId="166" fontId="42" fillId="7" borderId="74" xfId="0" applyNumberFormat="1" applyFont="1" applyFill="1" applyBorder="1" applyAlignment="1">
      <alignment horizontal="center" vertical="center"/>
    </xf>
    <xf numFmtId="166" fontId="42" fillId="0" borderId="79" xfId="0" applyNumberFormat="1" applyFont="1" applyBorder="1" applyAlignment="1">
      <alignment horizontal="center" vertical="center"/>
    </xf>
    <xf numFmtId="166" fontId="42" fillId="0" borderId="87" xfId="0" applyNumberFormat="1" applyFont="1" applyBorder="1" applyAlignment="1">
      <alignment horizontal="center" vertical="center"/>
    </xf>
    <xf numFmtId="9" fontId="42" fillId="0" borderId="88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vertical="center"/>
    </xf>
    <xf numFmtId="0" fontId="35" fillId="4" borderId="0" xfId="0" applyFont="1" applyFill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6" xfId="0" applyFont="1" applyFill="1" applyBorder="1" applyAlignment="1">
      <alignment horizontal="center" vertical="center"/>
    </xf>
    <xf numFmtId="166" fontId="37" fillId="3" borderId="93" xfId="0" applyNumberFormat="1" applyFont="1" applyFill="1" applyBorder="1" applyAlignment="1">
      <alignment horizontal="center" vertical="center"/>
    </xf>
    <xf numFmtId="9" fontId="37" fillId="3" borderId="94" xfId="1" applyNumberFormat="1" applyFont="1" applyFill="1" applyBorder="1" applyAlignment="1">
      <alignment horizontal="center" vertical="center"/>
    </xf>
    <xf numFmtId="0" fontId="37" fillId="14" borderId="5" xfId="0" applyFont="1" applyFill="1" applyBorder="1" applyAlignment="1">
      <alignment horizontal="center" vertical="center"/>
    </xf>
    <xf numFmtId="166" fontId="37" fillId="14" borderId="5" xfId="0" applyNumberFormat="1" applyFont="1" applyFill="1" applyBorder="1" applyAlignment="1">
      <alignment horizontal="center" vertical="center"/>
    </xf>
    <xf numFmtId="9" fontId="37" fillId="14" borderId="5" xfId="1" applyNumberFormat="1" applyFont="1" applyFill="1" applyBorder="1" applyAlignment="1">
      <alignment horizontal="center" vertical="center"/>
    </xf>
    <xf numFmtId="0" fontId="42" fillId="14" borderId="139" xfId="0" applyFont="1" applyFill="1" applyBorder="1" applyAlignment="1">
      <alignment horizontal="center" vertical="center"/>
    </xf>
    <xf numFmtId="0" fontId="42" fillId="14" borderId="140" xfId="0" applyFont="1" applyFill="1" applyBorder="1" applyAlignment="1">
      <alignment horizontal="center" vertical="center"/>
    </xf>
    <xf numFmtId="0" fontId="41" fillId="3" borderId="141" xfId="0" applyFont="1" applyFill="1" applyBorder="1" applyAlignment="1">
      <alignment horizontal="center" vertical="center"/>
    </xf>
    <xf numFmtId="166" fontId="42" fillId="14" borderId="140" xfId="0" applyNumberFormat="1" applyFont="1" applyFill="1" applyBorder="1" applyAlignment="1">
      <alignment horizontal="center" vertical="center"/>
    </xf>
    <xf numFmtId="9" fontId="42" fillId="14" borderId="142" xfId="1" applyNumberFormat="1" applyFont="1" applyFill="1" applyBorder="1" applyAlignment="1">
      <alignment horizontal="center" vertical="center"/>
    </xf>
    <xf numFmtId="0" fontId="37" fillId="14" borderId="143" xfId="0" applyFont="1" applyFill="1" applyBorder="1" applyAlignment="1">
      <alignment horizontal="center" vertical="center"/>
    </xf>
    <xf numFmtId="9" fontId="37" fillId="14" borderId="144" xfId="1" applyNumberFormat="1" applyFont="1" applyFill="1" applyBorder="1" applyAlignment="1">
      <alignment horizontal="center" vertical="center"/>
    </xf>
    <xf numFmtId="0" fontId="42" fillId="14" borderId="145" xfId="0" applyFont="1" applyFill="1" applyBorder="1" applyAlignment="1">
      <alignment horizontal="center" vertical="center"/>
    </xf>
    <xf numFmtId="9" fontId="42" fillId="14" borderId="144" xfId="1" applyNumberFormat="1" applyFont="1" applyFill="1" applyBorder="1" applyAlignment="1">
      <alignment horizontal="center" vertical="center"/>
    </xf>
    <xf numFmtId="0" fontId="42" fillId="14" borderId="146" xfId="0" applyFont="1" applyFill="1" applyBorder="1" applyAlignment="1">
      <alignment horizontal="center" vertical="center"/>
    </xf>
    <xf numFmtId="0" fontId="42" fillId="14" borderId="147" xfId="0" applyFont="1" applyFill="1" applyBorder="1" applyAlignment="1">
      <alignment horizontal="center" vertical="center"/>
    </xf>
    <xf numFmtId="0" fontId="41" fillId="3" borderId="148" xfId="0" applyFont="1" applyFill="1" applyBorder="1" applyAlignment="1">
      <alignment horizontal="center" vertical="center"/>
    </xf>
    <xf numFmtId="166" fontId="42" fillId="14" borderId="147" xfId="0" applyNumberFormat="1" applyFont="1" applyFill="1" applyBorder="1" applyAlignment="1">
      <alignment horizontal="center" vertical="center"/>
    </xf>
    <xf numFmtId="9" fontId="42" fillId="14" borderId="149" xfId="1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166" fontId="33" fillId="3" borderId="3" xfId="0" applyNumberFormat="1" applyFont="1" applyFill="1" applyBorder="1" applyAlignment="1">
      <alignment horizontal="center" vertical="center"/>
    </xf>
    <xf numFmtId="9" fontId="33" fillId="3" borderId="3" xfId="1" applyNumberFormat="1" applyFont="1" applyFill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0" fontId="41" fillId="13" borderId="0" xfId="0" applyFont="1" applyFill="1" applyAlignment="1">
      <alignment horizontal="center" vertical="center"/>
    </xf>
    <xf numFmtId="0" fontId="37" fillId="7" borderId="120" xfId="0" applyFont="1" applyFill="1" applyBorder="1" applyAlignment="1">
      <alignment horizontal="center" vertical="center"/>
    </xf>
    <xf numFmtId="0" fontId="37" fillId="7" borderId="68" xfId="0" applyFont="1" applyFill="1" applyBorder="1" applyAlignment="1">
      <alignment horizontal="center" vertical="center"/>
    </xf>
    <xf numFmtId="0" fontId="37" fillId="7" borderId="73" xfId="0" applyFont="1" applyFill="1" applyBorder="1" applyAlignment="1">
      <alignment horizontal="center" vertical="center"/>
    </xf>
    <xf numFmtId="9" fontId="37" fillId="7" borderId="73" xfId="1" applyNumberFormat="1" applyFont="1" applyFill="1" applyBorder="1" applyAlignment="1">
      <alignment horizontal="center" vertical="center"/>
    </xf>
    <xf numFmtId="0" fontId="42" fillId="7" borderId="57" xfId="0" applyFont="1" applyFill="1" applyBorder="1" applyAlignment="1">
      <alignment horizontal="center" vertical="center"/>
    </xf>
    <xf numFmtId="0" fontId="42" fillId="7" borderId="58" xfId="0" applyFont="1" applyFill="1" applyBorder="1" applyAlignment="1">
      <alignment horizontal="center" vertical="center"/>
    </xf>
    <xf numFmtId="0" fontId="42" fillId="3" borderId="85" xfId="0" applyFont="1" applyFill="1" applyBorder="1" applyAlignment="1">
      <alignment horizontal="center" vertical="center"/>
    </xf>
    <xf numFmtId="166" fontId="37" fillId="0" borderId="108" xfId="0" applyNumberFormat="1" applyFont="1" applyBorder="1" applyAlignment="1">
      <alignment horizontal="center" vertical="center"/>
    </xf>
    <xf numFmtId="166" fontId="37" fillId="3" borderId="106" xfId="0" applyNumberFormat="1" applyFont="1" applyFill="1" applyBorder="1" applyAlignment="1">
      <alignment horizontal="center" vertical="center"/>
    </xf>
    <xf numFmtId="166" fontId="37" fillId="4" borderId="5" xfId="0" applyNumberFormat="1" applyFont="1" applyFill="1" applyBorder="1" applyAlignment="1">
      <alignment horizontal="center" vertical="center"/>
    </xf>
    <xf numFmtId="166" fontId="37" fillId="8" borderId="5" xfId="0" applyNumberFormat="1" applyFont="1" applyFill="1" applyBorder="1" applyAlignment="1">
      <alignment horizontal="center" vertical="center"/>
    </xf>
    <xf numFmtId="166" fontId="37" fillId="9" borderId="5" xfId="0" applyNumberFormat="1" applyFont="1" applyFill="1" applyBorder="1" applyAlignment="1">
      <alignment horizontal="center" vertical="center"/>
    </xf>
    <xf numFmtId="166" fontId="37" fillId="10" borderId="5" xfId="0" applyNumberFormat="1" applyFont="1" applyFill="1" applyBorder="1" applyAlignment="1">
      <alignment horizontal="center" vertical="center"/>
    </xf>
    <xf numFmtId="166" fontId="37" fillId="11" borderId="5" xfId="0" applyNumberFormat="1" applyFont="1" applyFill="1" applyBorder="1" applyAlignment="1">
      <alignment horizontal="center" vertical="center"/>
    </xf>
    <xf numFmtId="166" fontId="37" fillId="3" borderId="67" xfId="1" applyNumberFormat="1" applyFont="1" applyFill="1" applyBorder="1" applyAlignment="1">
      <alignment horizontal="center" vertical="center"/>
    </xf>
    <xf numFmtId="166" fontId="42" fillId="3" borderId="150" xfId="0" applyNumberFormat="1" applyFont="1" applyFill="1" applyBorder="1" applyAlignment="1">
      <alignment horizontal="center" vertical="center"/>
    </xf>
    <xf numFmtId="166" fontId="42" fillId="4" borderId="151" xfId="0" applyNumberFormat="1" applyFont="1" applyFill="1" applyBorder="1" applyAlignment="1">
      <alignment horizontal="center" vertical="center"/>
    </xf>
    <xf numFmtId="166" fontId="42" fillId="8" borderId="151" xfId="0" applyNumberFormat="1" applyFont="1" applyFill="1" applyBorder="1" applyAlignment="1">
      <alignment horizontal="center" vertical="center"/>
    </xf>
    <xf numFmtId="166" fontId="42" fillId="9" borderId="151" xfId="0" applyNumberFormat="1" applyFont="1" applyFill="1" applyBorder="1" applyAlignment="1">
      <alignment horizontal="center" vertical="center"/>
    </xf>
    <xf numFmtId="166" fontId="42" fillId="10" borderId="151" xfId="0" applyNumberFormat="1" applyFont="1" applyFill="1" applyBorder="1" applyAlignment="1">
      <alignment horizontal="center" vertical="center"/>
    </xf>
    <xf numFmtId="166" fontId="42" fillId="11" borderId="151" xfId="0" applyNumberFormat="1" applyFont="1" applyFill="1" applyBorder="1" applyAlignment="1">
      <alignment horizontal="center" vertical="center"/>
    </xf>
    <xf numFmtId="166" fontId="42" fillId="3" borderId="152" xfId="1" applyNumberFormat="1" applyFont="1" applyFill="1" applyBorder="1" applyAlignment="1">
      <alignment horizontal="center" vertical="center"/>
    </xf>
    <xf numFmtId="166" fontId="29" fillId="3" borderId="0" xfId="1" applyNumberFormat="1" applyFont="1" applyFill="1" applyBorder="1" applyAlignment="1">
      <alignment horizontal="center" vertical="center"/>
    </xf>
    <xf numFmtId="166" fontId="29" fillId="0" borderId="0" xfId="2" applyNumberFormat="1" applyFont="1" applyBorder="1" applyAlignment="1">
      <alignment horizontal="center" vertical="center"/>
    </xf>
    <xf numFmtId="166" fontId="37" fillId="6" borderId="55" xfId="0" applyNumberFormat="1" applyFont="1" applyFill="1" applyBorder="1" applyAlignment="1">
      <alignment horizontal="center" vertical="center"/>
    </xf>
    <xf numFmtId="166" fontId="42" fillId="6" borderId="55" xfId="0" applyNumberFormat="1" applyFont="1" applyFill="1" applyBorder="1" applyAlignment="1">
      <alignment horizontal="center" vertical="center"/>
    </xf>
    <xf numFmtId="166" fontId="33" fillId="6" borderId="101" xfId="0" applyNumberFormat="1" applyFont="1" applyFill="1" applyBorder="1" applyAlignment="1">
      <alignment horizontal="center" vertical="center"/>
    </xf>
    <xf numFmtId="166" fontId="33" fillId="6" borderId="55" xfId="0" applyNumberFormat="1" applyFont="1" applyFill="1" applyBorder="1" applyAlignment="1">
      <alignment horizontal="center" vertical="center"/>
    </xf>
    <xf numFmtId="166" fontId="33" fillId="6" borderId="53" xfId="0" applyNumberFormat="1" applyFont="1" applyFill="1" applyBorder="1" applyAlignment="1">
      <alignment horizontal="center" vertical="center"/>
    </xf>
    <xf numFmtId="166" fontId="42" fillId="6" borderId="9" xfId="0" applyNumberFormat="1" applyFont="1" applyFill="1" applyBorder="1" applyAlignment="1">
      <alignment horizontal="center" vertical="center"/>
    </xf>
    <xf numFmtId="166" fontId="37" fillId="6" borderId="9" xfId="0" applyNumberFormat="1" applyFont="1" applyFill="1" applyBorder="1" applyAlignment="1">
      <alignment horizontal="center" vertical="center"/>
    </xf>
    <xf numFmtId="166" fontId="42" fillId="6" borderId="44" xfId="0" applyNumberFormat="1" applyFont="1" applyFill="1" applyBorder="1" applyAlignment="1">
      <alignment horizontal="center" vertical="center"/>
    </xf>
    <xf numFmtId="166" fontId="37" fillId="6" borderId="110" xfId="0" applyNumberFormat="1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0" fontId="37" fillId="7" borderId="153" xfId="0" applyFont="1" applyFill="1" applyBorder="1" applyAlignment="1">
      <alignment horizontal="center" vertical="center"/>
    </xf>
    <xf numFmtId="0" fontId="37" fillId="7" borderId="154" xfId="0" applyFont="1" applyFill="1" applyBorder="1" applyAlignment="1">
      <alignment horizontal="center" vertical="center"/>
    </xf>
    <xf numFmtId="0" fontId="37" fillId="3" borderId="155" xfId="0" applyFont="1" applyFill="1" applyBorder="1" applyAlignment="1">
      <alignment horizontal="center" vertical="center"/>
    </xf>
    <xf numFmtId="166" fontId="37" fillId="7" borderId="153" xfId="0" applyNumberFormat="1" applyFont="1" applyFill="1" applyBorder="1" applyAlignment="1">
      <alignment horizontal="center" vertical="center"/>
    </xf>
    <xf numFmtId="166" fontId="37" fillId="7" borderId="156" xfId="0" applyNumberFormat="1" applyFont="1" applyFill="1" applyBorder="1" applyAlignment="1">
      <alignment horizontal="center" vertical="center"/>
    </xf>
    <xf numFmtId="9" fontId="37" fillId="7" borderId="154" xfId="1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0" fontId="42" fillId="14" borderId="5" xfId="0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7" fontId="38" fillId="0" borderId="103" xfId="1" applyNumberFormat="1" applyFont="1" applyBorder="1" applyAlignment="1">
      <alignment horizontal="center" vertical="center"/>
    </xf>
    <xf numFmtId="167" fontId="33" fillId="14" borderId="1" xfId="1" applyNumberFormat="1" applyFont="1" applyFill="1" applyBorder="1" applyAlignment="1">
      <alignment horizontal="center" vertical="center"/>
    </xf>
    <xf numFmtId="167" fontId="42" fillId="14" borderId="1" xfId="1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166" fontId="42" fillId="14" borderId="5" xfId="0" applyNumberFormat="1" applyFont="1" applyFill="1" applyBorder="1" applyAlignment="1">
      <alignment horizontal="center" vertical="center"/>
    </xf>
    <xf numFmtId="167" fontId="42" fillId="14" borderId="5" xfId="1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42" fillId="2" borderId="1" xfId="0" applyNumberFormat="1" applyFont="1" applyFill="1" applyBorder="1" applyAlignment="1">
      <alignment horizontal="center" vertical="center"/>
    </xf>
    <xf numFmtId="9" fontId="42" fillId="2" borderId="1" xfId="1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166" fontId="42" fillId="2" borderId="7" xfId="0" applyNumberFormat="1" applyFont="1" applyFill="1" applyBorder="1" applyAlignment="1">
      <alignment horizontal="center" vertical="center"/>
    </xf>
    <xf numFmtId="9" fontId="42" fillId="2" borderId="7" xfId="1" applyNumberFormat="1" applyFont="1" applyFill="1" applyBorder="1" applyAlignment="1">
      <alignment horizontal="center" vertical="center"/>
    </xf>
    <xf numFmtId="166" fontId="42" fillId="2" borderId="5" xfId="0" applyNumberFormat="1" applyFont="1" applyFill="1" applyBorder="1" applyAlignment="1">
      <alignment horizontal="center" vertical="center"/>
    </xf>
    <xf numFmtId="9" fontId="42" fillId="2" borderId="5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6" fontId="37" fillId="7" borderId="157" xfId="0" applyNumberFormat="1" applyFont="1" applyFill="1" applyBorder="1" applyAlignment="1">
      <alignment horizontal="center" vertical="center"/>
    </xf>
    <xf numFmtId="9" fontId="37" fillId="7" borderId="131" xfId="1" applyFont="1" applyFill="1" applyBorder="1" applyAlignment="1">
      <alignment horizontal="center" vertical="center"/>
    </xf>
    <xf numFmtId="167" fontId="37" fillId="7" borderId="131" xfId="1" applyNumberFormat="1" applyFont="1" applyFill="1" applyBorder="1" applyAlignment="1">
      <alignment horizontal="center" vertical="center"/>
    </xf>
    <xf numFmtId="166" fontId="42" fillId="7" borderId="157" xfId="0" applyNumberFormat="1" applyFont="1" applyFill="1" applyBorder="1" applyAlignment="1">
      <alignment horizontal="center" vertical="center"/>
    </xf>
    <xf numFmtId="9" fontId="42" fillId="7" borderId="131" xfId="1" applyFont="1" applyFill="1" applyBorder="1" applyAlignment="1">
      <alignment horizontal="center" vertical="center"/>
    </xf>
    <xf numFmtId="167" fontId="42" fillId="7" borderId="131" xfId="1" applyNumberFormat="1" applyFont="1" applyFill="1" applyBorder="1" applyAlignment="1">
      <alignment horizontal="center" vertical="center"/>
    </xf>
    <xf numFmtId="0" fontId="42" fillId="0" borderId="117" xfId="0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0" fontId="42" fillId="3" borderId="4" xfId="0" applyFont="1" applyFill="1" applyBorder="1" applyAlignment="1">
      <alignment horizontal="center" vertical="center"/>
    </xf>
    <xf numFmtId="166" fontId="42" fillId="3" borderId="4" xfId="0" applyNumberFormat="1" applyFont="1" applyFill="1" applyBorder="1" applyAlignment="1">
      <alignment horizontal="right" vertical="center"/>
    </xf>
    <xf numFmtId="167" fontId="42" fillId="3" borderId="4" xfId="1" applyNumberFormat="1" applyFont="1" applyFill="1" applyBorder="1" applyAlignment="1">
      <alignment horizontal="center" vertical="center"/>
    </xf>
    <xf numFmtId="167" fontId="42" fillId="3" borderId="101" xfId="1" applyNumberFormat="1" applyFont="1" applyFill="1" applyBorder="1" applyAlignment="1">
      <alignment horizontal="center" vertical="center"/>
    </xf>
    <xf numFmtId="167" fontId="42" fillId="3" borderId="0" xfId="0" applyNumberFormat="1" applyFont="1" applyFill="1" applyBorder="1" applyAlignment="1">
      <alignment horizontal="center" vertical="center"/>
    </xf>
    <xf numFmtId="9" fontId="37" fillId="0" borderId="0" xfId="1" applyFont="1" applyBorder="1" applyAlignment="1">
      <alignment horizontal="center" vertical="center"/>
    </xf>
    <xf numFmtId="167" fontId="35" fillId="0" borderId="85" xfId="1" applyNumberFormat="1" applyFont="1" applyBorder="1" applyAlignment="1">
      <alignment horizontal="center" vertical="center"/>
    </xf>
    <xf numFmtId="0" fontId="35" fillId="0" borderId="83" xfId="0" applyFont="1" applyBorder="1" applyAlignment="1">
      <alignment horizontal="center" vertical="center"/>
    </xf>
    <xf numFmtId="166" fontId="37" fillId="7" borderId="129" xfId="0" applyNumberFormat="1" applyFont="1" applyFill="1" applyBorder="1" applyAlignment="1">
      <alignment horizontal="center" vertical="center"/>
    </xf>
    <xf numFmtId="167" fontId="35" fillId="0" borderId="84" xfId="1" applyNumberFormat="1" applyFont="1" applyBorder="1" applyAlignment="1">
      <alignment vertical="center"/>
    </xf>
    <xf numFmtId="167" fontId="35" fillId="0" borderId="85" xfId="1" applyNumberFormat="1" applyFont="1" applyBorder="1" applyAlignment="1">
      <alignment vertical="center"/>
    </xf>
    <xf numFmtId="166" fontId="37" fillId="7" borderId="74" xfId="0" applyNumberFormat="1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37" fillId="7" borderId="57" xfId="0" applyFont="1" applyFill="1" applyBorder="1" applyAlignment="1">
      <alignment horizontal="center" vertical="center"/>
    </xf>
    <xf numFmtId="0" fontId="37" fillId="7" borderId="58" xfId="0" applyFont="1" applyFill="1" applyBorder="1" applyAlignment="1">
      <alignment horizontal="center" vertical="center"/>
    </xf>
    <xf numFmtId="0" fontId="37" fillId="3" borderId="85" xfId="0" applyFont="1" applyFill="1" applyBorder="1" applyAlignment="1">
      <alignment horizontal="center" vertical="center"/>
    </xf>
    <xf numFmtId="166" fontId="37" fillId="7" borderId="71" xfId="0" applyNumberFormat="1" applyFont="1" applyFill="1" applyBorder="1" applyAlignment="1">
      <alignment horizontal="center" vertical="center"/>
    </xf>
    <xf numFmtId="166" fontId="37" fillId="7" borderId="83" xfId="0" applyNumberFormat="1" applyFont="1" applyFill="1" applyBorder="1" applyAlignment="1">
      <alignment horizontal="center" vertical="center"/>
    </xf>
    <xf numFmtId="166" fontId="37" fillId="7" borderId="73" xfId="0" applyNumberFormat="1" applyFont="1" applyFill="1" applyBorder="1" applyAlignment="1">
      <alignment horizontal="center" vertical="center"/>
    </xf>
    <xf numFmtId="166" fontId="37" fillId="7" borderId="85" xfId="0" applyNumberFormat="1" applyFont="1" applyFill="1" applyBorder="1" applyAlignment="1">
      <alignment horizontal="center" vertical="center"/>
    </xf>
    <xf numFmtId="9" fontId="37" fillId="7" borderId="58" xfId="1" applyFont="1" applyFill="1" applyBorder="1" applyAlignment="1">
      <alignment horizontal="center" vertical="center"/>
    </xf>
    <xf numFmtId="0" fontId="37" fillId="0" borderId="53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166" fontId="37" fillId="4" borderId="62" xfId="0" applyNumberFormat="1" applyFont="1" applyFill="1" applyBorder="1" applyAlignment="1">
      <alignment horizontal="center" vertical="center"/>
    </xf>
    <xf numFmtId="166" fontId="37" fillId="8" borderId="62" xfId="0" applyNumberFormat="1" applyFont="1" applyFill="1" applyBorder="1" applyAlignment="1">
      <alignment horizontal="center" vertical="center"/>
    </xf>
    <xf numFmtId="166" fontId="37" fillId="9" borderId="62" xfId="0" applyNumberFormat="1" applyFont="1" applyFill="1" applyBorder="1" applyAlignment="1">
      <alignment horizontal="center" vertical="center"/>
    </xf>
    <xf numFmtId="166" fontId="37" fillId="10" borderId="62" xfId="0" applyNumberFormat="1" applyFont="1" applyFill="1" applyBorder="1" applyAlignment="1">
      <alignment horizontal="center" vertical="center"/>
    </xf>
    <xf numFmtId="166" fontId="37" fillId="11" borderId="62" xfId="0" applyNumberFormat="1" applyFont="1" applyFill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4" borderId="53" xfId="0" applyNumberFormat="1" applyFont="1" applyFill="1" applyBorder="1" applyAlignment="1">
      <alignment horizontal="center" vertical="center"/>
    </xf>
    <xf numFmtId="166" fontId="37" fillId="3" borderId="150" xfId="0" applyNumberFormat="1" applyFont="1" applyFill="1" applyBorder="1" applyAlignment="1">
      <alignment horizontal="center" vertical="center"/>
    </xf>
    <xf numFmtId="166" fontId="37" fillId="4" borderId="151" xfId="0" applyNumberFormat="1" applyFont="1" applyFill="1" applyBorder="1" applyAlignment="1">
      <alignment horizontal="center" vertical="center"/>
    </xf>
    <xf numFmtId="166" fontId="37" fillId="8" borderId="151" xfId="0" applyNumberFormat="1" applyFont="1" applyFill="1" applyBorder="1" applyAlignment="1">
      <alignment horizontal="center" vertical="center"/>
    </xf>
    <xf numFmtId="166" fontId="37" fillId="9" borderId="151" xfId="0" applyNumberFormat="1" applyFont="1" applyFill="1" applyBorder="1" applyAlignment="1">
      <alignment horizontal="center" vertical="center"/>
    </xf>
    <xf numFmtId="166" fontId="37" fillId="10" borderId="151" xfId="0" applyNumberFormat="1" applyFont="1" applyFill="1" applyBorder="1" applyAlignment="1">
      <alignment horizontal="center" vertical="center"/>
    </xf>
    <xf numFmtId="166" fontId="37" fillId="11" borderId="151" xfId="0" applyNumberFormat="1" applyFont="1" applyFill="1" applyBorder="1" applyAlignment="1">
      <alignment horizontal="center" vertical="center"/>
    </xf>
    <xf numFmtId="166" fontId="37" fillId="3" borderId="152" xfId="1" applyNumberFormat="1" applyFont="1" applyFill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6" fontId="35" fillId="7" borderId="48" xfId="0" applyNumberFormat="1" applyFont="1" applyFill="1" applyBorder="1" applyAlignment="1">
      <alignment horizontal="center" vertical="center"/>
    </xf>
    <xf numFmtId="166" fontId="35" fillId="7" borderId="51" xfId="0" applyNumberFormat="1" applyFont="1" applyFill="1" applyBorder="1" applyAlignment="1">
      <alignment horizontal="center" vertical="center"/>
    </xf>
    <xf numFmtId="166" fontId="35" fillId="7" borderId="52" xfId="0" applyNumberFormat="1" applyFont="1" applyFill="1" applyBorder="1" applyAlignment="1">
      <alignment horizontal="center" vertical="center"/>
    </xf>
    <xf numFmtId="170" fontId="37" fillId="7" borderId="52" xfId="1" applyNumberFormat="1" applyFont="1" applyFill="1" applyBorder="1" applyAlignment="1">
      <alignment horizontal="center" vertical="center"/>
    </xf>
    <xf numFmtId="166" fontId="42" fillId="7" borderId="49" xfId="1" applyNumberFormat="1" applyFont="1" applyFill="1" applyBorder="1" applyAlignment="1">
      <alignment horizontal="center" vertical="center"/>
    </xf>
    <xf numFmtId="166" fontId="42" fillId="7" borderId="61" xfId="0" applyNumberFormat="1" applyFont="1" applyFill="1" applyBorder="1" applyAlignment="1">
      <alignment horizontal="center" vertical="center"/>
    </xf>
    <xf numFmtId="166" fontId="42" fillId="7" borderId="112" xfId="0" applyNumberFormat="1" applyFont="1" applyFill="1" applyBorder="1" applyAlignment="1">
      <alignment horizontal="center" vertical="center"/>
    </xf>
    <xf numFmtId="0" fontId="42" fillId="3" borderId="128" xfId="0" applyFont="1" applyFill="1" applyBorder="1" applyAlignment="1">
      <alignment horizontal="center" vertical="center"/>
    </xf>
    <xf numFmtId="166" fontId="42" fillId="7" borderId="44" xfId="0" applyNumberFormat="1" applyFont="1" applyFill="1" applyBorder="1" applyAlignment="1">
      <alignment horizontal="center" vertical="center"/>
    </xf>
    <xf numFmtId="166" fontId="42" fillId="7" borderId="136" xfId="0" applyNumberFormat="1" applyFont="1" applyFill="1" applyBorder="1" applyAlignment="1">
      <alignment horizontal="center" vertical="center"/>
    </xf>
    <xf numFmtId="166" fontId="42" fillId="7" borderId="67" xfId="0" applyNumberFormat="1" applyFont="1" applyFill="1" applyBorder="1" applyAlignment="1">
      <alignment horizontal="center" vertical="center"/>
    </xf>
    <xf numFmtId="166" fontId="42" fillId="7" borderId="113" xfId="0" applyNumberFormat="1" applyFont="1" applyFill="1" applyBorder="1" applyAlignment="1">
      <alignment horizontal="center" vertical="center"/>
    </xf>
    <xf numFmtId="167" fontId="41" fillId="0" borderId="84" xfId="1" applyNumberFormat="1" applyFont="1" applyBorder="1" applyAlignment="1">
      <alignment horizontal="center" vertical="center"/>
    </xf>
    <xf numFmtId="0" fontId="41" fillId="0" borderId="84" xfId="0" applyFont="1" applyBorder="1" applyAlignment="1">
      <alignment horizontal="center" vertical="center"/>
    </xf>
    <xf numFmtId="166" fontId="42" fillId="3" borderId="97" xfId="0" applyNumberFormat="1" applyFont="1" applyFill="1" applyBorder="1" applyAlignment="1">
      <alignment horizontal="center" vertical="center"/>
    </xf>
    <xf numFmtId="9" fontId="42" fillId="3" borderId="1" xfId="1" applyFont="1" applyFill="1" applyBorder="1" applyAlignment="1">
      <alignment horizontal="center" vertical="center"/>
    </xf>
    <xf numFmtId="167" fontId="41" fillId="0" borderId="0" xfId="1" applyNumberFormat="1" applyFont="1" applyBorder="1" applyAlignment="1">
      <alignment vertical="center"/>
    </xf>
    <xf numFmtId="0" fontId="42" fillId="7" borderId="120" xfId="0" applyFont="1" applyFill="1" applyBorder="1" applyAlignment="1">
      <alignment horizontal="center" vertical="center"/>
    </xf>
    <xf numFmtId="0" fontId="42" fillId="7" borderId="153" xfId="0" applyFont="1" applyFill="1" applyBorder="1" applyAlignment="1">
      <alignment horizontal="center" vertical="center"/>
    </xf>
    <xf numFmtId="0" fontId="42" fillId="7" borderId="154" xfId="0" applyFont="1" applyFill="1" applyBorder="1" applyAlignment="1">
      <alignment horizontal="center" vertical="center"/>
    </xf>
    <xf numFmtId="0" fontId="42" fillId="3" borderId="155" xfId="0" applyFont="1" applyFill="1" applyBorder="1" applyAlignment="1">
      <alignment horizontal="center" vertical="center"/>
    </xf>
    <xf numFmtId="166" fontId="42" fillId="7" borderId="153" xfId="0" applyNumberFormat="1" applyFont="1" applyFill="1" applyBorder="1" applyAlignment="1">
      <alignment horizontal="center" vertical="center"/>
    </xf>
    <xf numFmtId="166" fontId="42" fillId="7" borderId="156" xfId="0" applyNumberFormat="1" applyFont="1" applyFill="1" applyBorder="1" applyAlignment="1">
      <alignment horizontal="center" vertical="center"/>
    </xf>
    <xf numFmtId="9" fontId="42" fillId="7" borderId="154" xfId="1" applyNumberFormat="1" applyFont="1" applyFill="1" applyBorder="1" applyAlignment="1">
      <alignment horizontal="center" vertical="center"/>
    </xf>
    <xf numFmtId="0" fontId="42" fillId="7" borderId="68" xfId="0" applyFont="1" applyFill="1" applyBorder="1" applyAlignment="1">
      <alignment horizontal="center" vertical="center"/>
    </xf>
    <xf numFmtId="0" fontId="42" fillId="7" borderId="73" xfId="0" applyFont="1" applyFill="1" applyBorder="1" applyAlignment="1">
      <alignment horizontal="center" vertical="center"/>
    </xf>
    <xf numFmtId="9" fontId="42" fillId="7" borderId="73" xfId="1" applyNumberFormat="1" applyFont="1" applyFill="1" applyBorder="1" applyAlignment="1">
      <alignment horizontal="center" vertical="center"/>
    </xf>
    <xf numFmtId="166" fontId="42" fillId="7" borderId="119" xfId="0" applyNumberFormat="1" applyFont="1" applyFill="1" applyBorder="1" applyAlignment="1">
      <alignment horizontal="center" vertical="center"/>
    </xf>
    <xf numFmtId="166" fontId="42" fillId="7" borderId="78" xfId="0" applyNumberFormat="1" applyFont="1" applyFill="1" applyBorder="1" applyAlignment="1">
      <alignment horizontal="center" vertical="center"/>
    </xf>
    <xf numFmtId="166" fontId="42" fillId="7" borderId="79" xfId="0" applyNumberFormat="1" applyFont="1" applyFill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166" fontId="42" fillId="3" borderId="106" xfId="0" applyNumberFormat="1" applyFont="1" applyFill="1" applyBorder="1" applyAlignment="1">
      <alignment horizontal="center" vertical="center"/>
    </xf>
    <xf numFmtId="166" fontId="42" fillId="4" borderId="5" xfId="0" applyNumberFormat="1" applyFont="1" applyFill="1" applyBorder="1" applyAlignment="1">
      <alignment horizontal="center" vertical="center"/>
    </xf>
    <xf numFmtId="166" fontId="42" fillId="8" borderId="5" xfId="0" applyNumberFormat="1" applyFont="1" applyFill="1" applyBorder="1" applyAlignment="1">
      <alignment horizontal="center" vertical="center"/>
    </xf>
    <xf numFmtId="166" fontId="42" fillId="9" borderId="5" xfId="0" applyNumberFormat="1" applyFont="1" applyFill="1" applyBorder="1" applyAlignment="1">
      <alignment horizontal="center" vertical="center"/>
    </xf>
    <xf numFmtId="166" fontId="42" fillId="10" borderId="5" xfId="0" applyNumberFormat="1" applyFont="1" applyFill="1" applyBorder="1" applyAlignment="1">
      <alignment horizontal="center" vertical="center"/>
    </xf>
    <xf numFmtId="166" fontId="42" fillId="11" borderId="5" xfId="0" applyNumberFormat="1" applyFont="1" applyFill="1" applyBorder="1" applyAlignment="1">
      <alignment horizontal="center" vertical="center"/>
    </xf>
    <xf numFmtId="166" fontId="42" fillId="3" borderId="67" xfId="1" applyNumberFormat="1" applyFont="1" applyFill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14" borderId="7" xfId="0" applyFont="1" applyFill="1" applyBorder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166" fontId="45" fillId="14" borderId="7" xfId="0" applyNumberFormat="1" applyFont="1" applyFill="1" applyBorder="1" applyAlignment="1">
      <alignment horizontal="center" vertical="center"/>
    </xf>
    <xf numFmtId="166" fontId="47" fillId="14" borderId="7" xfId="0" applyNumberFormat="1" applyFont="1" applyFill="1" applyBorder="1" applyAlignment="1">
      <alignment horizontal="center" vertical="center"/>
    </xf>
    <xf numFmtId="166" fontId="47" fillId="14" borderId="7" xfId="1" applyNumberFormat="1" applyFont="1" applyFill="1" applyBorder="1" applyAlignment="1">
      <alignment horizontal="center" vertical="center"/>
    </xf>
    <xf numFmtId="0" fontId="46" fillId="0" borderId="29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166" fontId="47" fillId="0" borderId="120" xfId="1" applyNumberFormat="1" applyFont="1" applyBorder="1" applyAlignment="1">
      <alignment horizontal="center" vertical="center"/>
    </xf>
    <xf numFmtId="167" fontId="47" fillId="0" borderId="121" xfId="1" applyNumberFormat="1" applyFont="1" applyBorder="1" applyAlignment="1">
      <alignment horizontal="center" vertical="center"/>
    </xf>
    <xf numFmtId="167" fontId="47" fillId="0" borderId="0" xfId="1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8" fontId="47" fillId="0" borderId="120" xfId="2" applyNumberFormat="1" applyFont="1" applyBorder="1" applyAlignment="1">
      <alignment horizontal="center" vertical="center"/>
    </xf>
    <xf numFmtId="168" fontId="47" fillId="0" borderId="6" xfId="2" applyNumberFormat="1" applyFont="1" applyBorder="1" applyAlignment="1">
      <alignment horizontal="center" vertical="center"/>
    </xf>
    <xf numFmtId="168" fontId="47" fillId="0" borderId="121" xfId="2" applyNumberFormat="1" applyFont="1" applyBorder="1" applyAlignment="1">
      <alignment horizontal="center" vertical="center"/>
    </xf>
    <xf numFmtId="0" fontId="49" fillId="0" borderId="103" xfId="0" applyFont="1" applyBorder="1" applyAlignment="1">
      <alignment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108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7" fontId="36" fillId="3" borderId="134" xfId="0" applyNumberFormat="1" applyFont="1" applyFill="1" applyBorder="1" applyAlignment="1">
      <alignment horizontal="center" vertical="center"/>
    </xf>
    <xf numFmtId="167" fontId="30" fillId="3" borderId="135" xfId="0" applyNumberFormat="1" applyFont="1" applyFill="1" applyBorder="1" applyAlignment="1">
      <alignment horizontal="center" vertical="center"/>
    </xf>
    <xf numFmtId="168" fontId="33" fillId="0" borderId="57" xfId="2" applyNumberFormat="1" applyFont="1" applyBorder="1" applyAlignment="1">
      <alignment vertical="center"/>
    </xf>
    <xf numFmtId="168" fontId="33" fillId="0" borderId="58" xfId="2" applyNumberFormat="1" applyFont="1" applyBorder="1" applyAlignment="1">
      <alignment vertical="center"/>
    </xf>
    <xf numFmtId="164" fontId="30" fillId="0" borderId="135" xfId="0" applyNumberFormat="1" applyFont="1" applyBorder="1" applyAlignment="1">
      <alignment vertical="center"/>
    </xf>
    <xf numFmtId="166" fontId="37" fillId="0" borderId="53" xfId="2" applyNumberFormat="1" applyFont="1" applyBorder="1" applyAlignment="1">
      <alignment horizontal="center" vertical="center"/>
    </xf>
    <xf numFmtId="166" fontId="37" fillId="0" borderId="62" xfId="2" applyNumberFormat="1" applyFont="1" applyBorder="1" applyAlignment="1">
      <alignment horizontal="center" vertical="center"/>
    </xf>
    <xf numFmtId="166" fontId="37" fillId="0" borderId="54" xfId="2" applyNumberFormat="1" applyFont="1" applyBorder="1" applyAlignment="1">
      <alignment horizontal="center" vertical="center"/>
    </xf>
    <xf numFmtId="166" fontId="47" fillId="0" borderId="55" xfId="2" applyNumberFormat="1" applyFont="1" applyBorder="1" applyAlignment="1">
      <alignment horizontal="center" vertical="center"/>
    </xf>
    <xf numFmtId="166" fontId="47" fillId="0" borderId="1" xfId="2" applyNumberFormat="1" applyFont="1" applyBorder="1" applyAlignment="1">
      <alignment horizontal="center" vertical="center"/>
    </xf>
    <xf numFmtId="166" fontId="47" fillId="0" borderId="56" xfId="2" applyNumberFormat="1" applyFont="1" applyBorder="1" applyAlignment="1">
      <alignment horizontal="center" vertical="center"/>
    </xf>
    <xf numFmtId="166" fontId="33" fillId="0" borderId="57" xfId="2" applyNumberFormat="1" applyFont="1" applyBorder="1" applyAlignment="1">
      <alignment horizontal="center" vertical="center"/>
    </xf>
    <xf numFmtId="166" fontId="33" fillId="0" borderId="76" xfId="2" applyNumberFormat="1" applyFont="1" applyBorder="1" applyAlignment="1">
      <alignment horizontal="center" vertical="center"/>
    </xf>
    <xf numFmtId="166" fontId="33" fillId="0" borderId="58" xfId="2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73" fontId="36" fillId="17" borderId="98" xfId="0" applyNumberFormat="1" applyFont="1" applyFill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0" fontId="35" fillId="0" borderId="85" xfId="0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7" fontId="49" fillId="0" borderId="103" xfId="1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7" fillId="0" borderId="55" xfId="0" applyNumberFormat="1" applyFont="1" applyBorder="1" applyAlignment="1">
      <alignment horizontal="center" vertical="center"/>
    </xf>
    <xf numFmtId="166" fontId="47" fillId="3" borderId="1" xfId="0" applyNumberFormat="1" applyFont="1" applyFill="1" applyBorder="1" applyAlignment="1">
      <alignment horizontal="center" vertical="center"/>
    </xf>
    <xf numFmtId="166" fontId="47" fillId="0" borderId="56" xfId="0" applyNumberFormat="1" applyFont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0" fontId="35" fillId="0" borderId="85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0" borderId="134" xfId="1" applyNumberFormat="1" applyFont="1" applyBorder="1" applyAlignment="1">
      <alignment horizontal="center" vertical="center"/>
    </xf>
    <xf numFmtId="166" fontId="47" fillId="0" borderId="128" xfId="1" applyNumberFormat="1" applyFont="1" applyBorder="1" applyAlignment="1">
      <alignment horizontal="center" vertical="center"/>
    </xf>
    <xf numFmtId="166" fontId="37" fillId="14" borderId="57" xfId="0" applyNumberFormat="1" applyFont="1" applyFill="1" applyBorder="1" applyAlignment="1">
      <alignment horizontal="center" vertical="center"/>
    </xf>
    <xf numFmtId="166" fontId="37" fillId="14" borderId="78" xfId="0" applyNumberFormat="1" applyFont="1" applyFill="1" applyBorder="1" applyAlignment="1">
      <alignment horizontal="center" vertical="center"/>
    </xf>
    <xf numFmtId="166" fontId="37" fillId="14" borderId="79" xfId="0" applyNumberFormat="1" applyFont="1" applyFill="1" applyBorder="1" applyAlignment="1">
      <alignment horizontal="center" vertical="center"/>
    </xf>
    <xf numFmtId="167" fontId="37" fillId="0" borderId="58" xfId="1" applyNumberFormat="1" applyFont="1" applyBorder="1" applyAlignment="1">
      <alignment horizontal="center" vertical="center"/>
    </xf>
    <xf numFmtId="166" fontId="42" fillId="14" borderId="1" xfId="0" applyNumberFormat="1" applyFont="1" applyFill="1" applyBorder="1" applyAlignment="1">
      <alignment horizontal="right" vertical="center"/>
    </xf>
    <xf numFmtId="166" fontId="42" fillId="14" borderId="48" xfId="0" applyNumberFormat="1" applyFont="1" applyFill="1" applyBorder="1" applyAlignment="1">
      <alignment horizontal="center" vertical="center"/>
    </xf>
    <xf numFmtId="166" fontId="42" fillId="14" borderId="51" xfId="0" applyNumberFormat="1" applyFont="1" applyFill="1" applyBorder="1" applyAlignment="1">
      <alignment horizontal="center" vertical="center"/>
    </xf>
    <xf numFmtId="166" fontId="42" fillId="14" borderId="116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50" fillId="14" borderId="7" xfId="0" applyFont="1" applyFill="1" applyBorder="1" applyAlignment="1">
      <alignment horizontal="center" vertical="center"/>
    </xf>
    <xf numFmtId="166" fontId="41" fillId="14" borderId="7" xfId="0" applyNumberFormat="1" applyFont="1" applyFill="1" applyBorder="1" applyAlignment="1">
      <alignment horizontal="center" vertical="center"/>
    </xf>
    <xf numFmtId="166" fontId="42" fillId="14" borderId="7" xfId="0" applyNumberFormat="1" applyFont="1" applyFill="1" applyBorder="1" applyAlignment="1">
      <alignment horizontal="center" vertical="center"/>
    </xf>
    <xf numFmtId="166" fontId="42" fillId="14" borderId="7" xfId="1" applyNumberFormat="1" applyFont="1" applyFill="1" applyBorder="1" applyAlignment="1">
      <alignment horizontal="center" vertical="center"/>
    </xf>
    <xf numFmtId="0" fontId="50" fillId="0" borderId="29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167" fontId="42" fillId="8" borderId="1" xfId="1" applyNumberFormat="1" applyFont="1" applyFill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42" fillId="0" borderId="55" xfId="1" applyNumberFormat="1" applyFont="1" applyBorder="1" applyAlignment="1">
      <alignment horizontal="center" vertical="center"/>
    </xf>
    <xf numFmtId="166" fontId="42" fillId="12" borderId="1" xfId="0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166" fontId="42" fillId="0" borderId="128" xfId="1" applyNumberFormat="1" applyFont="1" applyBorder="1" applyAlignment="1">
      <alignment horizontal="center" vertical="center"/>
    </xf>
    <xf numFmtId="166" fontId="42" fillId="0" borderId="106" xfId="2" applyNumberFormat="1" applyFont="1" applyBorder="1" applyAlignment="1">
      <alignment horizontal="center" vertical="center"/>
    </xf>
    <xf numFmtId="166" fontId="42" fillId="0" borderId="5" xfId="2" applyNumberFormat="1" applyFont="1" applyBorder="1" applyAlignment="1">
      <alignment horizontal="center" vertical="center"/>
    </xf>
    <xf numFmtId="166" fontId="42" fillId="0" borderId="67" xfId="2" applyNumberFormat="1" applyFont="1" applyBorder="1" applyAlignment="1">
      <alignment horizontal="center" vertical="center"/>
    </xf>
    <xf numFmtId="167" fontId="52" fillId="0" borderId="103" xfId="1" applyNumberFormat="1" applyFont="1" applyBorder="1" applyAlignment="1">
      <alignment horizontal="center" vertical="center"/>
    </xf>
    <xf numFmtId="168" fontId="42" fillId="0" borderId="120" xfId="2" applyNumberFormat="1" applyFont="1" applyBorder="1" applyAlignment="1">
      <alignment horizontal="center" vertical="center"/>
    </xf>
    <xf numFmtId="168" fontId="42" fillId="0" borderId="6" xfId="2" applyNumberFormat="1" applyFont="1" applyBorder="1" applyAlignment="1">
      <alignment horizontal="center" vertical="center"/>
    </xf>
    <xf numFmtId="168" fontId="42" fillId="0" borderId="121" xfId="2" applyNumberFormat="1" applyFont="1" applyBorder="1" applyAlignment="1">
      <alignment horizontal="center" vertical="center"/>
    </xf>
    <xf numFmtId="0" fontId="52" fillId="0" borderId="103" xfId="0" applyFont="1" applyBorder="1" applyAlignment="1">
      <alignment vertical="center"/>
    </xf>
    <xf numFmtId="167" fontId="33" fillId="0" borderId="76" xfId="1" applyNumberFormat="1" applyFont="1" applyBorder="1" applyAlignment="1">
      <alignment vertical="center"/>
    </xf>
    <xf numFmtId="166" fontId="37" fillId="18" borderId="1" xfId="0" applyNumberFormat="1" applyFont="1" applyFill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41" fillId="0" borderId="101" xfId="0" applyFont="1" applyBorder="1" applyAlignment="1">
      <alignment horizontal="center" vertical="center"/>
    </xf>
    <xf numFmtId="0" fontId="41" fillId="3" borderId="101" xfId="0" applyFont="1" applyFill="1" applyBorder="1" applyAlignment="1">
      <alignment horizontal="center" vertical="center"/>
    </xf>
    <xf numFmtId="0" fontId="35" fillId="0" borderId="101" xfId="0" applyFont="1" applyBorder="1" applyAlignment="1">
      <alignment horizontal="center" vertical="center"/>
    </xf>
    <xf numFmtId="0" fontId="29" fillId="0" borderId="101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66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0" fontId="35" fillId="0" borderId="85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7" fontId="42" fillId="0" borderId="106" xfId="1" applyNumberFormat="1" applyFont="1" applyBorder="1" applyAlignment="1">
      <alignment horizontal="center" vertical="center"/>
    </xf>
    <xf numFmtId="166" fontId="42" fillId="12" borderId="5" xfId="0" applyNumberFormat="1" applyFont="1" applyFill="1" applyBorder="1" applyAlignment="1">
      <alignment horizontal="center" vertical="center"/>
    </xf>
    <xf numFmtId="166" fontId="42" fillId="0" borderId="67" xfId="0" applyNumberFormat="1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166" fontId="42" fillId="12" borderId="47" xfId="0" applyNumberFormat="1" applyFont="1" applyFill="1" applyBorder="1" applyAlignment="1">
      <alignment horizontal="center" vertical="center"/>
    </xf>
    <xf numFmtId="166" fontId="42" fillId="0" borderId="158" xfId="1" applyNumberFormat="1" applyFont="1" applyBorder="1" applyAlignment="1">
      <alignment horizontal="center" vertical="center"/>
    </xf>
    <xf numFmtId="166" fontId="42" fillId="3" borderId="5" xfId="0" applyNumberFormat="1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166" fontId="35" fillId="14" borderId="160" xfId="0" applyNumberFormat="1" applyFont="1" applyFill="1" applyBorder="1" applyAlignment="1">
      <alignment horizontal="center" vertical="center"/>
    </xf>
    <xf numFmtId="166" fontId="35" fillId="14" borderId="156" xfId="0" applyNumberFormat="1" applyFont="1" applyFill="1" applyBorder="1" applyAlignment="1">
      <alignment horizontal="center" vertical="center"/>
    </xf>
    <xf numFmtId="166" fontId="37" fillId="14" borderId="156" xfId="0" applyNumberFormat="1" applyFont="1" applyFill="1" applyBorder="1" applyAlignment="1">
      <alignment horizontal="center" vertical="center"/>
    </xf>
    <xf numFmtId="166" fontId="37" fillId="14" borderId="161" xfId="1" applyNumberFormat="1" applyFont="1" applyFill="1" applyBorder="1" applyAlignment="1">
      <alignment horizontal="center" vertical="center"/>
    </xf>
    <xf numFmtId="166" fontId="45" fillId="14" borderId="162" xfId="0" applyNumberFormat="1" applyFont="1" applyFill="1" applyBorder="1" applyAlignment="1">
      <alignment horizontal="center" vertical="center"/>
    </xf>
    <xf numFmtId="166" fontId="47" fillId="14" borderId="163" xfId="1" applyNumberFormat="1" applyFont="1" applyFill="1" applyBorder="1" applyAlignment="1">
      <alignment horizontal="center" vertical="center"/>
    </xf>
    <xf numFmtId="166" fontId="41" fillId="14" borderId="164" xfId="0" applyNumberFormat="1" applyFont="1" applyFill="1" applyBorder="1" applyAlignment="1">
      <alignment horizontal="center" vertical="center"/>
    </xf>
    <xf numFmtId="166" fontId="41" fillId="14" borderId="165" xfId="0" applyNumberFormat="1" applyFont="1" applyFill="1" applyBorder="1" applyAlignment="1">
      <alignment horizontal="center" vertical="center"/>
    </xf>
    <xf numFmtId="166" fontId="42" fillId="14" borderId="165" xfId="0" applyNumberFormat="1" applyFont="1" applyFill="1" applyBorder="1" applyAlignment="1">
      <alignment horizontal="center" vertical="center"/>
    </xf>
    <xf numFmtId="166" fontId="42" fillId="14" borderId="166" xfId="1" applyNumberFormat="1" applyFont="1" applyFill="1" applyBorder="1" applyAlignment="1">
      <alignment horizontal="center" vertical="center"/>
    </xf>
    <xf numFmtId="166" fontId="29" fillId="3" borderId="3" xfId="0" applyNumberFormat="1" applyFont="1" applyFill="1" applyBorder="1" applyAlignment="1">
      <alignment horizontal="center" vertical="center"/>
    </xf>
    <xf numFmtId="167" fontId="33" fillId="3" borderId="3" xfId="1" applyNumberFormat="1" applyFont="1" applyFill="1" applyBorder="1" applyAlignment="1">
      <alignment horizontal="center" vertical="center"/>
    </xf>
    <xf numFmtId="166" fontId="41" fillId="14" borderId="160" xfId="0" applyNumberFormat="1" applyFont="1" applyFill="1" applyBorder="1" applyAlignment="1">
      <alignment horizontal="center" vertical="center"/>
    </xf>
    <xf numFmtId="166" fontId="41" fillId="14" borderId="156" xfId="0" applyNumberFormat="1" applyFont="1" applyFill="1" applyBorder="1" applyAlignment="1">
      <alignment horizontal="center" vertical="center"/>
    </xf>
    <xf numFmtId="166" fontId="42" fillId="14" borderId="156" xfId="0" applyNumberFormat="1" applyFont="1" applyFill="1" applyBorder="1" applyAlignment="1">
      <alignment horizontal="center" vertical="center"/>
    </xf>
    <xf numFmtId="166" fontId="42" fillId="14" borderId="161" xfId="1" applyNumberFormat="1" applyFont="1" applyFill="1" applyBorder="1" applyAlignment="1">
      <alignment horizontal="center" vertical="center"/>
    </xf>
    <xf numFmtId="166" fontId="41" fillId="14" borderId="162" xfId="0" applyNumberFormat="1" applyFont="1" applyFill="1" applyBorder="1" applyAlignment="1">
      <alignment horizontal="center" vertical="center"/>
    </xf>
    <xf numFmtId="166" fontId="42" fillId="14" borderId="163" xfId="1" applyNumberFormat="1" applyFont="1" applyFill="1" applyBorder="1" applyAlignment="1">
      <alignment horizontal="center" vertical="center"/>
    </xf>
    <xf numFmtId="166" fontId="29" fillId="14" borderId="167" xfId="0" applyNumberFormat="1" applyFont="1" applyFill="1" applyBorder="1" applyAlignment="1">
      <alignment horizontal="center" vertical="center"/>
    </xf>
    <xf numFmtId="166" fontId="29" fillId="14" borderId="168" xfId="0" applyNumberFormat="1" applyFont="1" applyFill="1" applyBorder="1" applyAlignment="1">
      <alignment horizontal="center" vertical="center"/>
    </xf>
    <xf numFmtId="166" fontId="33" fillId="14" borderId="168" xfId="0" applyNumberFormat="1" applyFont="1" applyFill="1" applyBorder="1" applyAlignment="1">
      <alignment horizontal="center" vertical="center"/>
    </xf>
    <xf numFmtId="166" fontId="33" fillId="14" borderId="169" xfId="1" applyNumberFormat="1" applyFont="1" applyFill="1" applyBorder="1" applyAlignment="1">
      <alignment horizontal="center" vertical="center"/>
    </xf>
    <xf numFmtId="166" fontId="37" fillId="0" borderId="160" xfId="0" applyNumberFormat="1" applyFont="1" applyBorder="1" applyAlignment="1">
      <alignment horizontal="center" vertical="center"/>
    </xf>
    <xf numFmtId="166" fontId="37" fillId="0" borderId="156" xfId="0" applyNumberFormat="1" applyFont="1" applyBorder="1" applyAlignment="1">
      <alignment horizontal="center" vertical="center"/>
    </xf>
    <xf numFmtId="166" fontId="37" fillId="0" borderId="161" xfId="0" applyNumberFormat="1" applyFont="1" applyBorder="1" applyAlignment="1">
      <alignment horizontal="center" vertical="center"/>
    </xf>
    <xf numFmtId="166" fontId="47" fillId="0" borderId="170" xfId="0" applyNumberFormat="1" applyFont="1" applyBorder="1" applyAlignment="1">
      <alignment horizontal="center" vertical="center"/>
    </xf>
    <xf numFmtId="166" fontId="47" fillId="0" borderId="171" xfId="0" applyNumberFormat="1" applyFont="1" applyBorder="1" applyAlignment="1">
      <alignment horizontal="center" vertical="center"/>
    </xf>
    <xf numFmtId="167" fontId="42" fillId="8" borderId="167" xfId="1" applyNumberFormat="1" applyFont="1" applyFill="1" applyBorder="1" applyAlignment="1">
      <alignment horizontal="center" vertical="center"/>
    </xf>
    <xf numFmtId="167" fontId="42" fillId="8" borderId="168" xfId="1" applyNumberFormat="1" applyFont="1" applyFill="1" applyBorder="1" applyAlignment="1">
      <alignment horizontal="center" vertical="center"/>
    </xf>
    <xf numFmtId="167" fontId="42" fillId="8" borderId="169" xfId="1" applyNumberFormat="1" applyFont="1" applyFill="1" applyBorder="1" applyAlignment="1">
      <alignment horizontal="center" vertical="center"/>
    </xf>
    <xf numFmtId="166" fontId="33" fillId="0" borderId="3" xfId="0" applyNumberFormat="1" applyFont="1" applyBorder="1" applyAlignment="1">
      <alignment horizontal="center" vertical="center"/>
    </xf>
    <xf numFmtId="167" fontId="42" fillId="3" borderId="156" xfId="1" applyNumberFormat="1" applyFont="1" applyFill="1" applyBorder="1" applyAlignment="1">
      <alignment horizontal="center" vertical="center"/>
    </xf>
    <xf numFmtId="167" fontId="42" fillId="3" borderId="161" xfId="1" applyNumberFormat="1" applyFont="1" applyFill="1" applyBorder="1" applyAlignment="1">
      <alignment horizontal="center" vertical="center"/>
    </xf>
    <xf numFmtId="167" fontId="42" fillId="3" borderId="171" xfId="1" applyNumberFormat="1" applyFont="1" applyFill="1" applyBorder="1" applyAlignment="1">
      <alignment horizontal="center" vertical="center"/>
    </xf>
    <xf numFmtId="166" fontId="42" fillId="3" borderId="61" xfId="0" applyNumberFormat="1" applyFont="1" applyFill="1" applyBorder="1" applyAlignment="1">
      <alignment horizontal="center" vertical="center"/>
    </xf>
    <xf numFmtId="166" fontId="42" fillId="3" borderId="160" xfId="1" applyNumberFormat="1" applyFont="1" applyFill="1" applyBorder="1" applyAlignment="1">
      <alignment horizontal="center" vertical="center"/>
    </xf>
    <xf numFmtId="166" fontId="42" fillId="0" borderId="109" xfId="1" applyNumberFormat="1" applyFont="1" applyBorder="1" applyAlignment="1">
      <alignment horizontal="center" vertical="center"/>
    </xf>
    <xf numFmtId="166" fontId="42" fillId="0" borderId="106" xfId="1" applyNumberFormat="1" applyFont="1" applyBorder="1" applyAlignment="1">
      <alignment horizontal="center" vertical="center"/>
    </xf>
    <xf numFmtId="167" fontId="33" fillId="0" borderId="57" xfId="1" applyNumberFormat="1" applyFont="1" applyBorder="1" applyAlignment="1">
      <alignment horizontal="center" vertical="center"/>
    </xf>
    <xf numFmtId="166" fontId="33" fillId="12" borderId="76" xfId="0" applyNumberFormat="1" applyFont="1" applyFill="1" applyBorder="1" applyAlignment="1">
      <alignment horizontal="center" vertical="center"/>
    </xf>
    <xf numFmtId="166" fontId="42" fillId="3" borderId="170" xfId="1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7" fontId="33" fillId="0" borderId="0" xfId="0" applyNumberFormat="1" applyFont="1" applyBorder="1" applyAlignment="1">
      <alignment horizontal="center" vertical="center"/>
    </xf>
    <xf numFmtId="166" fontId="33" fillId="14" borderId="106" xfId="0" applyNumberFormat="1" applyFont="1" applyFill="1" applyBorder="1" applyAlignment="1">
      <alignment horizontal="center" vertical="center"/>
    </xf>
    <xf numFmtId="166" fontId="33" fillId="14" borderId="44" xfId="0" applyNumberFormat="1" applyFont="1" applyFill="1" applyBorder="1" applyAlignment="1">
      <alignment horizontal="center" vertical="center"/>
    </xf>
    <xf numFmtId="166" fontId="33" fillId="14" borderId="113" xfId="0" applyNumberFormat="1" applyFont="1" applyFill="1" applyBorder="1" applyAlignment="1">
      <alignment horizontal="center" vertical="center"/>
    </xf>
    <xf numFmtId="166" fontId="33" fillId="0" borderId="106" xfId="0" applyNumberFormat="1" applyFont="1" applyBorder="1" applyAlignment="1">
      <alignment horizontal="center" vertical="center"/>
    </xf>
    <xf numFmtId="167" fontId="33" fillId="0" borderId="67" xfId="1" applyNumberFormat="1" applyFont="1" applyBorder="1" applyAlignment="1">
      <alignment horizontal="center" vertical="center"/>
    </xf>
    <xf numFmtId="167" fontId="33" fillId="3" borderId="101" xfId="1" applyNumberFormat="1" applyFont="1" applyFill="1" applyBorder="1" applyAlignment="1">
      <alignment horizontal="center" vertical="center"/>
    </xf>
    <xf numFmtId="0" fontId="29" fillId="3" borderId="117" xfId="0" applyFont="1" applyFill="1" applyBorder="1" applyAlignment="1">
      <alignment horizontal="center" vertical="center"/>
    </xf>
    <xf numFmtId="14" fontId="33" fillId="3" borderId="101" xfId="1" applyNumberFormat="1" applyFont="1" applyFill="1" applyBorder="1" applyAlignment="1">
      <alignment horizontal="center" vertical="center"/>
    </xf>
    <xf numFmtId="171" fontId="37" fillId="0" borderId="101" xfId="1" applyNumberFormat="1" applyFont="1" applyBorder="1" applyAlignment="1">
      <alignment horizontal="center" vertical="center"/>
    </xf>
    <xf numFmtId="166" fontId="42" fillId="7" borderId="2" xfId="0" applyNumberFormat="1" applyFont="1" applyFill="1" applyBorder="1" applyAlignment="1">
      <alignment horizontal="center" vertical="center"/>
    </xf>
    <xf numFmtId="166" fontId="37" fillId="7" borderId="114" xfId="0" applyNumberFormat="1" applyFont="1" applyFill="1" applyBorder="1" applyAlignment="1">
      <alignment horizontal="center" vertical="center"/>
    </xf>
    <xf numFmtId="166" fontId="37" fillId="0" borderId="74" xfId="0" applyNumberFormat="1" applyFont="1" applyBorder="1" applyAlignment="1">
      <alignment horizontal="center" vertical="center"/>
    </xf>
    <xf numFmtId="166" fontId="37" fillId="0" borderId="119" xfId="0" applyNumberFormat="1" applyFont="1" applyBorder="1" applyAlignment="1">
      <alignment horizontal="center" vertical="center"/>
    </xf>
    <xf numFmtId="167" fontId="33" fillId="0" borderId="84" xfId="1" applyNumberFormat="1" applyFont="1" applyBorder="1" applyAlignment="1">
      <alignment horizontal="center" vertical="center"/>
    </xf>
    <xf numFmtId="172" fontId="33" fillId="0" borderId="84" xfId="1" applyNumberFormat="1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166" fontId="42" fillId="7" borderId="97" xfId="0" applyNumberFormat="1" applyFont="1" applyFill="1" applyBorder="1" applyAlignment="1">
      <alignment horizontal="center" vertical="center"/>
    </xf>
    <xf numFmtId="166" fontId="42" fillId="7" borderId="134" xfId="0" applyNumberFormat="1" applyFont="1" applyFill="1" applyBorder="1" applyAlignment="1">
      <alignment horizontal="center" vertical="center"/>
    </xf>
    <xf numFmtId="166" fontId="37" fillId="7" borderId="138" xfId="0" applyNumberFormat="1" applyFont="1" applyFill="1" applyBorder="1" applyAlignment="1">
      <alignment horizontal="center" vertical="center"/>
    </xf>
    <xf numFmtId="166" fontId="42" fillId="7" borderId="138" xfId="0" applyNumberFormat="1" applyFont="1" applyFill="1" applyBorder="1" applyAlignment="1">
      <alignment horizontal="center" vertical="center"/>
    </xf>
    <xf numFmtId="166" fontId="37" fillId="7" borderId="128" xfId="0" applyNumberFormat="1" applyFont="1" applyFill="1" applyBorder="1" applyAlignment="1">
      <alignment horizontal="center" vertical="center"/>
    </xf>
    <xf numFmtId="166" fontId="42" fillId="7" borderId="128" xfId="0" applyNumberFormat="1" applyFont="1" applyFill="1" applyBorder="1" applyAlignment="1">
      <alignment horizontal="center" vertical="center"/>
    </xf>
    <xf numFmtId="166" fontId="42" fillId="7" borderId="158" xfId="0" applyNumberFormat="1" applyFont="1" applyFill="1" applyBorder="1" applyAlignment="1">
      <alignment horizontal="center" vertical="center"/>
    </xf>
    <xf numFmtId="166" fontId="37" fillId="7" borderId="97" xfId="0" applyNumberFormat="1" applyFont="1" applyFill="1" applyBorder="1" applyAlignment="1">
      <alignment horizontal="center" vertical="center"/>
    </xf>
    <xf numFmtId="166" fontId="37" fillId="7" borderId="134" xfId="0" applyNumberFormat="1" applyFont="1" applyFill="1" applyBorder="1" applyAlignment="1">
      <alignment horizontal="center" vertical="center"/>
    </xf>
    <xf numFmtId="166" fontId="37" fillId="7" borderId="100" xfId="0" applyNumberFormat="1" applyFont="1" applyFill="1" applyBorder="1" applyAlignment="1">
      <alignment horizontal="center" vertical="center"/>
    </xf>
    <xf numFmtId="166" fontId="42" fillId="7" borderId="135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14" fontId="37" fillId="3" borderId="82" xfId="1" applyNumberFormat="1" applyFont="1" applyFill="1" applyBorder="1" applyAlignment="1">
      <alignment horizontal="center" vertical="center"/>
    </xf>
    <xf numFmtId="167" fontId="37" fillId="3" borderId="85" xfId="1" applyNumberFormat="1" applyFont="1" applyFill="1" applyBorder="1" applyAlignment="1">
      <alignment horizontal="center" vertical="center"/>
    </xf>
    <xf numFmtId="0" fontId="35" fillId="3" borderId="85" xfId="0" applyFont="1" applyFill="1" applyBorder="1" applyAlignment="1">
      <alignment horizontal="center" vertical="center"/>
    </xf>
    <xf numFmtId="0" fontId="35" fillId="3" borderId="83" xfId="0" applyFont="1" applyFill="1" applyBorder="1" applyAlignment="1">
      <alignment horizontal="center" vertical="center"/>
    </xf>
    <xf numFmtId="14" fontId="42" fillId="3" borderId="84" xfId="1" applyNumberFormat="1" applyFont="1" applyFill="1" applyBorder="1" applyAlignment="1">
      <alignment horizontal="center" vertical="center"/>
    </xf>
    <xf numFmtId="167" fontId="42" fillId="3" borderId="84" xfId="1" applyNumberFormat="1" applyFont="1" applyFill="1" applyBorder="1" applyAlignment="1">
      <alignment horizontal="center" vertical="center"/>
    </xf>
    <xf numFmtId="0" fontId="42" fillId="3" borderId="84" xfId="0" applyFont="1" applyFill="1" applyBorder="1" applyAlignment="1">
      <alignment horizontal="center" vertical="center"/>
    </xf>
    <xf numFmtId="0" fontId="41" fillId="3" borderId="84" xfId="0" applyFont="1" applyFill="1" applyBorder="1" applyAlignment="1">
      <alignment horizontal="center" vertical="center"/>
    </xf>
    <xf numFmtId="14" fontId="37" fillId="3" borderId="0" xfId="1" applyNumberFormat="1" applyFont="1" applyFill="1" applyBorder="1" applyAlignment="1">
      <alignment horizontal="center" vertical="center"/>
    </xf>
    <xf numFmtId="14" fontId="42" fillId="3" borderId="0" xfId="1" applyNumberFormat="1" applyFont="1" applyFill="1" applyBorder="1" applyAlignment="1">
      <alignment horizontal="center" vertical="center"/>
    </xf>
    <xf numFmtId="14" fontId="33" fillId="3" borderId="0" xfId="1" applyNumberFormat="1" applyFont="1" applyFill="1" applyBorder="1" applyAlignment="1">
      <alignment horizontal="center" vertical="center"/>
    </xf>
    <xf numFmtId="165" fontId="37" fillId="0" borderId="61" xfId="2" applyFont="1" applyBorder="1" applyAlignment="1">
      <alignment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121" xfId="0" applyNumberFormat="1" applyFont="1" applyFill="1" applyBorder="1" applyAlignment="1">
      <alignment horizontal="center" vertical="center"/>
    </xf>
    <xf numFmtId="166" fontId="47" fillId="3" borderId="121" xfId="0" applyNumberFormat="1" applyFont="1" applyFill="1" applyBorder="1" applyAlignment="1">
      <alignment horizontal="center" vertical="center"/>
    </xf>
    <xf numFmtId="167" fontId="42" fillId="3" borderId="121" xfId="1" applyNumberFormat="1" applyFont="1" applyFill="1" applyBorder="1" applyAlignment="1">
      <alignment horizontal="center" vertical="center"/>
    </xf>
    <xf numFmtId="0" fontId="33" fillId="3" borderId="121" xfId="0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66" fontId="42" fillId="0" borderId="118" xfId="0" applyNumberFormat="1" applyFont="1" applyBorder="1" applyAlignment="1">
      <alignment horizontal="center" vertical="center"/>
    </xf>
    <xf numFmtId="167" fontId="33" fillId="0" borderId="135" xfId="1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67" fontId="30" fillId="0" borderId="80" xfId="1" applyNumberFormat="1" applyFont="1" applyBorder="1" applyAlignment="1">
      <alignment horizontal="center" vertical="center"/>
    </xf>
    <xf numFmtId="167" fontId="30" fillId="0" borderId="81" xfId="1" applyNumberFormat="1" applyFont="1" applyBorder="1" applyAlignment="1">
      <alignment horizontal="center" vertical="center"/>
    </xf>
    <xf numFmtId="167" fontId="30" fillId="0" borderId="82" xfId="1" applyNumberFormat="1" applyFont="1" applyBorder="1" applyAlignment="1">
      <alignment horizontal="center" vertical="center"/>
    </xf>
    <xf numFmtId="167" fontId="30" fillId="0" borderId="83" xfId="1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67" fontId="30" fillId="0" borderId="0" xfId="1" applyNumberFormat="1" applyFont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167" fontId="33" fillId="0" borderId="53" xfId="0" applyNumberFormat="1" applyFont="1" applyBorder="1" applyAlignment="1">
      <alignment horizontal="center" vertical="center"/>
    </xf>
    <xf numFmtId="166" fontId="37" fillId="0" borderId="53" xfId="1" applyNumberFormat="1" applyFont="1" applyBorder="1" applyAlignment="1">
      <alignment horizontal="center" vertical="center"/>
    </xf>
    <xf numFmtId="167" fontId="37" fillId="0" borderId="54" xfId="1" applyNumberFormat="1" applyFont="1" applyBorder="1" applyAlignment="1">
      <alignment horizontal="center" vertical="center"/>
    </xf>
    <xf numFmtId="166" fontId="42" fillId="12" borderId="56" xfId="0" applyNumberFormat="1" applyFont="1" applyFill="1" applyBorder="1" applyAlignment="1">
      <alignment horizontal="center" vertical="center"/>
    </xf>
    <xf numFmtId="167" fontId="30" fillId="0" borderId="98" xfId="1" applyNumberFormat="1" applyFont="1" applyBorder="1" applyAlignment="1">
      <alignment horizontal="center" vertical="center"/>
    </xf>
    <xf numFmtId="167" fontId="30" fillId="0" borderId="100" xfId="1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5" fillId="14" borderId="133" xfId="0" applyNumberFormat="1" applyFont="1" applyFill="1" applyBorder="1" applyAlignment="1">
      <alignment horizontal="center" vertical="center"/>
    </xf>
    <xf numFmtId="166" fontId="45" fillId="14" borderId="133" xfId="0" applyNumberFormat="1" applyFont="1" applyFill="1" applyBorder="1" applyAlignment="1">
      <alignment horizontal="center" vertical="center"/>
    </xf>
    <xf numFmtId="166" fontId="41" fillId="14" borderId="133" xfId="0" applyNumberFormat="1" applyFont="1" applyFill="1" applyBorder="1" applyAlignment="1">
      <alignment horizontal="center" vertical="center"/>
    </xf>
    <xf numFmtId="166" fontId="29" fillId="14" borderId="8" xfId="0" applyNumberFormat="1" applyFont="1" applyFill="1" applyBorder="1" applyAlignment="1">
      <alignment horizontal="center" vertical="center"/>
    </xf>
    <xf numFmtId="166" fontId="47" fillId="14" borderId="1" xfId="0" applyNumberFormat="1" applyFont="1" applyFill="1" applyBorder="1" applyAlignment="1">
      <alignment horizontal="center" vertical="center"/>
    </xf>
    <xf numFmtId="166" fontId="47" fillId="14" borderId="1" xfId="1" applyNumberFormat="1" applyFont="1" applyFill="1" applyBorder="1" applyAlignment="1">
      <alignment horizontal="center" vertical="center"/>
    </xf>
    <xf numFmtId="166" fontId="42" fillId="14" borderId="1" xfId="1" applyNumberFormat="1" applyFont="1" applyFill="1" applyBorder="1" applyAlignment="1">
      <alignment horizontal="center" vertical="center"/>
    </xf>
    <xf numFmtId="0" fontId="35" fillId="3" borderId="10" xfId="0" applyFont="1" applyFill="1" applyBorder="1" applyAlignment="1">
      <alignment horizontal="center" vertical="center"/>
    </xf>
    <xf numFmtId="0" fontId="45" fillId="3" borderId="10" xfId="0" applyFont="1" applyFill="1" applyBorder="1" applyAlignment="1">
      <alignment horizontal="center" vertical="center"/>
    </xf>
    <xf numFmtId="0" fontId="41" fillId="3" borderId="10" xfId="0" applyFont="1" applyFill="1" applyBorder="1" applyAlignment="1">
      <alignment horizontal="center" vertical="center"/>
    </xf>
    <xf numFmtId="166" fontId="33" fillId="0" borderId="76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/>
    </xf>
    <xf numFmtId="167" fontId="37" fillId="14" borderId="5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3" fillId="0" borderId="7" xfId="0" applyNumberFormat="1" applyFont="1" applyBorder="1" applyAlignment="1">
      <alignment horizontal="center" vertical="center"/>
    </xf>
    <xf numFmtId="0" fontId="33" fillId="0" borderId="131" xfId="0" applyFont="1" applyBorder="1" applyAlignment="1">
      <alignment horizontal="center" vertical="center"/>
    </xf>
    <xf numFmtId="166" fontId="33" fillId="0" borderId="5" xfId="0" applyNumberFormat="1" applyFont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167" fontId="33" fillId="0" borderId="7" xfId="1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7" fontId="33" fillId="0" borderId="130" xfId="1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7" fontId="33" fillId="0" borderId="53" xfId="1" applyNumberFormat="1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0" fontId="33" fillId="0" borderId="54" xfId="0" applyFont="1" applyBorder="1" applyAlignment="1">
      <alignment horizontal="center" vertical="center"/>
    </xf>
    <xf numFmtId="0" fontId="33" fillId="0" borderId="57" xfId="0" applyFont="1" applyBorder="1" applyAlignment="1">
      <alignment horizontal="center" vertical="center"/>
    </xf>
    <xf numFmtId="0" fontId="33" fillId="0" borderId="76" xfId="0" applyFont="1" applyBorder="1" applyAlignment="1">
      <alignment horizontal="center" vertical="center"/>
    </xf>
    <xf numFmtId="0" fontId="33" fillId="0" borderId="58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8" fontId="37" fillId="0" borderId="0" xfId="2" applyNumberFormat="1" applyFont="1" applyBorder="1" applyAlignment="1">
      <alignment horizontal="center" vertical="center"/>
    </xf>
    <xf numFmtId="168" fontId="47" fillId="0" borderId="0" xfId="2" applyNumberFormat="1" applyFont="1" applyBorder="1" applyAlignment="1">
      <alignment horizontal="center" vertical="center"/>
    </xf>
    <xf numFmtId="168" fontId="42" fillId="0" borderId="0" xfId="2" applyNumberFormat="1" applyFont="1" applyBorder="1" applyAlignment="1">
      <alignment horizontal="center" vertical="center"/>
    </xf>
    <xf numFmtId="167" fontId="38" fillId="0" borderId="134" xfId="1" applyNumberFormat="1" applyFont="1" applyBorder="1" applyAlignment="1">
      <alignment horizontal="center" vertical="center"/>
    </xf>
    <xf numFmtId="167" fontId="49" fillId="0" borderId="135" xfId="1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9" fontId="33" fillId="0" borderId="53" xfId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167" fontId="33" fillId="0" borderId="1" xfId="1" applyNumberFormat="1" applyFont="1" applyBorder="1" applyAlignment="1">
      <alignment horizontal="center" vertical="center" wrapText="1"/>
    </xf>
    <xf numFmtId="164" fontId="30" fillId="0" borderId="134" xfId="0" applyNumberFormat="1" applyFont="1" applyBorder="1" applyAlignment="1">
      <alignment vertical="center"/>
    </xf>
    <xf numFmtId="168" fontId="33" fillId="0" borderId="53" xfId="2" applyNumberFormat="1" applyFont="1" applyBorder="1" applyAlignment="1">
      <alignment vertical="center"/>
    </xf>
    <xf numFmtId="168" fontId="33" fillId="0" borderId="54" xfId="2" applyNumberFormat="1" applyFont="1" applyBorder="1" applyAlignment="1">
      <alignment vertical="center"/>
    </xf>
    <xf numFmtId="166" fontId="33" fillId="0" borderId="62" xfId="1" applyNumberFormat="1" applyFont="1" applyBorder="1" applyAlignment="1">
      <alignment vertical="center"/>
    </xf>
    <xf numFmtId="14" fontId="33" fillId="3" borderId="1" xfId="0" applyNumberFormat="1" applyFont="1" applyFill="1" applyBorder="1" applyAlignment="1">
      <alignment horizontal="center" vertical="center"/>
    </xf>
    <xf numFmtId="1" fontId="33" fillId="3" borderId="1" xfId="0" applyNumberFormat="1" applyFont="1" applyFill="1" applyBorder="1" applyAlignment="1">
      <alignment horizontal="center" vertical="center"/>
    </xf>
    <xf numFmtId="167" fontId="30" fillId="3" borderId="84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67" fontId="30" fillId="0" borderId="80" xfId="1" applyNumberFormat="1" applyFont="1" applyBorder="1" applyAlignment="1">
      <alignment horizontal="center" vertical="center"/>
    </xf>
    <xf numFmtId="167" fontId="30" fillId="0" borderId="81" xfId="1" applyNumberFormat="1" applyFont="1" applyBorder="1" applyAlignment="1">
      <alignment horizontal="center" vertical="center"/>
    </xf>
    <xf numFmtId="167" fontId="30" fillId="0" borderId="82" xfId="1" applyNumberFormat="1" applyFont="1" applyBorder="1" applyAlignment="1">
      <alignment horizontal="center" vertical="center"/>
    </xf>
    <xf numFmtId="167" fontId="30" fillId="0" borderId="83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6" fontId="42" fillId="0" borderId="120" xfId="2" applyNumberFormat="1" applyFont="1" applyBorder="1" applyAlignment="1">
      <alignment horizontal="center" vertical="center"/>
    </xf>
    <xf numFmtId="166" fontId="42" fillId="0" borderId="6" xfId="2" applyNumberFormat="1" applyFont="1" applyBorder="1" applyAlignment="1">
      <alignment horizontal="center" vertical="center"/>
    </xf>
    <xf numFmtId="166" fontId="47" fillId="0" borderId="131" xfId="2" applyNumberFormat="1" applyFont="1" applyBorder="1" applyAlignment="1">
      <alignment horizontal="center" vertical="center"/>
    </xf>
    <xf numFmtId="166" fontId="47" fillId="0" borderId="57" xfId="2" applyNumberFormat="1" applyFont="1" applyBorder="1" applyAlignment="1">
      <alignment horizontal="center" vertical="center"/>
    </xf>
    <xf numFmtId="166" fontId="47" fillId="0" borderId="76" xfId="2" applyNumberFormat="1" applyFont="1" applyBorder="1" applyAlignment="1">
      <alignment horizontal="center" vertical="center"/>
    </xf>
    <xf numFmtId="166" fontId="47" fillId="0" borderId="58" xfId="2" applyNumberFormat="1" applyFont="1" applyBorder="1" applyAlignment="1">
      <alignment horizontal="center" vertical="center"/>
    </xf>
    <xf numFmtId="174" fontId="37" fillId="0" borderId="61" xfId="2" applyNumberFormat="1" applyFont="1" applyBorder="1" applyAlignment="1">
      <alignment horizontal="center" vertical="center"/>
    </xf>
    <xf numFmtId="168" fontId="33" fillId="0" borderId="57" xfId="2" applyNumberFormat="1" applyFont="1" applyBorder="1" applyAlignment="1">
      <alignment horizontal="center" vertical="center"/>
    </xf>
    <xf numFmtId="167" fontId="33" fillId="0" borderId="76" xfId="1" applyNumberFormat="1" applyFont="1" applyBorder="1" applyAlignment="1">
      <alignment horizontal="center" vertical="center"/>
    </xf>
    <xf numFmtId="168" fontId="33" fillId="0" borderId="58" xfId="2" applyNumberFormat="1" applyFont="1" applyBorder="1" applyAlignment="1">
      <alignment horizontal="center" vertical="center"/>
    </xf>
    <xf numFmtId="164" fontId="30" fillId="0" borderId="135" xfId="0" applyNumberFormat="1" applyFont="1" applyBorder="1" applyAlignment="1">
      <alignment horizontal="center" vertical="center"/>
    </xf>
    <xf numFmtId="0" fontId="32" fillId="0" borderId="103" xfId="0" applyFont="1" applyBorder="1" applyAlignment="1">
      <alignment horizontal="center" vertical="center"/>
    </xf>
    <xf numFmtId="168" fontId="33" fillId="0" borderId="53" xfId="2" applyNumberFormat="1" applyFont="1" applyBorder="1" applyAlignment="1">
      <alignment horizontal="center" vertical="center"/>
    </xf>
    <xf numFmtId="166" fontId="33" fillId="0" borderId="62" xfId="1" applyNumberFormat="1" applyFont="1" applyBorder="1" applyAlignment="1">
      <alignment horizontal="center" vertical="center"/>
    </xf>
    <xf numFmtId="168" fontId="33" fillId="0" borderId="54" xfId="2" applyNumberFormat="1" applyFont="1" applyBorder="1" applyAlignment="1">
      <alignment horizontal="center" vertical="center"/>
    </xf>
    <xf numFmtId="164" fontId="30" fillId="0" borderId="134" xfId="0" applyNumberFormat="1" applyFont="1" applyBorder="1" applyAlignment="1">
      <alignment horizontal="center" vertical="center"/>
    </xf>
    <xf numFmtId="0" fontId="39" fillId="0" borderId="103" xfId="0" applyFont="1" applyBorder="1" applyAlignment="1">
      <alignment horizontal="center" vertical="center"/>
    </xf>
    <xf numFmtId="0" fontId="49" fillId="0" borderId="103" xfId="0" applyFont="1" applyBorder="1" applyAlignment="1">
      <alignment horizontal="center" vertical="center"/>
    </xf>
    <xf numFmtId="0" fontId="52" fillId="0" borderId="103" xfId="0" applyFont="1" applyBorder="1" applyAlignment="1">
      <alignment horizontal="center" vertical="center"/>
    </xf>
    <xf numFmtId="0" fontId="33" fillId="0" borderId="103" xfId="0" applyFont="1" applyBorder="1" applyAlignment="1">
      <alignment horizontal="center" vertical="center"/>
    </xf>
    <xf numFmtId="0" fontId="33" fillId="3" borderId="95" xfId="0" applyFont="1" applyFill="1" applyBorder="1" applyAlignment="1">
      <alignment horizontal="center" vertical="center"/>
    </xf>
    <xf numFmtId="166" fontId="36" fillId="0" borderId="0" xfId="0" applyNumberFormat="1" applyFont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8" fontId="33" fillId="16" borderId="57" xfId="2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3" fillId="0" borderId="1" xfId="0" applyNumberFormat="1" applyFont="1" applyBorder="1" applyAlignment="1">
      <alignment horizontal="center" vertical="center" wrapText="1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67" fontId="30" fillId="0" borderId="80" xfId="1" applyNumberFormat="1" applyFont="1" applyBorder="1" applyAlignment="1">
      <alignment horizontal="center" vertical="center"/>
    </xf>
    <xf numFmtId="167" fontId="30" fillId="0" borderId="81" xfId="1" applyNumberFormat="1" applyFont="1" applyBorder="1" applyAlignment="1">
      <alignment horizontal="center" vertical="center"/>
    </xf>
    <xf numFmtId="167" fontId="30" fillId="0" borderId="82" xfId="1" applyNumberFormat="1" applyFont="1" applyBorder="1" applyAlignment="1">
      <alignment horizontal="center" vertical="center"/>
    </xf>
    <xf numFmtId="167" fontId="30" fillId="0" borderId="83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6" fontId="29" fillId="14" borderId="8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67" fontId="30" fillId="0" borderId="80" xfId="1" applyNumberFormat="1" applyFont="1" applyBorder="1" applyAlignment="1">
      <alignment horizontal="center" vertical="center"/>
    </xf>
    <xf numFmtId="167" fontId="30" fillId="0" borderId="81" xfId="1" applyNumberFormat="1" applyFont="1" applyBorder="1" applyAlignment="1">
      <alignment horizontal="center" vertical="center"/>
    </xf>
    <xf numFmtId="167" fontId="30" fillId="0" borderId="82" xfId="1" applyNumberFormat="1" applyFont="1" applyBorder="1" applyAlignment="1">
      <alignment horizontal="center" vertical="center"/>
    </xf>
    <xf numFmtId="167" fontId="30" fillId="0" borderId="83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7" fontId="37" fillId="3" borderId="101" xfId="1" applyNumberFormat="1" applyFont="1" applyFill="1" applyBorder="1" applyAlignment="1">
      <alignment horizontal="center" vertical="center"/>
    </xf>
    <xf numFmtId="167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3" borderId="6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/>
    </xf>
    <xf numFmtId="166" fontId="45" fillId="3" borderId="6" xfId="0" applyNumberFormat="1" applyFont="1" applyFill="1" applyBorder="1" applyAlignment="1">
      <alignment horizontal="center" vertical="center"/>
    </xf>
    <xf numFmtId="166" fontId="41" fillId="3" borderId="6" xfId="0" applyNumberFormat="1" applyFont="1" applyFill="1" applyBorder="1" applyAlignment="1">
      <alignment horizontal="center" vertical="center"/>
    </xf>
    <xf numFmtId="166" fontId="47" fillId="3" borderId="6" xfId="0" applyNumberFormat="1" applyFont="1" applyFill="1" applyBorder="1" applyAlignment="1">
      <alignment horizontal="center" vertical="center"/>
    </xf>
    <xf numFmtId="166" fontId="42" fillId="3" borderId="24" xfId="0" applyNumberFormat="1" applyFont="1" applyFill="1" applyBorder="1" applyAlignment="1">
      <alignment horizontal="center" vertical="center"/>
    </xf>
    <xf numFmtId="14" fontId="33" fillId="3" borderId="6" xfId="0" applyNumberFormat="1" applyFont="1" applyFill="1" applyBorder="1" applyAlignment="1">
      <alignment horizontal="center" vertical="center"/>
    </xf>
    <xf numFmtId="167" fontId="33" fillId="3" borderId="6" xfId="1" applyNumberFormat="1" applyFont="1" applyFill="1" applyBorder="1" applyAlignment="1">
      <alignment horizontal="center" vertical="center"/>
    </xf>
    <xf numFmtId="167" fontId="42" fillId="3" borderId="6" xfId="1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166" fontId="33" fillId="3" borderId="2" xfId="0" applyNumberFormat="1" applyFont="1" applyFill="1" applyBorder="1" applyAlignment="1">
      <alignment horizontal="center" vertical="center"/>
    </xf>
    <xf numFmtId="9" fontId="33" fillId="3" borderId="2" xfId="1" applyNumberFormat="1" applyFont="1" applyFill="1" applyBorder="1" applyAlignment="1">
      <alignment horizontal="center" vertical="center"/>
    </xf>
    <xf numFmtId="166" fontId="37" fillId="0" borderId="175" xfId="0" applyNumberFormat="1" applyFont="1" applyBorder="1" applyAlignment="1">
      <alignment horizontal="center" vertical="center"/>
    </xf>
    <xf numFmtId="166" fontId="37" fillId="0" borderId="177" xfId="0" applyNumberFormat="1" applyFont="1" applyBorder="1" applyAlignment="1">
      <alignment horizontal="center" vertical="center"/>
    </xf>
    <xf numFmtId="166" fontId="42" fillId="0" borderId="182" xfId="0" applyNumberFormat="1" applyFont="1" applyBorder="1" applyAlignment="1">
      <alignment horizontal="center" vertical="center"/>
    </xf>
    <xf numFmtId="166" fontId="33" fillId="14" borderId="175" xfId="0" applyNumberFormat="1" applyFont="1" applyFill="1" applyBorder="1" applyAlignment="1">
      <alignment horizontal="center" vertical="center"/>
    </xf>
    <xf numFmtId="166" fontId="37" fillId="14" borderId="181" xfId="0" applyNumberFormat="1" applyFont="1" applyFill="1" applyBorder="1" applyAlignment="1">
      <alignment horizontal="center" vertical="center"/>
    </xf>
    <xf numFmtId="166" fontId="33" fillId="14" borderId="181" xfId="0" applyNumberFormat="1" applyFont="1" applyFill="1" applyBorder="1" applyAlignment="1">
      <alignment horizontal="center" vertical="center"/>
    </xf>
    <xf numFmtId="166" fontId="37" fillId="14" borderId="178" xfId="0" applyNumberFormat="1" applyFont="1" applyFill="1" applyBorder="1" applyAlignment="1">
      <alignment horizontal="center" vertical="center"/>
    </xf>
    <xf numFmtId="166" fontId="37" fillId="14" borderId="188" xfId="0" applyNumberFormat="1" applyFont="1" applyFill="1" applyBorder="1" applyAlignment="1">
      <alignment horizontal="center" vertical="center"/>
    </xf>
    <xf numFmtId="166" fontId="37" fillId="14" borderId="189" xfId="0" applyNumberFormat="1" applyFont="1" applyFill="1" applyBorder="1" applyAlignment="1">
      <alignment horizontal="center" vertical="center"/>
    </xf>
    <xf numFmtId="166" fontId="37" fillId="14" borderId="190" xfId="0" applyNumberFormat="1" applyFont="1" applyFill="1" applyBorder="1" applyAlignment="1">
      <alignment horizontal="center" vertical="center"/>
    </xf>
    <xf numFmtId="166" fontId="37" fillId="0" borderId="191" xfId="0" applyNumberFormat="1" applyFont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9" fontId="42" fillId="7" borderId="1" xfId="1" applyNumberFormat="1" applyFont="1" applyFill="1" applyBorder="1" applyAlignment="1">
      <alignment horizontal="center" vertical="center"/>
    </xf>
    <xf numFmtId="9" fontId="37" fillId="7" borderId="1" xfId="1" applyNumberFormat="1" applyFont="1" applyFill="1" applyBorder="1" applyAlignment="1">
      <alignment horizontal="center" vertical="center"/>
    </xf>
    <xf numFmtId="166" fontId="42" fillId="7" borderId="175" xfId="0" applyNumberFormat="1" applyFont="1" applyFill="1" applyBorder="1" applyAlignment="1">
      <alignment horizontal="center" vertical="center"/>
    </xf>
    <xf numFmtId="166" fontId="42" fillId="7" borderId="183" xfId="0" applyNumberFormat="1" applyFont="1" applyFill="1" applyBorder="1" applyAlignment="1">
      <alignment horizontal="center" vertical="center"/>
    </xf>
    <xf numFmtId="166" fontId="42" fillId="7" borderId="184" xfId="0" applyNumberFormat="1" applyFont="1" applyFill="1" applyBorder="1" applyAlignment="1">
      <alignment horizontal="center" vertical="center"/>
    </xf>
    <xf numFmtId="166" fontId="37" fillId="7" borderId="195" xfId="0" applyNumberFormat="1" applyFont="1" applyFill="1" applyBorder="1" applyAlignment="1">
      <alignment horizontal="center" vertical="center"/>
    </xf>
    <xf numFmtId="166" fontId="37" fillId="7" borderId="196" xfId="0" applyNumberFormat="1" applyFont="1" applyFill="1" applyBorder="1" applyAlignment="1">
      <alignment horizontal="center" vertical="center"/>
    </xf>
    <xf numFmtId="166" fontId="42" fillId="7" borderId="195" xfId="0" applyNumberFormat="1" applyFont="1" applyFill="1" applyBorder="1" applyAlignment="1">
      <alignment horizontal="center" vertical="center"/>
    </xf>
    <xf numFmtId="166" fontId="42" fillId="7" borderId="196" xfId="0" applyNumberFormat="1" applyFont="1" applyFill="1" applyBorder="1" applyAlignment="1">
      <alignment horizontal="center" vertical="center"/>
    </xf>
    <xf numFmtId="166" fontId="37" fillId="7" borderId="181" xfId="0" applyNumberFormat="1" applyFont="1" applyFill="1" applyBorder="1" applyAlignment="1">
      <alignment horizontal="center" vertical="center"/>
    </xf>
    <xf numFmtId="166" fontId="37" fillId="7" borderId="187" xfId="0" applyNumberFormat="1" applyFont="1" applyFill="1" applyBorder="1" applyAlignment="1">
      <alignment horizontal="center" vertical="center"/>
    </xf>
    <xf numFmtId="166" fontId="42" fillId="7" borderId="181" xfId="0" applyNumberFormat="1" applyFont="1" applyFill="1" applyBorder="1" applyAlignment="1">
      <alignment horizontal="center" vertical="center"/>
    </xf>
    <xf numFmtId="166" fontId="42" fillId="7" borderId="182" xfId="0" applyNumberFormat="1" applyFont="1" applyFill="1" applyBorder="1" applyAlignment="1">
      <alignment horizontal="center" vertical="center"/>
    </xf>
    <xf numFmtId="166" fontId="37" fillId="7" borderId="182" xfId="0" applyNumberFormat="1" applyFont="1" applyFill="1" applyBorder="1" applyAlignment="1">
      <alignment horizontal="center" vertical="center"/>
    </xf>
    <xf numFmtId="166" fontId="42" fillId="7" borderId="178" xfId="0" applyNumberFormat="1" applyFont="1" applyFill="1" applyBorder="1" applyAlignment="1">
      <alignment horizontal="center" vertical="center"/>
    </xf>
    <xf numFmtId="166" fontId="42" fillId="7" borderId="185" xfId="0" applyNumberFormat="1" applyFont="1" applyFill="1" applyBorder="1" applyAlignment="1">
      <alignment horizontal="center" vertical="center"/>
    </xf>
    <xf numFmtId="166" fontId="42" fillId="7" borderId="186" xfId="0" applyNumberFormat="1" applyFont="1" applyFill="1" applyBorder="1" applyAlignment="1">
      <alignment horizontal="center" vertical="center"/>
    </xf>
    <xf numFmtId="0" fontId="50" fillId="3" borderId="6" xfId="0" applyFont="1" applyFill="1" applyBorder="1" applyAlignment="1">
      <alignment horizontal="center" vertical="center"/>
    </xf>
    <xf numFmtId="166" fontId="50" fillId="14" borderId="1" xfId="0" applyNumberFormat="1" applyFont="1" applyFill="1" applyBorder="1" applyAlignment="1">
      <alignment horizontal="center" vertical="center"/>
    </xf>
    <xf numFmtId="166" fontId="50" fillId="3" borderId="6" xfId="0" applyNumberFormat="1" applyFont="1" applyFill="1" applyBorder="1" applyAlignment="1">
      <alignment horizontal="center" vertical="center"/>
    </xf>
    <xf numFmtId="167" fontId="50" fillId="14" borderId="1" xfId="1" applyNumberFormat="1" applyFont="1" applyFill="1" applyBorder="1" applyAlignment="1">
      <alignment horizontal="center" vertical="center"/>
    </xf>
    <xf numFmtId="167" fontId="50" fillId="3" borderId="29" xfId="1" applyNumberFormat="1" applyFont="1" applyFill="1" applyBorder="1" applyAlignment="1">
      <alignment horizontal="center" vertical="center"/>
    </xf>
    <xf numFmtId="9" fontId="50" fillId="3" borderId="0" xfId="1" applyNumberFormat="1" applyFont="1" applyFill="1" applyBorder="1" applyAlignment="1">
      <alignment horizontal="center" vertical="center"/>
    </xf>
    <xf numFmtId="166" fontId="37" fillId="7" borderId="175" xfId="0" applyNumberFormat="1" applyFont="1" applyFill="1" applyBorder="1" applyAlignment="1">
      <alignment horizontal="center" vertical="center"/>
    </xf>
    <xf numFmtId="166" fontId="37" fillId="7" borderId="183" xfId="0" applyNumberFormat="1" applyFont="1" applyFill="1" applyBorder="1" applyAlignment="1">
      <alignment horizontal="center" vertical="center"/>
    </xf>
    <xf numFmtId="166" fontId="37" fillId="7" borderId="184" xfId="0" applyNumberFormat="1" applyFont="1" applyFill="1" applyBorder="1" applyAlignment="1">
      <alignment horizontal="center" vertical="center"/>
    </xf>
    <xf numFmtId="166" fontId="42" fillId="7" borderId="187" xfId="0" applyNumberFormat="1" applyFont="1" applyFill="1" applyBorder="1" applyAlignment="1">
      <alignment horizontal="center" vertical="center"/>
    </xf>
    <xf numFmtId="166" fontId="37" fillId="7" borderId="197" xfId="0" applyNumberFormat="1" applyFont="1" applyFill="1" applyBorder="1" applyAlignment="1">
      <alignment horizontal="center" vertical="center"/>
    </xf>
    <xf numFmtId="166" fontId="37" fillId="7" borderId="198" xfId="0" applyNumberFormat="1" applyFont="1" applyFill="1" applyBorder="1" applyAlignment="1">
      <alignment horizontal="center" vertical="center"/>
    </xf>
    <xf numFmtId="166" fontId="37" fillId="7" borderId="174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42" fillId="3" borderId="175" xfId="0" applyNumberFormat="1" applyFont="1" applyFill="1" applyBorder="1" applyAlignment="1">
      <alignment horizontal="center" vertical="center"/>
    </xf>
    <xf numFmtId="166" fontId="42" fillId="3" borderId="183" xfId="0" applyNumberFormat="1" applyFont="1" applyFill="1" applyBorder="1" applyAlignment="1">
      <alignment horizontal="center" vertical="center"/>
    </xf>
    <xf numFmtId="166" fontId="42" fillId="3" borderId="184" xfId="0" applyNumberFormat="1" applyFont="1" applyFill="1" applyBorder="1" applyAlignment="1">
      <alignment horizontal="center" vertical="center"/>
    </xf>
    <xf numFmtId="166" fontId="37" fillId="0" borderId="178" xfId="0" applyNumberFormat="1" applyFont="1" applyBorder="1" applyAlignment="1">
      <alignment horizontal="center" vertical="center"/>
    </xf>
    <xf numFmtId="166" fontId="37" fillId="0" borderId="185" xfId="0" applyNumberFormat="1" applyFont="1" applyBorder="1" applyAlignment="1">
      <alignment horizontal="center" vertical="center"/>
    </xf>
    <xf numFmtId="166" fontId="37" fillId="0" borderId="186" xfId="0" applyNumberFormat="1" applyFont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36" fillId="3" borderId="1" xfId="0" applyNumberFormat="1" applyFont="1" applyFill="1" applyBorder="1" applyAlignment="1">
      <alignment horizontal="center" vertical="center"/>
    </xf>
    <xf numFmtId="166" fontId="36" fillId="11" borderId="1" xfId="0" applyNumberFormat="1" applyFont="1" applyFill="1" applyBorder="1" applyAlignment="1">
      <alignment horizontal="center" vertical="center"/>
    </xf>
    <xf numFmtId="166" fontId="37" fillId="3" borderId="1" xfId="1" applyNumberFormat="1" applyFont="1" applyFill="1" applyBorder="1" applyAlignment="1">
      <alignment horizontal="center" vertical="center"/>
    </xf>
    <xf numFmtId="166" fontId="42" fillId="3" borderId="1" xfId="1" applyNumberFormat="1" applyFont="1" applyFill="1" applyBorder="1" applyAlignment="1">
      <alignment horizontal="center" vertical="center"/>
    </xf>
    <xf numFmtId="166" fontId="36" fillId="3" borderId="1" xfId="1" applyNumberFormat="1" applyFont="1" applyFill="1" applyBorder="1" applyAlignment="1">
      <alignment horizontal="center" vertical="center"/>
    </xf>
    <xf numFmtId="166" fontId="37" fillId="0" borderId="176" xfId="0" applyNumberFormat="1" applyFont="1" applyBorder="1" applyAlignment="1">
      <alignment horizontal="center" vertical="center"/>
    </xf>
    <xf numFmtId="166" fontId="42" fillId="0" borderId="181" xfId="0" applyNumberFormat="1" applyFont="1" applyBorder="1" applyAlignment="1">
      <alignment horizontal="center" vertical="center"/>
    </xf>
    <xf numFmtId="166" fontId="37" fillId="0" borderId="179" xfId="0" applyNumberFormat="1" applyFont="1" applyBorder="1" applyAlignment="1">
      <alignment horizontal="center" vertical="center"/>
    </xf>
    <xf numFmtId="166" fontId="37" fillId="0" borderId="180" xfId="0" applyNumberFormat="1" applyFont="1" applyBorder="1" applyAlignment="1">
      <alignment horizontal="center" vertical="center"/>
    </xf>
    <xf numFmtId="166" fontId="36" fillId="3" borderId="6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0" fontId="39" fillId="0" borderId="101" xfId="0" applyFont="1" applyBorder="1" applyAlignment="1">
      <alignment horizontal="center" vertical="center"/>
    </xf>
    <xf numFmtId="0" fontId="39" fillId="0" borderId="117" xfId="0" applyFont="1" applyBorder="1" applyAlignment="1">
      <alignment horizontal="center" vertical="center"/>
    </xf>
    <xf numFmtId="0" fontId="39" fillId="0" borderId="133" xfId="0" applyFont="1" applyBorder="1" applyAlignment="1">
      <alignment horizontal="center" vertical="center" wrapText="1"/>
    </xf>
    <xf numFmtId="0" fontId="39" fillId="0" borderId="60" xfId="0" applyFont="1" applyBorder="1" applyAlignment="1">
      <alignment horizontal="center" vertical="center" wrapText="1"/>
    </xf>
    <xf numFmtId="168" fontId="35" fillId="0" borderId="0" xfId="2" applyNumberFormat="1" applyFont="1" applyBorder="1" applyAlignment="1">
      <alignment horizontal="center" vertical="center"/>
    </xf>
    <xf numFmtId="20" fontId="29" fillId="3" borderId="0" xfId="0" applyNumberFormat="1" applyFont="1" applyFill="1" applyBorder="1" applyAlignment="1">
      <alignment horizontal="center" vertical="center"/>
    </xf>
    <xf numFmtId="46" fontId="29" fillId="3" borderId="0" xfId="0" applyNumberFormat="1" applyFont="1" applyFill="1" applyBorder="1" applyAlignment="1">
      <alignment horizontal="center" vertical="center"/>
    </xf>
    <xf numFmtId="166" fontId="36" fillId="3" borderId="4" xfId="0" applyNumberFormat="1" applyFont="1" applyFill="1" applyBorder="1" applyAlignment="1">
      <alignment horizontal="center" vertical="center"/>
    </xf>
    <xf numFmtId="166" fontId="36" fillId="14" borderId="1" xfId="0" applyNumberFormat="1" applyFont="1" applyFill="1" applyBorder="1" applyAlignment="1">
      <alignment horizontal="center" vertical="center"/>
    </xf>
    <xf numFmtId="166" fontId="36" fillId="14" borderId="1" xfId="1" applyNumberFormat="1" applyFont="1" applyFill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 textRotation="90"/>
    </xf>
    <xf numFmtId="166" fontId="54" fillId="0" borderId="0" xfId="0" applyNumberFormat="1" applyFont="1" applyBorder="1" applyAlignment="1">
      <alignment horizontal="center" vertical="center" textRotation="90"/>
    </xf>
    <xf numFmtId="167" fontId="41" fillId="3" borderId="0" xfId="0" applyNumberFormat="1" applyFont="1" applyFill="1" applyBorder="1" applyAlignment="1">
      <alignment horizontal="center" vertical="center"/>
    </xf>
    <xf numFmtId="1" fontId="37" fillId="3" borderId="1" xfId="0" applyNumberFormat="1" applyFont="1" applyFill="1" applyBorder="1" applyAlignment="1">
      <alignment horizontal="center" vertical="center"/>
    </xf>
    <xf numFmtId="1" fontId="37" fillId="3" borderId="6" xfId="0" applyNumberFormat="1" applyFont="1" applyFill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 textRotation="90"/>
    </xf>
    <xf numFmtId="166" fontId="55" fillId="0" borderId="0" xfId="0" applyNumberFormat="1" applyFont="1" applyBorder="1" applyAlignment="1">
      <alignment horizontal="center" vertical="center" textRotation="90"/>
    </xf>
    <xf numFmtId="166" fontId="33" fillId="14" borderId="176" xfId="0" applyNumberFormat="1" applyFont="1" applyFill="1" applyBorder="1" applyAlignment="1">
      <alignment horizontal="center" vertical="center"/>
    </xf>
    <xf numFmtId="166" fontId="33" fillId="14" borderId="177" xfId="0" applyNumberFormat="1" applyFont="1" applyFill="1" applyBorder="1" applyAlignment="1">
      <alignment horizontal="center" vertical="center"/>
    </xf>
    <xf numFmtId="166" fontId="37" fillId="14" borderId="182" xfId="0" applyNumberFormat="1" applyFont="1" applyFill="1" applyBorder="1" applyAlignment="1">
      <alignment horizontal="center" vertical="center"/>
    </xf>
    <xf numFmtId="166" fontId="42" fillId="14" borderId="182" xfId="0" applyNumberFormat="1" applyFont="1" applyFill="1" applyBorder="1" applyAlignment="1">
      <alignment horizontal="center" vertical="center"/>
    </xf>
    <xf numFmtId="166" fontId="33" fillId="14" borderId="182" xfId="0" applyNumberFormat="1" applyFont="1" applyFill="1" applyBorder="1" applyAlignment="1">
      <alignment horizontal="center" vertical="center"/>
    </xf>
    <xf numFmtId="166" fontId="37" fillId="14" borderId="179" xfId="0" applyNumberFormat="1" applyFont="1" applyFill="1" applyBorder="1" applyAlignment="1">
      <alignment horizontal="center" vertical="center"/>
    </xf>
    <xf numFmtId="166" fontId="37" fillId="14" borderId="180" xfId="0" applyNumberFormat="1" applyFont="1" applyFill="1" applyBorder="1" applyAlignment="1">
      <alignment horizontal="center" vertical="center"/>
    </xf>
    <xf numFmtId="166" fontId="50" fillId="14" borderId="188" xfId="0" applyNumberFormat="1" applyFont="1" applyFill="1" applyBorder="1" applyAlignment="1">
      <alignment horizontal="center" vertical="center"/>
    </xf>
    <xf numFmtId="166" fontId="50" fillId="14" borderId="189" xfId="0" applyNumberFormat="1" applyFont="1" applyFill="1" applyBorder="1" applyAlignment="1">
      <alignment horizontal="center" vertical="center"/>
    </xf>
    <xf numFmtId="166" fontId="50" fillId="14" borderId="190" xfId="0" applyNumberFormat="1" applyFont="1" applyFill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47" fillId="0" borderId="0" xfId="1" applyNumberFormat="1" applyFont="1" applyBorder="1" applyAlignment="1">
      <alignment horizontal="center" vertical="center"/>
    </xf>
    <xf numFmtId="1" fontId="37" fillId="3" borderId="0" xfId="1" applyNumberFormat="1" applyFont="1" applyFill="1" applyBorder="1" applyAlignment="1">
      <alignment horizontal="center" vertical="center"/>
    </xf>
    <xf numFmtId="1" fontId="33" fillId="3" borderId="0" xfId="1" applyNumberFormat="1" applyFont="1" applyFill="1" applyBorder="1" applyAlignment="1">
      <alignment horizontal="center" vertical="center"/>
    </xf>
    <xf numFmtId="1" fontId="37" fillId="3" borderId="217" xfId="1" applyNumberFormat="1" applyFont="1" applyFill="1" applyBorder="1" applyAlignment="1">
      <alignment horizontal="center" vertical="center"/>
    </xf>
    <xf numFmtId="1" fontId="33" fillId="3" borderId="217" xfId="1" applyNumberFormat="1" applyFont="1" applyFill="1" applyBorder="1" applyAlignment="1">
      <alignment horizontal="center" vertical="center"/>
    </xf>
    <xf numFmtId="167" fontId="36" fillId="3" borderId="0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67" fontId="56" fillId="0" borderId="80" xfId="1" applyNumberFormat="1" applyFont="1" applyBorder="1" applyAlignment="1">
      <alignment horizontal="center" vertical="center"/>
    </xf>
    <xf numFmtId="167" fontId="49" fillId="0" borderId="101" xfId="1" applyNumberFormat="1" applyFont="1" applyBorder="1" applyAlignment="1">
      <alignment horizontal="center" vertical="center"/>
    </xf>
    <xf numFmtId="167" fontId="29" fillId="0" borderId="219" xfId="1" applyNumberFormat="1" applyFont="1" applyBorder="1" applyAlignment="1">
      <alignment horizontal="center" vertical="center"/>
    </xf>
    <xf numFmtId="167" fontId="29" fillId="0" borderId="220" xfId="1" applyNumberFormat="1" applyFont="1" applyBorder="1" applyAlignment="1">
      <alignment horizontal="center" vertical="center"/>
    </xf>
    <xf numFmtId="0" fontId="29" fillId="0" borderId="220" xfId="0" applyFont="1" applyBorder="1" applyAlignment="1">
      <alignment horizontal="center" vertical="center"/>
    </xf>
    <xf numFmtId="166" fontId="29" fillId="0" borderId="221" xfId="1" applyNumberFormat="1" applyFont="1" applyBorder="1" applyAlignment="1">
      <alignment horizontal="center" vertical="center"/>
    </xf>
    <xf numFmtId="14" fontId="37" fillId="0" borderId="218" xfId="0" applyNumberFormat="1" applyFont="1" applyBorder="1" applyAlignment="1">
      <alignment horizontal="center" vertical="center"/>
    </xf>
    <xf numFmtId="167" fontId="35" fillId="0" borderId="217" xfId="1" applyNumberFormat="1" applyFont="1" applyBorder="1" applyAlignment="1">
      <alignment horizontal="center" vertical="center"/>
    </xf>
    <xf numFmtId="14" fontId="42" fillId="0" borderId="218" xfId="0" applyNumberFormat="1" applyFont="1" applyBorder="1" applyAlignment="1">
      <alignment horizontal="center" vertical="center"/>
    </xf>
    <xf numFmtId="167" fontId="41" fillId="3" borderId="217" xfId="1" applyNumberFormat="1" applyFont="1" applyFill="1" applyBorder="1" applyAlignment="1">
      <alignment horizontal="center" vertical="center"/>
    </xf>
    <xf numFmtId="0" fontId="37" fillId="0" borderId="218" xfId="0" applyFont="1" applyBorder="1" applyAlignment="1">
      <alignment horizontal="center" vertical="center"/>
    </xf>
    <xf numFmtId="167" fontId="35" fillId="3" borderId="217" xfId="1" applyNumberFormat="1" applyFont="1" applyFill="1" applyBorder="1" applyAlignment="1">
      <alignment horizontal="center" vertical="center"/>
    </xf>
    <xf numFmtId="14" fontId="33" fillId="0" borderId="218" xfId="0" applyNumberFormat="1" applyFont="1" applyBorder="1" applyAlignment="1">
      <alignment horizontal="center" vertical="center"/>
    </xf>
    <xf numFmtId="167" fontId="29" fillId="3" borderId="217" xfId="1" applyNumberFormat="1" applyFont="1" applyFill="1" applyBorder="1" applyAlignment="1">
      <alignment horizontal="center" vertical="center"/>
    </xf>
    <xf numFmtId="14" fontId="37" fillId="3" borderId="218" xfId="1" applyNumberFormat="1" applyFont="1" applyFill="1" applyBorder="1" applyAlignment="1">
      <alignment horizontal="center" vertical="center"/>
    </xf>
    <xf numFmtId="1" fontId="42" fillId="3" borderId="218" xfId="0" applyNumberFormat="1" applyFont="1" applyFill="1" applyBorder="1" applyAlignment="1">
      <alignment horizontal="center" vertical="center"/>
    </xf>
    <xf numFmtId="167" fontId="42" fillId="0" borderId="218" xfId="1" applyNumberFormat="1" applyFont="1" applyBorder="1" applyAlignment="1">
      <alignment horizontal="center" vertical="center"/>
    </xf>
    <xf numFmtId="167" fontId="37" fillId="3" borderId="218" xfId="1" applyNumberFormat="1" applyFont="1" applyFill="1" applyBorder="1" applyAlignment="1">
      <alignment horizontal="center" vertical="center"/>
    </xf>
    <xf numFmtId="167" fontId="41" fillId="0" borderId="217" xfId="1" applyNumberFormat="1" applyFont="1" applyBorder="1" applyAlignment="1">
      <alignment horizontal="center" vertical="center"/>
    </xf>
    <xf numFmtId="171" fontId="37" fillId="0" borderId="218" xfId="1" applyNumberFormat="1" applyFont="1" applyBorder="1" applyAlignment="1">
      <alignment horizontal="center" vertical="center"/>
    </xf>
    <xf numFmtId="167" fontId="37" fillId="0" borderId="218" xfId="1" applyNumberFormat="1" applyFont="1" applyBorder="1" applyAlignment="1">
      <alignment horizontal="center" vertical="center"/>
    </xf>
    <xf numFmtId="167" fontId="33" fillId="3" borderId="218" xfId="1" applyNumberFormat="1" applyFont="1" applyFill="1" applyBorder="1" applyAlignment="1">
      <alignment horizontal="center" vertical="center"/>
    </xf>
    <xf numFmtId="167" fontId="29" fillId="0" borderId="217" xfId="1" applyNumberFormat="1" applyFont="1" applyBorder="1" applyAlignment="1">
      <alignment horizontal="center" vertical="center"/>
    </xf>
    <xf numFmtId="167" fontId="33" fillId="0" borderId="218" xfId="1" applyNumberFormat="1" applyFont="1" applyBorder="1" applyAlignment="1">
      <alignment horizontal="center" vertical="center"/>
    </xf>
    <xf numFmtId="14" fontId="37" fillId="3" borderId="222" xfId="1" applyNumberFormat="1" applyFont="1" applyFill="1" applyBorder="1" applyAlignment="1">
      <alignment horizontal="center" vertical="center"/>
    </xf>
    <xf numFmtId="167" fontId="37" fillId="3" borderId="223" xfId="1" applyNumberFormat="1" applyFont="1" applyFill="1" applyBorder="1" applyAlignment="1">
      <alignment horizontal="center" vertical="center"/>
    </xf>
    <xf numFmtId="0" fontId="37" fillId="3" borderId="223" xfId="0" applyFont="1" applyFill="1" applyBorder="1" applyAlignment="1">
      <alignment horizontal="center" vertical="center"/>
    </xf>
    <xf numFmtId="0" fontId="35" fillId="3" borderId="223" xfId="0" applyFont="1" applyFill="1" applyBorder="1" applyAlignment="1">
      <alignment horizontal="center" vertical="center"/>
    </xf>
    <xf numFmtId="167" fontId="35" fillId="0" borderId="174" xfId="1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8" fontId="33" fillId="6" borderId="53" xfId="2" applyNumberFormat="1" applyFont="1" applyFill="1" applyBorder="1" applyAlignment="1">
      <alignment vertical="center"/>
    </xf>
    <xf numFmtId="164" fontId="30" fillId="0" borderId="112" xfId="0" applyNumberFormat="1" applyFont="1" applyBorder="1" applyAlignment="1">
      <alignment vertical="center"/>
    </xf>
    <xf numFmtId="164" fontId="30" fillId="0" borderId="224" xfId="0" applyNumberFormat="1" applyFont="1" applyBorder="1" applyAlignment="1">
      <alignment vertical="center"/>
    </xf>
    <xf numFmtId="167" fontId="38" fillId="0" borderId="112" xfId="1" applyNumberFormat="1" applyFont="1" applyBorder="1" applyAlignment="1">
      <alignment horizontal="center" vertical="center"/>
    </xf>
    <xf numFmtId="168" fontId="29" fillId="6" borderId="211" xfId="2" applyNumberFormat="1" applyFont="1" applyFill="1" applyBorder="1" applyAlignment="1">
      <alignment horizontal="center" vertical="center"/>
    </xf>
    <xf numFmtId="168" fontId="29" fillId="6" borderId="213" xfId="2" applyNumberFormat="1" applyFont="1" applyFill="1" applyBorder="1" applyAlignment="1">
      <alignment horizontal="center" vertical="center"/>
    </xf>
    <xf numFmtId="168" fontId="37" fillId="6" borderId="212" xfId="2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4" fontId="33" fillId="16" borderId="57" xfId="2" applyNumberFormat="1" applyFont="1" applyFill="1" applyBorder="1" applyAlignment="1">
      <alignment horizontal="center" vertical="center"/>
    </xf>
    <xf numFmtId="164" fontId="30" fillId="0" borderId="224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33" fillId="14" borderId="7" xfId="0" applyFont="1" applyFill="1" applyBorder="1" applyAlignment="1">
      <alignment horizontal="center" vertical="center"/>
    </xf>
    <xf numFmtId="166" fontId="37" fillId="7" borderId="228" xfId="0" applyNumberFormat="1" applyFont="1" applyFill="1" applyBorder="1" applyAlignment="1">
      <alignment horizontal="center" vertical="center"/>
    </xf>
    <xf numFmtId="166" fontId="37" fillId="7" borderId="229" xfId="0" applyNumberFormat="1" applyFont="1" applyFill="1" applyBorder="1" applyAlignment="1">
      <alignment horizontal="center" vertical="center"/>
    </xf>
    <xf numFmtId="166" fontId="37" fillId="7" borderId="230" xfId="0" applyNumberFormat="1" applyFont="1" applyFill="1" applyBorder="1" applyAlignment="1">
      <alignment horizontal="center" vertical="center"/>
    </xf>
    <xf numFmtId="166" fontId="42" fillId="7" borderId="228" xfId="0" applyNumberFormat="1" applyFont="1" applyFill="1" applyBorder="1" applyAlignment="1">
      <alignment horizontal="center" vertical="center"/>
    </xf>
    <xf numFmtId="166" fontId="42" fillId="7" borderId="229" xfId="0" applyNumberFormat="1" applyFont="1" applyFill="1" applyBorder="1" applyAlignment="1">
      <alignment horizontal="center" vertical="center"/>
    </xf>
    <xf numFmtId="166" fontId="42" fillId="7" borderId="230" xfId="0" applyNumberFormat="1" applyFont="1" applyFill="1" applyBorder="1" applyAlignment="1">
      <alignment horizontal="center" vertical="center"/>
    </xf>
    <xf numFmtId="166" fontId="37" fillId="3" borderId="7" xfId="0" applyNumberFormat="1" applyFont="1" applyFill="1" applyBorder="1" applyAlignment="1">
      <alignment horizontal="center" vertical="center"/>
    </xf>
    <xf numFmtId="166" fontId="37" fillId="0" borderId="130" xfId="0" applyNumberFormat="1" applyFont="1" applyBorder="1" applyAlignment="1">
      <alignment horizontal="center" vertical="center"/>
    </xf>
    <xf numFmtId="166" fontId="37" fillId="0" borderId="131" xfId="0" applyNumberFormat="1" applyFont="1" applyBorder="1" applyAlignment="1">
      <alignment horizontal="center" vertical="center"/>
    </xf>
    <xf numFmtId="167" fontId="56" fillId="0" borderId="101" xfId="1" applyNumberFormat="1" applyFont="1" applyBorder="1" applyAlignment="1">
      <alignment horizontal="center" vertical="center"/>
    </xf>
    <xf numFmtId="0" fontId="33" fillId="0" borderId="2" xfId="0" applyFont="1" applyBorder="1" applyAlignment="1">
      <alignment vertical="center"/>
    </xf>
    <xf numFmtId="166" fontId="37" fillId="6" borderId="1" xfId="0" applyNumberFormat="1" applyFont="1" applyFill="1" applyBorder="1" applyAlignment="1">
      <alignment horizontal="center" vertical="center"/>
    </xf>
    <xf numFmtId="166" fontId="37" fillId="6" borderId="1" xfId="1" applyNumberFormat="1" applyFont="1" applyFill="1" applyBorder="1" applyAlignment="1">
      <alignment horizontal="center" vertical="center"/>
    </xf>
    <xf numFmtId="166" fontId="29" fillId="6" borderId="1" xfId="0" applyNumberFormat="1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vertical="center"/>
    </xf>
    <xf numFmtId="0" fontId="37" fillId="14" borderId="7" xfId="0" applyFont="1" applyFill="1" applyBorder="1" applyAlignment="1">
      <alignment horizontal="center" vertical="center"/>
    </xf>
    <xf numFmtId="14" fontId="33" fillId="14" borderId="1" xfId="0" applyNumberFormat="1" applyFont="1" applyFill="1" applyBorder="1" applyAlignment="1">
      <alignment horizontal="center" vertical="center"/>
    </xf>
    <xf numFmtId="1" fontId="37" fillId="14" borderId="1" xfId="0" applyNumberFormat="1" applyFont="1" applyFill="1" applyBorder="1" applyAlignment="1">
      <alignment horizontal="center" vertical="center"/>
    </xf>
    <xf numFmtId="0" fontId="37" fillId="16" borderId="7" xfId="0" applyFont="1" applyFill="1" applyBorder="1" applyAlignment="1">
      <alignment horizontal="center" vertical="center"/>
    </xf>
    <xf numFmtId="167" fontId="33" fillId="16" borderId="1" xfId="1" applyNumberFormat="1" applyFont="1" applyFill="1" applyBorder="1" applyAlignment="1">
      <alignment horizontal="center" vertical="center"/>
    </xf>
    <xf numFmtId="166" fontId="47" fillId="16" borderId="1" xfId="0" applyNumberFormat="1" applyFont="1" applyFill="1" applyBorder="1" applyAlignment="1">
      <alignment horizontal="center" vertical="center"/>
    </xf>
    <xf numFmtId="14" fontId="33" fillId="16" borderId="1" xfId="0" applyNumberFormat="1" applyFont="1" applyFill="1" applyBorder="1" applyAlignment="1">
      <alignment horizontal="center" vertical="center"/>
    </xf>
    <xf numFmtId="1" fontId="37" fillId="16" borderId="1" xfId="0" applyNumberFormat="1" applyFont="1" applyFill="1" applyBorder="1" applyAlignment="1">
      <alignment horizontal="center" vertical="center"/>
    </xf>
    <xf numFmtId="166" fontId="50" fillId="16" borderId="1" xfId="0" applyNumberFormat="1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vertical="center"/>
    </xf>
    <xf numFmtId="166" fontId="47" fillId="16" borderId="1" xfId="1" applyNumberFormat="1" applyFont="1" applyFill="1" applyBorder="1" applyAlignment="1">
      <alignment horizontal="center" vertical="center"/>
    </xf>
    <xf numFmtId="166" fontId="42" fillId="16" borderId="1" xfId="1" applyNumberFormat="1" applyFont="1" applyFill="1" applyBorder="1" applyAlignment="1">
      <alignment horizontal="center" vertical="center"/>
    </xf>
    <xf numFmtId="167" fontId="33" fillId="14" borderId="175" xfId="0" applyNumberFormat="1" applyFont="1" applyFill="1" applyBorder="1" applyAlignment="1">
      <alignment horizontal="center" vertical="center"/>
    </xf>
    <xf numFmtId="0" fontId="32" fillId="14" borderId="176" xfId="0" applyFont="1" applyFill="1" applyBorder="1" applyAlignment="1">
      <alignment horizontal="center" vertical="center"/>
    </xf>
    <xf numFmtId="0" fontId="32" fillId="14" borderId="177" xfId="0" applyFont="1" applyFill="1" applyBorder="1" applyAlignment="1">
      <alignment horizontal="center" vertical="center"/>
    </xf>
    <xf numFmtId="166" fontId="33" fillId="14" borderId="178" xfId="0" applyNumberFormat="1" applyFont="1" applyFill="1" applyBorder="1" applyAlignment="1">
      <alignment horizontal="center" vertical="center"/>
    </xf>
    <xf numFmtId="166" fontId="33" fillId="14" borderId="179" xfId="0" applyNumberFormat="1" applyFont="1" applyFill="1" applyBorder="1" applyAlignment="1">
      <alignment horizontal="center" vertical="center"/>
    </xf>
    <xf numFmtId="0" fontId="32" fillId="14" borderId="180" xfId="0" applyFont="1" applyFill="1" applyBorder="1" applyAlignment="1">
      <alignment horizontal="center" vertical="center"/>
    </xf>
    <xf numFmtId="166" fontId="37" fillId="14" borderId="175" xfId="0" applyNumberFormat="1" applyFont="1" applyFill="1" applyBorder="1" applyAlignment="1">
      <alignment horizontal="center" vertical="center"/>
    </xf>
    <xf numFmtId="166" fontId="37" fillId="14" borderId="176" xfId="0" applyNumberFormat="1" applyFont="1" applyFill="1" applyBorder="1" applyAlignment="1">
      <alignment horizontal="center" vertical="center"/>
    </xf>
    <xf numFmtId="166" fontId="37" fillId="14" borderId="177" xfId="0" applyNumberFormat="1" applyFont="1" applyFill="1" applyBorder="1" applyAlignment="1">
      <alignment horizontal="center" vertical="center"/>
    </xf>
    <xf numFmtId="166" fontId="37" fillId="14" borderId="195" xfId="0" applyNumberFormat="1" applyFont="1" applyFill="1" applyBorder="1" applyAlignment="1">
      <alignment horizontal="center" vertical="center"/>
    </xf>
    <xf numFmtId="166" fontId="37" fillId="14" borderId="214" xfId="0" applyNumberFormat="1" applyFont="1" applyFill="1" applyBorder="1" applyAlignment="1">
      <alignment horizontal="center" vertical="center"/>
    </xf>
    <xf numFmtId="166" fontId="47" fillId="14" borderId="181" xfId="0" applyNumberFormat="1" applyFont="1" applyFill="1" applyBorder="1" applyAlignment="1">
      <alignment horizontal="center" vertical="center"/>
    </xf>
    <xf numFmtId="166" fontId="47" fillId="14" borderId="182" xfId="0" applyNumberFormat="1" applyFont="1" applyFill="1" applyBorder="1" applyAlignment="1">
      <alignment horizontal="center" vertical="center"/>
    </xf>
    <xf numFmtId="167" fontId="42" fillId="14" borderId="181" xfId="1" applyNumberFormat="1" applyFont="1" applyFill="1" applyBorder="1" applyAlignment="1">
      <alignment horizontal="center" vertical="center"/>
    </xf>
    <xf numFmtId="167" fontId="33" fillId="14" borderId="180" xfId="1" applyNumberFormat="1" applyFont="1" applyFill="1" applyBorder="1" applyAlignment="1">
      <alignment horizontal="center" vertical="center"/>
    </xf>
    <xf numFmtId="166" fontId="37" fillId="14" borderId="183" xfId="0" applyNumberFormat="1" applyFont="1" applyFill="1" applyBorder="1" applyAlignment="1">
      <alignment horizontal="center" vertical="center"/>
    </xf>
    <xf numFmtId="166" fontId="37" fillId="14" borderId="184" xfId="0" applyNumberFormat="1" applyFont="1" applyFill="1" applyBorder="1" applyAlignment="1">
      <alignment horizontal="center" vertical="center"/>
    </xf>
    <xf numFmtId="166" fontId="33" fillId="14" borderId="185" xfId="0" applyNumberFormat="1" applyFont="1" applyFill="1" applyBorder="1" applyAlignment="1">
      <alignment horizontal="center" vertical="center"/>
    </xf>
    <xf numFmtId="166" fontId="33" fillId="14" borderId="186" xfId="0" applyNumberFormat="1" applyFont="1" applyFill="1" applyBorder="1" applyAlignment="1">
      <alignment horizontal="center" vertical="center"/>
    </xf>
    <xf numFmtId="0" fontId="33" fillId="14" borderId="178" xfId="0" applyFont="1" applyFill="1" applyBorder="1" applyAlignment="1">
      <alignment horizontal="center" vertical="center"/>
    </xf>
    <xf numFmtId="0" fontId="33" fillId="14" borderId="179" xfId="0" applyFont="1" applyFill="1" applyBorder="1" applyAlignment="1">
      <alignment horizontal="center" vertical="center"/>
    </xf>
    <xf numFmtId="0" fontId="33" fillId="14" borderId="180" xfId="0" applyFont="1" applyFill="1" applyBorder="1" applyAlignment="1">
      <alignment horizontal="center" vertical="center"/>
    </xf>
    <xf numFmtId="166" fontId="42" fillId="13" borderId="1" xfId="0" applyNumberFormat="1" applyFont="1" applyFill="1" applyBorder="1" applyAlignment="1">
      <alignment horizontal="center" vertical="center"/>
    </xf>
    <xf numFmtId="166" fontId="42" fillId="13" borderId="182" xfId="0" applyNumberFormat="1" applyFont="1" applyFill="1" applyBorder="1" applyAlignment="1">
      <alignment horizontal="center" vertical="center"/>
    </xf>
    <xf numFmtId="166" fontId="42" fillId="13" borderId="182" xfId="1" applyNumberFormat="1" applyFont="1" applyFill="1" applyBorder="1" applyAlignment="1">
      <alignment horizontal="center" vertical="center"/>
    </xf>
    <xf numFmtId="167" fontId="30" fillId="14" borderId="195" xfId="1" applyNumberFormat="1" applyFont="1" applyFill="1" applyBorder="1" applyAlignment="1">
      <alignment horizontal="center" vertical="center"/>
    </xf>
    <xf numFmtId="167" fontId="30" fillId="14" borderId="214" xfId="1" applyNumberFormat="1" applyFont="1" applyFill="1" applyBorder="1" applyAlignment="1">
      <alignment horizontal="center" vertical="center"/>
    </xf>
    <xf numFmtId="167" fontId="30" fillId="14" borderId="178" xfId="1" applyNumberFormat="1" applyFont="1" applyFill="1" applyBorder="1" applyAlignment="1">
      <alignment horizontal="center" vertical="center"/>
    </xf>
    <xf numFmtId="167" fontId="30" fillId="14" borderId="180" xfId="1" applyNumberFormat="1" applyFont="1" applyFill="1" applyBorder="1" applyAlignment="1">
      <alignment horizontal="center" vertical="center"/>
    </xf>
    <xf numFmtId="166" fontId="37" fillId="14" borderId="175" xfId="1" applyNumberFormat="1" applyFont="1" applyFill="1" applyBorder="1" applyAlignment="1">
      <alignment horizontal="center" vertical="center"/>
    </xf>
    <xf numFmtId="167" fontId="37" fillId="14" borderId="177" xfId="1" applyNumberFormat="1" applyFont="1" applyFill="1" applyBorder="1" applyAlignment="1">
      <alignment horizontal="center" vertical="center"/>
    </xf>
    <xf numFmtId="166" fontId="37" fillId="14" borderId="195" xfId="1" applyNumberFormat="1" applyFont="1" applyFill="1" applyBorder="1" applyAlignment="1">
      <alignment horizontal="center" vertical="center"/>
    </xf>
    <xf numFmtId="167" fontId="37" fillId="14" borderId="214" xfId="1" applyNumberFormat="1" applyFont="1" applyFill="1" applyBorder="1" applyAlignment="1">
      <alignment horizontal="center" vertical="center"/>
    </xf>
    <xf numFmtId="166" fontId="47" fillId="14" borderId="181" xfId="1" applyNumberFormat="1" applyFont="1" applyFill="1" applyBorder="1" applyAlignment="1">
      <alignment horizontal="center" vertical="center"/>
    </xf>
    <xf numFmtId="167" fontId="47" fillId="14" borderId="182" xfId="1" applyNumberFormat="1" applyFont="1" applyFill="1" applyBorder="1" applyAlignment="1">
      <alignment horizontal="center" vertical="center"/>
    </xf>
    <xf numFmtId="167" fontId="36" fillId="14" borderId="211" xfId="0" applyNumberFormat="1" applyFont="1" applyFill="1" applyBorder="1" applyAlignment="1">
      <alignment horizontal="center" vertical="center"/>
    </xf>
    <xf numFmtId="167" fontId="30" fillId="14" borderId="212" xfId="0" applyNumberFormat="1" applyFont="1" applyFill="1" applyBorder="1" applyAlignment="1">
      <alignment horizontal="center" vertical="center"/>
    </xf>
    <xf numFmtId="168" fontId="37" fillId="16" borderId="109" xfId="2" applyNumberFormat="1" applyFont="1" applyFill="1" applyBorder="1" applyAlignment="1">
      <alignment horizontal="center" vertical="center"/>
    </xf>
    <xf numFmtId="174" fontId="37" fillId="16" borderId="61" xfId="2" applyNumberFormat="1" applyFont="1" applyFill="1" applyBorder="1" applyAlignment="1">
      <alignment horizontal="center" vertical="center"/>
    </xf>
    <xf numFmtId="166" fontId="37" fillId="16" borderId="66" xfId="2" applyNumberFormat="1" applyFont="1" applyFill="1" applyBorder="1" applyAlignment="1">
      <alignment horizontal="center" vertical="center"/>
    </xf>
    <xf numFmtId="167" fontId="33" fillId="16" borderId="76" xfId="1" applyNumberFormat="1" applyFont="1" applyFill="1" applyBorder="1" applyAlignment="1">
      <alignment horizontal="center" vertical="center"/>
    </xf>
    <xf numFmtId="168" fontId="33" fillId="16" borderId="58" xfId="2" applyNumberFormat="1" applyFont="1" applyFill="1" applyBorder="1" applyAlignment="1">
      <alignment horizontal="center" vertical="center"/>
    </xf>
    <xf numFmtId="168" fontId="33" fillId="16" borderId="53" xfId="2" applyNumberFormat="1" applyFont="1" applyFill="1" applyBorder="1" applyAlignment="1">
      <alignment horizontal="center" vertical="center"/>
    </xf>
    <xf numFmtId="166" fontId="33" fillId="16" borderId="62" xfId="1" applyNumberFormat="1" applyFont="1" applyFill="1" applyBorder="1" applyAlignment="1">
      <alignment horizontal="center" vertical="center"/>
    </xf>
    <xf numFmtId="168" fontId="33" fillId="16" borderId="54" xfId="2" applyNumberFormat="1" applyFont="1" applyFill="1" applyBorder="1" applyAlignment="1">
      <alignment horizontal="center" vertical="center"/>
    </xf>
    <xf numFmtId="166" fontId="37" fillId="16" borderId="53" xfId="2" applyNumberFormat="1" applyFont="1" applyFill="1" applyBorder="1" applyAlignment="1">
      <alignment horizontal="center" vertical="center"/>
    </xf>
    <xf numFmtId="166" fontId="37" fillId="16" borderId="62" xfId="2" applyNumberFormat="1" applyFont="1" applyFill="1" applyBorder="1" applyAlignment="1">
      <alignment horizontal="center" vertical="center"/>
    </xf>
    <xf numFmtId="166" fontId="37" fillId="16" borderId="54" xfId="2" applyNumberFormat="1" applyFont="1" applyFill="1" applyBorder="1" applyAlignment="1">
      <alignment horizontal="center" vertical="center"/>
    </xf>
    <xf numFmtId="166" fontId="37" fillId="16" borderId="120" xfId="2" applyNumberFormat="1" applyFont="1" applyFill="1" applyBorder="1" applyAlignment="1">
      <alignment horizontal="center" vertical="center"/>
    </xf>
    <xf numFmtId="166" fontId="37" fillId="16" borderId="6" xfId="2" applyNumberFormat="1" applyFont="1" applyFill="1" applyBorder="1" applyAlignment="1">
      <alignment horizontal="center" vertical="center"/>
    </xf>
    <xf numFmtId="166" fontId="37" fillId="16" borderId="121" xfId="2" applyNumberFormat="1" applyFont="1" applyFill="1" applyBorder="1" applyAlignment="1">
      <alignment horizontal="center" vertical="center"/>
    </xf>
    <xf numFmtId="166" fontId="47" fillId="16" borderId="57" xfId="2" applyNumberFormat="1" applyFont="1" applyFill="1" applyBorder="1" applyAlignment="1">
      <alignment horizontal="center" vertical="center"/>
    </xf>
    <xf numFmtId="166" fontId="47" fillId="16" borderId="76" xfId="2" applyNumberFormat="1" applyFont="1" applyFill="1" applyBorder="1" applyAlignment="1">
      <alignment horizontal="center" vertical="center"/>
    </xf>
    <xf numFmtId="166" fontId="47" fillId="16" borderId="58" xfId="2" applyNumberFormat="1" applyFont="1" applyFill="1" applyBorder="1" applyAlignment="1">
      <alignment horizontal="center" vertical="center"/>
    </xf>
    <xf numFmtId="166" fontId="42" fillId="16" borderId="120" xfId="2" applyNumberFormat="1" applyFont="1" applyFill="1" applyBorder="1" applyAlignment="1">
      <alignment horizontal="center" vertical="center"/>
    </xf>
    <xf numFmtId="166" fontId="42" fillId="16" borderId="6" xfId="2" applyNumberFormat="1" applyFont="1" applyFill="1" applyBorder="1" applyAlignment="1">
      <alignment horizontal="center" vertical="center"/>
    </xf>
    <xf numFmtId="166" fontId="47" fillId="16" borderId="131" xfId="2" applyNumberFormat="1" applyFont="1" applyFill="1" applyBorder="1" applyAlignment="1">
      <alignment horizontal="center" vertical="center"/>
    </xf>
    <xf numFmtId="166" fontId="33" fillId="16" borderId="57" xfId="2" applyNumberFormat="1" applyFont="1" applyFill="1" applyBorder="1" applyAlignment="1">
      <alignment horizontal="center" vertical="center"/>
    </xf>
    <xf numFmtId="166" fontId="33" fillId="16" borderId="76" xfId="2" applyNumberFormat="1" applyFont="1" applyFill="1" applyBorder="1" applyAlignment="1">
      <alignment horizontal="center" vertical="center"/>
    </xf>
    <xf numFmtId="166" fontId="33" fillId="16" borderId="58" xfId="2" applyNumberFormat="1" applyFont="1" applyFill="1" applyBorder="1" applyAlignment="1">
      <alignment horizontal="center" vertical="center"/>
    </xf>
    <xf numFmtId="168" fontId="37" fillId="14" borderId="109" xfId="2" applyNumberFormat="1" applyFont="1" applyFill="1" applyBorder="1" applyAlignment="1">
      <alignment horizontal="center" vertical="center"/>
    </xf>
    <xf numFmtId="174" fontId="37" fillId="14" borderId="61" xfId="2" applyNumberFormat="1" applyFont="1" applyFill="1" applyBorder="1" applyAlignment="1">
      <alignment horizontal="center" vertical="center"/>
    </xf>
    <xf numFmtId="166" fontId="37" fillId="14" borderId="66" xfId="2" applyNumberFormat="1" applyFont="1" applyFill="1" applyBorder="1" applyAlignment="1">
      <alignment horizontal="center" vertical="center"/>
    </xf>
    <xf numFmtId="168" fontId="33" fillId="14" borderId="57" xfId="2" applyNumberFormat="1" applyFont="1" applyFill="1" applyBorder="1" applyAlignment="1">
      <alignment horizontal="center" vertical="center"/>
    </xf>
    <xf numFmtId="167" fontId="33" fillId="14" borderId="76" xfId="1" applyNumberFormat="1" applyFont="1" applyFill="1" applyBorder="1" applyAlignment="1">
      <alignment horizontal="center" vertical="center"/>
    </xf>
    <xf numFmtId="168" fontId="33" fillId="14" borderId="58" xfId="2" applyNumberFormat="1" applyFont="1" applyFill="1" applyBorder="1" applyAlignment="1">
      <alignment horizontal="center" vertical="center"/>
    </xf>
    <xf numFmtId="168" fontId="33" fillId="14" borderId="53" xfId="2" applyNumberFormat="1" applyFont="1" applyFill="1" applyBorder="1" applyAlignment="1">
      <alignment horizontal="center" vertical="center"/>
    </xf>
    <xf numFmtId="166" fontId="33" fillId="14" borderId="62" xfId="1" applyNumberFormat="1" applyFont="1" applyFill="1" applyBorder="1" applyAlignment="1">
      <alignment horizontal="center" vertical="center"/>
    </xf>
    <xf numFmtId="168" fontId="33" fillId="14" borderId="54" xfId="2" applyNumberFormat="1" applyFont="1" applyFill="1" applyBorder="1" applyAlignment="1">
      <alignment horizontal="center" vertical="center"/>
    </xf>
    <xf numFmtId="166" fontId="37" fillId="14" borderId="53" xfId="2" applyNumberFormat="1" applyFont="1" applyFill="1" applyBorder="1" applyAlignment="1">
      <alignment horizontal="center" vertical="center"/>
    </xf>
    <xf numFmtId="166" fontId="37" fillId="14" borderId="62" xfId="2" applyNumberFormat="1" applyFont="1" applyFill="1" applyBorder="1" applyAlignment="1">
      <alignment horizontal="center" vertical="center"/>
    </xf>
    <xf numFmtId="166" fontId="37" fillId="14" borderId="54" xfId="2" applyNumberFormat="1" applyFont="1" applyFill="1" applyBorder="1" applyAlignment="1">
      <alignment horizontal="center" vertical="center"/>
    </xf>
    <xf numFmtId="166" fontId="37" fillId="14" borderId="120" xfId="2" applyNumberFormat="1" applyFont="1" applyFill="1" applyBorder="1" applyAlignment="1">
      <alignment horizontal="center" vertical="center"/>
    </xf>
    <xf numFmtId="166" fontId="37" fillId="14" borderId="6" xfId="2" applyNumberFormat="1" applyFont="1" applyFill="1" applyBorder="1" applyAlignment="1">
      <alignment horizontal="center" vertical="center"/>
    </xf>
    <xf numFmtId="166" fontId="37" fillId="14" borderId="121" xfId="2" applyNumberFormat="1" applyFont="1" applyFill="1" applyBorder="1" applyAlignment="1">
      <alignment horizontal="center" vertical="center"/>
    </xf>
    <xf numFmtId="166" fontId="47" fillId="14" borderId="57" xfId="2" applyNumberFormat="1" applyFont="1" applyFill="1" applyBorder="1" applyAlignment="1">
      <alignment horizontal="center" vertical="center"/>
    </xf>
    <xf numFmtId="166" fontId="47" fillId="14" borderId="76" xfId="2" applyNumberFormat="1" applyFont="1" applyFill="1" applyBorder="1" applyAlignment="1">
      <alignment horizontal="center" vertical="center"/>
    </xf>
    <xf numFmtId="166" fontId="47" fillId="14" borderId="58" xfId="2" applyNumberFormat="1" applyFont="1" applyFill="1" applyBorder="1" applyAlignment="1">
      <alignment horizontal="center" vertical="center"/>
    </xf>
    <xf numFmtId="166" fontId="42" fillId="14" borderId="120" xfId="2" applyNumberFormat="1" applyFont="1" applyFill="1" applyBorder="1" applyAlignment="1">
      <alignment horizontal="center" vertical="center"/>
    </xf>
    <xf numFmtId="166" fontId="42" fillId="14" borderId="6" xfId="2" applyNumberFormat="1" applyFont="1" applyFill="1" applyBorder="1" applyAlignment="1">
      <alignment horizontal="center" vertical="center"/>
    </xf>
    <xf numFmtId="166" fontId="47" fillId="14" borderId="131" xfId="2" applyNumberFormat="1" applyFont="1" applyFill="1" applyBorder="1" applyAlignment="1">
      <alignment horizontal="center" vertical="center"/>
    </xf>
    <xf numFmtId="166" fontId="33" fillId="14" borderId="57" xfId="2" applyNumberFormat="1" applyFont="1" applyFill="1" applyBorder="1" applyAlignment="1">
      <alignment horizontal="center" vertical="center"/>
    </xf>
    <xf numFmtId="166" fontId="33" fillId="14" borderId="76" xfId="2" applyNumberFormat="1" applyFont="1" applyFill="1" applyBorder="1" applyAlignment="1">
      <alignment horizontal="center" vertical="center"/>
    </xf>
    <xf numFmtId="166" fontId="33" fillId="14" borderId="58" xfId="2" applyNumberFormat="1" applyFont="1" applyFill="1" applyBorder="1" applyAlignment="1">
      <alignment horizontal="center" vertical="center"/>
    </xf>
    <xf numFmtId="164" fontId="30" fillId="14" borderId="135" xfId="0" applyNumberFormat="1" applyFont="1" applyFill="1" applyBorder="1" applyAlignment="1">
      <alignment horizontal="center" vertical="center"/>
    </xf>
    <xf numFmtId="164" fontId="36" fillId="14" borderId="99" xfId="0" applyNumberFormat="1" applyFont="1" applyFill="1" applyBorder="1" applyAlignment="1">
      <alignment horizontal="center" vertical="center"/>
    </xf>
    <xf numFmtId="164" fontId="30" fillId="14" borderId="134" xfId="0" applyNumberFormat="1" applyFont="1" applyFill="1" applyBorder="1" applyAlignment="1">
      <alignment horizontal="center" vertical="center"/>
    </xf>
    <xf numFmtId="168" fontId="37" fillId="17" borderId="109" xfId="2" applyNumberFormat="1" applyFont="1" applyFill="1" applyBorder="1" applyAlignment="1">
      <alignment horizontal="center" vertical="center"/>
    </xf>
    <xf numFmtId="174" fontId="37" fillId="17" borderId="61" xfId="2" applyNumberFormat="1" applyFont="1" applyFill="1" applyBorder="1" applyAlignment="1">
      <alignment horizontal="center" vertical="center"/>
    </xf>
    <xf numFmtId="166" fontId="37" fillId="17" borderId="66" xfId="2" applyNumberFormat="1" applyFont="1" applyFill="1" applyBorder="1" applyAlignment="1">
      <alignment horizontal="center" vertical="center"/>
    </xf>
    <xf numFmtId="168" fontId="33" fillId="17" borderId="57" xfId="2" applyNumberFormat="1" applyFont="1" applyFill="1" applyBorder="1" applyAlignment="1">
      <alignment horizontal="center" vertical="center"/>
    </xf>
    <xf numFmtId="167" fontId="33" fillId="17" borderId="76" xfId="1" applyNumberFormat="1" applyFont="1" applyFill="1" applyBorder="1" applyAlignment="1">
      <alignment horizontal="center" vertical="center"/>
    </xf>
    <xf numFmtId="168" fontId="33" fillId="17" borderId="58" xfId="2" applyNumberFormat="1" applyFont="1" applyFill="1" applyBorder="1" applyAlignment="1">
      <alignment horizontal="center" vertical="center"/>
    </xf>
    <xf numFmtId="164" fontId="30" fillId="17" borderId="135" xfId="0" applyNumberFormat="1" applyFont="1" applyFill="1" applyBorder="1" applyAlignment="1">
      <alignment horizontal="center" vertical="center"/>
    </xf>
    <xf numFmtId="164" fontId="36" fillId="17" borderId="99" xfId="0" applyNumberFormat="1" applyFont="1" applyFill="1" applyBorder="1" applyAlignment="1">
      <alignment horizontal="center" vertical="center"/>
    </xf>
    <xf numFmtId="168" fontId="33" fillId="17" borderId="53" xfId="2" applyNumberFormat="1" applyFont="1" applyFill="1" applyBorder="1" applyAlignment="1">
      <alignment horizontal="center" vertical="center"/>
    </xf>
    <xf numFmtId="166" fontId="33" fillId="17" borderId="62" xfId="1" applyNumberFormat="1" applyFont="1" applyFill="1" applyBorder="1" applyAlignment="1">
      <alignment horizontal="center" vertical="center"/>
    </xf>
    <xf numFmtId="168" fontId="33" fillId="17" borderId="54" xfId="2" applyNumberFormat="1" applyFont="1" applyFill="1" applyBorder="1" applyAlignment="1">
      <alignment horizontal="center" vertical="center"/>
    </xf>
    <xf numFmtId="164" fontId="30" fillId="17" borderId="134" xfId="0" applyNumberFormat="1" applyFont="1" applyFill="1" applyBorder="1" applyAlignment="1">
      <alignment horizontal="center" vertical="center"/>
    </xf>
    <xf numFmtId="0" fontId="33" fillId="17" borderId="58" xfId="2" applyNumberFormat="1" applyFont="1" applyFill="1" applyBorder="1" applyAlignment="1">
      <alignment horizontal="center" vertical="center"/>
    </xf>
    <xf numFmtId="166" fontId="37" fillId="17" borderId="53" xfId="2" applyNumberFormat="1" applyFont="1" applyFill="1" applyBorder="1" applyAlignment="1">
      <alignment horizontal="center" vertical="center"/>
    </xf>
    <xf numFmtId="166" fontId="37" fillId="17" borderId="62" xfId="2" applyNumberFormat="1" applyFont="1" applyFill="1" applyBorder="1" applyAlignment="1">
      <alignment horizontal="center" vertical="center"/>
    </xf>
    <xf numFmtId="166" fontId="37" fillId="17" borderId="54" xfId="2" applyNumberFormat="1" applyFont="1" applyFill="1" applyBorder="1" applyAlignment="1">
      <alignment horizontal="center" vertical="center"/>
    </xf>
    <xf numFmtId="166" fontId="37" fillId="17" borderId="120" xfId="2" applyNumberFormat="1" applyFont="1" applyFill="1" applyBorder="1" applyAlignment="1">
      <alignment horizontal="center" vertical="center"/>
    </xf>
    <xf numFmtId="166" fontId="37" fillId="17" borderId="6" xfId="2" applyNumberFormat="1" applyFont="1" applyFill="1" applyBorder="1" applyAlignment="1">
      <alignment horizontal="center" vertical="center"/>
    </xf>
    <xf numFmtId="166" fontId="37" fillId="17" borderId="121" xfId="2" applyNumberFormat="1" applyFont="1" applyFill="1" applyBorder="1" applyAlignment="1">
      <alignment horizontal="center" vertical="center"/>
    </xf>
    <xf numFmtId="166" fontId="47" fillId="17" borderId="57" xfId="2" applyNumberFormat="1" applyFont="1" applyFill="1" applyBorder="1" applyAlignment="1">
      <alignment horizontal="center" vertical="center"/>
    </xf>
    <xf numFmtId="166" fontId="47" fillId="17" borderId="76" xfId="2" applyNumberFormat="1" applyFont="1" applyFill="1" applyBorder="1" applyAlignment="1">
      <alignment horizontal="center" vertical="center"/>
    </xf>
    <xf numFmtId="166" fontId="47" fillId="17" borderId="58" xfId="2" applyNumberFormat="1" applyFont="1" applyFill="1" applyBorder="1" applyAlignment="1">
      <alignment horizontal="center" vertical="center"/>
    </xf>
    <xf numFmtId="166" fontId="42" fillId="17" borderId="120" xfId="2" applyNumberFormat="1" applyFont="1" applyFill="1" applyBorder="1" applyAlignment="1">
      <alignment horizontal="center" vertical="center"/>
    </xf>
    <xf numFmtId="166" fontId="42" fillId="17" borderId="6" xfId="2" applyNumberFormat="1" applyFont="1" applyFill="1" applyBorder="1" applyAlignment="1">
      <alignment horizontal="center" vertical="center"/>
    </xf>
    <xf numFmtId="166" fontId="47" fillId="17" borderId="131" xfId="2" applyNumberFormat="1" applyFont="1" applyFill="1" applyBorder="1" applyAlignment="1">
      <alignment horizontal="center" vertical="center"/>
    </xf>
    <xf numFmtId="166" fontId="33" fillId="17" borderId="57" xfId="2" applyNumberFormat="1" applyFont="1" applyFill="1" applyBorder="1" applyAlignment="1">
      <alignment horizontal="center" vertical="center"/>
    </xf>
    <xf numFmtId="166" fontId="33" fillId="17" borderId="76" xfId="2" applyNumberFormat="1" applyFont="1" applyFill="1" applyBorder="1" applyAlignment="1">
      <alignment horizontal="center" vertical="center"/>
    </xf>
    <xf numFmtId="166" fontId="33" fillId="17" borderId="58" xfId="2" applyNumberFormat="1" applyFont="1" applyFill="1" applyBorder="1" applyAlignment="1">
      <alignment horizontal="center" vertical="center"/>
    </xf>
    <xf numFmtId="167" fontId="33" fillId="6" borderId="1" xfId="1" applyNumberFormat="1" applyFont="1" applyFill="1" applyBorder="1" applyAlignment="1">
      <alignment horizontal="center" vertical="center"/>
    </xf>
    <xf numFmtId="0" fontId="36" fillId="16" borderId="24" xfId="0" applyFont="1" applyFill="1" applyBorder="1" applyAlignment="1">
      <alignment horizontal="center" vertical="center"/>
    </xf>
    <xf numFmtId="0" fontId="36" fillId="16" borderId="10" xfId="0" applyFont="1" applyFill="1" applyBorder="1" applyAlignment="1">
      <alignment horizontal="center" vertical="center"/>
    </xf>
    <xf numFmtId="166" fontId="37" fillId="16" borderId="7" xfId="0" applyNumberFormat="1" applyFont="1" applyFill="1" applyBorder="1" applyAlignment="1">
      <alignment horizontal="center" vertical="center"/>
    </xf>
    <xf numFmtId="166" fontId="47" fillId="16" borderId="7" xfId="0" applyNumberFormat="1" applyFont="1" applyFill="1" applyBorder="1" applyAlignment="1">
      <alignment horizontal="center" vertical="center"/>
    </xf>
    <xf numFmtId="166" fontId="42" fillId="16" borderId="7" xfId="0" applyNumberFormat="1" applyFont="1" applyFill="1" applyBorder="1" applyAlignment="1">
      <alignment horizontal="center" vertical="center"/>
    </xf>
    <xf numFmtId="166" fontId="36" fillId="16" borderId="1" xfId="0" applyNumberFormat="1" applyFont="1" applyFill="1" applyBorder="1" applyAlignment="1">
      <alignment horizontal="center" vertical="center"/>
    </xf>
    <xf numFmtId="166" fontId="42" fillId="16" borderId="5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/>
    </xf>
    <xf numFmtId="0" fontId="42" fillId="16" borderId="5" xfId="0" applyFont="1" applyFill="1" applyBorder="1" applyAlignment="1">
      <alignment horizontal="center" vertical="center"/>
    </xf>
    <xf numFmtId="0" fontId="37" fillId="16" borderId="5" xfId="0" applyFont="1" applyFill="1" applyBorder="1" applyAlignment="1">
      <alignment horizontal="center" vertical="center"/>
    </xf>
    <xf numFmtId="167" fontId="50" fillId="16" borderId="1" xfId="1" applyNumberFormat="1" applyFont="1" applyFill="1" applyBorder="1" applyAlignment="1">
      <alignment horizontal="center" vertical="center"/>
    </xf>
    <xf numFmtId="166" fontId="36" fillId="16" borderId="1" xfId="1" applyNumberFormat="1" applyFont="1" applyFill="1" applyBorder="1" applyAlignment="1">
      <alignment horizontal="center" vertical="center"/>
    </xf>
    <xf numFmtId="167" fontId="37" fillId="16" borderId="1" xfId="1" applyNumberFormat="1" applyFont="1" applyFill="1" applyBorder="1" applyAlignment="1">
      <alignment horizontal="center" vertical="center"/>
    </xf>
    <xf numFmtId="167" fontId="42" fillId="16" borderId="5" xfId="1" applyNumberFormat="1" applyFont="1" applyFill="1" applyBorder="1" applyAlignment="1">
      <alignment horizontal="center" vertical="center"/>
    </xf>
    <xf numFmtId="167" fontId="33" fillId="16" borderId="175" xfId="0" applyNumberFormat="1" applyFont="1" applyFill="1" applyBorder="1" applyAlignment="1">
      <alignment horizontal="center" vertical="center"/>
    </xf>
    <xf numFmtId="0" fontId="32" fillId="16" borderId="176" xfId="0" applyFont="1" applyFill="1" applyBorder="1" applyAlignment="1">
      <alignment horizontal="center" vertical="center"/>
    </xf>
    <xf numFmtId="0" fontId="32" fillId="16" borderId="177" xfId="0" applyFont="1" applyFill="1" applyBorder="1" applyAlignment="1">
      <alignment horizontal="center" vertical="center"/>
    </xf>
    <xf numFmtId="166" fontId="33" fillId="16" borderId="178" xfId="0" applyNumberFormat="1" applyFont="1" applyFill="1" applyBorder="1" applyAlignment="1">
      <alignment horizontal="center" vertical="center"/>
    </xf>
    <xf numFmtId="166" fontId="33" fillId="16" borderId="179" xfId="0" applyNumberFormat="1" applyFont="1" applyFill="1" applyBorder="1" applyAlignment="1">
      <alignment horizontal="center" vertical="center"/>
    </xf>
    <xf numFmtId="0" fontId="32" fillId="16" borderId="180" xfId="0" applyFont="1" applyFill="1" applyBorder="1" applyAlignment="1">
      <alignment horizontal="center" vertical="center"/>
    </xf>
    <xf numFmtId="166" fontId="37" fillId="16" borderId="175" xfId="0" applyNumberFormat="1" applyFont="1" applyFill="1" applyBorder="1" applyAlignment="1">
      <alignment horizontal="center" vertical="center"/>
    </xf>
    <xf numFmtId="166" fontId="37" fillId="16" borderId="176" xfId="0" applyNumberFormat="1" applyFont="1" applyFill="1" applyBorder="1" applyAlignment="1">
      <alignment horizontal="center" vertical="center"/>
    </xf>
    <xf numFmtId="166" fontId="37" fillId="16" borderId="177" xfId="0" applyNumberFormat="1" applyFont="1" applyFill="1" applyBorder="1" applyAlignment="1">
      <alignment horizontal="center" vertical="center"/>
    </xf>
    <xf numFmtId="166" fontId="37" fillId="16" borderId="195" xfId="0" applyNumberFormat="1" applyFont="1" applyFill="1" applyBorder="1" applyAlignment="1">
      <alignment horizontal="center" vertical="center"/>
    </xf>
    <xf numFmtId="166" fontId="37" fillId="16" borderId="214" xfId="0" applyNumberFormat="1" applyFont="1" applyFill="1" applyBorder="1" applyAlignment="1">
      <alignment horizontal="center" vertical="center"/>
    </xf>
    <xf numFmtId="166" fontId="47" fillId="16" borderId="181" xfId="0" applyNumberFormat="1" applyFont="1" applyFill="1" applyBorder="1" applyAlignment="1">
      <alignment horizontal="center" vertical="center"/>
    </xf>
    <xf numFmtId="166" fontId="47" fillId="16" borderId="182" xfId="0" applyNumberFormat="1" applyFont="1" applyFill="1" applyBorder="1" applyAlignment="1">
      <alignment horizontal="center" vertical="center"/>
    </xf>
    <xf numFmtId="167" fontId="42" fillId="16" borderId="181" xfId="1" applyNumberFormat="1" applyFont="1" applyFill="1" applyBorder="1" applyAlignment="1">
      <alignment horizontal="center" vertical="center"/>
    </xf>
    <xf numFmtId="166" fontId="42" fillId="16" borderId="182" xfId="0" applyNumberFormat="1" applyFont="1" applyFill="1" applyBorder="1" applyAlignment="1">
      <alignment horizontal="center" vertical="center"/>
    </xf>
    <xf numFmtId="167" fontId="33" fillId="16" borderId="180" xfId="1" applyNumberFormat="1" applyFont="1" applyFill="1" applyBorder="1" applyAlignment="1">
      <alignment horizontal="center" vertical="center"/>
    </xf>
    <xf numFmtId="166" fontId="37" fillId="16" borderId="183" xfId="0" applyNumberFormat="1" applyFont="1" applyFill="1" applyBorder="1" applyAlignment="1">
      <alignment horizontal="center" vertical="center"/>
    </xf>
    <xf numFmtId="166" fontId="37" fillId="16" borderId="184" xfId="0" applyNumberFormat="1" applyFont="1" applyFill="1" applyBorder="1" applyAlignment="1">
      <alignment horizontal="center" vertical="center"/>
    </xf>
    <xf numFmtId="166" fontId="33" fillId="16" borderId="185" xfId="0" applyNumberFormat="1" applyFont="1" applyFill="1" applyBorder="1" applyAlignment="1">
      <alignment horizontal="center" vertical="center"/>
    </xf>
    <xf numFmtId="166" fontId="33" fillId="16" borderId="186" xfId="0" applyNumberFormat="1" applyFont="1" applyFill="1" applyBorder="1" applyAlignment="1">
      <alignment horizontal="center" vertical="center"/>
    </xf>
    <xf numFmtId="0" fontId="33" fillId="16" borderId="178" xfId="0" applyFont="1" applyFill="1" applyBorder="1" applyAlignment="1">
      <alignment horizontal="center" vertical="center"/>
    </xf>
    <xf numFmtId="0" fontId="33" fillId="16" borderId="179" xfId="0" applyFont="1" applyFill="1" applyBorder="1" applyAlignment="1">
      <alignment horizontal="center" vertical="center"/>
    </xf>
    <xf numFmtId="0" fontId="33" fillId="16" borderId="180" xfId="0" applyFont="1" applyFill="1" applyBorder="1" applyAlignment="1">
      <alignment horizontal="center" vertical="center"/>
    </xf>
    <xf numFmtId="166" fontId="33" fillId="16" borderId="175" xfId="0" applyNumberFormat="1" applyFont="1" applyFill="1" applyBorder="1" applyAlignment="1">
      <alignment horizontal="center" vertical="center"/>
    </xf>
    <xf numFmtId="166" fontId="33" fillId="16" borderId="176" xfId="0" applyNumberFormat="1" applyFont="1" applyFill="1" applyBorder="1" applyAlignment="1">
      <alignment horizontal="center" vertical="center"/>
    </xf>
    <xf numFmtId="166" fontId="33" fillId="16" borderId="177" xfId="0" applyNumberFormat="1" applyFont="1" applyFill="1" applyBorder="1" applyAlignment="1">
      <alignment horizontal="center" vertical="center"/>
    </xf>
    <xf numFmtId="166" fontId="37" fillId="16" borderId="181" xfId="0" applyNumberFormat="1" applyFont="1" applyFill="1" applyBorder="1" applyAlignment="1">
      <alignment horizontal="center" vertical="center"/>
    </xf>
    <xf numFmtId="166" fontId="37" fillId="16" borderId="182" xfId="0" applyNumberFormat="1" applyFont="1" applyFill="1" applyBorder="1" applyAlignment="1">
      <alignment horizontal="center" vertical="center"/>
    </xf>
    <xf numFmtId="166" fontId="33" fillId="16" borderId="181" xfId="0" applyNumberFormat="1" applyFont="1" applyFill="1" applyBorder="1" applyAlignment="1">
      <alignment horizontal="center" vertical="center"/>
    </xf>
    <xf numFmtId="166" fontId="33" fillId="16" borderId="182" xfId="0" applyNumberFormat="1" applyFont="1" applyFill="1" applyBorder="1" applyAlignment="1">
      <alignment horizontal="center" vertical="center"/>
    </xf>
    <xf numFmtId="166" fontId="37" fillId="16" borderId="178" xfId="0" applyNumberFormat="1" applyFont="1" applyFill="1" applyBorder="1" applyAlignment="1">
      <alignment horizontal="center" vertical="center"/>
    </xf>
    <xf numFmtId="166" fontId="37" fillId="16" borderId="179" xfId="0" applyNumberFormat="1" applyFont="1" applyFill="1" applyBorder="1" applyAlignment="1">
      <alignment horizontal="center" vertical="center"/>
    </xf>
    <xf numFmtId="166" fontId="37" fillId="16" borderId="180" xfId="0" applyNumberFormat="1" applyFont="1" applyFill="1" applyBorder="1" applyAlignment="1">
      <alignment horizontal="center" vertical="center"/>
    </xf>
    <xf numFmtId="166" fontId="50" fillId="16" borderId="188" xfId="0" applyNumberFormat="1" applyFont="1" applyFill="1" applyBorder="1" applyAlignment="1">
      <alignment horizontal="center" vertical="center"/>
    </xf>
    <xf numFmtId="166" fontId="50" fillId="16" borderId="189" xfId="0" applyNumberFormat="1" applyFont="1" applyFill="1" applyBorder="1" applyAlignment="1">
      <alignment horizontal="center" vertical="center"/>
    </xf>
    <xf numFmtId="166" fontId="50" fillId="16" borderId="190" xfId="0" applyNumberFormat="1" applyFont="1" applyFill="1" applyBorder="1" applyAlignment="1">
      <alignment horizontal="center" vertical="center"/>
    </xf>
    <xf numFmtId="166" fontId="37" fillId="16" borderId="188" xfId="0" applyNumberFormat="1" applyFont="1" applyFill="1" applyBorder="1" applyAlignment="1">
      <alignment horizontal="center" vertical="center"/>
    </xf>
    <xf numFmtId="166" fontId="37" fillId="16" borderId="189" xfId="0" applyNumberFormat="1" applyFont="1" applyFill="1" applyBorder="1" applyAlignment="1">
      <alignment horizontal="center" vertical="center"/>
    </xf>
    <xf numFmtId="166" fontId="37" fillId="16" borderId="190" xfId="0" applyNumberFormat="1" applyFont="1" applyFill="1" applyBorder="1" applyAlignment="1">
      <alignment horizontal="center" vertical="center"/>
    </xf>
    <xf numFmtId="167" fontId="30" fillId="16" borderId="195" xfId="1" applyNumberFormat="1" applyFont="1" applyFill="1" applyBorder="1" applyAlignment="1">
      <alignment horizontal="center" vertical="center"/>
    </xf>
    <xf numFmtId="167" fontId="30" fillId="16" borderId="214" xfId="1" applyNumberFormat="1" applyFont="1" applyFill="1" applyBorder="1" applyAlignment="1">
      <alignment horizontal="center" vertical="center"/>
    </xf>
    <xf numFmtId="167" fontId="30" fillId="16" borderId="178" xfId="1" applyNumberFormat="1" applyFont="1" applyFill="1" applyBorder="1" applyAlignment="1">
      <alignment horizontal="center" vertical="center"/>
    </xf>
    <xf numFmtId="167" fontId="30" fillId="16" borderId="180" xfId="1" applyNumberFormat="1" applyFont="1" applyFill="1" applyBorder="1" applyAlignment="1">
      <alignment horizontal="center" vertical="center"/>
    </xf>
    <xf numFmtId="167" fontId="30" fillId="16" borderId="215" xfId="1" applyNumberFormat="1" applyFont="1" applyFill="1" applyBorder="1" applyAlignment="1">
      <alignment horizontal="center" vertical="center"/>
    </xf>
    <xf numFmtId="167" fontId="30" fillId="16" borderId="212" xfId="1" applyNumberFormat="1" applyFont="1" applyFill="1" applyBorder="1" applyAlignment="1">
      <alignment horizontal="center" vertical="center"/>
    </xf>
    <xf numFmtId="166" fontId="37" fillId="16" borderId="175" xfId="1" applyNumberFormat="1" applyFont="1" applyFill="1" applyBorder="1" applyAlignment="1">
      <alignment horizontal="center" vertical="center"/>
    </xf>
    <xf numFmtId="166" fontId="37" fillId="16" borderId="195" xfId="1" applyNumberFormat="1" applyFont="1" applyFill="1" applyBorder="1" applyAlignment="1">
      <alignment horizontal="center" vertical="center"/>
    </xf>
    <xf numFmtId="166" fontId="47" fillId="16" borderId="181" xfId="1" applyNumberFormat="1" applyFont="1" applyFill="1" applyBorder="1" applyAlignment="1">
      <alignment horizontal="center" vertical="center"/>
    </xf>
    <xf numFmtId="166" fontId="33" fillId="16" borderId="178" xfId="1" applyNumberFormat="1" applyFont="1" applyFill="1" applyBorder="1" applyAlignment="1">
      <alignment horizontal="center" vertical="center"/>
    </xf>
    <xf numFmtId="166" fontId="36" fillId="16" borderId="175" xfId="0" applyNumberFormat="1" applyFont="1" applyFill="1" applyBorder="1" applyAlignment="1">
      <alignment horizontal="center" vertical="center"/>
    </xf>
    <xf numFmtId="167" fontId="36" fillId="16" borderId="211" xfId="0" applyNumberFormat="1" applyFont="1" applyFill="1" applyBorder="1" applyAlignment="1">
      <alignment horizontal="center" vertical="center"/>
    </xf>
    <xf numFmtId="167" fontId="30" fillId="16" borderId="212" xfId="0" applyNumberFormat="1" applyFont="1" applyFill="1" applyBorder="1" applyAlignment="1">
      <alignment horizontal="center" vertical="center"/>
    </xf>
    <xf numFmtId="167" fontId="37" fillId="16" borderId="177" xfId="1" applyNumberFormat="1" applyFont="1" applyFill="1" applyBorder="1" applyAlignment="1">
      <alignment horizontal="center" vertical="center"/>
    </xf>
    <xf numFmtId="167" fontId="37" fillId="16" borderId="214" xfId="1" applyNumberFormat="1" applyFont="1" applyFill="1" applyBorder="1" applyAlignment="1">
      <alignment horizontal="center" vertical="center"/>
    </xf>
    <xf numFmtId="167" fontId="47" fillId="16" borderId="182" xfId="1" applyNumberFormat="1" applyFont="1" applyFill="1" applyBorder="1" applyAlignment="1">
      <alignment horizontal="center" vertical="center"/>
    </xf>
    <xf numFmtId="166" fontId="37" fillId="16" borderId="211" xfId="1" applyNumberFormat="1" applyFont="1" applyFill="1" applyBorder="1" applyAlignment="1">
      <alignment horizontal="center" vertical="center"/>
    </xf>
    <xf numFmtId="166" fontId="37" fillId="16" borderId="215" xfId="1" applyNumberFormat="1" applyFont="1" applyFill="1" applyBorder="1" applyAlignment="1">
      <alignment horizontal="center" vertical="center"/>
    </xf>
    <xf numFmtId="166" fontId="47" fillId="16" borderId="213" xfId="1" applyNumberFormat="1" applyFont="1" applyFill="1" applyBorder="1" applyAlignment="1">
      <alignment horizontal="center" vertical="center"/>
    </xf>
    <xf numFmtId="166" fontId="42" fillId="16" borderId="213" xfId="1" applyNumberFormat="1" applyFont="1" applyFill="1" applyBorder="1" applyAlignment="1">
      <alignment horizontal="center" vertical="center"/>
    </xf>
    <xf numFmtId="167" fontId="33" fillId="16" borderId="212" xfId="1" applyNumberFormat="1" applyFont="1" applyFill="1" applyBorder="1" applyAlignment="1">
      <alignment horizontal="center" vertical="center"/>
    </xf>
    <xf numFmtId="167" fontId="33" fillId="14" borderId="178" xfId="1" applyNumberFormat="1" applyFont="1" applyFill="1" applyBorder="1" applyAlignment="1">
      <alignment horizontal="center" vertical="center"/>
    </xf>
    <xf numFmtId="166" fontId="36" fillId="14" borderId="175" xfId="1" applyNumberFormat="1" applyFont="1" applyFill="1" applyBorder="1" applyAlignment="1">
      <alignment horizontal="center" vertical="center"/>
    </xf>
    <xf numFmtId="1" fontId="37" fillId="14" borderId="177" xfId="1" applyNumberFormat="1" applyFont="1" applyFill="1" applyBorder="1" applyAlignment="1">
      <alignment horizontal="center" vertical="center"/>
    </xf>
    <xf numFmtId="1" fontId="33" fillId="14" borderId="178" xfId="1" applyNumberFormat="1" applyFont="1" applyFill="1" applyBorder="1" applyAlignment="1">
      <alignment horizontal="center" vertical="center"/>
    </xf>
    <xf numFmtId="1" fontId="33" fillId="14" borderId="180" xfId="1" applyNumberFormat="1" applyFont="1" applyFill="1" applyBorder="1" applyAlignment="1">
      <alignment horizontal="center" vertical="center"/>
    </xf>
    <xf numFmtId="164" fontId="30" fillId="16" borderId="135" xfId="0" applyNumberFormat="1" applyFont="1" applyFill="1" applyBorder="1" applyAlignment="1">
      <alignment horizontal="center" vertical="center"/>
    </xf>
    <xf numFmtId="164" fontId="36" fillId="16" borderId="99" xfId="0" applyNumberFormat="1" applyFont="1" applyFill="1" applyBorder="1" applyAlignment="1">
      <alignment horizontal="center" vertical="center"/>
    </xf>
    <xf numFmtId="164" fontId="30" fillId="16" borderId="134" xfId="0" applyNumberFormat="1" applyFont="1" applyFill="1" applyBorder="1" applyAlignment="1">
      <alignment horizontal="center" vertical="center"/>
    </xf>
    <xf numFmtId="175" fontId="38" fillId="16" borderId="134" xfId="1" applyNumberFormat="1" applyFont="1" applyFill="1" applyBorder="1" applyAlignment="1">
      <alignment horizontal="center" vertical="center"/>
    </xf>
    <xf numFmtId="167" fontId="56" fillId="14" borderId="134" xfId="1" applyNumberFormat="1" applyFont="1" applyFill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7" borderId="1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166" fontId="39" fillId="7" borderId="1" xfId="0" applyNumberFormat="1" applyFont="1" applyFill="1" applyBorder="1" applyAlignment="1">
      <alignment horizontal="center" vertical="center"/>
    </xf>
    <xf numFmtId="166" fontId="39" fillId="3" borderId="10" xfId="0" applyNumberFormat="1" applyFont="1" applyFill="1" applyBorder="1" applyAlignment="1">
      <alignment horizontal="center" vertical="center"/>
    </xf>
    <xf numFmtId="166" fontId="39" fillId="3" borderId="24" xfId="0" applyNumberFormat="1" applyFont="1" applyFill="1" applyBorder="1" applyAlignment="1">
      <alignment horizontal="center" vertical="center"/>
    </xf>
    <xf numFmtId="9" fontId="39" fillId="7" borderId="1" xfId="1" applyNumberFormat="1" applyFont="1" applyFill="1" applyBorder="1" applyAlignment="1">
      <alignment horizontal="center" vertical="center"/>
    </xf>
    <xf numFmtId="9" fontId="39" fillId="3" borderId="29" xfId="1" applyNumberFormat="1" applyFont="1" applyFill="1" applyBorder="1" applyAlignment="1">
      <alignment horizontal="center" vertical="center"/>
    </xf>
    <xf numFmtId="9" fontId="39" fillId="3" borderId="0" xfId="1" applyNumberFormat="1" applyFont="1" applyFill="1" applyBorder="1" applyAlignment="1">
      <alignment horizontal="center" vertical="center"/>
    </xf>
    <xf numFmtId="166" fontId="39" fillId="3" borderId="0" xfId="0" applyNumberFormat="1" applyFont="1" applyFill="1" applyBorder="1" applyAlignment="1">
      <alignment horizontal="center" vertical="center"/>
    </xf>
    <xf numFmtId="166" fontId="39" fillId="3" borderId="6" xfId="0" applyNumberFormat="1" applyFont="1" applyFill="1" applyBorder="1" applyAlignment="1">
      <alignment horizontal="center" vertical="center"/>
    </xf>
    <xf numFmtId="166" fontId="39" fillId="7" borderId="188" xfId="0" applyNumberFormat="1" applyFont="1" applyFill="1" applyBorder="1" applyAlignment="1">
      <alignment horizontal="center" vertical="center"/>
    </xf>
    <xf numFmtId="166" fontId="39" fillId="7" borderId="189" xfId="0" applyNumberFormat="1" applyFont="1" applyFill="1" applyBorder="1" applyAlignment="1">
      <alignment horizontal="center" vertical="center"/>
    </xf>
    <xf numFmtId="166" fontId="39" fillId="7" borderId="190" xfId="0" applyNumberFormat="1" applyFont="1" applyFill="1" applyBorder="1" applyAlignment="1">
      <alignment horizontal="center" vertical="center"/>
    </xf>
    <xf numFmtId="166" fontId="39" fillId="7" borderId="48" xfId="0" applyNumberFormat="1" applyFont="1" applyFill="1" applyBorder="1" applyAlignment="1">
      <alignment horizontal="center" vertical="center"/>
    </xf>
    <xf numFmtId="166" fontId="39" fillId="7" borderId="51" xfId="0" applyNumberFormat="1" applyFont="1" applyFill="1" applyBorder="1" applyAlignment="1">
      <alignment horizontal="center" vertical="center"/>
    </xf>
    <xf numFmtId="166" fontId="39" fillId="7" borderId="52" xfId="0" applyNumberFormat="1" applyFont="1" applyFill="1" applyBorder="1" applyAlignment="1">
      <alignment horizontal="center" vertical="center"/>
    </xf>
    <xf numFmtId="166" fontId="39" fillId="7" borderId="116" xfId="0" applyNumberFormat="1" applyFont="1" applyFill="1" applyBorder="1" applyAlignment="1">
      <alignment horizontal="center" vertical="center"/>
    </xf>
    <xf numFmtId="166" fontId="39" fillId="7" borderId="49" xfId="0" applyNumberFormat="1" applyFont="1" applyFill="1" applyBorder="1" applyAlignment="1">
      <alignment horizontal="center" vertical="center"/>
    </xf>
    <xf numFmtId="166" fontId="39" fillId="7" borderId="52" xfId="1" applyNumberFormat="1" applyFont="1" applyFill="1" applyBorder="1" applyAlignment="1">
      <alignment horizontal="center" vertical="center"/>
    </xf>
    <xf numFmtId="167" fontId="39" fillId="7" borderId="52" xfId="1" applyNumberFormat="1" applyFont="1" applyFill="1" applyBorder="1" applyAlignment="1">
      <alignment horizontal="center" vertical="center"/>
    </xf>
    <xf numFmtId="167" fontId="39" fillId="3" borderId="117" xfId="1" applyNumberFormat="1" applyFont="1" applyFill="1" applyBorder="1" applyAlignment="1">
      <alignment horizontal="center" vertical="center"/>
    </xf>
    <xf numFmtId="167" fontId="39" fillId="0" borderId="0" xfId="1" applyNumberFormat="1" applyFont="1" applyBorder="1" applyAlignment="1">
      <alignment horizontal="center" vertical="center"/>
    </xf>
    <xf numFmtId="0" fontId="52" fillId="3" borderId="0" xfId="0" applyFont="1" applyFill="1" applyBorder="1" applyAlignment="1">
      <alignment horizontal="center" vertical="center"/>
    </xf>
    <xf numFmtId="166" fontId="52" fillId="3" borderId="0" xfId="0" applyNumberFormat="1" applyFont="1" applyFill="1" applyBorder="1" applyAlignment="1">
      <alignment horizontal="center" vertical="center"/>
    </xf>
    <xf numFmtId="9" fontId="52" fillId="3" borderId="0" xfId="1" applyNumberFormat="1" applyFont="1" applyFill="1" applyBorder="1" applyAlignment="1">
      <alignment horizontal="center" vertical="center"/>
    </xf>
    <xf numFmtId="9" fontId="52" fillId="3" borderId="29" xfId="1" applyNumberFormat="1" applyFont="1" applyFill="1" applyBorder="1" applyAlignment="1">
      <alignment horizontal="center" vertical="center"/>
    </xf>
    <xf numFmtId="166" fontId="52" fillId="7" borderId="1" xfId="0" applyNumberFormat="1" applyFont="1" applyFill="1" applyBorder="1" applyAlignment="1">
      <alignment horizontal="center" vertical="center"/>
    </xf>
    <xf numFmtId="166" fontId="52" fillId="3" borderId="10" xfId="0" applyNumberFormat="1" applyFont="1" applyFill="1" applyBorder="1" applyAlignment="1">
      <alignment horizontal="center" vertical="center"/>
    </xf>
    <xf numFmtId="166" fontId="52" fillId="3" borderId="6" xfId="0" applyNumberFormat="1" applyFont="1" applyFill="1" applyBorder="1" applyAlignment="1">
      <alignment horizontal="center" vertical="center"/>
    </xf>
    <xf numFmtId="166" fontId="52" fillId="7" borderId="48" xfId="0" applyNumberFormat="1" applyFont="1" applyFill="1" applyBorder="1" applyAlignment="1">
      <alignment horizontal="center" vertical="center"/>
    </xf>
    <xf numFmtId="166" fontId="52" fillId="7" borderId="51" xfId="0" applyNumberFormat="1" applyFont="1" applyFill="1" applyBorder="1" applyAlignment="1">
      <alignment horizontal="center" vertical="center"/>
    </xf>
    <xf numFmtId="166" fontId="52" fillId="7" borderId="52" xfId="0" applyNumberFormat="1" applyFont="1" applyFill="1" applyBorder="1" applyAlignment="1">
      <alignment horizontal="center" vertical="center"/>
    </xf>
    <xf numFmtId="166" fontId="52" fillId="7" borderId="49" xfId="0" applyNumberFormat="1" applyFont="1" applyFill="1" applyBorder="1" applyAlignment="1">
      <alignment horizontal="center" vertical="center"/>
    </xf>
    <xf numFmtId="166" fontId="52" fillId="3" borderId="1" xfId="0" applyNumberFormat="1" applyFont="1" applyFill="1" applyBorder="1" applyAlignment="1">
      <alignment horizontal="center" vertical="center"/>
    </xf>
    <xf numFmtId="9" fontId="52" fillId="3" borderId="1" xfId="1" applyFont="1" applyFill="1" applyBorder="1" applyAlignment="1">
      <alignment horizontal="center" vertical="center"/>
    </xf>
    <xf numFmtId="167" fontId="52" fillId="3" borderId="1" xfId="1" applyNumberFormat="1" applyFont="1" applyFill="1" applyBorder="1" applyAlignment="1">
      <alignment horizontal="center" vertical="center"/>
    </xf>
    <xf numFmtId="167" fontId="52" fillId="3" borderId="0" xfId="1" applyNumberFormat="1" applyFont="1" applyFill="1" applyBorder="1" applyAlignment="1">
      <alignment horizontal="center" vertical="center"/>
    </xf>
    <xf numFmtId="167" fontId="52" fillId="0" borderId="0" xfId="1" applyNumberFormat="1" applyFont="1" applyBorder="1" applyAlignment="1">
      <alignment horizontal="center" vertical="center"/>
    </xf>
    <xf numFmtId="0" fontId="50" fillId="7" borderId="1" xfId="0" applyFont="1" applyFill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7" borderId="1" xfId="0" applyFont="1" applyFill="1" applyBorder="1" applyAlignment="1">
      <alignment horizontal="center" vertical="center"/>
    </xf>
    <xf numFmtId="166" fontId="52" fillId="3" borderId="24" xfId="0" applyNumberFormat="1" applyFont="1" applyFill="1" applyBorder="1" applyAlignment="1">
      <alignment horizontal="center" vertical="center"/>
    </xf>
    <xf numFmtId="9" fontId="52" fillId="7" borderId="1" xfId="1" applyNumberFormat="1" applyFont="1" applyFill="1" applyBorder="1" applyAlignment="1">
      <alignment horizontal="center" vertical="center"/>
    </xf>
    <xf numFmtId="166" fontId="52" fillId="7" borderId="188" xfId="0" applyNumberFormat="1" applyFont="1" applyFill="1" applyBorder="1" applyAlignment="1">
      <alignment horizontal="center" vertical="center"/>
    </xf>
    <xf numFmtId="166" fontId="52" fillId="7" borderId="189" xfId="0" applyNumberFormat="1" applyFont="1" applyFill="1" applyBorder="1" applyAlignment="1">
      <alignment horizontal="center" vertical="center"/>
    </xf>
    <xf numFmtId="166" fontId="52" fillId="7" borderId="190" xfId="0" applyNumberFormat="1" applyFont="1" applyFill="1" applyBorder="1" applyAlignment="1">
      <alignment horizontal="center" vertical="center"/>
    </xf>
    <xf numFmtId="166" fontId="52" fillId="7" borderId="116" xfId="0" applyNumberFormat="1" applyFont="1" applyFill="1" applyBorder="1" applyAlignment="1">
      <alignment horizontal="center" vertical="center"/>
    </xf>
    <xf numFmtId="166" fontId="52" fillId="7" borderId="57" xfId="0" applyNumberFormat="1" applyFont="1" applyFill="1" applyBorder="1" applyAlignment="1">
      <alignment horizontal="center" vertical="center"/>
    </xf>
    <xf numFmtId="166" fontId="52" fillId="7" borderId="78" xfId="0" applyNumberFormat="1" applyFont="1" applyFill="1" applyBorder="1" applyAlignment="1">
      <alignment horizontal="center" vertical="center"/>
    </xf>
    <xf numFmtId="166" fontId="52" fillId="7" borderId="79" xfId="0" applyNumberFormat="1" applyFont="1" applyFill="1" applyBorder="1" applyAlignment="1">
      <alignment horizontal="center" vertical="center"/>
    </xf>
    <xf numFmtId="9" fontId="52" fillId="7" borderId="58" xfId="1" applyNumberFormat="1" applyFont="1" applyFill="1" applyBorder="1" applyAlignment="1">
      <alignment horizontal="center" vertical="center"/>
    </xf>
    <xf numFmtId="167" fontId="52" fillId="7" borderId="58" xfId="1" applyNumberFormat="1" applyFont="1" applyFill="1" applyBorder="1" applyAlignment="1">
      <alignment horizontal="center" vertical="center"/>
    </xf>
    <xf numFmtId="167" fontId="52" fillId="3" borderId="117" xfId="1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166" fontId="39" fillId="0" borderId="3" xfId="0" applyNumberFormat="1" applyFont="1" applyBorder="1" applyAlignment="1">
      <alignment horizontal="center" vertical="center"/>
    </xf>
    <xf numFmtId="167" fontId="39" fillId="0" borderId="3" xfId="1" applyNumberFormat="1" applyFont="1" applyBorder="1" applyAlignment="1">
      <alignment horizontal="center" vertical="center"/>
    </xf>
    <xf numFmtId="167" fontId="39" fillId="3" borderId="29" xfId="1" applyNumberFormat="1" applyFont="1" applyFill="1" applyBorder="1" applyAlignment="1">
      <alignment horizontal="center" vertical="center"/>
    </xf>
    <xf numFmtId="166" fontId="39" fillId="0" borderId="0" xfId="0" applyNumberFormat="1" applyFont="1" applyBorder="1" applyAlignment="1">
      <alignment horizontal="center" vertical="center"/>
    </xf>
    <xf numFmtId="166" fontId="39" fillId="0" borderId="4" xfId="0" applyNumberFormat="1" applyFont="1" applyBorder="1" applyAlignment="1">
      <alignment horizontal="center" vertical="center"/>
    </xf>
    <xf numFmtId="9" fontId="39" fillId="0" borderId="3" xfId="1" applyFont="1" applyBorder="1" applyAlignment="1">
      <alignment horizontal="center" vertical="center"/>
    </xf>
    <xf numFmtId="166" fontId="39" fillId="0" borderId="1" xfId="0" applyNumberFormat="1" applyFont="1" applyBorder="1" applyAlignment="1">
      <alignment horizontal="center" vertical="center"/>
    </xf>
    <xf numFmtId="167" fontId="39" fillId="0" borderId="1" xfId="1" applyNumberFormat="1" applyFont="1" applyBorder="1" applyAlignment="1">
      <alignment horizontal="center" vertical="center"/>
    </xf>
    <xf numFmtId="9" fontId="39" fillId="0" borderId="1" xfId="1" applyFont="1" applyBorder="1" applyAlignment="1">
      <alignment horizontal="center" vertical="center"/>
    </xf>
    <xf numFmtId="166" fontId="39" fillId="0" borderId="2" xfId="0" applyNumberFormat="1" applyFont="1" applyBorder="1" applyAlignment="1">
      <alignment horizontal="center" vertical="center"/>
    </xf>
    <xf numFmtId="9" fontId="39" fillId="0" borderId="4" xfId="1" applyFont="1" applyBorder="1" applyAlignment="1">
      <alignment horizontal="center" vertical="center"/>
    </xf>
    <xf numFmtId="167" fontId="39" fillId="0" borderId="4" xfId="1" applyNumberFormat="1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166" fontId="52" fillId="0" borderId="5" xfId="0" applyNumberFormat="1" applyFont="1" applyBorder="1" applyAlignment="1">
      <alignment horizontal="center" vertical="center"/>
    </xf>
    <xf numFmtId="167" fontId="52" fillId="0" borderId="5" xfId="1" applyNumberFormat="1" applyFont="1" applyBorder="1" applyAlignment="1">
      <alignment horizontal="center" vertical="center"/>
    </xf>
    <xf numFmtId="167" fontId="52" fillId="3" borderId="29" xfId="1" applyNumberFormat="1" applyFont="1" applyFill="1" applyBorder="1" applyAlignment="1">
      <alignment horizontal="center" vertical="center"/>
    </xf>
    <xf numFmtId="166" fontId="52" fillId="0" borderId="0" xfId="0" applyNumberFormat="1" applyFont="1" applyBorder="1" applyAlignment="1">
      <alignment horizontal="center" vertical="center"/>
    </xf>
    <xf numFmtId="166" fontId="52" fillId="0" borderId="85" xfId="0" applyNumberFormat="1" applyFont="1" applyBorder="1" applyAlignment="1">
      <alignment horizontal="center" vertical="center"/>
    </xf>
    <xf numFmtId="166" fontId="52" fillId="0" borderId="10" xfId="0" applyNumberFormat="1" applyFont="1" applyBorder="1" applyAlignment="1">
      <alignment horizontal="center" vertical="center"/>
    </xf>
    <xf numFmtId="166" fontId="52" fillId="0" borderId="53" xfId="0" applyNumberFormat="1" applyFont="1" applyBorder="1" applyAlignment="1">
      <alignment horizontal="center" vertical="center"/>
    </xf>
    <xf numFmtId="166" fontId="52" fillId="0" borderId="64" xfId="0" applyNumberFormat="1" applyFont="1" applyBorder="1" applyAlignment="1">
      <alignment horizontal="center" vertical="center"/>
    </xf>
    <xf numFmtId="166" fontId="52" fillId="0" borderId="107" xfId="0" applyNumberFormat="1" applyFont="1" applyBorder="1" applyAlignment="1">
      <alignment horizontal="center" vertical="center"/>
    </xf>
    <xf numFmtId="166" fontId="52" fillId="0" borderId="1" xfId="0" applyNumberFormat="1" applyFont="1" applyBorder="1" applyAlignment="1">
      <alignment horizontal="center" vertical="center"/>
    </xf>
    <xf numFmtId="9" fontId="52" fillId="0" borderId="1" xfId="1" applyFont="1" applyBorder="1" applyAlignment="1">
      <alignment horizontal="center" vertical="center"/>
    </xf>
    <xf numFmtId="167" fontId="52" fillId="0" borderId="1" xfId="1" applyNumberFormat="1" applyFont="1" applyBorder="1" applyAlignment="1">
      <alignment horizontal="center" vertical="center"/>
    </xf>
    <xf numFmtId="166" fontId="39" fillId="7" borderId="1" xfId="1" applyNumberFormat="1" applyFont="1" applyFill="1" applyBorder="1" applyAlignment="1">
      <alignment horizontal="center" vertical="center"/>
    </xf>
    <xf numFmtId="166" fontId="39" fillId="3" borderId="29" xfId="1" applyNumberFormat="1" applyFont="1" applyFill="1" applyBorder="1" applyAlignment="1">
      <alignment horizontal="center" vertical="center"/>
    </xf>
    <xf numFmtId="166" fontId="39" fillId="3" borderId="0" xfId="1" applyNumberFormat="1" applyFont="1" applyFill="1" applyBorder="1" applyAlignment="1">
      <alignment horizontal="center" vertical="center"/>
    </xf>
    <xf numFmtId="166" fontId="39" fillId="7" borderId="199" xfId="0" applyNumberFormat="1" applyFont="1" applyFill="1" applyBorder="1" applyAlignment="1">
      <alignment horizontal="center" vertical="center"/>
    </xf>
    <xf numFmtId="166" fontId="39" fillId="7" borderId="200" xfId="0" applyNumberFormat="1" applyFont="1" applyFill="1" applyBorder="1" applyAlignment="1">
      <alignment horizontal="center" vertical="center"/>
    </xf>
    <xf numFmtId="166" fontId="39" fillId="3" borderId="99" xfId="0" applyNumberFormat="1" applyFont="1" applyFill="1" applyBorder="1" applyAlignment="1">
      <alignment horizontal="center" vertical="center"/>
    </xf>
    <xf numFmtId="166" fontId="39" fillId="3" borderId="115" xfId="0" applyNumberFormat="1" applyFont="1" applyFill="1" applyBorder="1" applyAlignment="1">
      <alignment horizontal="center" vertical="center"/>
    </xf>
    <xf numFmtId="166" fontId="39" fillId="7" borderId="48" xfId="1" applyNumberFormat="1" applyFont="1" applyFill="1" applyBorder="1" applyAlignment="1">
      <alignment horizontal="center" vertical="center"/>
    </xf>
    <xf numFmtId="9" fontId="39" fillId="7" borderId="49" xfId="1" applyNumberFormat="1" applyFont="1" applyFill="1" applyBorder="1" applyAlignment="1">
      <alignment horizontal="center" vertical="center"/>
    </xf>
    <xf numFmtId="0" fontId="39" fillId="7" borderId="52" xfId="0" applyFont="1" applyFill="1" applyBorder="1" applyAlignment="1">
      <alignment horizontal="center" vertical="center"/>
    </xf>
    <xf numFmtId="167" fontId="52" fillId="7" borderId="1" xfId="1" applyNumberFormat="1" applyFont="1" applyFill="1" applyBorder="1" applyAlignment="1">
      <alignment horizontal="center" vertical="center"/>
    </xf>
    <xf numFmtId="166" fontId="52" fillId="3" borderId="0" xfId="1" applyNumberFormat="1" applyFont="1" applyFill="1" applyBorder="1" applyAlignment="1">
      <alignment horizontal="center" vertical="center"/>
    </xf>
    <xf numFmtId="166" fontId="52" fillId="7" borderId="192" xfId="0" applyNumberFormat="1" applyFont="1" applyFill="1" applyBorder="1" applyAlignment="1">
      <alignment horizontal="center" vertical="center"/>
    </xf>
    <xf numFmtId="166" fontId="52" fillId="7" borderId="193" xfId="0" applyNumberFormat="1" applyFont="1" applyFill="1" applyBorder="1" applyAlignment="1">
      <alignment horizontal="center" vertical="center"/>
    </xf>
    <xf numFmtId="166" fontId="52" fillId="7" borderId="194" xfId="0" applyNumberFormat="1" applyFont="1" applyFill="1" applyBorder="1" applyAlignment="1">
      <alignment horizontal="center" vertical="center"/>
    </xf>
    <xf numFmtId="166" fontId="52" fillId="3" borderId="99" xfId="0" applyNumberFormat="1" applyFont="1" applyFill="1" applyBorder="1" applyAlignment="1">
      <alignment horizontal="center" vertical="center"/>
    </xf>
    <xf numFmtId="166" fontId="52" fillId="3" borderId="115" xfId="0" applyNumberFormat="1" applyFont="1" applyFill="1" applyBorder="1" applyAlignment="1">
      <alignment horizontal="center" vertical="center"/>
    </xf>
    <xf numFmtId="166" fontId="52" fillId="7" borderId="48" xfId="1" applyNumberFormat="1" applyFont="1" applyFill="1" applyBorder="1" applyAlignment="1">
      <alignment horizontal="center" vertical="center"/>
    </xf>
    <xf numFmtId="166" fontId="52" fillId="7" borderId="49" xfId="1" applyNumberFormat="1" applyFont="1" applyFill="1" applyBorder="1" applyAlignment="1">
      <alignment horizontal="center" vertical="center"/>
    </xf>
    <xf numFmtId="167" fontId="52" fillId="7" borderId="52" xfId="1" applyNumberFormat="1" applyFont="1" applyFill="1" applyBorder="1" applyAlignment="1">
      <alignment horizontal="center" vertical="center"/>
    </xf>
    <xf numFmtId="166" fontId="52" fillId="7" borderId="1" xfId="1" applyNumberFormat="1" applyFont="1" applyFill="1" applyBorder="1" applyAlignment="1">
      <alignment horizontal="center" vertical="center"/>
    </xf>
    <xf numFmtId="166" fontId="52" fillId="3" borderId="29" xfId="1" applyNumberFormat="1" applyFont="1" applyFill="1" applyBorder="1" applyAlignment="1">
      <alignment horizontal="center" vertical="center"/>
    </xf>
    <xf numFmtId="166" fontId="52" fillId="7" borderId="200" xfId="0" applyNumberFormat="1" applyFont="1" applyFill="1" applyBorder="1" applyAlignment="1">
      <alignment horizontal="center" vertical="center"/>
    </xf>
    <xf numFmtId="9" fontId="52" fillId="7" borderId="49" xfId="1" applyNumberFormat="1" applyFont="1" applyFill="1" applyBorder="1" applyAlignment="1">
      <alignment horizontal="center" vertical="center"/>
    </xf>
    <xf numFmtId="0" fontId="52" fillId="7" borderId="52" xfId="0" applyFont="1" applyFill="1" applyBorder="1" applyAlignment="1">
      <alignment horizontal="center" vertical="center"/>
    </xf>
    <xf numFmtId="0" fontId="39" fillId="3" borderId="29" xfId="0" applyFont="1" applyFill="1" applyBorder="1" applyAlignment="1">
      <alignment horizontal="center" vertical="center"/>
    </xf>
    <xf numFmtId="170" fontId="39" fillId="7" borderId="52" xfId="1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66" fontId="37" fillId="0" borderId="120" xfId="2" applyNumberFormat="1" applyFont="1" applyBorder="1" applyAlignment="1">
      <alignment horizontal="center" vertical="center"/>
    </xf>
    <xf numFmtId="166" fontId="37" fillId="0" borderId="6" xfId="2" applyNumberFormat="1" applyFont="1" applyBorder="1" applyAlignment="1">
      <alignment horizontal="center" vertical="center"/>
    </xf>
    <xf numFmtId="166" fontId="37" fillId="0" borderId="121" xfId="2" applyNumberFormat="1" applyFont="1" applyBorder="1" applyAlignment="1">
      <alignment horizontal="center" vertical="center"/>
    </xf>
    <xf numFmtId="167" fontId="33" fillId="6" borderId="57" xfId="1" applyNumberFormat="1" applyFont="1" applyFill="1" applyBorder="1" applyAlignment="1">
      <alignment horizontal="center" vertical="center"/>
    </xf>
    <xf numFmtId="166" fontId="37" fillId="6" borderId="130" xfId="0" applyNumberFormat="1" applyFont="1" applyFill="1" applyBorder="1" applyAlignment="1">
      <alignment horizontal="center" vertical="center"/>
    </xf>
    <xf numFmtId="166" fontId="30" fillId="16" borderId="175" xfId="0" applyNumberFormat="1" applyFont="1" applyFill="1" applyBorder="1" applyAlignment="1">
      <alignment horizontal="center" vertical="center"/>
    </xf>
    <xf numFmtId="166" fontId="30" fillId="16" borderId="176" xfId="0" applyNumberFormat="1" applyFont="1" applyFill="1" applyBorder="1" applyAlignment="1">
      <alignment horizontal="center" vertical="center"/>
    </xf>
    <xf numFmtId="166" fontId="32" fillId="16" borderId="177" xfId="0" applyNumberFormat="1" applyFont="1" applyFill="1" applyBorder="1" applyAlignment="1">
      <alignment horizontal="center" vertical="center"/>
    </xf>
    <xf numFmtId="166" fontId="30" fillId="16" borderId="181" xfId="0" applyNumberFormat="1" applyFont="1" applyFill="1" applyBorder="1" applyAlignment="1">
      <alignment horizontal="center" vertical="center"/>
    </xf>
    <xf numFmtId="166" fontId="30" fillId="16" borderId="1" xfId="0" applyNumberFormat="1" applyFont="1" applyFill="1" applyBorder="1" applyAlignment="1">
      <alignment horizontal="center" vertical="center"/>
    </xf>
    <xf numFmtId="166" fontId="30" fillId="16" borderId="182" xfId="0" applyNumberFormat="1" applyFont="1" applyFill="1" applyBorder="1" applyAlignment="1">
      <alignment horizontal="center" vertical="center"/>
    </xf>
    <xf numFmtId="0" fontId="30" fillId="16" borderId="181" xfId="0" applyFont="1" applyFill="1" applyBorder="1" applyAlignment="1">
      <alignment horizontal="center" vertical="center"/>
    </xf>
    <xf numFmtId="166" fontId="30" fillId="14" borderId="175" xfId="0" applyNumberFormat="1" applyFont="1" applyFill="1" applyBorder="1" applyAlignment="1">
      <alignment horizontal="center" vertical="center"/>
    </xf>
    <xf numFmtId="166" fontId="30" fillId="14" borderId="176" xfId="0" applyNumberFormat="1" applyFont="1" applyFill="1" applyBorder="1" applyAlignment="1">
      <alignment horizontal="center" vertical="center"/>
    </xf>
    <xf numFmtId="166" fontId="32" fillId="14" borderId="177" xfId="0" applyNumberFormat="1" applyFont="1" applyFill="1" applyBorder="1" applyAlignment="1">
      <alignment horizontal="center" vertical="center"/>
    </xf>
    <xf numFmtId="166" fontId="30" fillId="14" borderId="181" xfId="0" applyNumberFormat="1" applyFont="1" applyFill="1" applyBorder="1" applyAlignment="1">
      <alignment horizontal="center" vertical="center"/>
    </xf>
    <xf numFmtId="166" fontId="30" fillId="14" borderId="1" xfId="0" applyNumberFormat="1" applyFont="1" applyFill="1" applyBorder="1" applyAlignment="1">
      <alignment horizontal="center" vertical="center"/>
    </xf>
    <xf numFmtId="166" fontId="30" fillId="14" borderId="182" xfId="0" applyNumberFormat="1" applyFont="1" applyFill="1" applyBorder="1" applyAlignment="1">
      <alignment horizontal="center" vertical="center"/>
    </xf>
    <xf numFmtId="0" fontId="30" fillId="14" borderId="181" xfId="0" applyFont="1" applyFill="1" applyBorder="1" applyAlignment="1">
      <alignment horizontal="center" vertical="center"/>
    </xf>
    <xf numFmtId="166" fontId="30" fillId="14" borderId="178" xfId="0" applyNumberFormat="1" applyFont="1" applyFill="1" applyBorder="1" applyAlignment="1">
      <alignment horizontal="center" vertical="center"/>
    </xf>
    <xf numFmtId="166" fontId="30" fillId="14" borderId="179" xfId="0" applyNumberFormat="1" applyFont="1" applyFill="1" applyBorder="1" applyAlignment="1">
      <alignment horizontal="center" vertical="center"/>
    </xf>
    <xf numFmtId="170" fontId="30" fillId="14" borderId="180" xfId="0" applyNumberFormat="1" applyFont="1" applyFill="1" applyBorder="1" applyAlignment="1">
      <alignment horizontal="center" vertical="center"/>
    </xf>
    <xf numFmtId="0" fontId="30" fillId="16" borderId="178" xfId="0" applyFont="1" applyFill="1" applyBorder="1" applyAlignment="1">
      <alignment horizontal="center" vertical="center"/>
    </xf>
    <xf numFmtId="0" fontId="30" fillId="16" borderId="179" xfId="0" applyFont="1" applyFill="1" applyBorder="1" applyAlignment="1">
      <alignment horizontal="center" vertical="center"/>
    </xf>
    <xf numFmtId="0" fontId="30" fillId="16" borderId="180" xfId="0" applyFont="1" applyFill="1" applyBorder="1" applyAlignment="1">
      <alignment horizontal="center" vertical="center"/>
    </xf>
    <xf numFmtId="168" fontId="37" fillId="3" borderId="0" xfId="2" applyNumberFormat="1" applyFont="1" applyFill="1" applyBorder="1" applyAlignment="1">
      <alignment horizontal="center" vertical="center"/>
    </xf>
    <xf numFmtId="167" fontId="38" fillId="0" borderId="128" xfId="1" applyNumberFormat="1" applyFont="1" applyBorder="1" applyAlignment="1">
      <alignment horizontal="center" vertical="center"/>
    </xf>
    <xf numFmtId="166" fontId="37" fillId="6" borderId="55" xfId="1" applyNumberFormat="1" applyFont="1" applyFill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35" fillId="3" borderId="0" xfId="0" applyNumberFormat="1" applyFont="1" applyFill="1" applyBorder="1" applyAlignment="1">
      <alignment horizontal="center" vertical="center"/>
    </xf>
    <xf numFmtId="166" fontId="36" fillId="3" borderId="0" xfId="0" applyNumberFormat="1" applyFont="1" applyFill="1" applyBorder="1" applyAlignment="1">
      <alignment horizontal="center" vertical="center"/>
    </xf>
    <xf numFmtId="166" fontId="30" fillId="14" borderId="183" xfId="0" applyNumberFormat="1" applyFont="1" applyFill="1" applyBorder="1" applyAlignment="1">
      <alignment horizontal="center" vertical="center"/>
    </xf>
    <xf numFmtId="166" fontId="30" fillId="14" borderId="9" xfId="0" applyNumberFormat="1" applyFont="1" applyFill="1" applyBorder="1" applyAlignment="1">
      <alignment horizontal="center" vertical="center"/>
    </xf>
    <xf numFmtId="0" fontId="30" fillId="14" borderId="9" xfId="0" applyFont="1" applyFill="1" applyBorder="1" applyAlignment="1">
      <alignment horizontal="center" vertical="center"/>
    </xf>
    <xf numFmtId="166" fontId="30" fillId="14" borderId="185" xfId="0" applyNumberFormat="1" applyFont="1" applyFill="1" applyBorder="1" applyAlignment="1">
      <alignment horizontal="center" vertical="center"/>
    </xf>
    <xf numFmtId="166" fontId="32" fillId="14" borderId="0" xfId="0" applyNumberFormat="1" applyFont="1" applyFill="1" applyBorder="1" applyAlignment="1">
      <alignment horizontal="center" vertical="center"/>
    </xf>
    <xf numFmtId="166" fontId="30" fillId="14" borderId="0" xfId="0" applyNumberFormat="1" applyFont="1" applyFill="1" applyBorder="1" applyAlignment="1">
      <alignment horizontal="center" vertical="center"/>
    </xf>
    <xf numFmtId="170" fontId="30" fillId="14" borderId="0" xfId="0" applyNumberFormat="1" applyFont="1" applyFill="1" applyBorder="1" applyAlignment="1">
      <alignment horizontal="center" vertical="center"/>
    </xf>
    <xf numFmtId="166" fontId="37" fillId="16" borderId="1" xfId="0" applyNumberFormat="1" applyFont="1" applyFill="1" applyBorder="1" applyAlignment="1">
      <alignment vertical="center"/>
    </xf>
    <xf numFmtId="0" fontId="37" fillId="19" borderId="7" xfId="0" applyFont="1" applyFill="1" applyBorder="1" applyAlignment="1">
      <alignment horizontal="center" vertical="center"/>
    </xf>
    <xf numFmtId="167" fontId="33" fillId="19" borderId="1" xfId="1" applyNumberFormat="1" applyFont="1" applyFill="1" applyBorder="1" applyAlignment="1">
      <alignment horizontal="center" vertical="center"/>
    </xf>
    <xf numFmtId="166" fontId="33" fillId="19" borderId="1" xfId="0" applyNumberFormat="1" applyFont="1" applyFill="1" applyBorder="1" applyAlignment="1">
      <alignment horizontal="center" vertical="center"/>
    </xf>
    <xf numFmtId="166" fontId="37" fillId="19" borderId="1" xfId="0" applyNumberFormat="1" applyFont="1" applyFill="1" applyBorder="1" applyAlignment="1">
      <alignment horizontal="center" vertical="center"/>
    </xf>
    <xf numFmtId="166" fontId="47" fillId="19" borderId="1" xfId="0" applyNumberFormat="1" applyFont="1" applyFill="1" applyBorder="1" applyAlignment="1">
      <alignment horizontal="center" vertical="center"/>
    </xf>
    <xf numFmtId="14" fontId="33" fillId="19" borderId="1" xfId="0" applyNumberFormat="1" applyFont="1" applyFill="1" applyBorder="1" applyAlignment="1">
      <alignment horizontal="center" vertical="center"/>
    </xf>
    <xf numFmtId="1" fontId="37" fillId="19" borderId="1" xfId="0" applyNumberFormat="1" applyFont="1" applyFill="1" applyBorder="1" applyAlignment="1">
      <alignment horizontal="center" vertical="center"/>
    </xf>
    <xf numFmtId="166" fontId="42" fillId="19" borderId="1" xfId="0" applyNumberFormat="1" applyFont="1" applyFill="1" applyBorder="1" applyAlignment="1">
      <alignment horizontal="center" vertical="center"/>
    </xf>
    <xf numFmtId="166" fontId="36" fillId="19" borderId="1" xfId="1" applyNumberFormat="1" applyFont="1" applyFill="1" applyBorder="1" applyAlignment="1">
      <alignment horizontal="center" vertical="center"/>
    </xf>
    <xf numFmtId="166" fontId="50" fillId="19" borderId="1" xfId="0" applyNumberFormat="1" applyFont="1" applyFill="1" applyBorder="1" applyAlignment="1">
      <alignment horizontal="center" vertical="center"/>
    </xf>
    <xf numFmtId="166" fontId="37" fillId="19" borderId="1" xfId="0" applyNumberFormat="1" applyFont="1" applyFill="1" applyBorder="1" applyAlignment="1">
      <alignment vertical="center"/>
    </xf>
    <xf numFmtId="166" fontId="37" fillId="14" borderId="1" xfId="0" applyNumberFormat="1" applyFont="1" applyFill="1" applyBorder="1" applyAlignment="1">
      <alignment vertical="center"/>
    </xf>
    <xf numFmtId="0" fontId="33" fillId="19" borderId="1" xfId="0" applyFont="1" applyFill="1" applyBorder="1" applyAlignment="1">
      <alignment vertical="center"/>
    </xf>
    <xf numFmtId="0" fontId="33" fillId="19" borderId="7" xfId="0" applyFont="1" applyFill="1" applyBorder="1" applyAlignment="1">
      <alignment horizontal="center" vertical="center"/>
    </xf>
    <xf numFmtId="166" fontId="29" fillId="19" borderId="1" xfId="0" applyNumberFormat="1" applyFont="1" applyFill="1" applyBorder="1" applyAlignment="1">
      <alignment horizontal="center" vertical="center"/>
    </xf>
    <xf numFmtId="166" fontId="36" fillId="19" borderId="1" xfId="0" applyNumberFormat="1" applyFont="1" applyFill="1" applyBorder="1" applyAlignment="1">
      <alignment horizontal="center" vertical="center"/>
    </xf>
    <xf numFmtId="166" fontId="42" fillId="19" borderId="5" xfId="0" applyNumberFormat="1" applyFont="1" applyFill="1" applyBorder="1" applyAlignment="1">
      <alignment horizontal="center" vertical="center"/>
    </xf>
    <xf numFmtId="166" fontId="36" fillId="19" borderId="10" xfId="0" applyNumberFormat="1" applyFont="1" applyFill="1" applyBorder="1" applyAlignment="1">
      <alignment horizontal="center" vertical="center"/>
    </xf>
    <xf numFmtId="166" fontId="37" fillId="19" borderId="1" xfId="1" applyNumberFormat="1" applyFont="1" applyFill="1" applyBorder="1" applyAlignment="1">
      <alignment horizontal="center" vertical="center"/>
    </xf>
    <xf numFmtId="166" fontId="47" fillId="19" borderId="1" xfId="1" applyNumberFormat="1" applyFont="1" applyFill="1" applyBorder="1" applyAlignment="1">
      <alignment horizontal="center" vertical="center"/>
    </xf>
    <xf numFmtId="166" fontId="42" fillId="19" borderId="1" xfId="1" applyNumberFormat="1" applyFont="1" applyFill="1" applyBorder="1" applyAlignment="1">
      <alignment horizontal="center" vertical="center"/>
    </xf>
    <xf numFmtId="167" fontId="37" fillId="19" borderId="1" xfId="1" applyNumberFormat="1" applyFont="1" applyFill="1" applyBorder="1" applyAlignment="1">
      <alignment horizontal="center" vertical="center"/>
    </xf>
    <xf numFmtId="167" fontId="50" fillId="19" borderId="1" xfId="1" applyNumberFormat="1" applyFont="1" applyFill="1" applyBorder="1" applyAlignment="1">
      <alignment horizontal="center" vertical="center"/>
    </xf>
    <xf numFmtId="167" fontId="37" fillId="19" borderId="0" xfId="1" applyNumberFormat="1" applyFont="1" applyFill="1" applyBorder="1" applyAlignment="1">
      <alignment horizontal="center" vertical="center"/>
    </xf>
    <xf numFmtId="166" fontId="37" fillId="19" borderId="7" xfId="0" applyNumberFormat="1" applyFont="1" applyFill="1" applyBorder="1" applyAlignment="1">
      <alignment horizontal="center" vertical="center"/>
    </xf>
    <xf numFmtId="166" fontId="47" fillId="19" borderId="7" xfId="0" applyNumberFormat="1" applyFont="1" applyFill="1" applyBorder="1" applyAlignment="1">
      <alignment horizontal="center" vertical="center"/>
    </xf>
    <xf numFmtId="166" fontId="42" fillId="19" borderId="7" xfId="0" applyNumberFormat="1" applyFont="1" applyFill="1" applyBorder="1" applyAlignment="1">
      <alignment horizontal="center" vertical="center"/>
    </xf>
    <xf numFmtId="166" fontId="30" fillId="19" borderId="0" xfId="0" applyNumberFormat="1" applyFont="1" applyFill="1" applyBorder="1" applyAlignment="1">
      <alignment horizontal="center" vertical="center"/>
    </xf>
    <xf numFmtId="0" fontId="32" fillId="19" borderId="175" xfId="0" applyFont="1" applyFill="1" applyBorder="1" applyAlignment="1">
      <alignment horizontal="center" vertical="center"/>
    </xf>
    <xf numFmtId="0" fontId="32" fillId="19" borderId="176" xfId="0" applyFont="1" applyFill="1" applyBorder="1" applyAlignment="1">
      <alignment horizontal="center" vertical="center"/>
    </xf>
    <xf numFmtId="0" fontId="32" fillId="19" borderId="177" xfId="0" applyFont="1" applyFill="1" applyBorder="1" applyAlignment="1">
      <alignment horizontal="center" vertical="center"/>
    </xf>
    <xf numFmtId="166" fontId="37" fillId="19" borderId="181" xfId="0" applyNumberFormat="1" applyFont="1" applyFill="1" applyBorder="1" applyAlignment="1">
      <alignment horizontal="center" vertical="center"/>
    </xf>
    <xf numFmtId="166" fontId="37" fillId="19" borderId="182" xfId="0" applyNumberFormat="1" applyFont="1" applyFill="1" applyBorder="1" applyAlignment="1">
      <alignment horizontal="center" vertical="center"/>
    </xf>
    <xf numFmtId="166" fontId="47" fillId="19" borderId="181" xfId="0" applyNumberFormat="1" applyFont="1" applyFill="1" applyBorder="1" applyAlignment="1">
      <alignment horizontal="center" vertical="center"/>
    </xf>
    <xf numFmtId="166" fontId="47" fillId="19" borderId="182" xfId="0" applyNumberFormat="1" applyFont="1" applyFill="1" applyBorder="1" applyAlignment="1">
      <alignment horizontal="center" vertical="center"/>
    </xf>
    <xf numFmtId="166" fontId="42" fillId="19" borderId="181" xfId="0" applyNumberFormat="1" applyFont="1" applyFill="1" applyBorder="1" applyAlignment="1">
      <alignment horizontal="center" vertical="center"/>
    </xf>
    <xf numFmtId="166" fontId="42" fillId="19" borderId="182" xfId="0" applyNumberFormat="1" applyFont="1" applyFill="1" applyBorder="1" applyAlignment="1">
      <alignment horizontal="center" vertical="center"/>
    </xf>
    <xf numFmtId="167" fontId="33" fillId="19" borderId="178" xfId="1" applyNumberFormat="1" applyFont="1" applyFill="1" applyBorder="1" applyAlignment="1">
      <alignment horizontal="center" vertical="center"/>
    </xf>
    <xf numFmtId="167" fontId="33" fillId="19" borderId="179" xfId="1" applyNumberFormat="1" applyFont="1" applyFill="1" applyBorder="1" applyAlignment="1">
      <alignment horizontal="center" vertical="center"/>
    </xf>
    <xf numFmtId="167" fontId="33" fillId="19" borderId="180" xfId="1" applyNumberFormat="1" applyFont="1" applyFill="1" applyBorder="1" applyAlignment="1">
      <alignment horizontal="center" vertical="center"/>
    </xf>
    <xf numFmtId="166" fontId="37" fillId="19" borderId="175" xfId="0" applyNumberFormat="1" applyFont="1" applyFill="1" applyBorder="1" applyAlignment="1">
      <alignment horizontal="center" vertical="center"/>
    </xf>
    <xf numFmtId="166" fontId="37" fillId="19" borderId="176" xfId="0" applyNumberFormat="1" applyFont="1" applyFill="1" applyBorder="1" applyAlignment="1">
      <alignment horizontal="center" vertical="center"/>
    </xf>
    <xf numFmtId="166" fontId="37" fillId="19" borderId="177" xfId="0" applyNumberFormat="1" applyFont="1" applyFill="1" applyBorder="1" applyAlignment="1">
      <alignment horizontal="center" vertical="center"/>
    </xf>
    <xf numFmtId="166" fontId="33" fillId="19" borderId="178" xfId="0" applyNumberFormat="1" applyFont="1" applyFill="1" applyBorder="1" applyAlignment="1">
      <alignment horizontal="center" vertical="center"/>
    </xf>
    <xf numFmtId="166" fontId="33" fillId="19" borderId="179" xfId="0" applyNumberFormat="1" applyFont="1" applyFill="1" applyBorder="1" applyAlignment="1">
      <alignment horizontal="center" vertical="center"/>
    </xf>
    <xf numFmtId="166" fontId="33" fillId="19" borderId="180" xfId="0" applyNumberFormat="1" applyFont="1" applyFill="1" applyBorder="1" applyAlignment="1">
      <alignment horizontal="center" vertical="center"/>
    </xf>
    <xf numFmtId="0" fontId="33" fillId="19" borderId="178" xfId="0" applyFont="1" applyFill="1" applyBorder="1" applyAlignment="1">
      <alignment horizontal="center" vertical="center"/>
    </xf>
    <xf numFmtId="0" fontId="33" fillId="19" borderId="179" xfId="0" applyFont="1" applyFill="1" applyBorder="1" applyAlignment="1">
      <alignment horizontal="center" vertical="center"/>
    </xf>
    <xf numFmtId="0" fontId="33" fillId="19" borderId="180" xfId="0" applyFont="1" applyFill="1" applyBorder="1" applyAlignment="1">
      <alignment horizontal="center" vertical="center"/>
    </xf>
    <xf numFmtId="166" fontId="33" fillId="19" borderId="175" xfId="0" applyNumberFormat="1" applyFont="1" applyFill="1" applyBorder="1" applyAlignment="1">
      <alignment horizontal="center" vertical="center"/>
    </xf>
    <xf numFmtId="166" fontId="33" fillId="19" borderId="176" xfId="0" applyNumberFormat="1" applyFont="1" applyFill="1" applyBorder="1" applyAlignment="1">
      <alignment horizontal="center" vertical="center"/>
    </xf>
    <xf numFmtId="166" fontId="33" fillId="19" borderId="177" xfId="0" applyNumberFormat="1" applyFont="1" applyFill="1" applyBorder="1" applyAlignment="1">
      <alignment horizontal="center" vertical="center"/>
    </xf>
    <xf numFmtId="166" fontId="33" fillId="19" borderId="181" xfId="0" applyNumberFormat="1" applyFont="1" applyFill="1" applyBorder="1" applyAlignment="1">
      <alignment horizontal="center" vertical="center"/>
    </xf>
    <xf numFmtId="166" fontId="33" fillId="19" borderId="182" xfId="0" applyNumberFormat="1" applyFont="1" applyFill="1" applyBorder="1" applyAlignment="1">
      <alignment horizontal="center" vertical="center"/>
    </xf>
    <xf numFmtId="166" fontId="37" fillId="19" borderId="178" xfId="0" applyNumberFormat="1" applyFont="1" applyFill="1" applyBorder="1" applyAlignment="1">
      <alignment horizontal="center" vertical="center"/>
    </xf>
    <xf numFmtId="166" fontId="37" fillId="19" borderId="179" xfId="0" applyNumberFormat="1" applyFont="1" applyFill="1" applyBorder="1" applyAlignment="1">
      <alignment horizontal="center" vertical="center"/>
    </xf>
    <xf numFmtId="166" fontId="37" fillId="19" borderId="180" xfId="0" applyNumberFormat="1" applyFont="1" applyFill="1" applyBorder="1" applyAlignment="1">
      <alignment horizontal="center" vertical="center"/>
    </xf>
    <xf numFmtId="166" fontId="50" fillId="19" borderId="188" xfId="0" applyNumberFormat="1" applyFont="1" applyFill="1" applyBorder="1" applyAlignment="1">
      <alignment horizontal="center" vertical="center"/>
    </xf>
    <xf numFmtId="166" fontId="50" fillId="19" borderId="199" xfId="0" applyNumberFormat="1" applyFont="1" applyFill="1" applyBorder="1" applyAlignment="1">
      <alignment horizontal="center" vertical="center"/>
    </xf>
    <xf numFmtId="166" fontId="50" fillId="19" borderId="200" xfId="0" applyNumberFormat="1" applyFont="1" applyFill="1" applyBorder="1" applyAlignment="1">
      <alignment horizontal="center" vertical="center"/>
    </xf>
    <xf numFmtId="166" fontId="37" fillId="19" borderId="188" xfId="0" applyNumberFormat="1" applyFont="1" applyFill="1" applyBorder="1" applyAlignment="1">
      <alignment horizontal="center" vertical="center"/>
    </xf>
    <xf numFmtId="166" fontId="37" fillId="19" borderId="199" xfId="0" applyNumberFormat="1" applyFont="1" applyFill="1" applyBorder="1" applyAlignment="1">
      <alignment horizontal="center" vertical="center"/>
    </xf>
    <xf numFmtId="166" fontId="37" fillId="19" borderId="200" xfId="0" applyNumberFormat="1" applyFont="1" applyFill="1" applyBorder="1" applyAlignment="1">
      <alignment horizontal="center" vertical="center"/>
    </xf>
    <xf numFmtId="166" fontId="52" fillId="7" borderId="199" xfId="0" applyNumberFormat="1" applyFont="1" applyFill="1" applyBorder="1" applyAlignment="1">
      <alignment horizontal="center" vertical="center"/>
    </xf>
    <xf numFmtId="166" fontId="42" fillId="7" borderId="176" xfId="0" applyNumberFormat="1" applyFont="1" applyFill="1" applyBorder="1" applyAlignment="1">
      <alignment horizontal="center" vertical="center"/>
    </xf>
    <xf numFmtId="166" fontId="42" fillId="7" borderId="177" xfId="0" applyNumberFormat="1" applyFont="1" applyFill="1" applyBorder="1" applyAlignment="1">
      <alignment horizontal="center" vertical="center"/>
    </xf>
    <xf numFmtId="166" fontId="39" fillId="7" borderId="178" xfId="0" applyNumberFormat="1" applyFont="1" applyFill="1" applyBorder="1" applyAlignment="1">
      <alignment horizontal="center" vertical="center"/>
    </xf>
    <xf numFmtId="166" fontId="39" fillId="7" borderId="179" xfId="0" applyNumberFormat="1" applyFont="1" applyFill="1" applyBorder="1" applyAlignment="1">
      <alignment horizontal="center" vertical="center"/>
    </xf>
    <xf numFmtId="166" fontId="39" fillId="7" borderId="180" xfId="0" applyNumberFormat="1" applyFont="1" applyFill="1" applyBorder="1" applyAlignment="1">
      <alignment horizontal="center" vertical="center"/>
    </xf>
    <xf numFmtId="166" fontId="37" fillId="7" borderId="176" xfId="0" applyNumberFormat="1" applyFont="1" applyFill="1" applyBorder="1" applyAlignment="1">
      <alignment horizontal="center" vertical="center"/>
    </xf>
    <xf numFmtId="166" fontId="37" fillId="7" borderId="177" xfId="0" applyNumberFormat="1" applyFont="1" applyFill="1" applyBorder="1" applyAlignment="1">
      <alignment horizontal="center" vertical="center"/>
    </xf>
    <xf numFmtId="166" fontId="52" fillId="7" borderId="178" xfId="0" applyNumberFormat="1" applyFont="1" applyFill="1" applyBorder="1" applyAlignment="1">
      <alignment horizontal="center" vertical="center"/>
    </xf>
    <xf numFmtId="166" fontId="52" fillId="7" borderId="179" xfId="0" applyNumberFormat="1" applyFont="1" applyFill="1" applyBorder="1" applyAlignment="1">
      <alignment horizontal="center" vertical="center"/>
    </xf>
    <xf numFmtId="166" fontId="52" fillId="7" borderId="180" xfId="0" applyNumberFormat="1" applyFont="1" applyFill="1" applyBorder="1" applyAlignment="1">
      <alignment horizontal="center" vertical="center"/>
    </xf>
    <xf numFmtId="166" fontId="42" fillId="3" borderId="176" xfId="0" applyNumberFormat="1" applyFont="1" applyFill="1" applyBorder="1" applyAlignment="1">
      <alignment horizontal="center" vertical="center"/>
    </xf>
    <xf numFmtId="166" fontId="42" fillId="3" borderId="177" xfId="0" applyNumberFormat="1" applyFont="1" applyFill="1" applyBorder="1" applyAlignment="1">
      <alignment horizontal="center" vertical="center"/>
    </xf>
    <xf numFmtId="166" fontId="37" fillId="19" borderId="195" xfId="0" applyNumberFormat="1" applyFont="1" applyFill="1" applyBorder="1" applyAlignment="1">
      <alignment horizontal="center" vertical="center"/>
    </xf>
    <xf numFmtId="166" fontId="37" fillId="19" borderId="214" xfId="0" applyNumberFormat="1" applyFont="1" applyFill="1" applyBorder="1" applyAlignment="1">
      <alignment horizontal="center" vertical="center"/>
    </xf>
    <xf numFmtId="0" fontId="32" fillId="19" borderId="178" xfId="0" applyFont="1" applyFill="1" applyBorder="1" applyAlignment="1">
      <alignment horizontal="center" vertical="center"/>
    </xf>
    <xf numFmtId="0" fontId="32" fillId="19" borderId="179" xfId="0" applyFont="1" applyFill="1" applyBorder="1" applyAlignment="1">
      <alignment horizontal="center" vertical="center"/>
    </xf>
    <xf numFmtId="0" fontId="32" fillId="19" borderId="180" xfId="0" applyFont="1" applyFill="1" applyBorder="1" applyAlignment="1">
      <alignment horizontal="center" vertical="center"/>
    </xf>
    <xf numFmtId="167" fontId="30" fillId="3" borderId="0" xfId="1" applyNumberFormat="1" applyFont="1" applyFill="1" applyBorder="1" applyAlignment="1">
      <alignment horizontal="center" vertical="center"/>
    </xf>
    <xf numFmtId="166" fontId="47" fillId="3" borderId="0" xfId="1" applyNumberFormat="1" applyFont="1" applyFill="1" applyBorder="1" applyAlignment="1">
      <alignment horizontal="center" vertical="center"/>
    </xf>
    <xf numFmtId="167" fontId="30" fillId="14" borderId="231" xfId="1" applyNumberFormat="1" applyFont="1" applyFill="1" applyBorder="1" applyAlignment="1">
      <alignment horizontal="center" vertical="center"/>
    </xf>
    <xf numFmtId="167" fontId="30" fillId="14" borderId="207" xfId="1" applyNumberFormat="1" applyFont="1" applyFill="1" applyBorder="1" applyAlignment="1">
      <alignment horizontal="center" vertical="center"/>
    </xf>
    <xf numFmtId="166" fontId="37" fillId="14" borderId="204" xfId="1" applyNumberFormat="1" applyFont="1" applyFill="1" applyBorder="1" applyAlignment="1">
      <alignment horizontal="center" vertical="center"/>
    </xf>
    <xf numFmtId="166" fontId="37" fillId="14" borderId="231" xfId="1" applyNumberFormat="1" applyFont="1" applyFill="1" applyBorder="1" applyAlignment="1">
      <alignment horizontal="center" vertical="center"/>
    </xf>
    <xf numFmtId="166" fontId="47" fillId="14" borderId="206" xfId="1" applyNumberFormat="1" applyFont="1" applyFill="1" applyBorder="1" applyAlignment="1">
      <alignment horizontal="center" vertical="center"/>
    </xf>
    <xf numFmtId="166" fontId="42" fillId="14" borderId="206" xfId="1" applyNumberFormat="1" applyFont="1" applyFill="1" applyBorder="1" applyAlignment="1">
      <alignment horizontal="center" vertical="center"/>
    </xf>
    <xf numFmtId="167" fontId="33" fillId="14" borderId="207" xfId="1" applyNumberFormat="1" applyFont="1" applyFill="1" applyBorder="1" applyAlignment="1">
      <alignment horizontal="center" vertical="center"/>
    </xf>
    <xf numFmtId="167" fontId="30" fillId="19" borderId="175" xfId="1" applyNumberFormat="1" applyFont="1" applyFill="1" applyBorder="1" applyAlignment="1">
      <alignment horizontal="center" vertical="center"/>
    </xf>
    <xf numFmtId="167" fontId="30" fillId="19" borderId="177" xfId="1" applyNumberFormat="1" applyFont="1" applyFill="1" applyBorder="1" applyAlignment="1">
      <alignment horizontal="center" vertical="center"/>
    </xf>
    <xf numFmtId="167" fontId="30" fillId="19" borderId="178" xfId="1" applyNumberFormat="1" applyFont="1" applyFill="1" applyBorder="1" applyAlignment="1">
      <alignment horizontal="center" vertical="center"/>
    </xf>
    <xf numFmtId="167" fontId="30" fillId="19" borderId="180" xfId="1" applyNumberFormat="1" applyFont="1" applyFill="1" applyBorder="1" applyAlignment="1">
      <alignment horizontal="center" vertical="center"/>
    </xf>
    <xf numFmtId="166" fontId="37" fillId="19" borderId="175" xfId="1" applyNumberFormat="1" applyFont="1" applyFill="1" applyBorder="1" applyAlignment="1">
      <alignment horizontal="center" vertical="center"/>
    </xf>
    <xf numFmtId="166" fontId="37" fillId="19" borderId="177" xfId="1" applyNumberFormat="1" applyFont="1" applyFill="1" applyBorder="1" applyAlignment="1">
      <alignment horizontal="center" vertical="center"/>
    </xf>
    <xf numFmtId="166" fontId="37" fillId="19" borderId="181" xfId="1" applyNumberFormat="1" applyFont="1" applyFill="1" applyBorder="1" applyAlignment="1">
      <alignment horizontal="center" vertical="center"/>
    </xf>
    <xf numFmtId="166" fontId="37" fillId="19" borderId="182" xfId="1" applyNumberFormat="1" applyFont="1" applyFill="1" applyBorder="1" applyAlignment="1">
      <alignment horizontal="center" vertical="center"/>
    </xf>
    <xf numFmtId="166" fontId="47" fillId="19" borderId="181" xfId="1" applyNumberFormat="1" applyFont="1" applyFill="1" applyBorder="1" applyAlignment="1">
      <alignment horizontal="center" vertical="center"/>
    </xf>
    <xf numFmtId="166" fontId="47" fillId="19" borderId="182" xfId="1" applyNumberFormat="1" applyFont="1" applyFill="1" applyBorder="1" applyAlignment="1">
      <alignment horizontal="center" vertical="center"/>
    </xf>
    <xf numFmtId="166" fontId="42" fillId="19" borderId="181" xfId="1" applyNumberFormat="1" applyFont="1" applyFill="1" applyBorder="1" applyAlignment="1">
      <alignment horizontal="center" vertical="center"/>
    </xf>
    <xf numFmtId="166" fontId="42" fillId="19" borderId="182" xfId="1" applyNumberFormat="1" applyFont="1" applyFill="1" applyBorder="1" applyAlignment="1">
      <alignment horizontal="center" vertical="center"/>
    </xf>
    <xf numFmtId="167" fontId="30" fillId="19" borderId="211" xfId="1" applyNumberFormat="1" applyFont="1" applyFill="1" applyBorder="1" applyAlignment="1">
      <alignment horizontal="center" vertical="center"/>
    </xf>
    <xf numFmtId="167" fontId="30" fillId="19" borderId="212" xfId="1" applyNumberFormat="1" applyFont="1" applyFill="1" applyBorder="1" applyAlignment="1">
      <alignment horizontal="center" vertical="center"/>
    </xf>
    <xf numFmtId="166" fontId="37" fillId="19" borderId="211" xfId="1" applyNumberFormat="1" applyFont="1" applyFill="1" applyBorder="1" applyAlignment="1">
      <alignment horizontal="center" vertical="center"/>
    </xf>
    <xf numFmtId="166" fontId="37" fillId="19" borderId="213" xfId="1" applyNumberFormat="1" applyFont="1" applyFill="1" applyBorder="1" applyAlignment="1">
      <alignment horizontal="center" vertical="center"/>
    </xf>
    <xf numFmtId="166" fontId="47" fillId="19" borderId="213" xfId="1" applyNumberFormat="1" applyFont="1" applyFill="1" applyBorder="1" applyAlignment="1">
      <alignment horizontal="center" vertical="center"/>
    </xf>
    <xf numFmtId="166" fontId="42" fillId="19" borderId="213" xfId="1" applyNumberFormat="1" applyFont="1" applyFill="1" applyBorder="1" applyAlignment="1">
      <alignment horizontal="center" vertical="center"/>
    </xf>
    <xf numFmtId="167" fontId="33" fillId="19" borderId="212" xfId="1" applyNumberFormat="1" applyFont="1" applyFill="1" applyBorder="1" applyAlignment="1">
      <alignment horizontal="center" vertical="center"/>
    </xf>
    <xf numFmtId="166" fontId="29" fillId="0" borderId="220" xfId="1" applyNumberFormat="1" applyFont="1" applyBorder="1" applyAlignment="1">
      <alignment horizontal="center" vertical="center"/>
    </xf>
    <xf numFmtId="167" fontId="35" fillId="0" borderId="223" xfId="1" applyNumberFormat="1" applyFont="1" applyBorder="1" applyAlignment="1">
      <alignment horizontal="center" vertical="center"/>
    </xf>
    <xf numFmtId="173" fontId="36" fillId="17" borderId="80" xfId="0" applyNumberFormat="1" applyFont="1" applyFill="1" applyBorder="1" applyAlignment="1">
      <alignment horizontal="center" vertical="center"/>
    </xf>
    <xf numFmtId="173" fontId="36" fillId="19" borderId="53" xfId="0" applyNumberFormat="1" applyFont="1" applyFill="1" applyBorder="1" applyAlignment="1">
      <alignment horizontal="center" vertical="center"/>
    </xf>
    <xf numFmtId="173" fontId="36" fillId="19" borderId="62" xfId="0" applyNumberFormat="1" applyFont="1" applyFill="1" applyBorder="1" applyAlignment="1">
      <alignment horizontal="center" vertical="center"/>
    </xf>
    <xf numFmtId="173" fontId="36" fillId="19" borderId="54" xfId="0" applyNumberFormat="1" applyFont="1" applyFill="1" applyBorder="1" applyAlignment="1">
      <alignment horizontal="center" vertical="center"/>
    </xf>
    <xf numFmtId="164" fontId="30" fillId="19" borderId="57" xfId="0" applyNumberFormat="1" applyFont="1" applyFill="1" applyBorder="1" applyAlignment="1">
      <alignment horizontal="center" vertical="center"/>
    </xf>
    <xf numFmtId="164" fontId="30" fillId="19" borderId="76" xfId="0" applyNumberFormat="1" applyFont="1" applyFill="1" applyBorder="1" applyAlignment="1">
      <alignment horizontal="center" vertical="center"/>
    </xf>
    <xf numFmtId="164" fontId="30" fillId="19" borderId="58" xfId="0" applyNumberFormat="1" applyFont="1" applyFill="1" applyBorder="1" applyAlignment="1">
      <alignment horizontal="center" vertical="center"/>
    </xf>
    <xf numFmtId="164" fontId="30" fillId="19" borderId="224" xfId="0" applyNumberFormat="1" applyFont="1" applyFill="1" applyBorder="1" applyAlignment="1">
      <alignment horizontal="center" vertical="center"/>
    </xf>
    <xf numFmtId="164" fontId="36" fillId="19" borderId="101" xfId="0" applyNumberFormat="1" applyFont="1" applyFill="1" applyBorder="1" applyAlignment="1">
      <alignment horizontal="center" vertical="center"/>
    </xf>
    <xf numFmtId="164" fontId="30" fillId="19" borderId="112" xfId="0" applyNumberFormat="1" applyFont="1" applyFill="1" applyBorder="1" applyAlignment="1">
      <alignment horizontal="center" vertical="center"/>
    </xf>
    <xf numFmtId="167" fontId="56" fillId="19" borderId="112" xfId="1" applyNumberFormat="1" applyFont="1" applyFill="1" applyBorder="1" applyAlignment="1">
      <alignment horizontal="center" vertical="center"/>
    </xf>
    <xf numFmtId="167" fontId="49" fillId="19" borderId="101" xfId="1" applyNumberFormat="1" applyFont="1" applyFill="1" applyBorder="1" applyAlignment="1">
      <alignment horizontal="center" vertical="center"/>
    </xf>
    <xf numFmtId="167" fontId="49" fillId="19" borderId="82" xfId="1" applyNumberFormat="1" applyFont="1" applyFill="1" applyBorder="1" applyAlignment="1">
      <alignment horizontal="center" vertical="center"/>
    </xf>
    <xf numFmtId="164" fontId="30" fillId="19" borderId="53" xfId="0" applyNumberFormat="1" applyFont="1" applyFill="1" applyBorder="1" applyAlignment="1">
      <alignment horizontal="center" vertical="center"/>
    </xf>
    <xf numFmtId="164" fontId="30" fillId="19" borderId="62" xfId="0" applyNumberFormat="1" applyFont="1" applyFill="1" applyBorder="1" applyAlignment="1">
      <alignment horizontal="center" vertical="center"/>
    </xf>
    <xf numFmtId="164" fontId="30" fillId="19" borderId="54" xfId="0" applyNumberFormat="1" applyFont="1" applyFill="1" applyBorder="1" applyAlignment="1">
      <alignment horizontal="center" vertical="center"/>
    </xf>
    <xf numFmtId="167" fontId="56" fillId="19" borderId="53" xfId="1" applyNumberFormat="1" applyFont="1" applyFill="1" applyBorder="1" applyAlignment="1">
      <alignment horizontal="center" vertical="center"/>
    </xf>
    <xf numFmtId="167" fontId="56" fillId="19" borderId="62" xfId="1" applyNumberFormat="1" applyFont="1" applyFill="1" applyBorder="1" applyAlignment="1">
      <alignment horizontal="center" vertical="center"/>
    </xf>
    <xf numFmtId="167" fontId="56" fillId="19" borderId="54" xfId="1" applyNumberFormat="1" applyFont="1" applyFill="1" applyBorder="1" applyAlignment="1">
      <alignment horizontal="center" vertical="center"/>
    </xf>
    <xf numFmtId="167" fontId="49" fillId="19" borderId="55" xfId="1" applyNumberFormat="1" applyFont="1" applyFill="1" applyBorder="1" applyAlignment="1">
      <alignment horizontal="center" vertical="center"/>
    </xf>
    <xf numFmtId="167" fontId="49" fillId="19" borderId="1" xfId="1" applyNumberFormat="1" applyFont="1" applyFill="1" applyBorder="1" applyAlignment="1">
      <alignment horizontal="center" vertical="center"/>
    </xf>
    <xf numFmtId="167" fontId="49" fillId="19" borderId="56" xfId="1" applyNumberFormat="1" applyFont="1" applyFill="1" applyBorder="1" applyAlignment="1">
      <alignment horizontal="center" vertical="center"/>
    </xf>
    <xf numFmtId="167" fontId="49" fillId="19" borderId="57" xfId="1" applyNumberFormat="1" applyFont="1" applyFill="1" applyBorder="1" applyAlignment="1">
      <alignment horizontal="center" vertical="center"/>
    </xf>
    <xf numFmtId="167" fontId="49" fillId="19" borderId="76" xfId="1" applyNumberFormat="1" applyFont="1" applyFill="1" applyBorder="1" applyAlignment="1">
      <alignment horizontal="center" vertical="center"/>
    </xf>
    <xf numFmtId="167" fontId="49" fillId="19" borderId="58" xfId="1" applyNumberFormat="1" applyFont="1" applyFill="1" applyBorder="1" applyAlignment="1">
      <alignment horizontal="center" vertical="center"/>
    </xf>
    <xf numFmtId="166" fontId="42" fillId="19" borderId="120" xfId="2" applyNumberFormat="1" applyFont="1" applyFill="1" applyBorder="1" applyAlignment="1">
      <alignment horizontal="center" vertical="center"/>
    </xf>
    <xf numFmtId="166" fontId="42" fillId="19" borderId="6" xfId="2" applyNumberFormat="1" applyFont="1" applyFill="1" applyBorder="1" applyAlignment="1">
      <alignment horizontal="center" vertical="center"/>
    </xf>
    <xf numFmtId="166" fontId="47" fillId="19" borderId="131" xfId="2" applyNumberFormat="1" applyFont="1" applyFill="1" applyBorder="1" applyAlignment="1">
      <alignment horizontal="center" vertical="center"/>
    </xf>
    <xf numFmtId="166" fontId="33" fillId="19" borderId="57" xfId="2" applyNumberFormat="1" applyFont="1" applyFill="1" applyBorder="1" applyAlignment="1">
      <alignment horizontal="center" vertical="center"/>
    </xf>
    <xf numFmtId="166" fontId="33" fillId="19" borderId="76" xfId="2" applyNumberFormat="1" applyFont="1" applyFill="1" applyBorder="1" applyAlignment="1">
      <alignment horizontal="center" vertical="center"/>
    </xf>
    <xf numFmtId="166" fontId="33" fillId="19" borderId="58" xfId="2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8" fontId="33" fillId="4" borderId="53" xfId="2" applyNumberFormat="1" applyFont="1" applyFill="1" applyBorder="1" applyAlignment="1">
      <alignment horizontal="center" vertical="center"/>
    </xf>
    <xf numFmtId="168" fontId="29" fillId="4" borderId="225" xfId="2" applyNumberFormat="1" applyFont="1" applyFill="1" applyBorder="1" applyAlignment="1">
      <alignment horizontal="center" vertical="center"/>
    </xf>
    <xf numFmtId="168" fontId="29" fillId="4" borderId="226" xfId="2" applyNumberFormat="1" applyFont="1" applyFill="1" applyBorder="1" applyAlignment="1">
      <alignment horizontal="center" vertical="center"/>
    </xf>
    <xf numFmtId="168" fontId="37" fillId="4" borderId="227" xfId="2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7" fontId="33" fillId="20" borderId="1" xfId="1" applyNumberFormat="1" applyFont="1" applyFill="1" applyBorder="1" applyAlignment="1">
      <alignment horizontal="center" vertical="center"/>
    </xf>
    <xf numFmtId="166" fontId="37" fillId="6" borderId="7" xfId="0" applyNumberFormat="1" applyFont="1" applyFill="1" applyBorder="1" applyAlignment="1">
      <alignment horizontal="center" vertical="center"/>
    </xf>
    <xf numFmtId="166" fontId="37" fillId="6" borderId="131" xfId="0" applyNumberFormat="1" applyFont="1" applyFill="1" applyBorder="1" applyAlignment="1">
      <alignment horizontal="center" vertical="center"/>
    </xf>
    <xf numFmtId="167" fontId="42" fillId="6" borderId="76" xfId="1" applyNumberFormat="1" applyFont="1" applyFill="1" applyBorder="1" applyAlignment="1">
      <alignment horizontal="center" vertical="center"/>
    </xf>
    <xf numFmtId="167" fontId="33" fillId="6" borderId="58" xfId="1" applyNumberFormat="1" applyFont="1" applyFill="1" applyBorder="1" applyAlignment="1">
      <alignment horizontal="center" vertical="center"/>
    </xf>
    <xf numFmtId="167" fontId="33" fillId="20" borderId="7" xfId="1" applyNumberFormat="1" applyFont="1" applyFill="1" applyBorder="1" applyAlignment="1">
      <alignment horizontal="center" vertical="center"/>
    </xf>
    <xf numFmtId="167" fontId="33" fillId="6" borderId="76" xfId="1" applyNumberFormat="1" applyFont="1" applyFill="1" applyBorder="1" applyAlignment="1">
      <alignment horizontal="center" vertical="center"/>
    </xf>
    <xf numFmtId="167" fontId="33" fillId="6" borderId="135" xfId="1" applyNumberFormat="1" applyFont="1" applyFill="1" applyBorder="1" applyAlignment="1">
      <alignment horizontal="center" vertical="center"/>
    </xf>
    <xf numFmtId="166" fontId="37" fillId="6" borderId="138" xfId="1" applyNumberFormat="1" applyFont="1" applyFill="1" applyBorder="1" applyAlignment="1">
      <alignment horizontal="center" vertical="center"/>
    </xf>
    <xf numFmtId="166" fontId="37" fillId="6" borderId="56" xfId="1" applyNumberFormat="1" applyFont="1" applyFill="1" applyBorder="1" applyAlignment="1">
      <alignment horizontal="center" vertical="center"/>
    </xf>
    <xf numFmtId="166" fontId="42" fillId="12" borderId="128" xfId="1" applyNumberFormat="1" applyFont="1" applyFill="1" applyBorder="1" applyAlignment="1">
      <alignment horizontal="center" vertical="center"/>
    </xf>
    <xf numFmtId="173" fontId="30" fillId="0" borderId="112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42" fillId="7" borderId="111" xfId="0" applyNumberFormat="1" applyFont="1" applyFill="1" applyBorder="1" applyAlignment="1">
      <alignment horizontal="center" vertical="center"/>
    </xf>
    <xf numFmtId="166" fontId="42" fillId="7" borderId="75" xfId="0" applyNumberFormat="1" applyFont="1" applyFill="1" applyBorder="1" applyAlignment="1">
      <alignment horizontal="center" vertical="center"/>
    </xf>
    <xf numFmtId="166" fontId="37" fillId="7" borderId="133" xfId="0" applyNumberFormat="1" applyFont="1" applyFill="1" applyBorder="1" applyAlignment="1">
      <alignment horizontal="center" vertical="center"/>
    </xf>
    <xf numFmtId="166" fontId="42" fillId="7" borderId="8" xfId="0" applyNumberFormat="1" applyFont="1" applyFill="1" applyBorder="1" applyAlignment="1">
      <alignment horizontal="center" vertical="center"/>
    </xf>
    <xf numFmtId="166" fontId="37" fillId="7" borderId="8" xfId="0" applyNumberFormat="1" applyFont="1" applyFill="1" applyBorder="1" applyAlignment="1">
      <alignment horizontal="center" vertical="center"/>
    </xf>
    <xf numFmtId="166" fontId="37" fillId="7" borderId="47" xfId="0" applyNumberFormat="1" applyFont="1" applyFill="1" applyBorder="1" applyAlignment="1">
      <alignment horizontal="center" vertical="center"/>
    </xf>
    <xf numFmtId="166" fontId="42" fillId="7" borderId="47" xfId="0" applyNumberFormat="1" applyFont="1" applyFill="1" applyBorder="1" applyAlignment="1">
      <alignment horizontal="center" vertical="center"/>
    </xf>
    <xf numFmtId="166" fontId="37" fillId="7" borderId="111" xfId="0" applyNumberFormat="1" applyFont="1" applyFill="1" applyBorder="1" applyAlignment="1">
      <alignment horizontal="center" vertical="center"/>
    </xf>
    <xf numFmtId="166" fontId="37" fillId="7" borderId="75" xfId="0" applyNumberFormat="1" applyFont="1" applyFill="1" applyBorder="1" applyAlignment="1">
      <alignment horizontal="center" vertical="center"/>
    </xf>
    <xf numFmtId="166" fontId="42" fillId="7" borderId="133" xfId="0" applyNumberFormat="1" applyFont="1" applyFill="1" applyBorder="1" applyAlignment="1">
      <alignment horizontal="center" vertical="center"/>
    </xf>
    <xf numFmtId="166" fontId="42" fillId="7" borderId="232" xfId="0" applyNumberFormat="1" applyFont="1" applyFill="1" applyBorder="1" applyAlignment="1">
      <alignment horizontal="center" vertical="center"/>
    </xf>
    <xf numFmtId="166" fontId="37" fillId="7" borderId="96" xfId="0" applyNumberFormat="1" applyFont="1" applyFill="1" applyBorder="1" applyAlignment="1">
      <alignment horizontal="center" vertical="center"/>
    </xf>
    <xf numFmtId="166" fontId="42" fillId="7" borderId="72" xfId="0" applyNumberFormat="1" applyFont="1" applyFill="1" applyBorder="1" applyAlignment="1">
      <alignment horizontal="center" vertical="center"/>
    </xf>
    <xf numFmtId="166" fontId="42" fillId="11" borderId="65" xfId="0" applyNumberFormat="1" applyFont="1" applyFill="1" applyBorder="1" applyAlignment="1">
      <alignment horizontal="center" vertical="center"/>
    </xf>
    <xf numFmtId="166" fontId="42" fillId="11" borderId="72" xfId="0" applyNumberFormat="1" applyFont="1" applyFill="1" applyBorder="1" applyAlignment="1">
      <alignment horizontal="center" vertical="center"/>
    </xf>
    <xf numFmtId="166" fontId="37" fillId="11" borderId="75" xfId="0" applyNumberFormat="1" applyFont="1" applyFill="1" applyBorder="1" applyAlignment="1">
      <alignment horizontal="center" vertical="center"/>
    </xf>
    <xf numFmtId="166" fontId="42" fillId="11" borderId="47" xfId="0" applyNumberFormat="1" applyFont="1" applyFill="1" applyBorder="1" applyAlignment="1">
      <alignment horizontal="center" vertical="center"/>
    </xf>
    <xf numFmtId="166" fontId="37" fillId="11" borderId="233" xfId="0" applyNumberFormat="1" applyFont="1" applyFill="1" applyBorder="1" applyAlignment="1">
      <alignment horizontal="center" vertical="center"/>
    </xf>
    <xf numFmtId="166" fontId="37" fillId="14" borderId="8" xfId="0" applyNumberFormat="1" applyFont="1" applyFill="1" applyBorder="1" applyAlignment="1">
      <alignment horizontal="center" vertical="center"/>
    </xf>
    <xf numFmtId="166" fontId="33" fillId="14" borderId="8" xfId="0" applyNumberFormat="1" applyFont="1" applyFill="1" applyBorder="1" applyAlignment="1">
      <alignment horizontal="center" vertical="center"/>
    </xf>
    <xf numFmtId="166" fontId="42" fillId="14" borderId="8" xfId="0" applyNumberFormat="1" applyFont="1" applyFill="1" applyBorder="1" applyAlignment="1">
      <alignment horizontal="center" vertical="center"/>
    </xf>
    <xf numFmtId="166" fontId="42" fillId="14" borderId="47" xfId="0" applyNumberFormat="1" applyFont="1" applyFill="1" applyBorder="1" applyAlignment="1">
      <alignment horizontal="center" vertical="center"/>
    </xf>
    <xf numFmtId="166" fontId="37" fillId="14" borderId="236" xfId="0" applyNumberFormat="1" applyFont="1" applyFill="1" applyBorder="1" applyAlignment="1">
      <alignment horizontal="center" vertical="center"/>
    </xf>
    <xf numFmtId="166" fontId="37" fillId="14" borderId="237" xfId="0" applyNumberFormat="1" applyFont="1" applyFill="1" applyBorder="1" applyAlignment="1">
      <alignment horizontal="center" vertical="center"/>
    </xf>
    <xf numFmtId="166" fontId="33" fillId="14" borderId="236" xfId="0" applyNumberFormat="1" applyFont="1" applyFill="1" applyBorder="1" applyAlignment="1">
      <alignment horizontal="center" vertical="center"/>
    </xf>
    <xf numFmtId="166" fontId="33" fillId="3" borderId="238" xfId="0" applyNumberFormat="1" applyFont="1" applyFill="1" applyBorder="1" applyAlignment="1">
      <alignment horizontal="center" vertical="center"/>
    </xf>
    <xf numFmtId="166" fontId="33" fillId="3" borderId="239" xfId="0" applyNumberFormat="1" applyFont="1" applyFill="1" applyBorder="1" applyAlignment="1">
      <alignment horizontal="center" vertical="center"/>
    </xf>
    <xf numFmtId="166" fontId="42" fillId="14" borderId="236" xfId="0" applyNumberFormat="1" applyFont="1" applyFill="1" applyBorder="1" applyAlignment="1">
      <alignment horizontal="center" vertical="center"/>
    </xf>
    <xf numFmtId="166" fontId="42" fillId="14" borderId="237" xfId="0" applyNumberFormat="1" applyFont="1" applyFill="1" applyBorder="1" applyAlignment="1">
      <alignment horizontal="center" vertical="center"/>
    </xf>
    <xf numFmtId="166" fontId="42" fillId="3" borderId="240" xfId="0" applyNumberFormat="1" applyFont="1" applyFill="1" applyBorder="1" applyAlignment="1">
      <alignment horizontal="center" vertical="center"/>
    </xf>
    <xf numFmtId="166" fontId="42" fillId="3" borderId="241" xfId="0" applyNumberFormat="1" applyFont="1" applyFill="1" applyBorder="1" applyAlignment="1">
      <alignment horizontal="center" vertical="center"/>
    </xf>
    <xf numFmtId="166" fontId="37" fillId="14" borderId="242" xfId="0" applyNumberFormat="1" applyFont="1" applyFill="1" applyBorder="1" applyAlignment="1">
      <alignment horizontal="center" vertical="center"/>
    </xf>
    <xf numFmtId="166" fontId="37" fillId="14" borderId="243" xfId="0" applyNumberFormat="1" applyFont="1" applyFill="1" applyBorder="1" applyAlignment="1">
      <alignment horizontal="center" vertical="center"/>
    </xf>
    <xf numFmtId="166" fontId="37" fillId="14" borderId="9" xfId="1" applyNumberFormat="1" applyFont="1" applyFill="1" applyBorder="1" applyAlignment="1">
      <alignment horizontal="center" vertical="center"/>
    </xf>
    <xf numFmtId="167" fontId="33" fillId="14" borderId="9" xfId="1" applyNumberFormat="1" applyFont="1" applyFill="1" applyBorder="1" applyAlignment="1">
      <alignment horizontal="center" vertical="center"/>
    </xf>
    <xf numFmtId="167" fontId="37" fillId="14" borderId="9" xfId="1" applyNumberFormat="1" applyFont="1" applyFill="1" applyBorder="1" applyAlignment="1">
      <alignment horizontal="center" vertical="center"/>
    </xf>
    <xf numFmtId="167" fontId="42" fillId="14" borderId="9" xfId="1" applyNumberFormat="1" applyFont="1" applyFill="1" applyBorder="1" applyAlignment="1">
      <alignment horizontal="center" vertical="center"/>
    </xf>
    <xf numFmtId="167" fontId="42" fillId="14" borderId="44" xfId="1" applyNumberFormat="1" applyFont="1" applyFill="1" applyBorder="1" applyAlignment="1">
      <alignment horizontal="center" vertical="center"/>
    </xf>
    <xf numFmtId="166" fontId="33" fillId="14" borderId="237" xfId="0" applyNumberFormat="1" applyFont="1" applyFill="1" applyBorder="1" applyAlignment="1">
      <alignment horizontal="center" vertical="center"/>
    </xf>
    <xf numFmtId="166" fontId="42" fillId="3" borderId="69" xfId="0" applyNumberFormat="1" applyFont="1" applyFill="1" applyBorder="1" applyAlignment="1">
      <alignment horizontal="center" vertical="center"/>
    </xf>
    <xf numFmtId="166" fontId="37" fillId="3" borderId="151" xfId="0" applyNumberFormat="1" applyFont="1" applyFill="1" applyBorder="1" applyAlignment="1">
      <alignment horizontal="center" vertical="center"/>
    </xf>
    <xf numFmtId="166" fontId="37" fillId="3" borderId="61" xfId="0" applyNumberFormat="1" applyFont="1" applyFill="1" applyBorder="1" applyAlignment="1">
      <alignment horizontal="center" vertical="center"/>
    </xf>
    <xf numFmtId="0" fontId="29" fillId="3" borderId="246" xfId="0" applyFont="1" applyFill="1" applyBorder="1" applyAlignment="1">
      <alignment horizontal="center" vertical="center"/>
    </xf>
    <xf numFmtId="166" fontId="29" fillId="14" borderId="1" xfId="0" applyNumberFormat="1" applyFont="1" applyFill="1" applyBorder="1" applyAlignment="1">
      <alignment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11" borderId="5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35" fillId="3" borderId="0" xfId="0" applyNumberFormat="1" applyFont="1" applyFill="1" applyBorder="1" applyAlignment="1">
      <alignment horizontal="center" vertical="center"/>
    </xf>
    <xf numFmtId="167" fontId="33" fillId="20" borderId="1" xfId="1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/>
    </xf>
    <xf numFmtId="1" fontId="33" fillId="14" borderId="1" xfId="0" applyNumberFormat="1" applyFont="1" applyFill="1" applyBorder="1" applyAlignment="1">
      <alignment horizontal="center" vertical="center"/>
    </xf>
    <xf numFmtId="166" fontId="33" fillId="3" borderId="236" xfId="0" applyNumberFormat="1" applyFont="1" applyFill="1" applyBorder="1" applyAlignment="1">
      <alignment horizontal="center" vertical="center"/>
    </xf>
    <xf numFmtId="166" fontId="42" fillId="7" borderId="114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73" fontId="33" fillId="16" borderId="57" xfId="2" applyNumberFormat="1" applyFont="1" applyFill="1" applyBorder="1" applyAlignment="1">
      <alignment horizontal="center" vertical="center"/>
    </xf>
    <xf numFmtId="167" fontId="42" fillId="5" borderId="1" xfId="1" applyNumberFormat="1" applyFont="1" applyFill="1" applyBorder="1" applyAlignment="1">
      <alignment horizontal="center" vertical="center"/>
    </xf>
    <xf numFmtId="167" fontId="33" fillId="21" borderId="1" xfId="1" applyNumberFormat="1" applyFont="1" applyFill="1" applyBorder="1" applyAlignment="1">
      <alignment horizontal="center" vertical="center"/>
    </xf>
    <xf numFmtId="167" fontId="33" fillId="21" borderId="57" xfId="1" applyNumberFormat="1" applyFont="1" applyFill="1" applyBorder="1" applyAlignment="1">
      <alignment horizontal="center" vertical="center"/>
    </xf>
    <xf numFmtId="167" fontId="42" fillId="21" borderId="76" xfId="1" applyNumberFormat="1" applyFont="1" applyFill="1" applyBorder="1" applyAlignment="1">
      <alignment horizontal="center" vertical="center"/>
    </xf>
    <xf numFmtId="167" fontId="33" fillId="21" borderId="58" xfId="1" applyNumberFormat="1" applyFont="1" applyFill="1" applyBorder="1" applyAlignment="1">
      <alignment horizontal="center" vertical="center"/>
    </xf>
    <xf numFmtId="166" fontId="42" fillId="22" borderId="1" xfId="0" applyNumberFormat="1" applyFont="1" applyFill="1" applyBorder="1" applyAlignment="1">
      <alignment horizontal="center" vertical="center"/>
    </xf>
    <xf numFmtId="166" fontId="42" fillId="22" borderId="56" xfId="0" applyNumberFormat="1" applyFont="1" applyFill="1" applyBorder="1" applyAlignment="1">
      <alignment horizontal="center" vertical="center"/>
    </xf>
    <xf numFmtId="167" fontId="33" fillId="21" borderId="135" xfId="1" applyNumberFormat="1" applyFont="1" applyFill="1" applyBorder="1" applyAlignment="1">
      <alignment horizontal="center" vertical="center"/>
    </xf>
    <xf numFmtId="166" fontId="42" fillId="22" borderId="128" xfId="1" applyNumberFormat="1" applyFont="1" applyFill="1" applyBorder="1" applyAlignment="1">
      <alignment horizontal="center" vertical="center"/>
    </xf>
    <xf numFmtId="168" fontId="33" fillId="21" borderId="53" xfId="2" applyNumberFormat="1" applyFont="1" applyFill="1" applyBorder="1" applyAlignment="1">
      <alignment horizontal="center" vertical="center"/>
    </xf>
    <xf numFmtId="168" fontId="29" fillId="21" borderId="225" xfId="2" applyNumberFormat="1" applyFont="1" applyFill="1" applyBorder="1" applyAlignment="1">
      <alignment horizontal="center" vertical="center"/>
    </xf>
    <xf numFmtId="168" fontId="29" fillId="21" borderId="226" xfId="2" applyNumberFormat="1" applyFont="1" applyFill="1" applyBorder="1" applyAlignment="1">
      <alignment horizontal="center" vertical="center"/>
    </xf>
    <xf numFmtId="168" fontId="37" fillId="21" borderId="227" xfId="2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166" fontId="37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29" fillId="14" borderId="7" xfId="0" applyNumberFormat="1" applyFont="1" applyFill="1" applyBorder="1" applyAlignment="1">
      <alignment horizontal="center" vertical="center"/>
    </xf>
    <xf numFmtId="166" fontId="29" fillId="14" borderId="133" xfId="0" applyNumberFormat="1" applyFont="1" applyFill="1" applyBorder="1" applyAlignment="1">
      <alignment horizontal="center" vertical="center"/>
    </xf>
    <xf numFmtId="166" fontId="33" fillId="21" borderId="1" xfId="0" applyNumberFormat="1" applyFont="1" applyFill="1" applyBorder="1" applyAlignment="1">
      <alignment horizontal="center" vertical="center"/>
    </xf>
    <xf numFmtId="166" fontId="33" fillId="21" borderId="130" xfId="0" applyNumberFormat="1" applyFont="1" applyFill="1" applyBorder="1" applyAlignment="1">
      <alignment horizontal="center" vertical="center"/>
    </xf>
    <xf numFmtId="166" fontId="33" fillId="21" borderId="7" xfId="0" applyNumberFormat="1" applyFont="1" applyFill="1" applyBorder="1" applyAlignment="1">
      <alignment horizontal="center" vertical="center"/>
    </xf>
    <xf numFmtId="166" fontId="33" fillId="21" borderId="131" xfId="0" applyNumberFormat="1" applyFont="1" applyFill="1" applyBorder="1" applyAlignment="1">
      <alignment horizontal="center" vertical="center"/>
    </xf>
    <xf numFmtId="166" fontId="33" fillId="6" borderId="1" xfId="0" applyNumberFormat="1" applyFont="1" applyFill="1" applyBorder="1" applyAlignment="1">
      <alignment horizontal="center" vertical="center"/>
    </xf>
    <xf numFmtId="166" fontId="33" fillId="6" borderId="130" xfId="0" applyNumberFormat="1" applyFont="1" applyFill="1" applyBorder="1" applyAlignment="1">
      <alignment horizontal="center" vertical="center"/>
    </xf>
    <xf numFmtId="166" fontId="33" fillId="6" borderId="7" xfId="0" applyNumberFormat="1" applyFont="1" applyFill="1" applyBorder="1" applyAlignment="1">
      <alignment horizontal="center" vertical="center"/>
    </xf>
    <xf numFmtId="166" fontId="33" fillId="6" borderId="131" xfId="0" applyNumberFormat="1" applyFont="1" applyFill="1" applyBorder="1" applyAlignment="1">
      <alignment horizontal="center" vertical="center"/>
    </xf>
    <xf numFmtId="166" fontId="33" fillId="3" borderId="121" xfId="0" applyNumberFormat="1" applyFont="1" applyFill="1" applyBorder="1" applyAlignment="1">
      <alignment horizontal="center" vertical="center"/>
    </xf>
    <xf numFmtId="166" fontId="33" fillId="21" borderId="55" xfId="1" applyNumberFormat="1" applyFont="1" applyFill="1" applyBorder="1" applyAlignment="1">
      <alignment horizontal="center" vertical="center"/>
    </xf>
    <xf numFmtId="166" fontId="33" fillId="21" borderId="56" xfId="1" applyNumberFormat="1" applyFont="1" applyFill="1" applyBorder="1" applyAlignment="1">
      <alignment horizontal="center" vertical="center"/>
    </xf>
    <xf numFmtId="166" fontId="33" fillId="21" borderId="138" xfId="1" applyNumberFormat="1" applyFont="1" applyFill="1" applyBorder="1" applyAlignment="1">
      <alignment horizontal="center" vertical="center"/>
    </xf>
    <xf numFmtId="166" fontId="33" fillId="0" borderId="120" xfId="2" applyNumberFormat="1" applyFont="1" applyBorder="1" applyAlignment="1">
      <alignment horizontal="center" vertical="center"/>
    </xf>
    <xf numFmtId="166" fontId="33" fillId="0" borderId="6" xfId="2" applyNumberFormat="1" applyFont="1" applyBorder="1" applyAlignment="1">
      <alignment horizontal="center" vertical="center"/>
    </xf>
    <xf numFmtId="166" fontId="33" fillId="0" borderId="121" xfId="2" applyNumberFormat="1" applyFont="1" applyBorder="1" applyAlignment="1">
      <alignment horizontal="center" vertical="center"/>
    </xf>
    <xf numFmtId="167" fontId="31" fillId="0" borderId="128" xfId="1" applyNumberFormat="1" applyFont="1" applyBorder="1" applyAlignment="1">
      <alignment horizontal="center" vertical="center"/>
    </xf>
    <xf numFmtId="168" fontId="33" fillId="3" borderId="0" xfId="2" applyNumberFormat="1" applyFont="1" applyFill="1" applyBorder="1" applyAlignment="1">
      <alignment horizontal="center" vertical="center"/>
    </xf>
    <xf numFmtId="167" fontId="30" fillId="0" borderId="53" xfId="1" applyNumberFormat="1" applyFont="1" applyBorder="1" applyAlignment="1">
      <alignment horizontal="center" vertical="center"/>
    </xf>
    <xf numFmtId="167" fontId="30" fillId="0" borderId="57" xfId="1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166" fontId="29" fillId="3" borderId="2" xfId="0" applyNumberFormat="1" applyFont="1" applyFill="1" applyBorder="1" applyAlignment="1">
      <alignment horizontal="center" vertical="center"/>
    </xf>
    <xf numFmtId="167" fontId="33" fillId="3" borderId="2" xfId="1" applyNumberFormat="1" applyFont="1" applyFill="1" applyBorder="1" applyAlignment="1">
      <alignment horizontal="center" vertical="center"/>
    </xf>
    <xf numFmtId="166" fontId="37" fillId="15" borderId="1" xfId="1" applyNumberFormat="1" applyFont="1" applyFill="1" applyBorder="1" applyAlignment="1">
      <alignment vertical="center"/>
    </xf>
    <xf numFmtId="166" fontId="42" fillId="0" borderId="85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42" fillId="0" borderId="130" xfId="0" applyNumberFormat="1" applyFont="1" applyBorder="1" applyAlignment="1">
      <alignment horizontal="center" vertical="center"/>
    </xf>
    <xf numFmtId="166" fontId="42" fillId="0" borderId="7" xfId="0" applyNumberFormat="1" applyFont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42" fillId="11" borderId="5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37" fillId="0" borderId="5" xfId="0" applyNumberFormat="1" applyFont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66" fontId="37" fillId="14" borderId="5" xfId="0" applyNumberFormat="1" applyFont="1" applyFill="1" applyBorder="1" applyAlignment="1">
      <alignment horizontal="center" vertical="center"/>
    </xf>
    <xf numFmtId="166" fontId="37" fillId="14" borderId="7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35" fillId="3" borderId="0" xfId="0" applyNumberFormat="1" applyFont="1" applyFill="1" applyBorder="1" applyAlignment="1">
      <alignment horizontal="center" vertical="center"/>
    </xf>
    <xf numFmtId="0" fontId="42" fillId="7" borderId="114" xfId="0" applyFont="1" applyFill="1" applyBorder="1" applyAlignment="1">
      <alignment horizontal="center" vertical="center"/>
    </xf>
    <xf numFmtId="0" fontId="42" fillId="7" borderId="74" xfId="0" applyFont="1" applyFill="1" applyBorder="1" applyAlignment="1">
      <alignment horizontal="center" vertical="center"/>
    </xf>
    <xf numFmtId="0" fontId="37" fillId="7" borderId="3" xfId="0" applyFont="1" applyFill="1" applyBorder="1" applyAlignment="1">
      <alignment horizontal="center" vertical="center"/>
    </xf>
    <xf numFmtId="0" fontId="42" fillId="7" borderId="3" xfId="0" applyFont="1" applyFill="1" applyBorder="1" applyAlignment="1">
      <alignment horizontal="center" vertical="center"/>
    </xf>
    <xf numFmtId="0" fontId="37" fillId="7" borderId="4" xfId="0" applyFont="1" applyFill="1" applyBorder="1" applyAlignment="1">
      <alignment horizontal="center" vertical="center"/>
    </xf>
    <xf numFmtId="0" fontId="42" fillId="7" borderId="4" xfId="0" applyFont="1" applyFill="1" applyBorder="1" applyAlignment="1">
      <alignment horizontal="center" vertical="center"/>
    </xf>
    <xf numFmtId="0" fontId="37" fillId="7" borderId="2" xfId="0" applyFont="1" applyFill="1" applyBorder="1" applyAlignment="1">
      <alignment horizontal="center" vertical="center"/>
    </xf>
    <xf numFmtId="0" fontId="42" fillId="7" borderId="2" xfId="0" applyFont="1" applyFill="1" applyBorder="1" applyAlignment="1">
      <alignment horizontal="center" vertical="center"/>
    </xf>
    <xf numFmtId="0" fontId="37" fillId="7" borderId="114" xfId="0" applyFont="1" applyFill="1" applyBorder="1" applyAlignment="1">
      <alignment horizontal="center" vertical="center"/>
    </xf>
    <xf numFmtId="0" fontId="37" fillId="7" borderId="74" xfId="0" applyFont="1" applyFill="1" applyBorder="1" applyAlignment="1">
      <alignment horizontal="center" vertical="center"/>
    </xf>
    <xf numFmtId="0" fontId="42" fillId="7" borderId="0" xfId="0" applyFont="1" applyFill="1" applyBorder="1" applyAlignment="1">
      <alignment horizontal="center" vertical="center"/>
    </xf>
    <xf numFmtId="0" fontId="42" fillId="7" borderId="249" xfId="0" applyFont="1" applyFill="1" applyBorder="1" applyAlignment="1">
      <alignment horizontal="center" vertical="center"/>
    </xf>
    <xf numFmtId="0" fontId="37" fillId="7" borderId="119" xfId="0" applyFont="1" applyFill="1" applyBorder="1" applyAlignment="1">
      <alignment horizontal="center" vertical="center"/>
    </xf>
    <xf numFmtId="0" fontId="42" fillId="7" borderId="85" xfId="0" applyFont="1" applyFill="1" applyBorder="1" applyAlignment="1">
      <alignment horizontal="center" vertical="center"/>
    </xf>
    <xf numFmtId="0" fontId="37" fillId="0" borderId="84" xfId="0" applyFont="1" applyBorder="1" applyAlignment="1">
      <alignment horizontal="center" vertical="center"/>
    </xf>
    <xf numFmtId="0" fontId="37" fillId="0" borderId="85" xfId="0" applyFont="1" applyBorder="1" applyAlignment="1">
      <alignment horizontal="center" vertical="center"/>
    </xf>
    <xf numFmtId="0" fontId="37" fillId="0" borderId="74" xfId="0" applyFont="1" applyBorder="1" applyAlignment="1">
      <alignment horizontal="center" vertical="center"/>
    </xf>
    <xf numFmtId="0" fontId="37" fillId="0" borderId="119" xfId="0" applyFont="1" applyBorder="1" applyAlignment="1">
      <alignment horizontal="center" vertical="center"/>
    </xf>
    <xf numFmtId="0" fontId="37" fillId="14" borderId="8" xfId="0" applyFont="1" applyFill="1" applyBorder="1" applyAlignment="1">
      <alignment horizontal="center" vertical="center"/>
    </xf>
    <xf numFmtId="0" fontId="37" fillId="14" borderId="9" xfId="0" applyFont="1" applyFill="1" applyBorder="1" applyAlignment="1">
      <alignment horizontal="center" vertical="center"/>
    </xf>
    <xf numFmtId="0" fontId="42" fillId="14" borderId="8" xfId="0" applyFont="1" applyFill="1" applyBorder="1" applyAlignment="1">
      <alignment horizontal="center" vertical="center"/>
    </xf>
    <xf numFmtId="0" fontId="42" fillId="14" borderId="9" xfId="0" applyFont="1" applyFill="1" applyBorder="1" applyAlignment="1">
      <alignment horizontal="center" vertical="center"/>
    </xf>
    <xf numFmtId="0" fontId="42" fillId="14" borderId="47" xfId="0" applyFont="1" applyFill="1" applyBorder="1" applyAlignment="1">
      <alignment horizontal="center" vertical="center"/>
    </xf>
    <xf numFmtId="0" fontId="42" fillId="14" borderId="44" xfId="0" applyFont="1" applyFill="1" applyBorder="1" applyAlignment="1">
      <alignment horizontal="center" vertical="center"/>
    </xf>
    <xf numFmtId="0" fontId="37" fillId="14" borderId="47" xfId="0" applyFont="1" applyFill="1" applyBorder="1" applyAlignment="1">
      <alignment horizontal="center" vertical="center"/>
    </xf>
    <xf numFmtId="0" fontId="33" fillId="14" borderId="9" xfId="0" applyFont="1" applyFill="1" applyBorder="1" applyAlignment="1">
      <alignment horizontal="center" vertical="center"/>
    </xf>
    <xf numFmtId="0" fontId="33" fillId="14" borderId="8" xfId="0" applyFont="1" applyFill="1" applyBorder="1" applyAlignment="1">
      <alignment horizontal="center" vertical="center"/>
    </xf>
    <xf numFmtId="0" fontId="39" fillId="14" borderId="9" xfId="0" applyFont="1" applyFill="1" applyBorder="1" applyAlignment="1">
      <alignment horizontal="center" vertical="center"/>
    </xf>
    <xf numFmtId="0" fontId="37" fillId="14" borderId="44" xfId="0" applyFont="1" applyFill="1" applyBorder="1" applyAlignment="1">
      <alignment horizontal="center" vertical="center"/>
    </xf>
    <xf numFmtId="166" fontId="37" fillId="14" borderId="47" xfId="0" applyNumberFormat="1" applyFont="1" applyFill="1" applyBorder="1" applyAlignment="1">
      <alignment horizontal="center" vertical="center"/>
    </xf>
    <xf numFmtId="166" fontId="37" fillId="14" borderId="247" xfId="0" applyNumberFormat="1" applyFont="1" applyFill="1" applyBorder="1" applyAlignment="1">
      <alignment horizontal="center" vertical="center"/>
    </xf>
    <xf numFmtId="166" fontId="37" fillId="14" borderId="250" xfId="0" applyNumberFormat="1" applyFont="1" applyFill="1" applyBorder="1" applyAlignment="1">
      <alignment horizontal="center" vertical="center"/>
    </xf>
    <xf numFmtId="167" fontId="37" fillId="14" borderId="44" xfId="1" applyNumberFormat="1" applyFont="1" applyFill="1" applyBorder="1" applyAlignment="1">
      <alignment horizontal="center" vertical="center"/>
    </xf>
    <xf numFmtId="167" fontId="37" fillId="0" borderId="5" xfId="1" applyNumberFormat="1" applyFont="1" applyBorder="1" applyAlignment="1">
      <alignment horizontal="center" vertical="center"/>
    </xf>
    <xf numFmtId="0" fontId="37" fillId="14" borderId="133" xfId="0" applyFont="1" applyFill="1" applyBorder="1" applyAlignment="1">
      <alignment horizontal="center" vertical="center"/>
    </xf>
    <xf numFmtId="0" fontId="37" fillId="14" borderId="60" xfId="0" applyFont="1" applyFill="1" applyBorder="1" applyAlignment="1">
      <alignment horizontal="center" vertical="center"/>
    </xf>
    <xf numFmtId="166" fontId="37" fillId="14" borderId="133" xfId="0" applyNumberFormat="1" applyFont="1" applyFill="1" applyBorder="1" applyAlignment="1">
      <alignment horizontal="center" vertical="center"/>
    </xf>
    <xf numFmtId="166" fontId="37" fillId="14" borderId="248" xfId="0" applyNumberFormat="1" applyFont="1" applyFill="1" applyBorder="1" applyAlignment="1">
      <alignment horizontal="center" vertical="center"/>
    </xf>
    <xf numFmtId="166" fontId="37" fillId="14" borderId="251" xfId="0" applyNumberFormat="1" applyFont="1" applyFill="1" applyBorder="1" applyAlignment="1">
      <alignment horizontal="center" vertical="center"/>
    </xf>
    <xf numFmtId="167" fontId="37" fillId="14" borderId="60" xfId="1" applyNumberFormat="1" applyFont="1" applyFill="1" applyBorder="1" applyAlignment="1">
      <alignment horizontal="center" vertical="center"/>
    </xf>
    <xf numFmtId="166" fontId="37" fillId="14" borderId="130" xfId="0" applyNumberFormat="1" applyFont="1" applyFill="1" applyBorder="1" applyAlignment="1">
      <alignment horizontal="center" vertical="center"/>
    </xf>
    <xf numFmtId="166" fontId="37" fillId="14" borderId="60" xfId="0" applyNumberFormat="1" applyFont="1" applyFill="1" applyBorder="1" applyAlignment="1">
      <alignment horizontal="center" vertical="center"/>
    </xf>
    <xf numFmtId="166" fontId="37" fillId="14" borderId="132" xfId="0" applyNumberFormat="1" applyFont="1" applyFill="1" applyBorder="1" applyAlignment="1">
      <alignment horizontal="center" vertical="center"/>
    </xf>
    <xf numFmtId="167" fontId="37" fillId="0" borderId="7" xfId="1" applyNumberFormat="1" applyFont="1" applyBorder="1" applyAlignment="1">
      <alignment horizontal="center" vertical="center"/>
    </xf>
    <xf numFmtId="166" fontId="42" fillId="0" borderId="5" xfId="0" applyNumberFormat="1" applyFont="1" applyBorder="1" applyAlignment="1">
      <alignment horizontal="center" vertical="center"/>
    </xf>
    <xf numFmtId="167" fontId="42" fillId="0" borderId="5" xfId="1" applyNumberFormat="1" applyFont="1" applyBorder="1" applyAlignment="1">
      <alignment horizontal="center" vertical="center"/>
    </xf>
    <xf numFmtId="0" fontId="42" fillId="14" borderId="10" xfId="0" applyFont="1" applyFill="1" applyBorder="1" applyAlignment="1">
      <alignment horizontal="center" vertical="center"/>
    </xf>
    <xf numFmtId="0" fontId="37" fillId="14" borderId="10" xfId="0" applyFont="1" applyFill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166" fontId="33" fillId="14" borderId="248" xfId="0" applyNumberFormat="1" applyFont="1" applyFill="1" applyBorder="1" applyAlignment="1">
      <alignment horizontal="center" vertical="center"/>
    </xf>
    <xf numFmtId="166" fontId="42" fillId="14" borderId="251" xfId="0" applyNumberFormat="1" applyFont="1" applyFill="1" applyBorder="1" applyAlignment="1">
      <alignment horizontal="center" vertical="center"/>
    </xf>
    <xf numFmtId="166" fontId="33" fillId="14" borderId="251" xfId="0" applyNumberFormat="1" applyFont="1" applyFill="1" applyBorder="1" applyAlignment="1">
      <alignment horizontal="center" vertical="center"/>
    </xf>
    <xf numFmtId="167" fontId="42" fillId="14" borderId="60" xfId="1" applyNumberFormat="1" applyFont="1" applyFill="1" applyBorder="1" applyAlignment="1">
      <alignment horizontal="center" vertical="center"/>
    </xf>
    <xf numFmtId="166" fontId="42" fillId="14" borderId="130" xfId="0" applyNumberFormat="1" applyFont="1" applyFill="1" applyBorder="1" applyAlignment="1">
      <alignment horizontal="center" vertical="center"/>
    </xf>
    <xf numFmtId="166" fontId="42" fillId="14" borderId="60" xfId="0" applyNumberFormat="1" applyFont="1" applyFill="1" applyBorder="1" applyAlignment="1">
      <alignment horizontal="center" vertical="center"/>
    </xf>
    <xf numFmtId="166" fontId="42" fillId="14" borderId="132" xfId="0" applyNumberFormat="1" applyFont="1" applyFill="1" applyBorder="1" applyAlignment="1">
      <alignment horizontal="center" vertical="center"/>
    </xf>
    <xf numFmtId="167" fontId="42" fillId="0" borderId="7" xfId="1" applyNumberFormat="1" applyFont="1" applyBorder="1" applyAlignment="1">
      <alignment horizontal="center" vertical="center"/>
    </xf>
    <xf numFmtId="0" fontId="42" fillId="14" borderId="6" xfId="0" applyFont="1" applyFill="1" applyBorder="1" applyAlignment="1">
      <alignment horizontal="center" vertical="center"/>
    </xf>
    <xf numFmtId="0" fontId="57" fillId="14" borderId="0" xfId="0" applyFont="1" applyFill="1" applyBorder="1" applyAlignment="1">
      <alignment horizontal="center" vertical="center"/>
    </xf>
    <xf numFmtId="0" fontId="57" fillId="14" borderId="10" xfId="0" applyFont="1" applyFill="1" applyBorder="1" applyAlignment="1">
      <alignment horizontal="center" vertical="center"/>
    </xf>
    <xf numFmtId="0" fontId="39" fillId="14" borderId="10" xfId="0" applyFont="1" applyFill="1" applyBorder="1" applyAlignment="1">
      <alignment horizontal="center" vertical="center"/>
    </xf>
    <xf numFmtId="0" fontId="33" fillId="14" borderId="10" xfId="0" applyFont="1" applyFill="1" applyBorder="1" applyAlignment="1">
      <alignment horizontal="center" vertical="center"/>
    </xf>
    <xf numFmtId="166" fontId="42" fillId="14" borderId="6" xfId="0" applyNumberFormat="1" applyFont="1" applyFill="1" applyBorder="1" applyAlignment="1">
      <alignment horizontal="right" vertical="center"/>
    </xf>
    <xf numFmtId="0" fontId="37" fillId="14" borderId="6" xfId="0" applyFont="1" applyFill="1" applyBorder="1" applyAlignment="1">
      <alignment horizontal="center" vertical="center"/>
    </xf>
    <xf numFmtId="0" fontId="42" fillId="7" borderId="117" xfId="0" applyFont="1" applyFill="1" applyBorder="1" applyAlignment="1">
      <alignment horizontal="center" vertical="center"/>
    </xf>
    <xf numFmtId="0" fontId="37" fillId="7" borderId="117" xfId="0" applyFont="1" applyFill="1" applyBorder="1" applyAlignment="1">
      <alignment horizontal="center" vertical="center"/>
    </xf>
    <xf numFmtId="0" fontId="42" fillId="7" borderId="113" xfId="0" applyFont="1" applyFill="1" applyBorder="1" applyAlignment="1">
      <alignment horizontal="center" vertical="center"/>
    </xf>
    <xf numFmtId="0" fontId="37" fillId="7" borderId="0" xfId="0" applyFont="1" applyFill="1" applyBorder="1" applyAlignment="1">
      <alignment horizontal="center" vertical="center"/>
    </xf>
    <xf numFmtId="0" fontId="37" fillId="7" borderId="85" xfId="0" applyFont="1" applyFill="1" applyBorder="1" applyAlignment="1">
      <alignment horizontal="center" vertical="center"/>
    </xf>
    <xf numFmtId="166" fontId="37" fillId="3" borderId="252" xfId="0" applyNumberFormat="1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vertical="center"/>
    </xf>
    <xf numFmtId="166" fontId="29" fillId="3" borderId="6" xfId="0" applyNumberFormat="1" applyFont="1" applyFill="1" applyBorder="1" applyAlignment="1">
      <alignment vertical="center"/>
    </xf>
    <xf numFmtId="166" fontId="30" fillId="3" borderId="0" xfId="0" applyNumberFormat="1" applyFont="1" applyFill="1" applyBorder="1" applyAlignment="1">
      <alignment horizontal="center" vertical="center"/>
    </xf>
    <xf numFmtId="166" fontId="37" fillId="3" borderId="173" xfId="0" applyNumberFormat="1" applyFont="1" applyFill="1" applyBorder="1" applyAlignment="1">
      <alignment horizontal="center" vertical="center"/>
    </xf>
    <xf numFmtId="166" fontId="41" fillId="0" borderId="44" xfId="0" applyNumberFormat="1" applyFont="1" applyBorder="1" applyAlignment="1">
      <alignment horizontal="center" vertical="center"/>
    </xf>
    <xf numFmtId="166" fontId="42" fillId="0" borderId="44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166" fontId="42" fillId="3" borderId="133" xfId="0" applyNumberFormat="1" applyFont="1" applyFill="1" applyBorder="1" applyAlignment="1">
      <alignment horizontal="center" vertical="center"/>
    </xf>
    <xf numFmtId="166" fontId="41" fillId="0" borderId="60" xfId="0" applyNumberFormat="1" applyFont="1" applyBorder="1" applyAlignment="1">
      <alignment horizontal="center" vertical="center"/>
    </xf>
    <xf numFmtId="166" fontId="42" fillId="0" borderId="60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67" fontId="42" fillId="0" borderId="256" xfId="1" applyNumberFormat="1" applyFont="1" applyBorder="1" applyAlignment="1">
      <alignment horizontal="center" vertical="center"/>
    </xf>
    <xf numFmtId="167" fontId="42" fillId="0" borderId="257" xfId="1" applyNumberFormat="1" applyFont="1" applyBorder="1" applyAlignment="1">
      <alignment horizontal="center" vertical="center"/>
    </xf>
    <xf numFmtId="167" fontId="37" fillId="0" borderId="256" xfId="1" applyNumberFormat="1" applyFont="1" applyBorder="1" applyAlignment="1">
      <alignment horizontal="center" vertical="center"/>
    </xf>
    <xf numFmtId="167" fontId="37" fillId="0" borderId="258" xfId="1" applyNumberFormat="1" applyFont="1" applyBorder="1" applyAlignment="1">
      <alignment horizontal="center" vertical="center"/>
    </xf>
    <xf numFmtId="167" fontId="42" fillId="0" borderId="258" xfId="1" applyNumberFormat="1" applyFont="1" applyBorder="1" applyAlignment="1">
      <alignment horizontal="center" vertical="center"/>
    </xf>
    <xf numFmtId="166" fontId="42" fillId="3" borderId="260" xfId="0" applyNumberFormat="1" applyFont="1" applyFill="1" applyBorder="1" applyAlignment="1">
      <alignment horizontal="center" vertical="center"/>
    </xf>
    <xf numFmtId="9" fontId="41" fillId="3" borderId="260" xfId="1" applyNumberFormat="1" applyFont="1" applyFill="1" applyBorder="1" applyAlignment="1">
      <alignment horizontal="center" vertical="center"/>
    </xf>
    <xf numFmtId="0" fontId="35" fillId="3" borderId="254" xfId="0" applyFont="1" applyFill="1" applyBorder="1" applyAlignment="1">
      <alignment horizontal="center" vertical="center"/>
    </xf>
    <xf numFmtId="166" fontId="37" fillId="3" borderId="254" xfId="0" applyNumberFormat="1" applyFont="1" applyFill="1" applyBorder="1" applyAlignment="1">
      <alignment horizontal="center" vertical="center"/>
    </xf>
    <xf numFmtId="9" fontId="35" fillId="3" borderId="254" xfId="1" applyNumberFormat="1" applyFont="1" applyFill="1" applyBorder="1" applyAlignment="1">
      <alignment horizontal="center" vertical="center"/>
    </xf>
    <xf numFmtId="0" fontId="37" fillId="3" borderId="254" xfId="0" applyFont="1" applyFill="1" applyBorder="1" applyAlignment="1">
      <alignment horizontal="center" vertical="center"/>
    </xf>
    <xf numFmtId="167" fontId="37" fillId="3" borderId="254" xfId="1" applyNumberFormat="1" applyFont="1" applyFill="1" applyBorder="1" applyAlignment="1">
      <alignment horizontal="center" vertical="center"/>
    </xf>
    <xf numFmtId="166" fontId="35" fillId="3" borderId="254" xfId="0" applyNumberFormat="1" applyFont="1" applyFill="1" applyBorder="1" applyAlignment="1">
      <alignment horizontal="center" vertical="center"/>
    </xf>
    <xf numFmtId="2" fontId="35" fillId="3" borderId="0" xfId="1" applyNumberFormat="1" applyFont="1" applyFill="1" applyBorder="1" applyAlignment="1">
      <alignment horizontal="center" vertical="center"/>
    </xf>
    <xf numFmtId="0" fontId="41" fillId="3" borderId="260" xfId="0" applyFont="1" applyFill="1" applyBorder="1" applyAlignment="1">
      <alignment horizontal="center" vertical="center"/>
    </xf>
    <xf numFmtId="0" fontId="42" fillId="3" borderId="260" xfId="0" applyFont="1" applyFill="1" applyBorder="1" applyAlignment="1">
      <alignment horizontal="center" vertical="center"/>
    </xf>
    <xf numFmtId="166" fontId="33" fillId="3" borderId="260" xfId="0" applyNumberFormat="1" applyFont="1" applyFill="1" applyBorder="1" applyAlignment="1">
      <alignment horizontal="center" vertical="center"/>
    </xf>
    <xf numFmtId="167" fontId="42" fillId="3" borderId="260" xfId="1" applyNumberFormat="1" applyFont="1" applyFill="1" applyBorder="1" applyAlignment="1">
      <alignment horizontal="center" vertical="center"/>
    </xf>
    <xf numFmtId="166" fontId="41" fillId="3" borderId="260" xfId="0" applyNumberFormat="1" applyFont="1" applyFill="1" applyBorder="1" applyAlignment="1">
      <alignment horizontal="center" vertical="center"/>
    </xf>
    <xf numFmtId="166" fontId="42" fillId="3" borderId="261" xfId="0" applyNumberFormat="1" applyFont="1" applyFill="1" applyBorder="1" applyAlignment="1">
      <alignment horizontal="center" vertical="center"/>
    </xf>
    <xf numFmtId="167" fontId="56" fillId="3" borderId="0" xfId="1" applyNumberFormat="1" applyFont="1" applyFill="1" applyBorder="1" applyAlignment="1">
      <alignment horizontal="center" vertical="center"/>
    </xf>
    <xf numFmtId="166" fontId="35" fillId="3" borderId="24" xfId="0" applyNumberFormat="1" applyFont="1" applyFill="1" applyBorder="1" applyAlignment="1">
      <alignment horizontal="center" vertical="center"/>
    </xf>
    <xf numFmtId="166" fontId="29" fillId="3" borderId="24" xfId="0" applyNumberFormat="1" applyFont="1" applyFill="1" applyBorder="1" applyAlignment="1">
      <alignment horizontal="center" vertical="center"/>
    </xf>
    <xf numFmtId="166" fontId="45" fillId="3" borderId="24" xfId="0" applyNumberFormat="1" applyFont="1" applyFill="1" applyBorder="1" applyAlignment="1">
      <alignment horizontal="center" vertical="center"/>
    </xf>
    <xf numFmtId="166" fontId="41" fillId="3" borderId="24" xfId="0" applyNumberFormat="1" applyFont="1" applyFill="1" applyBorder="1" applyAlignment="1">
      <alignment horizontal="center" vertical="center"/>
    </xf>
    <xf numFmtId="166" fontId="42" fillId="3" borderId="47" xfId="0" applyNumberFormat="1" applyFont="1" applyFill="1" applyBorder="1" applyAlignment="1">
      <alignment horizontal="center" vertical="center"/>
    </xf>
    <xf numFmtId="167" fontId="37" fillId="14" borderId="170" xfId="1" applyNumberFormat="1" applyFont="1" applyFill="1" applyBorder="1" applyAlignment="1">
      <alignment horizontal="center" vertical="center"/>
    </xf>
    <xf numFmtId="167" fontId="37" fillId="14" borderId="171" xfId="1" applyNumberFormat="1" applyFont="1" applyFill="1" applyBorder="1" applyAlignment="1">
      <alignment horizontal="center" vertical="center"/>
    </xf>
    <xf numFmtId="166" fontId="42" fillId="14" borderId="170" xfId="0" applyNumberFormat="1" applyFont="1" applyFill="1" applyBorder="1" applyAlignment="1">
      <alignment horizontal="center" vertical="center"/>
    </xf>
    <xf numFmtId="166" fontId="42" fillId="14" borderId="171" xfId="0" applyNumberFormat="1" applyFont="1" applyFill="1" applyBorder="1" applyAlignment="1">
      <alignment horizontal="center" vertical="center"/>
    </xf>
    <xf numFmtId="166" fontId="37" fillId="14" borderId="170" xfId="0" applyNumberFormat="1" applyFont="1" applyFill="1" applyBorder="1" applyAlignment="1">
      <alignment horizontal="center" vertical="center"/>
    </xf>
    <xf numFmtId="166" fontId="37" fillId="14" borderId="171" xfId="0" applyNumberFormat="1" applyFont="1" applyFill="1" applyBorder="1" applyAlignment="1">
      <alignment horizontal="center" vertical="center"/>
    </xf>
    <xf numFmtId="166" fontId="42" fillId="14" borderId="264" xfId="0" applyNumberFormat="1" applyFont="1" applyFill="1" applyBorder="1" applyAlignment="1">
      <alignment horizontal="center" vertical="center"/>
    </xf>
    <xf numFmtId="166" fontId="42" fillId="14" borderId="265" xfId="0" applyNumberFormat="1" applyFont="1" applyFill="1" applyBorder="1" applyAlignment="1">
      <alignment horizontal="center" vertical="center"/>
    </xf>
    <xf numFmtId="0" fontId="42" fillId="3" borderId="253" xfId="0" applyFont="1" applyFill="1" applyBorder="1" applyAlignment="1">
      <alignment vertical="center"/>
    </xf>
    <xf numFmtId="0" fontId="42" fillId="3" borderId="259" xfId="0" applyFont="1" applyFill="1" applyBorder="1" applyAlignment="1">
      <alignment vertical="center"/>
    </xf>
    <xf numFmtId="166" fontId="33" fillId="9" borderId="1" xfId="0" applyNumberFormat="1" applyFont="1" applyFill="1" applyBorder="1" applyAlignment="1">
      <alignment horizontal="center" vertical="center"/>
    </xf>
    <xf numFmtId="166" fontId="33" fillId="0" borderId="57" xfId="1" applyNumberFormat="1" applyFont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7" fontId="35" fillId="0" borderId="1" xfId="1" applyNumberFormat="1" applyFont="1" applyBorder="1" applyAlignment="1">
      <alignment horizontal="center" vertical="center"/>
    </xf>
    <xf numFmtId="167" fontId="29" fillId="0" borderId="1" xfId="1" applyNumberFormat="1" applyFont="1" applyBorder="1" applyAlignment="1">
      <alignment horizontal="center" vertical="center"/>
    </xf>
    <xf numFmtId="167" fontId="45" fillId="0" borderId="1" xfId="1" applyNumberFormat="1" applyFont="1" applyBorder="1" applyAlignment="1">
      <alignment horizontal="center" vertical="center"/>
    </xf>
    <xf numFmtId="167" fontId="41" fillId="0" borderId="1" xfId="1" applyNumberFormat="1" applyFont="1" applyBorder="1" applyAlignment="1">
      <alignment horizontal="center" vertical="center"/>
    </xf>
    <xf numFmtId="167" fontId="35" fillId="3" borderId="1" xfId="1" applyNumberFormat="1" applyFont="1" applyFill="1" applyBorder="1" applyAlignment="1">
      <alignment horizontal="center" vertical="center"/>
    </xf>
    <xf numFmtId="167" fontId="29" fillId="3" borderId="1" xfId="1" applyNumberFormat="1" applyFont="1" applyFill="1" applyBorder="1" applyAlignment="1">
      <alignment horizontal="center" vertical="center"/>
    </xf>
    <xf numFmtId="176" fontId="35" fillId="0" borderId="1" xfId="0" applyNumberFormat="1" applyFont="1" applyBorder="1" applyAlignment="1">
      <alignment horizontal="center" vertical="center"/>
    </xf>
    <xf numFmtId="176" fontId="29" fillId="0" borderId="1" xfId="0" applyNumberFormat="1" applyFont="1" applyBorder="1" applyAlignment="1">
      <alignment horizontal="center" vertical="center"/>
    </xf>
    <xf numFmtId="176" fontId="45" fillId="0" borderId="1" xfId="0" applyNumberFormat="1" applyFont="1" applyBorder="1" applyAlignment="1">
      <alignment horizontal="center" vertical="center"/>
    </xf>
    <xf numFmtId="176" fontId="41" fillId="0" borderId="1" xfId="0" applyNumberFormat="1" applyFont="1" applyBorder="1" applyAlignment="1">
      <alignment horizontal="center" vertical="center"/>
    </xf>
    <xf numFmtId="176" fontId="35" fillId="3" borderId="1" xfId="0" applyNumberFormat="1" applyFont="1" applyFill="1" applyBorder="1" applyAlignment="1">
      <alignment horizontal="center" vertical="center"/>
    </xf>
    <xf numFmtId="176" fontId="29" fillId="3" borderId="1" xfId="0" applyNumberFormat="1" applyFont="1" applyFill="1" applyBorder="1" applyAlignment="1">
      <alignment horizontal="center" vertical="center"/>
    </xf>
    <xf numFmtId="176" fontId="59" fillId="23" borderId="274" xfId="3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4" fillId="0" borderId="5" xfId="0" applyNumberFormat="1" applyFont="1" applyBorder="1" applyAlignment="1">
      <alignment horizontal="center" vertical="center" textRotation="90"/>
    </xf>
    <xf numFmtId="166" fontId="4" fillId="0" borderId="6" xfId="0" applyNumberFormat="1" applyFont="1" applyBorder="1" applyAlignment="1">
      <alignment horizontal="center" vertical="center" textRotation="90"/>
    </xf>
    <xf numFmtId="166" fontId="4" fillId="0" borderId="7" xfId="0" applyNumberFormat="1" applyFont="1" applyBorder="1" applyAlignment="1">
      <alignment horizontal="center" vertical="center" textRotation="90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7" fontId="13" fillId="0" borderId="0" xfId="0" applyNumberFormat="1" applyFont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166" fontId="2" fillId="0" borderId="9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66" fontId="12" fillId="0" borderId="5" xfId="0" applyNumberFormat="1" applyFont="1" applyBorder="1" applyAlignment="1">
      <alignment horizontal="center" vertical="center" textRotation="90"/>
    </xf>
    <xf numFmtId="166" fontId="12" fillId="0" borderId="6" xfId="0" applyNumberFormat="1" applyFont="1" applyBorder="1" applyAlignment="1">
      <alignment horizontal="center" vertical="center" textRotation="90"/>
    </xf>
    <xf numFmtId="166" fontId="12" fillId="0" borderId="7" xfId="0" applyNumberFormat="1" applyFont="1" applyBorder="1" applyAlignment="1">
      <alignment horizontal="center" vertical="center" textRotation="90"/>
    </xf>
    <xf numFmtId="166" fontId="11" fillId="0" borderId="5" xfId="0" applyNumberFormat="1" applyFont="1" applyBorder="1" applyAlignment="1">
      <alignment horizontal="center" vertical="center" textRotation="90"/>
    </xf>
    <xf numFmtId="166" fontId="11" fillId="0" borderId="6" xfId="0" applyNumberFormat="1" applyFont="1" applyBorder="1" applyAlignment="1">
      <alignment horizontal="center" vertical="center" textRotation="90"/>
    </xf>
    <xf numFmtId="166" fontId="11" fillId="0" borderId="7" xfId="0" applyNumberFormat="1" applyFont="1" applyBorder="1" applyAlignment="1">
      <alignment horizontal="center" vertical="center" textRotation="90"/>
    </xf>
    <xf numFmtId="166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6" fontId="5" fillId="0" borderId="9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textRotation="255"/>
    </xf>
    <xf numFmtId="0" fontId="16" fillId="0" borderId="6" xfId="0" applyFont="1" applyBorder="1" applyAlignment="1">
      <alignment horizontal="center" vertical="center" textRotation="255"/>
    </xf>
    <xf numFmtId="0" fontId="16" fillId="0" borderId="7" xfId="0" applyFont="1" applyBorder="1" applyAlignment="1">
      <alignment horizontal="center" vertical="center" textRotation="255"/>
    </xf>
    <xf numFmtId="0" fontId="17" fillId="0" borderId="5" xfId="0" applyFont="1" applyBorder="1" applyAlignment="1">
      <alignment horizontal="center" vertical="center" textRotation="255"/>
    </xf>
    <xf numFmtId="0" fontId="17" fillId="0" borderId="6" xfId="0" applyFont="1" applyBorder="1" applyAlignment="1">
      <alignment horizontal="center" vertical="center" textRotation="255"/>
    </xf>
    <xf numFmtId="0" fontId="17" fillId="0" borderId="7" xfId="0" applyFont="1" applyBorder="1" applyAlignment="1">
      <alignment horizontal="center" vertical="center" textRotation="255"/>
    </xf>
    <xf numFmtId="0" fontId="20" fillId="0" borderId="38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textRotation="90"/>
    </xf>
    <xf numFmtId="0" fontId="19" fillId="0" borderId="3" xfId="0" applyFont="1" applyBorder="1" applyAlignment="1">
      <alignment horizontal="center" vertical="center" textRotation="90"/>
    </xf>
    <xf numFmtId="2" fontId="2" fillId="0" borderId="13" xfId="1" applyNumberFormat="1" applyFont="1" applyBorder="1" applyAlignment="1">
      <alignment horizontal="center" vertical="center"/>
    </xf>
    <xf numFmtId="2" fontId="2" fillId="0" borderId="17" xfId="1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66" fontId="15" fillId="0" borderId="5" xfId="0" applyNumberFormat="1" applyFont="1" applyBorder="1" applyAlignment="1">
      <alignment horizontal="center" vertical="center" textRotation="90"/>
    </xf>
    <xf numFmtId="166" fontId="15" fillId="0" borderId="6" xfId="0" applyNumberFormat="1" applyFont="1" applyBorder="1" applyAlignment="1">
      <alignment horizontal="center" vertical="center" textRotation="90"/>
    </xf>
    <xf numFmtId="166" fontId="15" fillId="0" borderId="7" xfId="0" applyNumberFormat="1" applyFont="1" applyBorder="1" applyAlignment="1">
      <alignment horizontal="center" vertical="center" textRotation="90"/>
    </xf>
    <xf numFmtId="166" fontId="21" fillId="0" borderId="5" xfId="0" applyNumberFormat="1" applyFont="1" applyBorder="1" applyAlignment="1">
      <alignment horizontal="center" vertical="center" textRotation="90"/>
    </xf>
    <xf numFmtId="166" fontId="21" fillId="0" borderId="6" xfId="0" applyNumberFormat="1" applyFont="1" applyBorder="1" applyAlignment="1">
      <alignment horizontal="center" vertical="center" textRotation="90"/>
    </xf>
    <xf numFmtId="166" fontId="21" fillId="0" borderId="7" xfId="0" applyNumberFormat="1" applyFont="1" applyBorder="1" applyAlignment="1">
      <alignment horizontal="center" vertical="center" textRotation="90"/>
    </xf>
    <xf numFmtId="167" fontId="2" fillId="0" borderId="32" xfId="1" applyNumberFormat="1" applyFont="1" applyBorder="1" applyAlignment="1">
      <alignment horizontal="center" vertical="center"/>
    </xf>
    <xf numFmtId="167" fontId="2" fillId="0" borderId="34" xfId="1" applyNumberFormat="1" applyFont="1" applyBorder="1" applyAlignment="1">
      <alignment horizontal="center" vertical="center"/>
    </xf>
    <xf numFmtId="167" fontId="2" fillId="0" borderId="35" xfId="1" applyNumberFormat="1" applyFont="1" applyBorder="1" applyAlignment="1">
      <alignment horizontal="center" vertical="center"/>
    </xf>
    <xf numFmtId="167" fontId="2" fillId="0" borderId="37" xfId="1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2" fontId="2" fillId="0" borderId="98" xfId="1" applyNumberFormat="1" applyFont="1" applyBorder="1" applyAlignment="1">
      <alignment horizontal="center" vertical="center"/>
    </xf>
    <xf numFmtId="2" fontId="2" fillId="0" borderId="99" xfId="1" applyNumberFormat="1" applyFont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7" fontId="2" fillId="0" borderId="80" xfId="1" applyNumberFormat="1" applyFont="1" applyBorder="1" applyAlignment="1">
      <alignment horizontal="center" vertical="center"/>
    </xf>
    <xf numFmtId="167" fontId="2" fillId="0" borderId="84" xfId="1" applyNumberFormat="1" applyFont="1" applyBorder="1" applyAlignment="1">
      <alignment horizontal="center" vertical="center"/>
    </xf>
    <xf numFmtId="167" fontId="2" fillId="0" borderId="81" xfId="1" applyNumberFormat="1" applyFont="1" applyBorder="1" applyAlignment="1">
      <alignment horizontal="center" vertical="center"/>
    </xf>
    <xf numFmtId="167" fontId="2" fillId="0" borderId="82" xfId="1" applyNumberFormat="1" applyFont="1" applyBorder="1" applyAlignment="1">
      <alignment horizontal="center" vertical="center"/>
    </xf>
    <xf numFmtId="167" fontId="2" fillId="0" borderId="85" xfId="1" applyNumberFormat="1" applyFont="1" applyBorder="1" applyAlignment="1">
      <alignment horizontal="center" vertical="center"/>
    </xf>
    <xf numFmtId="167" fontId="2" fillId="0" borderId="83" xfId="1" applyNumberFormat="1" applyFont="1" applyBorder="1" applyAlignment="1">
      <alignment horizontal="center" vertical="center"/>
    </xf>
    <xf numFmtId="167" fontId="2" fillId="0" borderId="98" xfId="1" applyNumberFormat="1" applyFont="1" applyBorder="1" applyAlignment="1">
      <alignment horizontal="center" vertical="center"/>
    </xf>
    <xf numFmtId="167" fontId="2" fillId="0" borderId="99" xfId="1" applyNumberFormat="1" applyFont="1" applyBorder="1" applyAlignment="1">
      <alignment horizontal="center" vertical="center"/>
    </xf>
    <xf numFmtId="167" fontId="2" fillId="0" borderId="100" xfId="1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7" fontId="4" fillId="0" borderId="98" xfId="1" applyNumberFormat="1" applyFont="1" applyBorder="1" applyAlignment="1">
      <alignment horizontal="center" vertical="center"/>
    </xf>
    <xf numFmtId="167" fontId="4" fillId="0" borderId="100" xfId="1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7" fontId="18" fillId="0" borderId="98" xfId="1" applyNumberFormat="1" applyFont="1" applyBorder="1" applyAlignment="1">
      <alignment horizontal="center" vertical="center"/>
    </xf>
    <xf numFmtId="167" fontId="18" fillId="0" borderId="100" xfId="1" applyNumberFormat="1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112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167" fontId="4" fillId="0" borderId="99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0" fontId="4" fillId="0" borderId="85" xfId="0" applyFont="1" applyBorder="1" applyAlignment="1">
      <alignment horizontal="center" vertical="center"/>
    </xf>
    <xf numFmtId="166" fontId="4" fillId="14" borderId="8" xfId="0" applyNumberFormat="1" applyFont="1" applyFill="1" applyBorder="1" applyAlignment="1">
      <alignment horizontal="center" vertical="center"/>
    </xf>
    <xf numFmtId="166" fontId="4" fillId="14" borderId="4" xfId="0" applyNumberFormat="1" applyFont="1" applyFill="1" applyBorder="1" applyAlignment="1">
      <alignment horizontal="center" vertical="center"/>
    </xf>
    <xf numFmtId="166" fontId="4" fillId="14" borderId="9" xfId="0" applyNumberFormat="1" applyFont="1" applyFill="1" applyBorder="1" applyAlignment="1">
      <alignment horizontal="center" vertical="center"/>
    </xf>
    <xf numFmtId="166" fontId="27" fillId="14" borderId="129" xfId="0" applyNumberFormat="1" applyFont="1" applyFill="1" applyBorder="1" applyAlignment="1">
      <alignment horizontal="center" vertical="center"/>
    </xf>
    <xf numFmtId="166" fontId="27" fillId="14" borderId="114" xfId="0" applyNumberFormat="1" applyFont="1" applyFill="1" applyBorder="1" applyAlignment="1">
      <alignment horizontal="center" vertical="center"/>
    </xf>
    <xf numFmtId="166" fontId="27" fillId="14" borderId="116" xfId="0" applyNumberFormat="1" applyFont="1" applyFill="1" applyBorder="1" applyAlignment="1">
      <alignment horizontal="center" vertical="center"/>
    </xf>
    <xf numFmtId="166" fontId="27" fillId="14" borderId="47" xfId="0" applyNumberFormat="1" applyFont="1" applyFill="1" applyBorder="1" applyAlignment="1">
      <alignment horizontal="center" vertical="center"/>
    </xf>
    <xf numFmtId="166" fontId="27" fillId="14" borderId="2" xfId="0" applyNumberFormat="1" applyFont="1" applyFill="1" applyBorder="1" applyAlignment="1">
      <alignment horizontal="center" vertical="center"/>
    </xf>
    <xf numFmtId="166" fontId="27" fillId="14" borderId="44" xfId="0" applyNumberFormat="1" applyFont="1" applyFill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66" fontId="27" fillId="14" borderId="8" xfId="0" applyNumberFormat="1" applyFont="1" applyFill="1" applyBorder="1" applyAlignment="1">
      <alignment horizontal="center" vertical="center"/>
    </xf>
    <xf numFmtId="166" fontId="27" fillId="14" borderId="4" xfId="0" applyNumberFormat="1" applyFont="1" applyFill="1" applyBorder="1" applyAlignment="1">
      <alignment horizontal="center" vertical="center"/>
    </xf>
    <xf numFmtId="166" fontId="27" fillId="14" borderId="9" xfId="0" applyNumberFormat="1" applyFont="1" applyFill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32" fillId="0" borderId="13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0" fontId="32" fillId="0" borderId="80" xfId="0" applyFont="1" applyBorder="1" applyAlignment="1">
      <alignment horizontal="center" vertical="center"/>
    </xf>
    <xf numFmtId="0" fontId="32" fillId="0" borderId="84" xfId="0" applyFont="1" applyBorder="1" applyAlignment="1">
      <alignment horizontal="center" vertical="center"/>
    </xf>
    <xf numFmtId="0" fontId="32" fillId="0" borderId="81" xfId="0" applyFont="1" applyBorder="1" applyAlignment="1">
      <alignment horizontal="center" vertical="center"/>
    </xf>
    <xf numFmtId="0" fontId="32" fillId="0" borderId="82" xfId="0" applyFont="1" applyBorder="1" applyAlignment="1">
      <alignment horizontal="center" vertical="center"/>
    </xf>
    <xf numFmtId="0" fontId="32" fillId="0" borderId="85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166" fontId="42" fillId="0" borderId="66" xfId="0" applyNumberFormat="1" applyFont="1" applyBorder="1" applyAlignment="1">
      <alignment horizontal="center" vertical="center"/>
    </xf>
    <xf numFmtId="166" fontId="42" fillId="0" borderId="73" xfId="0" applyNumberFormat="1" applyFont="1" applyBorder="1" applyAlignment="1">
      <alignment horizontal="center" vertical="center"/>
    </xf>
    <xf numFmtId="167" fontId="41" fillId="0" borderId="98" xfId="1" applyNumberFormat="1" applyFont="1" applyBorder="1" applyAlignment="1">
      <alignment horizontal="center" vertical="center"/>
    </xf>
    <xf numFmtId="167" fontId="41" fillId="0" borderId="99" xfId="1" applyNumberFormat="1" applyFont="1" applyBorder="1" applyAlignment="1">
      <alignment horizontal="center" vertical="center"/>
    </xf>
    <xf numFmtId="167" fontId="41" fillId="0" borderId="100" xfId="1" applyNumberFormat="1" applyFont="1" applyBorder="1" applyAlignment="1">
      <alignment horizontal="center" vertical="center"/>
    </xf>
    <xf numFmtId="166" fontId="42" fillId="0" borderId="109" xfId="0" applyNumberFormat="1" applyFont="1" applyBorder="1" applyAlignment="1">
      <alignment horizontal="center" vertical="center"/>
    </xf>
    <xf numFmtId="166" fontId="42" fillId="0" borderId="130" xfId="0" applyNumberFormat="1" applyFont="1" applyBorder="1" applyAlignment="1">
      <alignment horizontal="center" vertical="center"/>
    </xf>
    <xf numFmtId="166" fontId="42" fillId="0" borderId="61" xfId="0" applyNumberFormat="1" applyFont="1" applyBorder="1" applyAlignment="1">
      <alignment horizontal="center" vertical="center"/>
    </xf>
    <xf numFmtId="166" fontId="42" fillId="0" borderId="7" xfId="0" applyNumberFormat="1" applyFont="1" applyBorder="1" applyAlignment="1">
      <alignment horizontal="center" vertical="center"/>
    </xf>
    <xf numFmtId="166" fontId="42" fillId="0" borderId="69" xfId="0" applyNumberFormat="1" applyFont="1" applyBorder="1" applyAlignment="1">
      <alignment horizontal="center" vertical="center"/>
    </xf>
    <xf numFmtId="166" fontId="42" fillId="0" borderId="68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44" xfId="0" applyFont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166" fontId="37" fillId="15" borderId="5" xfId="1" applyNumberFormat="1" applyFont="1" applyFill="1" applyBorder="1" applyAlignment="1">
      <alignment horizontal="center" vertical="center"/>
    </xf>
    <xf numFmtId="166" fontId="37" fillId="15" borderId="7" xfId="1" applyNumberFormat="1" applyFont="1" applyFill="1" applyBorder="1" applyAlignment="1">
      <alignment horizontal="center" vertical="center"/>
    </xf>
    <xf numFmtId="168" fontId="29" fillId="0" borderId="61" xfId="2" applyNumberFormat="1" applyFont="1" applyBorder="1" applyAlignment="1">
      <alignment horizontal="center" vertical="center"/>
    </xf>
    <xf numFmtId="168" fontId="29" fillId="0" borderId="69" xfId="2" applyNumberFormat="1" applyFont="1" applyBorder="1" applyAlignment="1">
      <alignment horizontal="center" vertical="center"/>
    </xf>
    <xf numFmtId="168" fontId="29" fillId="0" borderId="66" xfId="2" applyNumberFormat="1" applyFont="1" applyBorder="1" applyAlignment="1">
      <alignment horizontal="center" vertical="center"/>
    </xf>
    <xf numFmtId="168" fontId="29" fillId="0" borderId="73" xfId="2" applyNumberFormat="1" applyFont="1" applyBorder="1" applyAlignment="1">
      <alignment horizontal="center" vertical="center"/>
    </xf>
    <xf numFmtId="168" fontId="29" fillId="0" borderId="109" xfId="2" applyNumberFormat="1" applyFont="1" applyBorder="1" applyAlignment="1">
      <alignment horizontal="center" vertical="center"/>
    </xf>
    <xf numFmtId="168" fontId="29" fillId="0" borderId="68" xfId="2" applyNumberFormat="1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133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right" vertical="center"/>
    </xf>
    <xf numFmtId="166" fontId="34" fillId="0" borderId="5" xfId="0" applyNumberFormat="1" applyFont="1" applyBorder="1" applyAlignment="1">
      <alignment horizontal="center" vertical="center" textRotation="90"/>
    </xf>
    <xf numFmtId="166" fontId="34" fillId="0" borderId="6" xfId="0" applyNumberFormat="1" applyFont="1" applyBorder="1" applyAlignment="1">
      <alignment horizontal="center" vertical="center" textRotation="90"/>
    </xf>
    <xf numFmtId="166" fontId="34" fillId="0" borderId="7" xfId="0" applyNumberFormat="1" applyFont="1" applyBorder="1" applyAlignment="1">
      <alignment horizontal="center" vertical="center" textRotation="90"/>
    </xf>
    <xf numFmtId="167" fontId="30" fillId="0" borderId="80" xfId="1" applyNumberFormat="1" applyFont="1" applyBorder="1" applyAlignment="1">
      <alignment horizontal="center" vertical="center"/>
    </xf>
    <xf numFmtId="167" fontId="30" fillId="0" borderId="84" xfId="1" applyNumberFormat="1" applyFont="1" applyBorder="1" applyAlignment="1">
      <alignment horizontal="center" vertical="center"/>
    </xf>
    <xf numFmtId="167" fontId="30" fillId="0" borderId="81" xfId="1" applyNumberFormat="1" applyFont="1" applyBorder="1" applyAlignment="1">
      <alignment horizontal="center" vertical="center"/>
    </xf>
    <xf numFmtId="167" fontId="30" fillId="0" borderId="82" xfId="1" applyNumberFormat="1" applyFont="1" applyBorder="1" applyAlignment="1">
      <alignment horizontal="center" vertical="center"/>
    </xf>
    <xf numFmtId="167" fontId="30" fillId="0" borderId="85" xfId="1" applyNumberFormat="1" applyFont="1" applyBorder="1" applyAlignment="1">
      <alignment horizontal="center" vertical="center"/>
    </xf>
    <xf numFmtId="167" fontId="30" fillId="0" borderId="83" xfId="1" applyNumberFormat="1" applyFont="1" applyBorder="1" applyAlignment="1">
      <alignment horizontal="center" vertical="center"/>
    </xf>
    <xf numFmtId="166" fontId="37" fillId="3" borderId="85" xfId="0" applyNumberFormat="1" applyFont="1" applyFill="1" applyBorder="1" applyAlignment="1">
      <alignment horizontal="center" vertical="center"/>
    </xf>
    <xf numFmtId="166" fontId="37" fillId="3" borderId="3" xfId="0" applyNumberFormat="1" applyFont="1" applyFill="1" applyBorder="1" applyAlignment="1">
      <alignment horizontal="center" vertical="center"/>
    </xf>
    <xf numFmtId="166" fontId="31" fillId="11" borderId="5" xfId="0" applyNumberFormat="1" applyFont="1" applyFill="1" applyBorder="1" applyAlignment="1">
      <alignment horizontal="center" vertical="center" textRotation="90"/>
    </xf>
    <xf numFmtId="166" fontId="31" fillId="11" borderId="6" xfId="0" applyNumberFormat="1" applyFont="1" applyFill="1" applyBorder="1" applyAlignment="1">
      <alignment horizontal="center" vertical="center" textRotation="90"/>
    </xf>
    <xf numFmtId="166" fontId="31" fillId="11" borderId="7" xfId="0" applyNumberFormat="1" applyFont="1" applyFill="1" applyBorder="1" applyAlignment="1">
      <alignment horizontal="center" vertical="center" textRotation="90"/>
    </xf>
    <xf numFmtId="166" fontId="42" fillId="0" borderId="80" xfId="0" applyNumberFormat="1" applyFont="1" applyBorder="1" applyAlignment="1">
      <alignment horizontal="center" vertical="center"/>
    </xf>
    <xf numFmtId="166" fontId="42" fillId="0" borderId="82" xfId="0" applyNumberFormat="1" applyFont="1" applyBorder="1" applyAlignment="1">
      <alignment horizontal="center" vertical="center"/>
    </xf>
    <xf numFmtId="166" fontId="42" fillId="0" borderId="84" xfId="0" applyNumberFormat="1" applyFont="1" applyBorder="1" applyAlignment="1">
      <alignment horizontal="center" vertical="center"/>
    </xf>
    <xf numFmtId="166" fontId="42" fillId="0" borderId="85" xfId="0" applyNumberFormat="1" applyFont="1" applyBorder="1" applyAlignment="1">
      <alignment horizontal="center" vertical="center"/>
    </xf>
    <xf numFmtId="166" fontId="42" fillId="0" borderId="81" xfId="0" applyNumberFormat="1" applyFont="1" applyBorder="1" applyAlignment="1">
      <alignment horizontal="center" vertical="center"/>
    </xf>
    <xf numFmtId="166" fontId="42" fillId="0" borderId="83" xfId="0" applyNumberFormat="1" applyFont="1" applyBorder="1" applyAlignment="1">
      <alignment horizontal="center" vertical="center"/>
    </xf>
    <xf numFmtId="166" fontId="32" fillId="11" borderId="5" xfId="0" applyNumberFormat="1" applyFont="1" applyFill="1" applyBorder="1" applyAlignment="1">
      <alignment horizontal="center" vertical="center" textRotation="90"/>
    </xf>
    <xf numFmtId="166" fontId="32" fillId="11" borderId="6" xfId="0" applyNumberFormat="1" applyFont="1" applyFill="1" applyBorder="1" applyAlignment="1">
      <alignment horizontal="center" vertical="center" textRotation="90"/>
    </xf>
    <xf numFmtId="166" fontId="32" fillId="11" borderId="7" xfId="0" applyNumberFormat="1" applyFont="1" applyFill="1" applyBorder="1" applyAlignment="1">
      <alignment horizontal="center" vertical="center" textRotation="90"/>
    </xf>
    <xf numFmtId="166" fontId="30" fillId="11" borderId="5" xfId="0" applyNumberFormat="1" applyFont="1" applyFill="1" applyBorder="1" applyAlignment="1">
      <alignment horizontal="center" vertical="center" textRotation="90"/>
    </xf>
    <xf numFmtId="166" fontId="30" fillId="11" borderId="6" xfId="0" applyNumberFormat="1" applyFont="1" applyFill="1" applyBorder="1" applyAlignment="1">
      <alignment horizontal="center" vertical="center" textRotation="90"/>
    </xf>
    <xf numFmtId="166" fontId="30" fillId="11" borderId="7" xfId="0" applyNumberFormat="1" applyFont="1" applyFill="1" applyBorder="1" applyAlignment="1">
      <alignment horizontal="center" vertical="center" textRotation="90"/>
    </xf>
    <xf numFmtId="0" fontId="39" fillId="0" borderId="3" xfId="0" applyFont="1" applyBorder="1" applyAlignment="1">
      <alignment horizontal="center" vertical="center"/>
    </xf>
    <xf numFmtId="166" fontId="42" fillId="0" borderId="131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3" fillId="3" borderId="87" xfId="0" applyFont="1" applyFill="1" applyBorder="1" applyAlignment="1">
      <alignment horizontal="center" vertical="center"/>
    </xf>
    <xf numFmtId="167" fontId="41" fillId="0" borderId="117" xfId="1" applyNumberFormat="1" applyFont="1" applyBorder="1" applyAlignment="1">
      <alignment horizontal="center" vertical="center"/>
    </xf>
    <xf numFmtId="167" fontId="41" fillId="0" borderId="0" xfId="1" applyNumberFormat="1" applyFont="1" applyBorder="1" applyAlignment="1">
      <alignment horizontal="center" vertical="center"/>
    </xf>
    <xf numFmtId="166" fontId="42" fillId="0" borderId="0" xfId="0" applyNumberFormat="1" applyFont="1" applyBorder="1" applyAlignment="1">
      <alignment horizontal="center" vertical="center"/>
    </xf>
    <xf numFmtId="0" fontId="35" fillId="0" borderId="85" xfId="0" applyFont="1" applyBorder="1" applyAlignment="1">
      <alignment horizontal="center" vertical="center"/>
    </xf>
    <xf numFmtId="166" fontId="33" fillId="0" borderId="5" xfId="0" applyNumberFormat="1" applyFont="1" applyBorder="1" applyAlignment="1">
      <alignment horizontal="center" vertical="center" textRotation="90"/>
    </xf>
    <xf numFmtId="166" fontId="33" fillId="0" borderId="6" xfId="0" applyNumberFormat="1" applyFont="1" applyBorder="1" applyAlignment="1">
      <alignment horizontal="center" vertical="center" textRotation="90"/>
    </xf>
    <xf numFmtId="166" fontId="33" fillId="0" borderId="7" xfId="0" applyNumberFormat="1" applyFont="1" applyBorder="1" applyAlignment="1">
      <alignment horizontal="center" vertical="center" textRotation="90"/>
    </xf>
    <xf numFmtId="166" fontId="33" fillId="0" borderId="0" xfId="0" applyNumberFormat="1" applyFont="1" applyBorder="1" applyAlignment="1">
      <alignment horizontal="center" vertical="center"/>
    </xf>
    <xf numFmtId="166" fontId="32" fillId="16" borderId="5" xfId="0" applyNumberFormat="1" applyFont="1" applyFill="1" applyBorder="1" applyAlignment="1">
      <alignment horizontal="center" vertical="center" textRotation="90"/>
    </xf>
    <xf numFmtId="166" fontId="32" fillId="16" borderId="6" xfId="0" applyNumberFormat="1" applyFont="1" applyFill="1" applyBorder="1" applyAlignment="1">
      <alignment horizontal="center" vertical="center" textRotation="90"/>
    </xf>
    <xf numFmtId="166" fontId="32" fillId="16" borderId="7" xfId="0" applyNumberFormat="1" applyFont="1" applyFill="1" applyBorder="1" applyAlignment="1">
      <alignment horizontal="center" vertical="center" textRotation="90"/>
    </xf>
    <xf numFmtId="166" fontId="30" fillId="16" borderId="5" xfId="0" applyNumberFormat="1" applyFont="1" applyFill="1" applyBorder="1" applyAlignment="1">
      <alignment horizontal="center" vertical="center" textRotation="90"/>
    </xf>
    <xf numFmtId="166" fontId="30" fillId="16" borderId="6" xfId="0" applyNumberFormat="1" applyFont="1" applyFill="1" applyBorder="1" applyAlignment="1">
      <alignment horizontal="center" vertical="center" textRotation="90"/>
    </xf>
    <xf numFmtId="166" fontId="30" fillId="16" borderId="7" xfId="0" applyNumberFormat="1" applyFont="1" applyFill="1" applyBorder="1" applyAlignment="1">
      <alignment horizontal="center" vertical="center" textRotation="90"/>
    </xf>
    <xf numFmtId="167" fontId="29" fillId="0" borderId="98" xfId="1" applyNumberFormat="1" applyFont="1" applyBorder="1" applyAlignment="1">
      <alignment horizontal="center" vertical="center"/>
    </xf>
    <xf numFmtId="167" fontId="29" fillId="0" borderId="99" xfId="1" applyNumberFormat="1" applyFont="1" applyBorder="1" applyAlignment="1">
      <alignment horizontal="center" vertical="center"/>
    </xf>
    <xf numFmtId="167" fontId="29" fillId="0" borderId="100" xfId="1" applyNumberFormat="1" applyFont="1" applyBorder="1" applyAlignment="1">
      <alignment horizontal="center" vertical="center"/>
    </xf>
    <xf numFmtId="167" fontId="35" fillId="0" borderId="117" xfId="1" applyNumberFormat="1" applyFont="1" applyBorder="1" applyAlignment="1">
      <alignment horizontal="center" vertical="center"/>
    </xf>
    <xf numFmtId="167" fontId="35" fillId="0" borderId="0" xfId="1" applyNumberFormat="1" applyFont="1" applyBorder="1" applyAlignment="1">
      <alignment horizontal="center" vertical="center"/>
    </xf>
    <xf numFmtId="166" fontId="37" fillId="0" borderId="109" xfId="0" applyNumberFormat="1" applyFont="1" applyBorder="1" applyAlignment="1">
      <alignment horizontal="center" vertical="center"/>
    </xf>
    <xf numFmtId="166" fontId="37" fillId="0" borderId="68" xfId="0" applyNumberFormat="1" applyFont="1" applyBorder="1" applyAlignment="1">
      <alignment horizontal="center" vertical="center"/>
    </xf>
    <xf numFmtId="166" fontId="37" fillId="0" borderId="61" xfId="0" applyNumberFormat="1" applyFont="1" applyBorder="1" applyAlignment="1">
      <alignment horizontal="center" vertical="center"/>
    </xf>
    <xf numFmtId="166" fontId="37" fillId="0" borderId="69" xfId="0" applyNumberFormat="1" applyFont="1" applyBorder="1" applyAlignment="1">
      <alignment horizontal="center" vertical="center"/>
    </xf>
    <xf numFmtId="166" fontId="37" fillId="0" borderId="66" xfId="0" applyNumberFormat="1" applyFont="1" applyBorder="1" applyAlignment="1">
      <alignment horizontal="center" vertical="center"/>
    </xf>
    <xf numFmtId="166" fontId="37" fillId="0" borderId="73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center" vertical="center"/>
    </xf>
    <xf numFmtId="167" fontId="35" fillId="0" borderId="98" xfId="1" applyNumberFormat="1" applyFont="1" applyBorder="1" applyAlignment="1">
      <alignment horizontal="center" vertical="center"/>
    </xf>
    <xf numFmtId="167" fontId="35" fillId="0" borderId="99" xfId="1" applyNumberFormat="1" applyFont="1" applyBorder="1" applyAlignment="1">
      <alignment horizontal="center" vertical="center"/>
    </xf>
    <xf numFmtId="167" fontId="35" fillId="0" borderId="100" xfId="1" applyNumberFormat="1" applyFont="1" applyBorder="1" applyAlignment="1">
      <alignment horizontal="center" vertical="center"/>
    </xf>
    <xf numFmtId="166" fontId="37" fillId="3" borderId="8" xfId="0" applyNumberFormat="1" applyFont="1" applyFill="1" applyBorder="1" applyAlignment="1">
      <alignment horizontal="center" vertical="center"/>
    </xf>
    <xf numFmtId="166" fontId="37" fillId="3" borderId="4" xfId="0" applyNumberFormat="1" applyFont="1" applyFill="1" applyBorder="1" applyAlignment="1">
      <alignment horizontal="center" vertical="center"/>
    </xf>
    <xf numFmtId="166" fontId="37" fillId="3" borderId="9" xfId="0" applyNumberFormat="1" applyFont="1" applyFill="1" applyBorder="1" applyAlignment="1">
      <alignment horizontal="center" vertical="center"/>
    </xf>
    <xf numFmtId="166" fontId="42" fillId="3" borderId="66" xfId="1" applyNumberFormat="1" applyFont="1" applyFill="1" applyBorder="1" applyAlignment="1">
      <alignment horizontal="center" vertical="center"/>
    </xf>
    <xf numFmtId="166" fontId="42" fillId="3" borderId="73" xfId="1" applyNumberFormat="1" applyFont="1" applyFill="1" applyBorder="1" applyAlignment="1">
      <alignment horizontal="center" vertical="center"/>
    </xf>
    <xf numFmtId="166" fontId="42" fillId="11" borderId="61" xfId="0" applyNumberFormat="1" applyFont="1" applyFill="1" applyBorder="1" applyAlignment="1">
      <alignment horizontal="center" vertical="center"/>
    </xf>
    <xf numFmtId="166" fontId="42" fillId="11" borderId="69" xfId="0" applyNumberFormat="1" applyFont="1" applyFill="1" applyBorder="1" applyAlignment="1">
      <alignment horizontal="center" vertical="center"/>
    </xf>
    <xf numFmtId="166" fontId="42" fillId="3" borderId="109" xfId="0" applyNumberFormat="1" applyFont="1" applyFill="1" applyBorder="1" applyAlignment="1">
      <alignment horizontal="center" vertical="center"/>
    </xf>
    <xf numFmtId="166" fontId="42" fillId="3" borderId="68" xfId="0" applyNumberFormat="1" applyFont="1" applyFill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37" fillId="0" borderId="10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6" fillId="14" borderId="172" xfId="0" applyFont="1" applyFill="1" applyBorder="1" applyAlignment="1">
      <alignment horizontal="center" vertical="center"/>
    </xf>
    <xf numFmtId="0" fontId="36" fillId="14" borderId="173" xfId="0" applyFont="1" applyFill="1" applyBorder="1" applyAlignment="1">
      <alignment horizontal="center" vertical="center"/>
    </xf>
    <xf numFmtId="0" fontId="36" fillId="14" borderId="159" xfId="0" applyFont="1" applyFill="1" applyBorder="1" applyAlignment="1">
      <alignment horizontal="center" vertical="center"/>
    </xf>
    <xf numFmtId="0" fontId="50" fillId="14" borderId="172" xfId="0" applyFont="1" applyFill="1" applyBorder="1" applyAlignment="1">
      <alignment horizontal="center" vertical="center"/>
    </xf>
    <xf numFmtId="0" fontId="50" fillId="14" borderId="173" xfId="0" applyFont="1" applyFill="1" applyBorder="1" applyAlignment="1">
      <alignment horizontal="center" vertical="center"/>
    </xf>
    <xf numFmtId="0" fontId="50" fillId="14" borderId="159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 wrapText="1"/>
    </xf>
    <xf numFmtId="0" fontId="32" fillId="0" borderId="133" xfId="0" applyFont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center"/>
    </xf>
    <xf numFmtId="0" fontId="36" fillId="14" borderId="6" xfId="0" applyFont="1" applyFill="1" applyBorder="1" applyAlignment="1">
      <alignment horizontal="center" vertical="center"/>
    </xf>
    <xf numFmtId="0" fontId="36" fillId="14" borderId="7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6" fontId="37" fillId="0" borderId="53" xfId="0" applyNumberFormat="1" applyFont="1" applyBorder="1" applyAlignment="1">
      <alignment horizontal="center" vertical="center"/>
    </xf>
    <xf numFmtId="166" fontId="37" fillId="0" borderId="57" xfId="0" applyNumberFormat="1" applyFont="1" applyBorder="1" applyAlignment="1">
      <alignment horizontal="center" vertical="center"/>
    </xf>
    <xf numFmtId="166" fontId="37" fillId="0" borderId="62" xfId="0" applyNumberFormat="1" applyFont="1" applyBorder="1" applyAlignment="1">
      <alignment horizontal="center" vertical="center"/>
    </xf>
    <xf numFmtId="166" fontId="37" fillId="0" borderId="76" xfId="0" applyNumberFormat="1" applyFont="1" applyBorder="1" applyAlignment="1">
      <alignment horizontal="center" vertical="center"/>
    </xf>
    <xf numFmtId="166" fontId="37" fillId="0" borderId="54" xfId="0" applyNumberFormat="1" applyFont="1" applyBorder="1" applyAlignment="1">
      <alignment horizontal="center" vertical="center"/>
    </xf>
    <xf numFmtId="166" fontId="37" fillId="0" borderId="58" xfId="0" applyNumberFormat="1" applyFont="1" applyBorder="1" applyAlignment="1">
      <alignment horizontal="center" vertical="center"/>
    </xf>
    <xf numFmtId="168" fontId="29" fillId="0" borderId="0" xfId="2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60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166" fontId="29" fillId="14" borderId="8" xfId="0" applyNumberFormat="1" applyFont="1" applyFill="1" applyBorder="1" applyAlignment="1">
      <alignment horizontal="center" vertical="center"/>
    </xf>
    <xf numFmtId="166" fontId="29" fillId="14" borderId="4" xfId="0" applyNumberFormat="1" applyFont="1" applyFill="1" applyBorder="1" applyAlignment="1">
      <alignment horizontal="center" vertical="center"/>
    </xf>
    <xf numFmtId="166" fontId="29" fillId="14" borderId="9" xfId="0" applyNumberFormat="1" applyFont="1" applyFill="1" applyBorder="1" applyAlignment="1">
      <alignment horizontal="center" vertical="center"/>
    </xf>
    <xf numFmtId="166" fontId="37" fillId="3" borderId="0" xfId="0" applyNumberFormat="1" applyFont="1" applyFill="1" applyBorder="1" applyAlignment="1">
      <alignment horizontal="center" vertical="center"/>
    </xf>
    <xf numFmtId="166" fontId="37" fillId="14" borderId="234" xfId="0" applyNumberFormat="1" applyFont="1" applyFill="1" applyBorder="1" applyAlignment="1">
      <alignment horizontal="center" vertical="center"/>
    </xf>
    <xf numFmtId="166" fontId="37" fillId="14" borderId="235" xfId="0" applyNumberFormat="1" applyFont="1" applyFill="1" applyBorder="1" applyAlignment="1">
      <alignment horizontal="center" vertical="center"/>
    </xf>
    <xf numFmtId="166" fontId="37" fillId="14" borderId="244" xfId="0" applyNumberFormat="1" applyFont="1" applyFill="1" applyBorder="1" applyAlignment="1">
      <alignment horizontal="center" vertical="center"/>
    </xf>
    <xf numFmtId="166" fontId="37" fillId="14" borderId="245" xfId="0" applyNumberFormat="1" applyFont="1" applyFill="1" applyBorder="1" applyAlignment="1">
      <alignment horizontal="center" vertical="center"/>
    </xf>
    <xf numFmtId="166" fontId="37" fillId="14" borderId="238" xfId="0" applyNumberFormat="1" applyFont="1" applyFill="1" applyBorder="1" applyAlignment="1">
      <alignment horizontal="center" vertical="center"/>
    </xf>
    <xf numFmtId="166" fontId="37" fillId="14" borderId="239" xfId="0" applyNumberFormat="1" applyFont="1" applyFill="1" applyBorder="1" applyAlignment="1">
      <alignment horizontal="center" vertical="center"/>
    </xf>
    <xf numFmtId="0" fontId="32" fillId="19" borderId="219" xfId="0" applyFont="1" applyFill="1" applyBorder="1" applyAlignment="1">
      <alignment horizontal="center" vertical="center"/>
    </xf>
    <xf numFmtId="0" fontId="32" fillId="19" borderId="220" xfId="0" applyFont="1" applyFill="1" applyBorder="1" applyAlignment="1">
      <alignment horizontal="center" vertical="center"/>
    </xf>
    <xf numFmtId="0" fontId="32" fillId="19" borderId="221" xfId="0" applyFont="1" applyFill="1" applyBorder="1" applyAlignment="1">
      <alignment horizontal="center" vertical="center"/>
    </xf>
    <xf numFmtId="0" fontId="32" fillId="19" borderId="231" xfId="0" applyFont="1" applyFill="1" applyBorder="1" applyAlignment="1">
      <alignment horizontal="center" vertical="center"/>
    </xf>
    <xf numFmtId="0" fontId="32" fillId="19" borderId="3" xfId="0" applyFont="1" applyFill="1" applyBorder="1" applyAlignment="1">
      <alignment horizontal="center" vertical="center"/>
    </xf>
    <xf numFmtId="0" fontId="32" fillId="19" borderId="196" xfId="0" applyFont="1" applyFill="1" applyBorder="1" applyAlignment="1">
      <alignment horizontal="center" vertical="center"/>
    </xf>
    <xf numFmtId="0" fontId="39" fillId="19" borderId="207" xfId="0" applyFont="1" applyFill="1" applyBorder="1" applyAlignment="1">
      <alignment horizontal="center" vertical="center"/>
    </xf>
    <xf numFmtId="0" fontId="39" fillId="19" borderId="208" xfId="0" applyFont="1" applyFill="1" applyBorder="1" applyAlignment="1">
      <alignment horizontal="center" vertical="center"/>
    </xf>
    <xf numFmtId="0" fontId="39" fillId="19" borderId="186" xfId="0" applyFont="1" applyFill="1" applyBorder="1" applyAlignment="1">
      <alignment horizontal="center" vertical="center"/>
    </xf>
    <xf numFmtId="166" fontId="37" fillId="19" borderId="5" xfId="0" applyNumberFormat="1" applyFont="1" applyFill="1" applyBorder="1" applyAlignment="1">
      <alignment horizontal="center" vertical="center"/>
    </xf>
    <xf numFmtId="166" fontId="37" fillId="19" borderId="7" xfId="0" applyNumberFormat="1" applyFont="1" applyFill="1" applyBorder="1" applyAlignment="1">
      <alignment horizontal="center" vertical="center"/>
    </xf>
    <xf numFmtId="0" fontId="29" fillId="19" borderId="5" xfId="0" applyFont="1" applyFill="1" applyBorder="1" applyAlignment="1">
      <alignment horizontal="center" vertical="center"/>
    </xf>
    <xf numFmtId="0" fontId="29" fillId="19" borderId="7" xfId="0" applyFont="1" applyFill="1" applyBorder="1" applyAlignment="1">
      <alignment horizontal="center" vertical="center"/>
    </xf>
    <xf numFmtId="166" fontId="42" fillId="11" borderId="5" xfId="0" applyNumberFormat="1" applyFont="1" applyFill="1" applyBorder="1" applyAlignment="1">
      <alignment horizontal="center" vertical="center"/>
    </xf>
    <xf numFmtId="166" fontId="42" fillId="11" borderId="7" xfId="0" applyNumberFormat="1" applyFont="1" applyFill="1" applyBorder="1" applyAlignment="1">
      <alignment horizontal="center" vertical="center"/>
    </xf>
    <xf numFmtId="166" fontId="42" fillId="3" borderId="1" xfId="0" applyNumberFormat="1" applyFont="1" applyFill="1" applyBorder="1" applyAlignment="1">
      <alignment horizontal="center" vertical="center"/>
    </xf>
    <xf numFmtId="166" fontId="37" fillId="19" borderId="5" xfId="1" applyNumberFormat="1" applyFont="1" applyFill="1" applyBorder="1" applyAlignment="1">
      <alignment horizontal="center" vertical="center"/>
    </xf>
    <xf numFmtId="166" fontId="37" fillId="19" borderId="7" xfId="1" applyNumberFormat="1" applyFont="1" applyFill="1" applyBorder="1" applyAlignment="1">
      <alignment horizontal="center" vertical="center"/>
    </xf>
    <xf numFmtId="166" fontId="42" fillId="3" borderId="5" xfId="1" applyNumberFormat="1" applyFont="1" applyFill="1" applyBorder="1" applyAlignment="1">
      <alignment horizontal="center" vertical="center"/>
    </xf>
    <xf numFmtId="166" fontId="42" fillId="3" borderId="7" xfId="1" applyNumberFormat="1" applyFont="1" applyFill="1" applyBorder="1" applyAlignment="1">
      <alignment horizontal="center" vertical="center"/>
    </xf>
    <xf numFmtId="0" fontId="32" fillId="16" borderId="204" xfId="0" applyFont="1" applyFill="1" applyBorder="1" applyAlignment="1">
      <alignment horizontal="center" vertical="center"/>
    </xf>
    <xf numFmtId="0" fontId="32" fillId="16" borderId="205" xfId="0" applyFont="1" applyFill="1" applyBorder="1" applyAlignment="1">
      <alignment horizontal="center" vertical="center"/>
    </xf>
    <xf numFmtId="0" fontId="32" fillId="16" borderId="184" xfId="0" applyFont="1" applyFill="1" applyBorder="1" applyAlignment="1">
      <alignment horizontal="center" vertical="center"/>
    </xf>
    <xf numFmtId="0" fontId="32" fillId="16" borderId="206" xfId="0" applyFont="1" applyFill="1" applyBorder="1" applyAlignment="1">
      <alignment horizontal="center" vertical="center"/>
    </xf>
    <xf numFmtId="0" fontId="32" fillId="16" borderId="4" xfId="0" applyFont="1" applyFill="1" applyBorder="1" applyAlignment="1">
      <alignment horizontal="center" vertical="center"/>
    </xf>
    <xf numFmtId="0" fontId="32" fillId="16" borderId="187" xfId="0" applyFont="1" applyFill="1" applyBorder="1" applyAlignment="1">
      <alignment horizontal="center" vertical="center"/>
    </xf>
    <xf numFmtId="0" fontId="36" fillId="16" borderId="47" xfId="0" applyFont="1" applyFill="1" applyBorder="1" applyAlignment="1">
      <alignment horizontal="center" vertical="center"/>
    </xf>
    <xf numFmtId="0" fontId="36" fillId="16" borderId="44" xfId="0" applyFont="1" applyFill="1" applyBorder="1" applyAlignment="1">
      <alignment horizontal="center" vertical="center"/>
    </xf>
    <xf numFmtId="0" fontId="36" fillId="16" borderId="133" xfId="0" applyFont="1" applyFill="1" applyBorder="1" applyAlignment="1">
      <alignment horizontal="center" vertical="center"/>
    </xf>
    <xf numFmtId="0" fontId="36" fillId="16" borderId="60" xfId="0" applyFont="1" applyFill="1" applyBorder="1" applyAlignment="1">
      <alignment horizontal="center" vertical="center"/>
    </xf>
    <xf numFmtId="0" fontId="36" fillId="16" borderId="24" xfId="0" applyFont="1" applyFill="1" applyBorder="1" applyAlignment="1">
      <alignment horizontal="center" vertical="center"/>
    </xf>
    <xf numFmtId="0" fontId="36" fillId="16" borderId="10" xfId="0" applyFont="1" applyFill="1" applyBorder="1" applyAlignment="1">
      <alignment horizontal="center" vertical="center"/>
    </xf>
    <xf numFmtId="166" fontId="37" fillId="0" borderId="5" xfId="0" applyNumberFormat="1" applyFont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166" fontId="37" fillId="14" borderId="5" xfId="0" applyNumberFormat="1" applyFont="1" applyFill="1" applyBorder="1" applyAlignment="1">
      <alignment horizontal="center" vertical="center"/>
    </xf>
    <xf numFmtId="166" fontId="37" fillId="14" borderId="7" xfId="0" applyNumberFormat="1" applyFont="1" applyFill="1" applyBorder="1" applyAlignment="1">
      <alignment horizontal="center" vertical="center"/>
    </xf>
    <xf numFmtId="166" fontId="36" fillId="16" borderId="8" xfId="0" applyNumberFormat="1" applyFont="1" applyFill="1" applyBorder="1" applyAlignment="1">
      <alignment horizontal="center" vertical="center"/>
    </xf>
    <xf numFmtId="166" fontId="36" fillId="16" borderId="9" xfId="0" applyNumberFormat="1" applyFont="1" applyFill="1" applyBorder="1" applyAlignment="1">
      <alignment horizontal="center" vertical="center"/>
    </xf>
    <xf numFmtId="0" fontId="33" fillId="16" borderId="5" xfId="0" applyFont="1" applyFill="1" applyBorder="1" applyAlignment="1">
      <alignment horizontal="center" vertical="center"/>
    </xf>
    <xf numFmtId="0" fontId="33" fillId="16" borderId="6" xfId="0" applyFont="1" applyFill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0" fontId="39" fillId="16" borderId="5" xfId="0" applyFont="1" applyFill="1" applyBorder="1" applyAlignment="1">
      <alignment horizontal="center" vertical="center"/>
    </xf>
    <xf numFmtId="0" fontId="39" fillId="16" borderId="6" xfId="0" applyFont="1" applyFill="1" applyBorder="1" applyAlignment="1">
      <alignment horizontal="center" vertical="center"/>
    </xf>
    <xf numFmtId="0" fontId="39" fillId="16" borderId="7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166" fontId="37" fillId="14" borderId="5" xfId="1" applyNumberFormat="1" applyFont="1" applyFill="1" applyBorder="1" applyAlignment="1">
      <alignment horizontal="center" vertical="center"/>
    </xf>
    <xf numFmtId="166" fontId="37" fillId="14" borderId="7" xfId="1" applyNumberFormat="1" applyFont="1" applyFill="1" applyBorder="1" applyAlignment="1">
      <alignment horizontal="center" vertical="center"/>
    </xf>
    <xf numFmtId="0" fontId="39" fillId="16" borderId="207" xfId="0" applyFont="1" applyFill="1" applyBorder="1" applyAlignment="1">
      <alignment horizontal="center" vertical="center"/>
    </xf>
    <xf numFmtId="0" fontId="39" fillId="16" borderId="208" xfId="0" applyFont="1" applyFill="1" applyBorder="1" applyAlignment="1">
      <alignment horizontal="center" vertical="center"/>
    </xf>
    <xf numFmtId="0" fontId="39" fillId="16" borderId="186" xfId="0" applyFont="1" applyFill="1" applyBorder="1" applyAlignment="1">
      <alignment horizontal="center" vertical="center"/>
    </xf>
    <xf numFmtId="0" fontId="32" fillId="14" borderId="204" xfId="0" applyFont="1" applyFill="1" applyBorder="1" applyAlignment="1">
      <alignment horizontal="center" vertical="center"/>
    </xf>
    <xf numFmtId="0" fontId="32" fillId="14" borderId="205" xfId="0" applyFont="1" applyFill="1" applyBorder="1" applyAlignment="1">
      <alignment horizontal="center" vertical="center"/>
    </xf>
    <xf numFmtId="0" fontId="32" fillId="14" borderId="184" xfId="0" applyFont="1" applyFill="1" applyBorder="1" applyAlignment="1">
      <alignment horizontal="center" vertical="center"/>
    </xf>
    <xf numFmtId="0" fontId="32" fillId="14" borderId="206" xfId="0" applyFont="1" applyFill="1" applyBorder="1" applyAlignment="1">
      <alignment horizontal="center" vertical="center"/>
    </xf>
    <xf numFmtId="0" fontId="32" fillId="14" borderId="4" xfId="0" applyFont="1" applyFill="1" applyBorder="1" applyAlignment="1">
      <alignment horizontal="center" vertical="center"/>
    </xf>
    <xf numFmtId="0" fontId="32" fillId="14" borderId="187" xfId="0" applyFont="1" applyFill="1" applyBorder="1" applyAlignment="1">
      <alignment horizontal="center" vertical="center"/>
    </xf>
    <xf numFmtId="0" fontId="39" fillId="14" borderId="207" xfId="0" applyFont="1" applyFill="1" applyBorder="1" applyAlignment="1">
      <alignment horizontal="center" vertical="center"/>
    </xf>
    <xf numFmtId="0" fontId="39" fillId="14" borderId="208" xfId="0" applyFont="1" applyFill="1" applyBorder="1" applyAlignment="1">
      <alignment horizontal="center" vertical="center"/>
    </xf>
    <xf numFmtId="0" fontId="39" fillId="14" borderId="186" xfId="0" applyFont="1" applyFill="1" applyBorder="1" applyAlignment="1">
      <alignment horizontal="center" vertical="center"/>
    </xf>
    <xf numFmtId="167" fontId="36" fillId="19" borderId="219" xfId="1" applyNumberFormat="1" applyFont="1" applyFill="1" applyBorder="1" applyAlignment="1">
      <alignment horizontal="center" vertical="center"/>
    </xf>
    <xf numFmtId="167" fontId="36" fillId="19" borderId="220" xfId="1" applyNumberFormat="1" applyFont="1" applyFill="1" applyBorder="1" applyAlignment="1">
      <alignment horizontal="center" vertical="center"/>
    </xf>
    <xf numFmtId="167" fontId="36" fillId="19" borderId="191" xfId="1" applyNumberFormat="1" applyFont="1" applyFill="1" applyBorder="1" applyAlignment="1">
      <alignment horizontal="center" vertical="center"/>
    </xf>
    <xf numFmtId="167" fontId="36" fillId="19" borderId="221" xfId="1" applyNumberFormat="1" applyFont="1" applyFill="1" applyBorder="1" applyAlignment="1">
      <alignment horizontal="center" vertical="center"/>
    </xf>
    <xf numFmtId="166" fontId="30" fillId="16" borderId="8" xfId="0" applyNumberFormat="1" applyFont="1" applyFill="1" applyBorder="1" applyAlignment="1">
      <alignment horizontal="center" vertical="center"/>
    </xf>
    <xf numFmtId="166" fontId="30" fillId="16" borderId="9" xfId="0" applyNumberFormat="1" applyFont="1" applyFill="1" applyBorder="1" applyAlignment="1">
      <alignment horizontal="center" vertical="center"/>
    </xf>
    <xf numFmtId="167" fontId="30" fillId="16" borderId="209" xfId="1" applyNumberFormat="1" applyFont="1" applyFill="1" applyBorder="1" applyAlignment="1">
      <alignment horizontal="center" vertical="center"/>
    </xf>
    <xf numFmtId="167" fontId="30" fillId="16" borderId="210" xfId="1" applyNumberFormat="1" applyFont="1" applyFill="1" applyBorder="1" applyAlignment="1">
      <alignment horizontal="center" vertical="center"/>
    </xf>
    <xf numFmtId="167" fontId="30" fillId="14" borderId="209" xfId="1" applyNumberFormat="1" applyFont="1" applyFill="1" applyBorder="1" applyAlignment="1">
      <alignment horizontal="center" vertical="center"/>
    </xf>
    <xf numFmtId="167" fontId="30" fillId="14" borderId="210" xfId="1" applyNumberFormat="1" applyFont="1" applyFill="1" applyBorder="1" applyAlignment="1">
      <alignment horizontal="center" vertical="center"/>
    </xf>
    <xf numFmtId="167" fontId="36" fillId="16" borderId="216" xfId="1" applyNumberFormat="1" applyFont="1" applyFill="1" applyBorder="1" applyAlignment="1">
      <alignment horizontal="center" vertical="center"/>
    </xf>
    <xf numFmtId="167" fontId="36" fillId="16" borderId="191" xfId="1" applyNumberFormat="1" applyFont="1" applyFill="1" applyBorder="1" applyAlignment="1">
      <alignment horizontal="center" vertical="center"/>
    </xf>
    <xf numFmtId="167" fontId="36" fillId="16" borderId="190" xfId="1" applyNumberFormat="1" applyFont="1" applyFill="1" applyBorder="1" applyAlignment="1">
      <alignment horizontal="center" vertical="center"/>
    </xf>
    <xf numFmtId="167" fontId="36" fillId="14" borderId="216" xfId="1" applyNumberFormat="1" applyFont="1" applyFill="1" applyBorder="1" applyAlignment="1">
      <alignment horizontal="center" vertical="center"/>
    </xf>
    <xf numFmtId="167" fontId="36" fillId="14" borderId="191" xfId="1" applyNumberFormat="1" applyFont="1" applyFill="1" applyBorder="1" applyAlignment="1">
      <alignment horizontal="center" vertical="center"/>
    </xf>
    <xf numFmtId="167" fontId="36" fillId="14" borderId="190" xfId="1" applyNumberFormat="1" applyFont="1" applyFill="1" applyBorder="1" applyAlignment="1">
      <alignment horizontal="center" vertical="center"/>
    </xf>
    <xf numFmtId="166" fontId="35" fillId="3" borderId="218" xfId="0" applyNumberFormat="1" applyFont="1" applyFill="1" applyBorder="1" applyAlignment="1">
      <alignment horizontal="center" vertical="center"/>
    </xf>
    <xf numFmtId="166" fontId="35" fillId="3" borderId="0" xfId="0" applyNumberFormat="1" applyFont="1" applyFill="1" applyBorder="1" applyAlignment="1">
      <alignment horizontal="center" vertical="center"/>
    </xf>
    <xf numFmtId="168" fontId="37" fillId="16" borderId="129" xfId="2" applyNumberFormat="1" applyFont="1" applyFill="1" applyBorder="1" applyAlignment="1">
      <alignment horizontal="center" vertical="center"/>
    </xf>
    <xf numFmtId="168" fontId="37" fillId="16" borderId="114" xfId="2" applyNumberFormat="1" applyFont="1" applyFill="1" applyBorder="1" applyAlignment="1">
      <alignment horizontal="center" vertical="center"/>
    </xf>
    <xf numFmtId="168" fontId="37" fillId="16" borderId="116" xfId="2" applyNumberFormat="1" applyFont="1" applyFill="1" applyBorder="1" applyAlignment="1">
      <alignment horizontal="center" vertical="center"/>
    </xf>
    <xf numFmtId="168" fontId="37" fillId="14" borderId="129" xfId="2" applyNumberFormat="1" applyFont="1" applyFill="1" applyBorder="1" applyAlignment="1">
      <alignment horizontal="center" vertical="center"/>
    </xf>
    <xf numFmtId="168" fontId="37" fillId="14" borderId="114" xfId="2" applyNumberFormat="1" applyFont="1" applyFill="1" applyBorder="1" applyAlignment="1">
      <alignment horizontal="center" vertical="center"/>
    </xf>
    <xf numFmtId="168" fontId="37" fillId="14" borderId="116" xfId="2" applyNumberFormat="1" applyFont="1" applyFill="1" applyBorder="1" applyAlignment="1">
      <alignment horizontal="center" vertical="center"/>
    </xf>
    <xf numFmtId="168" fontId="37" fillId="17" borderId="129" xfId="2" applyNumberFormat="1" applyFont="1" applyFill="1" applyBorder="1" applyAlignment="1">
      <alignment horizontal="center" vertical="center"/>
    </xf>
    <xf numFmtId="168" fontId="37" fillId="17" borderId="114" xfId="2" applyNumberFormat="1" applyFont="1" applyFill="1" applyBorder="1" applyAlignment="1">
      <alignment horizontal="center" vertical="center"/>
    </xf>
    <xf numFmtId="168" fontId="37" fillId="17" borderId="116" xfId="2" applyNumberFormat="1" applyFont="1" applyFill="1" applyBorder="1" applyAlignment="1">
      <alignment horizontal="center" vertical="center"/>
    </xf>
    <xf numFmtId="167" fontId="49" fillId="16" borderId="158" xfId="1" applyNumberFormat="1" applyFont="1" applyFill="1" applyBorder="1" applyAlignment="1">
      <alignment horizontal="center" vertical="center"/>
    </xf>
    <xf numFmtId="167" fontId="49" fillId="16" borderId="100" xfId="1" applyNumberFormat="1" applyFont="1" applyFill="1" applyBorder="1" applyAlignment="1">
      <alignment horizontal="center" vertical="center"/>
    </xf>
    <xf numFmtId="167" fontId="49" fillId="14" borderId="158" xfId="1" applyNumberFormat="1" applyFont="1" applyFill="1" applyBorder="1" applyAlignment="1">
      <alignment horizontal="center" vertical="center"/>
    </xf>
    <xf numFmtId="167" fontId="49" fillId="14" borderId="100" xfId="1" applyNumberFormat="1" applyFont="1" applyFill="1" applyBorder="1" applyAlignment="1">
      <alignment horizontal="center" vertical="center"/>
    </xf>
    <xf numFmtId="167" fontId="30" fillId="19" borderId="219" xfId="1" applyNumberFormat="1" applyFont="1" applyFill="1" applyBorder="1" applyAlignment="1">
      <alignment horizontal="center" vertical="center"/>
    </xf>
    <xf numFmtId="167" fontId="30" fillId="19" borderId="220" xfId="1" applyNumberFormat="1" applyFont="1" applyFill="1" applyBorder="1" applyAlignment="1">
      <alignment horizontal="center" vertical="center"/>
    </xf>
    <xf numFmtId="167" fontId="30" fillId="19" borderId="221" xfId="1" applyNumberFormat="1" applyFont="1" applyFill="1" applyBorder="1" applyAlignment="1">
      <alignment horizontal="center" vertical="center"/>
    </xf>
    <xf numFmtId="167" fontId="30" fillId="19" borderId="222" xfId="1" applyNumberFormat="1" applyFont="1" applyFill="1" applyBorder="1" applyAlignment="1">
      <alignment horizontal="center" vertical="center"/>
    </xf>
    <xf numFmtId="167" fontId="30" fillId="19" borderId="223" xfId="1" applyNumberFormat="1" applyFont="1" applyFill="1" applyBorder="1" applyAlignment="1">
      <alignment horizontal="center" vertical="center"/>
    </xf>
    <xf numFmtId="167" fontId="30" fillId="19" borderId="174" xfId="1" applyNumberFormat="1" applyFont="1" applyFill="1" applyBorder="1" applyAlignment="1">
      <alignment horizontal="center" vertical="center"/>
    </xf>
    <xf numFmtId="164" fontId="36" fillId="19" borderId="129" xfId="0" applyNumberFormat="1" applyFont="1" applyFill="1" applyBorder="1" applyAlignment="1">
      <alignment horizontal="center" vertical="center"/>
    </xf>
    <xf numFmtId="164" fontId="36" fillId="19" borderId="114" xfId="0" applyNumberFormat="1" applyFont="1" applyFill="1" applyBorder="1" applyAlignment="1">
      <alignment horizontal="center" vertical="center"/>
    </xf>
    <xf numFmtId="164" fontId="36" fillId="19" borderId="116" xfId="0" applyNumberFormat="1" applyFont="1" applyFill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166" fontId="37" fillId="0" borderId="192" xfId="0" applyNumberFormat="1" applyFont="1" applyBorder="1" applyAlignment="1">
      <alignment horizontal="center" vertical="center"/>
    </xf>
    <xf numFmtId="166" fontId="37" fillId="0" borderId="197" xfId="0" applyNumberFormat="1" applyFont="1" applyBorder="1" applyAlignment="1">
      <alignment horizontal="center" vertical="center"/>
    </xf>
    <xf numFmtId="166" fontId="37" fillId="0" borderId="201" xfId="0" applyNumberFormat="1" applyFont="1" applyBorder="1" applyAlignment="1">
      <alignment horizontal="center" vertical="center"/>
    </xf>
    <xf numFmtId="166" fontId="37" fillId="0" borderId="202" xfId="0" applyNumberFormat="1" applyFont="1" applyBorder="1" applyAlignment="1">
      <alignment horizontal="center" vertical="center"/>
    </xf>
    <xf numFmtId="166" fontId="37" fillId="0" borderId="194" xfId="0" applyNumberFormat="1" applyFont="1" applyBorder="1" applyAlignment="1">
      <alignment horizontal="center" vertical="center"/>
    </xf>
    <xf numFmtId="166" fontId="37" fillId="0" borderId="203" xfId="0" applyNumberFormat="1" applyFont="1" applyBorder="1" applyAlignment="1">
      <alignment horizontal="center" vertical="center"/>
    </xf>
    <xf numFmtId="0" fontId="29" fillId="16" borderId="5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167" fontId="37" fillId="16" borderId="8" xfId="1" applyNumberFormat="1" applyFont="1" applyFill="1" applyBorder="1" applyAlignment="1">
      <alignment horizontal="center" vertical="center"/>
    </xf>
    <xf numFmtId="167" fontId="37" fillId="16" borderId="9" xfId="1" applyNumberFormat="1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29" fillId="14" borderId="5" xfId="0" applyFont="1" applyFill="1" applyBorder="1" applyAlignment="1">
      <alignment horizontal="center" vertical="center"/>
    </xf>
    <xf numFmtId="0" fontId="29" fillId="14" borderId="7" xfId="0" applyFont="1" applyFill="1" applyBorder="1" applyAlignment="1">
      <alignment horizontal="center" vertical="center"/>
    </xf>
    <xf numFmtId="166" fontId="37" fillId="16" borderId="5" xfId="1" applyNumberFormat="1" applyFont="1" applyFill="1" applyBorder="1" applyAlignment="1">
      <alignment horizontal="center" vertical="center"/>
    </xf>
    <xf numFmtId="166" fontId="37" fillId="16" borderId="7" xfId="1" applyNumberFormat="1" applyFont="1" applyFill="1" applyBorder="1" applyAlignment="1">
      <alignment horizontal="center" vertical="center"/>
    </xf>
    <xf numFmtId="167" fontId="36" fillId="16" borderId="5" xfId="1" applyNumberFormat="1" applyFont="1" applyFill="1" applyBorder="1" applyAlignment="1">
      <alignment horizontal="center" vertical="center"/>
    </xf>
    <xf numFmtId="167" fontId="36" fillId="16" borderId="7" xfId="1" applyNumberFormat="1" applyFont="1" applyFill="1" applyBorder="1" applyAlignment="1">
      <alignment horizontal="center" vertical="center"/>
    </xf>
    <xf numFmtId="167" fontId="36" fillId="14" borderId="5" xfId="1" applyNumberFormat="1" applyFont="1" applyFill="1" applyBorder="1" applyAlignment="1">
      <alignment horizontal="center" vertical="center"/>
    </xf>
    <xf numFmtId="167" fontId="36" fillId="14" borderId="7" xfId="1" applyNumberFormat="1" applyFont="1" applyFill="1" applyBorder="1" applyAlignment="1">
      <alignment horizontal="center" vertical="center"/>
    </xf>
    <xf numFmtId="166" fontId="37" fillId="16" borderId="5" xfId="0" applyNumberFormat="1" applyFont="1" applyFill="1" applyBorder="1" applyAlignment="1">
      <alignment horizontal="center" vertical="center"/>
    </xf>
    <xf numFmtId="166" fontId="37" fillId="16" borderId="7" xfId="0" applyNumberFormat="1" applyFont="1" applyFill="1" applyBorder="1" applyAlignment="1">
      <alignment horizontal="center" vertical="center"/>
    </xf>
    <xf numFmtId="167" fontId="36" fillId="19" borderId="5" xfId="1" applyNumberFormat="1" applyFont="1" applyFill="1" applyBorder="1" applyAlignment="1">
      <alignment horizontal="center" vertical="center"/>
    </xf>
    <xf numFmtId="167" fontId="36" fillId="19" borderId="7" xfId="1" applyNumberFormat="1" applyFont="1" applyFill="1" applyBorder="1" applyAlignment="1">
      <alignment horizontal="center" vertical="center"/>
    </xf>
    <xf numFmtId="166" fontId="37" fillId="14" borderId="247" xfId="1" applyNumberFormat="1" applyFont="1" applyFill="1" applyBorder="1" applyAlignment="1">
      <alignment horizontal="center" vertical="center"/>
    </xf>
    <xf numFmtId="166" fontId="37" fillId="14" borderId="248" xfId="1" applyNumberFormat="1" applyFont="1" applyFill="1" applyBorder="1" applyAlignment="1">
      <alignment horizontal="center" vertical="center"/>
    </xf>
    <xf numFmtId="0" fontId="57" fillId="14" borderId="5" xfId="0" applyFont="1" applyFill="1" applyBorder="1" applyAlignment="1">
      <alignment horizontal="center" vertical="center"/>
    </xf>
    <xf numFmtId="0" fontId="57" fillId="14" borderId="6" xfId="0" applyFont="1" applyFill="1" applyBorder="1" applyAlignment="1">
      <alignment horizontal="center" vertical="center"/>
    </xf>
    <xf numFmtId="0" fontId="57" fillId="14" borderId="7" xfId="0" applyFont="1" applyFill="1" applyBorder="1" applyAlignment="1">
      <alignment horizontal="center" vertical="center"/>
    </xf>
    <xf numFmtId="167" fontId="32" fillId="0" borderId="65" xfId="1" applyNumberFormat="1" applyFont="1" applyBorder="1" applyAlignment="1">
      <alignment horizontal="center" vertical="center"/>
    </xf>
    <xf numFmtId="167" fontId="32" fillId="0" borderId="81" xfId="1" applyNumberFormat="1" applyFont="1" applyBorder="1" applyAlignment="1">
      <alignment horizontal="center" vertical="center"/>
    </xf>
    <xf numFmtId="167" fontId="32" fillId="0" borderId="72" xfId="1" applyNumberFormat="1" applyFont="1" applyBorder="1" applyAlignment="1">
      <alignment horizontal="center" vertical="center"/>
    </xf>
    <xf numFmtId="167" fontId="32" fillId="0" borderId="83" xfId="1" applyNumberFormat="1" applyFont="1" applyBorder="1" applyAlignment="1">
      <alignment horizontal="center" vertical="center"/>
    </xf>
    <xf numFmtId="167" fontId="30" fillId="0" borderId="62" xfId="1" applyNumberFormat="1" applyFont="1" applyBorder="1" applyAlignment="1">
      <alignment horizontal="center" vertical="center"/>
    </xf>
    <xf numFmtId="167" fontId="30" fillId="0" borderId="54" xfId="1" applyNumberFormat="1" applyFont="1" applyBorder="1" applyAlignment="1">
      <alignment horizontal="center" vertical="center"/>
    </xf>
    <xf numFmtId="167" fontId="30" fillId="0" borderId="76" xfId="1" applyNumberFormat="1" applyFont="1" applyBorder="1" applyAlignment="1">
      <alignment horizontal="center" vertical="center"/>
    </xf>
    <xf numFmtId="167" fontId="30" fillId="0" borderId="58" xfId="1" applyNumberFormat="1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44" xfId="0" applyFont="1" applyBorder="1" applyAlignment="1">
      <alignment horizontal="center" vertical="center"/>
    </xf>
    <xf numFmtId="0" fontId="34" fillId="0" borderId="133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60" xfId="0" applyFont="1" applyBorder="1" applyAlignment="1">
      <alignment horizontal="center" vertical="center"/>
    </xf>
    <xf numFmtId="167" fontId="33" fillId="0" borderId="65" xfId="1" applyNumberFormat="1" applyFont="1" applyBorder="1" applyAlignment="1">
      <alignment horizontal="center" vertical="center"/>
    </xf>
    <xf numFmtId="167" fontId="33" fillId="0" borderId="81" xfId="1" applyNumberFormat="1" applyFont="1" applyBorder="1" applyAlignment="1">
      <alignment horizontal="center" vertical="center"/>
    </xf>
    <xf numFmtId="167" fontId="33" fillId="0" borderId="72" xfId="1" applyNumberFormat="1" applyFont="1" applyBorder="1" applyAlignment="1">
      <alignment horizontal="center" vertical="center"/>
    </xf>
    <xf numFmtId="167" fontId="33" fillId="0" borderId="83" xfId="1" applyNumberFormat="1" applyFont="1" applyBorder="1" applyAlignment="1">
      <alignment horizontal="center" vertical="center"/>
    </xf>
    <xf numFmtId="166" fontId="42" fillId="14" borderId="5" xfId="0" applyNumberFormat="1" applyFont="1" applyFill="1" applyBorder="1" applyAlignment="1">
      <alignment horizontal="center" vertical="center"/>
    </xf>
    <xf numFmtId="166" fontId="42" fillId="14" borderId="7" xfId="0" applyNumberFormat="1" applyFont="1" applyFill="1" applyBorder="1" applyAlignment="1">
      <alignment horizontal="center" vertical="center"/>
    </xf>
    <xf numFmtId="167" fontId="42" fillId="14" borderId="262" xfId="1" applyNumberFormat="1" applyFont="1" applyFill="1" applyBorder="1" applyAlignment="1">
      <alignment horizontal="center" vertical="center"/>
    </xf>
    <xf numFmtId="167" fontId="42" fillId="14" borderId="263" xfId="1" applyNumberFormat="1" applyFont="1" applyFill="1" applyBorder="1" applyAlignment="1">
      <alignment horizontal="center" vertical="center"/>
    </xf>
    <xf numFmtId="166" fontId="42" fillId="14" borderId="266" xfId="0" applyNumberFormat="1" applyFont="1" applyFill="1" applyBorder="1" applyAlignment="1">
      <alignment horizontal="center" vertical="center"/>
    </xf>
    <xf numFmtId="166" fontId="42" fillId="14" borderId="267" xfId="0" applyNumberFormat="1" applyFont="1" applyFill="1" applyBorder="1" applyAlignment="1">
      <alignment horizontal="center" vertical="center"/>
    </xf>
    <xf numFmtId="166" fontId="37" fillId="14" borderId="262" xfId="0" applyNumberFormat="1" applyFont="1" applyFill="1" applyBorder="1" applyAlignment="1">
      <alignment horizontal="center" vertical="center"/>
    </xf>
    <xf numFmtId="166" fontId="37" fillId="14" borderId="263" xfId="0" applyNumberFormat="1" applyFont="1" applyFill="1" applyBorder="1" applyAlignment="1">
      <alignment horizontal="center" vertical="center"/>
    </xf>
    <xf numFmtId="166" fontId="42" fillId="19" borderId="270" xfId="0" applyNumberFormat="1" applyFont="1" applyFill="1" applyBorder="1" applyAlignment="1">
      <alignment horizontal="center" vertical="center"/>
    </xf>
    <xf numFmtId="166" fontId="42" fillId="19" borderId="271" xfId="0" applyNumberFormat="1" applyFont="1" applyFill="1" applyBorder="1" applyAlignment="1">
      <alignment horizontal="center" vertical="center"/>
    </xf>
    <xf numFmtId="166" fontId="42" fillId="19" borderId="272" xfId="0" applyNumberFormat="1" applyFont="1" applyFill="1" applyBorder="1" applyAlignment="1">
      <alignment horizontal="center" vertical="center"/>
    </xf>
    <xf numFmtId="166" fontId="42" fillId="19" borderId="273" xfId="0" applyNumberFormat="1" applyFont="1" applyFill="1" applyBorder="1" applyAlignment="1">
      <alignment horizontal="center" vertical="center"/>
    </xf>
    <xf numFmtId="0" fontId="42" fillId="14" borderId="5" xfId="0" applyFont="1" applyFill="1" applyBorder="1" applyAlignment="1">
      <alignment horizontal="center" vertical="center"/>
    </xf>
    <xf numFmtId="0" fontId="42" fillId="14" borderId="7" xfId="0" applyFont="1" applyFill="1" applyBorder="1" applyAlignment="1">
      <alignment horizontal="center" vertical="center"/>
    </xf>
    <xf numFmtId="166" fontId="42" fillId="19" borderId="5" xfId="0" applyNumberFormat="1" applyFont="1" applyFill="1" applyBorder="1" applyAlignment="1">
      <alignment horizontal="center" vertical="center"/>
    </xf>
    <xf numFmtId="166" fontId="42" fillId="19" borderId="7" xfId="0" applyNumberFormat="1" applyFont="1" applyFill="1" applyBorder="1" applyAlignment="1">
      <alignment horizontal="center" vertical="center"/>
    </xf>
    <xf numFmtId="0" fontId="42" fillId="14" borderId="268" xfId="0" applyFont="1" applyFill="1" applyBorder="1" applyAlignment="1">
      <alignment horizontal="center" vertical="center"/>
    </xf>
    <xf numFmtId="0" fontId="42" fillId="14" borderId="255" xfId="0" applyFont="1" applyFill="1" applyBorder="1" applyAlignment="1">
      <alignment horizontal="center" vertical="center"/>
    </xf>
    <xf numFmtId="0" fontId="42" fillId="14" borderId="269" xfId="0" applyFont="1" applyFill="1" applyBorder="1" applyAlignment="1">
      <alignment horizontal="center" vertical="center"/>
    </xf>
    <xf numFmtId="0" fontId="42" fillId="19" borderId="47" xfId="0" applyFont="1" applyFill="1" applyBorder="1" applyAlignment="1">
      <alignment horizontal="center" vertical="center"/>
    </xf>
    <xf numFmtId="0" fontId="42" fillId="19" borderId="44" xfId="0" applyFont="1" applyFill="1" applyBorder="1" applyAlignment="1">
      <alignment horizontal="center" vertical="center"/>
    </xf>
    <xf numFmtId="0" fontId="42" fillId="19" borderId="133" xfId="0" applyFont="1" applyFill="1" applyBorder="1" applyAlignment="1">
      <alignment horizontal="center" vertical="center"/>
    </xf>
    <xf numFmtId="0" fontId="42" fillId="19" borderId="60" xfId="0" applyFont="1" applyFill="1" applyBorder="1" applyAlignment="1">
      <alignment horizontal="center" vertical="center"/>
    </xf>
    <xf numFmtId="167" fontId="37" fillId="14" borderId="262" xfId="1" applyNumberFormat="1" applyFont="1" applyFill="1" applyBorder="1" applyAlignment="1">
      <alignment horizontal="center" vertical="center"/>
    </xf>
    <xf numFmtId="167" fontId="37" fillId="14" borderId="263" xfId="1" applyNumberFormat="1" applyFont="1" applyFill="1" applyBorder="1" applyAlignment="1">
      <alignment horizontal="center" vertical="center"/>
    </xf>
    <xf numFmtId="0" fontId="37" fillId="14" borderId="5" xfId="0" applyFont="1" applyFill="1" applyBorder="1" applyAlignment="1">
      <alignment horizontal="center" vertical="center"/>
    </xf>
    <xf numFmtId="0" fontId="37" fillId="14" borderId="7" xfId="0" applyFont="1" applyFill="1" applyBorder="1" applyAlignment="1">
      <alignment horizontal="center" vertical="center"/>
    </xf>
    <xf numFmtId="167" fontId="56" fillId="14" borderId="262" xfId="1" applyNumberFormat="1" applyFont="1" applyFill="1" applyBorder="1" applyAlignment="1">
      <alignment horizontal="center" vertical="center"/>
    </xf>
    <xf numFmtId="167" fontId="56" fillId="14" borderId="263" xfId="1" applyNumberFormat="1" applyFont="1" applyFill="1" applyBorder="1" applyAlignment="1">
      <alignment horizontal="center" vertical="center"/>
    </xf>
    <xf numFmtId="167" fontId="35" fillId="14" borderId="262" xfId="1" applyNumberFormat="1" applyFont="1" applyFill="1" applyBorder="1" applyAlignment="1">
      <alignment horizontal="center" vertical="center"/>
    </xf>
    <xf numFmtId="167" fontId="35" fillId="14" borderId="263" xfId="1" applyNumberFormat="1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167" fontId="37" fillId="6" borderId="1" xfId="1" applyNumberFormat="1" applyFont="1" applyFill="1" applyBorder="1" applyAlignment="1">
      <alignment horizontal="center" vertical="center"/>
    </xf>
  </cellXfs>
  <cellStyles count="4">
    <cellStyle name="Calculation" xfId="3" builtinId="22"/>
    <cellStyle name="Comma" xfId="2" builtinId="3"/>
    <cellStyle name="Normal" xfId="0" builtinId="0"/>
    <cellStyle name="Percent" xfId="1" builtinId="5"/>
  </cellStyles>
  <dxfs count="461"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ill>
        <gradientFill degree="180">
          <stop position="0">
            <color theme="0"/>
          </stop>
          <stop position="1">
            <color rgb="FFFF3F3F"/>
          </stop>
        </gradientFill>
      </fill>
    </dxf>
    <dxf>
      <fill>
        <gradientFill degree="180">
          <stop position="0">
            <color theme="0"/>
          </stop>
          <stop position="1">
            <color theme="6" tint="0.40000610370189521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gradientFill degree="180">
          <stop position="0">
            <color theme="0"/>
          </stop>
          <stop position="1">
            <color rgb="FFFFFF47"/>
          </stop>
        </gradient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colors>
    <mruColors>
      <color rgb="FFFFFF47"/>
      <color rgb="FFFF3F3F"/>
      <color rgb="FF000000"/>
      <color rgb="FFEDF3E1"/>
      <color rgb="FFF2F6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'E&amp;M SHOP INCOME (3-19)'!$BZ$19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78B2-4F09-BD30-1A17CCA55320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78B2-4F09-BD30-1A17CCA55320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78B2-4F09-BD30-1A17CCA55320}"/>
              </c:ext>
            </c:extLst>
          </c:dPt>
          <c:val>
            <c:numRef>
              <c:f>'E&amp;M SHOP INCOME (3-19)'!$BZ$20:$BZ$23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B2-4F09-BD30-1A17CCA5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EXPERAMENTAL!$CB$29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6436-45B9-91A2-409B966C9E14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6436-45B9-91A2-409B966C9E14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6436-45B9-91A2-409B966C9E14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6436-45B9-91A2-409B966C9E14}"/>
              </c:ext>
            </c:extLst>
          </c:dPt>
          <c:val>
            <c:numRef>
              <c:f>EXPERAMENTAL!$CB$30:$CB$78</c:f>
              <c:numCache>
                <c:formatCode>0.000%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0.77419354838709675</c:v>
                </c:pt>
                <c:pt idx="3">
                  <c:v>0.22580645161290325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36-45B9-91A2-409B966C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1-2020'!$CC$27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2027-4B1C-9AC0-5BAD3BDD8BA9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2027-4B1C-9AC0-5BAD3BDD8BA9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2027-4B1C-9AC0-5BAD3BDD8BA9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2027-4B1C-9AC0-5BAD3BDD8BA9}"/>
              </c:ext>
            </c:extLst>
          </c:dPt>
          <c:val>
            <c:numRef>
              <c:f>'RAWABI INCOME 1-2020'!$CC$28:$CC$31</c:f>
              <c:numCache>
                <c:formatCode>0.000%</c:formatCode>
                <c:ptCount val="4"/>
                <c:pt idx="0">
                  <c:v>0</c:v>
                </c:pt>
                <c:pt idx="1">
                  <c:v>0.70967741935483875</c:v>
                </c:pt>
                <c:pt idx="2">
                  <c:v>0</c:v>
                </c:pt>
                <c:pt idx="3">
                  <c:v>0.29032258064516125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27-4B1C-9AC0-5BAD3BDD8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2-2020'!$CA$27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C4FB-430F-A236-E42675D6A48C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C4FB-430F-A236-E42675D6A48C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C4FB-430F-A236-E42675D6A48C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C4FB-430F-A236-E42675D6A48C}"/>
              </c:ext>
            </c:extLst>
          </c:dPt>
          <c:val>
            <c:numRef>
              <c:f>'RAWABI INCOME 2-2020'!$CA$28:$CA$31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FB-430F-A236-E42675D6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3-2020'!$CC$29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519E-43EC-84B2-6295390BCE8A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519E-43EC-84B2-6295390BCE8A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519E-43EC-84B2-6295390BCE8A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519E-43EC-84B2-6295390BCE8A}"/>
              </c:ext>
            </c:extLst>
          </c:dPt>
          <c:val>
            <c:numRef>
              <c:f>'RAWABI INCOME 3-2020'!$CC$30:$CC$33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0.87096774193548387</c:v>
                </c:pt>
                <c:pt idx="3">
                  <c:v>0.12903225806451613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9E-43EC-84B2-6295390BC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4-2020'!$CB$30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97B0-4CBC-9EBB-875913140CFE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97B0-4CBC-9EBB-875913140CFE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97B0-4CBC-9EBB-875913140CFE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97B0-4CBC-9EBB-875913140CFE}"/>
              </c:ext>
            </c:extLst>
          </c:dPt>
          <c:val>
            <c:numRef>
              <c:f>'RAWABI INCOME 4-2020'!$CB$31:$CB$34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0.19999999999999996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B0-4CBC-9EBB-875913140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4"/>
          <c:w val="0.71369169163023261"/>
          <c:h val="0.82451330425173486"/>
        </c:manualLayout>
      </c:layout>
      <c:doughnutChart>
        <c:varyColors val="1"/>
        <c:ser>
          <c:idx val="0"/>
          <c:order val="0"/>
          <c:tx>
            <c:strRef>
              <c:f>'RAWABI INCOME 5-2020'!$CC$29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DA6-4B1A-BF96-B548767D2F0E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DA6-4B1A-BF96-B548767D2F0E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DA6-4B1A-BF96-B548767D2F0E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DA6-4B1A-BF96-B548767D2F0E}"/>
              </c:ext>
            </c:extLst>
          </c:dPt>
          <c:val>
            <c:numRef>
              <c:f>'RAWABI INCOME 5-2020'!$CC$30:$CC$33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0.77419354838709675</c:v>
                </c:pt>
                <c:pt idx="3">
                  <c:v>0.22580645161290325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A6-4B1A-BF96-B548767D2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4"/>
          <c:w val="0.71369169163023261"/>
          <c:h val="0.82451330425173486"/>
        </c:manualLayout>
      </c:layout>
      <c:doughnutChart>
        <c:varyColors val="1"/>
        <c:ser>
          <c:idx val="0"/>
          <c:order val="0"/>
          <c:tx>
            <c:strRef>
              <c:f>'RAWABI INCOME 6-2020'!$CE$33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74A0-4AED-8F67-65BC4C0FA581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74A0-4AED-8F67-65BC4C0FA581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74A0-4AED-8F67-65BC4C0FA581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74A0-4AED-8F67-65BC4C0FA581}"/>
              </c:ext>
            </c:extLst>
          </c:dPt>
          <c:val>
            <c:numRef>
              <c:f>'RAWABI INCOME 6-2020'!$CE$34:$CE$37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0.96666666666666667</c:v>
                </c:pt>
                <c:pt idx="3">
                  <c:v>3.3333333333333326E-2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AED-8F67-65BC4C0F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22713549685635E-2"/>
          <c:y val="5.3662246865893333E-2"/>
          <c:w val="0.82100940986229254"/>
          <c:h val="0.94633775313410673"/>
        </c:manualLayout>
      </c:layout>
      <c:doughnutChart>
        <c:varyColors val="1"/>
        <c:ser>
          <c:idx val="0"/>
          <c:order val="0"/>
          <c:tx>
            <c:strRef>
              <c:f>'EXPERAMENTAL 1'!$CW$34</c:f>
              <c:strCache>
                <c:ptCount val="1"/>
                <c:pt idx="0">
                  <c:v>DATA SERIES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softEdge">
              <a:bevelT w="127000" prst="artDeco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softEdge">
                <a:bevelT w="127000" prst="artDeco"/>
              </a:sp3d>
            </c:spPr>
            <c:extLst>
              <c:ext xmlns:c16="http://schemas.microsoft.com/office/drawing/2014/chart" uri="{C3380CC4-5D6E-409C-BE32-E72D297353CC}">
                <c16:uniqueId val="{00000001-21AD-4AB1-977D-B13551F3C5FD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softEdge">
                <a:bevelT w="127000" prst="artDeco"/>
              </a:sp3d>
            </c:spPr>
            <c:extLst>
              <c:ext xmlns:c16="http://schemas.microsoft.com/office/drawing/2014/chart" uri="{C3380CC4-5D6E-409C-BE32-E72D297353CC}">
                <c16:uniqueId val="{00000003-21AD-4AB1-977D-B13551F3C5FD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softEdge">
                <a:bevelT w="127000" prst="artDeco"/>
              </a:sp3d>
            </c:spPr>
            <c:extLst>
              <c:ext xmlns:c16="http://schemas.microsoft.com/office/drawing/2014/chart" uri="{C3380CC4-5D6E-409C-BE32-E72D297353CC}">
                <c16:uniqueId val="{00000005-21AD-4AB1-977D-B13551F3C5FD}"/>
              </c:ext>
            </c:extLst>
          </c:dPt>
          <c:val>
            <c:numRef>
              <c:f>'EXPERAMENTAL 1'!$CW$35:$CW$38</c:f>
              <c:numCache>
                <c:formatCode>0.000%</c:formatCode>
                <c:ptCount val="4"/>
                <c:pt idx="0">
                  <c:v>3.3333333333333333E-2</c:v>
                </c:pt>
                <c:pt idx="1">
                  <c:v>0</c:v>
                </c:pt>
                <c:pt idx="2">
                  <c:v>0</c:v>
                </c:pt>
                <c:pt idx="3">
                  <c:v>0.96666666666666667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AD-4AB1-977D-B13551F3C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plotVisOnly val="1"/>
    <c:dispBlanksAs val="gap"/>
    <c:showDLblsOverMax val="0"/>
  </c:chart>
  <c:spPr>
    <a:noFill/>
    <a:ln w="9525"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4"/>
          <c:w val="0.71369169163023261"/>
          <c:h val="0.82451330425173486"/>
        </c:manualLayout>
      </c:layout>
      <c:doughnutChart>
        <c:varyColors val="1"/>
        <c:ser>
          <c:idx val="0"/>
          <c:order val="0"/>
          <c:tx>
            <c:strRef>
              <c:f>'RAWABI INCOME 7-2020'!$CF$32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4BFB-4490-9B03-9DE0B5E51259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4BFB-4490-9B03-9DE0B5E51259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4BFB-4490-9B03-9DE0B5E51259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4BFB-4490-9B03-9DE0B5E51259}"/>
              </c:ext>
            </c:extLst>
          </c:dPt>
          <c:val>
            <c:numRef>
              <c:f>'RAWABI INCOME 7-2020'!$CF$33:$CF$36</c:f>
              <c:numCache>
                <c:formatCode>0.000%</c:formatCode>
                <c:ptCount val="4"/>
                <c:pt idx="0">
                  <c:v>0.41935483870967744</c:v>
                </c:pt>
                <c:pt idx="1">
                  <c:v>0</c:v>
                </c:pt>
                <c:pt idx="2">
                  <c:v>0</c:v>
                </c:pt>
                <c:pt idx="3">
                  <c:v>0.58064516129032251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FB-4490-9B03-9DE0B5E51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4"/>
          <c:w val="0.71369169163023261"/>
          <c:h val="0.82451330425173486"/>
        </c:manualLayout>
      </c:layout>
      <c:doughnutChart>
        <c:varyColors val="1"/>
        <c:ser>
          <c:idx val="0"/>
          <c:order val="0"/>
          <c:tx>
            <c:strRef>
              <c:f>'EXPERAMENTAL SALEEM COMMISION'!$DB$43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A1E8-4127-88BE-31FC4D784E48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A1E8-4127-88BE-31FC4D784E48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A1E8-4127-88BE-31FC4D784E48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A1E8-4127-88BE-31FC4D784E48}"/>
              </c:ext>
            </c:extLst>
          </c:dPt>
          <c:val>
            <c:numRef>
              <c:f>'EXPERAMENTAL SALEEM COMMISION'!$DB$44:$DB$47</c:f>
              <c:numCache>
                <c:formatCode>0.000%</c:formatCode>
                <c:ptCount val="4"/>
                <c:pt idx="0">
                  <c:v>0.22580645161290322</c:v>
                </c:pt>
                <c:pt idx="1">
                  <c:v>0</c:v>
                </c:pt>
                <c:pt idx="2">
                  <c:v>0</c:v>
                </c:pt>
                <c:pt idx="3">
                  <c:v>0.77419354838709675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E8-4127-88BE-31FC4D784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'E&amp;M SHOP INCOME (4-19)'!$BZ$33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879A-4135-9A7E-E54BE9C065F4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879A-4135-9A7E-E54BE9C065F4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879A-4135-9A7E-E54BE9C065F4}"/>
              </c:ext>
            </c:extLst>
          </c:dPt>
          <c:val>
            <c:numRef>
              <c:f>'E&amp;M SHOP INCOME (4-19)'!$BZ$34:$BZ$37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A-4135-9A7E-E54BE9C0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'E&amp;M SHOP INCOME (5-19)'!$CA$33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7166-4304-B8AC-CA3F94BD0886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7166-4304-B8AC-CA3F94BD0886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7166-4304-B8AC-CA3F94BD0886}"/>
              </c:ext>
            </c:extLst>
          </c:dPt>
          <c:val>
            <c:numRef>
              <c:f>'E&amp;M SHOP INCOME (5-19)'!$CA$34:$CA$37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66-4304-B8AC-CA3F94BD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'E&amp;M SHOP INCOME (6-19)'!$BZ$33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299C-40AB-9DBA-61DE44BF88C2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299C-40AB-9DBA-61DE44BF88C2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299C-40AB-9DBA-61DE44BF88C2}"/>
              </c:ext>
            </c:extLst>
          </c:dPt>
          <c:val>
            <c:numRef>
              <c:f>'E&amp;M SHOP INCOME (6-19)'!$BZ$34:$BZ$37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9C-40AB-9DBA-61DE44BF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'E&amp;M + RAWABI INCOME (7-19)'!$CB$47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FD42-42EC-8F41-11BB1AA2EFC2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FD42-42EC-8F41-11BB1AA2EFC2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FD42-42EC-8F41-11BB1AA2EFC2}"/>
              </c:ext>
            </c:extLst>
          </c:dPt>
          <c:val>
            <c:numRef>
              <c:f>'E&amp;M + RAWABI INCOME (7-19)'!$CB$48:$CB$51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42-42EC-8F41-11BB1AA2E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(8-19)'!$CC$54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CA45-45CF-BA94-231FB2CE91CA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CA45-45CF-BA94-231FB2CE91CA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CA45-45CF-BA94-231FB2CE91CA}"/>
              </c:ext>
            </c:extLst>
          </c:dPt>
          <c:val>
            <c:numRef>
              <c:f>'RAWABI INCOME (8-19)'!$CC$55:$CC$58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5-45CF-BA94-231FB2CE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(9-19)'!$CB$51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6A1E-4907-8093-5F5192726238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6A1E-4907-8093-5F5192726238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6A1E-4907-8093-5F5192726238}"/>
              </c:ext>
            </c:extLst>
          </c:dPt>
          <c:val>
            <c:numRef>
              <c:f>'RAWABI INCOME (9-19)'!$CB$52:$CB$55</c:f>
              <c:numCache>
                <c:formatCode>0.000%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E-4907-8093-5F519272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(10-19) '!$CC$45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1D0C-4DBB-A743-EA9515B89D5E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1D0C-4DBB-A743-EA9515B89D5E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1D0C-4DBB-A743-EA9515B89D5E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1D0C-4DBB-A743-EA9515B89D5E}"/>
              </c:ext>
            </c:extLst>
          </c:dPt>
          <c:val>
            <c:numRef>
              <c:f>'RAWABI INCOME (10-19) '!$CC$46:$CC$68</c:f>
              <c:numCache>
                <c:formatCode>0.000%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C-4DBB-A743-EA9515B8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 GUN PROGRESS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445350367250962"/>
          <c:y val="0.10232840410784687"/>
          <c:w val="0.71369169163023216"/>
          <c:h val="0.82451330425173508"/>
        </c:manualLayout>
      </c:layout>
      <c:doughnutChart>
        <c:varyColors val="1"/>
        <c:ser>
          <c:idx val="0"/>
          <c:order val="0"/>
          <c:tx>
            <c:strRef>
              <c:f>'RAWABI INCOME 11-19)'!$CB$27</c:f>
              <c:strCache>
                <c:ptCount val="1"/>
                <c:pt idx="0">
                  <c:v>DATA SERIES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freezing" dir="t">
                <a:rot lat="0" lon="0" rev="4800000"/>
              </a:lightRig>
            </a:scene3d>
            <a:sp3d prstMaterial="plastic">
              <a:bevelT w="165100" prst="coolSlant"/>
              <a:bevelB w="165100" prst="coolSlant"/>
            </a:sp3d>
          </c:spPr>
          <c:explosion val="2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94D4-4B4F-87E9-28BD57EF706C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>
                <a:noFill/>
              </a:ln>
              <a:effectLst/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94D4-4B4F-87E9-28BD57EF706C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94D4-4B4F-87E9-28BD57EF706C}"/>
              </c:ext>
            </c:extLst>
          </c:dPt>
          <c:dPt>
            <c:idx val="5"/>
            <c:bubble3D val="0"/>
            <c:spPr>
              <a:solidFill>
                <a:sysClr val="window" lastClr="FFFFFF"/>
              </a:solidFill>
              <a:ln>
                <a:noFill/>
              </a:ln>
              <a:scene3d>
                <a:camera prst="orthographicFront"/>
                <a:lightRig rig="freezing" dir="t">
                  <a:rot lat="0" lon="0" rev="4800000"/>
                </a:lightRig>
              </a:scene3d>
              <a:sp3d prstMaterial="plastic">
                <a:bevelT w="165100" prst="coolSlant"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94D4-4B4F-87E9-28BD57EF706C}"/>
              </c:ext>
            </c:extLst>
          </c:dPt>
          <c:val>
            <c:numRef>
              <c:f>'RAWABI INCOME 11-19)'!$CB$28:$CB$50</c:f>
              <c:numCache>
                <c:formatCode>0.000%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0.77419354838709675</c:v>
                </c:pt>
                <c:pt idx="3">
                  <c:v>0.22580645161290325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D4-4B4F-87E9-28BD57EF7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83344</xdr:colOff>
      <xdr:row>0</xdr:row>
      <xdr:rowOff>83343</xdr:rowOff>
    </xdr:from>
    <xdr:to>
      <xdr:col>39</xdr:col>
      <xdr:colOff>35718</xdr:colOff>
      <xdr:row>0</xdr:row>
      <xdr:rowOff>214312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4229219" y="83343"/>
          <a:ext cx="547687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44</xdr:col>
      <xdr:colOff>154781</xdr:colOff>
      <xdr:row>5</xdr:row>
      <xdr:rowOff>35718</xdr:rowOff>
    </xdr:from>
    <xdr:to>
      <xdr:col>44</xdr:col>
      <xdr:colOff>668846</xdr:colOff>
      <xdr:row>5</xdr:row>
      <xdr:rowOff>166687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27217687" y="1131093"/>
          <a:ext cx="514065" cy="13096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E&amp;M SHOP INCOME (5-19)'!$CA$36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E&amp;M SHOP INCOME (5-19)'!$CA$35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E&amp;M SHOP INCOME (5-19)'!$CA$34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83344</xdr:colOff>
      <xdr:row>0</xdr:row>
      <xdr:rowOff>71437</xdr:rowOff>
    </xdr:from>
    <xdr:to>
      <xdr:col>69</xdr:col>
      <xdr:colOff>0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7133094" y="71437"/>
          <a:ext cx="573881" cy="11906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75</xdr:col>
      <xdr:colOff>154781</xdr:colOff>
      <xdr:row>5</xdr:row>
      <xdr:rowOff>35718</xdr:rowOff>
    </xdr:from>
    <xdr:to>
      <xdr:col>75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0795456" y="1131093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78</xdr:col>
      <xdr:colOff>119063</xdr:colOff>
      <xdr:row>20</xdr:row>
      <xdr:rowOff>35717</xdr:rowOff>
    </xdr:from>
    <xdr:to>
      <xdr:col>83</xdr:col>
      <xdr:colOff>690562</xdr:colOff>
      <xdr:row>41</xdr:row>
      <xdr:rowOff>166687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E&amp;M SHOP INCOME (6-19)'!$BZ$36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E&amp;M SHOP INCOME (6-19)'!$BZ$35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E&amp;M SHOP INCOME (6-19)'!$BZ$34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83344</xdr:colOff>
      <xdr:row>0</xdr:row>
      <xdr:rowOff>71437</xdr:rowOff>
    </xdr:from>
    <xdr:to>
      <xdr:col>71</xdr:col>
      <xdr:colOff>0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5247144" y="71437"/>
          <a:ext cx="573881" cy="11906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77</xdr:col>
      <xdr:colOff>154781</xdr:colOff>
      <xdr:row>11</xdr:row>
      <xdr:rowOff>35718</xdr:rowOff>
    </xdr:from>
    <xdr:to>
      <xdr:col>77</xdr:col>
      <xdr:colOff>976312</xdr:colOff>
      <xdr:row>11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8909506" y="2169318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80</xdr:col>
      <xdr:colOff>166688</xdr:colOff>
      <xdr:row>28</xdr:row>
      <xdr:rowOff>83342</xdr:rowOff>
    </xdr:from>
    <xdr:to>
      <xdr:col>85</xdr:col>
      <xdr:colOff>738187</xdr:colOff>
      <xdr:row>53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E&amp;M + RAWABI INCOME (7-19)'!$CB$50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E&amp;M + RAWABI INCOME (7-19)'!$CB$49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E&amp;M + RAWABI INCOME (7-19)'!$CB$48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135731</xdr:colOff>
      <xdr:row>11</xdr:row>
      <xdr:rowOff>92868</xdr:rowOff>
    </xdr:from>
    <xdr:to>
      <xdr:col>78</xdr:col>
      <xdr:colOff>797242</xdr:colOff>
      <xdr:row>12</xdr:row>
      <xdr:rowOff>21431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8042731" y="19026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81</xdr:col>
      <xdr:colOff>166688</xdr:colOff>
      <xdr:row>31</xdr:row>
      <xdr:rowOff>83342</xdr:rowOff>
    </xdr:from>
    <xdr:to>
      <xdr:col>86</xdr:col>
      <xdr:colOff>738187</xdr:colOff>
      <xdr:row>60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59531</xdr:colOff>
      <xdr:row>8</xdr:row>
      <xdr:rowOff>142874</xdr:rowOff>
    </xdr:from>
    <xdr:to>
      <xdr:col>77</xdr:col>
      <xdr:colOff>644842</xdr:colOff>
      <xdr:row>9</xdr:row>
      <xdr:rowOff>71436</xdr:rowOff>
    </xdr:to>
    <xdr:sp macro="" textlink="">
      <xdr:nvSpPr>
        <xdr:cNvPr id="6" name="Left Arrow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 flipV="1">
          <a:off x="18859500" y="1583530"/>
          <a:ext cx="585311" cy="1428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(8-19)'!$CC$57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(8-19)'!$CC$56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(8-19)'!$CC$55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135731</xdr:colOff>
      <xdr:row>8</xdr:row>
      <xdr:rowOff>92868</xdr:rowOff>
    </xdr:from>
    <xdr:to>
      <xdr:col>77</xdr:col>
      <xdr:colOff>797242</xdr:colOff>
      <xdr:row>9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3957756" y="2083593"/>
          <a:ext cx="613886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80</xdr:col>
      <xdr:colOff>166688</xdr:colOff>
      <xdr:row>28</xdr:row>
      <xdr:rowOff>83342</xdr:rowOff>
    </xdr:from>
    <xdr:to>
      <xdr:col>85</xdr:col>
      <xdr:colOff>738187</xdr:colOff>
      <xdr:row>57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59531</xdr:colOff>
      <xdr:row>5</xdr:row>
      <xdr:rowOff>142874</xdr:rowOff>
    </xdr:from>
    <xdr:to>
      <xdr:col>76</xdr:col>
      <xdr:colOff>644842</xdr:colOff>
      <xdr:row>6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 flipV="1">
          <a:off x="23062406" y="1638299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(9-19)'!$CB$54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(9-19)'!$CB$53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(9-19)'!$CB$52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135731</xdr:colOff>
      <xdr:row>10</xdr:row>
      <xdr:rowOff>92868</xdr:rowOff>
    </xdr:from>
    <xdr:to>
      <xdr:col>78</xdr:col>
      <xdr:colOff>797242</xdr:colOff>
      <xdr:row>11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4005381" y="207406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81</xdr:col>
      <xdr:colOff>166688</xdr:colOff>
      <xdr:row>30</xdr:row>
      <xdr:rowOff>83342</xdr:rowOff>
    </xdr:from>
    <xdr:to>
      <xdr:col>86</xdr:col>
      <xdr:colOff>738187</xdr:colOff>
      <xdr:row>70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59531</xdr:colOff>
      <xdr:row>7</xdr:row>
      <xdr:rowOff>142874</xdr:rowOff>
    </xdr:from>
    <xdr:to>
      <xdr:col>77</xdr:col>
      <xdr:colOff>644842</xdr:colOff>
      <xdr:row>8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 flipV="1">
          <a:off x="23110031" y="162877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83344</xdr:colOff>
      <xdr:row>0</xdr:row>
      <xdr:rowOff>83343</xdr:rowOff>
    </xdr:from>
    <xdr:to>
      <xdr:col>44</xdr:col>
      <xdr:colOff>35718</xdr:colOff>
      <xdr:row>0</xdr:row>
      <xdr:rowOff>214312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4314944" y="83343"/>
          <a:ext cx="552449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50</xdr:col>
      <xdr:colOff>154781</xdr:colOff>
      <xdr:row>5</xdr:row>
      <xdr:rowOff>35718</xdr:rowOff>
    </xdr:from>
    <xdr:to>
      <xdr:col>50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8324969" y="1142999"/>
          <a:ext cx="82153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52</xdr:col>
      <xdr:colOff>83344</xdr:colOff>
      <xdr:row>0</xdr:row>
      <xdr:rowOff>178593</xdr:rowOff>
    </xdr:from>
    <xdr:to>
      <xdr:col>53</xdr:col>
      <xdr:colOff>0</xdr:colOff>
      <xdr:row>1</xdr:row>
      <xdr:rowOff>107156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30051375" y="178593"/>
          <a:ext cx="523875" cy="1905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(10-19) '!$CC$48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(10-19) '!$CC$47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(10-19) '!$CC$46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135731</xdr:colOff>
      <xdr:row>10</xdr:row>
      <xdr:rowOff>92868</xdr:rowOff>
    </xdr:from>
    <xdr:to>
      <xdr:col>77</xdr:col>
      <xdr:colOff>797242</xdr:colOff>
      <xdr:row>11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3691056" y="20169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80</xdr:col>
      <xdr:colOff>166688</xdr:colOff>
      <xdr:row>14</xdr:row>
      <xdr:rowOff>83342</xdr:rowOff>
    </xdr:from>
    <xdr:to>
      <xdr:col>85</xdr:col>
      <xdr:colOff>738187</xdr:colOff>
      <xdr:row>52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59531</xdr:colOff>
      <xdr:row>7</xdr:row>
      <xdr:rowOff>142874</xdr:rowOff>
    </xdr:from>
    <xdr:to>
      <xdr:col>76</xdr:col>
      <xdr:colOff>644842</xdr:colOff>
      <xdr:row>8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 flipV="1">
          <a:off x="22795706" y="157162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11-19)'!$CB$30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77.419%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11-19)'!$CB$29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11-19)'!$CB$28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135731</xdr:colOff>
      <xdr:row>12</xdr:row>
      <xdr:rowOff>92868</xdr:rowOff>
    </xdr:from>
    <xdr:to>
      <xdr:col>77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7120056" y="20169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80</xdr:col>
      <xdr:colOff>166688</xdr:colOff>
      <xdr:row>16</xdr:row>
      <xdr:rowOff>83342</xdr:rowOff>
    </xdr:from>
    <xdr:to>
      <xdr:col>85</xdr:col>
      <xdr:colOff>738187</xdr:colOff>
      <xdr:row>80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59531</xdr:colOff>
      <xdr:row>9</xdr:row>
      <xdr:rowOff>142874</xdr:rowOff>
    </xdr:from>
    <xdr:to>
      <xdr:col>76</xdr:col>
      <xdr:colOff>644842</xdr:colOff>
      <xdr:row>10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 flipV="1">
          <a:off x="26224706" y="157162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EXPERAMENTAL!$CB$32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77.419%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EXPERAMENTAL!$CB$31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EXPERAMENTAL!$CB$30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135731</xdr:colOff>
      <xdr:row>10</xdr:row>
      <xdr:rowOff>92868</xdr:rowOff>
    </xdr:from>
    <xdr:to>
      <xdr:col>78</xdr:col>
      <xdr:colOff>797242</xdr:colOff>
      <xdr:row>11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7120056" y="20169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81</xdr:col>
      <xdr:colOff>142875</xdr:colOff>
      <xdr:row>14</xdr:row>
      <xdr:rowOff>59533</xdr:rowOff>
    </xdr:from>
    <xdr:to>
      <xdr:col>86</xdr:col>
      <xdr:colOff>738187</xdr:colOff>
      <xdr:row>35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59531</xdr:colOff>
      <xdr:row>7</xdr:row>
      <xdr:rowOff>142874</xdr:rowOff>
    </xdr:from>
    <xdr:to>
      <xdr:col>77</xdr:col>
      <xdr:colOff>644842</xdr:colOff>
      <xdr:row>8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flipV="1">
          <a:off x="26224706" y="157162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1-2020'!$CC$30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 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0.35881</cdr:y>
    </cdr:from>
    <cdr:to>
      <cdr:x>0.74194</cdr:x>
      <cdr:y>0.71931</cdr:y>
    </cdr:to>
    <cdr:sp macro="" textlink="'RAWABI INCOME 1-2020'!$CC$29">
      <cdr:nvSpPr>
        <cdr:cNvPr id="6" name="TextBox 5"/>
        <cdr:cNvSpPr txBox="1"/>
      </cdr:nvSpPr>
      <cdr:spPr>
        <a:xfrm xmlns:a="http://schemas.openxmlformats.org/drawingml/2006/main">
          <a:off x="1116211" y="1661849"/>
          <a:ext cx="2196435" cy="1669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70.968%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1-2020'!$CC$28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135731</xdr:colOff>
      <xdr:row>10</xdr:row>
      <xdr:rowOff>92868</xdr:rowOff>
    </xdr:from>
    <xdr:to>
      <xdr:col>76</xdr:col>
      <xdr:colOff>797242</xdr:colOff>
      <xdr:row>11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0985956" y="2331243"/>
          <a:ext cx="613886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79</xdr:col>
      <xdr:colOff>142875</xdr:colOff>
      <xdr:row>14</xdr:row>
      <xdr:rowOff>59533</xdr:rowOff>
    </xdr:from>
    <xdr:to>
      <xdr:col>83</xdr:col>
      <xdr:colOff>821531</xdr:colOff>
      <xdr:row>30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75</xdr:col>
      <xdr:colOff>59531</xdr:colOff>
      <xdr:row>7</xdr:row>
      <xdr:rowOff>142874</xdr:rowOff>
    </xdr:from>
    <xdr:to>
      <xdr:col>75</xdr:col>
      <xdr:colOff>644842</xdr:colOff>
      <xdr:row>8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 flipV="1">
          <a:off x="20157281" y="1885949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2-2020'!$CA$30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2-2020'!$CA$29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2-2020'!$CA$28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135731</xdr:colOff>
      <xdr:row>12</xdr:row>
      <xdr:rowOff>92868</xdr:rowOff>
    </xdr:from>
    <xdr:to>
      <xdr:col>78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1252656" y="2331243"/>
          <a:ext cx="613886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81</xdr:col>
      <xdr:colOff>142875</xdr:colOff>
      <xdr:row>16</xdr:row>
      <xdr:rowOff>59533</xdr:rowOff>
    </xdr:from>
    <xdr:to>
      <xdr:col>85</xdr:col>
      <xdr:colOff>821531</xdr:colOff>
      <xdr:row>32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59531</xdr:colOff>
      <xdr:row>9</xdr:row>
      <xdr:rowOff>142874</xdr:rowOff>
    </xdr:from>
    <xdr:to>
      <xdr:col>77</xdr:col>
      <xdr:colOff>644842</xdr:colOff>
      <xdr:row>10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 flipV="1">
          <a:off x="20357306" y="1885949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83344</xdr:colOff>
      <xdr:row>0</xdr:row>
      <xdr:rowOff>83343</xdr:rowOff>
    </xdr:from>
    <xdr:to>
      <xdr:col>44</xdr:col>
      <xdr:colOff>35718</xdr:colOff>
      <xdr:row>0</xdr:row>
      <xdr:rowOff>214312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7934444" y="83343"/>
          <a:ext cx="609599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50</xdr:col>
      <xdr:colOff>154781</xdr:colOff>
      <xdr:row>5</xdr:row>
      <xdr:rowOff>35718</xdr:rowOff>
    </xdr:from>
    <xdr:to>
      <xdr:col>50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31682531" y="1131093"/>
          <a:ext cx="82153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3-2020'!$CC$32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 i="0" u="none" strike="noStrike">
              <a:solidFill>
                <a:srgbClr val="92D050"/>
              </a:solidFill>
              <a:latin typeface="Arial Narrow"/>
            </a:rPr>
            <a:pPr algn="ctr"/>
            <a:t>87.097%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3-2020'!$CC$31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3-2020'!$CC$30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135731</xdr:colOff>
      <xdr:row>12</xdr:row>
      <xdr:rowOff>92868</xdr:rowOff>
    </xdr:from>
    <xdr:to>
      <xdr:col>77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39540656" y="28551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80</xdr:col>
      <xdr:colOff>142875</xdr:colOff>
      <xdr:row>17</xdr:row>
      <xdr:rowOff>59533</xdr:rowOff>
    </xdr:from>
    <xdr:to>
      <xdr:col>84</xdr:col>
      <xdr:colOff>821531</xdr:colOff>
      <xdr:row>33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59531</xdr:colOff>
      <xdr:row>9</xdr:row>
      <xdr:rowOff>142874</xdr:rowOff>
    </xdr:from>
    <xdr:to>
      <xdr:col>76</xdr:col>
      <xdr:colOff>644842</xdr:colOff>
      <xdr:row>10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 flipV="1">
          <a:off x="38645306" y="240982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4-2020'!$CB$33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 i="0" u="none" strike="noStrike">
              <a:solidFill>
                <a:srgbClr val="92D050"/>
              </a:solidFill>
              <a:latin typeface="Arial Narrow"/>
            </a:rPr>
            <a:pPr algn="ctr"/>
            <a:t>80.000%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4-2020'!$CB$32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4-2020'!$CB$31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135731</xdr:colOff>
      <xdr:row>12</xdr:row>
      <xdr:rowOff>92868</xdr:rowOff>
    </xdr:from>
    <xdr:to>
      <xdr:col>78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43845956" y="28551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81</xdr:col>
      <xdr:colOff>142875</xdr:colOff>
      <xdr:row>16</xdr:row>
      <xdr:rowOff>59533</xdr:rowOff>
    </xdr:from>
    <xdr:to>
      <xdr:col>85</xdr:col>
      <xdr:colOff>821531</xdr:colOff>
      <xdr:row>32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59531</xdr:colOff>
      <xdr:row>9</xdr:row>
      <xdr:rowOff>142874</xdr:rowOff>
    </xdr:from>
    <xdr:to>
      <xdr:col>77</xdr:col>
      <xdr:colOff>644842</xdr:colOff>
      <xdr:row>10</xdr:row>
      <xdr:rowOff>71436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 flipV="1">
          <a:off x="42950606" y="2409824"/>
          <a:ext cx="585311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5-2020'!$CC$32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 i="0" u="none" strike="noStrike">
              <a:solidFill>
                <a:srgbClr val="92D050"/>
              </a:solidFill>
              <a:latin typeface="Arial Narrow"/>
            </a:rPr>
            <a:pPr algn="ctr"/>
            <a:t>77.419%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5-2020'!$CC$31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5-2020'!$CC$30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135731</xdr:colOff>
      <xdr:row>13</xdr:row>
      <xdr:rowOff>92868</xdr:rowOff>
    </xdr:from>
    <xdr:to>
      <xdr:col>80</xdr:col>
      <xdr:colOff>797242</xdr:colOff>
      <xdr:row>14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1300281" y="28551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83</xdr:col>
      <xdr:colOff>142875</xdr:colOff>
      <xdr:row>20</xdr:row>
      <xdr:rowOff>59533</xdr:rowOff>
    </xdr:from>
    <xdr:to>
      <xdr:col>87</xdr:col>
      <xdr:colOff>821531</xdr:colOff>
      <xdr:row>36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78</xdr:col>
      <xdr:colOff>71438</xdr:colOff>
      <xdr:row>10</xdr:row>
      <xdr:rowOff>130968</xdr:rowOff>
    </xdr:from>
    <xdr:to>
      <xdr:col>79</xdr:col>
      <xdr:colOff>537686</xdr:colOff>
      <xdr:row>11</xdr:row>
      <xdr:rowOff>59530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 flipV="1">
          <a:off x="16978313" y="2440781"/>
          <a:ext cx="585311" cy="1428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6-2020'!$CE$36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EFEB464-2194-4204-8D44-B0ECC1381714}" type="TxLink">
            <a:rPr lang="en-US" sz="3200" b="1" i="0" u="none" strike="noStrike">
              <a:solidFill>
                <a:srgbClr val="92D050"/>
              </a:solidFill>
              <a:latin typeface="Arial Narrow"/>
            </a:rPr>
            <a:pPr algn="ctr"/>
            <a:t>96.667%</a:t>
          </a:fld>
          <a:endParaRPr lang="en-US" sz="8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6-2020'!$CE$35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697B363-34FB-4C24-92B6-8825833734D8}" type="TxLink">
            <a:rPr lang="en-US" sz="32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8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6-2020'!$CE$34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0FEB24AE-B6F5-43BB-A200-B71362A1BDCD}" type="TxLink">
            <a:rPr lang="en-US" sz="32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 </a:t>
          </a:fld>
          <a:endParaRPr lang="en-US" sz="88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102</xdr:col>
      <xdr:colOff>224118</xdr:colOff>
      <xdr:row>21</xdr:row>
      <xdr:rowOff>56031</xdr:rowOff>
    </xdr:from>
    <xdr:to>
      <xdr:col>111</xdr:col>
      <xdr:colOff>952500</xdr:colOff>
      <xdr:row>38</xdr:row>
      <xdr:rowOff>133071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0.27371</cdr:x>
      <cdr:y>0.38018</cdr:y>
    </cdr:from>
    <cdr:to>
      <cdr:x>0.72418</cdr:x>
      <cdr:y>0.70473</cdr:y>
    </cdr:to>
    <cdr:sp macro="" textlink="'EXPERAMENTAL 1'!$CW$37">
      <cdr:nvSpPr>
        <cdr:cNvPr id="5" name="TextBox 4"/>
        <cdr:cNvSpPr txBox="1"/>
      </cdr:nvSpPr>
      <cdr:spPr>
        <a:xfrm xmlns:a="http://schemas.openxmlformats.org/drawingml/2006/main">
          <a:off x="1143000" y="1464469"/>
          <a:ext cx="1881187" cy="1250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0F96E86-B5CE-48F2-BBAD-91187D336021}" type="TxLink">
            <a:rPr lang="en-US" sz="3200" b="1" i="0" u="none" strike="noStrike">
              <a:solidFill>
                <a:srgbClr val="92D050"/>
              </a:solidFill>
              <a:latin typeface="Arial Narrow"/>
            </a:rPr>
            <a:pPr algn="ctr"/>
            <a:t> </a:t>
          </a:fld>
          <a:endParaRPr lang="en-US" sz="6000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0.27599</cdr:x>
      <cdr:y>0.39873</cdr:y>
    </cdr:from>
    <cdr:to>
      <cdr:x>0.72646</cdr:x>
      <cdr:y>0.72884</cdr:y>
    </cdr:to>
    <cdr:sp macro="" textlink="'EXPERAMENTAL 1'!$CW$35">
      <cdr:nvSpPr>
        <cdr:cNvPr id="6" name="TextBox 5"/>
        <cdr:cNvSpPr txBox="1"/>
      </cdr:nvSpPr>
      <cdr:spPr>
        <a:xfrm xmlns:a="http://schemas.openxmlformats.org/drawingml/2006/main">
          <a:off x="1152525" y="1535906"/>
          <a:ext cx="1881187" cy="1271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1EF9629-8209-4942-87D6-515FAE9E4932}" type="TxLink">
            <a:rPr lang="en-US" sz="36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3.333%</a:t>
          </a:fld>
          <a:endParaRPr lang="en-US" sz="66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0.268</cdr:x>
      <cdr:y>0.40182</cdr:y>
    </cdr:from>
    <cdr:to>
      <cdr:x>0.74129</cdr:x>
      <cdr:y>0.7684</cdr:y>
    </cdr:to>
    <cdr:sp macro="" textlink="'EXPERAMENTAL 1'!$CW$36">
      <cdr:nvSpPr>
        <cdr:cNvPr id="7" name="TextBox 6"/>
        <cdr:cNvSpPr txBox="1"/>
      </cdr:nvSpPr>
      <cdr:spPr>
        <a:xfrm xmlns:a="http://schemas.openxmlformats.org/drawingml/2006/main">
          <a:off x="1119188" y="1547812"/>
          <a:ext cx="1976438" cy="1412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BFCC2194-5AFF-45D6-A358-994DFF630C42}" type="TxLink">
            <a:rPr lang="en-US" sz="32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71400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135731</xdr:colOff>
      <xdr:row>12</xdr:row>
      <xdr:rowOff>92868</xdr:rowOff>
    </xdr:from>
    <xdr:to>
      <xdr:col>81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EA31827E-F72A-4723-8406-1E90CF5F7488}"/>
            </a:ext>
          </a:extLst>
        </xdr:cNvPr>
        <xdr:cNvSpPr/>
      </xdr:nvSpPr>
      <xdr:spPr>
        <a:xfrm>
          <a:off x="26472356" y="315991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84</xdr:col>
      <xdr:colOff>142875</xdr:colOff>
      <xdr:row>19</xdr:row>
      <xdr:rowOff>59533</xdr:rowOff>
    </xdr:from>
    <xdr:to>
      <xdr:col>88</xdr:col>
      <xdr:colOff>821531</xdr:colOff>
      <xdr:row>35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420839-9AD5-4A33-B8E8-245B5686A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79</xdr:col>
      <xdr:colOff>71438</xdr:colOff>
      <xdr:row>10</xdr:row>
      <xdr:rowOff>130968</xdr:rowOff>
    </xdr:from>
    <xdr:to>
      <xdr:col>80</xdr:col>
      <xdr:colOff>537686</xdr:colOff>
      <xdr:row>11</xdr:row>
      <xdr:rowOff>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14E609B9-CB5D-4877-9FFA-8446FF5A8C37}"/>
            </a:ext>
          </a:extLst>
        </xdr:cNvPr>
        <xdr:cNvSpPr/>
      </xdr:nvSpPr>
      <xdr:spPr>
        <a:xfrm flipV="1">
          <a:off x="25398413" y="2702718"/>
          <a:ext cx="609123" cy="14763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83344</xdr:colOff>
      <xdr:row>0</xdr:row>
      <xdr:rowOff>83343</xdr:rowOff>
    </xdr:from>
    <xdr:to>
      <xdr:col>61</xdr:col>
      <xdr:colOff>35718</xdr:colOff>
      <xdr:row>0</xdr:row>
      <xdr:rowOff>214312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001119" y="83343"/>
          <a:ext cx="609599" cy="1309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67</xdr:col>
      <xdr:colOff>154781</xdr:colOff>
      <xdr:row>5</xdr:row>
      <xdr:rowOff>35718</xdr:rowOff>
    </xdr:from>
    <xdr:to>
      <xdr:col>67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1701581" y="1131093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RAWABI INCOME 7-2020'!$CF$35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EFEB464-2194-4204-8D44-B0ECC1381714}" type="TxLink">
            <a:rPr lang="en-US" sz="3200" b="1" i="0" u="none" strike="noStrike">
              <a:solidFill>
                <a:srgbClr val="92D050"/>
              </a:solidFill>
              <a:latin typeface="Arial Narrow"/>
            </a:rPr>
            <a:pPr algn="ctr"/>
            <a:t> </a:t>
          </a:fld>
          <a:endParaRPr lang="en-US" sz="8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RAWABI INCOME 7-2020'!$CF$34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697B363-34FB-4C24-92B6-8825833734D8}" type="TxLink">
            <a:rPr lang="en-US" sz="32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8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RAWABI INCOME 7-2020'!$CF$33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0FEB24AE-B6F5-43BB-A200-B71362A1BDCD}" type="TxLink">
            <a:rPr lang="en-US" sz="32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41.935%</a:t>
          </a:fld>
          <a:endParaRPr lang="en-US" sz="88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135731</xdr:colOff>
      <xdr:row>12</xdr:row>
      <xdr:rowOff>92868</xdr:rowOff>
    </xdr:from>
    <xdr:to>
      <xdr:col>103</xdr:col>
      <xdr:colOff>797242</xdr:colOff>
      <xdr:row>13</xdr:row>
      <xdr:rowOff>21431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247179DA-C4A4-43C0-901D-39E7D4F484E7}"/>
            </a:ext>
          </a:extLst>
        </xdr:cNvPr>
        <xdr:cNvSpPr/>
      </xdr:nvSpPr>
      <xdr:spPr>
        <a:xfrm>
          <a:off x="20481131" y="2988468"/>
          <a:ext cx="66151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106</xdr:col>
      <xdr:colOff>142875</xdr:colOff>
      <xdr:row>19</xdr:row>
      <xdr:rowOff>59533</xdr:rowOff>
    </xdr:from>
    <xdr:to>
      <xdr:col>110</xdr:col>
      <xdr:colOff>821531</xdr:colOff>
      <xdr:row>46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5AC934-A563-4A8A-AE11-B21451ECE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71438</xdr:colOff>
      <xdr:row>10</xdr:row>
      <xdr:rowOff>130968</xdr:rowOff>
    </xdr:from>
    <xdr:to>
      <xdr:col>102</xdr:col>
      <xdr:colOff>537686</xdr:colOff>
      <xdr:row>11</xdr:row>
      <xdr:rowOff>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31F37E3E-0248-417F-98C3-404FD734B586}"/>
            </a:ext>
          </a:extLst>
        </xdr:cNvPr>
        <xdr:cNvSpPr/>
      </xdr:nvSpPr>
      <xdr:spPr>
        <a:xfrm flipV="1">
          <a:off x="19454813" y="2750343"/>
          <a:ext cx="609123" cy="881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EXPERAMENTAL SALEEM COMMISION'!$DB$46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EFEB464-2194-4204-8D44-B0ECC1381714}" type="TxLink">
            <a:rPr lang="en-US" sz="3200" b="1" i="0" u="none" strike="noStrike">
              <a:solidFill>
                <a:srgbClr val="92D050"/>
              </a:solidFill>
              <a:latin typeface="Arial Narrow"/>
            </a:rPr>
            <a:pPr algn="ctr"/>
            <a:t> </a:t>
          </a:fld>
          <a:endParaRPr lang="en-US" sz="8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EXPERAMENTAL SALEEM COMMISION'!$DB$45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697B363-34FB-4C24-92B6-8825833734D8}" type="TxLink">
            <a:rPr lang="en-US" sz="3200" b="1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 Narrow"/>
            </a:rPr>
            <a:pPr algn="ctr"/>
            <a:t> </a:t>
          </a:fld>
          <a:endParaRPr lang="en-US" sz="8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EXPERAMENTAL SALEEM COMMISION'!$DB$44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0FEB24AE-B6F5-43BB-A200-B71362A1BDCD}" type="TxLink">
            <a:rPr lang="en-US" sz="3200" b="1" i="0" u="none" strike="noStrike">
              <a:solidFill>
                <a:schemeClr val="accent6">
                  <a:lumMod val="75000"/>
                </a:schemeClr>
              </a:solidFill>
              <a:latin typeface="Arial Narrow"/>
            </a:rPr>
            <a:pPr algn="ctr"/>
            <a:t>22.581%</a:t>
          </a:fld>
          <a:endParaRPr lang="en-US" sz="88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83344</xdr:colOff>
      <xdr:row>0</xdr:row>
      <xdr:rowOff>71437</xdr:rowOff>
    </xdr:from>
    <xdr:to>
      <xdr:col>70</xdr:col>
      <xdr:colOff>0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1370469" y="71437"/>
          <a:ext cx="571500" cy="11906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76</xdr:col>
      <xdr:colOff>154781</xdr:colOff>
      <xdr:row>5</xdr:row>
      <xdr:rowOff>35718</xdr:rowOff>
    </xdr:from>
    <xdr:to>
      <xdr:col>76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21595556" y="1131093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78</xdr:col>
      <xdr:colOff>11905</xdr:colOff>
      <xdr:row>7</xdr:row>
      <xdr:rowOff>11906</xdr:rowOff>
    </xdr:from>
    <xdr:to>
      <xdr:col>83</xdr:col>
      <xdr:colOff>761999</xdr:colOff>
      <xdr:row>28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0.28701</cdr:x>
      <cdr:y>0.40526</cdr:y>
    </cdr:from>
    <cdr:to>
      <cdr:x>0.73414</cdr:x>
      <cdr:y>0.69502</cdr:y>
    </cdr:to>
    <cdr:sp macro="" textlink="'E&amp;M SHOP INCOME (3-19)'!$BZ$20">
      <cdr:nvSpPr>
        <cdr:cNvPr id="5" name="TextBox 4"/>
        <cdr:cNvSpPr txBox="1"/>
      </cdr:nvSpPr>
      <cdr:spPr>
        <a:xfrm xmlns:a="http://schemas.openxmlformats.org/drawingml/2006/main">
          <a:off x="1131092" y="1395413"/>
          <a:ext cx="1762125" cy="9977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79304828-608B-4ABB-A7CF-A9A8AA9258C8}" type="TxLink">
            <a:rPr lang="en-US" sz="20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2000" b="1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0.29305</cdr:x>
      <cdr:y>0.38105</cdr:y>
    </cdr:from>
    <cdr:to>
      <cdr:x>0.71601</cdr:x>
      <cdr:y>0.73928</cdr:y>
    </cdr:to>
    <cdr:sp macro="" textlink="'E&amp;M SHOP INCOME (3-19)'!$BZ$21">
      <cdr:nvSpPr>
        <cdr:cNvPr id="6" name="TextBox 5"/>
        <cdr:cNvSpPr txBox="1"/>
      </cdr:nvSpPr>
      <cdr:spPr>
        <a:xfrm xmlns:a="http://schemas.openxmlformats.org/drawingml/2006/main">
          <a:off x="1154906" y="1312069"/>
          <a:ext cx="1666875" cy="1233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31C70A2F-4A9B-436B-8991-C5E990B81443}" type="TxLink">
            <a:rPr lang="en-US" sz="4000" b="1">
              <a:solidFill>
                <a:schemeClr val="accent1"/>
              </a:solidFill>
            </a:rPr>
            <a:pPr algn="ctr"/>
            <a:t> </a:t>
          </a:fld>
          <a:endParaRPr lang="en-US" sz="40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0.28097</cdr:x>
      <cdr:y>0.39142</cdr:y>
    </cdr:from>
    <cdr:to>
      <cdr:x>0.71299</cdr:x>
      <cdr:y>0.73375</cdr:y>
    </cdr:to>
    <cdr:sp macro="" textlink="'E&amp;M SHOP INCOME (3-19)'!$BZ$22">
      <cdr:nvSpPr>
        <cdr:cNvPr id="7" name="TextBox 6"/>
        <cdr:cNvSpPr txBox="1"/>
      </cdr:nvSpPr>
      <cdr:spPr>
        <a:xfrm xmlns:a="http://schemas.openxmlformats.org/drawingml/2006/main">
          <a:off x="1107282" y="1347788"/>
          <a:ext cx="1702594" cy="1178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361708BE-33F0-4D80-9695-914AB487AC60}" type="TxLink">
            <a:rPr lang="en-US" sz="2000" b="1">
              <a:solidFill>
                <a:srgbClr val="92D050"/>
              </a:solidFill>
            </a:rPr>
            <a:pPr algn="ctr"/>
            <a:t>100.000%</a:t>
          </a:fld>
          <a:endParaRPr lang="en-US" sz="2000" b="1">
            <a:solidFill>
              <a:srgbClr val="92D05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83344</xdr:colOff>
      <xdr:row>0</xdr:row>
      <xdr:rowOff>71437</xdr:rowOff>
    </xdr:from>
    <xdr:to>
      <xdr:col>69</xdr:col>
      <xdr:colOff>0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0562094" y="71437"/>
          <a:ext cx="573881" cy="11906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75</xdr:col>
      <xdr:colOff>154781</xdr:colOff>
      <xdr:row>5</xdr:row>
      <xdr:rowOff>35718</xdr:rowOff>
    </xdr:from>
    <xdr:to>
      <xdr:col>75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4176831" y="1131093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78</xdr:col>
      <xdr:colOff>119063</xdr:colOff>
      <xdr:row>20</xdr:row>
      <xdr:rowOff>35717</xdr:rowOff>
    </xdr:from>
    <xdr:to>
      <xdr:col>83</xdr:col>
      <xdr:colOff>690562</xdr:colOff>
      <xdr:row>41</xdr:row>
      <xdr:rowOff>166687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0.29607</cdr:x>
      <cdr:y>0.38797</cdr:y>
    </cdr:from>
    <cdr:to>
      <cdr:x>0.71601</cdr:x>
      <cdr:y>0.65353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812" y="1335882"/>
          <a:ext cx="16549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0.26586</cdr:x>
      <cdr:y>0.44675</cdr:y>
    </cdr:from>
    <cdr:to>
      <cdr:x>0.73716</cdr:x>
      <cdr:y>0.71231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47750" y="1538288"/>
          <a:ext cx="185737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0.45317</cdr:x>
      <cdr:y>0.52282</cdr:y>
    </cdr:from>
    <cdr:to>
      <cdr:x>0.6852</cdr:x>
      <cdr:y>0.78838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85937" y="18002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0.23387</cdr:x>
      <cdr:y>0.36364</cdr:y>
    </cdr:from>
    <cdr:to>
      <cdr:x>0.72581</cdr:x>
      <cdr:y>0.68652</cdr:y>
    </cdr:to>
    <cdr:sp macro="" textlink="'E&amp;M SHOP INCOME (4-19)'!$BZ$36">
      <cdr:nvSpPr>
        <cdr:cNvPr id="5" name="TextBox 4"/>
        <cdr:cNvSpPr txBox="1"/>
      </cdr:nvSpPr>
      <cdr:spPr>
        <a:xfrm xmlns:a="http://schemas.openxmlformats.org/drawingml/2006/main">
          <a:off x="1035843" y="1381126"/>
          <a:ext cx="2178844" cy="122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8852E6B-5B99-41CD-8A89-E483786BD14A}" type="TxLink">
            <a:rPr lang="en-US" sz="4000" b="1">
              <a:solidFill>
                <a:srgbClr val="92D050"/>
              </a:solidFill>
            </a:rPr>
            <a:pPr algn="ctr"/>
            <a:t>100.000%</a:t>
          </a:fld>
          <a:endParaRPr lang="en-US" sz="400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0.3511</cdr:y>
    </cdr:from>
    <cdr:to>
      <cdr:x>0.74194</cdr:x>
      <cdr:y>0.7116</cdr:y>
    </cdr:to>
    <cdr:sp macro="" textlink="'E&amp;M SHOP INCOME (4-19)'!$BZ$35">
      <cdr:nvSpPr>
        <cdr:cNvPr id="6" name="TextBox 5"/>
        <cdr:cNvSpPr txBox="1"/>
      </cdr:nvSpPr>
      <cdr:spPr>
        <a:xfrm xmlns:a="http://schemas.openxmlformats.org/drawingml/2006/main">
          <a:off x="1107281" y="1333502"/>
          <a:ext cx="2178844" cy="1369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49627DA3-4B77-4689-B3BD-3C279927FCD5}" type="TxLink">
            <a:rPr lang="en-US" sz="4000" b="1">
              <a:solidFill>
                <a:schemeClr val="tx2">
                  <a:lumMod val="60000"/>
                  <a:lumOff val="40000"/>
                </a:schemeClr>
              </a:solidFill>
            </a:rPr>
            <a:pPr algn="ctr"/>
            <a:t> </a:t>
          </a:fld>
          <a:endParaRPr lang="en-US" sz="4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0.25</cdr:x>
      <cdr:y>0.32288</cdr:y>
    </cdr:from>
    <cdr:to>
      <cdr:x>0.71299</cdr:x>
      <cdr:y>0.71473</cdr:y>
    </cdr:to>
    <cdr:sp macro="" textlink="'E&amp;M SHOP INCOME (4-19)'!$BZ$34">
      <cdr:nvSpPr>
        <cdr:cNvPr id="7" name="TextBox 6"/>
        <cdr:cNvSpPr txBox="1"/>
      </cdr:nvSpPr>
      <cdr:spPr>
        <a:xfrm xmlns:a="http://schemas.openxmlformats.org/drawingml/2006/main">
          <a:off x="1107281" y="1226345"/>
          <a:ext cx="2050640" cy="1488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EC9224C6-C21C-40E3-9DE2-41C6BE581BAA}" type="TxLink">
            <a:rPr lang="en-US" sz="4400" b="1">
              <a:solidFill>
                <a:schemeClr val="accent6">
                  <a:lumMod val="75000"/>
                </a:schemeClr>
              </a:solidFill>
            </a:rPr>
            <a:pPr algn="ctr"/>
            <a:t> </a:t>
          </a:fld>
          <a:endParaRPr lang="en-US" sz="4400" b="1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83344</xdr:colOff>
      <xdr:row>0</xdr:row>
      <xdr:rowOff>71437</xdr:rowOff>
    </xdr:from>
    <xdr:to>
      <xdr:col>70</xdr:col>
      <xdr:colOff>0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466344" y="71437"/>
          <a:ext cx="573881" cy="11906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76</xdr:col>
      <xdr:colOff>154781</xdr:colOff>
      <xdr:row>5</xdr:row>
      <xdr:rowOff>35718</xdr:rowOff>
    </xdr:from>
    <xdr:to>
      <xdr:col>76</xdr:col>
      <xdr:colOff>976312</xdr:colOff>
      <xdr:row>5</xdr:row>
      <xdr:rowOff>154781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20128706" y="1131093"/>
          <a:ext cx="650081" cy="11906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79</xdr:col>
      <xdr:colOff>119063</xdr:colOff>
      <xdr:row>20</xdr:row>
      <xdr:rowOff>35717</xdr:rowOff>
    </xdr:from>
    <xdr:to>
      <xdr:col>84</xdr:col>
      <xdr:colOff>690562</xdr:colOff>
      <xdr:row>41</xdr:row>
      <xdr:rowOff>166687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WABI%20INCOME%20(11-19)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ABI INCOME (11-19)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AN55"/>
  <sheetViews>
    <sheetView zoomScale="80" zoomScaleNormal="80" workbookViewId="0">
      <pane xSplit="6" ySplit="9" topLeftCell="G10" activePane="bottomRight" state="frozen"/>
      <selection activeCell="C40" sqref="C40"/>
      <selection pane="topRight" activeCell="C40" sqref="C40"/>
      <selection pane="bottomLeft" activeCell="C40" sqref="C40"/>
      <selection pane="bottomRight" activeCell="C40" sqref="C40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20" width="9.125" style="2"/>
    <col min="21" max="25" width="10" style="2" bestFit="1" customWidth="1"/>
    <col min="26" max="37" width="9.125" style="2"/>
    <col min="38" max="38" width="1.75" style="2" customWidth="1"/>
    <col min="39" max="39" width="10" style="2" bestFit="1" customWidth="1"/>
    <col min="40" max="40" width="7.75" style="2" bestFit="1" customWidth="1"/>
    <col min="41" max="16384" width="9.125" style="2"/>
  </cols>
  <sheetData>
    <row r="2" spans="2:40" s="49" customFormat="1" ht="15" x14ac:dyDescent="0.2">
      <c r="C2" s="43" t="s">
        <v>42</v>
      </c>
      <c r="D2" s="40">
        <v>3239.45</v>
      </c>
      <c r="E2" s="40">
        <v>0.71</v>
      </c>
      <c r="F2" s="41">
        <f>D2*E2</f>
        <v>2300.0094999999997</v>
      </c>
      <c r="G2" s="40">
        <f>$F$2/31</f>
        <v>74.193854838709669</v>
      </c>
      <c r="H2" s="40">
        <f t="shared" ref="H2:AK2" si="0">$F$2/31</f>
        <v>74.193854838709669</v>
      </c>
      <c r="I2" s="40">
        <f t="shared" si="0"/>
        <v>74.193854838709669</v>
      </c>
      <c r="J2" s="40">
        <f t="shared" si="0"/>
        <v>74.193854838709669</v>
      </c>
      <c r="K2" s="40">
        <f t="shared" si="0"/>
        <v>74.193854838709669</v>
      </c>
      <c r="L2" s="40">
        <f t="shared" si="0"/>
        <v>74.193854838709669</v>
      </c>
      <c r="M2" s="40">
        <f t="shared" si="0"/>
        <v>74.193854838709669</v>
      </c>
      <c r="N2" s="40">
        <f t="shared" si="0"/>
        <v>74.193854838709669</v>
      </c>
      <c r="O2" s="40">
        <f t="shared" si="0"/>
        <v>74.193854838709669</v>
      </c>
      <c r="P2" s="40">
        <f t="shared" si="0"/>
        <v>74.193854838709669</v>
      </c>
      <c r="Q2" s="40">
        <f t="shared" si="0"/>
        <v>74.193854838709669</v>
      </c>
      <c r="R2" s="40">
        <f t="shared" si="0"/>
        <v>74.193854838709669</v>
      </c>
      <c r="S2" s="40">
        <f t="shared" si="0"/>
        <v>74.193854838709669</v>
      </c>
      <c r="T2" s="40">
        <f t="shared" si="0"/>
        <v>74.193854838709669</v>
      </c>
      <c r="U2" s="40">
        <f t="shared" si="0"/>
        <v>74.193854838709669</v>
      </c>
      <c r="V2" s="40">
        <f t="shared" si="0"/>
        <v>74.193854838709669</v>
      </c>
      <c r="W2" s="40">
        <f t="shared" si="0"/>
        <v>74.193854838709669</v>
      </c>
      <c r="X2" s="40">
        <f t="shared" si="0"/>
        <v>74.193854838709669</v>
      </c>
      <c r="Y2" s="40">
        <f t="shared" si="0"/>
        <v>74.193854838709669</v>
      </c>
      <c r="Z2" s="40">
        <f t="shared" si="0"/>
        <v>74.193854838709669</v>
      </c>
      <c r="AA2" s="40">
        <f t="shared" si="0"/>
        <v>74.193854838709669</v>
      </c>
      <c r="AB2" s="40">
        <f t="shared" si="0"/>
        <v>74.193854838709669</v>
      </c>
      <c r="AC2" s="40">
        <f t="shared" si="0"/>
        <v>74.193854838709669</v>
      </c>
      <c r="AD2" s="40">
        <f t="shared" si="0"/>
        <v>74.193854838709669</v>
      </c>
      <c r="AE2" s="40">
        <f t="shared" si="0"/>
        <v>74.193854838709669</v>
      </c>
      <c r="AF2" s="40">
        <f t="shared" si="0"/>
        <v>74.193854838709669</v>
      </c>
      <c r="AG2" s="40">
        <f t="shared" si="0"/>
        <v>74.193854838709669</v>
      </c>
      <c r="AH2" s="40">
        <f t="shared" si="0"/>
        <v>74.193854838709669</v>
      </c>
      <c r="AI2" s="40">
        <f t="shared" si="0"/>
        <v>74.193854838709669</v>
      </c>
      <c r="AJ2" s="40">
        <f t="shared" si="0"/>
        <v>74.193854838709669</v>
      </c>
      <c r="AK2" s="40">
        <f t="shared" si="0"/>
        <v>74.193854838709669</v>
      </c>
      <c r="AL2" s="50"/>
      <c r="AM2" s="40">
        <f>SUM(G2:AK2)</f>
        <v>2300.0095000000006</v>
      </c>
      <c r="AN2" s="42"/>
    </row>
    <row r="3" spans="2:40" s="47" customFormat="1" ht="15" x14ac:dyDescent="0.2">
      <c r="C3" s="44" t="s">
        <v>40</v>
      </c>
      <c r="D3" s="45">
        <f>SUM(G3:AK3)</f>
        <v>27.917500000000075</v>
      </c>
      <c r="E3" s="45"/>
      <c r="F3" s="46"/>
      <c r="G3" s="45">
        <f>'SHOP INCOME (7)'!G28</f>
        <v>2.0637037037037089</v>
      </c>
      <c r="H3" s="45">
        <f>'SHOP INCOME (7)'!H28</f>
        <v>2.0499537037037072</v>
      </c>
      <c r="I3" s="45">
        <f>'SHOP INCOME (7)'!I28</f>
        <v>12.362453703703707</v>
      </c>
      <c r="J3" s="45">
        <f>'SHOP INCOME (7)'!J28</f>
        <v>12.321203703703702</v>
      </c>
      <c r="K3" s="45">
        <f>'SHOP INCOME (7)'!K28</f>
        <v>2.1599537037037067</v>
      </c>
      <c r="L3" s="45">
        <f>'SHOP INCOME (7)'!L28</f>
        <v>0</v>
      </c>
      <c r="M3" s="45">
        <f>'SHOP INCOME (7)'!M28</f>
        <v>24.366203703703711</v>
      </c>
      <c r="N3" s="45">
        <f>'SHOP INCOME (7)'!N28</f>
        <v>2.9024537037036993</v>
      </c>
      <c r="O3" s="45">
        <f>'SHOP INCOME (7)'!O28</f>
        <v>12.004953703703713</v>
      </c>
      <c r="P3" s="45">
        <f>'SHOP INCOME (7)'!P28</f>
        <v>-6.5437962962962999</v>
      </c>
      <c r="Q3" s="45">
        <f>'SHOP INCOME (7)'!Q28</f>
        <v>-1.6350462962962951</v>
      </c>
      <c r="R3" s="45">
        <f>'SHOP INCOME (7)'!R28</f>
        <v>18.701203703703712</v>
      </c>
      <c r="S3" s="45">
        <f>'SHOP INCOME (7)'!S28</f>
        <v>0</v>
      </c>
      <c r="T3" s="45">
        <f>'SHOP INCOME (7)'!T28</f>
        <v>-5.9387962962962959</v>
      </c>
      <c r="U3" s="45">
        <f>'SHOP INCOME (7)'!U28</f>
        <v>-10.421296296296294</v>
      </c>
      <c r="V3" s="45">
        <f>'SHOP INCOME (7)'!V28</f>
        <v>-3.2162962962962993</v>
      </c>
      <c r="W3" s="45">
        <f>'SHOP INCOME (7)'!W28</f>
        <v>-7.6437962962962978</v>
      </c>
      <c r="X3" s="45">
        <f>'SHOP INCOME (7)'!X28</f>
        <v>-12.992546296296293</v>
      </c>
      <c r="Y3" s="45">
        <f>'SHOP INCOME (7)'!Y28</f>
        <v>5.4462037037037021</v>
      </c>
      <c r="Z3" s="45">
        <f>'SHOP INCOME (7)'!Z28</f>
        <v>0</v>
      </c>
      <c r="AA3" s="45">
        <f>'SHOP INCOME (7)'!AA28</f>
        <v>5.3912037037037095</v>
      </c>
      <c r="AB3" s="45">
        <f>'SHOP INCOME (7)'!AB28</f>
        <v>-14.546296296296294</v>
      </c>
      <c r="AC3" s="45">
        <f>'SHOP INCOME (7)'!AC28</f>
        <v>-1.3737962962962911</v>
      </c>
      <c r="AD3" s="45">
        <f>'SHOP INCOME (7)'!AD28</f>
        <v>-6.2962962962962976</v>
      </c>
      <c r="AE3" s="45">
        <f>'SHOP INCOME (7)'!AE28</f>
        <v>2.5862037037037098</v>
      </c>
      <c r="AF3" s="45">
        <f>'SHOP INCOME (7)'!AF28</f>
        <v>17.683703703703706</v>
      </c>
      <c r="AG3" s="45">
        <f>'SHOP INCOME (7)'!AG28</f>
        <v>0</v>
      </c>
      <c r="AH3" s="45">
        <f>'SHOP INCOME (7)'!AH28</f>
        <v>-4.4537962962962965</v>
      </c>
      <c r="AI3" s="45">
        <f>'SHOP INCOME (7)'!AI28</f>
        <v>-14.532546296296296</v>
      </c>
      <c r="AJ3" s="45">
        <f>'SHOP INCOME (7)'!AJ28</f>
        <v>-0.59004629629629335</v>
      </c>
      <c r="AK3" s="45">
        <f>'SHOP INCOME (7)'!AK28</f>
        <v>-1.937546296296297</v>
      </c>
      <c r="AL3" s="48"/>
      <c r="AM3" s="45">
        <f>SUM(G3:AK3)</f>
        <v>27.917500000000075</v>
      </c>
      <c r="AN3" s="46"/>
    </row>
    <row r="4" spans="2:40" ht="15" x14ac:dyDescent="0.2">
      <c r="C4" s="1" t="s">
        <v>29</v>
      </c>
      <c r="D4" s="6"/>
      <c r="E4" s="6"/>
      <c r="F4" s="8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7"/>
      <c r="AM4" s="5"/>
      <c r="AN4" s="27"/>
    </row>
    <row r="5" spans="2:40" ht="4.5" customHeight="1" x14ac:dyDescent="0.2"/>
    <row r="6" spans="2:40" ht="15" x14ac:dyDescent="0.2">
      <c r="C6" s="3" t="s">
        <v>15</v>
      </c>
      <c r="D6" s="6"/>
      <c r="E6" s="6"/>
      <c r="F6" s="8"/>
      <c r="G6" s="5">
        <f>SUM(G2:G4)</f>
        <v>76.257558542413378</v>
      </c>
      <c r="H6" s="5">
        <f t="shared" ref="H6:AN6" si="1">SUM(H2:H4)</f>
        <v>76.243808542413376</v>
      </c>
      <c r="I6" s="5">
        <f t="shared" si="1"/>
        <v>86.556308542413376</v>
      </c>
      <c r="J6" s="5">
        <f t="shared" si="1"/>
        <v>86.515058542413371</v>
      </c>
      <c r="K6" s="5">
        <f t="shared" si="1"/>
        <v>76.353808542413375</v>
      </c>
      <c r="L6" s="5">
        <f t="shared" si="1"/>
        <v>74.193854838709669</v>
      </c>
      <c r="M6" s="5">
        <f t="shared" si="1"/>
        <v>98.560058542413373</v>
      </c>
      <c r="N6" s="5">
        <f t="shared" si="1"/>
        <v>77.096308542413368</v>
      </c>
      <c r="O6" s="5">
        <f t="shared" si="1"/>
        <v>86.198808542413389</v>
      </c>
      <c r="P6" s="5">
        <f t="shared" si="1"/>
        <v>67.650058542413376</v>
      </c>
      <c r="Q6" s="5">
        <f t="shared" si="1"/>
        <v>72.558808542413374</v>
      </c>
      <c r="R6" s="5">
        <f t="shared" si="1"/>
        <v>92.895058542413381</v>
      </c>
      <c r="S6" s="5">
        <f t="shared" si="1"/>
        <v>74.193854838709669</v>
      </c>
      <c r="T6" s="5">
        <f t="shared" si="1"/>
        <v>68.255058542413366</v>
      </c>
      <c r="U6" s="5">
        <f t="shared" si="1"/>
        <v>63.772558542413378</v>
      </c>
      <c r="V6" s="5">
        <f t="shared" si="1"/>
        <v>70.977558542413362</v>
      </c>
      <c r="W6" s="5">
        <f t="shared" si="1"/>
        <v>66.550058542413367</v>
      </c>
      <c r="X6" s="5">
        <f t="shared" si="1"/>
        <v>61.201308542413372</v>
      </c>
      <c r="Y6" s="5">
        <f t="shared" si="1"/>
        <v>79.640058542413371</v>
      </c>
      <c r="Z6" s="5">
        <f t="shared" si="1"/>
        <v>74.193854838709669</v>
      </c>
      <c r="AA6" s="5">
        <f t="shared" si="1"/>
        <v>79.585058542413378</v>
      </c>
      <c r="AB6" s="5">
        <f t="shared" si="1"/>
        <v>59.647558542413378</v>
      </c>
      <c r="AC6" s="5">
        <f t="shared" si="1"/>
        <v>72.820058542413378</v>
      </c>
      <c r="AD6" s="5">
        <f t="shared" si="1"/>
        <v>67.897558542413378</v>
      </c>
      <c r="AE6" s="5">
        <f t="shared" si="1"/>
        <v>76.780058542413371</v>
      </c>
      <c r="AF6" s="5">
        <f t="shared" si="1"/>
        <v>91.877558542413368</v>
      </c>
      <c r="AG6" s="5">
        <f t="shared" si="1"/>
        <v>74.193854838709669</v>
      </c>
      <c r="AH6" s="5">
        <f t="shared" si="1"/>
        <v>69.740058542413379</v>
      </c>
      <c r="AI6" s="5">
        <f t="shared" si="1"/>
        <v>59.661308542413373</v>
      </c>
      <c r="AJ6" s="5">
        <f t="shared" si="1"/>
        <v>73.603808542413375</v>
      </c>
      <c r="AK6" s="5">
        <f t="shared" si="1"/>
        <v>72.256308542413365</v>
      </c>
      <c r="AM6" s="5">
        <f t="shared" si="1"/>
        <v>2327.9270000000006</v>
      </c>
      <c r="AN6" s="8">
        <f t="shared" si="1"/>
        <v>0</v>
      </c>
    </row>
    <row r="7" spans="2:40" ht="4.5" customHeight="1" x14ac:dyDescent="0.2"/>
    <row r="8" spans="2:40" ht="15" customHeight="1" x14ac:dyDescent="0.2">
      <c r="G8" s="5" t="s">
        <v>47</v>
      </c>
      <c r="H8" s="5" t="s">
        <v>48</v>
      </c>
      <c r="I8" s="5" t="s">
        <v>49</v>
      </c>
      <c r="J8" s="5" t="s">
        <v>50</v>
      </c>
      <c r="K8" s="5" t="s">
        <v>51</v>
      </c>
      <c r="L8" s="54" t="s">
        <v>45</v>
      </c>
      <c r="M8" s="5" t="s">
        <v>46</v>
      </c>
      <c r="N8" s="5" t="s">
        <v>47</v>
      </c>
      <c r="O8" s="5" t="s">
        <v>48</v>
      </c>
      <c r="P8" s="5" t="s">
        <v>49</v>
      </c>
      <c r="Q8" s="5" t="s">
        <v>50</v>
      </c>
      <c r="R8" s="5" t="s">
        <v>51</v>
      </c>
      <c r="S8" s="54" t="s">
        <v>45</v>
      </c>
      <c r="T8" s="5" t="s">
        <v>46</v>
      </c>
      <c r="U8" s="5" t="s">
        <v>47</v>
      </c>
      <c r="V8" s="5" t="s">
        <v>48</v>
      </c>
      <c r="W8" s="5" t="s">
        <v>49</v>
      </c>
      <c r="X8" s="5" t="s">
        <v>50</v>
      </c>
      <c r="Y8" s="5" t="s">
        <v>51</v>
      </c>
      <c r="Z8" s="54" t="s">
        <v>45</v>
      </c>
      <c r="AA8" s="5" t="s">
        <v>46</v>
      </c>
      <c r="AB8" s="5" t="s">
        <v>47</v>
      </c>
      <c r="AC8" s="5" t="s">
        <v>48</v>
      </c>
      <c r="AD8" s="5" t="s">
        <v>49</v>
      </c>
      <c r="AE8" s="5" t="s">
        <v>50</v>
      </c>
      <c r="AF8" s="5" t="s">
        <v>51</v>
      </c>
      <c r="AG8" s="54" t="s">
        <v>45</v>
      </c>
      <c r="AH8" s="5" t="s">
        <v>46</v>
      </c>
      <c r="AI8" s="5" t="s">
        <v>47</v>
      </c>
      <c r="AJ8" s="5" t="s">
        <v>48</v>
      </c>
      <c r="AK8" s="5" t="s">
        <v>49</v>
      </c>
    </row>
    <row r="9" spans="2:40" x14ac:dyDescent="0.2">
      <c r="B9" s="1" t="s">
        <v>0</v>
      </c>
      <c r="C9" s="1" t="s">
        <v>1</v>
      </c>
      <c r="D9" s="1" t="s">
        <v>24</v>
      </c>
      <c r="E9" s="1" t="s">
        <v>25</v>
      </c>
      <c r="F9" s="1" t="s">
        <v>2</v>
      </c>
      <c r="G9" s="1">
        <v>1</v>
      </c>
      <c r="H9" s="1">
        <v>2</v>
      </c>
      <c r="I9" s="1">
        <v>3</v>
      </c>
      <c r="J9" s="1">
        <v>4</v>
      </c>
      <c r="K9" s="1">
        <v>5</v>
      </c>
      <c r="L9" s="1">
        <v>6</v>
      </c>
      <c r="M9" s="1">
        <v>7</v>
      </c>
      <c r="N9" s="1">
        <v>8</v>
      </c>
      <c r="O9" s="1">
        <v>9</v>
      </c>
      <c r="P9" s="1">
        <v>10</v>
      </c>
      <c r="Q9" s="1">
        <v>11</v>
      </c>
      <c r="R9" s="1">
        <v>12</v>
      </c>
      <c r="S9" s="1">
        <v>13</v>
      </c>
      <c r="T9" s="1">
        <v>14</v>
      </c>
      <c r="U9" s="1">
        <v>15</v>
      </c>
      <c r="V9" s="1">
        <v>16</v>
      </c>
      <c r="W9" s="1">
        <v>17</v>
      </c>
      <c r="X9" s="1">
        <v>18</v>
      </c>
      <c r="Y9" s="1">
        <v>19</v>
      </c>
      <c r="Z9" s="1">
        <v>20</v>
      </c>
      <c r="AA9" s="1">
        <v>21</v>
      </c>
      <c r="AB9" s="1">
        <v>22</v>
      </c>
      <c r="AC9" s="1">
        <v>23</v>
      </c>
      <c r="AD9" s="1">
        <v>24</v>
      </c>
      <c r="AE9" s="1">
        <v>25</v>
      </c>
      <c r="AF9" s="1">
        <v>26</v>
      </c>
      <c r="AG9" s="1">
        <v>27</v>
      </c>
      <c r="AH9" s="1">
        <v>28</v>
      </c>
      <c r="AI9" s="1">
        <v>29</v>
      </c>
      <c r="AJ9" s="1">
        <v>30</v>
      </c>
      <c r="AK9" s="1">
        <v>31</v>
      </c>
      <c r="AM9" s="1" t="s">
        <v>7</v>
      </c>
      <c r="AN9" s="1" t="s">
        <v>2</v>
      </c>
    </row>
    <row r="10" spans="2:40" ht="4.5" customHeight="1" x14ac:dyDescent="0.2"/>
    <row r="11" spans="2:40" ht="15" customHeight="1" x14ac:dyDescent="0.2">
      <c r="C11" s="4" t="s">
        <v>19</v>
      </c>
    </row>
    <row r="12" spans="2:40" ht="15" x14ac:dyDescent="0.2">
      <c r="B12" s="1">
        <v>1</v>
      </c>
      <c r="C12" s="1" t="s">
        <v>3</v>
      </c>
      <c r="D12" s="6">
        <v>454</v>
      </c>
      <c r="E12" s="6">
        <f t="shared" ref="E12:E20" si="2">D12/31</f>
        <v>14.64516129032258</v>
      </c>
      <c r="F12" s="10">
        <f t="shared" ref="F12:F20" si="3">D12/$D$21</f>
        <v>0.28734177215189871</v>
      </c>
      <c r="G12" s="6">
        <f t="shared" ref="G12:AK12" si="4">$E$12</f>
        <v>14.64516129032258</v>
      </c>
      <c r="H12" s="6">
        <f t="shared" si="4"/>
        <v>14.64516129032258</v>
      </c>
      <c r="I12" s="6">
        <f t="shared" si="4"/>
        <v>14.64516129032258</v>
      </c>
      <c r="J12" s="6">
        <f t="shared" si="4"/>
        <v>14.64516129032258</v>
      </c>
      <c r="K12" s="6">
        <f t="shared" si="4"/>
        <v>14.64516129032258</v>
      </c>
      <c r="L12" s="6">
        <f t="shared" si="4"/>
        <v>14.64516129032258</v>
      </c>
      <c r="M12" s="6">
        <f t="shared" si="4"/>
        <v>14.64516129032258</v>
      </c>
      <c r="N12" s="6">
        <f t="shared" si="4"/>
        <v>14.64516129032258</v>
      </c>
      <c r="O12" s="6">
        <f t="shared" si="4"/>
        <v>14.64516129032258</v>
      </c>
      <c r="P12" s="6">
        <f t="shared" si="4"/>
        <v>14.64516129032258</v>
      </c>
      <c r="Q12" s="6">
        <f t="shared" si="4"/>
        <v>14.64516129032258</v>
      </c>
      <c r="R12" s="6">
        <f t="shared" si="4"/>
        <v>14.64516129032258</v>
      </c>
      <c r="S12" s="6">
        <f t="shared" si="4"/>
        <v>14.64516129032258</v>
      </c>
      <c r="T12" s="6">
        <f t="shared" si="4"/>
        <v>14.64516129032258</v>
      </c>
      <c r="U12" s="6">
        <f t="shared" si="4"/>
        <v>14.64516129032258</v>
      </c>
      <c r="V12" s="6">
        <f t="shared" si="4"/>
        <v>14.64516129032258</v>
      </c>
      <c r="W12" s="6">
        <f t="shared" si="4"/>
        <v>14.64516129032258</v>
      </c>
      <c r="X12" s="6">
        <f t="shared" si="4"/>
        <v>14.64516129032258</v>
      </c>
      <c r="Y12" s="6">
        <f t="shared" si="4"/>
        <v>14.64516129032258</v>
      </c>
      <c r="Z12" s="6">
        <f t="shared" si="4"/>
        <v>14.64516129032258</v>
      </c>
      <c r="AA12" s="6">
        <f t="shared" si="4"/>
        <v>14.64516129032258</v>
      </c>
      <c r="AB12" s="6">
        <f t="shared" si="4"/>
        <v>14.64516129032258</v>
      </c>
      <c r="AC12" s="6">
        <f t="shared" si="4"/>
        <v>14.64516129032258</v>
      </c>
      <c r="AD12" s="6">
        <f t="shared" si="4"/>
        <v>14.64516129032258</v>
      </c>
      <c r="AE12" s="6">
        <f t="shared" si="4"/>
        <v>14.64516129032258</v>
      </c>
      <c r="AF12" s="6">
        <f t="shared" si="4"/>
        <v>14.64516129032258</v>
      </c>
      <c r="AG12" s="6">
        <f t="shared" si="4"/>
        <v>14.64516129032258</v>
      </c>
      <c r="AH12" s="6">
        <f t="shared" si="4"/>
        <v>14.64516129032258</v>
      </c>
      <c r="AI12" s="6">
        <f t="shared" si="4"/>
        <v>14.64516129032258</v>
      </c>
      <c r="AJ12" s="6">
        <f t="shared" si="4"/>
        <v>14.64516129032258</v>
      </c>
      <c r="AK12" s="6">
        <f t="shared" si="4"/>
        <v>14.64516129032258</v>
      </c>
      <c r="AM12" s="5">
        <f t="shared" ref="AM12:AM20" si="5">SUM(G12:AK12)</f>
        <v>453.99999999999983</v>
      </c>
      <c r="AN12" s="70">
        <f t="shared" ref="AN12:AN20" si="6">AM12/$AM$21</f>
        <v>0.28734177215189866</v>
      </c>
    </row>
    <row r="13" spans="2:40" ht="15" x14ac:dyDescent="0.2">
      <c r="B13" s="1">
        <v>2</v>
      </c>
      <c r="C13" s="1" t="s">
        <v>12</v>
      </c>
      <c r="D13" s="6">
        <v>400</v>
      </c>
      <c r="E13" s="6">
        <f t="shared" si="2"/>
        <v>12.903225806451612</v>
      </c>
      <c r="F13" s="10">
        <f t="shared" si="3"/>
        <v>0.25316455696202533</v>
      </c>
      <c r="G13" s="6">
        <f t="shared" ref="G13:AK13" si="7">$E$13</f>
        <v>12.903225806451612</v>
      </c>
      <c r="H13" s="6">
        <f t="shared" si="7"/>
        <v>12.903225806451612</v>
      </c>
      <c r="I13" s="6">
        <f t="shared" si="7"/>
        <v>12.903225806451612</v>
      </c>
      <c r="J13" s="6">
        <f t="shared" si="7"/>
        <v>12.903225806451612</v>
      </c>
      <c r="K13" s="6">
        <f t="shared" si="7"/>
        <v>12.903225806451612</v>
      </c>
      <c r="L13" s="6">
        <f t="shared" si="7"/>
        <v>12.903225806451612</v>
      </c>
      <c r="M13" s="6">
        <f t="shared" si="7"/>
        <v>12.903225806451612</v>
      </c>
      <c r="N13" s="6">
        <f t="shared" si="7"/>
        <v>12.903225806451612</v>
      </c>
      <c r="O13" s="6">
        <f t="shared" si="7"/>
        <v>12.903225806451612</v>
      </c>
      <c r="P13" s="6">
        <f t="shared" si="7"/>
        <v>12.903225806451612</v>
      </c>
      <c r="Q13" s="6">
        <f t="shared" si="7"/>
        <v>12.903225806451612</v>
      </c>
      <c r="R13" s="6">
        <f t="shared" si="7"/>
        <v>12.903225806451612</v>
      </c>
      <c r="S13" s="6">
        <f t="shared" si="7"/>
        <v>12.903225806451612</v>
      </c>
      <c r="T13" s="6">
        <f t="shared" si="7"/>
        <v>12.903225806451612</v>
      </c>
      <c r="U13" s="6">
        <f t="shared" si="7"/>
        <v>12.903225806451612</v>
      </c>
      <c r="V13" s="6">
        <f t="shared" si="7"/>
        <v>12.903225806451612</v>
      </c>
      <c r="W13" s="6">
        <f t="shared" si="7"/>
        <v>12.903225806451612</v>
      </c>
      <c r="X13" s="6">
        <f t="shared" si="7"/>
        <v>12.903225806451612</v>
      </c>
      <c r="Y13" s="6">
        <f t="shared" si="7"/>
        <v>12.903225806451612</v>
      </c>
      <c r="Z13" s="6">
        <f t="shared" si="7"/>
        <v>12.903225806451612</v>
      </c>
      <c r="AA13" s="6">
        <f t="shared" si="7"/>
        <v>12.903225806451612</v>
      </c>
      <c r="AB13" s="6">
        <f t="shared" si="7"/>
        <v>12.903225806451612</v>
      </c>
      <c r="AC13" s="6">
        <f t="shared" si="7"/>
        <v>12.903225806451612</v>
      </c>
      <c r="AD13" s="6">
        <f t="shared" si="7"/>
        <v>12.903225806451612</v>
      </c>
      <c r="AE13" s="6">
        <f t="shared" si="7"/>
        <v>12.903225806451612</v>
      </c>
      <c r="AF13" s="6">
        <f t="shared" si="7"/>
        <v>12.903225806451612</v>
      </c>
      <c r="AG13" s="6">
        <f t="shared" si="7"/>
        <v>12.903225806451612</v>
      </c>
      <c r="AH13" s="6">
        <f t="shared" si="7"/>
        <v>12.903225806451612</v>
      </c>
      <c r="AI13" s="6">
        <f t="shared" si="7"/>
        <v>12.903225806451612</v>
      </c>
      <c r="AJ13" s="6">
        <f t="shared" si="7"/>
        <v>12.903225806451612</v>
      </c>
      <c r="AK13" s="6">
        <f t="shared" si="7"/>
        <v>12.903225806451612</v>
      </c>
      <c r="AM13" s="5">
        <f t="shared" si="5"/>
        <v>399.99999999999972</v>
      </c>
      <c r="AN13" s="70">
        <f t="shared" si="6"/>
        <v>0.25316455696202517</v>
      </c>
    </row>
    <row r="14" spans="2:40" ht="15" x14ac:dyDescent="0.2">
      <c r="B14" s="1">
        <v>3</v>
      </c>
      <c r="C14" s="1" t="s">
        <v>11</v>
      </c>
      <c r="D14" s="6">
        <v>209</v>
      </c>
      <c r="E14" s="6">
        <f t="shared" si="2"/>
        <v>6.741935483870968</v>
      </c>
      <c r="F14" s="10">
        <f t="shared" si="3"/>
        <v>0.13227848101265824</v>
      </c>
      <c r="G14" s="6">
        <f t="shared" ref="G14:AK14" si="8">$E$14</f>
        <v>6.741935483870968</v>
      </c>
      <c r="H14" s="6">
        <f t="shared" si="8"/>
        <v>6.741935483870968</v>
      </c>
      <c r="I14" s="6">
        <f t="shared" si="8"/>
        <v>6.741935483870968</v>
      </c>
      <c r="J14" s="6">
        <f t="shared" si="8"/>
        <v>6.741935483870968</v>
      </c>
      <c r="K14" s="6">
        <f t="shared" si="8"/>
        <v>6.741935483870968</v>
      </c>
      <c r="L14" s="6">
        <f t="shared" si="8"/>
        <v>6.741935483870968</v>
      </c>
      <c r="M14" s="6">
        <f t="shared" si="8"/>
        <v>6.741935483870968</v>
      </c>
      <c r="N14" s="6">
        <f t="shared" si="8"/>
        <v>6.741935483870968</v>
      </c>
      <c r="O14" s="6">
        <f t="shared" si="8"/>
        <v>6.741935483870968</v>
      </c>
      <c r="P14" s="6">
        <f t="shared" si="8"/>
        <v>6.741935483870968</v>
      </c>
      <c r="Q14" s="6">
        <f t="shared" si="8"/>
        <v>6.741935483870968</v>
      </c>
      <c r="R14" s="6">
        <f t="shared" si="8"/>
        <v>6.741935483870968</v>
      </c>
      <c r="S14" s="6">
        <f t="shared" si="8"/>
        <v>6.741935483870968</v>
      </c>
      <c r="T14" s="6">
        <f t="shared" si="8"/>
        <v>6.741935483870968</v>
      </c>
      <c r="U14" s="6">
        <f t="shared" si="8"/>
        <v>6.741935483870968</v>
      </c>
      <c r="V14" s="6">
        <f t="shared" si="8"/>
        <v>6.741935483870968</v>
      </c>
      <c r="W14" s="6">
        <f t="shared" si="8"/>
        <v>6.741935483870968</v>
      </c>
      <c r="X14" s="6">
        <f t="shared" si="8"/>
        <v>6.741935483870968</v>
      </c>
      <c r="Y14" s="6">
        <f t="shared" si="8"/>
        <v>6.741935483870968</v>
      </c>
      <c r="Z14" s="6">
        <f t="shared" si="8"/>
        <v>6.741935483870968</v>
      </c>
      <c r="AA14" s="6">
        <f t="shared" si="8"/>
        <v>6.741935483870968</v>
      </c>
      <c r="AB14" s="6">
        <f t="shared" si="8"/>
        <v>6.741935483870968</v>
      </c>
      <c r="AC14" s="6">
        <f t="shared" si="8"/>
        <v>6.741935483870968</v>
      </c>
      <c r="AD14" s="6">
        <f t="shared" si="8"/>
        <v>6.741935483870968</v>
      </c>
      <c r="AE14" s="6">
        <f t="shared" si="8"/>
        <v>6.741935483870968</v>
      </c>
      <c r="AF14" s="6">
        <f t="shared" si="8"/>
        <v>6.741935483870968</v>
      </c>
      <c r="AG14" s="6">
        <f t="shared" si="8"/>
        <v>6.741935483870968</v>
      </c>
      <c r="AH14" s="6">
        <f t="shared" si="8"/>
        <v>6.741935483870968</v>
      </c>
      <c r="AI14" s="6">
        <f t="shared" si="8"/>
        <v>6.741935483870968</v>
      </c>
      <c r="AJ14" s="6">
        <f t="shared" si="8"/>
        <v>6.741935483870968</v>
      </c>
      <c r="AK14" s="6">
        <f t="shared" si="8"/>
        <v>6.741935483870968</v>
      </c>
      <c r="AM14" s="5">
        <f t="shared" si="5"/>
        <v>209.00000000000014</v>
      </c>
      <c r="AN14" s="70">
        <f t="shared" si="6"/>
        <v>0.13227848101265835</v>
      </c>
    </row>
    <row r="15" spans="2:40" ht="15" x14ac:dyDescent="0.2">
      <c r="B15" s="1">
        <v>4</v>
      </c>
      <c r="C15" s="1" t="s">
        <v>4</v>
      </c>
      <c r="D15" s="6">
        <v>150</v>
      </c>
      <c r="E15" s="6">
        <f t="shared" si="2"/>
        <v>4.838709677419355</v>
      </c>
      <c r="F15" s="10">
        <f t="shared" si="3"/>
        <v>9.49367088607595E-2</v>
      </c>
      <c r="G15" s="6">
        <f t="shared" ref="G15:AK15" si="9">$E$15</f>
        <v>4.838709677419355</v>
      </c>
      <c r="H15" s="6">
        <f t="shared" si="9"/>
        <v>4.838709677419355</v>
      </c>
      <c r="I15" s="6">
        <f t="shared" si="9"/>
        <v>4.838709677419355</v>
      </c>
      <c r="J15" s="6">
        <f t="shared" si="9"/>
        <v>4.838709677419355</v>
      </c>
      <c r="K15" s="6">
        <f t="shared" si="9"/>
        <v>4.838709677419355</v>
      </c>
      <c r="L15" s="6">
        <f t="shared" si="9"/>
        <v>4.838709677419355</v>
      </c>
      <c r="M15" s="6">
        <f t="shared" si="9"/>
        <v>4.838709677419355</v>
      </c>
      <c r="N15" s="6">
        <f t="shared" si="9"/>
        <v>4.838709677419355</v>
      </c>
      <c r="O15" s="6">
        <f t="shared" si="9"/>
        <v>4.838709677419355</v>
      </c>
      <c r="P15" s="6">
        <f t="shared" si="9"/>
        <v>4.838709677419355</v>
      </c>
      <c r="Q15" s="6">
        <f t="shared" si="9"/>
        <v>4.838709677419355</v>
      </c>
      <c r="R15" s="6">
        <f t="shared" si="9"/>
        <v>4.838709677419355</v>
      </c>
      <c r="S15" s="6">
        <f t="shared" si="9"/>
        <v>4.838709677419355</v>
      </c>
      <c r="T15" s="6">
        <f t="shared" si="9"/>
        <v>4.838709677419355</v>
      </c>
      <c r="U15" s="6">
        <f t="shared" si="9"/>
        <v>4.838709677419355</v>
      </c>
      <c r="V15" s="6">
        <f t="shared" si="9"/>
        <v>4.838709677419355</v>
      </c>
      <c r="W15" s="6">
        <f t="shared" si="9"/>
        <v>4.838709677419355</v>
      </c>
      <c r="X15" s="6">
        <f t="shared" si="9"/>
        <v>4.838709677419355</v>
      </c>
      <c r="Y15" s="6">
        <f t="shared" si="9"/>
        <v>4.838709677419355</v>
      </c>
      <c r="Z15" s="6">
        <f t="shared" si="9"/>
        <v>4.838709677419355</v>
      </c>
      <c r="AA15" s="6">
        <f t="shared" si="9"/>
        <v>4.838709677419355</v>
      </c>
      <c r="AB15" s="6">
        <f t="shared" si="9"/>
        <v>4.838709677419355</v>
      </c>
      <c r="AC15" s="6">
        <f t="shared" si="9"/>
        <v>4.838709677419355</v>
      </c>
      <c r="AD15" s="6">
        <f t="shared" si="9"/>
        <v>4.838709677419355</v>
      </c>
      <c r="AE15" s="6">
        <f t="shared" si="9"/>
        <v>4.838709677419355</v>
      </c>
      <c r="AF15" s="6">
        <f t="shared" si="9"/>
        <v>4.838709677419355</v>
      </c>
      <c r="AG15" s="6">
        <f t="shared" si="9"/>
        <v>4.838709677419355</v>
      </c>
      <c r="AH15" s="6">
        <f t="shared" si="9"/>
        <v>4.838709677419355</v>
      </c>
      <c r="AI15" s="6">
        <f t="shared" si="9"/>
        <v>4.838709677419355</v>
      </c>
      <c r="AJ15" s="6">
        <f t="shared" si="9"/>
        <v>4.838709677419355</v>
      </c>
      <c r="AK15" s="6">
        <f t="shared" si="9"/>
        <v>4.838709677419355</v>
      </c>
      <c r="AM15" s="5">
        <f t="shared" si="5"/>
        <v>150.00000000000006</v>
      </c>
      <c r="AN15" s="70">
        <f t="shared" si="6"/>
        <v>9.4936708860759542E-2</v>
      </c>
    </row>
    <row r="16" spans="2:40" ht="15" x14ac:dyDescent="0.2">
      <c r="B16" s="1">
        <v>5</v>
      </c>
      <c r="C16" s="1" t="s">
        <v>44</v>
      </c>
      <c r="D16" s="6">
        <v>150</v>
      </c>
      <c r="E16" s="6">
        <f t="shared" si="2"/>
        <v>4.838709677419355</v>
      </c>
      <c r="F16" s="10">
        <f t="shared" si="3"/>
        <v>9.49367088607595E-2</v>
      </c>
      <c r="G16" s="6">
        <f t="shared" ref="G16:AK16" si="10">$E$16</f>
        <v>4.838709677419355</v>
      </c>
      <c r="H16" s="6">
        <f t="shared" si="10"/>
        <v>4.838709677419355</v>
      </c>
      <c r="I16" s="6">
        <f t="shared" si="10"/>
        <v>4.838709677419355</v>
      </c>
      <c r="J16" s="6">
        <f t="shared" si="10"/>
        <v>4.838709677419355</v>
      </c>
      <c r="K16" s="6">
        <f t="shared" si="10"/>
        <v>4.838709677419355</v>
      </c>
      <c r="L16" s="6">
        <f t="shared" si="10"/>
        <v>4.838709677419355</v>
      </c>
      <c r="M16" s="6">
        <f t="shared" si="10"/>
        <v>4.838709677419355</v>
      </c>
      <c r="N16" s="6">
        <f t="shared" si="10"/>
        <v>4.838709677419355</v>
      </c>
      <c r="O16" s="6">
        <f t="shared" si="10"/>
        <v>4.838709677419355</v>
      </c>
      <c r="P16" s="6">
        <f t="shared" si="10"/>
        <v>4.838709677419355</v>
      </c>
      <c r="Q16" s="6">
        <f t="shared" si="10"/>
        <v>4.838709677419355</v>
      </c>
      <c r="R16" s="6">
        <f t="shared" si="10"/>
        <v>4.838709677419355</v>
      </c>
      <c r="S16" s="6">
        <f t="shared" si="10"/>
        <v>4.838709677419355</v>
      </c>
      <c r="T16" s="6">
        <f t="shared" si="10"/>
        <v>4.838709677419355</v>
      </c>
      <c r="U16" s="6">
        <f t="shared" si="10"/>
        <v>4.838709677419355</v>
      </c>
      <c r="V16" s="6">
        <f t="shared" si="10"/>
        <v>4.838709677419355</v>
      </c>
      <c r="W16" s="6">
        <f t="shared" si="10"/>
        <v>4.838709677419355</v>
      </c>
      <c r="X16" s="6">
        <f t="shared" si="10"/>
        <v>4.838709677419355</v>
      </c>
      <c r="Y16" s="6">
        <f t="shared" si="10"/>
        <v>4.838709677419355</v>
      </c>
      <c r="Z16" s="6">
        <f t="shared" si="10"/>
        <v>4.838709677419355</v>
      </c>
      <c r="AA16" s="6">
        <f t="shared" si="10"/>
        <v>4.838709677419355</v>
      </c>
      <c r="AB16" s="6">
        <f t="shared" si="10"/>
        <v>4.838709677419355</v>
      </c>
      <c r="AC16" s="6">
        <f t="shared" si="10"/>
        <v>4.838709677419355</v>
      </c>
      <c r="AD16" s="6">
        <f t="shared" si="10"/>
        <v>4.838709677419355</v>
      </c>
      <c r="AE16" s="6">
        <f t="shared" si="10"/>
        <v>4.838709677419355</v>
      </c>
      <c r="AF16" s="6">
        <f t="shared" si="10"/>
        <v>4.838709677419355</v>
      </c>
      <c r="AG16" s="6">
        <f t="shared" si="10"/>
        <v>4.838709677419355</v>
      </c>
      <c r="AH16" s="6">
        <f t="shared" si="10"/>
        <v>4.838709677419355</v>
      </c>
      <c r="AI16" s="6">
        <f t="shared" si="10"/>
        <v>4.838709677419355</v>
      </c>
      <c r="AJ16" s="6">
        <f t="shared" si="10"/>
        <v>4.838709677419355</v>
      </c>
      <c r="AK16" s="6">
        <f t="shared" si="10"/>
        <v>4.838709677419355</v>
      </c>
      <c r="AM16" s="5">
        <f t="shared" si="5"/>
        <v>150.00000000000006</v>
      </c>
      <c r="AN16" s="70">
        <f t="shared" si="6"/>
        <v>9.4936708860759542E-2</v>
      </c>
    </row>
    <row r="17" spans="2:40" ht="15" x14ac:dyDescent="0.2">
      <c r="B17" s="1">
        <v>6</v>
      </c>
      <c r="C17" s="1" t="s">
        <v>13</v>
      </c>
      <c r="D17" s="6">
        <v>118</v>
      </c>
      <c r="E17" s="6">
        <f t="shared" si="2"/>
        <v>3.806451612903226</v>
      </c>
      <c r="F17" s="10">
        <f t="shared" si="3"/>
        <v>7.4683544303797464E-2</v>
      </c>
      <c r="G17" s="6">
        <f t="shared" ref="G17:AK17" si="11">$E$17</f>
        <v>3.806451612903226</v>
      </c>
      <c r="H17" s="6">
        <f t="shared" si="11"/>
        <v>3.806451612903226</v>
      </c>
      <c r="I17" s="6">
        <f t="shared" si="11"/>
        <v>3.806451612903226</v>
      </c>
      <c r="J17" s="6">
        <f t="shared" si="11"/>
        <v>3.806451612903226</v>
      </c>
      <c r="K17" s="6">
        <f t="shared" si="11"/>
        <v>3.806451612903226</v>
      </c>
      <c r="L17" s="6">
        <f t="shared" si="11"/>
        <v>3.806451612903226</v>
      </c>
      <c r="M17" s="6">
        <f t="shared" si="11"/>
        <v>3.806451612903226</v>
      </c>
      <c r="N17" s="6">
        <f t="shared" si="11"/>
        <v>3.806451612903226</v>
      </c>
      <c r="O17" s="6">
        <f t="shared" si="11"/>
        <v>3.806451612903226</v>
      </c>
      <c r="P17" s="6">
        <f t="shared" si="11"/>
        <v>3.806451612903226</v>
      </c>
      <c r="Q17" s="6">
        <f t="shared" si="11"/>
        <v>3.806451612903226</v>
      </c>
      <c r="R17" s="6">
        <f t="shared" si="11"/>
        <v>3.806451612903226</v>
      </c>
      <c r="S17" s="6">
        <f t="shared" si="11"/>
        <v>3.806451612903226</v>
      </c>
      <c r="T17" s="6">
        <f t="shared" si="11"/>
        <v>3.806451612903226</v>
      </c>
      <c r="U17" s="6">
        <f t="shared" si="11"/>
        <v>3.806451612903226</v>
      </c>
      <c r="V17" s="6">
        <f t="shared" si="11"/>
        <v>3.806451612903226</v>
      </c>
      <c r="W17" s="6">
        <f t="shared" si="11"/>
        <v>3.806451612903226</v>
      </c>
      <c r="X17" s="6">
        <f t="shared" si="11"/>
        <v>3.806451612903226</v>
      </c>
      <c r="Y17" s="6">
        <f t="shared" si="11"/>
        <v>3.806451612903226</v>
      </c>
      <c r="Z17" s="6">
        <f t="shared" si="11"/>
        <v>3.806451612903226</v>
      </c>
      <c r="AA17" s="6">
        <f t="shared" si="11"/>
        <v>3.806451612903226</v>
      </c>
      <c r="AB17" s="6">
        <f t="shared" si="11"/>
        <v>3.806451612903226</v>
      </c>
      <c r="AC17" s="6">
        <f t="shared" si="11"/>
        <v>3.806451612903226</v>
      </c>
      <c r="AD17" s="6">
        <f t="shared" si="11"/>
        <v>3.806451612903226</v>
      </c>
      <c r="AE17" s="6">
        <f t="shared" si="11"/>
        <v>3.806451612903226</v>
      </c>
      <c r="AF17" s="6">
        <f t="shared" si="11"/>
        <v>3.806451612903226</v>
      </c>
      <c r="AG17" s="6">
        <f t="shared" si="11"/>
        <v>3.806451612903226</v>
      </c>
      <c r="AH17" s="6">
        <f t="shared" si="11"/>
        <v>3.806451612903226</v>
      </c>
      <c r="AI17" s="6">
        <f t="shared" si="11"/>
        <v>3.806451612903226</v>
      </c>
      <c r="AJ17" s="6">
        <f t="shared" si="11"/>
        <v>3.806451612903226</v>
      </c>
      <c r="AK17" s="6">
        <f t="shared" si="11"/>
        <v>3.806451612903226</v>
      </c>
      <c r="AM17" s="5">
        <f t="shared" si="5"/>
        <v>118.00000000000006</v>
      </c>
      <c r="AN17" s="70">
        <f t="shared" si="6"/>
        <v>7.4683544303797519E-2</v>
      </c>
    </row>
    <row r="18" spans="2:40" ht="15" x14ac:dyDescent="0.2">
      <c r="B18" s="1">
        <v>7</v>
      </c>
      <c r="C18" s="1" t="s">
        <v>5</v>
      </c>
      <c r="D18" s="6">
        <v>50</v>
      </c>
      <c r="E18" s="6">
        <f t="shared" si="2"/>
        <v>1.6129032258064515</v>
      </c>
      <c r="F18" s="10">
        <f t="shared" si="3"/>
        <v>3.1645569620253167E-2</v>
      </c>
      <c r="G18" s="6">
        <f t="shared" ref="G18:AK18" si="12">$E$18</f>
        <v>1.6129032258064515</v>
      </c>
      <c r="H18" s="6">
        <f t="shared" si="12"/>
        <v>1.6129032258064515</v>
      </c>
      <c r="I18" s="6">
        <f t="shared" si="12"/>
        <v>1.6129032258064515</v>
      </c>
      <c r="J18" s="6">
        <f t="shared" si="12"/>
        <v>1.6129032258064515</v>
      </c>
      <c r="K18" s="6">
        <f t="shared" si="12"/>
        <v>1.6129032258064515</v>
      </c>
      <c r="L18" s="6">
        <f t="shared" si="12"/>
        <v>1.6129032258064515</v>
      </c>
      <c r="M18" s="6">
        <f t="shared" si="12"/>
        <v>1.6129032258064515</v>
      </c>
      <c r="N18" s="6">
        <f t="shared" si="12"/>
        <v>1.6129032258064515</v>
      </c>
      <c r="O18" s="6">
        <f t="shared" si="12"/>
        <v>1.6129032258064515</v>
      </c>
      <c r="P18" s="6">
        <f t="shared" si="12"/>
        <v>1.6129032258064515</v>
      </c>
      <c r="Q18" s="6">
        <f t="shared" si="12"/>
        <v>1.6129032258064515</v>
      </c>
      <c r="R18" s="6">
        <f t="shared" si="12"/>
        <v>1.6129032258064515</v>
      </c>
      <c r="S18" s="6">
        <f t="shared" si="12"/>
        <v>1.6129032258064515</v>
      </c>
      <c r="T18" s="6">
        <f t="shared" si="12"/>
        <v>1.6129032258064515</v>
      </c>
      <c r="U18" s="6">
        <f t="shared" si="12"/>
        <v>1.6129032258064515</v>
      </c>
      <c r="V18" s="6">
        <f t="shared" si="12"/>
        <v>1.6129032258064515</v>
      </c>
      <c r="W18" s="6">
        <f t="shared" si="12"/>
        <v>1.6129032258064515</v>
      </c>
      <c r="X18" s="6">
        <f t="shared" si="12"/>
        <v>1.6129032258064515</v>
      </c>
      <c r="Y18" s="6">
        <f t="shared" si="12"/>
        <v>1.6129032258064515</v>
      </c>
      <c r="Z18" s="6">
        <f t="shared" si="12"/>
        <v>1.6129032258064515</v>
      </c>
      <c r="AA18" s="6">
        <f t="shared" si="12"/>
        <v>1.6129032258064515</v>
      </c>
      <c r="AB18" s="6">
        <f t="shared" si="12"/>
        <v>1.6129032258064515</v>
      </c>
      <c r="AC18" s="6">
        <f t="shared" si="12"/>
        <v>1.6129032258064515</v>
      </c>
      <c r="AD18" s="6">
        <f t="shared" si="12"/>
        <v>1.6129032258064515</v>
      </c>
      <c r="AE18" s="6">
        <f t="shared" si="12"/>
        <v>1.6129032258064515</v>
      </c>
      <c r="AF18" s="6">
        <f t="shared" si="12"/>
        <v>1.6129032258064515</v>
      </c>
      <c r="AG18" s="6">
        <f t="shared" si="12"/>
        <v>1.6129032258064515</v>
      </c>
      <c r="AH18" s="6">
        <f t="shared" si="12"/>
        <v>1.6129032258064515</v>
      </c>
      <c r="AI18" s="6">
        <f t="shared" si="12"/>
        <v>1.6129032258064515</v>
      </c>
      <c r="AJ18" s="6">
        <f t="shared" si="12"/>
        <v>1.6129032258064515</v>
      </c>
      <c r="AK18" s="6">
        <f t="shared" si="12"/>
        <v>1.6129032258064515</v>
      </c>
      <c r="AM18" s="5">
        <f t="shared" si="5"/>
        <v>49.999999999999964</v>
      </c>
      <c r="AN18" s="70">
        <f t="shared" si="6"/>
        <v>3.1645569620253146E-2</v>
      </c>
    </row>
    <row r="19" spans="2:40" ht="15" x14ac:dyDescent="0.2">
      <c r="B19" s="1">
        <v>8</v>
      </c>
      <c r="C19" s="1" t="s">
        <v>6</v>
      </c>
      <c r="D19" s="6">
        <v>25</v>
      </c>
      <c r="E19" s="6">
        <f t="shared" si="2"/>
        <v>0.80645161290322576</v>
      </c>
      <c r="F19" s="10">
        <f t="shared" si="3"/>
        <v>1.5822784810126583E-2</v>
      </c>
      <c r="G19" s="6">
        <f>$E$19</f>
        <v>0.80645161290322576</v>
      </c>
      <c r="H19" s="6">
        <f t="shared" ref="H19:AK19" si="13">$E$19</f>
        <v>0.80645161290322576</v>
      </c>
      <c r="I19" s="6">
        <f t="shared" si="13"/>
        <v>0.80645161290322576</v>
      </c>
      <c r="J19" s="6">
        <f t="shared" si="13"/>
        <v>0.80645161290322576</v>
      </c>
      <c r="K19" s="6">
        <f t="shared" si="13"/>
        <v>0.80645161290322576</v>
      </c>
      <c r="L19" s="6">
        <f t="shared" si="13"/>
        <v>0.80645161290322576</v>
      </c>
      <c r="M19" s="6">
        <f t="shared" si="13"/>
        <v>0.80645161290322576</v>
      </c>
      <c r="N19" s="6">
        <f t="shared" si="13"/>
        <v>0.80645161290322576</v>
      </c>
      <c r="O19" s="6">
        <f t="shared" si="13"/>
        <v>0.80645161290322576</v>
      </c>
      <c r="P19" s="6">
        <f t="shared" si="13"/>
        <v>0.80645161290322576</v>
      </c>
      <c r="Q19" s="6">
        <f t="shared" si="13"/>
        <v>0.80645161290322576</v>
      </c>
      <c r="R19" s="6">
        <f t="shared" si="13"/>
        <v>0.80645161290322576</v>
      </c>
      <c r="S19" s="6">
        <f t="shared" si="13"/>
        <v>0.80645161290322576</v>
      </c>
      <c r="T19" s="6">
        <f t="shared" si="13"/>
        <v>0.80645161290322576</v>
      </c>
      <c r="U19" s="6">
        <f t="shared" si="13"/>
        <v>0.80645161290322576</v>
      </c>
      <c r="V19" s="6">
        <f t="shared" si="13"/>
        <v>0.80645161290322576</v>
      </c>
      <c r="W19" s="6">
        <f t="shared" si="13"/>
        <v>0.80645161290322576</v>
      </c>
      <c r="X19" s="6">
        <f t="shared" si="13"/>
        <v>0.80645161290322576</v>
      </c>
      <c r="Y19" s="6">
        <f t="shared" si="13"/>
        <v>0.80645161290322576</v>
      </c>
      <c r="Z19" s="6">
        <f t="shared" si="13"/>
        <v>0.80645161290322576</v>
      </c>
      <c r="AA19" s="6">
        <f t="shared" si="13"/>
        <v>0.80645161290322576</v>
      </c>
      <c r="AB19" s="6">
        <f t="shared" si="13"/>
        <v>0.80645161290322576</v>
      </c>
      <c r="AC19" s="6">
        <f t="shared" si="13"/>
        <v>0.80645161290322576</v>
      </c>
      <c r="AD19" s="6">
        <f t="shared" si="13"/>
        <v>0.80645161290322576</v>
      </c>
      <c r="AE19" s="6">
        <f t="shared" si="13"/>
        <v>0.80645161290322576</v>
      </c>
      <c r="AF19" s="6">
        <f t="shared" si="13"/>
        <v>0.80645161290322576</v>
      </c>
      <c r="AG19" s="6">
        <f t="shared" si="13"/>
        <v>0.80645161290322576</v>
      </c>
      <c r="AH19" s="6">
        <f t="shared" si="13"/>
        <v>0.80645161290322576</v>
      </c>
      <c r="AI19" s="6">
        <f t="shared" si="13"/>
        <v>0.80645161290322576</v>
      </c>
      <c r="AJ19" s="6">
        <f t="shared" si="13"/>
        <v>0.80645161290322576</v>
      </c>
      <c r="AK19" s="6">
        <f t="shared" si="13"/>
        <v>0.80645161290322576</v>
      </c>
      <c r="AM19" s="5">
        <f>SUM(G19:AK19)</f>
        <v>24.999999999999982</v>
      </c>
      <c r="AN19" s="70">
        <f t="shared" si="6"/>
        <v>1.5822784810126573E-2</v>
      </c>
    </row>
    <row r="20" spans="2:40" ht="15" x14ac:dyDescent="0.2">
      <c r="B20" s="1">
        <v>9</v>
      </c>
      <c r="C20" s="1" t="s">
        <v>16</v>
      </c>
      <c r="D20" s="6">
        <v>24</v>
      </c>
      <c r="E20" s="6">
        <f t="shared" si="2"/>
        <v>0.77419354838709675</v>
      </c>
      <c r="F20" s="10">
        <f t="shared" si="3"/>
        <v>1.5189873417721518E-2</v>
      </c>
      <c r="G20" s="6">
        <f t="shared" ref="G20:AK20" si="14">$E$20</f>
        <v>0.77419354838709675</v>
      </c>
      <c r="H20" s="6">
        <f t="shared" si="14"/>
        <v>0.77419354838709675</v>
      </c>
      <c r="I20" s="6">
        <f t="shared" si="14"/>
        <v>0.77419354838709675</v>
      </c>
      <c r="J20" s="6">
        <f t="shared" si="14"/>
        <v>0.77419354838709675</v>
      </c>
      <c r="K20" s="6">
        <f t="shared" si="14"/>
        <v>0.77419354838709675</v>
      </c>
      <c r="L20" s="6">
        <f t="shared" si="14"/>
        <v>0.77419354838709675</v>
      </c>
      <c r="M20" s="6">
        <f t="shared" si="14"/>
        <v>0.77419354838709675</v>
      </c>
      <c r="N20" s="6">
        <f t="shared" si="14"/>
        <v>0.77419354838709675</v>
      </c>
      <c r="O20" s="6">
        <f t="shared" si="14"/>
        <v>0.77419354838709675</v>
      </c>
      <c r="P20" s="6">
        <f t="shared" si="14"/>
        <v>0.77419354838709675</v>
      </c>
      <c r="Q20" s="6">
        <f t="shared" si="14"/>
        <v>0.77419354838709675</v>
      </c>
      <c r="R20" s="6">
        <f t="shared" si="14"/>
        <v>0.77419354838709675</v>
      </c>
      <c r="S20" s="6">
        <f t="shared" si="14"/>
        <v>0.77419354838709675</v>
      </c>
      <c r="T20" s="6">
        <f t="shared" si="14"/>
        <v>0.77419354838709675</v>
      </c>
      <c r="U20" s="6">
        <f t="shared" si="14"/>
        <v>0.77419354838709675</v>
      </c>
      <c r="V20" s="6">
        <f t="shared" si="14"/>
        <v>0.77419354838709675</v>
      </c>
      <c r="W20" s="6">
        <f t="shared" si="14"/>
        <v>0.77419354838709675</v>
      </c>
      <c r="X20" s="6">
        <f t="shared" si="14"/>
        <v>0.77419354838709675</v>
      </c>
      <c r="Y20" s="6">
        <f t="shared" si="14"/>
        <v>0.77419354838709675</v>
      </c>
      <c r="Z20" s="6">
        <f t="shared" si="14"/>
        <v>0.77419354838709675</v>
      </c>
      <c r="AA20" s="6">
        <f t="shared" si="14"/>
        <v>0.77419354838709675</v>
      </c>
      <c r="AB20" s="6">
        <f t="shared" si="14"/>
        <v>0.77419354838709675</v>
      </c>
      <c r="AC20" s="6">
        <f t="shared" si="14"/>
        <v>0.77419354838709675</v>
      </c>
      <c r="AD20" s="6">
        <f t="shared" si="14"/>
        <v>0.77419354838709675</v>
      </c>
      <c r="AE20" s="6">
        <f t="shared" si="14"/>
        <v>0.77419354838709675</v>
      </c>
      <c r="AF20" s="6">
        <f t="shared" si="14"/>
        <v>0.77419354838709675</v>
      </c>
      <c r="AG20" s="6">
        <f t="shared" si="14"/>
        <v>0.77419354838709675</v>
      </c>
      <c r="AH20" s="6">
        <f t="shared" si="14"/>
        <v>0.77419354838709675</v>
      </c>
      <c r="AI20" s="6">
        <f t="shared" si="14"/>
        <v>0.77419354838709675</v>
      </c>
      <c r="AJ20" s="6">
        <f t="shared" si="14"/>
        <v>0.77419354838709675</v>
      </c>
      <c r="AK20" s="6">
        <f t="shared" si="14"/>
        <v>0.77419354838709675</v>
      </c>
      <c r="AM20" s="5">
        <f t="shared" si="5"/>
        <v>23.999999999999989</v>
      </c>
      <c r="AN20" s="70">
        <f t="shared" si="6"/>
        <v>1.5189873417721515E-2</v>
      </c>
    </row>
    <row r="21" spans="2:40" ht="15" x14ac:dyDescent="0.2">
      <c r="B21" s="1"/>
      <c r="C21" s="3" t="s">
        <v>17</v>
      </c>
      <c r="D21" s="5">
        <f>SUM(D12:D20)</f>
        <v>1580</v>
      </c>
      <c r="E21" s="5">
        <f>SUM(E12:E20)</f>
        <v>50.967741935483858</v>
      </c>
      <c r="F21" s="15">
        <f>SUM(F12:F20)</f>
        <v>1</v>
      </c>
      <c r="G21" s="5">
        <f t="shared" ref="G21:AK21" si="15">SUM(G12:G20)</f>
        <v>50.967741935483858</v>
      </c>
      <c r="H21" s="5">
        <f t="shared" si="15"/>
        <v>50.967741935483858</v>
      </c>
      <c r="I21" s="5">
        <f t="shared" si="15"/>
        <v>50.967741935483858</v>
      </c>
      <c r="J21" s="5">
        <f t="shared" si="15"/>
        <v>50.967741935483858</v>
      </c>
      <c r="K21" s="5">
        <f t="shared" si="15"/>
        <v>50.967741935483858</v>
      </c>
      <c r="L21" s="5">
        <f t="shared" si="15"/>
        <v>50.967741935483858</v>
      </c>
      <c r="M21" s="5">
        <f t="shared" si="15"/>
        <v>50.967741935483858</v>
      </c>
      <c r="N21" s="5">
        <f t="shared" si="15"/>
        <v>50.967741935483858</v>
      </c>
      <c r="O21" s="5">
        <f t="shared" si="15"/>
        <v>50.967741935483858</v>
      </c>
      <c r="P21" s="5">
        <f t="shared" si="15"/>
        <v>50.967741935483858</v>
      </c>
      <c r="Q21" s="5">
        <f t="shared" si="15"/>
        <v>50.967741935483858</v>
      </c>
      <c r="R21" s="5">
        <f t="shared" si="15"/>
        <v>50.967741935483858</v>
      </c>
      <c r="S21" s="5">
        <f t="shared" si="15"/>
        <v>50.967741935483858</v>
      </c>
      <c r="T21" s="5">
        <f t="shared" si="15"/>
        <v>50.967741935483858</v>
      </c>
      <c r="U21" s="5">
        <f t="shared" si="15"/>
        <v>50.967741935483858</v>
      </c>
      <c r="V21" s="5">
        <f t="shared" si="15"/>
        <v>50.967741935483858</v>
      </c>
      <c r="W21" s="5">
        <f t="shared" si="15"/>
        <v>50.967741935483858</v>
      </c>
      <c r="X21" s="5">
        <f t="shared" si="15"/>
        <v>50.967741935483858</v>
      </c>
      <c r="Y21" s="5">
        <f t="shared" si="15"/>
        <v>50.967741935483858</v>
      </c>
      <c r="Z21" s="5">
        <f t="shared" si="15"/>
        <v>50.967741935483858</v>
      </c>
      <c r="AA21" s="5">
        <f t="shared" si="15"/>
        <v>50.967741935483858</v>
      </c>
      <c r="AB21" s="5">
        <f t="shared" si="15"/>
        <v>50.967741935483858</v>
      </c>
      <c r="AC21" s="5">
        <f t="shared" si="15"/>
        <v>50.967741935483858</v>
      </c>
      <c r="AD21" s="5">
        <f t="shared" si="15"/>
        <v>50.967741935483858</v>
      </c>
      <c r="AE21" s="5">
        <f t="shared" si="15"/>
        <v>50.967741935483858</v>
      </c>
      <c r="AF21" s="5">
        <f t="shared" si="15"/>
        <v>50.967741935483858</v>
      </c>
      <c r="AG21" s="5">
        <f t="shared" si="15"/>
        <v>50.967741935483858</v>
      </c>
      <c r="AH21" s="5">
        <f t="shared" si="15"/>
        <v>50.967741935483858</v>
      </c>
      <c r="AI21" s="5">
        <f t="shared" si="15"/>
        <v>50.967741935483858</v>
      </c>
      <c r="AJ21" s="5">
        <f t="shared" si="15"/>
        <v>50.967741935483858</v>
      </c>
      <c r="AK21" s="5">
        <f t="shared" si="15"/>
        <v>50.967741935483858</v>
      </c>
      <c r="AL21" s="4"/>
      <c r="AM21" s="5">
        <f>SUM(AM12:AM20)</f>
        <v>1579.9999999999998</v>
      </c>
      <c r="AN21" s="70">
        <f>SUM(AN12:AN20)</f>
        <v>1</v>
      </c>
    </row>
    <row r="22" spans="2:40" s="13" customFormat="1" ht="15" x14ac:dyDescent="0.2">
      <c r="B22" s="17"/>
      <c r="C22" s="18"/>
      <c r="D22" s="19"/>
      <c r="E22" s="19"/>
      <c r="F22" s="20"/>
      <c r="G22" s="19"/>
      <c r="H22" s="19"/>
      <c r="I22" s="19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6"/>
      <c r="AM22" s="19"/>
      <c r="AN22" s="20"/>
    </row>
    <row r="23" spans="2:40" s="13" customFormat="1" ht="15" x14ac:dyDescent="0.2">
      <c r="B23" s="1"/>
      <c r="C23" s="3" t="s">
        <v>27</v>
      </c>
      <c r="D23" s="31"/>
      <c r="E23" s="31"/>
      <c r="F23" s="32"/>
      <c r="G23" s="5">
        <f t="shared" ref="G23:AK23" si="16">G6-G21</f>
        <v>25.28981660692952</v>
      </c>
      <c r="H23" s="5">
        <f t="shared" si="16"/>
        <v>25.276066606929518</v>
      </c>
      <c r="I23" s="5">
        <f t="shared" si="16"/>
        <v>35.588566606929518</v>
      </c>
      <c r="J23" s="5">
        <f t="shared" si="16"/>
        <v>35.547316606929513</v>
      </c>
      <c r="K23" s="5">
        <f t="shared" si="16"/>
        <v>25.386066606929518</v>
      </c>
      <c r="L23" s="5">
        <f t="shared" si="16"/>
        <v>23.226112903225811</v>
      </c>
      <c r="M23" s="5">
        <f t="shared" si="16"/>
        <v>47.592316606929515</v>
      </c>
      <c r="N23" s="5">
        <f t="shared" si="16"/>
        <v>26.12856660692951</v>
      </c>
      <c r="O23" s="5">
        <f t="shared" si="16"/>
        <v>35.231066606929531</v>
      </c>
      <c r="P23" s="5">
        <f t="shared" si="16"/>
        <v>16.682316606929518</v>
      </c>
      <c r="Q23" s="5">
        <f t="shared" si="16"/>
        <v>21.591066606929516</v>
      </c>
      <c r="R23" s="5">
        <f t="shared" si="16"/>
        <v>41.927316606929523</v>
      </c>
      <c r="S23" s="5">
        <f t="shared" si="16"/>
        <v>23.226112903225811</v>
      </c>
      <c r="T23" s="5">
        <f t="shared" si="16"/>
        <v>17.287316606929508</v>
      </c>
      <c r="U23" s="5">
        <f t="shared" si="16"/>
        <v>12.804816606929521</v>
      </c>
      <c r="V23" s="5">
        <f t="shared" si="16"/>
        <v>20.009816606929505</v>
      </c>
      <c r="W23" s="5">
        <f>W6-W21</f>
        <v>15.58231660692951</v>
      </c>
      <c r="X23" s="5">
        <f t="shared" si="16"/>
        <v>10.233566606929514</v>
      </c>
      <c r="Y23" s="5">
        <f t="shared" si="16"/>
        <v>28.672316606929513</v>
      </c>
      <c r="Z23" s="5">
        <f t="shared" si="16"/>
        <v>23.226112903225811</v>
      </c>
      <c r="AA23" s="5">
        <f t="shared" si="16"/>
        <v>28.617316606929521</v>
      </c>
      <c r="AB23" s="5">
        <f t="shared" si="16"/>
        <v>8.6798166069295206</v>
      </c>
      <c r="AC23" s="5">
        <f t="shared" si="16"/>
        <v>21.85231660692952</v>
      </c>
      <c r="AD23" s="5">
        <f t="shared" si="16"/>
        <v>16.929816606929521</v>
      </c>
      <c r="AE23" s="5">
        <f t="shared" si="16"/>
        <v>25.812316606929514</v>
      </c>
      <c r="AF23" s="5">
        <f t="shared" si="16"/>
        <v>40.90981660692951</v>
      </c>
      <c r="AG23" s="5">
        <f t="shared" si="16"/>
        <v>23.226112903225811</v>
      </c>
      <c r="AH23" s="5">
        <f t="shared" si="16"/>
        <v>18.772316606929522</v>
      </c>
      <c r="AI23" s="5">
        <f t="shared" si="16"/>
        <v>8.6935666069295152</v>
      </c>
      <c r="AJ23" s="5">
        <f t="shared" si="16"/>
        <v>22.636066606929518</v>
      </c>
      <c r="AK23" s="5">
        <f t="shared" si="16"/>
        <v>21.288566606929507</v>
      </c>
      <c r="AL23" s="4"/>
      <c r="AM23" s="5"/>
      <c r="AN23" s="12"/>
    </row>
    <row r="24" spans="2:40" s="13" customFormat="1" ht="15" x14ac:dyDescent="0.2">
      <c r="C24" s="16"/>
      <c r="D24" s="14"/>
      <c r="E24" s="14"/>
      <c r="F24" s="28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4"/>
      <c r="AM24" s="14"/>
      <c r="AN24" s="28"/>
    </row>
    <row r="25" spans="2:40" s="13" customFormat="1" ht="15" x14ac:dyDescent="0.2">
      <c r="B25" s="22"/>
      <c r="C25" s="23" t="s">
        <v>20</v>
      </c>
      <c r="D25" s="24"/>
      <c r="E25" s="24"/>
      <c r="F25" s="25"/>
      <c r="G25" s="24"/>
      <c r="H25" s="24"/>
      <c r="I25" s="24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16"/>
      <c r="AM25" s="24"/>
      <c r="AN25" s="25"/>
    </row>
    <row r="26" spans="2:40" ht="15" x14ac:dyDescent="0.2">
      <c r="B26" s="1">
        <v>10</v>
      </c>
      <c r="C26" s="1" t="s">
        <v>8</v>
      </c>
      <c r="D26" s="6">
        <v>500</v>
      </c>
      <c r="E26" s="6">
        <f t="shared" ref="E26:E31" si="17">D26/31</f>
        <v>16.129032258064516</v>
      </c>
      <c r="F26" s="10">
        <f t="shared" ref="F26:F31" si="18">D26/$D$32</f>
        <v>0.69444444444444442</v>
      </c>
      <c r="G26" s="6">
        <f t="shared" ref="G26:G31" si="19">$G$23*F26</f>
        <v>17.562372643701053</v>
      </c>
      <c r="H26" s="6">
        <f t="shared" ref="H26:H31" si="20">$H$23*F26</f>
        <v>17.552824032589943</v>
      </c>
      <c r="I26" s="6">
        <f t="shared" ref="I26:I31" si="21">$I$23*F26</f>
        <v>24.714282365923275</v>
      </c>
      <c r="J26" s="6">
        <f t="shared" ref="J26:J31" si="22">$J$23*F26</f>
        <v>24.685636532589939</v>
      </c>
      <c r="K26" s="6">
        <f t="shared" ref="K26:K31" si="23">$K$23*F26</f>
        <v>17.629212921478832</v>
      </c>
      <c r="L26" s="6">
        <f t="shared" ref="L26:L31" si="24">$L$23*F26</f>
        <v>16.12924507168459</v>
      </c>
      <c r="M26" s="6">
        <f t="shared" ref="M26:M31" si="25">$M$23*F26</f>
        <v>33.050219865923275</v>
      </c>
      <c r="N26" s="6">
        <f t="shared" ref="N26:N31" si="26">$N$23*F26</f>
        <v>18.144837921478825</v>
      </c>
      <c r="O26" s="6">
        <f t="shared" ref="O26:O31" si="27">$O$23*F26</f>
        <v>24.466018477034396</v>
      </c>
      <c r="P26" s="6">
        <f t="shared" ref="P26:P31" si="28">$P$23*F26</f>
        <v>11.584942088145498</v>
      </c>
      <c r="Q26" s="6">
        <f t="shared" ref="Q26:Q31" si="29">$Q$23*F26</f>
        <v>14.993796254812164</v>
      </c>
      <c r="R26" s="6">
        <f t="shared" ref="R26:R31" si="30">$R$23*F26</f>
        <v>29.1161920881455</v>
      </c>
      <c r="S26" s="6">
        <f t="shared" ref="S26:S31" si="31">$S$23*F26</f>
        <v>16.12924507168459</v>
      </c>
      <c r="T26" s="6">
        <f t="shared" ref="T26:T31" si="32">$T$23*F26</f>
        <v>12.00508097703438</v>
      </c>
      <c r="U26" s="6">
        <f t="shared" ref="U26:U31" si="33">$U$23*F26</f>
        <v>8.8922337548121675</v>
      </c>
      <c r="V26" s="6">
        <f t="shared" ref="V26:V31" si="34">$V$23*F26</f>
        <v>13.895705977034378</v>
      </c>
      <c r="W26" s="6">
        <f t="shared" ref="W26:W31" si="35">$W$23*F26</f>
        <v>10.821053199256603</v>
      </c>
      <c r="X26" s="6">
        <f t="shared" ref="X26:X31" si="36">$X$23*F26</f>
        <v>7.1066434770343845</v>
      </c>
      <c r="Y26" s="6">
        <f t="shared" ref="Y26:Y31" si="37">$Y$23*F26</f>
        <v>19.911330977034382</v>
      </c>
      <c r="Z26" s="6">
        <f t="shared" ref="Z26:Z31" si="38">$Z$23*F26</f>
        <v>16.12924507168459</v>
      </c>
      <c r="AA26" s="6">
        <f t="shared" ref="AA26:AA31" si="39">$AA$23*F26</f>
        <v>19.873136532589943</v>
      </c>
      <c r="AB26" s="6">
        <f t="shared" ref="AB26:AB31" si="40">$AB$23*F26</f>
        <v>6.0276504214788336</v>
      </c>
      <c r="AC26" s="6">
        <f t="shared" ref="AC26:AC31" si="41">$AC$23*F26</f>
        <v>15.175219865923276</v>
      </c>
      <c r="AD26" s="6">
        <f t="shared" ref="AD26:AD31" si="42">$AD$23*F26</f>
        <v>11.7568170881455</v>
      </c>
      <c r="AE26" s="6">
        <f t="shared" ref="AE26:AE31" si="43">$AE$23*F26</f>
        <v>17.925219865923271</v>
      </c>
      <c r="AF26" s="6">
        <f t="shared" ref="AF26:AF31" si="44">$AF$23*F26</f>
        <v>28.409594865923271</v>
      </c>
      <c r="AG26" s="6">
        <f t="shared" ref="AG26:AG31" si="45">$AG$23*F26</f>
        <v>16.12924507168459</v>
      </c>
      <c r="AH26" s="6">
        <f t="shared" ref="AH26:AH31" si="46">$AH$23*F26</f>
        <v>13.036330977034389</v>
      </c>
      <c r="AI26" s="6">
        <f t="shared" ref="AI26:AI31" si="47">$AI$23*F26</f>
        <v>6.0371990325899407</v>
      </c>
      <c r="AJ26" s="6">
        <f t="shared" ref="AJ26:AJ31" si="48">$AJ$23*F26</f>
        <v>15.719490699256609</v>
      </c>
      <c r="AK26" s="6">
        <f>$AK$23*F26</f>
        <v>14.783726810367712</v>
      </c>
      <c r="AM26" s="5">
        <f t="shared" ref="AM26:AM31" si="49">SUM(G26:AK26)</f>
        <v>519.39375000000007</v>
      </c>
      <c r="AN26" s="70">
        <f t="shared" ref="AN26:AN31" si="50">AM26/$AM$32</f>
        <v>0.69444444444444442</v>
      </c>
    </row>
    <row r="27" spans="2:40" ht="15" x14ac:dyDescent="0.2">
      <c r="B27" s="1">
        <v>11</v>
      </c>
      <c r="C27" s="1" t="s">
        <v>34</v>
      </c>
      <c r="D27" s="6">
        <v>75</v>
      </c>
      <c r="E27" s="6">
        <f t="shared" si="17"/>
        <v>2.4193548387096775</v>
      </c>
      <c r="F27" s="10">
        <f t="shared" si="18"/>
        <v>0.10416666666666667</v>
      </c>
      <c r="G27" s="6">
        <f t="shared" si="19"/>
        <v>2.6343558965551583</v>
      </c>
      <c r="H27" s="6">
        <f t="shared" si="20"/>
        <v>2.6329236048884916</v>
      </c>
      <c r="I27" s="6">
        <f t="shared" si="21"/>
        <v>3.7071423548884916</v>
      </c>
      <c r="J27" s="6">
        <f t="shared" si="22"/>
        <v>3.7028454798884911</v>
      </c>
      <c r="K27" s="6">
        <f t="shared" si="23"/>
        <v>2.6443819382218248</v>
      </c>
      <c r="L27" s="6">
        <f t="shared" si="24"/>
        <v>2.4193867607526887</v>
      </c>
      <c r="M27" s="6">
        <f t="shared" si="25"/>
        <v>4.9575329798884917</v>
      </c>
      <c r="N27" s="6">
        <f t="shared" si="26"/>
        <v>2.7217256882218241</v>
      </c>
      <c r="O27" s="6">
        <f t="shared" si="27"/>
        <v>3.6699027715551598</v>
      </c>
      <c r="P27" s="6">
        <f t="shared" si="28"/>
        <v>1.7377413132218249</v>
      </c>
      <c r="Q27" s="6">
        <f t="shared" si="29"/>
        <v>2.2490694382218246</v>
      </c>
      <c r="R27" s="6">
        <f t="shared" si="30"/>
        <v>4.3674288132218253</v>
      </c>
      <c r="S27" s="6">
        <f t="shared" si="31"/>
        <v>2.4193867607526887</v>
      </c>
      <c r="T27" s="6">
        <f t="shared" si="32"/>
        <v>1.8007621465551571</v>
      </c>
      <c r="U27" s="6">
        <f t="shared" si="33"/>
        <v>1.3338350632218252</v>
      </c>
      <c r="V27" s="6">
        <f t="shared" si="34"/>
        <v>2.0843558965551567</v>
      </c>
      <c r="W27" s="6">
        <f t="shared" si="35"/>
        <v>1.6231579798884908</v>
      </c>
      <c r="X27" s="6">
        <f t="shared" si="36"/>
        <v>1.0659965215551579</v>
      </c>
      <c r="Y27" s="6">
        <f t="shared" si="37"/>
        <v>2.9866996465551576</v>
      </c>
      <c r="Z27" s="6">
        <f t="shared" si="38"/>
        <v>2.4193867607526887</v>
      </c>
      <c r="AA27" s="6">
        <f t="shared" si="39"/>
        <v>2.9809704798884917</v>
      </c>
      <c r="AB27" s="6">
        <f t="shared" si="40"/>
        <v>0.9041475632218251</v>
      </c>
      <c r="AC27" s="6">
        <f t="shared" si="41"/>
        <v>2.2762829798884918</v>
      </c>
      <c r="AD27" s="6">
        <f t="shared" si="42"/>
        <v>1.7635225632218252</v>
      </c>
      <c r="AE27" s="6">
        <f t="shared" si="43"/>
        <v>2.688782979888491</v>
      </c>
      <c r="AF27" s="6">
        <f t="shared" si="44"/>
        <v>4.2614392298884907</v>
      </c>
      <c r="AG27" s="6">
        <f t="shared" si="45"/>
        <v>2.4193867607526887</v>
      </c>
      <c r="AH27" s="6">
        <f t="shared" si="46"/>
        <v>1.9554496465551585</v>
      </c>
      <c r="AI27" s="6">
        <f t="shared" si="47"/>
        <v>0.90557985488849124</v>
      </c>
      <c r="AJ27" s="6">
        <f t="shared" si="48"/>
        <v>2.3579236048884917</v>
      </c>
      <c r="AK27" s="6">
        <f t="shared" ref="AK27:AK31" si="51">$AK$23*F27</f>
        <v>2.2175590215551573</v>
      </c>
      <c r="AM27" s="5">
        <f t="shared" si="49"/>
        <v>77.909062500000019</v>
      </c>
      <c r="AN27" s="70">
        <f t="shared" si="50"/>
        <v>0.10416666666666667</v>
      </c>
    </row>
    <row r="28" spans="2:40" ht="15" x14ac:dyDescent="0.2">
      <c r="B28" s="1">
        <v>12</v>
      </c>
      <c r="C28" s="1" t="s">
        <v>14</v>
      </c>
      <c r="D28" s="6">
        <v>50</v>
      </c>
      <c r="E28" s="6">
        <f t="shared" si="17"/>
        <v>1.6129032258064515</v>
      </c>
      <c r="F28" s="10">
        <f t="shared" si="18"/>
        <v>6.9444444444444448E-2</v>
      </c>
      <c r="G28" s="6">
        <f t="shared" si="19"/>
        <v>1.7562372643701056</v>
      </c>
      <c r="H28" s="6">
        <f t="shared" si="20"/>
        <v>1.7552824032589944</v>
      </c>
      <c r="I28" s="6">
        <f t="shared" si="21"/>
        <v>2.4714282365923279</v>
      </c>
      <c r="J28" s="6">
        <f t="shared" si="22"/>
        <v>2.4685636532589941</v>
      </c>
      <c r="K28" s="6">
        <f t="shared" si="23"/>
        <v>1.7629212921478832</v>
      </c>
      <c r="L28" s="6">
        <f t="shared" si="24"/>
        <v>1.6129245071684593</v>
      </c>
      <c r="M28" s="6">
        <f t="shared" si="25"/>
        <v>3.3050219865923274</v>
      </c>
      <c r="N28" s="6">
        <f t="shared" si="26"/>
        <v>1.8144837921478827</v>
      </c>
      <c r="O28" s="6">
        <f t="shared" si="27"/>
        <v>2.4466018477034397</v>
      </c>
      <c r="P28" s="6">
        <f t="shared" si="28"/>
        <v>1.15849420881455</v>
      </c>
      <c r="Q28" s="6">
        <f t="shared" si="29"/>
        <v>1.4993796254812164</v>
      </c>
      <c r="R28" s="6">
        <f t="shared" si="30"/>
        <v>2.9116192088145505</v>
      </c>
      <c r="S28" s="6">
        <f t="shared" si="31"/>
        <v>1.6129245071684593</v>
      </c>
      <c r="T28" s="6">
        <f t="shared" si="32"/>
        <v>1.2005080977034381</v>
      </c>
      <c r="U28" s="6">
        <f t="shared" si="33"/>
        <v>0.88922337548121677</v>
      </c>
      <c r="V28" s="6">
        <f t="shared" si="34"/>
        <v>1.3895705977034378</v>
      </c>
      <c r="W28" s="6">
        <f t="shared" si="35"/>
        <v>1.0821053199256605</v>
      </c>
      <c r="X28" s="6">
        <f t="shared" si="36"/>
        <v>0.71066434770343856</v>
      </c>
      <c r="Y28" s="6">
        <f t="shared" si="37"/>
        <v>1.9911330977034385</v>
      </c>
      <c r="Z28" s="6">
        <f t="shared" si="38"/>
        <v>1.6129245071684593</v>
      </c>
      <c r="AA28" s="6">
        <f t="shared" si="39"/>
        <v>1.9873136532589946</v>
      </c>
      <c r="AB28" s="6">
        <f t="shared" si="40"/>
        <v>0.6027650421478834</v>
      </c>
      <c r="AC28" s="6">
        <f t="shared" si="41"/>
        <v>1.517521986592328</v>
      </c>
      <c r="AD28" s="6">
        <f t="shared" si="42"/>
        <v>1.1756817088145501</v>
      </c>
      <c r="AE28" s="6">
        <f t="shared" si="43"/>
        <v>1.7925219865923274</v>
      </c>
      <c r="AF28" s="6">
        <f t="shared" si="44"/>
        <v>2.8409594865923271</v>
      </c>
      <c r="AG28" s="6">
        <f t="shared" si="45"/>
        <v>1.6129245071684593</v>
      </c>
      <c r="AH28" s="6">
        <f t="shared" si="46"/>
        <v>1.3036330977034392</v>
      </c>
      <c r="AI28" s="6">
        <f t="shared" si="47"/>
        <v>0.60371990325899416</v>
      </c>
      <c r="AJ28" s="6">
        <f t="shared" si="48"/>
        <v>1.5719490699256611</v>
      </c>
      <c r="AK28" s="6">
        <f t="shared" si="51"/>
        <v>1.4783726810367714</v>
      </c>
      <c r="AM28" s="5">
        <f t="shared" si="49"/>
        <v>51.939375000000005</v>
      </c>
      <c r="AN28" s="70">
        <f t="shared" si="50"/>
        <v>6.9444444444444434E-2</v>
      </c>
    </row>
    <row r="29" spans="2:40" ht="15" x14ac:dyDescent="0.2">
      <c r="B29" s="1">
        <v>13</v>
      </c>
      <c r="C29" s="1" t="s">
        <v>30</v>
      </c>
      <c r="D29" s="6">
        <v>50</v>
      </c>
      <c r="E29" s="6">
        <f t="shared" si="17"/>
        <v>1.6129032258064515</v>
      </c>
      <c r="F29" s="10">
        <f t="shared" si="18"/>
        <v>6.9444444444444448E-2</v>
      </c>
      <c r="G29" s="6">
        <f t="shared" si="19"/>
        <v>1.7562372643701056</v>
      </c>
      <c r="H29" s="6">
        <f t="shared" si="20"/>
        <v>1.7552824032589944</v>
      </c>
      <c r="I29" s="6">
        <f t="shared" si="21"/>
        <v>2.4714282365923279</v>
      </c>
      <c r="J29" s="6">
        <f t="shared" si="22"/>
        <v>2.4685636532589941</v>
      </c>
      <c r="K29" s="6">
        <f t="shared" si="23"/>
        <v>1.7629212921478832</v>
      </c>
      <c r="L29" s="6">
        <f t="shared" si="24"/>
        <v>1.6129245071684593</v>
      </c>
      <c r="M29" s="6">
        <f t="shared" si="25"/>
        <v>3.3050219865923274</v>
      </c>
      <c r="N29" s="6">
        <f t="shared" si="26"/>
        <v>1.8144837921478827</v>
      </c>
      <c r="O29" s="6">
        <f t="shared" si="27"/>
        <v>2.4466018477034397</v>
      </c>
      <c r="P29" s="6">
        <f t="shared" si="28"/>
        <v>1.15849420881455</v>
      </c>
      <c r="Q29" s="6">
        <f t="shared" si="29"/>
        <v>1.4993796254812164</v>
      </c>
      <c r="R29" s="6">
        <f t="shared" si="30"/>
        <v>2.9116192088145505</v>
      </c>
      <c r="S29" s="6">
        <f t="shared" si="31"/>
        <v>1.6129245071684593</v>
      </c>
      <c r="T29" s="6">
        <f t="shared" si="32"/>
        <v>1.2005080977034381</v>
      </c>
      <c r="U29" s="6">
        <f t="shared" si="33"/>
        <v>0.88922337548121677</v>
      </c>
      <c r="V29" s="6">
        <f t="shared" si="34"/>
        <v>1.3895705977034378</v>
      </c>
      <c r="W29" s="6">
        <f t="shared" si="35"/>
        <v>1.0821053199256605</v>
      </c>
      <c r="X29" s="6">
        <f t="shared" si="36"/>
        <v>0.71066434770343856</v>
      </c>
      <c r="Y29" s="6">
        <f t="shared" si="37"/>
        <v>1.9911330977034385</v>
      </c>
      <c r="Z29" s="6">
        <f t="shared" si="38"/>
        <v>1.6129245071684593</v>
      </c>
      <c r="AA29" s="6">
        <f t="shared" si="39"/>
        <v>1.9873136532589946</v>
      </c>
      <c r="AB29" s="6">
        <f t="shared" si="40"/>
        <v>0.6027650421478834</v>
      </c>
      <c r="AC29" s="6">
        <f t="shared" si="41"/>
        <v>1.517521986592328</v>
      </c>
      <c r="AD29" s="6">
        <f t="shared" si="42"/>
        <v>1.1756817088145501</v>
      </c>
      <c r="AE29" s="6">
        <f t="shared" si="43"/>
        <v>1.7925219865923274</v>
      </c>
      <c r="AF29" s="6">
        <f t="shared" si="44"/>
        <v>2.8409594865923271</v>
      </c>
      <c r="AG29" s="6">
        <f t="shared" si="45"/>
        <v>1.6129245071684593</v>
      </c>
      <c r="AH29" s="6">
        <f t="shared" si="46"/>
        <v>1.3036330977034392</v>
      </c>
      <c r="AI29" s="6">
        <f t="shared" si="47"/>
        <v>0.60371990325899416</v>
      </c>
      <c r="AJ29" s="6">
        <f t="shared" si="48"/>
        <v>1.5719490699256611</v>
      </c>
      <c r="AK29" s="6">
        <f t="shared" si="51"/>
        <v>1.4783726810367714</v>
      </c>
      <c r="AM29" s="5">
        <f t="shared" si="49"/>
        <v>51.939375000000005</v>
      </c>
      <c r="AN29" s="70">
        <f t="shared" si="50"/>
        <v>6.9444444444444434E-2</v>
      </c>
    </row>
    <row r="30" spans="2:40" ht="15" x14ac:dyDescent="0.2">
      <c r="B30" s="1">
        <v>14</v>
      </c>
      <c r="C30" s="1" t="s">
        <v>9</v>
      </c>
      <c r="D30" s="6">
        <v>30</v>
      </c>
      <c r="E30" s="6">
        <f t="shared" si="17"/>
        <v>0.967741935483871</v>
      </c>
      <c r="F30" s="10">
        <f t="shared" si="18"/>
        <v>4.1666666666666664E-2</v>
      </c>
      <c r="G30" s="6">
        <f t="shared" si="19"/>
        <v>1.0537423586220633</v>
      </c>
      <c r="H30" s="6">
        <f t="shared" si="20"/>
        <v>1.0531694419553965</v>
      </c>
      <c r="I30" s="6">
        <f t="shared" si="21"/>
        <v>1.4828569419553965</v>
      </c>
      <c r="J30" s="6">
        <f t="shared" si="22"/>
        <v>1.4811381919553963</v>
      </c>
      <c r="K30" s="6">
        <f t="shared" si="23"/>
        <v>1.0577527752887299</v>
      </c>
      <c r="L30" s="6">
        <f t="shared" si="24"/>
        <v>0.96775470430107546</v>
      </c>
      <c r="M30" s="6">
        <f t="shared" si="25"/>
        <v>1.9830131919553964</v>
      </c>
      <c r="N30" s="6">
        <f t="shared" si="26"/>
        <v>1.0886902752887295</v>
      </c>
      <c r="O30" s="6">
        <f t="shared" si="27"/>
        <v>1.4679611086220636</v>
      </c>
      <c r="P30" s="6">
        <f t="shared" si="28"/>
        <v>0.69509652528872989</v>
      </c>
      <c r="Q30" s="6">
        <f t="shared" si="29"/>
        <v>0.89962777528872984</v>
      </c>
      <c r="R30" s="6">
        <f t="shared" si="30"/>
        <v>1.7469715252887301</v>
      </c>
      <c r="S30" s="6">
        <f t="shared" si="31"/>
        <v>0.96775470430107546</v>
      </c>
      <c r="T30" s="6">
        <f t="shared" si="32"/>
        <v>0.72030485862206284</v>
      </c>
      <c r="U30" s="6">
        <f t="shared" si="33"/>
        <v>0.53353402528872995</v>
      </c>
      <c r="V30" s="6">
        <f t="shared" si="34"/>
        <v>0.8337423586220627</v>
      </c>
      <c r="W30" s="6">
        <f t="shared" si="35"/>
        <v>0.64926319195539617</v>
      </c>
      <c r="X30" s="6">
        <f t="shared" si="36"/>
        <v>0.42639860862206308</v>
      </c>
      <c r="Y30" s="6">
        <f t="shared" si="37"/>
        <v>1.1946798586220631</v>
      </c>
      <c r="Z30" s="6">
        <f t="shared" si="38"/>
        <v>0.96775470430107546</v>
      </c>
      <c r="AA30" s="6">
        <f t="shared" si="39"/>
        <v>1.1923881919553967</v>
      </c>
      <c r="AB30" s="6">
        <f t="shared" si="40"/>
        <v>0.36165902528873001</v>
      </c>
      <c r="AC30" s="6">
        <f t="shared" si="41"/>
        <v>0.91051319195539659</v>
      </c>
      <c r="AD30" s="6">
        <f t="shared" si="42"/>
        <v>0.70540902528872995</v>
      </c>
      <c r="AE30" s="6">
        <f t="shared" si="43"/>
        <v>1.0755131919553964</v>
      </c>
      <c r="AF30" s="6">
        <f t="shared" si="44"/>
        <v>1.7045756919553963</v>
      </c>
      <c r="AG30" s="6">
        <f t="shared" si="45"/>
        <v>0.96775470430107546</v>
      </c>
      <c r="AH30" s="6">
        <f t="shared" si="46"/>
        <v>0.78217985862206341</v>
      </c>
      <c r="AI30" s="6">
        <f t="shared" si="47"/>
        <v>0.36223194195539643</v>
      </c>
      <c r="AJ30" s="6">
        <f t="shared" si="48"/>
        <v>0.94316944195539654</v>
      </c>
      <c r="AK30" s="6">
        <f t="shared" si="51"/>
        <v>0.88702360862206275</v>
      </c>
      <c r="AM30" s="5">
        <f t="shared" si="49"/>
        <v>31.163625000000003</v>
      </c>
      <c r="AN30" s="70">
        <f t="shared" si="50"/>
        <v>4.1666666666666664E-2</v>
      </c>
    </row>
    <row r="31" spans="2:40" ht="15" x14ac:dyDescent="0.2">
      <c r="B31" s="1">
        <v>15</v>
      </c>
      <c r="C31" s="1" t="s">
        <v>10</v>
      </c>
      <c r="D31" s="6">
        <v>15</v>
      </c>
      <c r="E31" s="6">
        <f t="shared" si="17"/>
        <v>0.4838709677419355</v>
      </c>
      <c r="F31" s="10">
        <f t="shared" si="18"/>
        <v>2.0833333333333332E-2</v>
      </c>
      <c r="G31" s="6">
        <f t="shared" si="19"/>
        <v>0.52687117931103167</v>
      </c>
      <c r="H31" s="6">
        <f t="shared" si="20"/>
        <v>0.52658472097769826</v>
      </c>
      <c r="I31" s="6">
        <f t="shared" si="21"/>
        <v>0.74142847097769826</v>
      </c>
      <c r="J31" s="6">
        <f t="shared" si="22"/>
        <v>0.74056909597769816</v>
      </c>
      <c r="K31" s="6">
        <f t="shared" si="23"/>
        <v>0.52887638764436495</v>
      </c>
      <c r="L31" s="6">
        <f t="shared" si="24"/>
        <v>0.48387735215053773</v>
      </c>
      <c r="M31" s="6">
        <f t="shared" si="25"/>
        <v>0.99150659597769819</v>
      </c>
      <c r="N31" s="6">
        <f t="shared" si="26"/>
        <v>0.54434513764436476</v>
      </c>
      <c r="O31" s="6">
        <f t="shared" si="27"/>
        <v>0.73398055431103182</v>
      </c>
      <c r="P31" s="6">
        <f t="shared" si="28"/>
        <v>0.34754826264436495</v>
      </c>
      <c r="Q31" s="6">
        <f t="shared" si="29"/>
        <v>0.44981388764436492</v>
      </c>
      <c r="R31" s="6">
        <f t="shared" si="30"/>
        <v>0.87348576264436506</v>
      </c>
      <c r="S31" s="6">
        <f t="shared" si="31"/>
        <v>0.48387735215053773</v>
      </c>
      <c r="T31" s="6">
        <f t="shared" si="32"/>
        <v>0.36015242931103142</v>
      </c>
      <c r="U31" s="6">
        <f t="shared" si="33"/>
        <v>0.26676701264436498</v>
      </c>
      <c r="V31" s="6">
        <f t="shared" si="34"/>
        <v>0.41687117931103135</v>
      </c>
      <c r="W31" s="6">
        <f t="shared" si="35"/>
        <v>0.32463159597769808</v>
      </c>
      <c r="X31" s="6">
        <f t="shared" si="36"/>
        <v>0.21319930431103154</v>
      </c>
      <c r="Y31" s="6">
        <f t="shared" si="37"/>
        <v>0.59733992931103153</v>
      </c>
      <c r="Z31" s="6">
        <f t="shared" si="38"/>
        <v>0.48387735215053773</v>
      </c>
      <c r="AA31" s="6">
        <f t="shared" si="39"/>
        <v>0.59619409597769835</v>
      </c>
      <c r="AB31" s="6">
        <f t="shared" si="40"/>
        <v>0.180829512644365</v>
      </c>
      <c r="AC31" s="6">
        <f t="shared" si="41"/>
        <v>0.4552565959776983</v>
      </c>
      <c r="AD31" s="6">
        <f t="shared" si="42"/>
        <v>0.35270451264436498</v>
      </c>
      <c r="AE31" s="6">
        <f t="shared" si="43"/>
        <v>0.5377565959776982</v>
      </c>
      <c r="AF31" s="6">
        <f t="shared" si="44"/>
        <v>0.85228784597769813</v>
      </c>
      <c r="AG31" s="6">
        <f t="shared" si="45"/>
        <v>0.48387735215053773</v>
      </c>
      <c r="AH31" s="6">
        <f t="shared" si="46"/>
        <v>0.3910899293110317</v>
      </c>
      <c r="AI31" s="6">
        <f t="shared" si="47"/>
        <v>0.18111597097769822</v>
      </c>
      <c r="AJ31" s="6">
        <f t="shared" si="48"/>
        <v>0.47158472097769827</v>
      </c>
      <c r="AK31" s="6">
        <f t="shared" si="51"/>
        <v>0.44351180431103138</v>
      </c>
      <c r="AM31" s="5">
        <f t="shared" si="49"/>
        <v>15.581812500000002</v>
      </c>
      <c r="AN31" s="70">
        <f t="shared" si="50"/>
        <v>2.0833333333333332E-2</v>
      </c>
    </row>
    <row r="32" spans="2:40" ht="15" x14ac:dyDescent="0.2">
      <c r="B32" s="1"/>
      <c r="C32" s="3" t="s">
        <v>18</v>
      </c>
      <c r="D32" s="26">
        <f>SUM(D26:D31)</f>
        <v>720</v>
      </c>
      <c r="E32" s="39">
        <f>SUM(E26:E31)</f>
        <v>23.225806451612904</v>
      </c>
      <c r="F32" s="15">
        <f>SUM(F26:F31)</f>
        <v>0.99999999999999989</v>
      </c>
      <c r="G32" s="5">
        <f t="shared" ref="G32:AK32" si="52">SUM(G26:G31)</f>
        <v>25.28981660692952</v>
      </c>
      <c r="H32" s="5">
        <f t="shared" si="52"/>
        <v>25.276066606929522</v>
      </c>
      <c r="I32" s="5">
        <f t="shared" si="52"/>
        <v>35.588566606929518</v>
      </c>
      <c r="J32" s="5">
        <f t="shared" si="52"/>
        <v>35.547316606929513</v>
      </c>
      <c r="K32" s="5">
        <f t="shared" si="52"/>
        <v>25.386066606929518</v>
      </c>
      <c r="L32" s="5">
        <f t="shared" si="52"/>
        <v>23.226112903225811</v>
      </c>
      <c r="M32" s="5">
        <f t="shared" si="52"/>
        <v>47.592316606929515</v>
      </c>
      <c r="N32" s="5">
        <f t="shared" si="52"/>
        <v>26.128566606929507</v>
      </c>
      <c r="O32" s="5">
        <f t="shared" si="52"/>
        <v>35.231066606929531</v>
      </c>
      <c r="P32" s="5">
        <f t="shared" si="52"/>
        <v>16.682316606929522</v>
      </c>
      <c r="Q32" s="5">
        <f t="shared" si="52"/>
        <v>21.591066606929513</v>
      </c>
      <c r="R32" s="5">
        <f t="shared" si="52"/>
        <v>41.927316606929516</v>
      </c>
      <c r="S32" s="5">
        <f t="shared" si="52"/>
        <v>23.226112903225811</v>
      </c>
      <c r="T32" s="5">
        <f t="shared" si="52"/>
        <v>17.287316606929505</v>
      </c>
      <c r="U32" s="5">
        <f t="shared" si="52"/>
        <v>12.804816606929522</v>
      </c>
      <c r="V32" s="5">
        <f t="shared" si="52"/>
        <v>20.009816606929505</v>
      </c>
      <c r="W32" s="5">
        <f t="shared" si="52"/>
        <v>15.58231660692951</v>
      </c>
      <c r="X32" s="5">
        <f t="shared" si="52"/>
        <v>10.233566606929514</v>
      </c>
      <c r="Y32" s="5">
        <f t="shared" si="52"/>
        <v>28.672316606929513</v>
      </c>
      <c r="Z32" s="5">
        <f t="shared" si="52"/>
        <v>23.226112903225811</v>
      </c>
      <c r="AA32" s="5">
        <f t="shared" si="52"/>
        <v>28.617316606929517</v>
      </c>
      <c r="AB32" s="5">
        <f t="shared" si="52"/>
        <v>8.6798166069295206</v>
      </c>
      <c r="AC32" s="5">
        <f t="shared" si="52"/>
        <v>21.852316606929516</v>
      </c>
      <c r="AD32" s="5">
        <f t="shared" si="52"/>
        <v>16.929816606929521</v>
      </c>
      <c r="AE32" s="5">
        <f t="shared" si="52"/>
        <v>25.812316606929507</v>
      </c>
      <c r="AF32" s="5">
        <f t="shared" si="52"/>
        <v>40.90981660692951</v>
      </c>
      <c r="AG32" s="5">
        <f t="shared" si="52"/>
        <v>23.226112903225811</v>
      </c>
      <c r="AH32" s="5">
        <f t="shared" si="52"/>
        <v>18.772316606929525</v>
      </c>
      <c r="AI32" s="5">
        <f t="shared" si="52"/>
        <v>8.6935666069295152</v>
      </c>
      <c r="AJ32" s="5">
        <f t="shared" si="52"/>
        <v>22.636066606929521</v>
      </c>
      <c r="AK32" s="5">
        <f t="shared" si="52"/>
        <v>21.288566606929507</v>
      </c>
      <c r="AL32" s="4"/>
      <c r="AM32" s="5">
        <f>SUM(AM26:AM31)</f>
        <v>747.92700000000013</v>
      </c>
      <c r="AN32" s="70">
        <f>SUM(AN26:AN31)</f>
        <v>0.99999999999999989</v>
      </c>
    </row>
    <row r="33" spans="2:40" ht="4.5" customHeight="1" x14ac:dyDescent="0.2">
      <c r="D33" s="7"/>
      <c r="E33" s="7" t="s">
        <v>26</v>
      </c>
      <c r="F33" s="11"/>
      <c r="AN33" s="11"/>
    </row>
    <row r="34" spans="2:40" ht="15" x14ac:dyDescent="0.2">
      <c r="C34" s="3" t="s">
        <v>7</v>
      </c>
      <c r="D34" s="5">
        <f>D21+D32</f>
        <v>2300</v>
      </c>
      <c r="E34" s="5">
        <f>D34/31</f>
        <v>74.193548387096769</v>
      </c>
      <c r="F34" s="26">
        <f>D34/0.71</f>
        <v>3239.4366197183099</v>
      </c>
      <c r="G34" s="5">
        <f t="shared" ref="G34:AK34" si="53">G21+G32</f>
        <v>76.257558542413378</v>
      </c>
      <c r="H34" s="5">
        <f t="shared" si="53"/>
        <v>76.243808542413376</v>
      </c>
      <c r="I34" s="5">
        <f t="shared" si="53"/>
        <v>86.556308542413376</v>
      </c>
      <c r="J34" s="5">
        <f t="shared" si="53"/>
        <v>86.515058542413371</v>
      </c>
      <c r="K34" s="5">
        <f t="shared" si="53"/>
        <v>76.353808542413375</v>
      </c>
      <c r="L34" s="5">
        <f t="shared" si="53"/>
        <v>74.193854838709669</v>
      </c>
      <c r="M34" s="5">
        <f t="shared" si="53"/>
        <v>98.560058542413373</v>
      </c>
      <c r="N34" s="5">
        <f t="shared" si="53"/>
        <v>77.096308542413368</v>
      </c>
      <c r="O34" s="5">
        <f t="shared" si="53"/>
        <v>86.198808542413389</v>
      </c>
      <c r="P34" s="5">
        <f t="shared" si="53"/>
        <v>67.650058542413376</v>
      </c>
      <c r="Q34" s="5">
        <f t="shared" si="53"/>
        <v>72.558808542413374</v>
      </c>
      <c r="R34" s="5">
        <f t="shared" si="53"/>
        <v>92.895058542413381</v>
      </c>
      <c r="S34" s="5">
        <f t="shared" si="53"/>
        <v>74.193854838709669</v>
      </c>
      <c r="T34" s="5">
        <f t="shared" si="53"/>
        <v>68.255058542413366</v>
      </c>
      <c r="U34" s="5">
        <f t="shared" si="53"/>
        <v>63.772558542413378</v>
      </c>
      <c r="V34" s="5">
        <f t="shared" si="53"/>
        <v>70.977558542413362</v>
      </c>
      <c r="W34" s="5">
        <f t="shared" si="53"/>
        <v>66.550058542413367</v>
      </c>
      <c r="X34" s="5">
        <f t="shared" si="53"/>
        <v>61.201308542413372</v>
      </c>
      <c r="Y34" s="5">
        <f t="shared" si="53"/>
        <v>79.640058542413371</v>
      </c>
      <c r="Z34" s="5">
        <f t="shared" si="53"/>
        <v>74.193854838709669</v>
      </c>
      <c r="AA34" s="5">
        <f t="shared" si="53"/>
        <v>79.585058542413378</v>
      </c>
      <c r="AB34" s="5">
        <f t="shared" si="53"/>
        <v>59.647558542413378</v>
      </c>
      <c r="AC34" s="5">
        <f t="shared" si="53"/>
        <v>72.820058542413378</v>
      </c>
      <c r="AD34" s="5">
        <f t="shared" si="53"/>
        <v>67.897558542413378</v>
      </c>
      <c r="AE34" s="5">
        <f t="shared" si="53"/>
        <v>76.780058542413371</v>
      </c>
      <c r="AF34" s="5">
        <f t="shared" si="53"/>
        <v>91.877558542413368</v>
      </c>
      <c r="AG34" s="5">
        <f t="shared" si="53"/>
        <v>74.193854838709669</v>
      </c>
      <c r="AH34" s="5">
        <f t="shared" si="53"/>
        <v>69.740058542413379</v>
      </c>
      <c r="AI34" s="5">
        <f t="shared" si="53"/>
        <v>59.661308542413373</v>
      </c>
      <c r="AJ34" s="5">
        <f t="shared" si="53"/>
        <v>73.603808542413375</v>
      </c>
      <c r="AK34" s="5">
        <f t="shared" si="53"/>
        <v>72.256308542413365</v>
      </c>
      <c r="AM34" s="5">
        <f>AM21+AM32</f>
        <v>2327.9269999999997</v>
      </c>
      <c r="AN34" s="12"/>
    </row>
    <row r="35" spans="2:40" ht="4.5" customHeight="1" x14ac:dyDescent="0.2"/>
    <row r="36" spans="2:40" ht="15" x14ac:dyDescent="0.2">
      <c r="C36" s="3"/>
      <c r="D36" s="5">
        <f>D34/31</f>
        <v>74.193548387096769</v>
      </c>
      <c r="E36" s="5"/>
      <c r="F36" s="9"/>
      <c r="G36" s="5">
        <f t="shared" ref="G36:AK36" si="54">G34-$D$36</f>
        <v>2.064010155316609</v>
      </c>
      <c r="H36" s="5">
        <f t="shared" si="54"/>
        <v>2.0502601553166073</v>
      </c>
      <c r="I36" s="5">
        <f t="shared" si="54"/>
        <v>12.362760155316607</v>
      </c>
      <c r="J36" s="5">
        <f t="shared" si="54"/>
        <v>12.321510155316602</v>
      </c>
      <c r="K36" s="5">
        <f t="shared" si="54"/>
        <v>2.1602601553166068</v>
      </c>
      <c r="L36" s="5">
        <f t="shared" si="54"/>
        <v>3.0645161290010492E-4</v>
      </c>
      <c r="M36" s="5">
        <f t="shared" si="54"/>
        <v>24.366510155316604</v>
      </c>
      <c r="N36" s="5">
        <f t="shared" si="54"/>
        <v>2.9027601553165994</v>
      </c>
      <c r="O36" s="5">
        <f t="shared" si="54"/>
        <v>12.00526015531662</v>
      </c>
      <c r="P36" s="5">
        <f t="shared" si="54"/>
        <v>-6.5434898446833927</v>
      </c>
      <c r="Q36" s="5">
        <f t="shared" si="54"/>
        <v>-1.6347398446833949</v>
      </c>
      <c r="R36" s="5">
        <f t="shared" si="54"/>
        <v>18.701510155316612</v>
      </c>
      <c r="S36" s="5">
        <f t="shared" si="54"/>
        <v>3.0645161290010492E-4</v>
      </c>
      <c r="T36" s="5">
        <f t="shared" si="54"/>
        <v>-5.9384898446834029</v>
      </c>
      <c r="U36" s="5">
        <f t="shared" si="54"/>
        <v>-10.42098984468339</v>
      </c>
      <c r="V36" s="5">
        <f t="shared" si="54"/>
        <v>-3.2159898446834063</v>
      </c>
      <c r="W36" s="5">
        <f t="shared" si="54"/>
        <v>-7.6434898446834012</v>
      </c>
      <c r="X36" s="5">
        <f t="shared" si="54"/>
        <v>-12.992239844683397</v>
      </c>
      <c r="Y36" s="5">
        <f t="shared" si="54"/>
        <v>5.4465101553166022</v>
      </c>
      <c r="Z36" s="5">
        <f t="shared" si="54"/>
        <v>3.0645161290010492E-4</v>
      </c>
      <c r="AA36" s="5">
        <f t="shared" si="54"/>
        <v>5.3915101553166096</v>
      </c>
      <c r="AB36" s="5">
        <f t="shared" si="54"/>
        <v>-14.54598984468339</v>
      </c>
      <c r="AC36" s="5">
        <f t="shared" si="54"/>
        <v>-1.373489844683391</v>
      </c>
      <c r="AD36" s="5">
        <f t="shared" si="54"/>
        <v>-6.2959898446833904</v>
      </c>
      <c r="AE36" s="5">
        <f t="shared" si="54"/>
        <v>2.5865101553166028</v>
      </c>
      <c r="AF36" s="5">
        <f t="shared" si="54"/>
        <v>17.684010155316599</v>
      </c>
      <c r="AG36" s="5">
        <f t="shared" si="54"/>
        <v>3.0645161290010492E-4</v>
      </c>
      <c r="AH36" s="5">
        <f t="shared" si="54"/>
        <v>-4.4534898446833893</v>
      </c>
      <c r="AI36" s="5">
        <f t="shared" si="54"/>
        <v>-14.532239844683396</v>
      </c>
      <c r="AJ36" s="5">
        <f t="shared" si="54"/>
        <v>-0.58973984468339324</v>
      </c>
      <c r="AK36" s="5">
        <f t="shared" si="54"/>
        <v>-1.937239844683404</v>
      </c>
      <c r="AM36" s="5">
        <f>SUM(G36:AK36)</f>
        <v>27.926999999999943</v>
      </c>
      <c r="AN36" s="9"/>
    </row>
    <row r="38" spans="2:40" ht="15" x14ac:dyDescent="0.2">
      <c r="B38" s="1"/>
      <c r="C38" s="3" t="s">
        <v>28</v>
      </c>
      <c r="D38" s="31"/>
      <c r="E38" s="31"/>
      <c r="F38" s="32"/>
      <c r="G38" s="5">
        <f>G36</f>
        <v>2.064010155316609</v>
      </c>
      <c r="H38" s="5">
        <f t="shared" ref="H38:M38" si="55">G38+H36</f>
        <v>4.1142703106332164</v>
      </c>
      <c r="I38" s="5">
        <f t="shared" si="55"/>
        <v>16.477030465949824</v>
      </c>
      <c r="J38" s="5">
        <f t="shared" si="55"/>
        <v>28.798540621266426</v>
      </c>
      <c r="K38" s="5">
        <f>J38+K36</f>
        <v>30.958800776583033</v>
      </c>
      <c r="L38" s="5">
        <f t="shared" si="55"/>
        <v>30.959107228195933</v>
      </c>
      <c r="M38" s="5">
        <f t="shared" si="55"/>
        <v>55.325617383512537</v>
      </c>
      <c r="N38" s="5">
        <f t="shared" ref="N38:W38" si="56">N36+M38</f>
        <v>58.228377538829136</v>
      </c>
      <c r="O38" s="5">
        <f t="shared" si="56"/>
        <v>70.233637694145756</v>
      </c>
      <c r="P38" s="5">
        <f t="shared" si="56"/>
        <v>63.690147849462363</v>
      </c>
      <c r="Q38" s="5">
        <f t="shared" si="56"/>
        <v>62.055408004778968</v>
      </c>
      <c r="R38" s="5">
        <f t="shared" si="56"/>
        <v>80.75691816009558</v>
      </c>
      <c r="S38" s="5">
        <f t="shared" si="56"/>
        <v>80.75722461170848</v>
      </c>
      <c r="T38" s="5">
        <f t="shared" si="56"/>
        <v>74.818734767025077</v>
      </c>
      <c r="U38" s="5">
        <f t="shared" si="56"/>
        <v>64.397744922341687</v>
      </c>
      <c r="V38" s="5">
        <f t="shared" si="56"/>
        <v>61.181755077658281</v>
      </c>
      <c r="W38" s="5">
        <f t="shared" si="56"/>
        <v>53.538265232974879</v>
      </c>
      <c r="X38" s="5">
        <f t="shared" ref="X38:AC38" si="57">X36+W38</f>
        <v>40.546025388291483</v>
      </c>
      <c r="Y38" s="5">
        <f t="shared" si="57"/>
        <v>45.992535543608085</v>
      </c>
      <c r="Z38" s="5">
        <f t="shared" si="57"/>
        <v>45.992841995220985</v>
      </c>
      <c r="AA38" s="5">
        <f t="shared" si="57"/>
        <v>51.384352150537595</v>
      </c>
      <c r="AB38" s="5">
        <f t="shared" si="57"/>
        <v>36.838362305854204</v>
      </c>
      <c r="AC38" s="5">
        <f t="shared" si="57"/>
        <v>35.464872461170813</v>
      </c>
      <c r="AD38" s="5">
        <f t="shared" ref="AD38:AK38" si="58">AD36+AC38</f>
        <v>29.168882616487423</v>
      </c>
      <c r="AE38" s="5">
        <f t="shared" si="58"/>
        <v>31.755392771804026</v>
      </c>
      <c r="AF38" s="5">
        <f t="shared" si="58"/>
        <v>49.439402927120625</v>
      </c>
      <c r="AG38" s="5">
        <f t="shared" si="58"/>
        <v>49.439709378733525</v>
      </c>
      <c r="AH38" s="5">
        <f t="shared" si="58"/>
        <v>44.986219534050136</v>
      </c>
      <c r="AI38" s="5">
        <f t="shared" si="58"/>
        <v>30.45397968936674</v>
      </c>
      <c r="AJ38" s="5">
        <f t="shared" si="58"/>
        <v>29.864239844683347</v>
      </c>
      <c r="AK38" s="5">
        <f t="shared" si="58"/>
        <v>27.926999999999943</v>
      </c>
      <c r="AL38" s="4"/>
      <c r="AM38" s="5"/>
      <c r="AN38" s="9"/>
    </row>
    <row r="39" spans="2:40" ht="15" customHeight="1" x14ac:dyDescent="0.2"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</row>
    <row r="40" spans="2:40" ht="15" customHeight="1" x14ac:dyDescent="0.2">
      <c r="G40" s="5" t="s">
        <v>47</v>
      </c>
      <c r="H40" s="5" t="s">
        <v>48</v>
      </c>
      <c r="I40" s="5" t="s">
        <v>49</v>
      </c>
      <c r="J40" s="5" t="s">
        <v>50</v>
      </c>
      <c r="K40" s="5" t="s">
        <v>51</v>
      </c>
      <c r="L40" s="54" t="s">
        <v>45</v>
      </c>
      <c r="M40" s="5" t="s">
        <v>46</v>
      </c>
      <c r="N40" s="5" t="s">
        <v>47</v>
      </c>
      <c r="O40" s="5" t="s">
        <v>48</v>
      </c>
      <c r="P40" s="5" t="s">
        <v>49</v>
      </c>
      <c r="Q40" s="5" t="s">
        <v>50</v>
      </c>
      <c r="R40" s="5" t="s">
        <v>51</v>
      </c>
      <c r="S40" s="54" t="s">
        <v>45</v>
      </c>
      <c r="T40" s="5" t="s">
        <v>46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4" t="s">
        <v>45</v>
      </c>
      <c r="AA40" s="5" t="s">
        <v>46</v>
      </c>
      <c r="AB40" s="5" t="s">
        <v>47</v>
      </c>
      <c r="AC40" s="5" t="s">
        <v>48</v>
      </c>
      <c r="AD40" s="5" t="s">
        <v>49</v>
      </c>
      <c r="AE40" s="5" t="s">
        <v>50</v>
      </c>
      <c r="AF40" s="5" t="s">
        <v>51</v>
      </c>
      <c r="AG40" s="54" t="s">
        <v>45</v>
      </c>
      <c r="AH40" s="5" t="s">
        <v>46</v>
      </c>
      <c r="AI40" s="5" t="s">
        <v>47</v>
      </c>
      <c r="AJ40" s="5" t="s">
        <v>48</v>
      </c>
      <c r="AK40" s="5" t="s">
        <v>49</v>
      </c>
    </row>
    <row r="41" spans="2:40" ht="15" customHeight="1" x14ac:dyDescent="0.2">
      <c r="B41" s="1" t="s">
        <v>0</v>
      </c>
      <c r="C41" s="1" t="s">
        <v>1</v>
      </c>
      <c r="D41" s="1" t="s">
        <v>24</v>
      </c>
      <c r="E41" s="1" t="s">
        <v>25</v>
      </c>
      <c r="F41" s="1" t="s">
        <v>2</v>
      </c>
      <c r="G41" s="1">
        <v>1</v>
      </c>
      <c r="H41" s="1">
        <v>2</v>
      </c>
      <c r="I41" s="1">
        <v>3</v>
      </c>
      <c r="J41" s="1">
        <v>4</v>
      </c>
      <c r="K41" s="1">
        <v>5</v>
      </c>
      <c r="L41" s="1">
        <v>6</v>
      </c>
      <c r="M41" s="1">
        <v>7</v>
      </c>
      <c r="N41" s="1">
        <v>8</v>
      </c>
      <c r="O41" s="1">
        <v>9</v>
      </c>
      <c r="P41" s="1">
        <v>10</v>
      </c>
      <c r="Q41" s="1">
        <v>11</v>
      </c>
      <c r="R41" s="1">
        <v>12</v>
      </c>
      <c r="S41" s="1">
        <v>13</v>
      </c>
      <c r="T41" s="1">
        <v>14</v>
      </c>
      <c r="U41" s="1">
        <v>15</v>
      </c>
      <c r="V41" s="1">
        <v>16</v>
      </c>
      <c r="W41" s="1">
        <v>17</v>
      </c>
      <c r="X41" s="1">
        <v>18</v>
      </c>
      <c r="Y41" s="1">
        <v>19</v>
      </c>
      <c r="Z41" s="1">
        <v>20</v>
      </c>
      <c r="AA41" s="1">
        <v>21</v>
      </c>
      <c r="AB41" s="1">
        <v>22</v>
      </c>
      <c r="AC41" s="1">
        <v>23</v>
      </c>
      <c r="AD41" s="1">
        <v>24</v>
      </c>
      <c r="AE41" s="1">
        <v>25</v>
      </c>
      <c r="AF41" s="1">
        <v>26</v>
      </c>
      <c r="AG41" s="1">
        <v>27</v>
      </c>
      <c r="AH41" s="1">
        <v>28</v>
      </c>
      <c r="AI41" s="1">
        <v>29</v>
      </c>
      <c r="AJ41" s="1">
        <v>30</v>
      </c>
      <c r="AK41" s="1">
        <v>31</v>
      </c>
      <c r="AM41" s="1" t="s">
        <v>7</v>
      </c>
      <c r="AN41" s="1" t="s">
        <v>2</v>
      </c>
    </row>
    <row r="42" spans="2:40" ht="15" customHeight="1" x14ac:dyDescent="0.2">
      <c r="C42" s="4" t="s">
        <v>55</v>
      </c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</row>
    <row r="43" spans="2:40" ht="15" customHeight="1" x14ac:dyDescent="0.2">
      <c r="B43" s="1">
        <v>15</v>
      </c>
      <c r="C43" s="1" t="s">
        <v>31</v>
      </c>
      <c r="D43" s="6"/>
      <c r="E43" s="6"/>
      <c r="F43" s="10">
        <v>0.15</v>
      </c>
      <c r="G43" s="6"/>
      <c r="H43" s="6"/>
      <c r="I43" s="6"/>
      <c r="J43" s="6"/>
      <c r="K43" s="6"/>
      <c r="L43" s="6"/>
      <c r="M43" s="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M43" s="5">
        <f>$D$3*F43</f>
        <v>4.1876250000000113</v>
      </c>
      <c r="AN43" s="8"/>
    </row>
    <row r="44" spans="2:40" ht="15" customHeight="1" x14ac:dyDescent="0.2">
      <c r="B44" s="1">
        <v>16</v>
      </c>
      <c r="C44" s="1" t="s">
        <v>32</v>
      </c>
      <c r="D44" s="6"/>
      <c r="E44" s="6"/>
      <c r="F44" s="10">
        <v>0.15</v>
      </c>
      <c r="G44" s="6"/>
      <c r="H44" s="6"/>
      <c r="I44" s="6"/>
      <c r="J44" s="6"/>
      <c r="K44" s="6"/>
      <c r="L44" s="6"/>
      <c r="M44" s="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M44" s="5">
        <f>$D$3*F44</f>
        <v>4.1876250000000113</v>
      </c>
      <c r="AN44" s="8"/>
    </row>
    <row r="45" spans="2:40" ht="15" customHeight="1" x14ac:dyDescent="0.2">
      <c r="B45" s="1">
        <v>17</v>
      </c>
      <c r="C45" s="1" t="s">
        <v>33</v>
      </c>
      <c r="D45" s="6"/>
      <c r="E45" s="6"/>
      <c r="F45" s="10">
        <v>0.15</v>
      </c>
      <c r="G45" s="6"/>
      <c r="H45" s="6"/>
      <c r="I45" s="6"/>
      <c r="J45" s="6"/>
      <c r="K45" s="6"/>
      <c r="L45" s="6"/>
      <c r="M45" s="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M45" s="5">
        <f>$D$3*F45</f>
        <v>4.1876250000000113</v>
      </c>
      <c r="AN45" s="8"/>
    </row>
    <row r="46" spans="2:40" ht="15" customHeight="1" x14ac:dyDescent="0.2">
      <c r="B46" s="1">
        <v>18</v>
      </c>
      <c r="C46" s="1" t="s">
        <v>34</v>
      </c>
      <c r="D46" s="6"/>
      <c r="E46" s="6"/>
      <c r="F46" s="10">
        <v>0.1</v>
      </c>
      <c r="G46" s="6"/>
      <c r="H46" s="6"/>
      <c r="I46" s="6"/>
      <c r="J46" s="6"/>
      <c r="K46" s="6"/>
      <c r="L46" s="6"/>
      <c r="M46" s="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M46" s="5">
        <f>$D$3*F46</f>
        <v>2.7917500000000075</v>
      </c>
      <c r="AN46" s="8"/>
    </row>
    <row r="47" spans="2:40" s="13" customFormat="1" ht="15" customHeight="1" x14ac:dyDescent="0.2">
      <c r="B47" s="1"/>
      <c r="C47" s="3" t="s">
        <v>57</v>
      </c>
      <c r="D47" s="26"/>
      <c r="E47" s="26"/>
      <c r="F47" s="15">
        <f>SUM(F43:F46)</f>
        <v>0.54999999999999993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4"/>
      <c r="AM47" s="5">
        <f>SUM(AM43:AM46)</f>
        <v>15.354625000000041</v>
      </c>
      <c r="AN47" s="9"/>
    </row>
    <row r="48" spans="2:40" s="13" customFormat="1" ht="15" customHeight="1" x14ac:dyDescent="0.2">
      <c r="D48" s="36"/>
      <c r="E48" s="36"/>
      <c r="F48" s="67"/>
      <c r="G48" s="36"/>
      <c r="H48" s="36"/>
      <c r="I48" s="36"/>
      <c r="J48" s="36"/>
      <c r="K48" s="36"/>
      <c r="L48" s="36"/>
      <c r="M48" s="36"/>
      <c r="AM48" s="14"/>
      <c r="AN48" s="60"/>
    </row>
    <row r="49" spans="2:40" s="13" customFormat="1" ht="15" customHeight="1" x14ac:dyDescent="0.2">
      <c r="B49" s="22"/>
      <c r="C49" s="4" t="s">
        <v>56</v>
      </c>
      <c r="D49" s="64"/>
      <c r="E49" s="64"/>
      <c r="F49" s="65"/>
      <c r="G49" s="64"/>
      <c r="H49" s="64"/>
      <c r="I49" s="64"/>
      <c r="J49" s="64"/>
      <c r="K49" s="64"/>
      <c r="L49" s="64"/>
      <c r="M49" s="6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M49" s="24"/>
      <c r="AN49" s="66"/>
    </row>
    <row r="50" spans="2:40" ht="15" customHeight="1" x14ac:dyDescent="0.2">
      <c r="B50" s="1">
        <v>19</v>
      </c>
      <c r="C50" s="1" t="s">
        <v>52</v>
      </c>
      <c r="D50" s="6"/>
      <c r="E50" s="6"/>
      <c r="F50" s="10">
        <v>0.15</v>
      </c>
      <c r="G50" s="6"/>
      <c r="H50" s="6"/>
      <c r="I50" s="6"/>
      <c r="J50" s="6"/>
      <c r="K50" s="6"/>
      <c r="L50" s="6"/>
      <c r="M50" s="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M50" s="5">
        <f>$D$3*F50</f>
        <v>4.1876250000000113</v>
      </c>
      <c r="AN50" s="8"/>
    </row>
    <row r="51" spans="2:40" ht="15" customHeight="1" x14ac:dyDescent="0.2">
      <c r="B51" s="1">
        <v>20</v>
      </c>
      <c r="C51" s="1" t="s">
        <v>34</v>
      </c>
      <c r="D51" s="6"/>
      <c r="E51" s="6"/>
      <c r="F51" s="10">
        <v>0.1</v>
      </c>
      <c r="G51" s="6"/>
      <c r="H51" s="6"/>
      <c r="I51" s="6"/>
      <c r="J51" s="6"/>
      <c r="K51" s="6"/>
      <c r="L51" s="6"/>
      <c r="M51" s="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M51" s="5">
        <f>$D$3*F51</f>
        <v>2.7917500000000075</v>
      </c>
      <c r="AN51" s="8"/>
    </row>
    <row r="52" spans="2:40" ht="15" customHeight="1" x14ac:dyDescent="0.2">
      <c r="B52" s="1">
        <v>21</v>
      </c>
      <c r="C52" s="1" t="s">
        <v>53</v>
      </c>
      <c r="D52" s="6"/>
      <c r="E52" s="6"/>
      <c r="F52" s="10">
        <v>0.2</v>
      </c>
      <c r="G52" s="6"/>
      <c r="H52" s="6"/>
      <c r="I52" s="6"/>
      <c r="J52" s="6"/>
      <c r="K52" s="6"/>
      <c r="L52" s="6"/>
      <c r="M52" s="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M52" s="5">
        <f>$D$3*F52</f>
        <v>5.583500000000015</v>
      </c>
      <c r="AN52" s="8"/>
    </row>
    <row r="53" spans="2:40" ht="15" customHeight="1" x14ac:dyDescent="0.2">
      <c r="B53" s="1"/>
      <c r="C53" s="3" t="s">
        <v>58</v>
      </c>
      <c r="D53" s="26"/>
      <c r="E53" s="26"/>
      <c r="F53" s="15">
        <f>SUM(F50:F52)</f>
        <v>0.45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4"/>
      <c r="AM53" s="5">
        <f>SUM(AM50:AM52)</f>
        <v>12.562875000000034</v>
      </c>
      <c r="AN53" s="9"/>
    </row>
    <row r="54" spans="2:40" ht="15" customHeight="1" x14ac:dyDescent="0.2">
      <c r="G54" s="4423"/>
      <c r="H54" s="4423"/>
      <c r="I54" s="4423"/>
      <c r="J54" s="4423"/>
      <c r="K54" s="4423"/>
      <c r="L54" s="4423"/>
      <c r="M54" s="4423"/>
      <c r="N54" s="4423"/>
      <c r="O54" s="4423"/>
      <c r="P54" s="4423"/>
      <c r="Q54" s="4423"/>
    </row>
    <row r="55" spans="2:40" ht="15" customHeight="1" x14ac:dyDescent="0.2">
      <c r="D55" s="1"/>
      <c r="E55" s="1"/>
      <c r="F55" s="68">
        <f>F47+F53</f>
        <v>1</v>
      </c>
      <c r="G55" s="4423"/>
      <c r="H55" s="4423"/>
      <c r="I55" s="4423"/>
      <c r="J55" s="4423"/>
      <c r="K55" s="4423"/>
      <c r="L55" s="4423"/>
      <c r="M55" s="4423"/>
      <c r="N55" s="4423"/>
      <c r="O55" s="4423"/>
      <c r="P55" s="4423"/>
      <c r="Q55" s="4423"/>
      <c r="AM55" s="5">
        <f>AM47+AM53</f>
        <v>27.917500000000075</v>
      </c>
      <c r="AN55" s="1"/>
    </row>
  </sheetData>
  <sortState xmlns:xlrd2="http://schemas.microsoft.com/office/spreadsheetml/2017/richdata2" ref="C26:F31">
    <sortCondition descending="1" ref="F26"/>
  </sortState>
  <mergeCells count="2">
    <mergeCell ref="G55:Q55"/>
    <mergeCell ref="G54:Q54"/>
  </mergeCells>
  <conditionalFormatting sqref="G34:AK34 G36:AK36">
    <cfRule type="cellIs" dxfId="460" priority="13" operator="greaterThan">
      <formula>$D$36</formula>
    </cfRule>
    <cfRule type="cellIs" dxfId="459" priority="15" operator="lessThan">
      <formula>$D$36</formula>
    </cfRule>
  </conditionalFormatting>
  <conditionalFormatting sqref="G36">
    <cfRule type="cellIs" dxfId="458" priority="8" operator="greaterThan">
      <formula>0</formula>
    </cfRule>
    <cfRule type="cellIs" dxfId="457" priority="9" operator="lessThan">
      <formula>$D$36</formula>
    </cfRule>
    <cfRule type="cellIs" dxfId="456" priority="10" operator="greaterThan">
      <formula>$D$36</formula>
    </cfRule>
  </conditionalFormatting>
  <conditionalFormatting sqref="H36">
    <cfRule type="cellIs" dxfId="455" priority="6" operator="greaterThan">
      <formula>0.483</formula>
    </cfRule>
    <cfRule type="cellIs" dxfId="454" priority="7" operator="greaterThan">
      <formula>0</formula>
    </cfRule>
  </conditionalFormatting>
  <conditionalFormatting sqref="I36">
    <cfRule type="cellIs" dxfId="453" priority="4" operator="greaterThan">
      <formula>0</formula>
    </cfRule>
    <cfRule type="cellIs" dxfId="452" priority="5" operator="greaterThan">
      <formula>0</formula>
    </cfRule>
  </conditionalFormatting>
  <conditionalFormatting sqref="J36:AK36">
    <cfRule type="cellIs" dxfId="451" priority="3" operator="greaterThan">
      <formula>0</formula>
    </cfRule>
  </conditionalFormatting>
  <conditionalFormatting sqref="G38:AK38">
    <cfRule type="cellIs" dxfId="450" priority="1" operator="lessThan">
      <formula>0</formula>
    </cfRule>
    <cfRule type="cellIs" dxfId="4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W49"/>
  <sheetViews>
    <sheetView zoomScale="80" zoomScaleNormal="80" zoomScaleSheetLayoutView="80" workbookViewId="0">
      <pane xSplit="6" ySplit="6" topLeftCell="Y7" activePane="bottomRight" state="frozen"/>
      <selection pane="topRight" activeCell="G1" sqref="G1"/>
      <selection pane="bottomLeft" activeCell="A8" sqref="A8"/>
      <selection pane="bottomRight" activeCell="E4" sqref="E4"/>
    </sheetView>
  </sheetViews>
  <sheetFormatPr defaultColWidth="9.125" defaultRowHeight="15" x14ac:dyDescent="0.2"/>
  <cols>
    <col min="1" max="1" width="1.75" style="327" customWidth="1"/>
    <col min="2" max="2" width="4.75" style="327" customWidth="1"/>
    <col min="3" max="3" width="41.375" style="327" bestFit="1" customWidth="1"/>
    <col min="4" max="4" width="10.375" style="327" bestFit="1" customWidth="1"/>
    <col min="5" max="5" width="10.375" style="327" customWidth="1"/>
    <col min="6" max="6" width="9.875" style="327" bestFit="1" customWidth="1"/>
    <col min="7" max="26" width="9.125" style="327"/>
    <col min="27" max="28" width="9" style="327" customWidth="1"/>
    <col min="29" max="36" width="9.125" style="327"/>
    <col min="37" max="37" width="1.75" style="327" customWidth="1"/>
    <col min="38" max="38" width="9.125" style="327" customWidth="1"/>
    <col min="39" max="39" width="9" style="327" customWidth="1"/>
    <col min="40" max="40" width="1.75" style="327" customWidth="1"/>
    <col min="41" max="41" width="10" style="327" bestFit="1" customWidth="1"/>
    <col min="42" max="42" width="9.875" style="327" bestFit="1" customWidth="1"/>
    <col min="43" max="43" width="1.875" style="327" customWidth="1"/>
    <col min="44" max="46" width="12" style="327" bestFit="1" customWidth="1"/>
    <col min="47" max="16384" width="9.125" style="327"/>
  </cols>
  <sheetData>
    <row r="1" spans="2:49" ht="20.25" customHeight="1" x14ac:dyDescent="0.2">
      <c r="C1" s="4456">
        <v>43405</v>
      </c>
      <c r="D1" s="4466" t="s">
        <v>40</v>
      </c>
      <c r="E1" s="4466"/>
      <c r="F1" s="4467"/>
      <c r="G1" s="133"/>
      <c r="H1" s="309"/>
      <c r="I1" s="134"/>
      <c r="O1" s="309"/>
      <c r="AC1" s="309"/>
      <c r="AF1" s="277"/>
      <c r="AJ1" s="309"/>
      <c r="AK1" s="4483" t="s">
        <v>90</v>
      </c>
      <c r="AL1" s="4483"/>
      <c r="AM1" s="4483"/>
      <c r="AN1" s="4484"/>
      <c r="AO1" s="4479">
        <f>30/30</f>
        <v>1</v>
      </c>
      <c r="AP1" s="4480"/>
      <c r="AR1" s="257">
        <f>AR2-AR3</f>
        <v>212.31666666666661</v>
      </c>
      <c r="AS1" s="258">
        <f>AR1*30%</f>
        <v>63.694999999999979</v>
      </c>
      <c r="AT1" s="259"/>
      <c r="AU1" s="4472" t="s">
        <v>83</v>
      </c>
      <c r="AV1" s="4423"/>
      <c r="AW1" s="4423"/>
    </row>
    <row r="2" spans="2:49" ht="20.25" customHeight="1" thickBot="1" x14ac:dyDescent="0.25">
      <c r="C2" s="4457"/>
      <c r="D2" s="4466" t="s">
        <v>41</v>
      </c>
      <c r="E2" s="4466"/>
      <c r="F2" s="4467"/>
      <c r="G2" s="133"/>
      <c r="H2" s="309"/>
      <c r="I2" s="134"/>
      <c r="O2" s="309"/>
      <c r="AC2" s="309"/>
      <c r="AF2" s="277"/>
      <c r="AJ2" s="309"/>
      <c r="AL2" s="4473" t="s">
        <v>54</v>
      </c>
      <c r="AM2" s="4476" t="s">
        <v>61</v>
      </c>
      <c r="AO2" s="4481"/>
      <c r="AP2" s="4482"/>
      <c r="AR2" s="260">
        <f>AO3/30*30</f>
        <v>3607.15</v>
      </c>
      <c r="AS2" s="261">
        <f>AR2*30%</f>
        <v>1082.145</v>
      </c>
      <c r="AT2" s="262">
        <f>AS2-D17</f>
        <v>63.694999999999936</v>
      </c>
      <c r="AU2" s="4472"/>
      <c r="AV2" s="4423"/>
      <c r="AW2" s="4423"/>
    </row>
    <row r="3" spans="2:49" s="255" customFormat="1" ht="15" customHeight="1" x14ac:dyDescent="0.2">
      <c r="C3" s="43" t="s">
        <v>35</v>
      </c>
      <c r="D3" s="40"/>
      <c r="E3" s="40"/>
      <c r="F3" s="193"/>
      <c r="G3" s="80">
        <v>143.25</v>
      </c>
      <c r="H3" s="300">
        <v>115.7</v>
      </c>
      <c r="I3" s="325">
        <v>103.95</v>
      </c>
      <c r="J3" s="40">
        <v>134.19999999999999</v>
      </c>
      <c r="K3" s="40">
        <v>162.05000000000001</v>
      </c>
      <c r="L3" s="40">
        <v>87.4</v>
      </c>
      <c r="M3" s="40">
        <v>186.85</v>
      </c>
      <c r="N3" s="40">
        <v>179.1</v>
      </c>
      <c r="O3" s="215">
        <v>61.25</v>
      </c>
      <c r="P3" s="40">
        <v>185.7</v>
      </c>
      <c r="Q3" s="40">
        <v>172.15</v>
      </c>
      <c r="R3" s="40">
        <v>131.25</v>
      </c>
      <c r="S3" s="40">
        <v>71.95</v>
      </c>
      <c r="T3" s="40">
        <v>98.3</v>
      </c>
      <c r="U3" s="40">
        <v>93.05</v>
      </c>
      <c r="V3" s="215">
        <v>11</v>
      </c>
      <c r="W3" s="40">
        <v>170.45</v>
      </c>
      <c r="X3" s="40">
        <v>131.5</v>
      </c>
      <c r="Y3" s="40">
        <v>65</v>
      </c>
      <c r="Z3" s="40">
        <v>72.150000000000006</v>
      </c>
      <c r="AA3" s="40">
        <v>96</v>
      </c>
      <c r="AB3" s="40">
        <v>55.75</v>
      </c>
      <c r="AC3" s="215">
        <v>43</v>
      </c>
      <c r="AD3" s="40">
        <v>135.55000000000001</v>
      </c>
      <c r="AE3" s="40">
        <v>102.45</v>
      </c>
      <c r="AF3" s="40">
        <v>121.2</v>
      </c>
      <c r="AG3" s="40">
        <v>131.6</v>
      </c>
      <c r="AH3" s="40">
        <v>220</v>
      </c>
      <c r="AI3" s="40">
        <v>206.3</v>
      </c>
      <c r="AJ3" s="215">
        <v>119.05</v>
      </c>
      <c r="AK3" s="50">
        <v>0</v>
      </c>
      <c r="AL3" s="4474"/>
      <c r="AM3" s="4477"/>
      <c r="AN3" s="50"/>
      <c r="AO3" s="306">
        <f>SUM(G3:AJ3)</f>
        <v>3607.15</v>
      </c>
      <c r="AP3" s="307">
        <f>AO3/AR3</f>
        <v>1.0625411164023761</v>
      </c>
      <c r="AR3" s="40">
        <f>D39</f>
        <v>3394.8333333333335</v>
      </c>
      <c r="AS3" s="42">
        <f>AR3-AO3</f>
        <v>-212.31666666666661</v>
      </c>
      <c r="AT3" s="42">
        <f>AS3/1</f>
        <v>-212.31666666666661</v>
      </c>
      <c r="AU3" s="50"/>
    </row>
    <row r="4" spans="2:49" x14ac:dyDescent="0.2">
      <c r="C4" s="3" t="s">
        <v>89</v>
      </c>
      <c r="D4" s="5"/>
      <c r="E4" s="5">
        <f>AO39</f>
        <v>63.694999999999958</v>
      </c>
      <c r="F4" s="266"/>
      <c r="G4" s="37">
        <f>G3*30%</f>
        <v>42.975000000000001</v>
      </c>
      <c r="H4" s="158">
        <f t="shared" ref="H4:AI4" si="0">H3*30%</f>
        <v>34.71</v>
      </c>
      <c r="I4" s="323">
        <f t="shared" si="0"/>
        <v>31.184999999999999</v>
      </c>
      <c r="J4" s="5">
        <f t="shared" si="0"/>
        <v>40.26</v>
      </c>
      <c r="K4" s="5">
        <f t="shared" si="0"/>
        <v>48.615000000000002</v>
      </c>
      <c r="L4" s="5">
        <f t="shared" si="0"/>
        <v>26.220000000000002</v>
      </c>
      <c r="M4" s="5">
        <f t="shared" si="0"/>
        <v>56.055</v>
      </c>
      <c r="N4" s="5">
        <f t="shared" si="0"/>
        <v>53.73</v>
      </c>
      <c r="O4" s="118">
        <f t="shared" si="0"/>
        <v>18.375</v>
      </c>
      <c r="P4" s="5">
        <f t="shared" si="0"/>
        <v>55.709999999999994</v>
      </c>
      <c r="Q4" s="5">
        <f t="shared" si="0"/>
        <v>51.645000000000003</v>
      </c>
      <c r="R4" s="5">
        <f t="shared" si="0"/>
        <v>39.375</v>
      </c>
      <c r="S4" s="5">
        <f t="shared" si="0"/>
        <v>21.585000000000001</v>
      </c>
      <c r="T4" s="5">
        <f t="shared" si="0"/>
        <v>29.49</v>
      </c>
      <c r="U4" s="5">
        <f t="shared" si="0"/>
        <v>27.914999999999999</v>
      </c>
      <c r="V4" s="118">
        <f t="shared" si="0"/>
        <v>3.3</v>
      </c>
      <c r="W4" s="5">
        <f t="shared" si="0"/>
        <v>51.134999999999998</v>
      </c>
      <c r="X4" s="5">
        <f t="shared" si="0"/>
        <v>39.449999999999996</v>
      </c>
      <c r="Y4" s="5">
        <f t="shared" si="0"/>
        <v>19.5</v>
      </c>
      <c r="Z4" s="5">
        <f t="shared" si="0"/>
        <v>21.645</v>
      </c>
      <c r="AA4" s="5">
        <f t="shared" si="0"/>
        <v>28.799999999999997</v>
      </c>
      <c r="AB4" s="5">
        <f t="shared" si="0"/>
        <v>16.724999999999998</v>
      </c>
      <c r="AC4" s="118">
        <f t="shared" si="0"/>
        <v>12.9</v>
      </c>
      <c r="AD4" s="5">
        <f t="shared" si="0"/>
        <v>40.664999999999999</v>
      </c>
      <c r="AE4" s="5">
        <f t="shared" si="0"/>
        <v>30.734999999999999</v>
      </c>
      <c r="AF4" s="5">
        <f>AF3*30%</f>
        <v>36.36</v>
      </c>
      <c r="AG4" s="5">
        <f t="shared" si="0"/>
        <v>39.479999999999997</v>
      </c>
      <c r="AH4" s="5">
        <f t="shared" si="0"/>
        <v>66</v>
      </c>
      <c r="AI4" s="5">
        <f t="shared" si="0"/>
        <v>61.89</v>
      </c>
      <c r="AJ4" s="118">
        <f>AJ3*30%</f>
        <v>35.714999999999996</v>
      </c>
      <c r="AK4" s="171"/>
      <c r="AL4" s="4474"/>
      <c r="AM4" s="4477"/>
      <c r="AN4" s="171"/>
      <c r="AO4" s="305">
        <f>SUM(G4:AJ4)</f>
        <v>1082.1449999999998</v>
      </c>
      <c r="AP4" s="266">
        <f>AO4/D17</f>
        <v>1.0625411164023759</v>
      </c>
      <c r="AR4" s="5">
        <f>AO4-D17</f>
        <v>63.694999999999709</v>
      </c>
      <c r="AS4" s="39">
        <f>AR4/1</f>
        <v>63.694999999999709</v>
      </c>
      <c r="AT4" s="39">
        <f>AS4*100%/30%</f>
        <v>212.3166666666657</v>
      </c>
    </row>
    <row r="5" spans="2:49" s="255" customFormat="1" ht="15" customHeight="1" thickBot="1" x14ac:dyDescent="0.25">
      <c r="C5" s="81"/>
      <c r="F5" s="337"/>
      <c r="G5" s="326" t="s">
        <v>51</v>
      </c>
      <c r="H5" s="215" t="s">
        <v>45</v>
      </c>
      <c r="I5" s="40" t="s">
        <v>46</v>
      </c>
      <c r="J5" s="40" t="s">
        <v>47</v>
      </c>
      <c r="K5" s="40" t="s">
        <v>48</v>
      </c>
      <c r="L5" s="40" t="s">
        <v>49</v>
      </c>
      <c r="M5" s="40" t="s">
        <v>50</v>
      </c>
      <c r="N5" s="40" t="s">
        <v>51</v>
      </c>
      <c r="O5" s="215" t="s">
        <v>45</v>
      </c>
      <c r="P5" s="40" t="s">
        <v>46</v>
      </c>
      <c r="Q5" s="40" t="s">
        <v>47</v>
      </c>
      <c r="R5" s="40" t="s">
        <v>48</v>
      </c>
      <c r="S5" s="40" t="s">
        <v>49</v>
      </c>
      <c r="T5" s="40" t="s">
        <v>50</v>
      </c>
      <c r="U5" s="40" t="s">
        <v>51</v>
      </c>
      <c r="V5" s="215" t="s">
        <v>45</v>
      </c>
      <c r="W5" s="40" t="s">
        <v>46</v>
      </c>
      <c r="X5" s="40" t="s">
        <v>47</v>
      </c>
      <c r="Y5" s="40" t="s">
        <v>48</v>
      </c>
      <c r="Z5" s="40" t="s">
        <v>49</v>
      </c>
      <c r="AA5" s="40" t="s">
        <v>50</v>
      </c>
      <c r="AB5" s="40" t="s">
        <v>51</v>
      </c>
      <c r="AC5" s="215" t="s">
        <v>45</v>
      </c>
      <c r="AD5" s="40" t="s">
        <v>46</v>
      </c>
      <c r="AE5" s="40" t="s">
        <v>47</v>
      </c>
      <c r="AF5" s="40" t="s">
        <v>48</v>
      </c>
      <c r="AG5" s="40" t="s">
        <v>49</v>
      </c>
      <c r="AH5" s="40" t="s">
        <v>50</v>
      </c>
      <c r="AI5" s="40" t="s">
        <v>51</v>
      </c>
      <c r="AJ5" s="215" t="s">
        <v>45</v>
      </c>
      <c r="AL5" s="4474"/>
      <c r="AM5" s="4477"/>
      <c r="AO5" s="374">
        <f>E39*30</f>
        <v>3394.8333333333335</v>
      </c>
      <c r="AP5" s="338">
        <f>AO5/AR3</f>
        <v>1</v>
      </c>
      <c r="AU5" s="50">
        <f>AS4-AU6</f>
        <v>43.389999999999418</v>
      </c>
    </row>
    <row r="6" spans="2:49" x14ac:dyDescent="0.2">
      <c r="B6" s="3" t="s">
        <v>0</v>
      </c>
      <c r="C6" s="3" t="s">
        <v>1</v>
      </c>
      <c r="D6" s="3" t="s">
        <v>24</v>
      </c>
      <c r="E6" s="3" t="s">
        <v>25</v>
      </c>
      <c r="F6" s="331" t="s">
        <v>2</v>
      </c>
      <c r="G6" s="332">
        <v>1</v>
      </c>
      <c r="H6" s="101">
        <v>2</v>
      </c>
      <c r="I6" s="3">
        <v>3</v>
      </c>
      <c r="J6" s="3">
        <v>4</v>
      </c>
      <c r="K6" s="3">
        <v>5</v>
      </c>
      <c r="L6" s="3">
        <v>6</v>
      </c>
      <c r="M6" s="3">
        <v>7</v>
      </c>
      <c r="N6" s="3">
        <v>8</v>
      </c>
      <c r="O6" s="101">
        <v>9</v>
      </c>
      <c r="P6" s="3">
        <v>10</v>
      </c>
      <c r="Q6" s="3">
        <v>11</v>
      </c>
      <c r="R6" s="3">
        <v>12</v>
      </c>
      <c r="S6" s="3">
        <v>13</v>
      </c>
      <c r="T6" s="3">
        <v>14</v>
      </c>
      <c r="U6" s="3">
        <v>15</v>
      </c>
      <c r="V6" s="101">
        <v>16</v>
      </c>
      <c r="W6" s="3">
        <v>17</v>
      </c>
      <c r="X6" s="3">
        <v>18</v>
      </c>
      <c r="Y6" s="3">
        <v>19</v>
      </c>
      <c r="Z6" s="3">
        <v>20</v>
      </c>
      <c r="AA6" s="3">
        <v>21</v>
      </c>
      <c r="AB6" s="3">
        <v>22</v>
      </c>
      <c r="AC6" s="101">
        <v>23</v>
      </c>
      <c r="AD6" s="3">
        <v>24</v>
      </c>
      <c r="AE6" s="3">
        <v>25</v>
      </c>
      <c r="AF6" s="3">
        <v>26</v>
      </c>
      <c r="AG6" s="3">
        <v>27</v>
      </c>
      <c r="AH6" s="3">
        <v>28</v>
      </c>
      <c r="AI6" s="3">
        <v>29</v>
      </c>
      <c r="AJ6" s="101">
        <v>30</v>
      </c>
      <c r="AL6" s="4475"/>
      <c r="AM6" s="4478"/>
      <c r="AO6" s="333" t="s">
        <v>7</v>
      </c>
      <c r="AP6" s="333" t="s">
        <v>2</v>
      </c>
      <c r="AR6" s="334">
        <f>AP3-AO1</f>
        <v>6.254111640237614E-2</v>
      </c>
      <c r="AS6" s="335"/>
      <c r="AT6" s="16" t="s">
        <v>91</v>
      </c>
      <c r="AU6" s="447">
        <f>1102.45-AO4</f>
        <v>20.305000000000291</v>
      </c>
    </row>
    <row r="7" spans="2:49" s="255" customFormat="1" ht="15" customHeight="1" x14ac:dyDescent="0.2">
      <c r="B7" s="81"/>
      <c r="C7" s="81" t="s">
        <v>19</v>
      </c>
      <c r="D7" s="81"/>
      <c r="E7" s="81"/>
      <c r="F7" s="337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R7" s="50"/>
    </row>
    <row r="8" spans="2:49" x14ac:dyDescent="0.2">
      <c r="B8" s="3">
        <v>1</v>
      </c>
      <c r="C8" s="3" t="s">
        <v>21</v>
      </c>
      <c r="D8" s="5">
        <v>400</v>
      </c>
      <c r="E8" s="5">
        <f t="shared" ref="E8" si="1">D8/30</f>
        <v>13.333333333333334</v>
      </c>
      <c r="F8" s="194">
        <f t="shared" ref="F8:F16" si="2">D8/$D$17</f>
        <v>0.39275369433943735</v>
      </c>
      <c r="G8" s="324">
        <f t="shared" ref="G8:AJ8" si="3">$E$8</f>
        <v>13.333333333333334</v>
      </c>
      <c r="H8" s="324">
        <f t="shared" si="3"/>
        <v>13.333333333333334</v>
      </c>
      <c r="I8" s="324">
        <f t="shared" si="3"/>
        <v>13.333333333333334</v>
      </c>
      <c r="J8" s="324">
        <f t="shared" si="3"/>
        <v>13.333333333333334</v>
      </c>
      <c r="K8" s="324">
        <f t="shared" si="3"/>
        <v>13.333333333333334</v>
      </c>
      <c r="L8" s="324">
        <f t="shared" si="3"/>
        <v>13.333333333333334</v>
      </c>
      <c r="M8" s="324">
        <f t="shared" si="3"/>
        <v>13.333333333333334</v>
      </c>
      <c r="N8" s="324">
        <f t="shared" si="3"/>
        <v>13.333333333333334</v>
      </c>
      <c r="O8" s="324">
        <f t="shared" si="3"/>
        <v>13.333333333333334</v>
      </c>
      <c r="P8" s="324">
        <f t="shared" si="3"/>
        <v>13.333333333333334</v>
      </c>
      <c r="Q8" s="324">
        <f t="shared" si="3"/>
        <v>13.333333333333334</v>
      </c>
      <c r="R8" s="324">
        <f t="shared" si="3"/>
        <v>13.333333333333334</v>
      </c>
      <c r="S8" s="324">
        <f t="shared" si="3"/>
        <v>13.333333333333334</v>
      </c>
      <c r="T8" s="324">
        <f t="shared" si="3"/>
        <v>13.333333333333334</v>
      </c>
      <c r="U8" s="324">
        <f t="shared" si="3"/>
        <v>13.333333333333334</v>
      </c>
      <c r="V8" s="324">
        <f t="shared" si="3"/>
        <v>13.333333333333334</v>
      </c>
      <c r="W8" s="324">
        <f t="shared" si="3"/>
        <v>13.333333333333334</v>
      </c>
      <c r="X8" s="324">
        <f t="shared" si="3"/>
        <v>13.333333333333334</v>
      </c>
      <c r="Y8" s="324">
        <f t="shared" si="3"/>
        <v>13.333333333333334</v>
      </c>
      <c r="Z8" s="324">
        <f t="shared" si="3"/>
        <v>13.333333333333334</v>
      </c>
      <c r="AA8" s="324">
        <f t="shared" si="3"/>
        <v>13.333333333333334</v>
      </c>
      <c r="AB8" s="330">
        <f t="shared" si="3"/>
        <v>13.333333333333334</v>
      </c>
      <c r="AC8" s="330">
        <f t="shared" si="3"/>
        <v>13.333333333333334</v>
      </c>
      <c r="AD8" s="340">
        <f t="shared" si="3"/>
        <v>13.333333333333334</v>
      </c>
      <c r="AE8" s="379">
        <f t="shared" si="3"/>
        <v>13.333333333333334</v>
      </c>
      <c r="AF8" s="379">
        <f t="shared" si="3"/>
        <v>13.333333333333334</v>
      </c>
      <c r="AG8" s="380">
        <f t="shared" si="3"/>
        <v>13.333333333333334</v>
      </c>
      <c r="AH8" s="385">
        <f t="shared" si="3"/>
        <v>13.333333333333334</v>
      </c>
      <c r="AI8" s="388">
        <f t="shared" si="3"/>
        <v>13.333333333333334</v>
      </c>
      <c r="AJ8" s="389">
        <f t="shared" si="3"/>
        <v>13.333333333333334</v>
      </c>
      <c r="AL8" s="99">
        <v>400</v>
      </c>
      <c r="AM8" s="15">
        <f t="shared" ref="AM8:AM16" si="4">AL8/D8</f>
        <v>1</v>
      </c>
      <c r="AO8" s="5">
        <f t="shared" ref="AO8:AO16" si="5">SUM(G8:AJ8)</f>
        <v>399.99999999999989</v>
      </c>
      <c r="AP8" s="12">
        <f t="shared" ref="AP8:AP17" si="6">AO8/$D$17</f>
        <v>0.39275369433943724</v>
      </c>
      <c r="AR8" s="14"/>
      <c r="AS8" s="29"/>
      <c r="AT8" s="29"/>
    </row>
    <row r="9" spans="2:49" s="255" customFormat="1" ht="15.75" thickBot="1" x14ac:dyDescent="0.25">
      <c r="B9" s="43">
        <v>2</v>
      </c>
      <c r="C9" s="43" t="s">
        <v>22</v>
      </c>
      <c r="D9" s="40">
        <v>200</v>
      </c>
      <c r="E9" s="40">
        <f t="shared" ref="E9:E16" si="7">D9/30</f>
        <v>6.666666666666667</v>
      </c>
      <c r="F9" s="206">
        <f t="shared" si="2"/>
        <v>0.19637684716971868</v>
      </c>
      <c r="G9" s="326">
        <f t="shared" ref="G9:AJ9" si="8">$E$9</f>
        <v>6.666666666666667</v>
      </c>
      <c r="H9" s="326">
        <f t="shared" si="8"/>
        <v>6.666666666666667</v>
      </c>
      <c r="I9" s="326">
        <f t="shared" si="8"/>
        <v>6.666666666666667</v>
      </c>
      <c r="J9" s="326">
        <f t="shared" si="8"/>
        <v>6.666666666666667</v>
      </c>
      <c r="K9" s="326">
        <f t="shared" si="8"/>
        <v>6.666666666666667</v>
      </c>
      <c r="L9" s="326">
        <f t="shared" si="8"/>
        <v>6.666666666666667</v>
      </c>
      <c r="M9" s="326">
        <f t="shared" si="8"/>
        <v>6.666666666666667</v>
      </c>
      <c r="N9" s="326">
        <f t="shared" si="8"/>
        <v>6.666666666666667</v>
      </c>
      <c r="O9" s="326">
        <f t="shared" si="8"/>
        <v>6.666666666666667</v>
      </c>
      <c r="P9" s="326">
        <f t="shared" si="8"/>
        <v>6.666666666666667</v>
      </c>
      <c r="Q9" s="326">
        <f t="shared" si="8"/>
        <v>6.666666666666667</v>
      </c>
      <c r="R9" s="326">
        <f t="shared" si="8"/>
        <v>6.666666666666667</v>
      </c>
      <c r="S9" s="326">
        <f t="shared" si="8"/>
        <v>6.666666666666667</v>
      </c>
      <c r="T9" s="326">
        <f t="shared" si="8"/>
        <v>6.666666666666667</v>
      </c>
      <c r="U9" s="326">
        <f t="shared" si="8"/>
        <v>6.666666666666667</v>
      </c>
      <c r="V9" s="326">
        <f t="shared" si="8"/>
        <v>6.666666666666667</v>
      </c>
      <c r="W9" s="326">
        <f t="shared" si="8"/>
        <v>6.666666666666667</v>
      </c>
      <c r="X9" s="326">
        <f t="shared" si="8"/>
        <v>6.666666666666667</v>
      </c>
      <c r="Y9" s="326">
        <f t="shared" si="8"/>
        <v>6.666666666666667</v>
      </c>
      <c r="Z9" s="326">
        <f t="shared" si="8"/>
        <v>6.666666666666667</v>
      </c>
      <c r="AA9" s="326">
        <f t="shared" si="8"/>
        <v>6.666666666666667</v>
      </c>
      <c r="AB9" s="329">
        <f t="shared" si="8"/>
        <v>6.666666666666667</v>
      </c>
      <c r="AC9" s="329">
        <f t="shared" si="8"/>
        <v>6.666666666666667</v>
      </c>
      <c r="AD9" s="339">
        <f t="shared" si="8"/>
        <v>6.666666666666667</v>
      </c>
      <c r="AE9" s="378">
        <f t="shared" si="8"/>
        <v>6.666666666666667</v>
      </c>
      <c r="AF9" s="378">
        <f t="shared" si="8"/>
        <v>6.666666666666667</v>
      </c>
      <c r="AG9" s="382">
        <f t="shared" si="8"/>
        <v>6.666666666666667</v>
      </c>
      <c r="AH9" s="384">
        <f t="shared" si="8"/>
        <v>6.666666666666667</v>
      </c>
      <c r="AI9" s="387">
        <f t="shared" si="8"/>
        <v>6.666666666666667</v>
      </c>
      <c r="AJ9" s="391">
        <f t="shared" si="8"/>
        <v>6.666666666666667</v>
      </c>
      <c r="AL9" s="97">
        <v>200</v>
      </c>
      <c r="AM9" s="74">
        <f t="shared" si="4"/>
        <v>1</v>
      </c>
      <c r="AO9" s="40">
        <f t="shared" si="5"/>
        <v>199.99999999999994</v>
      </c>
      <c r="AP9" s="70">
        <f t="shared" si="6"/>
        <v>0.19637684716971862</v>
      </c>
      <c r="AR9" s="61"/>
      <c r="AS9" s="62"/>
      <c r="AT9" s="62"/>
    </row>
    <row r="10" spans="2:49" x14ac:dyDescent="0.2">
      <c r="B10" s="3">
        <v>3</v>
      </c>
      <c r="C10" s="3" t="s">
        <v>38</v>
      </c>
      <c r="D10" s="5">
        <v>175</v>
      </c>
      <c r="E10" s="5">
        <f t="shared" si="7"/>
        <v>5.833333333333333</v>
      </c>
      <c r="F10" s="194">
        <f t="shared" si="2"/>
        <v>0.17182974127350384</v>
      </c>
      <c r="G10" s="324">
        <f t="shared" ref="G10:AJ10" si="9">$E$10</f>
        <v>5.833333333333333</v>
      </c>
      <c r="H10" s="324">
        <f t="shared" si="9"/>
        <v>5.833333333333333</v>
      </c>
      <c r="I10" s="324">
        <f t="shared" si="9"/>
        <v>5.833333333333333</v>
      </c>
      <c r="J10" s="324">
        <f t="shared" si="9"/>
        <v>5.833333333333333</v>
      </c>
      <c r="K10" s="324">
        <f t="shared" si="9"/>
        <v>5.833333333333333</v>
      </c>
      <c r="L10" s="324">
        <f t="shared" si="9"/>
        <v>5.833333333333333</v>
      </c>
      <c r="M10" s="324">
        <f t="shared" si="9"/>
        <v>5.833333333333333</v>
      </c>
      <c r="N10" s="324">
        <f t="shared" si="9"/>
        <v>5.833333333333333</v>
      </c>
      <c r="O10" s="324">
        <f t="shared" si="9"/>
        <v>5.833333333333333</v>
      </c>
      <c r="P10" s="324">
        <f t="shared" si="9"/>
        <v>5.833333333333333</v>
      </c>
      <c r="Q10" s="324">
        <f t="shared" si="9"/>
        <v>5.833333333333333</v>
      </c>
      <c r="R10" s="324">
        <f t="shared" si="9"/>
        <v>5.833333333333333</v>
      </c>
      <c r="S10" s="324">
        <f t="shared" si="9"/>
        <v>5.833333333333333</v>
      </c>
      <c r="T10" s="324">
        <f t="shared" si="9"/>
        <v>5.833333333333333</v>
      </c>
      <c r="U10" s="324">
        <f t="shared" si="9"/>
        <v>5.833333333333333</v>
      </c>
      <c r="V10" s="324">
        <f t="shared" si="9"/>
        <v>5.833333333333333</v>
      </c>
      <c r="W10" s="324">
        <f t="shared" si="9"/>
        <v>5.833333333333333</v>
      </c>
      <c r="X10" s="324">
        <f t="shared" si="9"/>
        <v>5.833333333333333</v>
      </c>
      <c r="Y10" s="324">
        <f t="shared" si="9"/>
        <v>5.833333333333333</v>
      </c>
      <c r="Z10" s="324">
        <f t="shared" si="9"/>
        <v>5.833333333333333</v>
      </c>
      <c r="AA10" s="324">
        <f t="shared" si="9"/>
        <v>5.833333333333333</v>
      </c>
      <c r="AB10" s="330">
        <f t="shared" si="9"/>
        <v>5.833333333333333</v>
      </c>
      <c r="AC10" s="330">
        <f t="shared" si="9"/>
        <v>5.833333333333333</v>
      </c>
      <c r="AD10" s="340">
        <f t="shared" si="9"/>
        <v>5.833333333333333</v>
      </c>
      <c r="AE10" s="379">
        <f t="shared" si="9"/>
        <v>5.833333333333333</v>
      </c>
      <c r="AF10" s="379">
        <f t="shared" si="9"/>
        <v>5.833333333333333</v>
      </c>
      <c r="AG10" s="380">
        <f t="shared" si="9"/>
        <v>5.833333333333333</v>
      </c>
      <c r="AH10" s="385">
        <f t="shared" si="9"/>
        <v>5.833333333333333</v>
      </c>
      <c r="AI10" s="388">
        <f t="shared" si="9"/>
        <v>5.833333333333333</v>
      </c>
      <c r="AJ10" s="389">
        <f t="shared" si="9"/>
        <v>5.833333333333333</v>
      </c>
      <c r="AL10" s="99">
        <f>101.5+26+0.95</f>
        <v>128.44999999999999</v>
      </c>
      <c r="AM10" s="15">
        <f>AL10/D10</f>
        <v>0.73399999999999999</v>
      </c>
      <c r="AO10" s="5">
        <f t="shared" si="5"/>
        <v>175.00000000000003</v>
      </c>
      <c r="AP10" s="12">
        <f t="shared" si="6"/>
        <v>0.17182974127350387</v>
      </c>
      <c r="AR10" s="409">
        <f>D10-AL10</f>
        <v>46.550000000000011</v>
      </c>
      <c r="AS10" s="4470">
        <f>AR10+AR11</f>
        <v>67.549999999999969</v>
      </c>
      <c r="AT10" s="29"/>
    </row>
    <row r="11" spans="2:49" s="255" customFormat="1" ht="15.75" thickBot="1" x14ac:dyDescent="0.25">
      <c r="B11" s="43">
        <v>4</v>
      </c>
      <c r="C11" s="43" t="s">
        <v>39</v>
      </c>
      <c r="D11" s="40">
        <v>76</v>
      </c>
      <c r="E11" s="40">
        <f t="shared" si="7"/>
        <v>2.5333333333333332</v>
      </c>
      <c r="F11" s="206">
        <f t="shared" si="2"/>
        <v>7.4623201924493093E-2</v>
      </c>
      <c r="G11" s="326">
        <f t="shared" ref="G11:AJ11" si="10">$E$11</f>
        <v>2.5333333333333332</v>
      </c>
      <c r="H11" s="326">
        <f t="shared" si="10"/>
        <v>2.5333333333333332</v>
      </c>
      <c r="I11" s="326">
        <f t="shared" si="10"/>
        <v>2.5333333333333332</v>
      </c>
      <c r="J11" s="326">
        <f t="shared" si="10"/>
        <v>2.5333333333333332</v>
      </c>
      <c r="K11" s="326">
        <f t="shared" si="10"/>
        <v>2.5333333333333332</v>
      </c>
      <c r="L11" s="326">
        <f t="shared" si="10"/>
        <v>2.5333333333333332</v>
      </c>
      <c r="M11" s="326">
        <f t="shared" si="10"/>
        <v>2.5333333333333332</v>
      </c>
      <c r="N11" s="326">
        <f t="shared" si="10"/>
        <v>2.5333333333333332</v>
      </c>
      <c r="O11" s="326">
        <f t="shared" si="10"/>
        <v>2.5333333333333332</v>
      </c>
      <c r="P11" s="326">
        <f t="shared" si="10"/>
        <v>2.5333333333333332</v>
      </c>
      <c r="Q11" s="326">
        <f t="shared" si="10"/>
        <v>2.5333333333333332</v>
      </c>
      <c r="R11" s="326">
        <f t="shared" si="10"/>
        <v>2.5333333333333332</v>
      </c>
      <c r="S11" s="326">
        <f t="shared" si="10"/>
        <v>2.5333333333333332</v>
      </c>
      <c r="T11" s="326">
        <f t="shared" si="10"/>
        <v>2.5333333333333332</v>
      </c>
      <c r="U11" s="326">
        <f t="shared" si="10"/>
        <v>2.5333333333333332</v>
      </c>
      <c r="V11" s="326">
        <f t="shared" si="10"/>
        <v>2.5333333333333332</v>
      </c>
      <c r="W11" s="326">
        <f t="shared" si="10"/>
        <v>2.5333333333333332</v>
      </c>
      <c r="X11" s="326">
        <f t="shared" si="10"/>
        <v>2.5333333333333332</v>
      </c>
      <c r="Y11" s="326">
        <f t="shared" si="10"/>
        <v>2.5333333333333332</v>
      </c>
      <c r="Z11" s="326">
        <f t="shared" si="10"/>
        <v>2.5333333333333332</v>
      </c>
      <c r="AA11" s="326">
        <f t="shared" si="10"/>
        <v>2.5333333333333332</v>
      </c>
      <c r="AB11" s="329">
        <f t="shared" si="10"/>
        <v>2.5333333333333332</v>
      </c>
      <c r="AC11" s="329">
        <f t="shared" si="10"/>
        <v>2.5333333333333332</v>
      </c>
      <c r="AD11" s="339">
        <f t="shared" si="10"/>
        <v>2.5333333333333332</v>
      </c>
      <c r="AE11" s="378">
        <f t="shared" si="10"/>
        <v>2.5333333333333332</v>
      </c>
      <c r="AF11" s="378">
        <f t="shared" si="10"/>
        <v>2.5333333333333332</v>
      </c>
      <c r="AG11" s="382">
        <f t="shared" si="10"/>
        <v>2.5333333333333332</v>
      </c>
      <c r="AH11" s="384">
        <f t="shared" si="10"/>
        <v>2.5333333333333332</v>
      </c>
      <c r="AI11" s="387">
        <f t="shared" si="10"/>
        <v>2.5333333333333332</v>
      </c>
      <c r="AJ11" s="391">
        <f t="shared" si="10"/>
        <v>2.5333333333333332</v>
      </c>
      <c r="AL11" s="97">
        <v>55</v>
      </c>
      <c r="AM11" s="74">
        <f t="shared" si="4"/>
        <v>0.72368421052631582</v>
      </c>
      <c r="AO11" s="40">
        <f t="shared" si="5"/>
        <v>75.999999999999957</v>
      </c>
      <c r="AP11" s="70">
        <f t="shared" si="6"/>
        <v>7.4623201924493052E-2</v>
      </c>
      <c r="AR11" s="374">
        <f>AO11-AL11</f>
        <v>20.999999999999957</v>
      </c>
      <c r="AS11" s="4471"/>
      <c r="AT11" s="62"/>
    </row>
    <row r="12" spans="2:49" x14ac:dyDescent="0.2">
      <c r="B12" s="3">
        <v>5</v>
      </c>
      <c r="C12" s="3" t="s">
        <v>23</v>
      </c>
      <c r="D12" s="5">
        <v>58</v>
      </c>
      <c r="E12" s="5">
        <f>D12/29</f>
        <v>2</v>
      </c>
      <c r="F12" s="194">
        <f t="shared" si="2"/>
        <v>5.694928567921842E-2</v>
      </c>
      <c r="G12" s="324">
        <f t="shared" ref="G12:AJ12" si="11">$E$12</f>
        <v>2</v>
      </c>
      <c r="H12" s="324">
        <f t="shared" si="11"/>
        <v>2</v>
      </c>
      <c r="I12" s="324">
        <f t="shared" si="11"/>
        <v>2</v>
      </c>
      <c r="J12" s="324">
        <f t="shared" si="11"/>
        <v>2</v>
      </c>
      <c r="K12" s="324">
        <f t="shared" si="11"/>
        <v>2</v>
      </c>
      <c r="L12" s="324">
        <f t="shared" si="11"/>
        <v>2</v>
      </c>
      <c r="M12" s="324">
        <f t="shared" si="11"/>
        <v>2</v>
      </c>
      <c r="N12" s="324">
        <f t="shared" si="11"/>
        <v>2</v>
      </c>
      <c r="O12" s="324">
        <f t="shared" si="11"/>
        <v>2</v>
      </c>
      <c r="P12" s="324">
        <f t="shared" si="11"/>
        <v>2</v>
      </c>
      <c r="Q12" s="324">
        <f t="shared" si="11"/>
        <v>2</v>
      </c>
      <c r="R12" s="324">
        <f t="shared" si="11"/>
        <v>2</v>
      </c>
      <c r="S12" s="324">
        <f t="shared" si="11"/>
        <v>2</v>
      </c>
      <c r="T12" s="324">
        <f t="shared" si="11"/>
        <v>2</v>
      </c>
      <c r="U12" s="324">
        <f t="shared" si="11"/>
        <v>2</v>
      </c>
      <c r="V12" s="324">
        <f t="shared" si="11"/>
        <v>2</v>
      </c>
      <c r="W12" s="324">
        <f t="shared" si="11"/>
        <v>2</v>
      </c>
      <c r="X12" s="324">
        <f t="shared" si="11"/>
        <v>2</v>
      </c>
      <c r="Y12" s="324">
        <f t="shared" si="11"/>
        <v>2</v>
      </c>
      <c r="Z12" s="324">
        <f t="shared" si="11"/>
        <v>2</v>
      </c>
      <c r="AA12" s="324">
        <f t="shared" si="11"/>
        <v>2</v>
      </c>
      <c r="AB12" s="330">
        <f t="shared" si="11"/>
        <v>2</v>
      </c>
      <c r="AC12" s="330">
        <v>0</v>
      </c>
      <c r="AD12" s="340">
        <f t="shared" si="11"/>
        <v>2</v>
      </c>
      <c r="AE12" s="379">
        <f t="shared" si="11"/>
        <v>2</v>
      </c>
      <c r="AF12" s="379">
        <f t="shared" si="11"/>
        <v>2</v>
      </c>
      <c r="AG12" s="380">
        <f t="shared" si="11"/>
        <v>2</v>
      </c>
      <c r="AH12" s="385">
        <f t="shared" si="11"/>
        <v>2</v>
      </c>
      <c r="AI12" s="388">
        <f t="shared" si="11"/>
        <v>2</v>
      </c>
      <c r="AJ12" s="389">
        <f t="shared" si="11"/>
        <v>2</v>
      </c>
      <c r="AL12" s="99">
        <v>58</v>
      </c>
      <c r="AM12" s="15">
        <f t="shared" si="4"/>
        <v>1</v>
      </c>
      <c r="AO12" s="5">
        <f t="shared" si="5"/>
        <v>58</v>
      </c>
      <c r="AP12" s="12">
        <f t="shared" si="6"/>
        <v>5.694928567921842E-2</v>
      </c>
      <c r="AR12" s="14"/>
      <c r="AS12" s="29"/>
      <c r="AT12" s="29"/>
    </row>
    <row r="13" spans="2:49" s="255" customFormat="1" x14ac:dyDescent="0.2">
      <c r="B13" s="43">
        <v>6</v>
      </c>
      <c r="C13" s="43" t="s">
        <v>37</v>
      </c>
      <c r="D13" s="40">
        <v>42.95</v>
      </c>
      <c r="E13" s="40">
        <f t="shared" si="7"/>
        <v>1.4316666666666669</v>
      </c>
      <c r="F13" s="206">
        <f t="shared" si="2"/>
        <v>4.2171927929697088E-2</v>
      </c>
      <c r="G13" s="326">
        <f t="shared" ref="G13:AJ13" si="12">$E$13</f>
        <v>1.4316666666666669</v>
      </c>
      <c r="H13" s="326">
        <f t="shared" si="12"/>
        <v>1.4316666666666669</v>
      </c>
      <c r="I13" s="326">
        <f t="shared" si="12"/>
        <v>1.4316666666666669</v>
      </c>
      <c r="J13" s="326">
        <f t="shared" si="12"/>
        <v>1.4316666666666669</v>
      </c>
      <c r="K13" s="326">
        <f t="shared" si="12"/>
        <v>1.4316666666666669</v>
      </c>
      <c r="L13" s="326">
        <f t="shared" si="12"/>
        <v>1.4316666666666669</v>
      </c>
      <c r="M13" s="326">
        <f t="shared" si="12"/>
        <v>1.4316666666666669</v>
      </c>
      <c r="N13" s="326">
        <f t="shared" si="12"/>
        <v>1.4316666666666669</v>
      </c>
      <c r="O13" s="326">
        <f t="shared" si="12"/>
        <v>1.4316666666666669</v>
      </c>
      <c r="P13" s="326">
        <f t="shared" si="12"/>
        <v>1.4316666666666669</v>
      </c>
      <c r="Q13" s="326">
        <f t="shared" si="12"/>
        <v>1.4316666666666669</v>
      </c>
      <c r="R13" s="326">
        <f t="shared" si="12"/>
        <v>1.4316666666666669</v>
      </c>
      <c r="S13" s="326">
        <f t="shared" si="12"/>
        <v>1.4316666666666669</v>
      </c>
      <c r="T13" s="326">
        <f t="shared" si="12"/>
        <v>1.4316666666666669</v>
      </c>
      <c r="U13" s="326">
        <f t="shared" si="12"/>
        <v>1.4316666666666669</v>
      </c>
      <c r="V13" s="326">
        <f t="shared" si="12"/>
        <v>1.4316666666666669</v>
      </c>
      <c r="W13" s="326">
        <f t="shared" si="12"/>
        <v>1.4316666666666669</v>
      </c>
      <c r="X13" s="326">
        <f t="shared" si="12"/>
        <v>1.4316666666666669</v>
      </c>
      <c r="Y13" s="326">
        <f t="shared" si="12"/>
        <v>1.4316666666666669</v>
      </c>
      <c r="Z13" s="326">
        <f t="shared" si="12"/>
        <v>1.4316666666666669</v>
      </c>
      <c r="AA13" s="326">
        <f t="shared" si="12"/>
        <v>1.4316666666666669</v>
      </c>
      <c r="AB13" s="329">
        <f t="shared" si="12"/>
        <v>1.4316666666666669</v>
      </c>
      <c r="AC13" s="329">
        <f t="shared" si="12"/>
        <v>1.4316666666666669</v>
      </c>
      <c r="AD13" s="339">
        <f t="shared" si="12"/>
        <v>1.4316666666666669</v>
      </c>
      <c r="AE13" s="378">
        <f t="shared" si="12"/>
        <v>1.4316666666666669</v>
      </c>
      <c r="AF13" s="378">
        <f t="shared" si="12"/>
        <v>1.4316666666666669</v>
      </c>
      <c r="AG13" s="382">
        <f t="shared" si="12"/>
        <v>1.4316666666666669</v>
      </c>
      <c r="AH13" s="384">
        <f t="shared" si="12"/>
        <v>1.4316666666666669</v>
      </c>
      <c r="AI13" s="387">
        <f t="shared" si="12"/>
        <v>1.4316666666666669</v>
      </c>
      <c r="AJ13" s="391">
        <f t="shared" si="12"/>
        <v>1.4316666666666669</v>
      </c>
      <c r="AL13" s="97">
        <v>42.95</v>
      </c>
      <c r="AM13" s="74">
        <f t="shared" ref="AM13" si="13">AL13/D13</f>
        <v>1</v>
      </c>
      <c r="AO13" s="40">
        <f t="shared" ref="AO13" si="14">SUM(G13:AJ13)</f>
        <v>42.95000000000001</v>
      </c>
      <c r="AP13" s="70">
        <f t="shared" si="6"/>
        <v>4.2171927929697095E-2</v>
      </c>
      <c r="AR13" s="61"/>
      <c r="AS13" s="62"/>
      <c r="AT13" s="62"/>
    </row>
    <row r="14" spans="2:49" x14ac:dyDescent="0.2">
      <c r="B14" s="3">
        <v>7</v>
      </c>
      <c r="C14" s="3" t="s">
        <v>60</v>
      </c>
      <c r="D14" s="5">
        <v>37</v>
      </c>
      <c r="E14" s="5">
        <f t="shared" si="7"/>
        <v>1.2333333333333334</v>
      </c>
      <c r="F14" s="194">
        <f t="shared" si="2"/>
        <v>3.6329716726397954E-2</v>
      </c>
      <c r="G14" s="324">
        <f t="shared" ref="G14:AJ14" si="15">$E$14</f>
        <v>1.2333333333333334</v>
      </c>
      <c r="H14" s="324">
        <f t="shared" si="15"/>
        <v>1.2333333333333334</v>
      </c>
      <c r="I14" s="324">
        <f t="shared" si="15"/>
        <v>1.2333333333333334</v>
      </c>
      <c r="J14" s="324">
        <f t="shared" si="15"/>
        <v>1.2333333333333334</v>
      </c>
      <c r="K14" s="324">
        <f t="shared" si="15"/>
        <v>1.2333333333333334</v>
      </c>
      <c r="L14" s="324">
        <f t="shared" si="15"/>
        <v>1.2333333333333334</v>
      </c>
      <c r="M14" s="324">
        <f t="shared" si="15"/>
        <v>1.2333333333333334</v>
      </c>
      <c r="N14" s="324">
        <f t="shared" si="15"/>
        <v>1.2333333333333334</v>
      </c>
      <c r="O14" s="324">
        <f t="shared" si="15"/>
        <v>1.2333333333333334</v>
      </c>
      <c r="P14" s="324">
        <f t="shared" si="15"/>
        <v>1.2333333333333334</v>
      </c>
      <c r="Q14" s="324">
        <f t="shared" si="15"/>
        <v>1.2333333333333334</v>
      </c>
      <c r="R14" s="324">
        <f t="shared" si="15"/>
        <v>1.2333333333333334</v>
      </c>
      <c r="S14" s="324">
        <f t="shared" si="15"/>
        <v>1.2333333333333334</v>
      </c>
      <c r="T14" s="324">
        <f t="shared" si="15"/>
        <v>1.2333333333333334</v>
      </c>
      <c r="U14" s="324">
        <f t="shared" si="15"/>
        <v>1.2333333333333334</v>
      </c>
      <c r="V14" s="324">
        <f t="shared" si="15"/>
        <v>1.2333333333333334</v>
      </c>
      <c r="W14" s="324">
        <f t="shared" si="15"/>
        <v>1.2333333333333334</v>
      </c>
      <c r="X14" s="324">
        <f t="shared" si="15"/>
        <v>1.2333333333333334</v>
      </c>
      <c r="Y14" s="324">
        <f t="shared" si="15"/>
        <v>1.2333333333333334</v>
      </c>
      <c r="Z14" s="324">
        <f t="shared" si="15"/>
        <v>1.2333333333333334</v>
      </c>
      <c r="AA14" s="324">
        <f t="shared" si="15"/>
        <v>1.2333333333333334</v>
      </c>
      <c r="AB14" s="330">
        <f t="shared" si="15"/>
        <v>1.2333333333333334</v>
      </c>
      <c r="AC14" s="330">
        <f t="shared" si="15"/>
        <v>1.2333333333333334</v>
      </c>
      <c r="AD14" s="340">
        <f t="shared" si="15"/>
        <v>1.2333333333333334</v>
      </c>
      <c r="AE14" s="379">
        <f t="shared" si="15"/>
        <v>1.2333333333333334</v>
      </c>
      <c r="AF14" s="379">
        <f t="shared" si="15"/>
        <v>1.2333333333333334</v>
      </c>
      <c r="AG14" s="380">
        <f t="shared" si="15"/>
        <v>1.2333333333333334</v>
      </c>
      <c r="AH14" s="385">
        <f t="shared" si="15"/>
        <v>1.2333333333333334</v>
      </c>
      <c r="AI14" s="388">
        <f t="shared" si="15"/>
        <v>1.2333333333333334</v>
      </c>
      <c r="AJ14" s="389">
        <f t="shared" si="15"/>
        <v>1.2333333333333334</v>
      </c>
      <c r="AL14" s="99">
        <v>37</v>
      </c>
      <c r="AM14" s="15">
        <f t="shared" si="4"/>
        <v>1</v>
      </c>
      <c r="AO14" s="5">
        <f t="shared" si="5"/>
        <v>37.000000000000021</v>
      </c>
      <c r="AP14" s="12">
        <f t="shared" si="6"/>
        <v>3.6329716726397975E-2</v>
      </c>
      <c r="AR14" s="14"/>
      <c r="AS14" s="29"/>
      <c r="AT14" s="29"/>
    </row>
    <row r="15" spans="2:49" s="255" customFormat="1" x14ac:dyDescent="0.2">
      <c r="B15" s="43">
        <v>8</v>
      </c>
      <c r="C15" s="43" t="s">
        <v>16</v>
      </c>
      <c r="D15" s="40">
        <v>25.5</v>
      </c>
      <c r="E15" s="40">
        <f t="shared" si="7"/>
        <v>0.85</v>
      </c>
      <c r="F15" s="206">
        <f t="shared" si="2"/>
        <v>2.5038048014139131E-2</v>
      </c>
      <c r="G15" s="391">
        <f t="shared" ref="G15:AJ15" si="16">$E$15</f>
        <v>0.85</v>
      </c>
      <c r="H15" s="391">
        <f t="shared" si="16"/>
        <v>0.85</v>
      </c>
      <c r="I15" s="391">
        <f t="shared" si="16"/>
        <v>0.85</v>
      </c>
      <c r="J15" s="391">
        <f t="shared" si="16"/>
        <v>0.85</v>
      </c>
      <c r="K15" s="391">
        <f t="shared" si="16"/>
        <v>0.85</v>
      </c>
      <c r="L15" s="391">
        <f t="shared" si="16"/>
        <v>0.85</v>
      </c>
      <c r="M15" s="391">
        <f t="shared" si="16"/>
        <v>0.85</v>
      </c>
      <c r="N15" s="391">
        <f t="shared" si="16"/>
        <v>0.85</v>
      </c>
      <c r="O15" s="391">
        <f t="shared" si="16"/>
        <v>0.85</v>
      </c>
      <c r="P15" s="391">
        <f t="shared" si="16"/>
        <v>0.85</v>
      </c>
      <c r="Q15" s="391">
        <f t="shared" si="16"/>
        <v>0.85</v>
      </c>
      <c r="R15" s="391">
        <f t="shared" si="16"/>
        <v>0.85</v>
      </c>
      <c r="S15" s="391">
        <f t="shared" si="16"/>
        <v>0.85</v>
      </c>
      <c r="T15" s="391">
        <f t="shared" si="16"/>
        <v>0.85</v>
      </c>
      <c r="U15" s="391">
        <f t="shared" si="16"/>
        <v>0.85</v>
      </c>
      <c r="V15" s="391">
        <f t="shared" si="16"/>
        <v>0.85</v>
      </c>
      <c r="W15" s="391">
        <f t="shared" si="16"/>
        <v>0.85</v>
      </c>
      <c r="X15" s="391">
        <f t="shared" si="16"/>
        <v>0.85</v>
      </c>
      <c r="Y15" s="391">
        <f t="shared" si="16"/>
        <v>0.85</v>
      </c>
      <c r="Z15" s="391">
        <f t="shared" si="16"/>
        <v>0.85</v>
      </c>
      <c r="AA15" s="391">
        <f t="shared" si="16"/>
        <v>0.85</v>
      </c>
      <c r="AB15" s="391">
        <f t="shared" si="16"/>
        <v>0.85</v>
      </c>
      <c r="AC15" s="391">
        <f t="shared" si="16"/>
        <v>0.85</v>
      </c>
      <c r="AD15" s="391">
        <f t="shared" si="16"/>
        <v>0.85</v>
      </c>
      <c r="AE15" s="391">
        <f t="shared" si="16"/>
        <v>0.85</v>
      </c>
      <c r="AF15" s="391">
        <f t="shared" si="16"/>
        <v>0.85</v>
      </c>
      <c r="AG15" s="391">
        <f t="shared" si="16"/>
        <v>0.85</v>
      </c>
      <c r="AH15" s="391">
        <f t="shared" si="16"/>
        <v>0.85</v>
      </c>
      <c r="AI15" s="391">
        <f t="shared" si="16"/>
        <v>0.85</v>
      </c>
      <c r="AJ15" s="391">
        <f t="shared" si="16"/>
        <v>0.85</v>
      </c>
      <c r="AL15" s="97">
        <v>25.5</v>
      </c>
      <c r="AM15" s="74">
        <f t="shared" si="4"/>
        <v>1</v>
      </c>
      <c r="AO15" s="40">
        <f>SUM(G15:AJ15)</f>
        <v>25.500000000000011</v>
      </c>
      <c r="AP15" s="70">
        <f t="shared" si="6"/>
        <v>2.5038048014139141E-2</v>
      </c>
      <c r="AR15" s="61"/>
      <c r="AS15" s="62"/>
      <c r="AT15" s="62"/>
    </row>
    <row r="16" spans="2:49" s="392" customFormat="1" x14ac:dyDescent="0.2">
      <c r="B16" s="3">
        <v>9</v>
      </c>
      <c r="C16" s="3" t="s">
        <v>10</v>
      </c>
      <c r="D16" s="5">
        <v>4</v>
      </c>
      <c r="E16" s="5">
        <f t="shared" si="7"/>
        <v>0.13333333333333333</v>
      </c>
      <c r="F16" s="194">
        <f t="shared" si="2"/>
        <v>3.9275369433943736E-3</v>
      </c>
      <c r="G16" s="389">
        <f t="shared" ref="G16:AJ16" si="17">$E$16</f>
        <v>0.13333333333333333</v>
      </c>
      <c r="H16" s="389">
        <f t="shared" si="17"/>
        <v>0.13333333333333333</v>
      </c>
      <c r="I16" s="389">
        <f t="shared" si="17"/>
        <v>0.13333333333333333</v>
      </c>
      <c r="J16" s="389">
        <f t="shared" si="17"/>
        <v>0.13333333333333333</v>
      </c>
      <c r="K16" s="389">
        <f t="shared" si="17"/>
        <v>0.13333333333333333</v>
      </c>
      <c r="L16" s="389">
        <f t="shared" si="17"/>
        <v>0.13333333333333333</v>
      </c>
      <c r="M16" s="389">
        <f t="shared" si="17"/>
        <v>0.13333333333333333</v>
      </c>
      <c r="N16" s="389">
        <f t="shared" si="17"/>
        <v>0.13333333333333333</v>
      </c>
      <c r="O16" s="389">
        <f t="shared" si="17"/>
        <v>0.13333333333333333</v>
      </c>
      <c r="P16" s="389">
        <f t="shared" si="17"/>
        <v>0.13333333333333333</v>
      </c>
      <c r="Q16" s="389">
        <f t="shared" si="17"/>
        <v>0.13333333333333333</v>
      </c>
      <c r="R16" s="389">
        <f t="shared" si="17"/>
        <v>0.13333333333333333</v>
      </c>
      <c r="S16" s="389">
        <f t="shared" si="17"/>
        <v>0.13333333333333333</v>
      </c>
      <c r="T16" s="389">
        <f t="shared" si="17"/>
        <v>0.13333333333333333</v>
      </c>
      <c r="U16" s="389">
        <f t="shared" si="17"/>
        <v>0.13333333333333333</v>
      </c>
      <c r="V16" s="389">
        <f t="shared" si="17"/>
        <v>0.13333333333333333</v>
      </c>
      <c r="W16" s="389">
        <f t="shared" si="17"/>
        <v>0.13333333333333333</v>
      </c>
      <c r="X16" s="389">
        <f t="shared" si="17"/>
        <v>0.13333333333333333</v>
      </c>
      <c r="Y16" s="389">
        <f t="shared" si="17"/>
        <v>0.13333333333333333</v>
      </c>
      <c r="Z16" s="389">
        <f t="shared" si="17"/>
        <v>0.13333333333333333</v>
      </c>
      <c r="AA16" s="389">
        <f t="shared" si="17"/>
        <v>0.13333333333333333</v>
      </c>
      <c r="AB16" s="389">
        <f t="shared" si="17"/>
        <v>0.13333333333333333</v>
      </c>
      <c r="AC16" s="389">
        <f t="shared" si="17"/>
        <v>0.13333333333333333</v>
      </c>
      <c r="AD16" s="389">
        <f t="shared" si="17"/>
        <v>0.13333333333333333</v>
      </c>
      <c r="AE16" s="389">
        <f t="shared" si="17"/>
        <v>0.13333333333333333</v>
      </c>
      <c r="AF16" s="389">
        <f t="shared" si="17"/>
        <v>0.13333333333333333</v>
      </c>
      <c r="AG16" s="389">
        <f t="shared" si="17"/>
        <v>0.13333333333333333</v>
      </c>
      <c r="AH16" s="389">
        <f t="shared" si="17"/>
        <v>0.13333333333333333</v>
      </c>
      <c r="AI16" s="389">
        <f t="shared" si="17"/>
        <v>0.13333333333333333</v>
      </c>
      <c r="AJ16" s="389">
        <f t="shared" si="17"/>
        <v>0.13333333333333333</v>
      </c>
      <c r="AL16" s="99">
        <v>4</v>
      </c>
      <c r="AM16" s="15">
        <f t="shared" si="4"/>
        <v>1</v>
      </c>
      <c r="AO16" s="5">
        <f t="shared" si="5"/>
        <v>3.9999999999999996</v>
      </c>
      <c r="AP16" s="12">
        <f t="shared" si="6"/>
        <v>3.9275369433943736E-3</v>
      </c>
      <c r="AR16" s="14"/>
      <c r="AS16" s="29"/>
      <c r="AT16" s="29"/>
    </row>
    <row r="17" spans="2:46" s="255" customFormat="1" x14ac:dyDescent="0.2">
      <c r="B17" s="43"/>
      <c r="C17" s="43" t="s">
        <v>17</v>
      </c>
      <c r="D17" s="40">
        <f>SUM(D8:D16)</f>
        <v>1018.45</v>
      </c>
      <c r="E17" s="40">
        <f>SUM(E8:E16)</f>
        <v>34.015000000000001</v>
      </c>
      <c r="F17" s="206">
        <f>D17/D31</f>
        <v>0.81773656108233972</v>
      </c>
      <c r="G17" s="391">
        <f t="shared" ref="G17:AJ17" si="18">SUM(G8:G16)</f>
        <v>34.015000000000001</v>
      </c>
      <c r="H17" s="40">
        <f t="shared" si="18"/>
        <v>34.015000000000001</v>
      </c>
      <c r="I17" s="40">
        <f t="shared" si="18"/>
        <v>34.015000000000001</v>
      </c>
      <c r="J17" s="40">
        <f t="shared" si="18"/>
        <v>34.015000000000001</v>
      </c>
      <c r="K17" s="40">
        <f t="shared" si="18"/>
        <v>34.015000000000001</v>
      </c>
      <c r="L17" s="40">
        <f t="shared" si="18"/>
        <v>34.015000000000001</v>
      </c>
      <c r="M17" s="40">
        <f t="shared" si="18"/>
        <v>34.015000000000001</v>
      </c>
      <c r="N17" s="40">
        <f t="shared" si="18"/>
        <v>34.015000000000001</v>
      </c>
      <c r="O17" s="40">
        <f t="shared" si="18"/>
        <v>34.015000000000001</v>
      </c>
      <c r="P17" s="40">
        <f t="shared" si="18"/>
        <v>34.015000000000001</v>
      </c>
      <c r="Q17" s="40">
        <f t="shared" si="18"/>
        <v>34.015000000000001</v>
      </c>
      <c r="R17" s="40">
        <f t="shared" si="18"/>
        <v>34.015000000000001</v>
      </c>
      <c r="S17" s="40">
        <f t="shared" si="18"/>
        <v>34.015000000000001</v>
      </c>
      <c r="T17" s="40">
        <f t="shared" si="18"/>
        <v>34.015000000000001</v>
      </c>
      <c r="U17" s="40">
        <f t="shared" si="18"/>
        <v>34.015000000000001</v>
      </c>
      <c r="V17" s="40">
        <f t="shared" si="18"/>
        <v>34.015000000000001</v>
      </c>
      <c r="W17" s="40">
        <f t="shared" si="18"/>
        <v>34.015000000000001</v>
      </c>
      <c r="X17" s="40">
        <f t="shared" si="18"/>
        <v>34.015000000000001</v>
      </c>
      <c r="Y17" s="40">
        <f t="shared" si="18"/>
        <v>34.015000000000001</v>
      </c>
      <c r="Z17" s="40">
        <f t="shared" si="18"/>
        <v>34.015000000000001</v>
      </c>
      <c r="AA17" s="40">
        <f t="shared" si="18"/>
        <v>34.015000000000001</v>
      </c>
      <c r="AB17" s="40">
        <f t="shared" si="18"/>
        <v>34.015000000000001</v>
      </c>
      <c r="AC17" s="40">
        <f t="shared" si="18"/>
        <v>32.015000000000008</v>
      </c>
      <c r="AD17" s="40">
        <f t="shared" si="18"/>
        <v>34.015000000000001</v>
      </c>
      <c r="AE17" s="40">
        <f t="shared" si="18"/>
        <v>34.015000000000001</v>
      </c>
      <c r="AF17" s="40">
        <f t="shared" si="18"/>
        <v>34.015000000000001</v>
      </c>
      <c r="AG17" s="40">
        <f t="shared" si="18"/>
        <v>34.015000000000001</v>
      </c>
      <c r="AH17" s="40">
        <f t="shared" si="18"/>
        <v>34.015000000000001</v>
      </c>
      <c r="AI17" s="40">
        <f t="shared" si="18"/>
        <v>34.015000000000001</v>
      </c>
      <c r="AJ17" s="40">
        <f t="shared" si="18"/>
        <v>34.015000000000001</v>
      </c>
      <c r="AL17" s="40">
        <f>SUM(AL8:AL16)</f>
        <v>950.90000000000009</v>
      </c>
      <c r="AM17" s="74">
        <f>AL17/$D$17</f>
        <v>0.93367371986842751</v>
      </c>
      <c r="AO17" s="40">
        <f>SUM(AO8:AO16)</f>
        <v>1018.4499999999998</v>
      </c>
      <c r="AP17" s="70">
        <f t="shared" si="6"/>
        <v>0.99999999999999978</v>
      </c>
      <c r="AR17" s="61"/>
      <c r="AS17" s="62"/>
      <c r="AT17" s="62"/>
    </row>
    <row r="18" spans="2:46" s="16" customFormat="1" ht="4.5" customHeight="1" x14ac:dyDescent="0.2">
      <c r="D18" s="14"/>
      <c r="E18" s="14"/>
      <c r="F18" s="20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L18" s="14"/>
      <c r="AM18" s="336"/>
      <c r="AO18" s="14"/>
      <c r="AP18" s="28"/>
      <c r="AR18" s="14"/>
      <c r="AS18" s="29"/>
      <c r="AT18" s="29"/>
    </row>
    <row r="19" spans="2:46" s="392" customFormat="1" x14ac:dyDescent="0.2">
      <c r="B19" s="3"/>
      <c r="C19" s="3" t="s">
        <v>77</v>
      </c>
      <c r="D19" s="5"/>
      <c r="E19" s="5"/>
      <c r="F19" s="194"/>
      <c r="G19" s="389">
        <f t="shared" ref="G19:AJ19" si="19">G4-G17</f>
        <v>8.9600000000000009</v>
      </c>
      <c r="H19" s="5">
        <f t="shared" si="19"/>
        <v>0.69500000000000028</v>
      </c>
      <c r="I19" s="5">
        <f t="shared" si="19"/>
        <v>-2.8300000000000018</v>
      </c>
      <c r="J19" s="5">
        <f t="shared" si="19"/>
        <v>6.2449999999999974</v>
      </c>
      <c r="K19" s="5">
        <f t="shared" si="19"/>
        <v>14.600000000000001</v>
      </c>
      <c r="L19" s="5">
        <f t="shared" si="19"/>
        <v>-7.7949999999999982</v>
      </c>
      <c r="M19" s="5">
        <f t="shared" si="19"/>
        <v>22.04</v>
      </c>
      <c r="N19" s="5">
        <f t="shared" si="19"/>
        <v>19.714999999999996</v>
      </c>
      <c r="O19" s="5">
        <f t="shared" si="19"/>
        <v>-15.64</v>
      </c>
      <c r="P19" s="5">
        <f t="shared" si="19"/>
        <v>21.694999999999993</v>
      </c>
      <c r="Q19" s="5">
        <f t="shared" si="19"/>
        <v>17.630000000000003</v>
      </c>
      <c r="R19" s="5">
        <f t="shared" si="19"/>
        <v>5.3599999999999994</v>
      </c>
      <c r="S19" s="5">
        <f t="shared" si="19"/>
        <v>-12.43</v>
      </c>
      <c r="T19" s="5">
        <f t="shared" si="19"/>
        <v>-4.5250000000000021</v>
      </c>
      <c r="U19" s="5">
        <f t="shared" si="19"/>
        <v>-6.1000000000000014</v>
      </c>
      <c r="V19" s="5">
        <f t="shared" si="19"/>
        <v>-30.715</v>
      </c>
      <c r="W19" s="5">
        <f t="shared" si="19"/>
        <v>17.119999999999997</v>
      </c>
      <c r="X19" s="5">
        <f t="shared" si="19"/>
        <v>5.4349999999999952</v>
      </c>
      <c r="Y19" s="5">
        <f t="shared" si="19"/>
        <v>-14.515000000000001</v>
      </c>
      <c r="Z19" s="5">
        <f t="shared" si="19"/>
        <v>-12.370000000000001</v>
      </c>
      <c r="AA19" s="5">
        <f t="shared" si="19"/>
        <v>-5.2150000000000034</v>
      </c>
      <c r="AB19" s="5">
        <f t="shared" si="19"/>
        <v>-17.290000000000003</v>
      </c>
      <c r="AC19" s="5">
        <f t="shared" si="19"/>
        <v>-19.115000000000009</v>
      </c>
      <c r="AD19" s="5">
        <f t="shared" si="19"/>
        <v>6.6499999999999986</v>
      </c>
      <c r="AE19" s="5">
        <f t="shared" si="19"/>
        <v>-3.2800000000000011</v>
      </c>
      <c r="AF19" s="5">
        <f t="shared" si="19"/>
        <v>2.3449999999999989</v>
      </c>
      <c r="AG19" s="5">
        <f t="shared" si="19"/>
        <v>5.4649999999999963</v>
      </c>
      <c r="AH19" s="5">
        <f t="shared" si="19"/>
        <v>31.984999999999999</v>
      </c>
      <c r="AI19" s="5">
        <f t="shared" si="19"/>
        <v>27.875</v>
      </c>
      <c r="AJ19" s="5">
        <f t="shared" si="19"/>
        <v>1.6999999999999957</v>
      </c>
      <c r="AL19" s="5"/>
      <c r="AM19" s="15"/>
      <c r="AO19" s="5">
        <f>SUM(G19:AJ19)</f>
        <v>63.694999999999958</v>
      </c>
      <c r="AP19" s="12"/>
      <c r="AR19" s="14"/>
      <c r="AS19" s="29"/>
      <c r="AT19" s="29"/>
    </row>
    <row r="20" spans="2:46" s="81" customFormat="1" ht="15" customHeight="1" thickBot="1" x14ac:dyDescent="0.25">
      <c r="C20" s="81" t="s">
        <v>93</v>
      </c>
      <c r="D20" s="61"/>
      <c r="E20" s="61"/>
      <c r="F20" s="410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L20" s="61"/>
      <c r="AM20" s="93"/>
      <c r="AO20" s="61"/>
      <c r="AP20" s="411"/>
      <c r="AR20" s="61"/>
      <c r="AS20" s="62"/>
      <c r="AT20" s="62"/>
    </row>
    <row r="21" spans="2:46" s="392" customFormat="1" x14ac:dyDescent="0.2">
      <c r="B21" s="112">
        <v>10</v>
      </c>
      <c r="C21" s="393" t="s">
        <v>88</v>
      </c>
      <c r="D21" s="394">
        <v>100</v>
      </c>
      <c r="E21" s="113">
        <f t="shared" ref="E21:E28" si="20">D21/30</f>
        <v>3.3333333333333335</v>
      </c>
      <c r="F21" s="116">
        <f t="shared" ref="F21:F28" si="21">D21/$D$29</f>
        <v>0.44052863436123346</v>
      </c>
      <c r="G21" s="395">
        <f>E21</f>
        <v>3.3333333333333335</v>
      </c>
      <c r="H21" s="395">
        <f t="shared" ref="H21:H28" si="22">$H$19*F21</f>
        <v>0.30616740088105737</v>
      </c>
      <c r="I21" s="395">
        <v>0</v>
      </c>
      <c r="J21" s="395">
        <f t="shared" ref="J21:J28" si="23">$J$19*F21</f>
        <v>2.7511013215859017</v>
      </c>
      <c r="K21" s="395">
        <f>$E$21</f>
        <v>3.3333333333333335</v>
      </c>
      <c r="L21" s="395">
        <v>0</v>
      </c>
      <c r="M21" s="395">
        <f>$E$21</f>
        <v>3.3333333333333335</v>
      </c>
      <c r="N21" s="395">
        <f>$E$21</f>
        <v>3.3333333333333335</v>
      </c>
      <c r="O21" s="395">
        <v>0</v>
      </c>
      <c r="P21" s="395">
        <f>$E$21</f>
        <v>3.3333333333333335</v>
      </c>
      <c r="Q21" s="395">
        <f>$E$21</f>
        <v>3.3333333333333335</v>
      </c>
      <c r="R21" s="395">
        <f t="shared" ref="R21:R28" si="24">$R$19*F21</f>
        <v>2.3612334801762112</v>
      </c>
      <c r="S21" s="395">
        <v>0</v>
      </c>
      <c r="T21" s="395">
        <v>0</v>
      </c>
      <c r="U21" s="395">
        <v>0</v>
      </c>
      <c r="V21" s="395">
        <v>0</v>
      </c>
      <c r="W21" s="395">
        <f>$E$21</f>
        <v>3.3333333333333335</v>
      </c>
      <c r="X21" s="395">
        <f t="shared" ref="X21:X28" si="25">$X$19*F21</f>
        <v>2.3942731277533018</v>
      </c>
      <c r="Y21" s="395">
        <v>0</v>
      </c>
      <c r="Z21" s="395">
        <v>0</v>
      </c>
      <c r="AA21" s="395">
        <v>0</v>
      </c>
      <c r="AB21" s="394">
        <v>0</v>
      </c>
      <c r="AC21" s="394">
        <v>0</v>
      </c>
      <c r="AD21" s="394">
        <f>$AD$19*F21</f>
        <v>2.9295154185022021</v>
      </c>
      <c r="AE21" s="394">
        <v>0</v>
      </c>
      <c r="AF21" s="394">
        <f>$AF$19*F21</f>
        <v>1.033039647577092</v>
      </c>
      <c r="AG21" s="394">
        <f>$AG$19*F21</f>
        <v>2.4074889867841391</v>
      </c>
      <c r="AH21" s="394">
        <f>E21</f>
        <v>3.3333333333333335</v>
      </c>
      <c r="AI21" s="394">
        <f>E21</f>
        <v>3.3333333333333335</v>
      </c>
      <c r="AJ21" s="396">
        <f>$AJ$19*F21</f>
        <v>0.74889867841409496</v>
      </c>
      <c r="AL21" s="109">
        <v>0</v>
      </c>
      <c r="AM21" s="397">
        <f t="shared" ref="AM21:AM28" si="26">AL21/D21</f>
        <v>0</v>
      </c>
      <c r="AO21" s="109">
        <f t="shared" ref="AO21:AO28" si="27">SUM(G21:AJ21)</f>
        <v>44.931718061673998</v>
      </c>
      <c r="AP21" s="116">
        <f>AO21/$D$29</f>
        <v>0.19793708397213214</v>
      </c>
      <c r="AR21" s="14"/>
      <c r="AS21" s="29"/>
      <c r="AT21" s="29"/>
    </row>
    <row r="22" spans="2:46" s="255" customFormat="1" x14ac:dyDescent="0.2">
      <c r="B22" s="213">
        <v>11</v>
      </c>
      <c r="C22" s="214" t="s">
        <v>69</v>
      </c>
      <c r="D22" s="215">
        <v>50</v>
      </c>
      <c r="E22" s="215">
        <f t="shared" si="20"/>
        <v>1.6666666666666667</v>
      </c>
      <c r="F22" s="216">
        <f t="shared" si="21"/>
        <v>0.22026431718061673</v>
      </c>
      <c r="G22" s="217">
        <f t="shared" ref="G22:G28" si="28">E22</f>
        <v>1.6666666666666667</v>
      </c>
      <c r="H22" s="217">
        <f t="shared" si="22"/>
        <v>0.15308370044052869</v>
      </c>
      <c r="I22" s="217">
        <v>0</v>
      </c>
      <c r="J22" s="217">
        <f t="shared" si="23"/>
        <v>1.3755506607929509</v>
      </c>
      <c r="K22" s="217">
        <f>$E$22</f>
        <v>1.6666666666666667</v>
      </c>
      <c r="L22" s="217">
        <v>0</v>
      </c>
      <c r="M22" s="217">
        <f>$E$22</f>
        <v>1.6666666666666667</v>
      </c>
      <c r="N22" s="217">
        <f>$E$22</f>
        <v>1.6666666666666667</v>
      </c>
      <c r="O22" s="217">
        <v>0</v>
      </c>
      <c r="P22" s="217">
        <f>$E$22</f>
        <v>1.6666666666666667</v>
      </c>
      <c r="Q22" s="217">
        <f>$E$22</f>
        <v>1.6666666666666667</v>
      </c>
      <c r="R22" s="217">
        <f t="shared" si="24"/>
        <v>1.1806167400881056</v>
      </c>
      <c r="S22" s="217">
        <v>0</v>
      </c>
      <c r="T22" s="217">
        <v>0</v>
      </c>
      <c r="U22" s="217">
        <v>0</v>
      </c>
      <c r="V22" s="217">
        <v>0</v>
      </c>
      <c r="W22" s="217">
        <f>$E$22</f>
        <v>1.6666666666666667</v>
      </c>
      <c r="X22" s="217">
        <f t="shared" si="25"/>
        <v>1.1971365638766509</v>
      </c>
      <c r="Y22" s="217">
        <v>0</v>
      </c>
      <c r="Z22" s="217">
        <v>0</v>
      </c>
      <c r="AA22" s="217">
        <v>0</v>
      </c>
      <c r="AB22" s="215">
        <v>0</v>
      </c>
      <c r="AC22" s="215">
        <v>0</v>
      </c>
      <c r="AD22" s="215">
        <f t="shared" ref="AD22:AD28" si="29">$AD$19*F22</f>
        <v>1.464757709251101</v>
      </c>
      <c r="AE22" s="215">
        <v>0</v>
      </c>
      <c r="AF22" s="215">
        <f t="shared" ref="AF22:AF28" si="30">$AF$19*F22</f>
        <v>0.516519823788546</v>
      </c>
      <c r="AG22" s="215">
        <f t="shared" ref="AG22:AG28" si="31">$AG$19*F22</f>
        <v>1.2037444933920696</v>
      </c>
      <c r="AH22" s="215">
        <f t="shared" ref="AH22:AH28" si="32">E22</f>
        <v>1.6666666666666667</v>
      </c>
      <c r="AI22" s="215">
        <f t="shared" ref="AI22:AI28" si="33">E22</f>
        <v>1.6666666666666667</v>
      </c>
      <c r="AJ22" s="218">
        <f t="shared" ref="AJ22:AJ28" si="34">$AJ$19*F22</f>
        <v>0.37444933920704748</v>
      </c>
      <c r="AL22" s="219">
        <v>0</v>
      </c>
      <c r="AM22" s="311">
        <f t="shared" si="26"/>
        <v>0</v>
      </c>
      <c r="AO22" s="219">
        <f t="shared" si="27"/>
        <v>22.465859030836999</v>
      </c>
      <c r="AP22" s="216">
        <f>AO22/$D$29</f>
        <v>9.8968541986066069E-2</v>
      </c>
      <c r="AR22" s="61"/>
      <c r="AS22" s="62"/>
      <c r="AT22" s="62"/>
    </row>
    <row r="23" spans="2:46" s="392" customFormat="1" x14ac:dyDescent="0.2">
      <c r="B23" s="117">
        <v>12</v>
      </c>
      <c r="C23" s="101" t="s">
        <v>43</v>
      </c>
      <c r="D23" s="118">
        <v>27</v>
      </c>
      <c r="E23" s="118">
        <f t="shared" si="20"/>
        <v>0.9</v>
      </c>
      <c r="F23" s="121">
        <f t="shared" si="21"/>
        <v>0.11894273127753303</v>
      </c>
      <c r="G23" s="190">
        <f t="shared" si="28"/>
        <v>0.9</v>
      </c>
      <c r="H23" s="190">
        <f t="shared" si="22"/>
        <v>8.2665198237885498E-2</v>
      </c>
      <c r="I23" s="118">
        <v>0</v>
      </c>
      <c r="J23" s="118">
        <f t="shared" si="23"/>
        <v>0.74279735682819348</v>
      </c>
      <c r="K23" s="118">
        <f t="shared" ref="K23:K28" si="35">E23</f>
        <v>0.9</v>
      </c>
      <c r="L23" s="118">
        <v>0</v>
      </c>
      <c r="M23" s="118">
        <f t="shared" ref="M23:M28" si="36">E23</f>
        <v>0.9</v>
      </c>
      <c r="N23" s="118">
        <f t="shared" ref="N23:N28" si="37">E23</f>
        <v>0.9</v>
      </c>
      <c r="O23" s="118">
        <v>0</v>
      </c>
      <c r="P23" s="118">
        <f t="shared" ref="P23:P28" si="38">E23</f>
        <v>0.9</v>
      </c>
      <c r="Q23" s="118">
        <f t="shared" ref="Q23:Q28" si="39">E23</f>
        <v>0.9</v>
      </c>
      <c r="R23" s="118">
        <f t="shared" si="24"/>
        <v>0.63753303964757702</v>
      </c>
      <c r="S23" s="118">
        <v>0</v>
      </c>
      <c r="T23" s="118">
        <v>0</v>
      </c>
      <c r="U23" s="118">
        <v>0</v>
      </c>
      <c r="V23" s="118">
        <v>0</v>
      </c>
      <c r="W23" s="118">
        <f t="shared" ref="W23:W28" si="40">E23</f>
        <v>0.9</v>
      </c>
      <c r="X23" s="118">
        <f t="shared" si="25"/>
        <v>0.64645374449339144</v>
      </c>
      <c r="Y23" s="118">
        <v>0</v>
      </c>
      <c r="Z23" s="118">
        <v>0</v>
      </c>
      <c r="AA23" s="118">
        <v>0</v>
      </c>
      <c r="AB23" s="118">
        <v>0</v>
      </c>
      <c r="AC23" s="118">
        <v>0</v>
      </c>
      <c r="AD23" s="118">
        <f t="shared" si="29"/>
        <v>0.7909691629955945</v>
      </c>
      <c r="AE23" s="118">
        <v>0</v>
      </c>
      <c r="AF23" s="118">
        <f t="shared" si="30"/>
        <v>0.27892070484581483</v>
      </c>
      <c r="AG23" s="118">
        <f t="shared" si="31"/>
        <v>0.65002202643171758</v>
      </c>
      <c r="AH23" s="118">
        <f t="shared" si="32"/>
        <v>0.9</v>
      </c>
      <c r="AI23" s="118">
        <f t="shared" si="33"/>
        <v>0.9</v>
      </c>
      <c r="AJ23" s="120">
        <f t="shared" si="34"/>
        <v>0.20220264317180564</v>
      </c>
      <c r="AL23" s="110">
        <v>0</v>
      </c>
      <c r="AM23" s="398">
        <f t="shared" si="26"/>
        <v>0</v>
      </c>
      <c r="AO23" s="110">
        <f t="shared" si="27"/>
        <v>12.131563876651981</v>
      </c>
      <c r="AP23" s="121">
        <f>AO23/$D$29</f>
        <v>5.3443012672475684E-2</v>
      </c>
      <c r="AR23" s="14"/>
      <c r="AS23" s="29"/>
      <c r="AT23" s="29"/>
    </row>
    <row r="24" spans="2:46" s="255" customFormat="1" x14ac:dyDescent="0.2">
      <c r="B24" s="213">
        <v>13</v>
      </c>
      <c r="C24" s="214" t="s">
        <v>92</v>
      </c>
      <c r="D24" s="215">
        <v>25</v>
      </c>
      <c r="E24" s="215">
        <f t="shared" si="20"/>
        <v>0.83333333333333337</v>
      </c>
      <c r="F24" s="216">
        <f t="shared" si="21"/>
        <v>0.11013215859030837</v>
      </c>
      <c r="G24" s="217">
        <f t="shared" si="28"/>
        <v>0.83333333333333337</v>
      </c>
      <c r="H24" s="217">
        <f t="shared" si="22"/>
        <v>7.6541850220264343E-2</v>
      </c>
      <c r="I24" s="215">
        <v>0</v>
      </c>
      <c r="J24" s="215">
        <f t="shared" si="23"/>
        <v>0.68777533039647543</v>
      </c>
      <c r="K24" s="215">
        <f t="shared" si="35"/>
        <v>0.83333333333333337</v>
      </c>
      <c r="L24" s="215">
        <v>0</v>
      </c>
      <c r="M24" s="215">
        <f t="shared" si="36"/>
        <v>0.83333333333333337</v>
      </c>
      <c r="N24" s="215">
        <f t="shared" si="37"/>
        <v>0.83333333333333337</v>
      </c>
      <c r="O24" s="215">
        <v>0</v>
      </c>
      <c r="P24" s="215">
        <f t="shared" si="38"/>
        <v>0.83333333333333337</v>
      </c>
      <c r="Q24" s="215">
        <f t="shared" si="39"/>
        <v>0.83333333333333337</v>
      </c>
      <c r="R24" s="215">
        <f t="shared" si="24"/>
        <v>0.59030837004405279</v>
      </c>
      <c r="S24" s="215">
        <v>0</v>
      </c>
      <c r="T24" s="215">
        <v>0</v>
      </c>
      <c r="U24" s="215">
        <v>0</v>
      </c>
      <c r="V24" s="215">
        <v>0</v>
      </c>
      <c r="W24" s="215">
        <f t="shared" si="40"/>
        <v>0.83333333333333337</v>
      </c>
      <c r="X24" s="215">
        <f t="shared" si="25"/>
        <v>0.59856828193832545</v>
      </c>
      <c r="Y24" s="215">
        <v>0</v>
      </c>
      <c r="Z24" s="215">
        <v>0</v>
      </c>
      <c r="AA24" s="215">
        <v>0</v>
      </c>
      <c r="AB24" s="215">
        <v>0</v>
      </c>
      <c r="AC24" s="215">
        <v>0</v>
      </c>
      <c r="AD24" s="215">
        <f t="shared" si="29"/>
        <v>0.73237885462555052</v>
      </c>
      <c r="AE24" s="215">
        <v>0</v>
      </c>
      <c r="AF24" s="215">
        <f t="shared" si="30"/>
        <v>0.258259911894273</v>
      </c>
      <c r="AG24" s="215">
        <f t="shared" si="31"/>
        <v>0.60187224669603478</v>
      </c>
      <c r="AH24" s="215">
        <f t="shared" si="32"/>
        <v>0.83333333333333337</v>
      </c>
      <c r="AI24" s="215">
        <f t="shared" si="33"/>
        <v>0.83333333333333337</v>
      </c>
      <c r="AJ24" s="218">
        <f t="shared" si="34"/>
        <v>0.18722466960352374</v>
      </c>
      <c r="AL24" s="219">
        <v>0</v>
      </c>
      <c r="AM24" s="311">
        <f t="shared" si="26"/>
        <v>0</v>
      </c>
      <c r="AO24" s="219">
        <f t="shared" si="27"/>
        <v>11.232929515418499</v>
      </c>
      <c r="AP24" s="216">
        <f>AO24/$D$29</f>
        <v>4.9484270993033035E-2</v>
      </c>
      <c r="AR24" s="61"/>
      <c r="AS24" s="62"/>
      <c r="AT24" s="62"/>
    </row>
    <row r="25" spans="2:46" s="392" customFormat="1" x14ac:dyDescent="0.2">
      <c r="B25" s="399">
        <v>14</v>
      </c>
      <c r="C25" s="412" t="s">
        <v>98</v>
      </c>
      <c r="D25" s="401">
        <v>25</v>
      </c>
      <c r="E25" s="401">
        <f t="shared" si="20"/>
        <v>0.83333333333333337</v>
      </c>
      <c r="F25" s="402">
        <f t="shared" si="21"/>
        <v>0.11013215859030837</v>
      </c>
      <c r="G25" s="403">
        <f t="shared" ref="G25" si="41">E25</f>
        <v>0.83333333333333337</v>
      </c>
      <c r="H25" s="403">
        <f t="shared" ref="H25" si="42">$H$19*F25</f>
        <v>7.6541850220264343E-2</v>
      </c>
      <c r="I25" s="401">
        <v>0</v>
      </c>
      <c r="J25" s="401">
        <f t="shared" ref="J25" si="43">$J$19*F25</f>
        <v>0.68777533039647543</v>
      </c>
      <c r="K25" s="401">
        <f t="shared" ref="K25" si="44">E25</f>
        <v>0.83333333333333337</v>
      </c>
      <c r="L25" s="401">
        <v>0</v>
      </c>
      <c r="M25" s="401">
        <f t="shared" ref="M25" si="45">E25</f>
        <v>0.83333333333333337</v>
      </c>
      <c r="N25" s="401">
        <f t="shared" ref="N25" si="46">E25</f>
        <v>0.83333333333333337</v>
      </c>
      <c r="O25" s="401">
        <v>0</v>
      </c>
      <c r="P25" s="401">
        <f t="shared" ref="P25" si="47">E25</f>
        <v>0.83333333333333337</v>
      </c>
      <c r="Q25" s="401">
        <f t="shared" ref="Q25" si="48">E25</f>
        <v>0.83333333333333337</v>
      </c>
      <c r="R25" s="401">
        <f t="shared" ref="R25" si="49">$R$19*F25</f>
        <v>0.59030837004405279</v>
      </c>
      <c r="S25" s="401">
        <v>0</v>
      </c>
      <c r="T25" s="401">
        <v>0</v>
      </c>
      <c r="U25" s="401">
        <v>0</v>
      </c>
      <c r="V25" s="401">
        <v>0</v>
      </c>
      <c r="W25" s="401">
        <f t="shared" ref="W25" si="50">E25</f>
        <v>0.83333333333333337</v>
      </c>
      <c r="X25" s="401">
        <f t="shared" ref="X25" si="51">$X$19*F25</f>
        <v>0.59856828193832545</v>
      </c>
      <c r="Y25" s="401">
        <v>0</v>
      </c>
      <c r="Z25" s="401">
        <v>0</v>
      </c>
      <c r="AA25" s="401">
        <v>0</v>
      </c>
      <c r="AB25" s="401">
        <v>0</v>
      </c>
      <c r="AC25" s="401">
        <v>0</v>
      </c>
      <c r="AD25" s="401">
        <f t="shared" ref="AD25" si="52">$AD$19*F25</f>
        <v>0.73237885462555052</v>
      </c>
      <c r="AE25" s="401">
        <v>0</v>
      </c>
      <c r="AF25" s="401">
        <f t="shared" ref="AF25" si="53">$AF$19*F25</f>
        <v>0.258259911894273</v>
      </c>
      <c r="AG25" s="401">
        <f t="shared" ref="AG25" si="54">$AG$19*F25</f>
        <v>0.60187224669603478</v>
      </c>
      <c r="AH25" s="401">
        <f t="shared" ref="AH25" si="55">E25</f>
        <v>0.83333333333333337</v>
      </c>
      <c r="AI25" s="401">
        <f t="shared" ref="AI25" si="56">E25</f>
        <v>0.83333333333333337</v>
      </c>
      <c r="AJ25" s="404">
        <f t="shared" si="34"/>
        <v>0.18722466960352374</v>
      </c>
      <c r="AL25" s="110">
        <v>0</v>
      </c>
      <c r="AM25" s="398">
        <f t="shared" ref="AM25" si="57">AL25/D25</f>
        <v>0</v>
      </c>
      <c r="AO25" s="110">
        <f t="shared" ref="AO25" si="58">SUM(G25:AJ25)</f>
        <v>11.232929515418499</v>
      </c>
      <c r="AP25" s="121">
        <f>AO25/$D$29</f>
        <v>4.9484270993033035E-2</v>
      </c>
      <c r="AR25" s="14"/>
      <c r="AS25" s="29"/>
      <c r="AT25" s="29"/>
    </row>
    <row r="26" spans="2:46" s="255" customFormat="1" x14ac:dyDescent="0.2">
      <c r="B26" s="342">
        <v>15</v>
      </c>
      <c r="C26" s="400" t="s">
        <v>70</v>
      </c>
      <c r="D26" s="343">
        <v>0</v>
      </c>
      <c r="E26" s="343">
        <f t="shared" si="20"/>
        <v>0</v>
      </c>
      <c r="F26" s="341">
        <f t="shared" si="21"/>
        <v>0</v>
      </c>
      <c r="G26" s="344">
        <f t="shared" si="28"/>
        <v>0</v>
      </c>
      <c r="H26" s="344">
        <f t="shared" si="22"/>
        <v>0</v>
      </c>
      <c r="I26" s="343">
        <v>0</v>
      </c>
      <c r="J26" s="343">
        <f t="shared" ref="J26" si="59">$J$19*F26</f>
        <v>0</v>
      </c>
      <c r="K26" s="343">
        <f t="shared" ref="K26" si="60">E26</f>
        <v>0</v>
      </c>
      <c r="L26" s="343">
        <v>0</v>
      </c>
      <c r="M26" s="343">
        <f t="shared" ref="M26" si="61">E26</f>
        <v>0</v>
      </c>
      <c r="N26" s="343">
        <f t="shared" ref="N26" si="62">E26</f>
        <v>0</v>
      </c>
      <c r="O26" s="343">
        <v>0</v>
      </c>
      <c r="P26" s="343">
        <f t="shared" ref="P26" si="63">E26</f>
        <v>0</v>
      </c>
      <c r="Q26" s="343">
        <f t="shared" ref="Q26" si="64">E26</f>
        <v>0</v>
      </c>
      <c r="R26" s="343">
        <f t="shared" ref="R26" si="65">$R$19*F26</f>
        <v>0</v>
      </c>
      <c r="S26" s="343">
        <v>0</v>
      </c>
      <c r="T26" s="343">
        <v>0</v>
      </c>
      <c r="U26" s="343">
        <v>0</v>
      </c>
      <c r="V26" s="343">
        <v>0</v>
      </c>
      <c r="W26" s="343">
        <f t="shared" ref="W26" si="66">E26</f>
        <v>0</v>
      </c>
      <c r="X26" s="343">
        <f t="shared" ref="X26" si="67">$X$19*F26</f>
        <v>0</v>
      </c>
      <c r="Y26" s="343">
        <v>0</v>
      </c>
      <c r="Z26" s="343">
        <v>0</v>
      </c>
      <c r="AA26" s="343">
        <v>0</v>
      </c>
      <c r="AB26" s="343">
        <v>0</v>
      </c>
      <c r="AC26" s="343">
        <v>0</v>
      </c>
      <c r="AD26" s="343">
        <f t="shared" si="29"/>
        <v>0</v>
      </c>
      <c r="AE26" s="343">
        <v>0</v>
      </c>
      <c r="AF26" s="343">
        <f t="shared" si="30"/>
        <v>0</v>
      </c>
      <c r="AG26" s="343">
        <f t="shared" si="31"/>
        <v>0</v>
      </c>
      <c r="AH26" s="343">
        <f t="shared" si="32"/>
        <v>0</v>
      </c>
      <c r="AI26" s="343">
        <f t="shared" si="33"/>
        <v>0</v>
      </c>
      <c r="AJ26" s="345">
        <f t="shared" si="34"/>
        <v>0</v>
      </c>
      <c r="AL26" s="219">
        <v>0</v>
      </c>
      <c r="AM26" s="311" t="e">
        <f>AL26/D26</f>
        <v>#DIV/0!</v>
      </c>
      <c r="AO26" s="219">
        <f>SUM(G26:AJ26)</f>
        <v>0</v>
      </c>
      <c r="AP26" s="216">
        <f>AO26/$D$17</f>
        <v>0</v>
      </c>
      <c r="AR26" s="61"/>
      <c r="AS26" s="62"/>
      <c r="AT26" s="62"/>
    </row>
    <row r="27" spans="2:46" s="392" customFormat="1" x14ac:dyDescent="0.2">
      <c r="B27" s="117">
        <v>16</v>
      </c>
      <c r="C27" s="287" t="s">
        <v>68</v>
      </c>
      <c r="D27" s="118">
        <v>0</v>
      </c>
      <c r="E27" s="118">
        <f t="shared" si="20"/>
        <v>0</v>
      </c>
      <c r="F27" s="121">
        <f t="shared" si="21"/>
        <v>0</v>
      </c>
      <c r="G27" s="190">
        <f t="shared" si="28"/>
        <v>0</v>
      </c>
      <c r="H27" s="190">
        <f>$H$19*F27</f>
        <v>0</v>
      </c>
      <c r="I27" s="118">
        <v>0</v>
      </c>
      <c r="J27" s="118">
        <f>$J$19*F27</f>
        <v>0</v>
      </c>
      <c r="K27" s="118">
        <f>E27</f>
        <v>0</v>
      </c>
      <c r="L27" s="118">
        <v>0</v>
      </c>
      <c r="M27" s="118">
        <f>E27</f>
        <v>0</v>
      </c>
      <c r="N27" s="118">
        <f>E27</f>
        <v>0</v>
      </c>
      <c r="O27" s="118">
        <v>0</v>
      </c>
      <c r="P27" s="118">
        <f>E27</f>
        <v>0</v>
      </c>
      <c r="Q27" s="118">
        <f>E27</f>
        <v>0</v>
      </c>
      <c r="R27" s="118">
        <f>$R$19*F27</f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f>E27</f>
        <v>0</v>
      </c>
      <c r="X27" s="118">
        <f>$X$19*F27</f>
        <v>0</v>
      </c>
      <c r="Y27" s="118">
        <v>0</v>
      </c>
      <c r="Z27" s="118">
        <v>0</v>
      </c>
      <c r="AA27" s="118">
        <v>0</v>
      </c>
      <c r="AB27" s="118">
        <v>0</v>
      </c>
      <c r="AC27" s="118">
        <v>0</v>
      </c>
      <c r="AD27" s="118">
        <f t="shared" si="29"/>
        <v>0</v>
      </c>
      <c r="AE27" s="118">
        <v>0</v>
      </c>
      <c r="AF27" s="118">
        <f t="shared" si="30"/>
        <v>0</v>
      </c>
      <c r="AG27" s="118">
        <f t="shared" si="31"/>
        <v>0</v>
      </c>
      <c r="AH27" s="118">
        <f t="shared" si="32"/>
        <v>0</v>
      </c>
      <c r="AI27" s="118">
        <f t="shared" si="33"/>
        <v>0</v>
      </c>
      <c r="AJ27" s="120">
        <f t="shared" si="34"/>
        <v>0</v>
      </c>
      <c r="AL27" s="110">
        <v>0</v>
      </c>
      <c r="AM27" s="398" t="e">
        <f>AL27/D27</f>
        <v>#DIV/0!</v>
      </c>
      <c r="AO27" s="110">
        <f>SUM(G27:AJ27)</f>
        <v>0</v>
      </c>
      <c r="AP27" s="121">
        <f>AO27/$D$29</f>
        <v>0</v>
      </c>
      <c r="AR27" s="14"/>
      <c r="AS27" s="29"/>
      <c r="AT27" s="29"/>
    </row>
    <row r="28" spans="2:46" s="255" customFormat="1" ht="15.75" thickBot="1" x14ac:dyDescent="0.25">
      <c r="B28" s="350">
        <v>17</v>
      </c>
      <c r="C28" s="405" t="s">
        <v>71</v>
      </c>
      <c r="D28" s="351">
        <v>0</v>
      </c>
      <c r="E28" s="351">
        <f t="shared" si="20"/>
        <v>0</v>
      </c>
      <c r="F28" s="352">
        <f t="shared" si="21"/>
        <v>0</v>
      </c>
      <c r="G28" s="353">
        <f t="shared" si="28"/>
        <v>0</v>
      </c>
      <c r="H28" s="353">
        <f t="shared" si="22"/>
        <v>0</v>
      </c>
      <c r="I28" s="351">
        <v>0</v>
      </c>
      <c r="J28" s="351">
        <f t="shared" si="23"/>
        <v>0</v>
      </c>
      <c r="K28" s="351">
        <f t="shared" si="35"/>
        <v>0</v>
      </c>
      <c r="L28" s="351">
        <v>0</v>
      </c>
      <c r="M28" s="351">
        <f t="shared" si="36"/>
        <v>0</v>
      </c>
      <c r="N28" s="351">
        <f t="shared" si="37"/>
        <v>0</v>
      </c>
      <c r="O28" s="351">
        <v>0</v>
      </c>
      <c r="P28" s="351">
        <f t="shared" si="38"/>
        <v>0</v>
      </c>
      <c r="Q28" s="351">
        <f t="shared" si="39"/>
        <v>0</v>
      </c>
      <c r="R28" s="351">
        <f t="shared" si="24"/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f t="shared" si="40"/>
        <v>0</v>
      </c>
      <c r="X28" s="351">
        <f t="shared" si="25"/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f t="shared" si="29"/>
        <v>0</v>
      </c>
      <c r="AE28" s="351">
        <v>0</v>
      </c>
      <c r="AF28" s="351">
        <f t="shared" si="30"/>
        <v>0</v>
      </c>
      <c r="AG28" s="351">
        <f t="shared" si="31"/>
        <v>0</v>
      </c>
      <c r="AH28" s="351">
        <f t="shared" si="32"/>
        <v>0</v>
      </c>
      <c r="AI28" s="351">
        <f t="shared" si="33"/>
        <v>0</v>
      </c>
      <c r="AJ28" s="354">
        <f t="shared" si="34"/>
        <v>0</v>
      </c>
      <c r="AL28" s="355">
        <v>0</v>
      </c>
      <c r="AM28" s="356" t="e">
        <f t="shared" si="26"/>
        <v>#DIV/0!</v>
      </c>
      <c r="AO28" s="355">
        <f t="shared" si="27"/>
        <v>0</v>
      </c>
      <c r="AP28" s="357">
        <f>AO28/$D$29</f>
        <v>0</v>
      </c>
      <c r="AR28" s="61"/>
      <c r="AS28" s="62"/>
      <c r="AT28" s="62"/>
    </row>
    <row r="29" spans="2:46" s="392" customFormat="1" x14ac:dyDescent="0.2">
      <c r="B29" s="3"/>
      <c r="C29" s="3" t="s">
        <v>94</v>
      </c>
      <c r="D29" s="5">
        <f>SUM(D21:D28)</f>
        <v>227</v>
      </c>
      <c r="E29" s="5">
        <f>SUM(E21:E28)</f>
        <v>7.5666666666666664</v>
      </c>
      <c r="F29" s="194">
        <f>D29/D31</f>
        <v>0.18226343891766028</v>
      </c>
      <c r="G29" s="389">
        <f t="shared" ref="G29:AJ29" si="68">SUM(G21:G28)</f>
        <v>7.5666666666666664</v>
      </c>
      <c r="H29" s="5">
        <f t="shared" si="68"/>
        <v>0.6950000000000004</v>
      </c>
      <c r="I29" s="5">
        <f t="shared" si="68"/>
        <v>0</v>
      </c>
      <c r="J29" s="5">
        <f t="shared" si="68"/>
        <v>6.2449999999999974</v>
      </c>
      <c r="K29" s="5">
        <f t="shared" si="68"/>
        <v>7.5666666666666664</v>
      </c>
      <c r="L29" s="5">
        <f t="shared" si="68"/>
        <v>0</v>
      </c>
      <c r="M29" s="5">
        <f t="shared" si="68"/>
        <v>7.5666666666666664</v>
      </c>
      <c r="N29" s="5">
        <f t="shared" si="68"/>
        <v>7.5666666666666664</v>
      </c>
      <c r="O29" s="5">
        <f t="shared" si="68"/>
        <v>0</v>
      </c>
      <c r="P29" s="5">
        <f t="shared" si="68"/>
        <v>7.5666666666666664</v>
      </c>
      <c r="Q29" s="5">
        <f t="shared" si="68"/>
        <v>7.5666666666666664</v>
      </c>
      <c r="R29" s="5">
        <f t="shared" si="68"/>
        <v>5.3599999999999985</v>
      </c>
      <c r="S29" s="5">
        <f t="shared" si="68"/>
        <v>0</v>
      </c>
      <c r="T29" s="5">
        <f t="shared" si="68"/>
        <v>0</v>
      </c>
      <c r="U29" s="5">
        <f t="shared" si="68"/>
        <v>0</v>
      </c>
      <c r="V29" s="5">
        <f t="shared" si="68"/>
        <v>0</v>
      </c>
      <c r="W29" s="5">
        <f t="shared" si="68"/>
        <v>7.5666666666666664</v>
      </c>
      <c r="X29" s="5">
        <f t="shared" si="68"/>
        <v>5.4349999999999952</v>
      </c>
      <c r="Y29" s="5">
        <f t="shared" si="68"/>
        <v>0</v>
      </c>
      <c r="Z29" s="5">
        <f t="shared" si="68"/>
        <v>0</v>
      </c>
      <c r="AA29" s="5">
        <f t="shared" si="68"/>
        <v>0</v>
      </c>
      <c r="AB29" s="5">
        <f t="shared" si="68"/>
        <v>0</v>
      </c>
      <c r="AC29" s="5">
        <f t="shared" si="68"/>
        <v>0</v>
      </c>
      <c r="AD29" s="5">
        <f t="shared" si="68"/>
        <v>6.6499999999999986</v>
      </c>
      <c r="AE29" s="5">
        <f t="shared" si="68"/>
        <v>0</v>
      </c>
      <c r="AF29" s="5">
        <f t="shared" si="68"/>
        <v>2.3449999999999989</v>
      </c>
      <c r="AG29" s="5">
        <f t="shared" si="68"/>
        <v>5.4649999999999945</v>
      </c>
      <c r="AH29" s="5">
        <f t="shared" si="68"/>
        <v>7.5666666666666664</v>
      </c>
      <c r="AI29" s="5">
        <f t="shared" si="68"/>
        <v>7.5666666666666664</v>
      </c>
      <c r="AJ29" s="5">
        <f t="shared" si="68"/>
        <v>1.6999999999999955</v>
      </c>
      <c r="AL29" s="5">
        <f>SUM(AL21:AL28)</f>
        <v>0</v>
      </c>
      <c r="AM29" s="15"/>
      <c r="AO29" s="5">
        <f>SUM(AO21:AO28)</f>
        <v>101.99499999999999</v>
      </c>
      <c r="AP29" s="12" t="e">
        <f>AO29/AL29</f>
        <v>#DIV/0!</v>
      </c>
      <c r="AR29" s="14"/>
      <c r="AS29" s="29"/>
      <c r="AT29" s="29"/>
    </row>
    <row r="30" spans="2:46" s="16" customFormat="1" ht="4.5" customHeight="1" x14ac:dyDescent="0.2">
      <c r="B30" s="150"/>
      <c r="C30" s="150"/>
      <c r="D30" s="37"/>
      <c r="E30" s="37"/>
      <c r="F30" s="196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L30" s="37"/>
      <c r="AM30" s="406"/>
      <c r="AO30" s="37"/>
      <c r="AP30" s="151"/>
      <c r="AR30" s="14"/>
      <c r="AS30" s="29"/>
      <c r="AT30" s="29"/>
    </row>
    <row r="31" spans="2:46" s="255" customFormat="1" x14ac:dyDescent="0.2">
      <c r="B31" s="43"/>
      <c r="C31" s="43" t="s">
        <v>95</v>
      </c>
      <c r="D31" s="40">
        <f t="shared" ref="D31:AJ31" si="69">D17+D29</f>
        <v>1245.45</v>
      </c>
      <c r="E31" s="40">
        <f t="shared" si="69"/>
        <v>41.581666666666663</v>
      </c>
      <c r="F31" s="220">
        <f t="shared" si="69"/>
        <v>1</v>
      </c>
      <c r="G31" s="391">
        <f t="shared" si="69"/>
        <v>41.581666666666663</v>
      </c>
      <c r="H31" s="391">
        <f t="shared" si="69"/>
        <v>34.71</v>
      </c>
      <c r="I31" s="40">
        <f t="shared" si="69"/>
        <v>34.015000000000001</v>
      </c>
      <c r="J31" s="40">
        <f t="shared" si="69"/>
        <v>40.26</v>
      </c>
      <c r="K31" s="40">
        <f t="shared" si="69"/>
        <v>41.581666666666663</v>
      </c>
      <c r="L31" s="40">
        <f t="shared" si="69"/>
        <v>34.015000000000001</v>
      </c>
      <c r="M31" s="40">
        <f t="shared" si="69"/>
        <v>41.581666666666663</v>
      </c>
      <c r="N31" s="40">
        <f t="shared" si="69"/>
        <v>41.581666666666663</v>
      </c>
      <c r="O31" s="40">
        <f t="shared" si="69"/>
        <v>34.015000000000001</v>
      </c>
      <c r="P31" s="40">
        <f t="shared" si="69"/>
        <v>41.581666666666663</v>
      </c>
      <c r="Q31" s="40">
        <f t="shared" si="69"/>
        <v>41.581666666666663</v>
      </c>
      <c r="R31" s="40">
        <f t="shared" si="69"/>
        <v>39.375</v>
      </c>
      <c r="S31" s="40">
        <f t="shared" si="69"/>
        <v>34.015000000000001</v>
      </c>
      <c r="T31" s="40">
        <f t="shared" si="69"/>
        <v>34.015000000000001</v>
      </c>
      <c r="U31" s="40">
        <f t="shared" si="69"/>
        <v>34.015000000000001</v>
      </c>
      <c r="V31" s="40">
        <f t="shared" si="69"/>
        <v>34.015000000000001</v>
      </c>
      <c r="W31" s="40">
        <f t="shared" si="69"/>
        <v>41.581666666666663</v>
      </c>
      <c r="X31" s="40">
        <f t="shared" si="69"/>
        <v>39.449999999999996</v>
      </c>
      <c r="Y31" s="40">
        <f t="shared" si="69"/>
        <v>34.015000000000001</v>
      </c>
      <c r="Z31" s="40">
        <f t="shared" si="69"/>
        <v>34.015000000000001</v>
      </c>
      <c r="AA31" s="40">
        <f t="shared" si="69"/>
        <v>34.015000000000001</v>
      </c>
      <c r="AB31" s="40">
        <f t="shared" si="69"/>
        <v>34.015000000000001</v>
      </c>
      <c r="AC31" s="40">
        <f t="shared" si="69"/>
        <v>32.015000000000008</v>
      </c>
      <c r="AD31" s="40">
        <f t="shared" si="69"/>
        <v>40.664999999999999</v>
      </c>
      <c r="AE31" s="40">
        <f t="shared" si="69"/>
        <v>34.015000000000001</v>
      </c>
      <c r="AF31" s="40">
        <f t="shared" si="69"/>
        <v>36.36</v>
      </c>
      <c r="AG31" s="40">
        <f t="shared" si="69"/>
        <v>39.479999999999997</v>
      </c>
      <c r="AH31" s="40">
        <f t="shared" si="69"/>
        <v>41.581666666666663</v>
      </c>
      <c r="AI31" s="40">
        <f t="shared" si="69"/>
        <v>41.581666666666663</v>
      </c>
      <c r="AJ31" s="40">
        <f t="shared" si="69"/>
        <v>35.714999999999996</v>
      </c>
      <c r="AL31" s="40">
        <f>AL17+AL29</f>
        <v>950.90000000000009</v>
      </c>
      <c r="AM31" s="74">
        <f>AL31/D31</f>
        <v>0.76349913685816373</v>
      </c>
      <c r="AO31" s="40">
        <f>AO17+AO29</f>
        <v>1120.4449999999997</v>
      </c>
      <c r="AP31" s="70">
        <f>AO31/D31</f>
        <v>0.89963065558633404</v>
      </c>
      <c r="AR31" s="61"/>
      <c r="AS31" s="62"/>
      <c r="AT31" s="62"/>
    </row>
    <row r="32" spans="2:46" s="392" customFormat="1" ht="4.5" customHeight="1" x14ac:dyDescent="0.2">
      <c r="B32" s="18"/>
      <c r="C32" s="18"/>
      <c r="D32" s="19"/>
      <c r="E32" s="19"/>
      <c r="F32" s="407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L32" s="19"/>
      <c r="AM32" s="408"/>
      <c r="AO32" s="19"/>
      <c r="AP32" s="20"/>
      <c r="AR32" s="14"/>
      <c r="AS32" s="29"/>
      <c r="AT32" s="29"/>
    </row>
    <row r="33" spans="2:46" s="392" customFormat="1" x14ac:dyDescent="0.2">
      <c r="B33" s="3"/>
      <c r="C33" s="3" t="s">
        <v>96</v>
      </c>
      <c r="D33" s="5"/>
      <c r="E33" s="5"/>
      <c r="F33" s="290"/>
      <c r="G33" s="389">
        <f t="shared" ref="G33:AC33" si="70">G4-G31</f>
        <v>1.393333333333338</v>
      </c>
      <c r="H33" s="389">
        <f t="shared" si="70"/>
        <v>0</v>
      </c>
      <c r="I33" s="389">
        <f t="shared" si="70"/>
        <v>-2.8300000000000018</v>
      </c>
      <c r="J33" s="389">
        <f t="shared" si="70"/>
        <v>0</v>
      </c>
      <c r="K33" s="389">
        <f t="shared" si="70"/>
        <v>7.0333333333333385</v>
      </c>
      <c r="L33" s="389">
        <f t="shared" si="70"/>
        <v>-7.7949999999999982</v>
      </c>
      <c r="M33" s="389">
        <f t="shared" si="70"/>
        <v>14.473333333333336</v>
      </c>
      <c r="N33" s="389">
        <f t="shared" si="70"/>
        <v>12.148333333333333</v>
      </c>
      <c r="O33" s="389">
        <f t="shared" si="70"/>
        <v>-15.64</v>
      </c>
      <c r="P33" s="389">
        <f t="shared" si="70"/>
        <v>14.12833333333333</v>
      </c>
      <c r="Q33" s="389">
        <f t="shared" si="70"/>
        <v>10.06333333333334</v>
      </c>
      <c r="R33" s="389">
        <f t="shared" si="70"/>
        <v>0</v>
      </c>
      <c r="S33" s="389">
        <f t="shared" si="70"/>
        <v>-12.43</v>
      </c>
      <c r="T33" s="389">
        <f t="shared" si="70"/>
        <v>-4.5250000000000021</v>
      </c>
      <c r="U33" s="389">
        <f t="shared" si="70"/>
        <v>-6.1000000000000014</v>
      </c>
      <c r="V33" s="389">
        <f t="shared" si="70"/>
        <v>-30.715</v>
      </c>
      <c r="W33" s="389">
        <f t="shared" si="70"/>
        <v>9.5533333333333346</v>
      </c>
      <c r="X33" s="389">
        <f t="shared" si="70"/>
        <v>0</v>
      </c>
      <c r="Y33" s="389">
        <f t="shared" si="70"/>
        <v>-14.515000000000001</v>
      </c>
      <c r="Z33" s="389">
        <f t="shared" si="70"/>
        <v>-12.370000000000001</v>
      </c>
      <c r="AA33" s="389">
        <f t="shared" si="70"/>
        <v>-5.2150000000000034</v>
      </c>
      <c r="AB33" s="389">
        <f t="shared" si="70"/>
        <v>-17.290000000000003</v>
      </c>
      <c r="AC33" s="389">
        <f t="shared" si="70"/>
        <v>-19.115000000000009</v>
      </c>
      <c r="AD33" s="389">
        <f t="shared" ref="AD33:AE33" si="71">AD4-AD31</f>
        <v>0</v>
      </c>
      <c r="AE33" s="389">
        <f t="shared" si="71"/>
        <v>-3.2800000000000011</v>
      </c>
      <c r="AF33" s="389">
        <f t="shared" ref="AF33:AG33" si="72">AF4-AF31</f>
        <v>0</v>
      </c>
      <c r="AG33" s="389">
        <f t="shared" si="72"/>
        <v>0</v>
      </c>
      <c r="AH33" s="389">
        <f t="shared" ref="AH33:AI33" si="73">AH4-AH31</f>
        <v>24.418333333333337</v>
      </c>
      <c r="AI33" s="389">
        <f t="shared" si="73"/>
        <v>20.308333333333337</v>
      </c>
      <c r="AJ33" s="389">
        <f t="shared" ref="AJ33" si="74">AJ4-AJ31</f>
        <v>0</v>
      </c>
      <c r="AL33" s="5"/>
      <c r="AM33" s="15"/>
      <c r="AO33" s="5"/>
      <c r="AP33" s="12"/>
      <c r="AR33" s="14"/>
      <c r="AS33" s="29"/>
      <c r="AT33" s="29"/>
    </row>
    <row r="34" spans="2:46" s="16" customFormat="1" ht="4.5" customHeight="1" x14ac:dyDescent="0.2">
      <c r="B34" s="18"/>
      <c r="C34" s="18"/>
      <c r="D34" s="19"/>
      <c r="E34" s="19"/>
      <c r="F34" s="197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L34" s="18"/>
      <c r="AM34" s="18"/>
      <c r="AO34" s="19"/>
      <c r="AP34" s="20"/>
      <c r="AR34" s="14"/>
      <c r="AS34" s="29"/>
      <c r="AT34" s="29"/>
    </row>
    <row r="35" spans="2:46" s="255" customFormat="1" x14ac:dyDescent="0.2">
      <c r="B35" s="358"/>
      <c r="C35" s="358" t="s">
        <v>74</v>
      </c>
      <c r="D35" s="97">
        <v>1000</v>
      </c>
      <c r="E35" s="97">
        <f>D35/30</f>
        <v>33.333333333333336</v>
      </c>
      <c r="F35" s="359">
        <f>D35/D37</f>
        <v>0.44534503106281598</v>
      </c>
      <c r="G35" s="360">
        <f t="shared" ref="G35:AJ35" si="75">$E$35</f>
        <v>33.333333333333336</v>
      </c>
      <c r="H35" s="360">
        <f t="shared" si="75"/>
        <v>33.333333333333336</v>
      </c>
      <c r="I35" s="360">
        <f t="shared" si="75"/>
        <v>33.333333333333336</v>
      </c>
      <c r="J35" s="360">
        <f t="shared" si="75"/>
        <v>33.333333333333336</v>
      </c>
      <c r="K35" s="360">
        <f t="shared" si="75"/>
        <v>33.333333333333336</v>
      </c>
      <c r="L35" s="360">
        <f t="shared" si="75"/>
        <v>33.333333333333336</v>
      </c>
      <c r="M35" s="360">
        <f t="shared" si="75"/>
        <v>33.333333333333336</v>
      </c>
      <c r="N35" s="360">
        <f t="shared" si="75"/>
        <v>33.333333333333336</v>
      </c>
      <c r="O35" s="360">
        <f t="shared" si="75"/>
        <v>33.333333333333336</v>
      </c>
      <c r="P35" s="360">
        <f t="shared" si="75"/>
        <v>33.333333333333336</v>
      </c>
      <c r="Q35" s="360">
        <f t="shared" si="75"/>
        <v>33.333333333333336</v>
      </c>
      <c r="R35" s="360">
        <f t="shared" si="75"/>
        <v>33.333333333333336</v>
      </c>
      <c r="S35" s="360">
        <f t="shared" si="75"/>
        <v>33.333333333333336</v>
      </c>
      <c r="T35" s="360">
        <f t="shared" si="75"/>
        <v>33.333333333333336</v>
      </c>
      <c r="U35" s="360">
        <f t="shared" si="75"/>
        <v>33.333333333333336</v>
      </c>
      <c r="V35" s="360">
        <f t="shared" si="75"/>
        <v>33.333333333333336</v>
      </c>
      <c r="W35" s="360">
        <f t="shared" si="75"/>
        <v>33.333333333333336</v>
      </c>
      <c r="X35" s="360">
        <f t="shared" si="75"/>
        <v>33.333333333333336</v>
      </c>
      <c r="Y35" s="360">
        <f t="shared" si="75"/>
        <v>33.333333333333336</v>
      </c>
      <c r="Z35" s="360">
        <f t="shared" si="75"/>
        <v>33.333333333333336</v>
      </c>
      <c r="AA35" s="360">
        <f t="shared" si="75"/>
        <v>33.333333333333336</v>
      </c>
      <c r="AB35" s="360">
        <f t="shared" si="75"/>
        <v>33.333333333333336</v>
      </c>
      <c r="AC35" s="360">
        <f t="shared" si="75"/>
        <v>33.333333333333336</v>
      </c>
      <c r="AD35" s="360">
        <f t="shared" si="75"/>
        <v>33.333333333333336</v>
      </c>
      <c r="AE35" s="360">
        <f t="shared" si="75"/>
        <v>33.333333333333336</v>
      </c>
      <c r="AF35" s="360">
        <f t="shared" si="75"/>
        <v>33.333333333333336</v>
      </c>
      <c r="AG35" s="360">
        <f t="shared" si="75"/>
        <v>33.333333333333336</v>
      </c>
      <c r="AH35" s="360">
        <f t="shared" si="75"/>
        <v>33.333333333333336</v>
      </c>
      <c r="AI35" s="360">
        <f t="shared" si="75"/>
        <v>33.333333333333336</v>
      </c>
      <c r="AJ35" s="360">
        <f t="shared" si="75"/>
        <v>33.333333333333336</v>
      </c>
      <c r="AL35" s="97">
        <v>0</v>
      </c>
      <c r="AM35" s="98">
        <f>AL35/D35</f>
        <v>0</v>
      </c>
      <c r="AO35" s="97">
        <f>SUM(G35:AJ35)</f>
        <v>1000.0000000000005</v>
      </c>
      <c r="AP35" s="361" t="e">
        <f>AO35/AL35</f>
        <v>#DIV/0!</v>
      </c>
      <c r="AR35" s="61"/>
      <c r="AS35" s="62"/>
      <c r="AT35" s="62"/>
    </row>
    <row r="36" spans="2:46" s="16" customFormat="1" ht="4.5" customHeight="1" x14ac:dyDescent="0.2">
      <c r="B36" s="18"/>
      <c r="C36" s="18"/>
      <c r="D36" s="19"/>
      <c r="E36" s="19"/>
      <c r="F36" s="197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L36" s="18"/>
      <c r="AM36" s="18"/>
      <c r="AO36" s="19"/>
      <c r="AP36" s="20"/>
      <c r="AR36" s="14"/>
      <c r="AS36" s="29"/>
      <c r="AT36" s="29"/>
    </row>
    <row r="37" spans="2:46" s="16" customFormat="1" x14ac:dyDescent="0.2">
      <c r="B37" s="3"/>
      <c r="C37" s="3" t="s">
        <v>79</v>
      </c>
      <c r="D37" s="5">
        <f>D31+D35</f>
        <v>2245.4499999999998</v>
      </c>
      <c r="E37" s="5">
        <f>E31+E35</f>
        <v>74.914999999999992</v>
      </c>
      <c r="F37" s="290">
        <f>(D17/D37)+(D29/D37)+(D35/D37)</f>
        <v>1</v>
      </c>
      <c r="G37" s="389">
        <f t="shared" ref="G37:AJ37" si="76">$E$37</f>
        <v>74.914999999999992</v>
      </c>
      <c r="H37" s="389">
        <f t="shared" si="76"/>
        <v>74.914999999999992</v>
      </c>
      <c r="I37" s="389">
        <f t="shared" si="76"/>
        <v>74.914999999999992</v>
      </c>
      <c r="J37" s="389">
        <f t="shared" si="76"/>
        <v>74.914999999999992</v>
      </c>
      <c r="K37" s="389">
        <f t="shared" si="76"/>
        <v>74.914999999999992</v>
      </c>
      <c r="L37" s="389">
        <f t="shared" si="76"/>
        <v>74.914999999999992</v>
      </c>
      <c r="M37" s="389">
        <f t="shared" si="76"/>
        <v>74.914999999999992</v>
      </c>
      <c r="N37" s="389">
        <f t="shared" si="76"/>
        <v>74.914999999999992</v>
      </c>
      <c r="O37" s="389">
        <f t="shared" si="76"/>
        <v>74.914999999999992</v>
      </c>
      <c r="P37" s="389">
        <f t="shared" si="76"/>
        <v>74.914999999999992</v>
      </c>
      <c r="Q37" s="389">
        <f t="shared" si="76"/>
        <v>74.914999999999992</v>
      </c>
      <c r="R37" s="389">
        <f t="shared" si="76"/>
        <v>74.914999999999992</v>
      </c>
      <c r="S37" s="389">
        <f t="shared" si="76"/>
        <v>74.914999999999992</v>
      </c>
      <c r="T37" s="389">
        <f t="shared" si="76"/>
        <v>74.914999999999992</v>
      </c>
      <c r="U37" s="389">
        <f t="shared" si="76"/>
        <v>74.914999999999992</v>
      </c>
      <c r="V37" s="389">
        <f t="shared" si="76"/>
        <v>74.914999999999992</v>
      </c>
      <c r="W37" s="389">
        <f t="shared" si="76"/>
        <v>74.914999999999992</v>
      </c>
      <c r="X37" s="389">
        <f t="shared" si="76"/>
        <v>74.914999999999992</v>
      </c>
      <c r="Y37" s="389">
        <f t="shared" si="76"/>
        <v>74.914999999999992</v>
      </c>
      <c r="Z37" s="389">
        <f t="shared" si="76"/>
        <v>74.914999999999992</v>
      </c>
      <c r="AA37" s="389">
        <f t="shared" si="76"/>
        <v>74.914999999999992</v>
      </c>
      <c r="AB37" s="389">
        <f t="shared" si="76"/>
        <v>74.914999999999992</v>
      </c>
      <c r="AC37" s="389">
        <f t="shared" si="76"/>
        <v>74.914999999999992</v>
      </c>
      <c r="AD37" s="389">
        <f t="shared" si="76"/>
        <v>74.914999999999992</v>
      </c>
      <c r="AE37" s="389">
        <f t="shared" si="76"/>
        <v>74.914999999999992</v>
      </c>
      <c r="AF37" s="389">
        <f t="shared" si="76"/>
        <v>74.914999999999992</v>
      </c>
      <c r="AG37" s="389">
        <f t="shared" si="76"/>
        <v>74.914999999999992</v>
      </c>
      <c r="AH37" s="389">
        <f t="shared" si="76"/>
        <v>74.914999999999992</v>
      </c>
      <c r="AI37" s="389">
        <f t="shared" si="76"/>
        <v>74.914999999999992</v>
      </c>
      <c r="AJ37" s="389">
        <f t="shared" si="76"/>
        <v>74.914999999999992</v>
      </c>
      <c r="AK37" s="392"/>
      <c r="AL37" s="5">
        <f>AL31+AL35</f>
        <v>950.90000000000009</v>
      </c>
      <c r="AM37" s="15">
        <f>AL37/D37</f>
        <v>0.42347859003763172</v>
      </c>
      <c r="AN37" s="392"/>
      <c r="AO37" s="5">
        <f>AO31+AO35</f>
        <v>2120.4450000000002</v>
      </c>
      <c r="AP37" s="12">
        <f>AO37/D37</f>
        <v>0.94432964439199285</v>
      </c>
      <c r="AQ37" s="392"/>
      <c r="AR37" s="14"/>
      <c r="AS37" s="29"/>
      <c r="AT37" s="29"/>
    </row>
    <row r="38" spans="2:46" s="16" customFormat="1" ht="4.5" customHeight="1" thickBot="1" x14ac:dyDescent="0.25">
      <c r="B38" s="18"/>
      <c r="C38" s="18"/>
      <c r="D38" s="19"/>
      <c r="E38" s="19"/>
      <c r="F38" s="197"/>
      <c r="G38" s="19"/>
      <c r="H38" s="19"/>
      <c r="I38" s="19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L38" s="18"/>
      <c r="AM38" s="18"/>
      <c r="AO38" s="19"/>
      <c r="AP38" s="21"/>
      <c r="AR38" s="14"/>
      <c r="AS38" s="29"/>
      <c r="AT38" s="29"/>
    </row>
    <row r="39" spans="2:46" s="81" customFormat="1" x14ac:dyDescent="0.2">
      <c r="B39" s="362"/>
      <c r="C39" s="363" t="s">
        <v>97</v>
      </c>
      <c r="D39" s="364">
        <f>D17*100/30</f>
        <v>3394.8333333333335</v>
      </c>
      <c r="E39" s="364">
        <f>D39/30</f>
        <v>113.16111111111111</v>
      </c>
      <c r="F39" s="365">
        <f>E39*30%</f>
        <v>33.948333333333331</v>
      </c>
      <c r="G39" s="366">
        <f t="shared" ref="G39:AJ39" si="77">G4-G17</f>
        <v>8.9600000000000009</v>
      </c>
      <c r="H39" s="367">
        <f t="shared" si="77"/>
        <v>0.69500000000000028</v>
      </c>
      <c r="I39" s="367">
        <f t="shared" si="77"/>
        <v>-2.8300000000000018</v>
      </c>
      <c r="J39" s="367">
        <f t="shared" si="77"/>
        <v>6.2449999999999974</v>
      </c>
      <c r="K39" s="367">
        <f t="shared" si="77"/>
        <v>14.600000000000001</v>
      </c>
      <c r="L39" s="367">
        <f t="shared" si="77"/>
        <v>-7.7949999999999982</v>
      </c>
      <c r="M39" s="367">
        <f t="shared" si="77"/>
        <v>22.04</v>
      </c>
      <c r="N39" s="367">
        <f t="shared" si="77"/>
        <v>19.714999999999996</v>
      </c>
      <c r="O39" s="367">
        <f t="shared" si="77"/>
        <v>-15.64</v>
      </c>
      <c r="P39" s="367">
        <f t="shared" si="77"/>
        <v>21.694999999999993</v>
      </c>
      <c r="Q39" s="367">
        <f t="shared" si="77"/>
        <v>17.630000000000003</v>
      </c>
      <c r="R39" s="367">
        <f t="shared" si="77"/>
        <v>5.3599999999999994</v>
      </c>
      <c r="S39" s="367">
        <f t="shared" si="77"/>
        <v>-12.43</v>
      </c>
      <c r="T39" s="367">
        <f t="shared" si="77"/>
        <v>-4.5250000000000021</v>
      </c>
      <c r="U39" s="367">
        <f t="shared" si="77"/>
        <v>-6.1000000000000014</v>
      </c>
      <c r="V39" s="367">
        <f t="shared" si="77"/>
        <v>-30.715</v>
      </c>
      <c r="W39" s="367">
        <f t="shared" si="77"/>
        <v>17.119999999999997</v>
      </c>
      <c r="X39" s="367">
        <f t="shared" si="77"/>
        <v>5.4349999999999952</v>
      </c>
      <c r="Y39" s="367">
        <f t="shared" si="77"/>
        <v>-14.515000000000001</v>
      </c>
      <c r="Z39" s="367">
        <f t="shared" si="77"/>
        <v>-12.370000000000001</v>
      </c>
      <c r="AA39" s="367">
        <f t="shared" si="77"/>
        <v>-5.2150000000000034</v>
      </c>
      <c r="AB39" s="367">
        <f t="shared" si="77"/>
        <v>-17.290000000000003</v>
      </c>
      <c r="AC39" s="367">
        <f t="shared" si="77"/>
        <v>-19.115000000000009</v>
      </c>
      <c r="AD39" s="367">
        <f t="shared" si="77"/>
        <v>6.6499999999999986</v>
      </c>
      <c r="AE39" s="367">
        <f t="shared" si="77"/>
        <v>-3.2800000000000011</v>
      </c>
      <c r="AF39" s="367">
        <f t="shared" si="77"/>
        <v>2.3449999999999989</v>
      </c>
      <c r="AG39" s="367">
        <f t="shared" si="77"/>
        <v>5.4649999999999963</v>
      </c>
      <c r="AH39" s="367">
        <f t="shared" si="77"/>
        <v>31.984999999999999</v>
      </c>
      <c r="AI39" s="367">
        <f t="shared" si="77"/>
        <v>27.875</v>
      </c>
      <c r="AJ39" s="368">
        <f t="shared" si="77"/>
        <v>1.6999999999999957</v>
      </c>
      <c r="AK39" s="255"/>
      <c r="AL39" s="306"/>
      <c r="AM39" s="368"/>
      <c r="AN39" s="255"/>
      <c r="AO39" s="306">
        <f>SUM(G39:AJ39)</f>
        <v>63.694999999999958</v>
      </c>
      <c r="AP39" s="307"/>
      <c r="AR39" s="61"/>
      <c r="AS39" s="62"/>
      <c r="AT39" s="62"/>
    </row>
    <row r="40" spans="2:46" s="392" customFormat="1" x14ac:dyDescent="0.2">
      <c r="B40" s="346"/>
      <c r="C40" s="3" t="s">
        <v>97</v>
      </c>
      <c r="D40" s="347">
        <f>D31*100/30</f>
        <v>4151.5</v>
      </c>
      <c r="E40" s="347">
        <f>D40/30</f>
        <v>138.38333333333333</v>
      </c>
      <c r="F40" s="348">
        <f>E40*30%</f>
        <v>41.514999999999993</v>
      </c>
      <c r="G40" s="389">
        <f t="shared" ref="G40:AJ40" si="78">G4-G31</f>
        <v>1.393333333333338</v>
      </c>
      <c r="H40" s="5">
        <f t="shared" si="78"/>
        <v>0</v>
      </c>
      <c r="I40" s="5">
        <f t="shared" si="78"/>
        <v>-2.8300000000000018</v>
      </c>
      <c r="J40" s="5">
        <f t="shared" si="78"/>
        <v>0</v>
      </c>
      <c r="K40" s="5">
        <f t="shared" si="78"/>
        <v>7.0333333333333385</v>
      </c>
      <c r="L40" s="5">
        <f t="shared" si="78"/>
        <v>-7.7949999999999982</v>
      </c>
      <c r="M40" s="5">
        <f t="shared" si="78"/>
        <v>14.473333333333336</v>
      </c>
      <c r="N40" s="5">
        <f t="shared" si="78"/>
        <v>12.148333333333333</v>
      </c>
      <c r="O40" s="5">
        <f t="shared" si="78"/>
        <v>-15.64</v>
      </c>
      <c r="P40" s="5">
        <f t="shared" si="78"/>
        <v>14.12833333333333</v>
      </c>
      <c r="Q40" s="5">
        <f t="shared" si="78"/>
        <v>10.06333333333334</v>
      </c>
      <c r="R40" s="5">
        <f t="shared" si="78"/>
        <v>0</v>
      </c>
      <c r="S40" s="5">
        <f t="shared" si="78"/>
        <v>-12.43</v>
      </c>
      <c r="T40" s="5">
        <f t="shared" si="78"/>
        <v>-4.5250000000000021</v>
      </c>
      <c r="U40" s="5">
        <f t="shared" si="78"/>
        <v>-6.1000000000000014</v>
      </c>
      <c r="V40" s="5">
        <f t="shared" si="78"/>
        <v>-30.715</v>
      </c>
      <c r="W40" s="5">
        <f t="shared" si="78"/>
        <v>9.5533333333333346</v>
      </c>
      <c r="X40" s="5">
        <f t="shared" si="78"/>
        <v>0</v>
      </c>
      <c r="Y40" s="5">
        <f t="shared" si="78"/>
        <v>-14.515000000000001</v>
      </c>
      <c r="Z40" s="5">
        <f t="shared" si="78"/>
        <v>-12.370000000000001</v>
      </c>
      <c r="AA40" s="5">
        <f t="shared" si="78"/>
        <v>-5.2150000000000034</v>
      </c>
      <c r="AB40" s="5">
        <f t="shared" si="78"/>
        <v>-17.290000000000003</v>
      </c>
      <c r="AC40" s="5">
        <f t="shared" si="78"/>
        <v>-19.115000000000009</v>
      </c>
      <c r="AD40" s="5">
        <f t="shared" si="78"/>
        <v>0</v>
      </c>
      <c r="AE40" s="5">
        <f t="shared" si="78"/>
        <v>-3.2800000000000011</v>
      </c>
      <c r="AF40" s="5">
        <f t="shared" si="78"/>
        <v>0</v>
      </c>
      <c r="AG40" s="5">
        <f t="shared" si="78"/>
        <v>0</v>
      </c>
      <c r="AH40" s="5">
        <f t="shared" si="78"/>
        <v>24.418333333333337</v>
      </c>
      <c r="AI40" s="5">
        <f t="shared" si="78"/>
        <v>20.308333333333337</v>
      </c>
      <c r="AJ40" s="349">
        <f t="shared" si="78"/>
        <v>0</v>
      </c>
      <c r="AL40" s="305"/>
      <c r="AM40" s="349"/>
      <c r="AO40" s="305">
        <f>SUM(G40:AJ40)</f>
        <v>-38.299999999999997</v>
      </c>
      <c r="AP40" s="266"/>
      <c r="AR40" s="171"/>
    </row>
    <row r="41" spans="2:46" s="255" customFormat="1" ht="15.75" thickBot="1" x14ac:dyDescent="0.25">
      <c r="B41" s="308"/>
      <c r="C41" s="369" t="s">
        <v>75</v>
      </c>
      <c r="D41" s="370">
        <f>D37*100/30</f>
        <v>7484.8333333333321</v>
      </c>
      <c r="E41" s="370">
        <f>D41/30</f>
        <v>249.49444444444441</v>
      </c>
      <c r="F41" s="371">
        <f>E41*30%</f>
        <v>74.848333333333315</v>
      </c>
      <c r="G41" s="372">
        <f>G33-G35</f>
        <v>-31.939999999999998</v>
      </c>
      <c r="H41" s="372">
        <f t="shared" ref="H41:AJ41" si="79">H33-H35</f>
        <v>-33.333333333333336</v>
      </c>
      <c r="I41" s="372">
        <f t="shared" si="79"/>
        <v>-36.163333333333341</v>
      </c>
      <c r="J41" s="372">
        <f t="shared" si="79"/>
        <v>-33.333333333333336</v>
      </c>
      <c r="K41" s="372">
        <f t="shared" si="79"/>
        <v>-26.299999999999997</v>
      </c>
      <c r="L41" s="372">
        <f t="shared" si="79"/>
        <v>-41.12833333333333</v>
      </c>
      <c r="M41" s="372">
        <f t="shared" si="79"/>
        <v>-18.86</v>
      </c>
      <c r="N41" s="372">
        <f t="shared" si="79"/>
        <v>-21.185000000000002</v>
      </c>
      <c r="O41" s="372">
        <f t="shared" si="79"/>
        <v>-48.973333333333336</v>
      </c>
      <c r="P41" s="372">
        <f t="shared" si="79"/>
        <v>-19.205000000000005</v>
      </c>
      <c r="Q41" s="372">
        <f t="shared" si="79"/>
        <v>-23.269999999999996</v>
      </c>
      <c r="R41" s="372">
        <f t="shared" si="79"/>
        <v>-33.333333333333336</v>
      </c>
      <c r="S41" s="372">
        <f t="shared" si="79"/>
        <v>-45.763333333333335</v>
      </c>
      <c r="T41" s="372">
        <f t="shared" si="79"/>
        <v>-37.858333333333334</v>
      </c>
      <c r="U41" s="372">
        <f t="shared" si="79"/>
        <v>-39.433333333333337</v>
      </c>
      <c r="V41" s="372">
        <f t="shared" si="79"/>
        <v>-64.048333333333332</v>
      </c>
      <c r="W41" s="372">
        <f t="shared" si="79"/>
        <v>-23.78</v>
      </c>
      <c r="X41" s="372">
        <f t="shared" si="79"/>
        <v>-33.333333333333336</v>
      </c>
      <c r="Y41" s="372">
        <f t="shared" si="79"/>
        <v>-47.848333333333336</v>
      </c>
      <c r="Z41" s="372">
        <f t="shared" si="79"/>
        <v>-45.703333333333333</v>
      </c>
      <c r="AA41" s="372">
        <f t="shared" si="79"/>
        <v>-38.548333333333339</v>
      </c>
      <c r="AB41" s="372">
        <f t="shared" si="79"/>
        <v>-50.623333333333335</v>
      </c>
      <c r="AC41" s="372">
        <f t="shared" si="79"/>
        <v>-52.448333333333345</v>
      </c>
      <c r="AD41" s="372">
        <f t="shared" si="79"/>
        <v>-33.333333333333336</v>
      </c>
      <c r="AE41" s="372">
        <f t="shared" si="79"/>
        <v>-36.613333333333337</v>
      </c>
      <c r="AF41" s="372">
        <f t="shared" si="79"/>
        <v>-33.333333333333336</v>
      </c>
      <c r="AG41" s="372">
        <f t="shared" si="79"/>
        <v>-33.333333333333336</v>
      </c>
      <c r="AH41" s="372">
        <f t="shared" si="79"/>
        <v>-8.9149999999999991</v>
      </c>
      <c r="AI41" s="372">
        <f t="shared" si="79"/>
        <v>-13.024999999999999</v>
      </c>
      <c r="AJ41" s="372">
        <f t="shared" si="79"/>
        <v>-33.333333333333336</v>
      </c>
      <c r="AL41" s="374"/>
      <c r="AM41" s="373"/>
      <c r="AO41" s="374">
        <f>SUM(G41:AJ41)</f>
        <v>-1038.3000000000002</v>
      </c>
      <c r="AP41" s="375"/>
    </row>
    <row r="42" spans="2:46" x14ac:dyDescent="0.2">
      <c r="F42" s="314"/>
    </row>
    <row r="49" spans="22:22" x14ac:dyDescent="0.2">
      <c r="V49" s="171"/>
    </row>
  </sheetData>
  <sortState xmlns:xlrd2="http://schemas.microsoft.com/office/spreadsheetml/2017/richdata2" ref="C22:F27">
    <sortCondition descending="1" ref="F27"/>
  </sortState>
  <mergeCells count="10">
    <mergeCell ref="AS10:AS11"/>
    <mergeCell ref="C1:C2"/>
    <mergeCell ref="D1:F1"/>
    <mergeCell ref="AU1:AW2"/>
    <mergeCell ref="D2:F2"/>
    <mergeCell ref="AL2:AL6"/>
    <mergeCell ref="AM2:AM6"/>
    <mergeCell ref="AO1:AP2"/>
    <mergeCell ref="AK1:AL1"/>
    <mergeCell ref="AM1:AN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9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'SHOP INCOME (11)'!G19:G19</xm:f>
              <xm:sqref>G20</xm:sqref>
            </x14:sparkline>
            <x14:sparkline>
              <xm:f>'SHOP INCOME (11)'!H19:H19</xm:f>
              <xm:sqref>H20</xm:sqref>
            </x14:sparkline>
            <x14:sparkline>
              <xm:f>'SHOP INCOME (11)'!I19:I19</xm:f>
              <xm:sqref>I20</xm:sqref>
            </x14:sparkline>
            <x14:sparkline>
              <xm:f>'SHOP INCOME (11)'!J19:J19</xm:f>
              <xm:sqref>J20</xm:sqref>
            </x14:sparkline>
            <x14:sparkline>
              <xm:f>'SHOP INCOME (11)'!K19:K19</xm:f>
              <xm:sqref>K20</xm:sqref>
            </x14:sparkline>
            <x14:sparkline>
              <xm:f>'SHOP INCOME (11)'!L19:L19</xm:f>
              <xm:sqref>L20</xm:sqref>
            </x14:sparkline>
            <x14:sparkline>
              <xm:f>'SHOP INCOME (11)'!M19:M19</xm:f>
              <xm:sqref>M20</xm:sqref>
            </x14:sparkline>
            <x14:sparkline>
              <xm:f>'SHOP INCOME (11)'!N19:N19</xm:f>
              <xm:sqref>N20</xm:sqref>
            </x14:sparkline>
            <x14:sparkline>
              <xm:f>'SHOP INCOME (11)'!O19:O19</xm:f>
              <xm:sqref>O20</xm:sqref>
            </x14:sparkline>
            <x14:sparkline>
              <xm:f>'SHOP INCOME (11)'!P19:P19</xm:f>
              <xm:sqref>P20</xm:sqref>
            </x14:sparkline>
            <x14:sparkline>
              <xm:f>'SHOP INCOME (11)'!Q19:Q19</xm:f>
              <xm:sqref>Q20</xm:sqref>
            </x14:sparkline>
            <x14:sparkline>
              <xm:f>'SHOP INCOME (11)'!R19:R19</xm:f>
              <xm:sqref>R20</xm:sqref>
            </x14:sparkline>
            <x14:sparkline>
              <xm:f>'SHOP INCOME (11)'!S19:S19</xm:f>
              <xm:sqref>S20</xm:sqref>
            </x14:sparkline>
            <x14:sparkline>
              <xm:f>'SHOP INCOME (11)'!T19:T19</xm:f>
              <xm:sqref>T20</xm:sqref>
            </x14:sparkline>
            <x14:sparkline>
              <xm:f>'SHOP INCOME (11)'!U19:U19</xm:f>
              <xm:sqref>U20</xm:sqref>
            </x14:sparkline>
            <x14:sparkline>
              <xm:f>'SHOP INCOME (11)'!V19:V19</xm:f>
              <xm:sqref>V20</xm:sqref>
            </x14:sparkline>
            <x14:sparkline>
              <xm:f>'SHOP INCOME (11)'!W19:W19</xm:f>
              <xm:sqref>W20</xm:sqref>
            </x14:sparkline>
            <x14:sparkline>
              <xm:f>'SHOP INCOME (11)'!X19:X19</xm:f>
              <xm:sqref>X20</xm:sqref>
            </x14:sparkline>
            <x14:sparkline>
              <xm:f>'SHOP INCOME (11)'!Y19:Y19</xm:f>
              <xm:sqref>Y20</xm:sqref>
            </x14:sparkline>
            <x14:sparkline>
              <xm:f>'SHOP INCOME (11)'!Z19:Z19</xm:f>
              <xm:sqref>Z20</xm:sqref>
            </x14:sparkline>
            <x14:sparkline>
              <xm:f>'SHOP INCOME (11)'!AA19:AA19</xm:f>
              <xm:sqref>AA20</xm:sqref>
            </x14:sparkline>
            <x14:sparkline>
              <xm:f>'SHOP INCOME (11)'!AB19:AB19</xm:f>
              <xm:sqref>AB20</xm:sqref>
            </x14:sparkline>
            <x14:sparkline>
              <xm:f>'SHOP INCOME (11)'!AC19:AC19</xm:f>
              <xm:sqref>AC20</xm:sqref>
            </x14:sparkline>
            <x14:sparkline>
              <xm:f>'SHOP INCOME (11)'!AD19:AD19</xm:f>
              <xm:sqref>AD20</xm:sqref>
            </x14:sparkline>
            <x14:sparkline>
              <xm:f>'SHOP INCOME (11)'!AE19:AE19</xm:f>
              <xm:sqref>AE20</xm:sqref>
            </x14:sparkline>
            <x14:sparkline>
              <xm:f>'SHOP INCOME (11)'!AF19:AF19</xm:f>
              <xm:sqref>AF20</xm:sqref>
            </x14:sparkline>
            <x14:sparkline>
              <xm:f>'SHOP INCOME (11)'!AG19:AG19</xm:f>
              <xm:sqref>AG20</xm:sqref>
            </x14:sparkline>
            <x14:sparkline>
              <xm:f>'SHOP INCOME (11)'!AH19:AH19</xm:f>
              <xm:sqref>AH20</xm:sqref>
            </x14:sparkline>
            <x14:sparkline>
              <xm:f>'SHOP INCOME (11)'!AI19:AI19</xm:f>
              <xm:sqref>AI20</xm:sqref>
            </x14:sparkline>
            <x14:sparkline>
              <xm:f>'SHOP INCOME (11)'!AJ19:AJ19</xm:f>
              <xm:sqref>AJ20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B1:AQ55"/>
  <sheetViews>
    <sheetView zoomScale="80" zoomScaleNormal="80" workbookViewId="0">
      <pane xSplit="6" ySplit="11" topLeftCell="T12" activePane="bottomRight" state="frozen"/>
      <selection pane="topRight" activeCell="G1" sqref="G1"/>
      <selection pane="bottomLeft" activeCell="A8" sqref="A8"/>
      <selection pane="bottomRight" activeCell="U41" sqref="U41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19" width="9.125" style="2"/>
    <col min="20" max="35" width="10" style="2" bestFit="1" customWidth="1"/>
    <col min="36" max="37" width="10" style="2" customWidth="1"/>
    <col min="38" max="38" width="1.75" style="2" customWidth="1"/>
    <col min="39" max="40" width="9" style="2" customWidth="1"/>
    <col min="41" max="41" width="1.75" style="2" customWidth="1"/>
    <col min="42" max="42" width="10" style="2" bestFit="1" customWidth="1"/>
    <col min="43" max="43" width="8.125" style="2" bestFit="1" customWidth="1"/>
    <col min="44" max="16384" width="9.125" style="2"/>
  </cols>
  <sheetData>
    <row r="1" spans="2:43" ht="15.75" customHeight="1" x14ac:dyDescent="0.2">
      <c r="C1" s="4433">
        <v>43435</v>
      </c>
      <c r="D1" s="284"/>
      <c r="E1" s="284"/>
      <c r="F1" s="285"/>
      <c r="G1" s="133"/>
    </row>
    <row r="2" spans="2:43" ht="15" customHeight="1" x14ac:dyDescent="0.2">
      <c r="C2" s="4433"/>
      <c r="G2" s="133"/>
    </row>
    <row r="3" spans="2:43" ht="15" customHeight="1" x14ac:dyDescent="0.2">
      <c r="G3" s="133"/>
    </row>
    <row r="4" spans="2:43" s="255" customFormat="1" ht="15" customHeight="1" x14ac:dyDescent="0.2">
      <c r="C4" s="287" t="s">
        <v>106</v>
      </c>
      <c r="D4" s="40">
        <f>D36/0.71</f>
        <v>2490.8450704225352</v>
      </c>
      <c r="E4" s="40">
        <v>0.71</v>
      </c>
      <c r="F4" s="41">
        <f>D4*E4</f>
        <v>1768.4999999999998</v>
      </c>
      <c r="G4" s="415">
        <f t="shared" ref="G4:AK4" si="0">$F$4/31</f>
        <v>57.048387096774185</v>
      </c>
      <c r="H4" s="457">
        <f t="shared" si="0"/>
        <v>57.048387096774185</v>
      </c>
      <c r="I4" s="475">
        <f t="shared" si="0"/>
        <v>57.048387096774185</v>
      </c>
      <c r="J4" s="488">
        <f t="shared" si="0"/>
        <v>57.048387096774185</v>
      </c>
      <c r="K4" s="500">
        <f t="shared" si="0"/>
        <v>57.048387096774185</v>
      </c>
      <c r="L4" s="514">
        <f t="shared" si="0"/>
        <v>57.048387096774185</v>
      </c>
      <c r="M4" s="517">
        <f t="shared" si="0"/>
        <v>57.048387096774185</v>
      </c>
      <c r="N4" s="517">
        <f t="shared" si="0"/>
        <v>57.048387096774185</v>
      </c>
      <c r="O4" s="520">
        <f t="shared" si="0"/>
        <v>57.048387096774185</v>
      </c>
      <c r="P4" s="523">
        <f t="shared" si="0"/>
        <v>57.048387096774185</v>
      </c>
      <c r="Q4" s="528">
        <f t="shared" si="0"/>
        <v>57.048387096774185</v>
      </c>
      <c r="R4" s="532">
        <f t="shared" si="0"/>
        <v>57.048387096774185</v>
      </c>
      <c r="S4" s="537">
        <f t="shared" si="0"/>
        <v>57.048387096774185</v>
      </c>
      <c r="T4" s="540">
        <f t="shared" si="0"/>
        <v>57.048387096774185</v>
      </c>
      <c r="U4" s="540">
        <f t="shared" si="0"/>
        <v>57.048387096774185</v>
      </c>
      <c r="V4" s="545">
        <f t="shared" si="0"/>
        <v>57.048387096774185</v>
      </c>
      <c r="W4" s="548">
        <f t="shared" si="0"/>
        <v>57.048387096774185</v>
      </c>
      <c r="X4" s="556">
        <f t="shared" si="0"/>
        <v>57.048387096774185</v>
      </c>
      <c r="Y4" s="633">
        <f t="shared" si="0"/>
        <v>57.048387096774185</v>
      </c>
      <c r="Z4" s="638">
        <f t="shared" si="0"/>
        <v>57.048387096774185</v>
      </c>
      <c r="AA4" s="671">
        <f t="shared" si="0"/>
        <v>57.048387096774185</v>
      </c>
      <c r="AB4" s="671">
        <f t="shared" si="0"/>
        <v>57.048387096774185</v>
      </c>
      <c r="AC4" s="671">
        <f t="shared" si="0"/>
        <v>57.048387096774185</v>
      </c>
      <c r="AD4" s="676">
        <f t="shared" si="0"/>
        <v>57.048387096774185</v>
      </c>
      <c r="AE4" s="679">
        <f t="shared" si="0"/>
        <v>57.048387096774185</v>
      </c>
      <c r="AF4" s="679">
        <f t="shared" si="0"/>
        <v>57.048387096774185</v>
      </c>
      <c r="AG4" s="679">
        <f t="shared" si="0"/>
        <v>57.048387096774185</v>
      </c>
      <c r="AH4" s="684">
        <f t="shared" si="0"/>
        <v>57.048387096774185</v>
      </c>
      <c r="AI4" s="684">
        <f t="shared" si="0"/>
        <v>57.048387096774185</v>
      </c>
      <c r="AJ4" s="684">
        <f t="shared" si="0"/>
        <v>57.048387096774185</v>
      </c>
      <c r="AK4" s="40">
        <f t="shared" si="0"/>
        <v>57.048387096774185</v>
      </c>
      <c r="AL4" s="50"/>
      <c r="AM4" s="4440" t="s">
        <v>54</v>
      </c>
      <c r="AN4" s="4443" t="s">
        <v>61</v>
      </c>
      <c r="AO4" s="50"/>
      <c r="AP4" s="40">
        <f>SUM(G4:AK4)</f>
        <v>1768.4999999999991</v>
      </c>
      <c r="AQ4" s="42"/>
    </row>
    <row r="5" spans="2:43" s="47" customFormat="1" ht="15" x14ac:dyDescent="0.2">
      <c r="C5" s="44" t="s">
        <v>40</v>
      </c>
      <c r="D5" s="45">
        <f>SUM(G5:AK5)</f>
        <v>-39.293333333333337</v>
      </c>
      <c r="E5" s="45"/>
      <c r="F5" s="46"/>
      <c r="G5" s="417">
        <f>'SHOP INCOME (12)'!K41</f>
        <v>1.1933333333333351</v>
      </c>
      <c r="H5" s="502">
        <f>'SHOP INCOME (12)'!L41</f>
        <v>-5.0300000000000011</v>
      </c>
      <c r="I5" s="502">
        <f>'SHOP INCOME (12)'!M41</f>
        <v>1.268333333333338</v>
      </c>
      <c r="J5" s="502">
        <f>'SHOP INCOME (12)'!N41</f>
        <v>0</v>
      </c>
      <c r="K5" s="502">
        <f>'SHOP INCOME (12)'!O41</f>
        <v>3.5033333333333374</v>
      </c>
      <c r="L5" s="516">
        <f>'SHOP INCOME (12)'!P41</f>
        <v>3.8033333333333346</v>
      </c>
      <c r="M5" s="518">
        <f>'SHOP INCOME (12)'!Q41</f>
        <v>0</v>
      </c>
      <c r="N5" s="518">
        <f>'SHOP INCOME (12)'!R41</f>
        <v>-0.90500000000000114</v>
      </c>
      <c r="O5" s="522">
        <f>'SHOP INCOME (12)'!S41</f>
        <v>14.73833333333333</v>
      </c>
      <c r="P5" s="525">
        <f>'SHOP INCOME (12)'!T41</f>
        <v>1.6583333333333314</v>
      </c>
      <c r="Q5" s="530">
        <f>'SHOP INCOME (12)'!U41</f>
        <v>22.298333333333332</v>
      </c>
      <c r="R5" s="534">
        <f>'SHOP INCOME (12)'!V41</f>
        <v>6.5633333333333326</v>
      </c>
      <c r="S5" s="539">
        <f>'SHOP INCOME (12)'!W41</f>
        <v>8.2133333333333312</v>
      </c>
      <c r="T5" s="542">
        <f>'SHOP INCOME (12)'!X41</f>
        <v>-3.1550000000000011</v>
      </c>
      <c r="U5" s="542">
        <f>'SHOP INCOME (12)'!Y41</f>
        <v>-3.1400000000000006</v>
      </c>
      <c r="V5" s="547">
        <f>'SHOP INCOME (12)'!Z41</f>
        <v>3.0533333333333346</v>
      </c>
      <c r="W5" s="550">
        <f>'SHOP INCOME (12)'!AA41</f>
        <v>1.8983333333333334</v>
      </c>
      <c r="X5" s="558">
        <f>'SHOP INCOME (12)'!AB41</f>
        <v>9.0533333333333346</v>
      </c>
      <c r="Y5" s="635">
        <f>'SHOP INCOME (12)'!AC41</f>
        <v>0</v>
      </c>
      <c r="Z5" s="640">
        <f>'SHOP INCOME (12)'!AD41</f>
        <v>-18.185000000000002</v>
      </c>
      <c r="AA5" s="673">
        <f>'SHOP INCOME (12)'!AE41</f>
        <v>-21.605</v>
      </c>
      <c r="AB5" s="673">
        <f>'SHOP INCOME (12)'!AF41</f>
        <v>2.4833333333333343</v>
      </c>
      <c r="AC5" s="673">
        <f>'SHOP INCOME (12)'!AG41</f>
        <v>-7.07</v>
      </c>
      <c r="AD5" s="678">
        <f>'SHOP INCOME (12)'!AH41</f>
        <v>13.073333333333338</v>
      </c>
      <c r="AE5" s="681">
        <f>'SHOP INCOME (12)'!AI41</f>
        <v>-12.14</v>
      </c>
      <c r="AF5" s="681">
        <f>'SHOP INCOME (12)'!AJ41</f>
        <v>-12.125000000000004</v>
      </c>
      <c r="AG5" s="681">
        <f>'SHOP INCOME (12)'!AK41</f>
        <v>-6.2900000000000027</v>
      </c>
      <c r="AH5" s="686">
        <f>'SHOP INCOME (12)'!AL41</f>
        <v>-35.18</v>
      </c>
      <c r="AI5" s="686">
        <f>'SHOP INCOME (12)'!AM41</f>
        <v>0</v>
      </c>
      <c r="AJ5" s="686">
        <f>'SHOP INCOME (12)'!AN41</f>
        <v>-5.0150000000000006</v>
      </c>
      <c r="AK5" s="45">
        <f>'SHOP INCOME (12)'!AO41</f>
        <v>-2.2550000000000026</v>
      </c>
      <c r="AL5" s="48"/>
      <c r="AM5" s="4441"/>
      <c r="AN5" s="4444"/>
      <c r="AO5" s="48"/>
      <c r="AP5" s="45">
        <f>SUM(G5:AK5)</f>
        <v>-39.293333333333337</v>
      </c>
      <c r="AQ5" s="46"/>
    </row>
    <row r="6" spans="2:43" ht="15" x14ac:dyDescent="0.2">
      <c r="C6" s="288" t="s">
        <v>29</v>
      </c>
      <c r="D6" s="6"/>
      <c r="E6" s="6"/>
      <c r="F6" s="8"/>
      <c r="G6" s="418"/>
      <c r="H6" s="418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7"/>
      <c r="AM6" s="4441"/>
      <c r="AN6" s="4444"/>
      <c r="AO6" s="7"/>
      <c r="AP6" s="5"/>
      <c r="AQ6" s="27"/>
    </row>
    <row r="7" spans="2:43" ht="4.5" customHeight="1" x14ac:dyDescent="0.2">
      <c r="AM7" s="4441"/>
      <c r="AN7" s="4444"/>
    </row>
    <row r="8" spans="2:43" ht="15" x14ac:dyDescent="0.2">
      <c r="C8" s="3" t="s">
        <v>15</v>
      </c>
      <c r="D8" s="6"/>
      <c r="E8" s="6"/>
      <c r="F8" s="8"/>
      <c r="G8" s="413">
        <f>SUM(G4:G6)</f>
        <v>58.24172043010752</v>
      </c>
      <c r="H8" s="5">
        <f t="shared" ref="H8:AQ8" si="1">SUM(H4:H6)</f>
        <v>52.018387096774184</v>
      </c>
      <c r="I8" s="5">
        <f t="shared" si="1"/>
        <v>58.316720430107523</v>
      </c>
      <c r="J8" s="5">
        <f t="shared" si="1"/>
        <v>57.048387096774185</v>
      </c>
      <c r="K8" s="5">
        <f t="shared" si="1"/>
        <v>60.551720430107522</v>
      </c>
      <c r="L8" s="5">
        <f t="shared" si="1"/>
        <v>60.85172043010752</v>
      </c>
      <c r="M8" s="5">
        <f t="shared" si="1"/>
        <v>57.048387096774185</v>
      </c>
      <c r="N8" s="5">
        <f t="shared" si="1"/>
        <v>56.143387096774184</v>
      </c>
      <c r="O8" s="5">
        <f t="shared" si="1"/>
        <v>71.786720430107522</v>
      </c>
      <c r="P8" s="5">
        <f t="shared" si="1"/>
        <v>58.706720430107517</v>
      </c>
      <c r="Q8" s="5">
        <f t="shared" si="1"/>
        <v>79.346720430107524</v>
      </c>
      <c r="R8" s="5">
        <f t="shared" si="1"/>
        <v>63.611720430107518</v>
      </c>
      <c r="S8" s="5">
        <f t="shared" si="1"/>
        <v>65.261720430107516</v>
      </c>
      <c r="T8" s="5">
        <f t="shared" si="1"/>
        <v>53.893387096774184</v>
      </c>
      <c r="U8" s="5">
        <f t="shared" si="1"/>
        <v>53.908387096774184</v>
      </c>
      <c r="V8" s="5">
        <f t="shared" si="1"/>
        <v>60.10172043010752</v>
      </c>
      <c r="W8" s="5">
        <f t="shared" si="1"/>
        <v>58.946720430107518</v>
      </c>
      <c r="X8" s="5">
        <f t="shared" si="1"/>
        <v>66.10172043010752</v>
      </c>
      <c r="Y8" s="5">
        <f t="shared" si="1"/>
        <v>57.048387096774185</v>
      </c>
      <c r="Z8" s="5">
        <f t="shared" si="1"/>
        <v>38.863387096774183</v>
      </c>
      <c r="AA8" s="5">
        <f t="shared" si="1"/>
        <v>35.443387096774188</v>
      </c>
      <c r="AB8" s="5">
        <f t="shared" si="1"/>
        <v>59.531720430107519</v>
      </c>
      <c r="AC8" s="5">
        <f t="shared" si="1"/>
        <v>49.978387096774185</v>
      </c>
      <c r="AD8" s="5">
        <f t="shared" si="1"/>
        <v>70.12172043010753</v>
      </c>
      <c r="AE8" s="5">
        <f t="shared" si="1"/>
        <v>44.908387096774184</v>
      </c>
      <c r="AF8" s="5">
        <f t="shared" si="1"/>
        <v>44.923387096774178</v>
      </c>
      <c r="AG8" s="5">
        <f t="shared" si="1"/>
        <v>50.758387096774186</v>
      </c>
      <c r="AH8" s="5">
        <f t="shared" si="1"/>
        <v>21.868387096774185</v>
      </c>
      <c r="AI8" s="5">
        <f t="shared" si="1"/>
        <v>57.048387096774185</v>
      </c>
      <c r="AJ8" s="5">
        <f t="shared" si="1"/>
        <v>52.033387096774184</v>
      </c>
      <c r="AK8" s="5">
        <f t="shared" si="1"/>
        <v>54.793387096774183</v>
      </c>
      <c r="AM8" s="4441"/>
      <c r="AN8" s="4444"/>
      <c r="AP8" s="5">
        <f t="shared" si="1"/>
        <v>1729.2066666666658</v>
      </c>
      <c r="AQ8" s="8">
        <f t="shared" si="1"/>
        <v>0</v>
      </c>
    </row>
    <row r="9" spans="2:43" ht="4.5" customHeight="1" x14ac:dyDescent="0.2">
      <c r="AM9" s="4441"/>
      <c r="AN9" s="4444"/>
    </row>
    <row r="10" spans="2:43" ht="15" customHeight="1" x14ac:dyDescent="0.2">
      <c r="G10" s="5" t="s">
        <v>46</v>
      </c>
      <c r="H10" s="5" t="s">
        <v>47</v>
      </c>
      <c r="I10" s="5" t="s">
        <v>48</v>
      </c>
      <c r="J10" s="5" t="s">
        <v>49</v>
      </c>
      <c r="K10" s="5" t="s">
        <v>50</v>
      </c>
      <c r="L10" s="5" t="s">
        <v>51</v>
      </c>
      <c r="M10" s="424" t="s">
        <v>45</v>
      </c>
      <c r="N10" s="5" t="s">
        <v>46</v>
      </c>
      <c r="O10" s="5" t="s">
        <v>47</v>
      </c>
      <c r="P10" s="5" t="s">
        <v>48</v>
      </c>
      <c r="Q10" s="5" t="s">
        <v>49</v>
      </c>
      <c r="R10" s="5" t="s">
        <v>50</v>
      </c>
      <c r="S10" s="5" t="s">
        <v>51</v>
      </c>
      <c r="T10" s="424" t="s">
        <v>45</v>
      </c>
      <c r="U10" s="5" t="s">
        <v>46</v>
      </c>
      <c r="V10" s="5" t="s">
        <v>47</v>
      </c>
      <c r="W10" s="5" t="s">
        <v>48</v>
      </c>
      <c r="X10" s="5" t="s">
        <v>49</v>
      </c>
      <c r="Y10" s="5" t="s">
        <v>50</v>
      </c>
      <c r="Z10" s="5" t="s">
        <v>51</v>
      </c>
      <c r="AA10" s="424" t="s">
        <v>45</v>
      </c>
      <c r="AB10" s="5" t="s">
        <v>46</v>
      </c>
      <c r="AC10" s="5" t="s">
        <v>47</v>
      </c>
      <c r="AD10" s="5" t="s">
        <v>48</v>
      </c>
      <c r="AE10" s="5" t="s">
        <v>49</v>
      </c>
      <c r="AF10" s="5" t="s">
        <v>50</v>
      </c>
      <c r="AG10" s="5" t="s">
        <v>51</v>
      </c>
      <c r="AH10" s="424" t="s">
        <v>45</v>
      </c>
      <c r="AI10" s="5" t="s">
        <v>46</v>
      </c>
      <c r="AJ10" s="5" t="s">
        <v>47</v>
      </c>
      <c r="AK10" s="5" t="s">
        <v>48</v>
      </c>
      <c r="AM10" s="4441"/>
      <c r="AN10" s="4444"/>
    </row>
    <row r="11" spans="2:43" s="423" customFormat="1" x14ac:dyDescent="0.2">
      <c r="B11" s="420" t="s">
        <v>0</v>
      </c>
      <c r="C11" s="420" t="s">
        <v>1</v>
      </c>
      <c r="D11" s="420" t="s">
        <v>24</v>
      </c>
      <c r="E11" s="420" t="s">
        <v>25</v>
      </c>
      <c r="F11" s="420" t="s">
        <v>2</v>
      </c>
      <c r="G11" s="421">
        <v>1</v>
      </c>
      <c r="H11" s="422">
        <v>2</v>
      </c>
      <c r="I11" s="420">
        <v>3</v>
      </c>
      <c r="J11" s="420">
        <v>4</v>
      </c>
      <c r="K11" s="420">
        <v>5</v>
      </c>
      <c r="L11" s="420">
        <v>6</v>
      </c>
      <c r="M11" s="425">
        <v>7</v>
      </c>
      <c r="N11" s="420">
        <v>8</v>
      </c>
      <c r="O11" s="420">
        <v>9</v>
      </c>
      <c r="P11" s="420">
        <v>10</v>
      </c>
      <c r="Q11" s="420">
        <v>11</v>
      </c>
      <c r="R11" s="420">
        <v>12</v>
      </c>
      <c r="S11" s="420">
        <v>13</v>
      </c>
      <c r="T11" s="425">
        <v>14</v>
      </c>
      <c r="U11" s="420">
        <v>15</v>
      </c>
      <c r="V11" s="420">
        <v>16</v>
      </c>
      <c r="W11" s="420">
        <v>17</v>
      </c>
      <c r="X11" s="420">
        <v>18</v>
      </c>
      <c r="Y11" s="420">
        <v>19</v>
      </c>
      <c r="Z11" s="420">
        <v>20</v>
      </c>
      <c r="AA11" s="425">
        <v>21</v>
      </c>
      <c r="AB11" s="420">
        <v>22</v>
      </c>
      <c r="AC11" s="420">
        <v>23</v>
      </c>
      <c r="AD11" s="420">
        <v>24</v>
      </c>
      <c r="AE11" s="420">
        <v>25</v>
      </c>
      <c r="AF11" s="420">
        <v>26</v>
      </c>
      <c r="AG11" s="420">
        <v>27</v>
      </c>
      <c r="AH11" s="425">
        <v>28</v>
      </c>
      <c r="AI11" s="420">
        <v>29</v>
      </c>
      <c r="AJ11" s="420">
        <v>30</v>
      </c>
      <c r="AK11" s="420">
        <v>31</v>
      </c>
      <c r="AM11" s="4442"/>
      <c r="AN11" s="4445"/>
      <c r="AP11" s="420" t="s">
        <v>7</v>
      </c>
      <c r="AQ11" s="420" t="s">
        <v>2</v>
      </c>
    </row>
    <row r="12" spans="2:43" ht="4.5" customHeight="1" x14ac:dyDescent="0.2"/>
    <row r="13" spans="2:43" ht="15" customHeight="1" x14ac:dyDescent="0.2">
      <c r="C13" s="419" t="s">
        <v>19</v>
      </c>
    </row>
    <row r="14" spans="2:43" ht="15" x14ac:dyDescent="0.2">
      <c r="B14" s="1">
        <v>1</v>
      </c>
      <c r="C14" s="1" t="s">
        <v>3</v>
      </c>
      <c r="D14" s="6">
        <v>470</v>
      </c>
      <c r="E14" s="6">
        <f>D14/31</f>
        <v>15.161290322580646</v>
      </c>
      <c r="F14" s="10">
        <f t="shared" ref="F14:F22" si="2">D14/$D$23</f>
        <v>0.37480063795853269</v>
      </c>
      <c r="G14" s="6">
        <f t="shared" ref="G14:AK14" si="3">$E$14</f>
        <v>15.161290322580646</v>
      </c>
      <c r="H14" s="6">
        <f t="shared" si="3"/>
        <v>15.161290322580646</v>
      </c>
      <c r="I14" s="6">
        <f t="shared" si="3"/>
        <v>15.161290322580646</v>
      </c>
      <c r="J14" s="6">
        <f t="shared" si="3"/>
        <v>15.161290322580646</v>
      </c>
      <c r="K14" s="6">
        <f t="shared" si="3"/>
        <v>15.161290322580646</v>
      </c>
      <c r="L14" s="6">
        <f t="shared" si="3"/>
        <v>15.161290322580646</v>
      </c>
      <c r="M14" s="6">
        <f t="shared" si="3"/>
        <v>15.161290322580646</v>
      </c>
      <c r="N14" s="6">
        <f t="shared" si="3"/>
        <v>15.161290322580646</v>
      </c>
      <c r="O14" s="6">
        <f t="shared" si="3"/>
        <v>15.161290322580646</v>
      </c>
      <c r="P14" s="6">
        <f t="shared" si="3"/>
        <v>15.161290322580646</v>
      </c>
      <c r="Q14" s="6">
        <f t="shared" si="3"/>
        <v>15.161290322580646</v>
      </c>
      <c r="R14" s="6">
        <f t="shared" si="3"/>
        <v>15.161290322580646</v>
      </c>
      <c r="S14" s="6">
        <f t="shared" si="3"/>
        <v>15.161290322580646</v>
      </c>
      <c r="T14" s="6">
        <f t="shared" si="3"/>
        <v>15.161290322580646</v>
      </c>
      <c r="U14" s="6">
        <f t="shared" si="3"/>
        <v>15.161290322580646</v>
      </c>
      <c r="V14" s="6">
        <f t="shared" si="3"/>
        <v>15.161290322580646</v>
      </c>
      <c r="W14" s="6">
        <f t="shared" si="3"/>
        <v>15.161290322580646</v>
      </c>
      <c r="X14" s="6">
        <f t="shared" si="3"/>
        <v>15.161290322580646</v>
      </c>
      <c r="Y14" s="6">
        <f t="shared" si="3"/>
        <v>15.161290322580646</v>
      </c>
      <c r="Z14" s="6">
        <f t="shared" si="3"/>
        <v>15.161290322580646</v>
      </c>
      <c r="AA14" s="6">
        <f t="shared" si="3"/>
        <v>15.161290322580646</v>
      </c>
      <c r="AB14" s="6">
        <f t="shared" si="3"/>
        <v>15.161290322580646</v>
      </c>
      <c r="AC14" s="6">
        <f t="shared" si="3"/>
        <v>15.161290322580646</v>
      </c>
      <c r="AD14" s="6">
        <f t="shared" si="3"/>
        <v>15.161290322580646</v>
      </c>
      <c r="AE14" s="6">
        <f t="shared" si="3"/>
        <v>15.161290322580646</v>
      </c>
      <c r="AF14" s="6">
        <f t="shared" si="3"/>
        <v>15.161290322580646</v>
      </c>
      <c r="AG14" s="6">
        <f t="shared" si="3"/>
        <v>15.161290322580646</v>
      </c>
      <c r="AH14" s="6">
        <f t="shared" si="3"/>
        <v>15.161290322580646</v>
      </c>
      <c r="AI14" s="6">
        <f t="shared" si="3"/>
        <v>15.161290322580646</v>
      </c>
      <c r="AJ14" s="6">
        <f t="shared" si="3"/>
        <v>15.161290322580646</v>
      </c>
      <c r="AK14" s="6">
        <f t="shared" si="3"/>
        <v>15.161290322580646</v>
      </c>
      <c r="AM14" s="43">
        <v>0</v>
      </c>
      <c r="AN14" s="74">
        <f t="shared" ref="AN14:AN23" si="4">AM14/D14</f>
        <v>0</v>
      </c>
      <c r="AP14" s="5">
        <f t="shared" ref="AP14:AP22" si="5">SUM(G14:AK14)</f>
        <v>470.00000000000028</v>
      </c>
      <c r="AQ14" s="70">
        <f t="shared" ref="AQ14:AQ22" si="6">AP14/$AP$23</f>
        <v>0.37480063795853275</v>
      </c>
    </row>
    <row r="15" spans="2:43" ht="15" x14ac:dyDescent="0.2">
      <c r="B15" s="1">
        <v>2</v>
      </c>
      <c r="C15" s="1" t="s">
        <v>12</v>
      </c>
      <c r="D15" s="6">
        <v>300</v>
      </c>
      <c r="E15" s="6">
        <f t="shared" ref="E15:E22" si="7">D15/31</f>
        <v>9.67741935483871</v>
      </c>
      <c r="F15" s="10">
        <f t="shared" si="2"/>
        <v>0.23923444976076555</v>
      </c>
      <c r="G15" s="6">
        <f t="shared" ref="G15:AK15" si="8">$E$15</f>
        <v>9.67741935483871</v>
      </c>
      <c r="H15" s="6">
        <f t="shared" si="8"/>
        <v>9.67741935483871</v>
      </c>
      <c r="I15" s="6">
        <f t="shared" si="8"/>
        <v>9.67741935483871</v>
      </c>
      <c r="J15" s="6">
        <f t="shared" si="8"/>
        <v>9.67741935483871</v>
      </c>
      <c r="K15" s="6">
        <f t="shared" si="8"/>
        <v>9.67741935483871</v>
      </c>
      <c r="L15" s="6">
        <f t="shared" si="8"/>
        <v>9.67741935483871</v>
      </c>
      <c r="M15" s="6">
        <f t="shared" si="8"/>
        <v>9.67741935483871</v>
      </c>
      <c r="N15" s="6">
        <f t="shared" si="8"/>
        <v>9.67741935483871</v>
      </c>
      <c r="O15" s="6">
        <f t="shared" si="8"/>
        <v>9.67741935483871</v>
      </c>
      <c r="P15" s="6">
        <f t="shared" si="8"/>
        <v>9.67741935483871</v>
      </c>
      <c r="Q15" s="6">
        <f t="shared" si="8"/>
        <v>9.67741935483871</v>
      </c>
      <c r="R15" s="6">
        <f t="shared" si="8"/>
        <v>9.67741935483871</v>
      </c>
      <c r="S15" s="6">
        <f t="shared" si="8"/>
        <v>9.67741935483871</v>
      </c>
      <c r="T15" s="6">
        <f t="shared" si="8"/>
        <v>9.67741935483871</v>
      </c>
      <c r="U15" s="6">
        <f t="shared" si="8"/>
        <v>9.67741935483871</v>
      </c>
      <c r="V15" s="6">
        <f t="shared" si="8"/>
        <v>9.67741935483871</v>
      </c>
      <c r="W15" s="6">
        <f t="shared" si="8"/>
        <v>9.67741935483871</v>
      </c>
      <c r="X15" s="6">
        <f t="shared" si="8"/>
        <v>9.67741935483871</v>
      </c>
      <c r="Y15" s="6">
        <f t="shared" si="8"/>
        <v>9.67741935483871</v>
      </c>
      <c r="Z15" s="6">
        <f t="shared" si="8"/>
        <v>9.67741935483871</v>
      </c>
      <c r="AA15" s="6">
        <f t="shared" si="8"/>
        <v>9.67741935483871</v>
      </c>
      <c r="AB15" s="6">
        <f t="shared" si="8"/>
        <v>9.67741935483871</v>
      </c>
      <c r="AC15" s="6">
        <f t="shared" si="8"/>
        <v>9.67741935483871</v>
      </c>
      <c r="AD15" s="6">
        <f t="shared" si="8"/>
        <v>9.67741935483871</v>
      </c>
      <c r="AE15" s="6">
        <f t="shared" si="8"/>
        <v>9.67741935483871</v>
      </c>
      <c r="AF15" s="6">
        <f t="shared" si="8"/>
        <v>9.67741935483871</v>
      </c>
      <c r="AG15" s="6">
        <f t="shared" si="8"/>
        <v>9.67741935483871</v>
      </c>
      <c r="AH15" s="6">
        <f t="shared" si="8"/>
        <v>9.67741935483871</v>
      </c>
      <c r="AI15" s="6">
        <f t="shared" si="8"/>
        <v>9.67741935483871</v>
      </c>
      <c r="AJ15" s="6">
        <f t="shared" si="8"/>
        <v>9.67741935483871</v>
      </c>
      <c r="AK15" s="6">
        <f t="shared" si="8"/>
        <v>9.67741935483871</v>
      </c>
      <c r="AM15" s="43">
        <v>0</v>
      </c>
      <c r="AN15" s="74">
        <f t="shared" si="4"/>
        <v>0</v>
      </c>
      <c r="AP15" s="5">
        <f t="shared" si="5"/>
        <v>300.00000000000011</v>
      </c>
      <c r="AQ15" s="70">
        <f t="shared" si="6"/>
        <v>0.23923444976076552</v>
      </c>
    </row>
    <row r="16" spans="2:43" ht="15" x14ac:dyDescent="0.2">
      <c r="B16" s="1">
        <v>3</v>
      </c>
      <c r="C16" s="1" t="s">
        <v>11</v>
      </c>
      <c r="D16" s="6">
        <v>209</v>
      </c>
      <c r="E16" s="6">
        <f t="shared" si="7"/>
        <v>6.741935483870968</v>
      </c>
      <c r="F16" s="10">
        <f t="shared" si="2"/>
        <v>0.16666666666666666</v>
      </c>
      <c r="G16" s="6">
        <f t="shared" ref="G16:AK16" si="9">$E$16</f>
        <v>6.741935483870968</v>
      </c>
      <c r="H16" s="6">
        <f t="shared" si="9"/>
        <v>6.741935483870968</v>
      </c>
      <c r="I16" s="6">
        <f t="shared" si="9"/>
        <v>6.741935483870968</v>
      </c>
      <c r="J16" s="6">
        <f t="shared" si="9"/>
        <v>6.741935483870968</v>
      </c>
      <c r="K16" s="6">
        <f t="shared" si="9"/>
        <v>6.741935483870968</v>
      </c>
      <c r="L16" s="6">
        <f t="shared" si="9"/>
        <v>6.741935483870968</v>
      </c>
      <c r="M16" s="6">
        <f t="shared" si="9"/>
        <v>6.741935483870968</v>
      </c>
      <c r="N16" s="6">
        <f t="shared" si="9"/>
        <v>6.741935483870968</v>
      </c>
      <c r="O16" s="6">
        <f t="shared" si="9"/>
        <v>6.741935483870968</v>
      </c>
      <c r="P16" s="6">
        <f t="shared" si="9"/>
        <v>6.741935483870968</v>
      </c>
      <c r="Q16" s="6">
        <f t="shared" si="9"/>
        <v>6.741935483870968</v>
      </c>
      <c r="R16" s="6">
        <f t="shared" si="9"/>
        <v>6.741935483870968</v>
      </c>
      <c r="S16" s="6">
        <f t="shared" si="9"/>
        <v>6.741935483870968</v>
      </c>
      <c r="T16" s="6">
        <f t="shared" si="9"/>
        <v>6.741935483870968</v>
      </c>
      <c r="U16" s="6">
        <f t="shared" si="9"/>
        <v>6.741935483870968</v>
      </c>
      <c r="V16" s="6">
        <f t="shared" si="9"/>
        <v>6.741935483870968</v>
      </c>
      <c r="W16" s="6">
        <f t="shared" si="9"/>
        <v>6.741935483870968</v>
      </c>
      <c r="X16" s="6">
        <f t="shared" si="9"/>
        <v>6.741935483870968</v>
      </c>
      <c r="Y16" s="6">
        <f t="shared" si="9"/>
        <v>6.741935483870968</v>
      </c>
      <c r="Z16" s="6">
        <f t="shared" si="9"/>
        <v>6.741935483870968</v>
      </c>
      <c r="AA16" s="6">
        <f t="shared" si="9"/>
        <v>6.741935483870968</v>
      </c>
      <c r="AB16" s="6">
        <f t="shared" si="9"/>
        <v>6.741935483870968</v>
      </c>
      <c r="AC16" s="6">
        <f t="shared" si="9"/>
        <v>6.741935483870968</v>
      </c>
      <c r="AD16" s="6">
        <f t="shared" si="9"/>
        <v>6.741935483870968</v>
      </c>
      <c r="AE16" s="6">
        <f t="shared" si="9"/>
        <v>6.741935483870968</v>
      </c>
      <c r="AF16" s="6">
        <f t="shared" si="9"/>
        <v>6.741935483870968</v>
      </c>
      <c r="AG16" s="6">
        <f t="shared" si="9"/>
        <v>6.741935483870968</v>
      </c>
      <c r="AH16" s="6">
        <f t="shared" si="9"/>
        <v>6.741935483870968</v>
      </c>
      <c r="AI16" s="6">
        <f t="shared" si="9"/>
        <v>6.741935483870968</v>
      </c>
      <c r="AJ16" s="6">
        <f t="shared" si="9"/>
        <v>6.741935483870968</v>
      </c>
      <c r="AK16" s="6">
        <f t="shared" si="9"/>
        <v>6.741935483870968</v>
      </c>
      <c r="AM16" s="43">
        <v>0</v>
      </c>
      <c r="AN16" s="74">
        <f t="shared" si="4"/>
        <v>0</v>
      </c>
      <c r="AP16" s="5">
        <f t="shared" si="5"/>
        <v>209.00000000000014</v>
      </c>
      <c r="AQ16" s="70">
        <f t="shared" si="6"/>
        <v>0.16666666666666669</v>
      </c>
    </row>
    <row r="17" spans="2:43" ht="15" x14ac:dyDescent="0.2">
      <c r="B17" s="1">
        <v>4</v>
      </c>
      <c r="C17" s="1" t="s">
        <v>4</v>
      </c>
      <c r="D17" s="6">
        <v>150</v>
      </c>
      <c r="E17" s="6">
        <f t="shared" si="7"/>
        <v>4.838709677419355</v>
      </c>
      <c r="F17" s="10">
        <f t="shared" si="2"/>
        <v>0.11961722488038277</v>
      </c>
      <c r="G17" s="6">
        <f t="shared" ref="G17:AK17" si="10">$E$17</f>
        <v>4.838709677419355</v>
      </c>
      <c r="H17" s="6">
        <f t="shared" si="10"/>
        <v>4.838709677419355</v>
      </c>
      <c r="I17" s="6">
        <f t="shared" si="10"/>
        <v>4.838709677419355</v>
      </c>
      <c r="J17" s="6">
        <f t="shared" si="10"/>
        <v>4.838709677419355</v>
      </c>
      <c r="K17" s="6">
        <f t="shared" si="10"/>
        <v>4.838709677419355</v>
      </c>
      <c r="L17" s="6">
        <f t="shared" si="10"/>
        <v>4.838709677419355</v>
      </c>
      <c r="M17" s="6">
        <f t="shared" si="10"/>
        <v>4.838709677419355</v>
      </c>
      <c r="N17" s="6">
        <f t="shared" si="10"/>
        <v>4.838709677419355</v>
      </c>
      <c r="O17" s="6">
        <f t="shared" si="10"/>
        <v>4.838709677419355</v>
      </c>
      <c r="P17" s="6">
        <f t="shared" si="10"/>
        <v>4.838709677419355</v>
      </c>
      <c r="Q17" s="6">
        <f t="shared" si="10"/>
        <v>4.838709677419355</v>
      </c>
      <c r="R17" s="6">
        <f t="shared" si="10"/>
        <v>4.838709677419355</v>
      </c>
      <c r="S17" s="6">
        <f t="shared" si="10"/>
        <v>4.838709677419355</v>
      </c>
      <c r="T17" s="6">
        <f t="shared" si="10"/>
        <v>4.838709677419355</v>
      </c>
      <c r="U17" s="6">
        <f t="shared" si="10"/>
        <v>4.838709677419355</v>
      </c>
      <c r="V17" s="6">
        <f t="shared" si="10"/>
        <v>4.838709677419355</v>
      </c>
      <c r="W17" s="6">
        <f t="shared" si="10"/>
        <v>4.838709677419355</v>
      </c>
      <c r="X17" s="6">
        <f t="shared" si="10"/>
        <v>4.838709677419355</v>
      </c>
      <c r="Y17" s="6">
        <f t="shared" si="10"/>
        <v>4.838709677419355</v>
      </c>
      <c r="Z17" s="6">
        <f t="shared" si="10"/>
        <v>4.838709677419355</v>
      </c>
      <c r="AA17" s="6">
        <f t="shared" si="10"/>
        <v>4.838709677419355</v>
      </c>
      <c r="AB17" s="6">
        <f t="shared" si="10"/>
        <v>4.838709677419355</v>
      </c>
      <c r="AC17" s="6">
        <f t="shared" si="10"/>
        <v>4.838709677419355</v>
      </c>
      <c r="AD17" s="6">
        <f t="shared" si="10"/>
        <v>4.838709677419355</v>
      </c>
      <c r="AE17" s="6">
        <f t="shared" si="10"/>
        <v>4.838709677419355</v>
      </c>
      <c r="AF17" s="6">
        <f t="shared" si="10"/>
        <v>4.838709677419355</v>
      </c>
      <c r="AG17" s="6">
        <f t="shared" si="10"/>
        <v>4.838709677419355</v>
      </c>
      <c r="AH17" s="6">
        <f t="shared" si="10"/>
        <v>4.838709677419355</v>
      </c>
      <c r="AI17" s="6">
        <f t="shared" si="10"/>
        <v>4.838709677419355</v>
      </c>
      <c r="AJ17" s="6">
        <f t="shared" si="10"/>
        <v>4.838709677419355</v>
      </c>
      <c r="AK17" s="6">
        <f t="shared" si="10"/>
        <v>4.838709677419355</v>
      </c>
      <c r="AM17" s="43">
        <v>0</v>
      </c>
      <c r="AN17" s="74">
        <f t="shared" si="4"/>
        <v>0</v>
      </c>
      <c r="AP17" s="5">
        <f t="shared" si="5"/>
        <v>150.00000000000006</v>
      </c>
      <c r="AQ17" s="70">
        <f t="shared" si="6"/>
        <v>0.11961722488038276</v>
      </c>
    </row>
    <row r="18" spans="2:43" ht="15" x14ac:dyDescent="0.2">
      <c r="B18" s="1">
        <v>5</v>
      </c>
      <c r="C18" s="1" t="s">
        <v>13</v>
      </c>
      <c r="D18" s="6">
        <v>100</v>
      </c>
      <c r="E18" s="6">
        <f t="shared" si="7"/>
        <v>3.225806451612903</v>
      </c>
      <c r="F18" s="10">
        <f t="shared" si="2"/>
        <v>7.9744816586921854E-2</v>
      </c>
      <c r="G18" s="6">
        <f t="shared" ref="G18:AK18" si="11">$E$18</f>
        <v>3.225806451612903</v>
      </c>
      <c r="H18" s="6">
        <f t="shared" si="11"/>
        <v>3.225806451612903</v>
      </c>
      <c r="I18" s="6">
        <f t="shared" si="11"/>
        <v>3.225806451612903</v>
      </c>
      <c r="J18" s="6">
        <f t="shared" si="11"/>
        <v>3.225806451612903</v>
      </c>
      <c r="K18" s="6">
        <f t="shared" si="11"/>
        <v>3.225806451612903</v>
      </c>
      <c r="L18" s="6">
        <f t="shared" si="11"/>
        <v>3.225806451612903</v>
      </c>
      <c r="M18" s="6">
        <f t="shared" si="11"/>
        <v>3.225806451612903</v>
      </c>
      <c r="N18" s="6">
        <f t="shared" si="11"/>
        <v>3.225806451612903</v>
      </c>
      <c r="O18" s="6">
        <f t="shared" si="11"/>
        <v>3.225806451612903</v>
      </c>
      <c r="P18" s="6">
        <f t="shared" si="11"/>
        <v>3.225806451612903</v>
      </c>
      <c r="Q18" s="6">
        <f t="shared" si="11"/>
        <v>3.225806451612903</v>
      </c>
      <c r="R18" s="6">
        <f t="shared" si="11"/>
        <v>3.225806451612903</v>
      </c>
      <c r="S18" s="6">
        <f t="shared" si="11"/>
        <v>3.225806451612903</v>
      </c>
      <c r="T18" s="6">
        <f t="shared" si="11"/>
        <v>3.225806451612903</v>
      </c>
      <c r="U18" s="6">
        <f t="shared" si="11"/>
        <v>3.225806451612903</v>
      </c>
      <c r="V18" s="6">
        <f t="shared" si="11"/>
        <v>3.225806451612903</v>
      </c>
      <c r="W18" s="6">
        <f t="shared" si="11"/>
        <v>3.225806451612903</v>
      </c>
      <c r="X18" s="6">
        <f t="shared" si="11"/>
        <v>3.225806451612903</v>
      </c>
      <c r="Y18" s="6">
        <f t="shared" si="11"/>
        <v>3.225806451612903</v>
      </c>
      <c r="Z18" s="6">
        <f t="shared" si="11"/>
        <v>3.225806451612903</v>
      </c>
      <c r="AA18" s="6">
        <f t="shared" si="11"/>
        <v>3.225806451612903</v>
      </c>
      <c r="AB18" s="6">
        <f t="shared" si="11"/>
        <v>3.225806451612903</v>
      </c>
      <c r="AC18" s="6">
        <f t="shared" si="11"/>
        <v>3.225806451612903</v>
      </c>
      <c r="AD18" s="6">
        <f t="shared" si="11"/>
        <v>3.225806451612903</v>
      </c>
      <c r="AE18" s="6">
        <f t="shared" si="11"/>
        <v>3.225806451612903</v>
      </c>
      <c r="AF18" s="6">
        <f t="shared" si="11"/>
        <v>3.225806451612903</v>
      </c>
      <c r="AG18" s="6">
        <f t="shared" si="11"/>
        <v>3.225806451612903</v>
      </c>
      <c r="AH18" s="6">
        <f t="shared" si="11"/>
        <v>3.225806451612903</v>
      </c>
      <c r="AI18" s="6">
        <f t="shared" si="11"/>
        <v>3.225806451612903</v>
      </c>
      <c r="AJ18" s="6">
        <f t="shared" si="11"/>
        <v>3.225806451612903</v>
      </c>
      <c r="AK18" s="6">
        <f t="shared" si="11"/>
        <v>3.225806451612903</v>
      </c>
      <c r="AM18" s="43">
        <v>0</v>
      </c>
      <c r="AN18" s="74">
        <f t="shared" si="4"/>
        <v>0</v>
      </c>
      <c r="AP18" s="5">
        <f t="shared" si="5"/>
        <v>99.999999999999929</v>
      </c>
      <c r="AQ18" s="70">
        <f t="shared" si="6"/>
        <v>7.9744816586921743E-2</v>
      </c>
    </row>
    <row r="19" spans="2:43" ht="15" x14ac:dyDescent="0.2">
      <c r="B19" s="1">
        <v>6</v>
      </c>
      <c r="C19" s="1" t="s">
        <v>6</v>
      </c>
      <c r="D19" s="6">
        <v>25</v>
      </c>
      <c r="E19" s="6">
        <f t="shared" si="7"/>
        <v>0.80645161290322576</v>
      </c>
      <c r="F19" s="10">
        <f t="shared" si="2"/>
        <v>1.9936204146730464E-2</v>
      </c>
      <c r="G19" s="6">
        <f t="shared" ref="G19:AK19" si="12">$E$19</f>
        <v>0.80645161290322576</v>
      </c>
      <c r="H19" s="6">
        <f t="shared" si="12"/>
        <v>0.80645161290322576</v>
      </c>
      <c r="I19" s="6">
        <f t="shared" si="12"/>
        <v>0.80645161290322576</v>
      </c>
      <c r="J19" s="6">
        <f t="shared" si="12"/>
        <v>0.80645161290322576</v>
      </c>
      <c r="K19" s="6">
        <f t="shared" si="12"/>
        <v>0.80645161290322576</v>
      </c>
      <c r="L19" s="6">
        <f t="shared" si="12"/>
        <v>0.80645161290322576</v>
      </c>
      <c r="M19" s="6">
        <f t="shared" si="12"/>
        <v>0.80645161290322576</v>
      </c>
      <c r="N19" s="6">
        <f t="shared" si="12"/>
        <v>0.80645161290322576</v>
      </c>
      <c r="O19" s="6">
        <f t="shared" si="12"/>
        <v>0.80645161290322576</v>
      </c>
      <c r="P19" s="6">
        <f t="shared" si="12"/>
        <v>0.80645161290322576</v>
      </c>
      <c r="Q19" s="6">
        <f t="shared" si="12"/>
        <v>0.80645161290322576</v>
      </c>
      <c r="R19" s="6">
        <f t="shared" si="12"/>
        <v>0.80645161290322576</v>
      </c>
      <c r="S19" s="6">
        <f t="shared" si="12"/>
        <v>0.80645161290322576</v>
      </c>
      <c r="T19" s="6">
        <f t="shared" si="12"/>
        <v>0.80645161290322576</v>
      </c>
      <c r="U19" s="6">
        <f t="shared" si="12"/>
        <v>0.80645161290322576</v>
      </c>
      <c r="V19" s="6">
        <f t="shared" si="12"/>
        <v>0.80645161290322576</v>
      </c>
      <c r="W19" s="6">
        <f t="shared" si="12"/>
        <v>0.80645161290322576</v>
      </c>
      <c r="X19" s="6">
        <f t="shared" si="12"/>
        <v>0.80645161290322576</v>
      </c>
      <c r="Y19" s="6">
        <f t="shared" si="12"/>
        <v>0.80645161290322576</v>
      </c>
      <c r="Z19" s="6">
        <f t="shared" si="12"/>
        <v>0.80645161290322576</v>
      </c>
      <c r="AA19" s="6">
        <f t="shared" si="12"/>
        <v>0.80645161290322576</v>
      </c>
      <c r="AB19" s="6">
        <f t="shared" si="12"/>
        <v>0.80645161290322576</v>
      </c>
      <c r="AC19" s="6">
        <f t="shared" si="12"/>
        <v>0.80645161290322576</v>
      </c>
      <c r="AD19" s="6">
        <f t="shared" si="12"/>
        <v>0.80645161290322576</v>
      </c>
      <c r="AE19" s="6">
        <f t="shared" si="12"/>
        <v>0.80645161290322576</v>
      </c>
      <c r="AF19" s="6">
        <f t="shared" si="12"/>
        <v>0.80645161290322576</v>
      </c>
      <c r="AG19" s="6">
        <f t="shared" si="12"/>
        <v>0.80645161290322576</v>
      </c>
      <c r="AH19" s="6">
        <f t="shared" si="12"/>
        <v>0.80645161290322576</v>
      </c>
      <c r="AI19" s="6">
        <f t="shared" si="12"/>
        <v>0.80645161290322576</v>
      </c>
      <c r="AJ19" s="6">
        <f t="shared" si="12"/>
        <v>0.80645161290322576</v>
      </c>
      <c r="AK19" s="6">
        <f t="shared" si="12"/>
        <v>0.80645161290322576</v>
      </c>
      <c r="AM19" s="43">
        <v>0</v>
      </c>
      <c r="AN19" s="74">
        <f t="shared" si="4"/>
        <v>0</v>
      </c>
      <c r="AP19" s="5">
        <f t="shared" si="5"/>
        <v>24.999999999999982</v>
      </c>
      <c r="AQ19" s="70">
        <f t="shared" si="6"/>
        <v>1.9936204146730436E-2</v>
      </c>
    </row>
    <row r="20" spans="2:43" ht="15" x14ac:dyDescent="0.2">
      <c r="B20" s="1">
        <v>7</v>
      </c>
      <c r="C20" s="1"/>
      <c r="D20" s="6">
        <v>0</v>
      </c>
      <c r="E20" s="6">
        <f t="shared" si="7"/>
        <v>0</v>
      </c>
      <c r="F20" s="10">
        <f t="shared" si="2"/>
        <v>0</v>
      </c>
      <c r="G20" s="6">
        <f t="shared" ref="G20:AK20" si="13">$E$20</f>
        <v>0</v>
      </c>
      <c r="H20" s="6">
        <f t="shared" si="13"/>
        <v>0</v>
      </c>
      <c r="I20" s="6">
        <f t="shared" si="13"/>
        <v>0</v>
      </c>
      <c r="J20" s="6">
        <f t="shared" si="13"/>
        <v>0</v>
      </c>
      <c r="K20" s="6">
        <f t="shared" si="13"/>
        <v>0</v>
      </c>
      <c r="L20" s="6">
        <f t="shared" si="13"/>
        <v>0</v>
      </c>
      <c r="M20" s="6">
        <f t="shared" si="13"/>
        <v>0</v>
      </c>
      <c r="N20" s="6">
        <f t="shared" si="13"/>
        <v>0</v>
      </c>
      <c r="O20" s="6">
        <f t="shared" si="13"/>
        <v>0</v>
      </c>
      <c r="P20" s="6">
        <f t="shared" si="13"/>
        <v>0</v>
      </c>
      <c r="Q20" s="6">
        <f t="shared" si="13"/>
        <v>0</v>
      </c>
      <c r="R20" s="6">
        <f t="shared" si="13"/>
        <v>0</v>
      </c>
      <c r="S20" s="6">
        <f t="shared" si="13"/>
        <v>0</v>
      </c>
      <c r="T20" s="6">
        <f t="shared" si="13"/>
        <v>0</v>
      </c>
      <c r="U20" s="6">
        <f t="shared" si="13"/>
        <v>0</v>
      </c>
      <c r="V20" s="6">
        <f t="shared" si="13"/>
        <v>0</v>
      </c>
      <c r="W20" s="6">
        <f t="shared" si="13"/>
        <v>0</v>
      </c>
      <c r="X20" s="6">
        <f t="shared" si="13"/>
        <v>0</v>
      </c>
      <c r="Y20" s="6">
        <f t="shared" si="13"/>
        <v>0</v>
      </c>
      <c r="Z20" s="6">
        <f t="shared" si="13"/>
        <v>0</v>
      </c>
      <c r="AA20" s="6">
        <f t="shared" si="13"/>
        <v>0</v>
      </c>
      <c r="AB20" s="6">
        <f t="shared" si="13"/>
        <v>0</v>
      </c>
      <c r="AC20" s="6">
        <f t="shared" si="13"/>
        <v>0</v>
      </c>
      <c r="AD20" s="6">
        <f t="shared" si="13"/>
        <v>0</v>
      </c>
      <c r="AE20" s="6">
        <f t="shared" si="13"/>
        <v>0</v>
      </c>
      <c r="AF20" s="6">
        <f t="shared" si="13"/>
        <v>0</v>
      </c>
      <c r="AG20" s="6">
        <f t="shared" si="13"/>
        <v>0</v>
      </c>
      <c r="AH20" s="6">
        <f t="shared" si="13"/>
        <v>0</v>
      </c>
      <c r="AI20" s="6">
        <f t="shared" si="13"/>
        <v>0</v>
      </c>
      <c r="AJ20" s="6">
        <f t="shared" si="13"/>
        <v>0</v>
      </c>
      <c r="AK20" s="6">
        <f t="shared" si="13"/>
        <v>0</v>
      </c>
      <c r="AM20" s="43">
        <v>0</v>
      </c>
      <c r="AN20" s="74" t="e">
        <f t="shared" si="4"/>
        <v>#DIV/0!</v>
      </c>
      <c r="AP20" s="5">
        <f t="shared" si="5"/>
        <v>0</v>
      </c>
      <c r="AQ20" s="70">
        <f t="shared" si="6"/>
        <v>0</v>
      </c>
    </row>
    <row r="21" spans="2:43" ht="15" x14ac:dyDescent="0.2">
      <c r="B21" s="1">
        <v>8</v>
      </c>
      <c r="C21" s="1"/>
      <c r="D21" s="6">
        <v>0</v>
      </c>
      <c r="E21" s="6">
        <f t="shared" si="7"/>
        <v>0</v>
      </c>
      <c r="F21" s="10">
        <f t="shared" si="2"/>
        <v>0</v>
      </c>
      <c r="G21" s="6">
        <f t="shared" ref="G21:AK21" si="14">$E$21</f>
        <v>0</v>
      </c>
      <c r="H21" s="6">
        <f t="shared" si="14"/>
        <v>0</v>
      </c>
      <c r="I21" s="6">
        <f t="shared" si="14"/>
        <v>0</v>
      </c>
      <c r="J21" s="6">
        <f t="shared" si="14"/>
        <v>0</v>
      </c>
      <c r="K21" s="6">
        <f t="shared" si="14"/>
        <v>0</v>
      </c>
      <c r="L21" s="6">
        <f t="shared" si="14"/>
        <v>0</v>
      </c>
      <c r="M21" s="6">
        <f t="shared" si="14"/>
        <v>0</v>
      </c>
      <c r="N21" s="6">
        <f t="shared" si="14"/>
        <v>0</v>
      </c>
      <c r="O21" s="6">
        <f t="shared" si="14"/>
        <v>0</v>
      </c>
      <c r="P21" s="6">
        <f t="shared" si="14"/>
        <v>0</v>
      </c>
      <c r="Q21" s="6">
        <f t="shared" si="14"/>
        <v>0</v>
      </c>
      <c r="R21" s="6">
        <f t="shared" si="14"/>
        <v>0</v>
      </c>
      <c r="S21" s="6">
        <f t="shared" si="14"/>
        <v>0</v>
      </c>
      <c r="T21" s="6">
        <f t="shared" si="14"/>
        <v>0</v>
      </c>
      <c r="U21" s="6">
        <f t="shared" si="14"/>
        <v>0</v>
      </c>
      <c r="V21" s="6">
        <f t="shared" si="14"/>
        <v>0</v>
      </c>
      <c r="W21" s="6">
        <f t="shared" si="14"/>
        <v>0</v>
      </c>
      <c r="X21" s="6">
        <f t="shared" si="14"/>
        <v>0</v>
      </c>
      <c r="Y21" s="6">
        <f t="shared" si="14"/>
        <v>0</v>
      </c>
      <c r="Z21" s="6">
        <f t="shared" si="14"/>
        <v>0</v>
      </c>
      <c r="AA21" s="6">
        <f t="shared" si="14"/>
        <v>0</v>
      </c>
      <c r="AB21" s="6">
        <f t="shared" si="14"/>
        <v>0</v>
      </c>
      <c r="AC21" s="6">
        <f t="shared" si="14"/>
        <v>0</v>
      </c>
      <c r="AD21" s="6">
        <f t="shared" si="14"/>
        <v>0</v>
      </c>
      <c r="AE21" s="6">
        <f t="shared" si="14"/>
        <v>0</v>
      </c>
      <c r="AF21" s="6">
        <f t="shared" si="14"/>
        <v>0</v>
      </c>
      <c r="AG21" s="6">
        <f t="shared" si="14"/>
        <v>0</v>
      </c>
      <c r="AH21" s="6">
        <f t="shared" si="14"/>
        <v>0</v>
      </c>
      <c r="AI21" s="6">
        <f t="shared" si="14"/>
        <v>0</v>
      </c>
      <c r="AJ21" s="6">
        <f t="shared" si="14"/>
        <v>0</v>
      </c>
      <c r="AK21" s="6">
        <f t="shared" si="14"/>
        <v>0</v>
      </c>
      <c r="AM21" s="43">
        <v>0</v>
      </c>
      <c r="AN21" s="74" t="e">
        <f t="shared" si="4"/>
        <v>#DIV/0!</v>
      </c>
      <c r="AP21" s="5">
        <f t="shared" si="5"/>
        <v>0</v>
      </c>
      <c r="AQ21" s="70">
        <f t="shared" si="6"/>
        <v>0</v>
      </c>
    </row>
    <row r="22" spans="2:43" ht="15" x14ac:dyDescent="0.2">
      <c r="B22" s="1">
        <v>9</v>
      </c>
      <c r="C22" s="1"/>
      <c r="D22" s="6">
        <v>0</v>
      </c>
      <c r="E22" s="6">
        <f t="shared" si="7"/>
        <v>0</v>
      </c>
      <c r="F22" s="10">
        <f t="shared" si="2"/>
        <v>0</v>
      </c>
      <c r="G22" s="6">
        <f t="shared" ref="G22:AK22" si="15">$E$22</f>
        <v>0</v>
      </c>
      <c r="H22" s="6">
        <f t="shared" si="15"/>
        <v>0</v>
      </c>
      <c r="I22" s="6">
        <f t="shared" si="15"/>
        <v>0</v>
      </c>
      <c r="J22" s="6">
        <f t="shared" si="15"/>
        <v>0</v>
      </c>
      <c r="K22" s="6">
        <f t="shared" si="15"/>
        <v>0</v>
      </c>
      <c r="L22" s="6">
        <f t="shared" si="15"/>
        <v>0</v>
      </c>
      <c r="M22" s="6">
        <f t="shared" si="15"/>
        <v>0</v>
      </c>
      <c r="N22" s="6">
        <f t="shared" si="15"/>
        <v>0</v>
      </c>
      <c r="O22" s="6">
        <f t="shared" si="15"/>
        <v>0</v>
      </c>
      <c r="P22" s="6">
        <f t="shared" si="15"/>
        <v>0</v>
      </c>
      <c r="Q22" s="6">
        <f t="shared" si="15"/>
        <v>0</v>
      </c>
      <c r="R22" s="6">
        <f t="shared" si="15"/>
        <v>0</v>
      </c>
      <c r="S22" s="6">
        <f t="shared" si="15"/>
        <v>0</v>
      </c>
      <c r="T22" s="6">
        <f t="shared" si="15"/>
        <v>0</v>
      </c>
      <c r="U22" s="6">
        <f t="shared" si="15"/>
        <v>0</v>
      </c>
      <c r="V22" s="6">
        <f t="shared" si="15"/>
        <v>0</v>
      </c>
      <c r="W22" s="6">
        <f t="shared" si="15"/>
        <v>0</v>
      </c>
      <c r="X22" s="6">
        <f t="shared" si="15"/>
        <v>0</v>
      </c>
      <c r="Y22" s="6">
        <f t="shared" si="15"/>
        <v>0</v>
      </c>
      <c r="Z22" s="6">
        <f t="shared" si="15"/>
        <v>0</v>
      </c>
      <c r="AA22" s="6">
        <f t="shared" si="15"/>
        <v>0</v>
      </c>
      <c r="AB22" s="6">
        <f t="shared" si="15"/>
        <v>0</v>
      </c>
      <c r="AC22" s="6">
        <f t="shared" si="15"/>
        <v>0</v>
      </c>
      <c r="AD22" s="6">
        <f t="shared" si="15"/>
        <v>0</v>
      </c>
      <c r="AE22" s="6">
        <f t="shared" si="15"/>
        <v>0</v>
      </c>
      <c r="AF22" s="6">
        <f t="shared" si="15"/>
        <v>0</v>
      </c>
      <c r="AG22" s="6">
        <f t="shared" si="15"/>
        <v>0</v>
      </c>
      <c r="AH22" s="6">
        <f t="shared" si="15"/>
        <v>0</v>
      </c>
      <c r="AI22" s="6">
        <f t="shared" si="15"/>
        <v>0</v>
      </c>
      <c r="AJ22" s="6">
        <f t="shared" si="15"/>
        <v>0</v>
      </c>
      <c r="AK22" s="6">
        <f t="shared" si="15"/>
        <v>0</v>
      </c>
      <c r="AM22" s="43">
        <v>0</v>
      </c>
      <c r="AN22" s="74" t="e">
        <f t="shared" si="4"/>
        <v>#DIV/0!</v>
      </c>
      <c r="AP22" s="5">
        <f t="shared" si="5"/>
        <v>0</v>
      </c>
      <c r="AQ22" s="70">
        <f t="shared" si="6"/>
        <v>0</v>
      </c>
    </row>
    <row r="23" spans="2:43" ht="15" x14ac:dyDescent="0.2">
      <c r="B23" s="1"/>
      <c r="C23" s="3" t="s">
        <v>17</v>
      </c>
      <c r="D23" s="5">
        <f>SUM(D14:D22)</f>
        <v>1254</v>
      </c>
      <c r="E23" s="5">
        <f>SUM(E14:E22)</f>
        <v>40.451612903225808</v>
      </c>
      <c r="F23" s="15">
        <f>SUM(F14:F22)</f>
        <v>1</v>
      </c>
      <c r="G23" s="5">
        <f t="shared" ref="G23:AK23" si="16">SUM(G14:G22)</f>
        <v>40.451612903225808</v>
      </c>
      <c r="H23" s="5">
        <f t="shared" si="16"/>
        <v>40.451612903225808</v>
      </c>
      <c r="I23" s="5">
        <f t="shared" si="16"/>
        <v>40.451612903225808</v>
      </c>
      <c r="J23" s="5">
        <f t="shared" si="16"/>
        <v>40.451612903225808</v>
      </c>
      <c r="K23" s="5">
        <f t="shared" si="16"/>
        <v>40.451612903225808</v>
      </c>
      <c r="L23" s="5">
        <f t="shared" si="16"/>
        <v>40.451612903225808</v>
      </c>
      <c r="M23" s="5">
        <f t="shared" si="16"/>
        <v>40.451612903225808</v>
      </c>
      <c r="N23" s="5">
        <f t="shared" si="16"/>
        <v>40.451612903225808</v>
      </c>
      <c r="O23" s="5">
        <f t="shared" si="16"/>
        <v>40.451612903225808</v>
      </c>
      <c r="P23" s="5">
        <f t="shared" si="16"/>
        <v>40.451612903225808</v>
      </c>
      <c r="Q23" s="5">
        <f t="shared" si="16"/>
        <v>40.451612903225808</v>
      </c>
      <c r="R23" s="5">
        <f t="shared" si="16"/>
        <v>40.451612903225808</v>
      </c>
      <c r="S23" s="5">
        <f t="shared" si="16"/>
        <v>40.451612903225808</v>
      </c>
      <c r="T23" s="5">
        <f t="shared" si="16"/>
        <v>40.451612903225808</v>
      </c>
      <c r="U23" s="5">
        <f t="shared" si="16"/>
        <v>40.451612903225808</v>
      </c>
      <c r="V23" s="5">
        <f t="shared" si="16"/>
        <v>40.451612903225808</v>
      </c>
      <c r="W23" s="5">
        <f t="shared" si="16"/>
        <v>40.451612903225808</v>
      </c>
      <c r="X23" s="5">
        <f t="shared" si="16"/>
        <v>40.451612903225808</v>
      </c>
      <c r="Y23" s="5">
        <f t="shared" si="16"/>
        <v>40.451612903225808</v>
      </c>
      <c r="Z23" s="5">
        <f t="shared" si="16"/>
        <v>40.451612903225808</v>
      </c>
      <c r="AA23" s="5">
        <f t="shared" si="16"/>
        <v>40.451612903225808</v>
      </c>
      <c r="AB23" s="5">
        <f t="shared" si="16"/>
        <v>40.451612903225808</v>
      </c>
      <c r="AC23" s="5">
        <f t="shared" si="16"/>
        <v>40.451612903225808</v>
      </c>
      <c r="AD23" s="5">
        <f t="shared" si="16"/>
        <v>40.451612903225808</v>
      </c>
      <c r="AE23" s="5">
        <f t="shared" si="16"/>
        <v>40.451612903225808</v>
      </c>
      <c r="AF23" s="5">
        <f t="shared" si="16"/>
        <v>40.451612903225808</v>
      </c>
      <c r="AG23" s="5">
        <f t="shared" si="16"/>
        <v>40.451612903225808</v>
      </c>
      <c r="AH23" s="5">
        <f t="shared" si="16"/>
        <v>40.451612903225808</v>
      </c>
      <c r="AI23" s="5">
        <f t="shared" si="16"/>
        <v>40.451612903225808</v>
      </c>
      <c r="AJ23" s="5">
        <f t="shared" ref="AJ23" si="17">SUM(AJ14:AJ22)</f>
        <v>40.451612903225808</v>
      </c>
      <c r="AK23" s="5">
        <f t="shared" si="16"/>
        <v>40.451612903225808</v>
      </c>
      <c r="AL23" s="419"/>
      <c r="AM23" s="43">
        <f>SUM(AM14:AM22)</f>
        <v>0</v>
      </c>
      <c r="AN23" s="74">
        <f t="shared" si="4"/>
        <v>0</v>
      </c>
      <c r="AO23" s="419"/>
      <c r="AP23" s="5">
        <f>SUM(AP14:AP22)</f>
        <v>1254.0000000000007</v>
      </c>
      <c r="AQ23" s="70">
        <f>SUM(AQ14:AQ22)</f>
        <v>0.99999999999999989</v>
      </c>
    </row>
    <row r="24" spans="2:43" s="13" customFormat="1" ht="15" x14ac:dyDescent="0.2">
      <c r="B24" s="17"/>
      <c r="C24" s="18"/>
      <c r="D24" s="19"/>
      <c r="E24" s="19"/>
      <c r="F24" s="20"/>
      <c r="G24" s="19"/>
      <c r="H24" s="19"/>
      <c r="I24" s="19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6"/>
      <c r="AM24" s="16"/>
      <c r="AN24" s="16"/>
      <c r="AO24" s="16"/>
      <c r="AP24" s="19"/>
      <c r="AQ24" s="20"/>
    </row>
    <row r="25" spans="2:43" s="13" customFormat="1" ht="15" x14ac:dyDescent="0.2">
      <c r="B25" s="1"/>
      <c r="C25" s="3" t="s">
        <v>27</v>
      </c>
      <c r="D25" s="31"/>
      <c r="E25" s="31"/>
      <c r="F25" s="32"/>
      <c r="G25" s="413">
        <f t="shared" ref="G25:AK25" si="18">G8-G23</f>
        <v>17.790107526881712</v>
      </c>
      <c r="H25" s="413">
        <f t="shared" si="18"/>
        <v>11.566774193548376</v>
      </c>
      <c r="I25" s="5">
        <f t="shared" si="18"/>
        <v>17.865107526881715</v>
      </c>
      <c r="J25" s="5">
        <f t="shared" si="18"/>
        <v>16.596774193548377</v>
      </c>
      <c r="K25" s="5">
        <f t="shared" si="18"/>
        <v>20.100107526881715</v>
      </c>
      <c r="L25" s="5">
        <f t="shared" si="18"/>
        <v>20.400107526881712</v>
      </c>
      <c r="M25" s="5">
        <f t="shared" si="18"/>
        <v>16.596774193548377</v>
      </c>
      <c r="N25" s="5">
        <f t="shared" si="18"/>
        <v>15.691774193548376</v>
      </c>
      <c r="O25" s="5">
        <f t="shared" si="18"/>
        <v>31.335107526881714</v>
      </c>
      <c r="P25" s="5">
        <f t="shared" si="18"/>
        <v>18.255107526881709</v>
      </c>
      <c r="Q25" s="5">
        <f t="shared" si="18"/>
        <v>38.895107526881716</v>
      </c>
      <c r="R25" s="5">
        <f t="shared" si="18"/>
        <v>23.16010752688171</v>
      </c>
      <c r="S25" s="5">
        <f t="shared" si="18"/>
        <v>24.810107526881708</v>
      </c>
      <c r="T25" s="5">
        <f t="shared" si="18"/>
        <v>13.441774193548376</v>
      </c>
      <c r="U25" s="5">
        <f t="shared" si="18"/>
        <v>13.456774193548377</v>
      </c>
      <c r="V25" s="5">
        <f t="shared" si="18"/>
        <v>19.650107526881712</v>
      </c>
      <c r="W25" s="5">
        <f>W8-W23</f>
        <v>18.495107526881711</v>
      </c>
      <c r="X25" s="5">
        <f t="shared" si="18"/>
        <v>25.650107526881712</v>
      </c>
      <c r="Y25" s="5">
        <f t="shared" si="18"/>
        <v>16.596774193548377</v>
      </c>
      <c r="Z25" s="5">
        <f t="shared" si="18"/>
        <v>-1.588225806451625</v>
      </c>
      <c r="AA25" s="5">
        <f t="shared" si="18"/>
        <v>-5.0082258064516196</v>
      </c>
      <c r="AB25" s="5">
        <f t="shared" si="18"/>
        <v>19.080107526881712</v>
      </c>
      <c r="AC25" s="5">
        <f t="shared" si="18"/>
        <v>9.526774193548377</v>
      </c>
      <c r="AD25" s="5">
        <f t="shared" si="18"/>
        <v>29.670107526881722</v>
      </c>
      <c r="AE25" s="5">
        <f t="shared" si="18"/>
        <v>4.4567741935483767</v>
      </c>
      <c r="AF25" s="5">
        <f t="shared" si="18"/>
        <v>4.4717741935483701</v>
      </c>
      <c r="AG25" s="5">
        <f t="shared" si="18"/>
        <v>10.306774193548378</v>
      </c>
      <c r="AH25" s="5">
        <f t="shared" si="18"/>
        <v>-18.583225806451622</v>
      </c>
      <c r="AI25" s="5">
        <f t="shared" si="18"/>
        <v>16.596774193548377</v>
      </c>
      <c r="AJ25" s="5">
        <f t="shared" ref="AJ25" si="19">AJ8-AJ23</f>
        <v>11.581774193548377</v>
      </c>
      <c r="AK25" s="5">
        <f t="shared" si="18"/>
        <v>14.341774193548375</v>
      </c>
      <c r="AL25" s="419"/>
      <c r="AM25" s="3"/>
      <c r="AN25" s="3"/>
      <c r="AO25" s="419"/>
      <c r="AP25" s="5"/>
      <c r="AQ25" s="12"/>
    </row>
    <row r="26" spans="2:43" s="13" customFormat="1" ht="15" x14ac:dyDescent="0.2">
      <c r="C26" s="16"/>
      <c r="D26" s="14"/>
      <c r="E26" s="14"/>
      <c r="F26" s="28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419"/>
      <c r="AM26" s="419"/>
      <c r="AN26" s="419"/>
      <c r="AO26" s="419"/>
      <c r="AP26" s="14"/>
      <c r="AQ26" s="28"/>
    </row>
    <row r="27" spans="2:43" s="13" customFormat="1" ht="15" x14ac:dyDescent="0.2">
      <c r="B27" s="22"/>
      <c r="C27" s="23" t="s">
        <v>20</v>
      </c>
      <c r="D27" s="24"/>
      <c r="E27" s="24"/>
      <c r="F27" s="25"/>
      <c r="G27" s="24"/>
      <c r="H27" s="24"/>
      <c r="I27" s="24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16"/>
      <c r="AM27" s="16"/>
      <c r="AN27" s="16"/>
      <c r="AO27" s="16"/>
      <c r="AP27" s="24"/>
      <c r="AQ27" s="25"/>
    </row>
    <row r="28" spans="2:43" ht="15" x14ac:dyDescent="0.2">
      <c r="B28" s="1">
        <v>10</v>
      </c>
      <c r="C28" s="1" t="s">
        <v>8</v>
      </c>
      <c r="D28" s="6">
        <v>350</v>
      </c>
      <c r="E28" s="6">
        <f>D28/31</f>
        <v>11.290322580645162</v>
      </c>
      <c r="F28" s="10">
        <f t="shared" ref="F28:F33" si="20">D28/$D$34</f>
        <v>0.68027210884353739</v>
      </c>
      <c r="G28" s="6">
        <f>$G$25*F28</f>
        <v>12.10211396386511</v>
      </c>
      <c r="H28" s="6">
        <f>$H$25*F28</f>
        <v>7.8685538731621607</v>
      </c>
      <c r="I28" s="6">
        <f>$I$25*F28</f>
        <v>12.153134372028378</v>
      </c>
      <c r="J28" s="6">
        <f>$J$25*F28</f>
        <v>11.290322580645155</v>
      </c>
      <c r="K28" s="6">
        <f>$K$25*F28</f>
        <v>13.673542535293683</v>
      </c>
      <c r="L28" s="6">
        <f>$L$25*F28</f>
        <v>13.877624167946742</v>
      </c>
      <c r="M28" s="6">
        <f>$M$25*F28</f>
        <v>11.290322580645155</v>
      </c>
      <c r="N28" s="6">
        <f>$N$25*F28</f>
        <v>10.674676322141751</v>
      </c>
      <c r="O28" s="6">
        <f>$O$25*F28</f>
        <v>21.316399678150827</v>
      </c>
      <c r="P28" s="6">
        <f>$P$25*F28</f>
        <v>12.418440494477352</v>
      </c>
      <c r="Q28" s="6">
        <f>$Q$25*F28</f>
        <v>26.459256821007969</v>
      </c>
      <c r="R28" s="6">
        <f>$R$25*F28</f>
        <v>15.755175188354904</v>
      </c>
      <c r="S28" s="6">
        <f>$S$25*F28</f>
        <v>16.877624167946738</v>
      </c>
      <c r="T28" s="6">
        <f>$T$25*F28</f>
        <v>9.1440640772437938</v>
      </c>
      <c r="U28" s="6">
        <f>$U$25*F28</f>
        <v>9.1542681588764463</v>
      </c>
      <c r="V28" s="6">
        <f>$V$25*F28</f>
        <v>13.367420086314089</v>
      </c>
      <c r="W28" s="6">
        <f>$W$25*F28</f>
        <v>12.581705800599803</v>
      </c>
      <c r="X28" s="6">
        <f>$X$25*F28</f>
        <v>17.449052739375315</v>
      </c>
      <c r="Y28" s="6">
        <f>$Y$25*F28</f>
        <v>11.290322580645155</v>
      </c>
      <c r="Z28" s="6">
        <f>$Z$25*F28</f>
        <v>-1.0804257186745747</v>
      </c>
      <c r="AA28" s="6">
        <f>$AA$25*F28</f>
        <v>-3.4069563309194688</v>
      </c>
      <c r="AB28" s="6">
        <f>$AB$25*F28</f>
        <v>12.979664984273272</v>
      </c>
      <c r="AC28" s="6">
        <f>$AC$25*F28</f>
        <v>6.4807987711213446</v>
      </c>
      <c r="AD28" s="6">
        <f>$AD$25*F28</f>
        <v>20.183746616926342</v>
      </c>
      <c r="AE28" s="6">
        <f>$AE$25*F28</f>
        <v>3.0318191792846099</v>
      </c>
      <c r="AF28" s="6">
        <f>$AF$25*F28</f>
        <v>3.0420232609172584</v>
      </c>
      <c r="AG28" s="6">
        <f>$AG$25*F28</f>
        <v>7.0114110160193048</v>
      </c>
      <c r="AH28" s="6">
        <f>$AH$25*F28</f>
        <v>-12.641650208470491</v>
      </c>
      <c r="AI28" s="6">
        <f>$AI$25*F28</f>
        <v>11.290322580645155</v>
      </c>
      <c r="AJ28" s="6">
        <f>$AJ$25*F28</f>
        <v>7.8787579547948141</v>
      </c>
      <c r="AK28" s="6">
        <f>$AK$25*F28</f>
        <v>9.756308975202975</v>
      </c>
      <c r="AM28" s="43">
        <v>0</v>
      </c>
      <c r="AN28" s="74">
        <f t="shared" ref="AN28:AN34" si="21">AM28/D28</f>
        <v>0</v>
      </c>
      <c r="AP28" s="5">
        <f t="shared" ref="AP28:AP33" si="22">SUM(G28:AK28)</f>
        <v>323.26984126984098</v>
      </c>
      <c r="AQ28" s="70">
        <f t="shared" ref="AQ28:AQ33" si="23">AP28/$AP$34</f>
        <v>0.67754211892955252</v>
      </c>
    </row>
    <row r="29" spans="2:43" ht="15" x14ac:dyDescent="0.2">
      <c r="B29" s="1">
        <v>11</v>
      </c>
      <c r="C29" s="1" t="s">
        <v>30</v>
      </c>
      <c r="D29" s="6">
        <v>50</v>
      </c>
      <c r="E29" s="6">
        <f t="shared" ref="E29:E32" si="24">D29/31</f>
        <v>1.6129032258064515</v>
      </c>
      <c r="F29" s="10">
        <f t="shared" si="20"/>
        <v>9.7181729834791064E-2</v>
      </c>
      <c r="G29" s="6">
        <f t="shared" ref="G29:G33" si="25">$G$25*F29</f>
        <v>1.7288734234093015</v>
      </c>
      <c r="H29" s="6">
        <f t="shared" ref="H29:H33" si="26">$H$25*F29</f>
        <v>1.1240791247374515</v>
      </c>
      <c r="I29" s="6">
        <f t="shared" ref="I29:I33" si="27">$I$25*F29</f>
        <v>1.7361620531469111</v>
      </c>
      <c r="J29" s="6">
        <f t="shared" ref="J29:J33" si="28">$J$25*F29</f>
        <v>1.6129032258064506</v>
      </c>
      <c r="K29" s="6">
        <f t="shared" ref="K29:K33" si="29">$K$25*F29</f>
        <v>1.9533632193276691</v>
      </c>
      <c r="L29" s="6">
        <f t="shared" ref="L29:L33" si="30">$L$25*F29</f>
        <v>1.9825177382781063</v>
      </c>
      <c r="M29" s="6">
        <f t="shared" ref="M29:M33" si="31">$M$25*F29</f>
        <v>1.6129032258064506</v>
      </c>
      <c r="N29" s="6">
        <f t="shared" ref="N29:N33" si="32">$N$25*F29</f>
        <v>1.5249537603059646</v>
      </c>
      <c r="O29" s="6">
        <f t="shared" ref="O29:O33" si="33">$O$25*F29</f>
        <v>3.0451999540215469</v>
      </c>
      <c r="P29" s="6">
        <f t="shared" ref="P29:P33" si="34">$P$25*F29</f>
        <v>1.7740629277824791</v>
      </c>
      <c r="Q29" s="6">
        <f t="shared" ref="Q29:Q33" si="35">$Q$25*F29</f>
        <v>3.7798938315725672</v>
      </c>
      <c r="R29" s="6">
        <f t="shared" ref="R29:R33" si="36">$R$25*F29</f>
        <v>2.2507393126221293</v>
      </c>
      <c r="S29" s="6">
        <f t="shared" ref="S29:S33" si="37">$S$25*F29</f>
        <v>2.4110891668495347</v>
      </c>
      <c r="T29" s="6">
        <f t="shared" ref="T29:T33" si="38">$T$25*F29</f>
        <v>1.3062948681776849</v>
      </c>
      <c r="U29" s="6">
        <f t="shared" ref="U29:U33" si="39">$U$25*F29</f>
        <v>1.3077525941252068</v>
      </c>
      <c r="V29" s="6">
        <f t="shared" ref="V29:V33" si="40">$V$25*F29</f>
        <v>1.909631440902013</v>
      </c>
      <c r="W29" s="6">
        <f t="shared" ref="W29:W33" si="41">$W$25*F29</f>
        <v>1.7973865429428291</v>
      </c>
      <c r="X29" s="6">
        <f t="shared" ref="X29:X33" si="42">$X$25*F29</f>
        <v>2.4927218199107593</v>
      </c>
      <c r="Y29" s="6">
        <f t="shared" ref="Y29:Y33" si="43">$Y$25*F29</f>
        <v>1.6129032258064506</v>
      </c>
      <c r="Z29" s="6">
        <f t="shared" ref="Z29:Z33" si="44">$Z$25*F29</f>
        <v>-0.15434653123922498</v>
      </c>
      <c r="AA29" s="6">
        <f t="shared" ref="AA29:AA33" si="45">$AA$25*F29</f>
        <v>-0.48670804727420991</v>
      </c>
      <c r="AB29" s="6">
        <f t="shared" ref="AB29:AB33" si="46">$AB$25*F29</f>
        <v>1.854237854896182</v>
      </c>
      <c r="AC29" s="6">
        <f t="shared" ref="AC29:AC33" si="47">$AC$25*F29</f>
        <v>0.92582839587447785</v>
      </c>
      <c r="AD29" s="6">
        <f t="shared" ref="AD29:AD33" si="48">$AD$25*F29</f>
        <v>2.8833923738466205</v>
      </c>
      <c r="AE29" s="6">
        <f t="shared" ref="AE29:AE33" si="49">$AE$25*F29</f>
        <v>0.43311702561208715</v>
      </c>
      <c r="AF29" s="6">
        <f t="shared" ref="AF29:AF33" si="50">$AF$25*F29</f>
        <v>0.4345747515596084</v>
      </c>
      <c r="AG29" s="6">
        <f t="shared" ref="AG29:AG33" si="51">$AG$25*F29</f>
        <v>1.0016301451456151</v>
      </c>
      <c r="AH29" s="6">
        <f t="shared" ref="AH29:AH33" si="52">$AH$25*F29</f>
        <v>-1.8059500297814988</v>
      </c>
      <c r="AI29" s="6">
        <f t="shared" ref="AI29:AI33" si="53">$AI$25*F29</f>
        <v>1.6129032258064506</v>
      </c>
      <c r="AJ29" s="6">
        <f t="shared" ref="AJ29:AJ31" si="54">$AJ$25*F29</f>
        <v>1.1255368506849734</v>
      </c>
      <c r="AK29" s="6">
        <f t="shared" ref="AK29:AK33" si="55">$AK$25*F29</f>
        <v>1.3937584250289967</v>
      </c>
      <c r="AM29" s="43">
        <v>0</v>
      </c>
      <c r="AN29" s="74">
        <f t="shared" si="21"/>
        <v>0</v>
      </c>
      <c r="AP29" s="5">
        <f t="shared" si="22"/>
        <v>46.181405895691569</v>
      </c>
      <c r="AQ29" s="70">
        <f t="shared" si="23"/>
        <v>9.6791731275650369E-2</v>
      </c>
    </row>
    <row r="30" spans="2:43" ht="15" x14ac:dyDescent="0.2">
      <c r="B30" s="1">
        <v>12</v>
      </c>
      <c r="C30" s="1" t="s">
        <v>9</v>
      </c>
      <c r="D30" s="6">
        <v>38</v>
      </c>
      <c r="E30" s="6">
        <f t="shared" si="24"/>
        <v>1.2258064516129032</v>
      </c>
      <c r="F30" s="10">
        <f t="shared" si="20"/>
        <v>7.38581146744412E-2</v>
      </c>
      <c r="G30" s="6">
        <f t="shared" si="25"/>
        <v>1.313943801791069</v>
      </c>
      <c r="H30" s="6">
        <f t="shared" si="26"/>
        <v>0.85430013480046307</v>
      </c>
      <c r="I30" s="6">
        <f t="shared" si="27"/>
        <v>1.3194831603916524</v>
      </c>
      <c r="J30" s="6">
        <f t="shared" si="28"/>
        <v>1.2258064516129024</v>
      </c>
      <c r="K30" s="6">
        <f t="shared" si="29"/>
        <v>1.4845560466890284</v>
      </c>
      <c r="L30" s="6">
        <f t="shared" si="30"/>
        <v>1.5067134810913605</v>
      </c>
      <c r="M30" s="6">
        <f t="shared" si="31"/>
        <v>1.2258064516129024</v>
      </c>
      <c r="N30" s="6">
        <f t="shared" si="32"/>
        <v>1.1589648578325331</v>
      </c>
      <c r="O30" s="6">
        <f t="shared" si="33"/>
        <v>2.3143519650563751</v>
      </c>
      <c r="P30" s="6">
        <f t="shared" si="34"/>
        <v>1.3482878251146839</v>
      </c>
      <c r="Q30" s="6">
        <f t="shared" si="35"/>
        <v>2.8727193119951511</v>
      </c>
      <c r="R30" s="6">
        <f t="shared" si="36"/>
        <v>1.7105618775928182</v>
      </c>
      <c r="S30" s="6">
        <f t="shared" si="37"/>
        <v>1.8324277668056459</v>
      </c>
      <c r="T30" s="6">
        <f t="shared" si="38"/>
        <v>0.99278409981504034</v>
      </c>
      <c r="U30" s="6">
        <f t="shared" si="39"/>
        <v>0.99389197153515696</v>
      </c>
      <c r="V30" s="6">
        <f t="shared" si="40"/>
        <v>1.4513198950855297</v>
      </c>
      <c r="W30" s="6">
        <f t="shared" si="41"/>
        <v>1.36601377263655</v>
      </c>
      <c r="X30" s="6">
        <f t="shared" si="42"/>
        <v>1.8944685831321768</v>
      </c>
      <c r="Y30" s="6">
        <f t="shared" si="43"/>
        <v>1.2258064516129024</v>
      </c>
      <c r="Z30" s="6">
        <f t="shared" si="44"/>
        <v>-0.11730336374181098</v>
      </c>
      <c r="AA30" s="6">
        <f t="shared" si="45"/>
        <v>-0.3698981159283995</v>
      </c>
      <c r="AB30" s="6">
        <f t="shared" si="46"/>
        <v>1.4092207697210981</v>
      </c>
      <c r="AC30" s="6">
        <f t="shared" si="47"/>
        <v>0.70362958086460314</v>
      </c>
      <c r="AD30" s="6">
        <f t="shared" si="48"/>
        <v>2.1913782041234313</v>
      </c>
      <c r="AE30" s="6">
        <f t="shared" si="49"/>
        <v>0.32916893946518622</v>
      </c>
      <c r="AF30" s="6">
        <f t="shared" si="50"/>
        <v>0.33027681118530233</v>
      </c>
      <c r="AG30" s="6">
        <f t="shared" si="51"/>
        <v>0.76123891031066737</v>
      </c>
      <c r="AH30" s="6">
        <f t="shared" si="52"/>
        <v>-1.372522022633939</v>
      </c>
      <c r="AI30" s="6">
        <f t="shared" si="53"/>
        <v>1.2258064516129024</v>
      </c>
      <c r="AJ30" s="6">
        <f t="shared" si="54"/>
        <v>0.8554080065205798</v>
      </c>
      <c r="AK30" s="6">
        <f t="shared" si="55"/>
        <v>1.0592564030220373</v>
      </c>
      <c r="AM30" s="43">
        <v>0</v>
      </c>
      <c r="AN30" s="74">
        <f t="shared" si="21"/>
        <v>0</v>
      </c>
      <c r="AP30" s="5">
        <f t="shared" si="22"/>
        <v>35.097868480725602</v>
      </c>
      <c r="AQ30" s="70">
        <f t="shared" si="23"/>
        <v>7.3561715769494301E-2</v>
      </c>
    </row>
    <row r="31" spans="2:43" ht="15" x14ac:dyDescent="0.2">
      <c r="B31" s="1">
        <v>13</v>
      </c>
      <c r="C31" s="1" t="s">
        <v>10</v>
      </c>
      <c r="D31" s="6">
        <v>12</v>
      </c>
      <c r="E31" s="6">
        <f t="shared" si="24"/>
        <v>0.38709677419354838</v>
      </c>
      <c r="F31" s="10">
        <f t="shared" si="20"/>
        <v>2.3323615160349854E-2</v>
      </c>
      <c r="G31" s="6">
        <f t="shared" si="25"/>
        <v>0.41492962161823232</v>
      </c>
      <c r="H31" s="6">
        <f t="shared" si="26"/>
        <v>0.26977898993698834</v>
      </c>
      <c r="I31" s="6">
        <f t="shared" si="27"/>
        <v>0.41667889275525866</v>
      </c>
      <c r="J31" s="6">
        <f t="shared" si="28"/>
        <v>0.38709677419354815</v>
      </c>
      <c r="K31" s="6">
        <f t="shared" si="29"/>
        <v>0.46880717263864058</v>
      </c>
      <c r="L31" s="6">
        <f t="shared" si="30"/>
        <v>0.47580425718674546</v>
      </c>
      <c r="M31" s="6">
        <f t="shared" si="31"/>
        <v>0.38709677419354815</v>
      </c>
      <c r="N31" s="6">
        <f t="shared" si="32"/>
        <v>0.36598890247343152</v>
      </c>
      <c r="O31" s="6">
        <f t="shared" si="33"/>
        <v>0.73084798896517111</v>
      </c>
      <c r="P31" s="6">
        <f t="shared" si="34"/>
        <v>0.42577510266779495</v>
      </c>
      <c r="Q31" s="6">
        <f t="shared" si="35"/>
        <v>0.90717451957741613</v>
      </c>
      <c r="R31" s="6">
        <f t="shared" si="36"/>
        <v>0.54017743502931104</v>
      </c>
      <c r="S31" s="6">
        <f t="shared" si="37"/>
        <v>0.57866140004388822</v>
      </c>
      <c r="T31" s="6">
        <f t="shared" si="38"/>
        <v>0.31351076836264435</v>
      </c>
      <c r="U31" s="6">
        <f t="shared" si="39"/>
        <v>0.3138606225900496</v>
      </c>
      <c r="V31" s="6">
        <f t="shared" si="40"/>
        <v>0.45831154581648309</v>
      </c>
      <c r="W31" s="6">
        <f t="shared" si="41"/>
        <v>0.43137277030627896</v>
      </c>
      <c r="X31" s="6">
        <f t="shared" si="42"/>
        <v>0.59825323677858222</v>
      </c>
      <c r="Y31" s="6">
        <f t="shared" si="43"/>
        <v>0.38709677419354815</v>
      </c>
      <c r="Z31" s="6">
        <f t="shared" si="44"/>
        <v>-3.7043167497413994E-2</v>
      </c>
      <c r="AA31" s="6">
        <f t="shared" si="45"/>
        <v>-0.11680993134581037</v>
      </c>
      <c r="AB31" s="6">
        <f t="shared" si="46"/>
        <v>0.44501708517508365</v>
      </c>
      <c r="AC31" s="6">
        <f t="shared" si="47"/>
        <v>0.22219881500987468</v>
      </c>
      <c r="AD31" s="6">
        <f t="shared" si="48"/>
        <v>0.69201416972318885</v>
      </c>
      <c r="AE31" s="6">
        <f t="shared" si="49"/>
        <v>0.10394808614690092</v>
      </c>
      <c r="AF31" s="6">
        <f t="shared" si="50"/>
        <v>0.10429794037430601</v>
      </c>
      <c r="AG31" s="6">
        <f t="shared" si="51"/>
        <v>0.24039123483494759</v>
      </c>
      <c r="AH31" s="6">
        <f t="shared" si="52"/>
        <v>-0.43342800714755969</v>
      </c>
      <c r="AI31" s="6">
        <f t="shared" si="53"/>
        <v>0.38709677419354815</v>
      </c>
      <c r="AJ31" s="6">
        <f t="shared" si="54"/>
        <v>0.27012884416439364</v>
      </c>
      <c r="AK31" s="6">
        <f t="shared" si="55"/>
        <v>0.33450202200695917</v>
      </c>
      <c r="AM31" s="43">
        <v>0</v>
      </c>
      <c r="AN31" s="74">
        <f t="shared" si="21"/>
        <v>0</v>
      </c>
      <c r="AP31" s="5">
        <f t="shared" si="22"/>
        <v>11.083537414965974</v>
      </c>
      <c r="AQ31" s="70">
        <f t="shared" si="23"/>
        <v>2.3230015506156082E-2</v>
      </c>
    </row>
    <row r="32" spans="2:43" ht="15" x14ac:dyDescent="0.2">
      <c r="B32" s="1">
        <v>14</v>
      </c>
      <c r="C32" s="1" t="s">
        <v>85</v>
      </c>
      <c r="D32" s="6">
        <v>24.5</v>
      </c>
      <c r="E32" s="6">
        <f t="shared" si="24"/>
        <v>0.79032258064516125</v>
      </c>
      <c r="F32" s="10">
        <f t="shared" si="20"/>
        <v>4.7619047619047616E-2</v>
      </c>
      <c r="G32" s="6">
        <f t="shared" si="25"/>
        <v>0.8471479774705577</v>
      </c>
      <c r="H32" s="6">
        <f t="shared" si="26"/>
        <v>0.55079877112135123</v>
      </c>
      <c r="I32" s="6">
        <f t="shared" si="27"/>
        <v>0.85071940604198637</v>
      </c>
      <c r="J32" s="6">
        <f t="shared" si="28"/>
        <v>0.79032258064516081</v>
      </c>
      <c r="K32" s="6">
        <f t="shared" si="29"/>
        <v>0.9571479774705578</v>
      </c>
      <c r="L32" s="6">
        <f t="shared" si="30"/>
        <v>0.97143369175627192</v>
      </c>
      <c r="M32" s="6">
        <f t="shared" si="31"/>
        <v>0.79032258064516081</v>
      </c>
      <c r="N32" s="6">
        <f t="shared" si="32"/>
        <v>0.74722734254992262</v>
      </c>
      <c r="O32" s="6">
        <f t="shared" si="33"/>
        <v>1.4921479774705577</v>
      </c>
      <c r="P32" s="6">
        <f t="shared" si="34"/>
        <v>0.86929083461341461</v>
      </c>
      <c r="Q32" s="6">
        <f t="shared" si="35"/>
        <v>1.8521479774705578</v>
      </c>
      <c r="R32" s="6">
        <f t="shared" si="36"/>
        <v>1.1028622631848433</v>
      </c>
      <c r="S32" s="6">
        <f t="shared" si="37"/>
        <v>1.1814336917562718</v>
      </c>
      <c r="T32" s="6">
        <f t="shared" si="38"/>
        <v>0.64008448540706553</v>
      </c>
      <c r="U32" s="6">
        <f t="shared" si="39"/>
        <v>0.6407987711213512</v>
      </c>
      <c r="V32" s="6">
        <f t="shared" si="40"/>
        <v>0.93571940604198622</v>
      </c>
      <c r="W32" s="6">
        <f t="shared" si="41"/>
        <v>0.88071940604198617</v>
      </c>
      <c r="X32" s="6">
        <f t="shared" si="42"/>
        <v>1.221433691756272</v>
      </c>
      <c r="Y32" s="6">
        <f t="shared" si="43"/>
        <v>0.79032258064516081</v>
      </c>
      <c r="Z32" s="6">
        <f t="shared" si="44"/>
        <v>-7.5629800307220232E-2</v>
      </c>
      <c r="AA32" s="6">
        <f t="shared" si="45"/>
        <v>-0.23848694316436284</v>
      </c>
      <c r="AB32" s="6">
        <f t="shared" si="46"/>
        <v>0.90857654889912909</v>
      </c>
      <c r="AC32" s="6">
        <f t="shared" si="47"/>
        <v>0.45365591397849414</v>
      </c>
      <c r="AD32" s="6">
        <f t="shared" si="48"/>
        <v>1.4128622631848438</v>
      </c>
      <c r="AE32" s="6">
        <f t="shared" si="49"/>
        <v>0.21222734254992268</v>
      </c>
      <c r="AF32" s="6">
        <f t="shared" si="50"/>
        <v>0.21294162826420809</v>
      </c>
      <c r="AG32" s="6">
        <f t="shared" si="51"/>
        <v>0.49079877112135128</v>
      </c>
      <c r="AH32" s="6">
        <f t="shared" si="52"/>
        <v>-0.88491551459293438</v>
      </c>
      <c r="AI32" s="6">
        <f t="shared" si="53"/>
        <v>0.79032258064516081</v>
      </c>
      <c r="AJ32" s="6">
        <f>$AJ$25*AF32</f>
        <v>2.4662418549625769</v>
      </c>
      <c r="AK32" s="6">
        <f t="shared" si="55"/>
        <v>0.68294162826420823</v>
      </c>
      <c r="AM32" s="43">
        <v>0</v>
      </c>
      <c r="AN32" s="74">
        <f t="shared" si="21"/>
        <v>0</v>
      </c>
      <c r="AP32" s="5">
        <f t="shared" si="22"/>
        <v>24.543617687015818</v>
      </c>
      <c r="AQ32" s="70">
        <f t="shared" si="23"/>
        <v>5.1441033498626436E-2</v>
      </c>
    </row>
    <row r="33" spans="2:43" ht="15" x14ac:dyDescent="0.2">
      <c r="B33" s="1">
        <v>15</v>
      </c>
      <c r="C33" s="1" t="s">
        <v>86</v>
      </c>
      <c r="D33" s="6">
        <v>40</v>
      </c>
      <c r="E33" s="6">
        <f>D33/31</f>
        <v>1.2903225806451613</v>
      </c>
      <c r="F33" s="10">
        <f t="shared" si="20"/>
        <v>7.7745383867832848E-2</v>
      </c>
      <c r="G33" s="6">
        <f t="shared" si="25"/>
        <v>1.3830987387274412</v>
      </c>
      <c r="H33" s="6">
        <f t="shared" si="26"/>
        <v>0.89926329978996122</v>
      </c>
      <c r="I33" s="6">
        <f t="shared" si="27"/>
        <v>1.3889296425175288</v>
      </c>
      <c r="J33" s="6">
        <f t="shared" si="28"/>
        <v>1.2903225806451606</v>
      </c>
      <c r="K33" s="6">
        <f t="shared" si="29"/>
        <v>1.5626905754621352</v>
      </c>
      <c r="L33" s="6">
        <f t="shared" si="30"/>
        <v>1.5860141906224849</v>
      </c>
      <c r="M33" s="6">
        <f t="shared" si="31"/>
        <v>1.2903225806451606</v>
      </c>
      <c r="N33" s="6">
        <f t="shared" si="32"/>
        <v>1.2199630082447717</v>
      </c>
      <c r="O33" s="6">
        <f t="shared" si="33"/>
        <v>2.4361599632172375</v>
      </c>
      <c r="P33" s="6">
        <f t="shared" si="34"/>
        <v>1.4192503422259832</v>
      </c>
      <c r="Q33" s="6">
        <f t="shared" si="35"/>
        <v>3.0239150652580538</v>
      </c>
      <c r="R33" s="6">
        <f t="shared" si="36"/>
        <v>1.8005914500977034</v>
      </c>
      <c r="S33" s="6">
        <f t="shared" si="37"/>
        <v>1.9288713334796275</v>
      </c>
      <c r="T33" s="6">
        <f t="shared" si="38"/>
        <v>1.0450358945421478</v>
      </c>
      <c r="U33" s="6">
        <f t="shared" si="39"/>
        <v>1.0462020753001653</v>
      </c>
      <c r="V33" s="6">
        <f t="shared" si="40"/>
        <v>1.5277051527216103</v>
      </c>
      <c r="W33" s="6">
        <f t="shared" si="41"/>
        <v>1.4379092343542632</v>
      </c>
      <c r="X33" s="6">
        <f t="shared" si="42"/>
        <v>1.9941774559286074</v>
      </c>
      <c r="Y33" s="6">
        <f t="shared" si="43"/>
        <v>1.2903225806451606</v>
      </c>
      <c r="Z33" s="6">
        <f t="shared" si="44"/>
        <v>-0.12347722499137999</v>
      </c>
      <c r="AA33" s="6">
        <f t="shared" si="45"/>
        <v>-0.38936643781936792</v>
      </c>
      <c r="AB33" s="6">
        <f t="shared" si="46"/>
        <v>1.4833902839169455</v>
      </c>
      <c r="AC33" s="6">
        <f t="shared" si="47"/>
        <v>0.74066271669958228</v>
      </c>
      <c r="AD33" s="6">
        <f t="shared" si="48"/>
        <v>2.3067138990772964</v>
      </c>
      <c r="AE33" s="6">
        <f t="shared" si="49"/>
        <v>0.3464936204896697</v>
      </c>
      <c r="AF33" s="6">
        <f t="shared" si="50"/>
        <v>0.3476598012476867</v>
      </c>
      <c r="AG33" s="6">
        <f t="shared" si="51"/>
        <v>0.80130411611649199</v>
      </c>
      <c r="AH33" s="6">
        <f t="shared" si="52"/>
        <v>-1.444760023825199</v>
      </c>
      <c r="AI33" s="6">
        <f t="shared" si="53"/>
        <v>1.2903225806451606</v>
      </c>
      <c r="AJ33" s="6">
        <f>$AJ$25*F33</f>
        <v>0.90042948054797878</v>
      </c>
      <c r="AK33" s="6">
        <f t="shared" si="55"/>
        <v>1.1150067400231973</v>
      </c>
      <c r="AM33" s="43">
        <v>0</v>
      </c>
      <c r="AN33" s="74">
        <f t="shared" si="21"/>
        <v>0</v>
      </c>
      <c r="AP33" s="5">
        <f t="shared" si="22"/>
        <v>36.945124716553259</v>
      </c>
      <c r="AQ33" s="70">
        <f t="shared" si="23"/>
        <v>7.7433385020520301E-2</v>
      </c>
    </row>
    <row r="34" spans="2:43" ht="15" x14ac:dyDescent="0.2">
      <c r="B34" s="1"/>
      <c r="C34" s="3" t="s">
        <v>18</v>
      </c>
      <c r="D34" s="26">
        <f>SUM(D28:D33)</f>
        <v>514.5</v>
      </c>
      <c r="E34" s="39">
        <f>SUM(E28:E33)</f>
        <v>16.596774193548388</v>
      </c>
      <c r="F34" s="15">
        <f>SUM(F28:F33)</f>
        <v>1</v>
      </c>
      <c r="G34" s="5">
        <f t="shared" ref="G34:AM34" si="56">SUM(G28:G33)</f>
        <v>17.790107526881712</v>
      </c>
      <c r="H34" s="5">
        <f t="shared" si="56"/>
        <v>11.566774193548376</v>
      </c>
      <c r="I34" s="5">
        <f t="shared" si="56"/>
        <v>17.865107526881715</v>
      </c>
      <c r="J34" s="5">
        <f t="shared" si="56"/>
        <v>16.596774193548377</v>
      </c>
      <c r="K34" s="5">
        <f t="shared" si="56"/>
        <v>20.100107526881715</v>
      </c>
      <c r="L34" s="5">
        <f t="shared" si="56"/>
        <v>20.400107526881712</v>
      </c>
      <c r="M34" s="5">
        <f t="shared" si="56"/>
        <v>16.596774193548377</v>
      </c>
      <c r="N34" s="5">
        <f t="shared" si="56"/>
        <v>15.691774193548374</v>
      </c>
      <c r="O34" s="5">
        <f t="shared" si="56"/>
        <v>31.335107526881714</v>
      </c>
      <c r="P34" s="5">
        <f t="shared" si="56"/>
        <v>18.255107526881709</v>
      </c>
      <c r="Q34" s="5">
        <f t="shared" si="56"/>
        <v>38.895107526881716</v>
      </c>
      <c r="R34" s="5">
        <f t="shared" si="56"/>
        <v>23.160107526881706</v>
      </c>
      <c r="S34" s="5">
        <f t="shared" si="56"/>
        <v>24.810107526881708</v>
      </c>
      <c r="T34" s="5">
        <f t="shared" si="56"/>
        <v>13.441774193548376</v>
      </c>
      <c r="U34" s="5">
        <f t="shared" si="56"/>
        <v>13.456774193548377</v>
      </c>
      <c r="V34" s="5">
        <f t="shared" si="56"/>
        <v>19.650107526881708</v>
      </c>
      <c r="W34" s="5">
        <f t="shared" si="56"/>
        <v>18.495107526881711</v>
      </c>
      <c r="X34" s="5">
        <f t="shared" si="56"/>
        <v>25.650107526881712</v>
      </c>
      <c r="Y34" s="5">
        <f t="shared" si="56"/>
        <v>16.596774193548377</v>
      </c>
      <c r="Z34" s="5">
        <f t="shared" si="56"/>
        <v>-1.588225806451625</v>
      </c>
      <c r="AA34" s="5">
        <f t="shared" si="56"/>
        <v>-5.0082258064516196</v>
      </c>
      <c r="AB34" s="5">
        <f t="shared" si="56"/>
        <v>19.080107526881715</v>
      </c>
      <c r="AC34" s="5">
        <f t="shared" si="56"/>
        <v>9.526774193548377</v>
      </c>
      <c r="AD34" s="5">
        <f t="shared" si="56"/>
        <v>29.670107526881729</v>
      </c>
      <c r="AE34" s="5">
        <f t="shared" si="56"/>
        <v>4.4567741935483776</v>
      </c>
      <c r="AF34" s="5">
        <f t="shared" si="56"/>
        <v>4.4717741935483701</v>
      </c>
      <c r="AG34" s="5">
        <f t="shared" si="56"/>
        <v>10.306774193548378</v>
      </c>
      <c r="AH34" s="5">
        <f t="shared" si="56"/>
        <v>-18.583225806451622</v>
      </c>
      <c r="AI34" s="5">
        <f t="shared" si="56"/>
        <v>16.596774193548377</v>
      </c>
      <c r="AJ34" s="5">
        <f t="shared" ref="AJ34" si="57">SUM(AJ28:AJ33)</f>
        <v>13.496502991675317</v>
      </c>
      <c r="AK34" s="5">
        <f t="shared" si="56"/>
        <v>14.341774193548373</v>
      </c>
      <c r="AL34" s="419"/>
      <c r="AM34" s="43">
        <f t="shared" si="56"/>
        <v>0</v>
      </c>
      <c r="AN34" s="74">
        <f t="shared" si="21"/>
        <v>0</v>
      </c>
      <c r="AO34" s="419"/>
      <c r="AP34" s="5">
        <f>SUM(AP28:AP33)</f>
        <v>477.12139546479318</v>
      </c>
      <c r="AQ34" s="70">
        <f>SUM(AQ28:AQ33)</f>
        <v>1</v>
      </c>
    </row>
    <row r="35" spans="2:43" ht="4.5" customHeight="1" x14ac:dyDescent="0.2">
      <c r="D35" s="7"/>
      <c r="E35" s="7" t="s">
        <v>26</v>
      </c>
      <c r="F35" s="11"/>
      <c r="AQ35" s="11"/>
    </row>
    <row r="36" spans="2:43" ht="15" x14ac:dyDescent="0.2">
      <c r="C36" s="3" t="s">
        <v>7</v>
      </c>
      <c r="D36" s="5">
        <f>D23+D34</f>
        <v>1768.5</v>
      </c>
      <c r="E36" s="5">
        <f>D36/31</f>
        <v>57.048387096774192</v>
      </c>
      <c r="F36" s="26">
        <f>D36/0.71</f>
        <v>2490.8450704225352</v>
      </c>
      <c r="G36" s="413">
        <f t="shared" ref="G36:AK36" si="58">G23+G34</f>
        <v>58.24172043010752</v>
      </c>
      <c r="H36" s="5">
        <f t="shared" si="58"/>
        <v>52.018387096774184</v>
      </c>
      <c r="I36" s="5">
        <f t="shared" si="58"/>
        <v>58.316720430107523</v>
      </c>
      <c r="J36" s="5">
        <f t="shared" si="58"/>
        <v>57.048387096774185</v>
      </c>
      <c r="K36" s="5">
        <f t="shared" si="58"/>
        <v>60.551720430107522</v>
      </c>
      <c r="L36" s="5">
        <f t="shared" si="58"/>
        <v>60.85172043010752</v>
      </c>
      <c r="M36" s="5">
        <f t="shared" si="58"/>
        <v>57.048387096774185</v>
      </c>
      <c r="N36" s="5">
        <f t="shared" si="58"/>
        <v>56.143387096774184</v>
      </c>
      <c r="O36" s="5">
        <f t="shared" si="58"/>
        <v>71.786720430107522</v>
      </c>
      <c r="P36" s="5">
        <f t="shared" si="58"/>
        <v>58.706720430107517</v>
      </c>
      <c r="Q36" s="5">
        <f t="shared" si="58"/>
        <v>79.346720430107524</v>
      </c>
      <c r="R36" s="5">
        <f t="shared" si="58"/>
        <v>63.611720430107511</v>
      </c>
      <c r="S36" s="5">
        <f t="shared" si="58"/>
        <v>65.261720430107516</v>
      </c>
      <c r="T36" s="5">
        <f t="shared" si="58"/>
        <v>53.893387096774184</v>
      </c>
      <c r="U36" s="5">
        <f t="shared" si="58"/>
        <v>53.908387096774184</v>
      </c>
      <c r="V36" s="5">
        <f t="shared" si="58"/>
        <v>60.10172043010752</v>
      </c>
      <c r="W36" s="5">
        <f t="shared" si="58"/>
        <v>58.946720430107518</v>
      </c>
      <c r="X36" s="5">
        <f t="shared" si="58"/>
        <v>66.10172043010752</v>
      </c>
      <c r="Y36" s="5">
        <f t="shared" si="58"/>
        <v>57.048387096774185</v>
      </c>
      <c r="Z36" s="5">
        <f t="shared" si="58"/>
        <v>38.863387096774183</v>
      </c>
      <c r="AA36" s="5">
        <f t="shared" si="58"/>
        <v>35.443387096774188</v>
      </c>
      <c r="AB36" s="5">
        <f t="shared" si="58"/>
        <v>59.531720430107526</v>
      </c>
      <c r="AC36" s="5">
        <f t="shared" si="58"/>
        <v>49.978387096774185</v>
      </c>
      <c r="AD36" s="5">
        <f t="shared" si="58"/>
        <v>70.12172043010753</v>
      </c>
      <c r="AE36" s="5">
        <f t="shared" si="58"/>
        <v>44.908387096774184</v>
      </c>
      <c r="AF36" s="5">
        <f t="shared" si="58"/>
        <v>44.923387096774178</v>
      </c>
      <c r="AG36" s="5">
        <f t="shared" si="58"/>
        <v>50.758387096774186</v>
      </c>
      <c r="AH36" s="5">
        <f t="shared" si="58"/>
        <v>21.868387096774185</v>
      </c>
      <c r="AI36" s="5">
        <f t="shared" si="58"/>
        <v>57.048387096774185</v>
      </c>
      <c r="AJ36" s="5">
        <f t="shared" ref="AJ36" si="59">AJ23+AJ34</f>
        <v>53.948115894901122</v>
      </c>
      <c r="AK36" s="5">
        <f t="shared" si="58"/>
        <v>54.793387096774183</v>
      </c>
      <c r="AM36" s="1"/>
      <c r="AN36" s="1"/>
      <c r="AP36" s="5">
        <f>AP23+AP34</f>
        <v>1731.1213954647937</v>
      </c>
      <c r="AQ36" s="12"/>
    </row>
    <row r="37" spans="2:43" ht="4.5" customHeight="1" x14ac:dyDescent="0.2"/>
    <row r="38" spans="2:43" ht="15" x14ac:dyDescent="0.2">
      <c r="C38" s="3"/>
      <c r="D38" s="5">
        <f>D36/31</f>
        <v>57.048387096774192</v>
      </c>
      <c r="E38" s="5"/>
      <c r="F38" s="9"/>
      <c r="G38" s="413">
        <f>G36-D38</f>
        <v>1.193333333333328</v>
      </c>
      <c r="H38" s="413">
        <f>H36-D38</f>
        <v>-5.0300000000000082</v>
      </c>
      <c r="I38" s="5">
        <f>I36-$D$38</f>
        <v>1.2683333333333309</v>
      </c>
      <c r="J38" s="5">
        <f t="shared" ref="J38:AK38" si="60">J36-$D$38</f>
        <v>0</v>
      </c>
      <c r="K38" s="5">
        <f t="shared" si="60"/>
        <v>3.5033333333333303</v>
      </c>
      <c r="L38" s="5">
        <f t="shared" si="60"/>
        <v>3.8033333333333275</v>
      </c>
      <c r="M38" s="5">
        <f t="shared" si="60"/>
        <v>0</v>
      </c>
      <c r="N38" s="5">
        <f t="shared" si="60"/>
        <v>-0.90500000000000824</v>
      </c>
      <c r="O38" s="5">
        <f t="shared" si="60"/>
        <v>14.73833333333333</v>
      </c>
      <c r="P38" s="5">
        <f t="shared" si="60"/>
        <v>1.6583333333333243</v>
      </c>
      <c r="Q38" s="5">
        <f t="shared" si="60"/>
        <v>22.298333333333332</v>
      </c>
      <c r="R38" s="5">
        <f t="shared" si="60"/>
        <v>6.5633333333333184</v>
      </c>
      <c r="S38" s="5">
        <f t="shared" si="60"/>
        <v>8.213333333333324</v>
      </c>
      <c r="T38" s="5">
        <f t="shared" si="60"/>
        <v>-3.1550000000000082</v>
      </c>
      <c r="U38" s="5">
        <f t="shared" si="60"/>
        <v>-3.1400000000000077</v>
      </c>
      <c r="V38" s="5">
        <f t="shared" si="60"/>
        <v>3.0533333333333275</v>
      </c>
      <c r="W38" s="5">
        <f t="shared" si="60"/>
        <v>1.8983333333333263</v>
      </c>
      <c r="X38" s="5">
        <f t="shared" si="60"/>
        <v>9.0533333333333275</v>
      </c>
      <c r="Y38" s="5">
        <f t="shared" si="60"/>
        <v>0</v>
      </c>
      <c r="Z38" s="5">
        <f t="shared" si="60"/>
        <v>-18.185000000000009</v>
      </c>
      <c r="AA38" s="5">
        <f t="shared" si="60"/>
        <v>-21.605000000000004</v>
      </c>
      <c r="AB38" s="5">
        <f t="shared" si="60"/>
        <v>2.4833333333333343</v>
      </c>
      <c r="AC38" s="5">
        <f t="shared" si="60"/>
        <v>-7.0700000000000074</v>
      </c>
      <c r="AD38" s="5">
        <f t="shared" si="60"/>
        <v>13.073333333333338</v>
      </c>
      <c r="AE38" s="5">
        <f t="shared" si="60"/>
        <v>-12.140000000000008</v>
      </c>
      <c r="AF38" s="5">
        <f t="shared" si="60"/>
        <v>-12.125000000000014</v>
      </c>
      <c r="AG38" s="5">
        <f t="shared" si="60"/>
        <v>-6.2900000000000063</v>
      </c>
      <c r="AH38" s="5">
        <f t="shared" si="60"/>
        <v>-35.180000000000007</v>
      </c>
      <c r="AI38" s="5">
        <f t="shared" si="60"/>
        <v>0</v>
      </c>
      <c r="AJ38" s="5">
        <f t="shared" ref="AJ38" si="61">AJ36-$D$38</f>
        <v>-3.1002712018730705</v>
      </c>
      <c r="AK38" s="5">
        <f t="shared" si="60"/>
        <v>-2.2550000000000097</v>
      </c>
      <c r="AM38" s="1"/>
      <c r="AN38" s="1"/>
      <c r="AP38" s="5">
        <f>SUM(G38:AK38)</f>
        <v>-37.378604535206563</v>
      </c>
      <c r="AQ38" s="9"/>
    </row>
    <row r="40" spans="2:43" ht="15" x14ac:dyDescent="0.2">
      <c r="B40" s="1"/>
      <c r="C40" s="3" t="s">
        <v>28</v>
      </c>
      <c r="D40" s="31"/>
      <c r="E40" s="31"/>
      <c r="F40" s="32"/>
      <c r="G40" s="413">
        <f>G38</f>
        <v>1.193333333333328</v>
      </c>
      <c r="H40" s="5">
        <f>G40+H38</f>
        <v>-3.8366666666666802</v>
      </c>
      <c r="I40" s="5">
        <f>H40+I38</f>
        <v>-2.5683333333333493</v>
      </c>
      <c r="J40" s="5">
        <f t="shared" ref="J40:O40" si="62">I40+J38</f>
        <v>-2.5683333333333493</v>
      </c>
      <c r="K40" s="5">
        <f t="shared" si="62"/>
        <v>0.93499999999998096</v>
      </c>
      <c r="L40" s="5">
        <f t="shared" si="62"/>
        <v>4.7383333333333084</v>
      </c>
      <c r="M40" s="5">
        <f t="shared" si="62"/>
        <v>4.7383333333333084</v>
      </c>
      <c r="N40" s="5">
        <f t="shared" si="62"/>
        <v>3.8333333333333002</v>
      </c>
      <c r="O40" s="5">
        <f t="shared" si="62"/>
        <v>18.57166666666663</v>
      </c>
      <c r="P40" s="5">
        <f>O40+P38</f>
        <v>20.229999999999954</v>
      </c>
      <c r="Q40" s="5">
        <f t="shared" ref="Q40:AK40" si="63">P40+Q38</f>
        <v>42.528333333333286</v>
      </c>
      <c r="R40" s="5">
        <f t="shared" si="63"/>
        <v>49.091666666666605</v>
      </c>
      <c r="S40" s="5">
        <f t="shared" si="63"/>
        <v>57.304999999999929</v>
      </c>
      <c r="T40" s="5">
        <f t="shared" si="63"/>
        <v>54.14999999999992</v>
      </c>
      <c r="U40" s="5">
        <f>T40+U38</f>
        <v>51.009999999999913</v>
      </c>
      <c r="V40" s="5">
        <f t="shared" si="63"/>
        <v>54.06333333333324</v>
      </c>
      <c r="W40" s="5">
        <f t="shared" si="63"/>
        <v>55.961666666666567</v>
      </c>
      <c r="X40" s="5">
        <f t="shared" si="63"/>
        <v>65.014999999999901</v>
      </c>
      <c r="Y40" s="5">
        <f t="shared" si="63"/>
        <v>65.014999999999901</v>
      </c>
      <c r="Z40" s="5">
        <f t="shared" si="63"/>
        <v>46.829999999999892</v>
      </c>
      <c r="AA40" s="5">
        <f t="shared" si="63"/>
        <v>25.224999999999888</v>
      </c>
      <c r="AB40" s="5">
        <f t="shared" si="63"/>
        <v>27.708333333333222</v>
      </c>
      <c r="AC40" s="5">
        <f t="shared" si="63"/>
        <v>20.638333333333215</v>
      </c>
      <c r="AD40" s="5">
        <f t="shared" si="63"/>
        <v>33.711666666666552</v>
      </c>
      <c r="AE40" s="5">
        <f t="shared" si="63"/>
        <v>21.571666666666545</v>
      </c>
      <c r="AF40" s="5">
        <f t="shared" si="63"/>
        <v>9.4466666666665304</v>
      </c>
      <c r="AG40" s="5">
        <f t="shared" si="63"/>
        <v>3.1566666666665242</v>
      </c>
      <c r="AH40" s="5">
        <f t="shared" si="63"/>
        <v>-32.023333333333483</v>
      </c>
      <c r="AI40" s="5">
        <f t="shared" si="63"/>
        <v>-32.023333333333483</v>
      </c>
      <c r="AJ40" s="5">
        <f t="shared" si="63"/>
        <v>-35.123604535206553</v>
      </c>
      <c r="AK40" s="5">
        <f t="shared" si="63"/>
        <v>-37.378604535206563</v>
      </c>
      <c r="AL40" s="706"/>
      <c r="AM40" s="3"/>
      <c r="AN40" s="3"/>
      <c r="AO40" s="419"/>
      <c r="AP40" s="5"/>
      <c r="AQ40" s="9"/>
    </row>
    <row r="41" spans="2:43" ht="15" customHeight="1" x14ac:dyDescent="0.2"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</row>
    <row r="42" spans="2:43" ht="15" customHeight="1" x14ac:dyDescent="0.2">
      <c r="C42" s="419" t="s">
        <v>55</v>
      </c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</row>
    <row r="43" spans="2:43" ht="15" customHeight="1" x14ac:dyDescent="0.2">
      <c r="B43" s="1">
        <v>15</v>
      </c>
      <c r="C43" s="1" t="s">
        <v>31</v>
      </c>
      <c r="D43" s="6"/>
      <c r="E43" s="6"/>
      <c r="F43" s="10">
        <v>0.15</v>
      </c>
      <c r="G43" s="6"/>
      <c r="H43" s="6"/>
      <c r="I43" s="6"/>
      <c r="J43" s="6"/>
      <c r="K43" s="6"/>
      <c r="L43" s="6"/>
      <c r="M43" s="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M43" s="1"/>
      <c r="AN43" s="1"/>
      <c r="AP43" s="5">
        <f>$D$5*F43</f>
        <v>-5.8940000000000001</v>
      </c>
      <c r="AQ43" s="8"/>
    </row>
    <row r="44" spans="2:43" ht="15" customHeight="1" x14ac:dyDescent="0.2">
      <c r="B44" s="1">
        <v>16</v>
      </c>
      <c r="C44" s="1" t="s">
        <v>32</v>
      </c>
      <c r="D44" s="6"/>
      <c r="E44" s="6"/>
      <c r="F44" s="10">
        <v>0.15</v>
      </c>
      <c r="G44" s="6"/>
      <c r="H44" s="6"/>
      <c r="I44" s="6"/>
      <c r="J44" s="6"/>
      <c r="K44" s="6"/>
      <c r="L44" s="6"/>
      <c r="M44" s="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M44" s="1"/>
      <c r="AN44" s="1"/>
      <c r="AP44" s="5">
        <f>$D$5*F44</f>
        <v>-5.8940000000000001</v>
      </c>
      <c r="AQ44" s="8"/>
    </row>
    <row r="45" spans="2:43" ht="15" customHeight="1" x14ac:dyDescent="0.2">
      <c r="B45" s="1">
        <v>17</v>
      </c>
      <c r="C45" s="1" t="s">
        <v>33</v>
      </c>
      <c r="D45" s="6"/>
      <c r="E45" s="6"/>
      <c r="F45" s="10">
        <v>0.15</v>
      </c>
      <c r="G45" s="6"/>
      <c r="H45" s="6"/>
      <c r="I45" s="6"/>
      <c r="J45" s="6"/>
      <c r="K45" s="6"/>
      <c r="L45" s="6"/>
      <c r="M45" s="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M45" s="1"/>
      <c r="AN45" s="1"/>
      <c r="AP45" s="5">
        <f>$D$5*F45</f>
        <v>-5.8940000000000001</v>
      </c>
      <c r="AQ45" s="8"/>
    </row>
    <row r="46" spans="2:43" ht="15" customHeight="1" x14ac:dyDescent="0.2">
      <c r="B46" s="1">
        <v>18</v>
      </c>
      <c r="C46" s="1" t="s">
        <v>34</v>
      </c>
      <c r="D46" s="6"/>
      <c r="E46" s="6"/>
      <c r="F46" s="10">
        <v>0.1</v>
      </c>
      <c r="G46" s="6"/>
      <c r="H46" s="6"/>
      <c r="I46" s="6"/>
      <c r="J46" s="6"/>
      <c r="K46" s="6"/>
      <c r="L46" s="6"/>
      <c r="M46" s="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M46" s="1"/>
      <c r="AN46" s="1"/>
      <c r="AP46" s="5">
        <f>$D$5*F46</f>
        <v>-3.929333333333334</v>
      </c>
      <c r="AQ46" s="8"/>
    </row>
    <row r="47" spans="2:43" s="13" customFormat="1" ht="15" customHeight="1" x14ac:dyDescent="0.2">
      <c r="B47" s="1"/>
      <c r="C47" s="3" t="s">
        <v>57</v>
      </c>
      <c r="D47" s="26"/>
      <c r="E47" s="26"/>
      <c r="F47" s="15">
        <f>SUM(F43:F46)</f>
        <v>0.54999999999999993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419"/>
      <c r="AM47" s="3"/>
      <c r="AN47" s="3"/>
      <c r="AO47" s="419"/>
      <c r="AP47" s="5">
        <f>SUM(AP43:AP46)</f>
        <v>-21.611333333333334</v>
      </c>
      <c r="AQ47" s="9"/>
    </row>
    <row r="48" spans="2:43" s="13" customFormat="1" ht="15" customHeight="1" x14ac:dyDescent="0.2">
      <c r="D48" s="36"/>
      <c r="E48" s="36"/>
      <c r="F48" s="67"/>
      <c r="G48" s="36"/>
      <c r="H48" s="36"/>
      <c r="I48" s="36"/>
      <c r="J48" s="36"/>
      <c r="K48" s="36"/>
      <c r="L48" s="36"/>
      <c r="M48" s="36"/>
      <c r="AP48" s="14"/>
      <c r="AQ48" s="60"/>
    </row>
    <row r="49" spans="2:43" s="13" customFormat="1" ht="15" customHeight="1" x14ac:dyDescent="0.2">
      <c r="B49" s="22"/>
      <c r="C49" s="419" t="s">
        <v>56</v>
      </c>
      <c r="D49" s="64"/>
      <c r="E49" s="64"/>
      <c r="F49" s="65"/>
      <c r="G49" s="64"/>
      <c r="H49" s="64"/>
      <c r="I49" s="64"/>
      <c r="J49" s="64"/>
      <c r="K49" s="64"/>
      <c r="L49" s="64"/>
      <c r="M49" s="6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P49" s="24"/>
      <c r="AQ49" s="66"/>
    </row>
    <row r="50" spans="2:43" ht="15" customHeight="1" x14ac:dyDescent="0.2">
      <c r="B50" s="1">
        <v>19</v>
      </c>
      <c r="C50" s="1" t="s">
        <v>52</v>
      </c>
      <c r="D50" s="6"/>
      <c r="E50" s="6"/>
      <c r="F50" s="10">
        <v>0.15</v>
      </c>
      <c r="G50" s="6"/>
      <c r="H50" s="6"/>
      <c r="I50" s="6"/>
      <c r="J50" s="6"/>
      <c r="K50" s="6"/>
      <c r="L50" s="6"/>
      <c r="M50" s="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M50" s="1"/>
      <c r="AN50" s="1"/>
      <c r="AP50" s="5">
        <f>$D$5*F50</f>
        <v>-5.8940000000000001</v>
      </c>
      <c r="AQ50" s="8"/>
    </row>
    <row r="51" spans="2:43" ht="15" customHeight="1" x14ac:dyDescent="0.2">
      <c r="B51" s="1">
        <v>20</v>
      </c>
      <c r="C51" s="1" t="s">
        <v>34</v>
      </c>
      <c r="D51" s="6"/>
      <c r="E51" s="6"/>
      <c r="F51" s="10">
        <v>0.1</v>
      </c>
      <c r="G51" s="6"/>
      <c r="H51" s="6"/>
      <c r="I51" s="6"/>
      <c r="J51" s="6"/>
      <c r="K51" s="6"/>
      <c r="L51" s="6"/>
      <c r="M51" s="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M51" s="1"/>
      <c r="AN51" s="1"/>
      <c r="AP51" s="5">
        <f>$D$5*F51</f>
        <v>-3.929333333333334</v>
      </c>
      <c r="AQ51" s="8"/>
    </row>
    <row r="52" spans="2:43" ht="15" customHeight="1" x14ac:dyDescent="0.2">
      <c r="B52" s="1">
        <v>21</v>
      </c>
      <c r="C52" s="1" t="s">
        <v>53</v>
      </c>
      <c r="D52" s="6"/>
      <c r="E52" s="6"/>
      <c r="F52" s="10">
        <v>0.2</v>
      </c>
      <c r="G52" s="6"/>
      <c r="H52" s="6"/>
      <c r="I52" s="6"/>
      <c r="J52" s="6"/>
      <c r="K52" s="6"/>
      <c r="L52" s="6"/>
      <c r="M52" s="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M52" s="1"/>
      <c r="AN52" s="1"/>
      <c r="AP52" s="5">
        <f>$D$5*F52</f>
        <v>-7.858666666666668</v>
      </c>
      <c r="AQ52" s="8"/>
    </row>
    <row r="53" spans="2:43" ht="15" customHeight="1" x14ac:dyDescent="0.2">
      <c r="B53" s="1"/>
      <c r="C53" s="3" t="s">
        <v>58</v>
      </c>
      <c r="D53" s="26"/>
      <c r="E53" s="26"/>
      <c r="F53" s="15">
        <f>SUM(F50:F52)</f>
        <v>0.45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419"/>
      <c r="AM53" s="3"/>
      <c r="AN53" s="3"/>
      <c r="AO53" s="419"/>
      <c r="AP53" s="5">
        <f>SUM(AP50:AP52)</f>
        <v>-17.682000000000002</v>
      </c>
      <c r="AQ53" s="9"/>
    </row>
    <row r="54" spans="2:43" ht="15" customHeight="1" x14ac:dyDescent="0.2">
      <c r="G54" s="4423"/>
      <c r="H54" s="4423"/>
      <c r="I54" s="4423"/>
      <c r="J54" s="4423"/>
      <c r="K54" s="4423"/>
      <c r="L54" s="4423"/>
      <c r="M54" s="4423"/>
      <c r="N54" s="4423"/>
      <c r="O54" s="4423"/>
      <c r="P54" s="4423"/>
      <c r="Q54" s="4423"/>
    </row>
    <row r="55" spans="2:43" ht="15" customHeight="1" x14ac:dyDescent="0.2">
      <c r="D55" s="1"/>
      <c r="E55" s="1"/>
      <c r="F55" s="68">
        <f>F47+F53</f>
        <v>1</v>
      </c>
      <c r="G55" s="4423"/>
      <c r="H55" s="4423"/>
      <c r="I55" s="4423"/>
      <c r="J55" s="4423"/>
      <c r="K55" s="4423"/>
      <c r="L55" s="4423"/>
      <c r="M55" s="4423"/>
      <c r="N55" s="4423"/>
      <c r="O55" s="4423"/>
      <c r="P55" s="4423"/>
      <c r="Q55" s="4423"/>
      <c r="AP55" s="5">
        <f>AP47+AP53</f>
        <v>-39.293333333333337</v>
      </c>
      <c r="AQ55" s="1"/>
    </row>
  </sheetData>
  <mergeCells count="5">
    <mergeCell ref="C1:C2"/>
    <mergeCell ref="AM4:AM11"/>
    <mergeCell ref="AN4:AN11"/>
    <mergeCell ref="G54:Q54"/>
    <mergeCell ref="G55:Q55"/>
  </mergeCells>
  <conditionalFormatting sqref="G36:AK36 G38:AK38">
    <cfRule type="cellIs" dxfId="400" priority="11" operator="greaterThan">
      <formula>$D$38</formula>
    </cfRule>
    <cfRule type="cellIs" dxfId="399" priority="12" operator="lessThan">
      <formula>$D$38</formula>
    </cfRule>
  </conditionalFormatting>
  <conditionalFormatting sqref="G38:H38">
    <cfRule type="cellIs" dxfId="398" priority="8" operator="greaterThan">
      <formula>0</formula>
    </cfRule>
    <cfRule type="cellIs" dxfId="397" priority="9" operator="lessThan">
      <formula>$D$38</formula>
    </cfRule>
    <cfRule type="cellIs" dxfId="396" priority="10" operator="greaterThan">
      <formula>$D$38</formula>
    </cfRule>
  </conditionalFormatting>
  <conditionalFormatting sqref="H38">
    <cfRule type="cellIs" dxfId="395" priority="6" operator="greaterThan">
      <formula>0.483</formula>
    </cfRule>
    <cfRule type="cellIs" dxfId="394" priority="7" operator="greaterThan">
      <formula>0</formula>
    </cfRule>
  </conditionalFormatting>
  <conditionalFormatting sqref="I38">
    <cfRule type="cellIs" dxfId="393" priority="4" operator="greaterThan">
      <formula>0</formula>
    </cfRule>
    <cfRule type="cellIs" dxfId="392" priority="5" operator="greaterThan">
      <formula>0</formula>
    </cfRule>
  </conditionalFormatting>
  <conditionalFormatting sqref="J38:AK38">
    <cfRule type="cellIs" dxfId="391" priority="3" operator="greaterThan">
      <formula>0</formula>
    </cfRule>
  </conditionalFormatting>
  <conditionalFormatting sqref="G40:AL40">
    <cfRule type="cellIs" dxfId="390" priority="1" operator="lessThan">
      <formula>0</formula>
    </cfRule>
    <cfRule type="cellIs" dxfId="38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EP50"/>
  <sheetViews>
    <sheetView zoomScale="80" zoomScaleNormal="80" zoomScaleSheetLayoutView="80" workbookViewId="0">
      <pane xSplit="10" ySplit="6" topLeftCell="AL7" activePane="bottomRight" state="frozen"/>
      <selection pane="topRight" activeCell="G1" sqref="G1"/>
      <selection pane="bottomLeft" activeCell="A8" sqref="A8"/>
      <selection pane="bottomRight" activeCell="F29" sqref="F29"/>
    </sheetView>
  </sheetViews>
  <sheetFormatPr defaultColWidth="9.125" defaultRowHeight="15" x14ac:dyDescent="0.2"/>
  <cols>
    <col min="1" max="1" width="1.75" style="419" customWidth="1"/>
    <col min="2" max="2" width="4.75" style="419" customWidth="1"/>
    <col min="3" max="3" width="41.375" style="419" bestFit="1" customWidth="1"/>
    <col min="4" max="4" width="10" style="419" bestFit="1" customWidth="1"/>
    <col min="5" max="8" width="11.625" style="642" bestFit="1" customWidth="1"/>
    <col min="9" max="9" width="11.625" style="419" bestFit="1" customWidth="1"/>
    <col min="10" max="10" width="7.125" style="419" bestFit="1" customWidth="1"/>
    <col min="11" max="30" width="9.125" style="419"/>
    <col min="31" max="32" width="9" style="419" customWidth="1"/>
    <col min="33" max="41" width="9.125" style="419"/>
    <col min="42" max="42" width="1.75" style="419" customWidth="1"/>
    <col min="43" max="43" width="10" style="419" bestFit="1" customWidth="1"/>
    <col min="44" max="44" width="9.875" style="419" bestFit="1" customWidth="1"/>
    <col min="45" max="45" width="1.75" style="419" customWidth="1"/>
    <col min="46" max="46" width="10" style="419" bestFit="1" customWidth="1"/>
    <col min="47" max="47" width="9.875" style="419" bestFit="1" customWidth="1"/>
    <col min="48" max="48" width="9.875" style="484" customWidth="1"/>
    <col min="49" max="49" width="1.875" style="419" customWidth="1"/>
    <col min="50" max="50" width="12" style="419" bestFit="1" customWidth="1"/>
    <col min="51" max="51" width="15" style="419" bestFit="1" customWidth="1"/>
    <col min="52" max="52" width="12" style="419" bestFit="1" customWidth="1"/>
    <col min="53" max="16384" width="9.125" style="419"/>
  </cols>
  <sheetData>
    <row r="1" spans="1:146" ht="20.25" customHeight="1" x14ac:dyDescent="0.2">
      <c r="C1" s="4456">
        <v>43435</v>
      </c>
      <c r="D1" s="4466" t="s">
        <v>40</v>
      </c>
      <c r="E1" s="4466"/>
      <c r="F1" s="4466"/>
      <c r="G1" s="4466"/>
      <c r="H1" s="4466"/>
      <c r="I1" s="4466"/>
      <c r="J1" s="4467"/>
      <c r="K1" s="133"/>
      <c r="L1" s="309"/>
      <c r="M1" s="134"/>
      <c r="S1" s="309"/>
      <c r="AG1" s="309"/>
      <c r="AJ1" s="277"/>
      <c r="AO1" s="309"/>
      <c r="AP1" s="4483" t="s">
        <v>90</v>
      </c>
      <c r="AQ1" s="4483"/>
      <c r="AR1" s="4483"/>
      <c r="AS1" s="4491"/>
      <c r="AT1" s="4492">
        <f>30/30</f>
        <v>1</v>
      </c>
      <c r="AU1" s="4493"/>
      <c r="AV1" s="4494"/>
      <c r="AX1" s="503">
        <f>AX2-AX3</f>
        <v>197.70000000000027</v>
      </c>
      <c r="AY1" s="504">
        <f>AX1*30%</f>
        <v>59.31000000000008</v>
      </c>
      <c r="AZ1" s="590">
        <f>AX1/AX3</f>
        <v>5.6196702671972784E-2</v>
      </c>
      <c r="BA1" s="4487" t="s">
        <v>83</v>
      </c>
      <c r="BB1" s="4488"/>
      <c r="BC1" s="4488"/>
      <c r="BD1" s="4488"/>
      <c r="BE1" s="4488"/>
    </row>
    <row r="2" spans="1:146" ht="20.25" customHeight="1" thickBot="1" x14ac:dyDescent="0.25">
      <c r="C2" s="4457"/>
      <c r="D2" s="4466" t="s">
        <v>41</v>
      </c>
      <c r="E2" s="4466"/>
      <c r="F2" s="4466"/>
      <c r="G2" s="4466"/>
      <c r="H2" s="4466"/>
      <c r="I2" s="4466"/>
      <c r="J2" s="4467"/>
      <c r="K2" s="133"/>
      <c r="L2" s="309"/>
      <c r="M2" s="134"/>
      <c r="S2" s="309"/>
      <c r="AG2" s="309"/>
      <c r="AJ2" s="277"/>
      <c r="AO2" s="309"/>
      <c r="AQ2" s="4473" t="s">
        <v>54</v>
      </c>
      <c r="AR2" s="4476" t="s">
        <v>61</v>
      </c>
      <c r="AT2" s="4495"/>
      <c r="AU2" s="4496"/>
      <c r="AV2" s="4497"/>
      <c r="AX2" s="505">
        <f>AT3/30*30</f>
        <v>3715.7000000000007</v>
      </c>
      <c r="AY2" s="506">
        <f>AX2*30%</f>
        <v>1114.7100000000003</v>
      </c>
      <c r="AZ2" s="507">
        <f>AY2-D21</f>
        <v>59.310000000000173</v>
      </c>
      <c r="BA2" s="4489"/>
      <c r="BB2" s="4490"/>
      <c r="BC2" s="4490"/>
      <c r="BD2" s="4490"/>
      <c r="BE2" s="4490"/>
    </row>
    <row r="3" spans="1:146" s="426" customFormat="1" ht="15" customHeight="1" x14ac:dyDescent="0.2">
      <c r="C3" s="427" t="s">
        <v>35</v>
      </c>
      <c r="D3" s="132"/>
      <c r="E3" s="132"/>
      <c r="F3" s="132"/>
      <c r="G3" s="132"/>
      <c r="H3" s="132"/>
      <c r="I3" s="132"/>
      <c r="J3" s="428"/>
      <c r="K3" s="429">
        <v>141.80000000000001</v>
      </c>
      <c r="L3" s="430">
        <v>100.5</v>
      </c>
      <c r="M3" s="430">
        <v>142.05000000000001</v>
      </c>
      <c r="N3" s="132">
        <v>127.15</v>
      </c>
      <c r="O3" s="132">
        <v>149.5</v>
      </c>
      <c r="P3" s="132">
        <v>150.5</v>
      </c>
      <c r="Q3" s="132">
        <v>0</v>
      </c>
      <c r="R3" s="132">
        <v>114.25</v>
      </c>
      <c r="S3" s="132">
        <v>186.95</v>
      </c>
      <c r="T3" s="132">
        <v>143.35</v>
      </c>
      <c r="U3" s="132">
        <v>212.15</v>
      </c>
      <c r="V3" s="132">
        <v>159.69999999999999</v>
      </c>
      <c r="W3" s="132">
        <v>165.2</v>
      </c>
      <c r="X3" s="132">
        <v>106.75</v>
      </c>
      <c r="Y3" s="132">
        <v>106.8</v>
      </c>
      <c r="Z3" s="132">
        <v>148</v>
      </c>
      <c r="AA3" s="132">
        <v>144.15</v>
      </c>
      <c r="AB3" s="132">
        <v>168</v>
      </c>
      <c r="AC3" s="132">
        <v>135.4</v>
      </c>
      <c r="AD3" s="132">
        <v>56.65</v>
      </c>
      <c r="AE3" s="132">
        <v>45.25</v>
      </c>
      <c r="AF3" s="132">
        <v>146.1</v>
      </c>
      <c r="AG3" s="132">
        <v>93.7</v>
      </c>
      <c r="AH3" s="132">
        <v>181.4</v>
      </c>
      <c r="AI3" s="132">
        <v>76.8</v>
      </c>
      <c r="AJ3" s="132">
        <v>76.849999999999994</v>
      </c>
      <c r="AK3" s="132">
        <v>96.3</v>
      </c>
      <c r="AL3" s="132">
        <v>0</v>
      </c>
      <c r="AM3" s="132">
        <v>130.15</v>
      </c>
      <c r="AN3" s="132">
        <v>100.55</v>
      </c>
      <c r="AO3" s="132">
        <v>109.75</v>
      </c>
      <c r="AP3" s="431">
        <v>0</v>
      </c>
      <c r="AQ3" s="4474"/>
      <c r="AR3" s="4477"/>
      <c r="AS3" s="431"/>
      <c r="AT3" s="467">
        <f>SUM(K3:AO3)</f>
        <v>3715.7000000000007</v>
      </c>
      <c r="AU3" s="493">
        <f>AT3/AX3</f>
        <v>1.0561967026719727</v>
      </c>
      <c r="AV3" s="496">
        <f>AT3/30</f>
        <v>123.8566666666667</v>
      </c>
      <c r="AX3" s="467">
        <f>D40</f>
        <v>3518.0000000000005</v>
      </c>
      <c r="AY3" s="474">
        <f>AX3-AT3</f>
        <v>-197.70000000000027</v>
      </c>
      <c r="AZ3" s="496">
        <f>AY3/1</f>
        <v>-197.70000000000027</v>
      </c>
      <c r="BA3" s="473">
        <f>AZ3-AV5</f>
        <v>-314.96666666666692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</row>
    <row r="4" spans="1:146" s="432" customFormat="1" ht="15.75" thickBot="1" x14ac:dyDescent="0.25">
      <c r="C4" s="433" t="s">
        <v>89</v>
      </c>
      <c r="D4" s="347"/>
      <c r="E4" s="347"/>
      <c r="F4" s="347"/>
      <c r="G4" s="347"/>
      <c r="H4" s="347"/>
      <c r="I4" s="347">
        <f>AQ41</f>
        <v>-39.293333333333337</v>
      </c>
      <c r="J4" s="434"/>
      <c r="K4" s="435">
        <f>K3*30%</f>
        <v>42.54</v>
      </c>
      <c r="L4" s="436">
        <f t="shared" ref="L4:AN4" si="0">L3*30%</f>
        <v>30.15</v>
      </c>
      <c r="M4" s="436">
        <f t="shared" si="0"/>
        <v>42.615000000000002</v>
      </c>
      <c r="N4" s="347">
        <f t="shared" si="0"/>
        <v>38.145000000000003</v>
      </c>
      <c r="O4" s="347">
        <f t="shared" si="0"/>
        <v>44.85</v>
      </c>
      <c r="P4" s="347">
        <f t="shared" si="0"/>
        <v>45.15</v>
      </c>
      <c r="Q4" s="347">
        <f t="shared" si="0"/>
        <v>0</v>
      </c>
      <c r="R4" s="347">
        <f t="shared" si="0"/>
        <v>34.274999999999999</v>
      </c>
      <c r="S4" s="347">
        <f t="shared" si="0"/>
        <v>56.084999999999994</v>
      </c>
      <c r="T4" s="347">
        <f t="shared" si="0"/>
        <v>43.004999999999995</v>
      </c>
      <c r="U4" s="347">
        <f t="shared" si="0"/>
        <v>63.644999999999996</v>
      </c>
      <c r="V4" s="347">
        <f t="shared" si="0"/>
        <v>47.91</v>
      </c>
      <c r="W4" s="347">
        <f t="shared" si="0"/>
        <v>49.559999999999995</v>
      </c>
      <c r="X4" s="347">
        <f t="shared" si="0"/>
        <v>32.024999999999999</v>
      </c>
      <c r="Y4" s="347">
        <f t="shared" si="0"/>
        <v>32.04</v>
      </c>
      <c r="Z4" s="347">
        <f t="shared" si="0"/>
        <v>44.4</v>
      </c>
      <c r="AA4" s="347">
        <f t="shared" si="0"/>
        <v>43.244999999999997</v>
      </c>
      <c r="AB4" s="347">
        <f t="shared" si="0"/>
        <v>50.4</v>
      </c>
      <c r="AC4" s="347">
        <f t="shared" si="0"/>
        <v>40.619999999999997</v>
      </c>
      <c r="AD4" s="347">
        <f t="shared" si="0"/>
        <v>16.994999999999997</v>
      </c>
      <c r="AE4" s="347">
        <f t="shared" si="0"/>
        <v>13.574999999999999</v>
      </c>
      <c r="AF4" s="347">
        <f t="shared" si="0"/>
        <v>43.83</v>
      </c>
      <c r="AG4" s="347">
        <f t="shared" si="0"/>
        <v>28.11</v>
      </c>
      <c r="AH4" s="347">
        <f t="shared" si="0"/>
        <v>54.42</v>
      </c>
      <c r="AI4" s="347">
        <f t="shared" si="0"/>
        <v>23.04</v>
      </c>
      <c r="AJ4" s="347">
        <f>AJ3*30%</f>
        <v>23.054999999999996</v>
      </c>
      <c r="AK4" s="347">
        <f t="shared" si="0"/>
        <v>28.889999999999997</v>
      </c>
      <c r="AL4" s="347">
        <f t="shared" si="0"/>
        <v>0</v>
      </c>
      <c r="AM4" s="347">
        <f t="shared" si="0"/>
        <v>39.045000000000002</v>
      </c>
      <c r="AN4" s="347">
        <f t="shared" si="0"/>
        <v>30.164999999999999</v>
      </c>
      <c r="AO4" s="347">
        <f>AO3*30%</f>
        <v>32.924999999999997</v>
      </c>
      <c r="AP4" s="437"/>
      <c r="AQ4" s="4474"/>
      <c r="AR4" s="4477"/>
      <c r="AS4" s="437"/>
      <c r="AT4" s="459">
        <f>SUM(K4:AO4)</f>
        <v>1114.7099999999998</v>
      </c>
      <c r="AU4" s="494">
        <f>AT4/D21</f>
        <v>1.0561967026719725</v>
      </c>
      <c r="AV4" s="497">
        <f>AT4/30</f>
        <v>37.156999999999996</v>
      </c>
      <c r="AX4" s="508">
        <f>AT4-D21</f>
        <v>59.309999999999718</v>
      </c>
      <c r="AY4" s="509">
        <f>AX4/1</f>
        <v>59.309999999999718</v>
      </c>
      <c r="AZ4" s="510">
        <f>AY4*100%/30%</f>
        <v>197.69999999999908</v>
      </c>
      <c r="BA4" s="469">
        <f>AZ4+AV5</f>
        <v>314.96666666666579</v>
      </c>
      <c r="BB4" s="471"/>
      <c r="BC4" s="47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F4" s="471"/>
      <c r="CG4" s="471"/>
      <c r="CH4" s="471"/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</row>
    <row r="5" spans="1:146" s="426" customFormat="1" ht="15" customHeight="1" thickBot="1" x14ac:dyDescent="0.25">
      <c r="C5" s="438"/>
      <c r="J5" s="439"/>
      <c r="K5" s="440" t="s">
        <v>46</v>
      </c>
      <c r="L5" s="440" t="s">
        <v>47</v>
      </c>
      <c r="M5" s="440" t="s">
        <v>48</v>
      </c>
      <c r="N5" s="440" t="s">
        <v>49</v>
      </c>
      <c r="O5" s="440" t="s">
        <v>50</v>
      </c>
      <c r="P5" s="440" t="s">
        <v>51</v>
      </c>
      <c r="Q5" s="445" t="s">
        <v>45</v>
      </c>
      <c r="R5" s="440" t="s">
        <v>46</v>
      </c>
      <c r="S5" s="440" t="s">
        <v>47</v>
      </c>
      <c r="T5" s="440" t="s">
        <v>48</v>
      </c>
      <c r="U5" s="440" t="s">
        <v>49</v>
      </c>
      <c r="V5" s="440" t="s">
        <v>50</v>
      </c>
      <c r="W5" s="440" t="s">
        <v>51</v>
      </c>
      <c r="X5" s="445" t="s">
        <v>45</v>
      </c>
      <c r="Y5" s="440" t="s">
        <v>46</v>
      </c>
      <c r="Z5" s="440" t="s">
        <v>47</v>
      </c>
      <c r="AA5" s="440" t="s">
        <v>48</v>
      </c>
      <c r="AB5" s="440" t="s">
        <v>49</v>
      </c>
      <c r="AC5" s="440" t="s">
        <v>50</v>
      </c>
      <c r="AD5" s="440" t="s">
        <v>51</v>
      </c>
      <c r="AE5" s="445" t="s">
        <v>45</v>
      </c>
      <c r="AF5" s="440" t="s">
        <v>46</v>
      </c>
      <c r="AG5" s="440" t="s">
        <v>47</v>
      </c>
      <c r="AH5" s="440" t="s">
        <v>48</v>
      </c>
      <c r="AI5" s="440" t="s">
        <v>49</v>
      </c>
      <c r="AJ5" s="440" t="s">
        <v>50</v>
      </c>
      <c r="AK5" s="440" t="s">
        <v>51</v>
      </c>
      <c r="AL5" s="445" t="s">
        <v>45</v>
      </c>
      <c r="AM5" s="440" t="s">
        <v>46</v>
      </c>
      <c r="AN5" s="440" t="s">
        <v>47</v>
      </c>
      <c r="AO5" s="440" t="s">
        <v>48</v>
      </c>
      <c r="AQ5" s="4474"/>
      <c r="AR5" s="4477"/>
      <c r="AT5" s="468">
        <f>I40*30</f>
        <v>3518.0000000000005</v>
      </c>
      <c r="AU5" s="495">
        <f>AT5/AX3</f>
        <v>1</v>
      </c>
      <c r="AV5" s="498">
        <f>AT5/30</f>
        <v>117.26666666666668</v>
      </c>
      <c r="BA5" s="470"/>
      <c r="BB5" s="470"/>
      <c r="BC5" s="470"/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</row>
    <row r="6" spans="1:146" s="432" customFormat="1" ht="15.75" thickBot="1" x14ac:dyDescent="0.25">
      <c r="B6" s="433" t="s">
        <v>0</v>
      </c>
      <c r="C6" s="433" t="s">
        <v>1</v>
      </c>
      <c r="D6" s="433" t="s">
        <v>24</v>
      </c>
      <c r="E6" s="127" t="s">
        <v>108</v>
      </c>
      <c r="F6" s="647" t="s">
        <v>109</v>
      </c>
      <c r="G6" s="651" t="s">
        <v>110</v>
      </c>
      <c r="H6" s="655" t="s">
        <v>111</v>
      </c>
      <c r="I6" s="659" t="s">
        <v>107</v>
      </c>
      <c r="J6" s="441" t="s">
        <v>2</v>
      </c>
      <c r="K6" s="442">
        <v>1</v>
      </c>
      <c r="L6" s="433">
        <v>2</v>
      </c>
      <c r="M6" s="433">
        <v>3</v>
      </c>
      <c r="N6" s="433">
        <v>4</v>
      </c>
      <c r="O6" s="433">
        <v>5</v>
      </c>
      <c r="P6" s="433">
        <v>6</v>
      </c>
      <c r="Q6" s="446">
        <v>7</v>
      </c>
      <c r="R6" s="433">
        <v>8</v>
      </c>
      <c r="S6" s="433">
        <v>9</v>
      </c>
      <c r="T6" s="433">
        <v>10</v>
      </c>
      <c r="U6" s="433">
        <v>11</v>
      </c>
      <c r="V6" s="433">
        <v>12</v>
      </c>
      <c r="W6" s="433">
        <v>13</v>
      </c>
      <c r="X6" s="446">
        <v>14</v>
      </c>
      <c r="Y6" s="433">
        <v>15</v>
      </c>
      <c r="Z6" s="433">
        <v>16</v>
      </c>
      <c r="AA6" s="433">
        <v>17</v>
      </c>
      <c r="AB6" s="433">
        <v>18</v>
      </c>
      <c r="AC6" s="433">
        <v>19</v>
      </c>
      <c r="AD6" s="433">
        <v>20</v>
      </c>
      <c r="AE6" s="446">
        <v>21</v>
      </c>
      <c r="AF6" s="433">
        <v>22</v>
      </c>
      <c r="AG6" s="433">
        <v>23</v>
      </c>
      <c r="AH6" s="433">
        <v>24</v>
      </c>
      <c r="AI6" s="433">
        <v>25</v>
      </c>
      <c r="AJ6" s="433">
        <v>26</v>
      </c>
      <c r="AK6" s="433">
        <v>27</v>
      </c>
      <c r="AL6" s="446">
        <v>28</v>
      </c>
      <c r="AM6" s="433">
        <v>29</v>
      </c>
      <c r="AN6" s="433">
        <v>30</v>
      </c>
      <c r="AO6" s="433">
        <v>31</v>
      </c>
      <c r="AQ6" s="4475"/>
      <c r="AR6" s="4478"/>
      <c r="AT6" s="443" t="s">
        <v>7</v>
      </c>
      <c r="AU6" s="443" t="s">
        <v>2</v>
      </c>
      <c r="AV6" s="444"/>
      <c r="AX6" s="512">
        <f>AU3-AT1</f>
        <v>5.6196702671972742E-2</v>
      </c>
      <c r="AY6" s="444"/>
      <c r="AZ6" s="444" t="s">
        <v>101</v>
      </c>
      <c r="BA6" s="472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  <c r="BY6" s="471"/>
      <c r="BZ6" s="471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</row>
    <row r="7" spans="1:146" s="255" customFormat="1" ht="15" customHeight="1" x14ac:dyDescent="0.2">
      <c r="B7" s="81"/>
      <c r="C7" s="81" t="s">
        <v>19</v>
      </c>
      <c r="D7" s="81"/>
      <c r="E7" s="81"/>
      <c r="F7" s="81"/>
      <c r="G7" s="81"/>
      <c r="H7" s="81"/>
      <c r="I7" s="81"/>
      <c r="J7" s="337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T7" s="4502" t="s">
        <v>99</v>
      </c>
      <c r="AU7" s="4502"/>
      <c r="AV7" s="81"/>
      <c r="AX7" s="50"/>
    </row>
    <row r="8" spans="1:146" s="432" customFormat="1" x14ac:dyDescent="0.2">
      <c r="A8" s="670"/>
      <c r="B8" s="433">
        <v>1</v>
      </c>
      <c r="C8" s="433" t="s">
        <v>105</v>
      </c>
      <c r="D8" s="347">
        <v>400</v>
      </c>
      <c r="E8" s="347">
        <f>D8/10</f>
        <v>40</v>
      </c>
      <c r="F8" s="347">
        <f>D8/15</f>
        <v>26.666666666666668</v>
      </c>
      <c r="G8" s="347">
        <f>D8/20</f>
        <v>20</v>
      </c>
      <c r="H8" s="347">
        <f>D8/25</f>
        <v>16</v>
      </c>
      <c r="I8" s="347">
        <f t="shared" ref="I8" si="1">D8/30</f>
        <v>13.333333333333334</v>
      </c>
      <c r="J8" s="531">
        <f t="shared" ref="J8" si="2">D8/$D$21</f>
        <v>0.37900322152738297</v>
      </c>
      <c r="K8" s="483">
        <f t="shared" ref="K8:AO8" si="3">$I$8</f>
        <v>13.333333333333334</v>
      </c>
      <c r="L8" s="483">
        <f t="shared" si="3"/>
        <v>13.333333333333334</v>
      </c>
      <c r="M8" s="483">
        <f t="shared" si="3"/>
        <v>13.333333333333334</v>
      </c>
      <c r="N8" s="483">
        <f t="shared" si="3"/>
        <v>13.333333333333334</v>
      </c>
      <c r="O8" s="483">
        <f t="shared" si="3"/>
        <v>13.333333333333334</v>
      </c>
      <c r="P8" s="483">
        <f t="shared" si="3"/>
        <v>13.333333333333334</v>
      </c>
      <c r="Q8" s="483">
        <v>0</v>
      </c>
      <c r="R8" s="483">
        <f t="shared" si="3"/>
        <v>13.333333333333334</v>
      </c>
      <c r="S8" s="483">
        <f t="shared" si="3"/>
        <v>13.333333333333334</v>
      </c>
      <c r="T8" s="483">
        <f t="shared" si="3"/>
        <v>13.333333333333334</v>
      </c>
      <c r="U8" s="483">
        <f t="shared" si="3"/>
        <v>13.333333333333334</v>
      </c>
      <c r="V8" s="483">
        <f t="shared" si="3"/>
        <v>13.333333333333334</v>
      </c>
      <c r="W8" s="483">
        <f t="shared" si="3"/>
        <v>13.333333333333334</v>
      </c>
      <c r="X8" s="483">
        <f t="shared" si="3"/>
        <v>13.333333333333334</v>
      </c>
      <c r="Y8" s="483">
        <f t="shared" si="3"/>
        <v>13.333333333333334</v>
      </c>
      <c r="Z8" s="483">
        <f t="shared" si="3"/>
        <v>13.333333333333334</v>
      </c>
      <c r="AA8" s="483">
        <f t="shared" si="3"/>
        <v>13.333333333333334</v>
      </c>
      <c r="AB8" s="483">
        <f t="shared" si="3"/>
        <v>13.333333333333334</v>
      </c>
      <c r="AC8" s="483">
        <f t="shared" si="3"/>
        <v>13.333333333333334</v>
      </c>
      <c r="AD8" s="483">
        <f t="shared" si="3"/>
        <v>13.333333333333334</v>
      </c>
      <c r="AE8" s="483">
        <f t="shared" si="3"/>
        <v>13.333333333333334</v>
      </c>
      <c r="AF8" s="483">
        <f t="shared" si="3"/>
        <v>13.333333333333334</v>
      </c>
      <c r="AG8" s="483">
        <f t="shared" si="3"/>
        <v>13.333333333333334</v>
      </c>
      <c r="AH8" s="483">
        <f t="shared" si="3"/>
        <v>13.333333333333334</v>
      </c>
      <c r="AI8" s="483">
        <f t="shared" si="3"/>
        <v>13.333333333333334</v>
      </c>
      <c r="AJ8" s="483">
        <f t="shared" si="3"/>
        <v>13.333333333333334</v>
      </c>
      <c r="AK8" s="483">
        <f t="shared" si="3"/>
        <v>13.333333333333334</v>
      </c>
      <c r="AL8" s="483">
        <f t="shared" si="3"/>
        <v>13.333333333333334</v>
      </c>
      <c r="AM8" s="483">
        <f t="shared" si="3"/>
        <v>13.333333333333334</v>
      </c>
      <c r="AN8" s="483">
        <f t="shared" si="3"/>
        <v>13.333333333333334</v>
      </c>
      <c r="AO8" s="483">
        <f t="shared" si="3"/>
        <v>13.333333333333334</v>
      </c>
      <c r="AQ8" s="347">
        <v>400</v>
      </c>
      <c r="AR8" s="485">
        <f>AQ8/D8</f>
        <v>1</v>
      </c>
      <c r="AT8" s="347">
        <f t="shared" ref="AT8:AT20" si="4">SUM(K8:AO8)</f>
        <v>399.99999999999989</v>
      </c>
      <c r="AU8" s="485">
        <f>AT8/D8</f>
        <v>0.99999999999999967</v>
      </c>
      <c r="AV8" s="482"/>
      <c r="AX8" s="481"/>
      <c r="AY8" s="482"/>
      <c r="AZ8" s="482"/>
    </row>
    <row r="9" spans="1:146" s="255" customFormat="1" ht="15.75" thickBot="1" x14ac:dyDescent="0.25">
      <c r="B9" s="43">
        <v>2</v>
      </c>
      <c r="C9" s="43" t="s">
        <v>22</v>
      </c>
      <c r="D9" s="40">
        <v>200</v>
      </c>
      <c r="E9" s="40">
        <f t="shared" ref="E9:E20" si="5">D9/10</f>
        <v>20</v>
      </c>
      <c r="F9" s="40">
        <f t="shared" ref="F9:F20" si="6">D9/15</f>
        <v>13.333333333333334</v>
      </c>
      <c r="G9" s="40">
        <f t="shared" ref="G9:G20" si="7">D9/20</f>
        <v>10</v>
      </c>
      <c r="H9" s="40">
        <f t="shared" ref="H9:H20" si="8">D9/25</f>
        <v>8</v>
      </c>
      <c r="I9" s="40">
        <f t="shared" ref="I9:I20" si="9">D9/30</f>
        <v>6.666666666666667</v>
      </c>
      <c r="J9" s="206">
        <f t="shared" ref="J9:J20" si="10">D9/$D$21</f>
        <v>0.18950161076369149</v>
      </c>
      <c r="K9" s="416">
        <f t="shared" ref="K9:AO9" si="11">$I$9</f>
        <v>6.666666666666667</v>
      </c>
      <c r="L9" s="455">
        <f t="shared" si="11"/>
        <v>6.666666666666667</v>
      </c>
      <c r="M9" s="476">
        <f t="shared" si="11"/>
        <v>6.666666666666667</v>
      </c>
      <c r="N9" s="489">
        <f t="shared" si="11"/>
        <v>6.666666666666667</v>
      </c>
      <c r="O9" s="501">
        <f t="shared" si="11"/>
        <v>6.666666666666667</v>
      </c>
      <c r="P9" s="515">
        <f t="shared" si="11"/>
        <v>6.666666666666667</v>
      </c>
      <c r="Q9" s="416">
        <v>0</v>
      </c>
      <c r="R9" s="416">
        <f t="shared" si="11"/>
        <v>6.666666666666667</v>
      </c>
      <c r="S9" s="521">
        <f t="shared" si="11"/>
        <v>6.666666666666667</v>
      </c>
      <c r="T9" s="524">
        <f t="shared" si="11"/>
        <v>6.666666666666667</v>
      </c>
      <c r="U9" s="529">
        <f t="shared" si="11"/>
        <v>6.666666666666667</v>
      </c>
      <c r="V9" s="533">
        <f t="shared" si="11"/>
        <v>6.666666666666667</v>
      </c>
      <c r="W9" s="538">
        <f t="shared" si="11"/>
        <v>6.666666666666667</v>
      </c>
      <c r="X9" s="541">
        <f t="shared" si="11"/>
        <v>6.666666666666667</v>
      </c>
      <c r="Y9" s="541">
        <f t="shared" si="11"/>
        <v>6.666666666666667</v>
      </c>
      <c r="Z9" s="546">
        <f t="shared" si="11"/>
        <v>6.666666666666667</v>
      </c>
      <c r="AA9" s="549">
        <f t="shared" si="11"/>
        <v>6.666666666666667</v>
      </c>
      <c r="AB9" s="557">
        <f t="shared" si="11"/>
        <v>6.666666666666667</v>
      </c>
      <c r="AC9" s="634">
        <f t="shared" si="11"/>
        <v>6.666666666666667</v>
      </c>
      <c r="AD9" s="639">
        <f t="shared" si="11"/>
        <v>6.666666666666667</v>
      </c>
      <c r="AE9" s="644">
        <f t="shared" si="11"/>
        <v>6.666666666666667</v>
      </c>
      <c r="AF9" s="644">
        <f t="shared" si="11"/>
        <v>6.666666666666667</v>
      </c>
      <c r="AG9" s="672">
        <f t="shared" si="11"/>
        <v>6.666666666666667</v>
      </c>
      <c r="AH9" s="677">
        <f t="shared" si="11"/>
        <v>6.666666666666667</v>
      </c>
      <c r="AI9" s="680">
        <f t="shared" si="11"/>
        <v>6.666666666666667</v>
      </c>
      <c r="AJ9" s="680">
        <f t="shared" si="11"/>
        <v>6.666666666666667</v>
      </c>
      <c r="AK9" s="680">
        <f t="shared" si="11"/>
        <v>6.666666666666667</v>
      </c>
      <c r="AL9" s="685">
        <f t="shared" si="11"/>
        <v>6.666666666666667</v>
      </c>
      <c r="AM9" s="685">
        <f t="shared" si="11"/>
        <v>6.666666666666667</v>
      </c>
      <c r="AN9" s="685">
        <f t="shared" si="11"/>
        <v>6.666666666666667</v>
      </c>
      <c r="AO9" s="688">
        <f t="shared" si="11"/>
        <v>6.666666666666667</v>
      </c>
      <c r="AQ9" s="40">
        <v>200</v>
      </c>
      <c r="AR9" s="51">
        <f t="shared" ref="AR9:AR20" si="12">AQ9/D9</f>
        <v>1</v>
      </c>
      <c r="AT9" s="132">
        <f t="shared" si="4"/>
        <v>199.99999999999994</v>
      </c>
      <c r="AU9" s="641">
        <f t="shared" ref="AU9:AU20" si="13">AT9/D9</f>
        <v>0.99999999999999967</v>
      </c>
      <c r="AV9" s="62"/>
      <c r="AX9" s="61"/>
      <c r="AY9" s="62"/>
      <c r="AZ9" s="62"/>
    </row>
    <row r="10" spans="1:146" ht="15.75" thickBot="1" x14ac:dyDescent="0.25">
      <c r="B10" s="3">
        <v>3</v>
      </c>
      <c r="C10" s="3" t="s">
        <v>38</v>
      </c>
      <c r="D10" s="5">
        <v>139.25</v>
      </c>
      <c r="E10" s="5">
        <f t="shared" si="5"/>
        <v>13.925000000000001</v>
      </c>
      <c r="F10" s="5">
        <f t="shared" si="6"/>
        <v>9.2833333333333332</v>
      </c>
      <c r="G10" s="5">
        <f t="shared" si="7"/>
        <v>6.9625000000000004</v>
      </c>
      <c r="H10" s="5">
        <f t="shared" si="8"/>
        <v>5.57</v>
      </c>
      <c r="I10" s="5">
        <f t="shared" si="9"/>
        <v>4.6416666666666666</v>
      </c>
      <c r="J10" s="194">
        <f t="shared" si="10"/>
        <v>0.13194049649422018</v>
      </c>
      <c r="K10" s="414">
        <f t="shared" ref="K10:AO10" si="14">$I$10</f>
        <v>4.6416666666666666</v>
      </c>
      <c r="L10" s="456">
        <f t="shared" si="14"/>
        <v>4.6416666666666666</v>
      </c>
      <c r="M10" s="477">
        <f t="shared" si="14"/>
        <v>4.6416666666666666</v>
      </c>
      <c r="N10" s="490">
        <f t="shared" si="14"/>
        <v>4.6416666666666666</v>
      </c>
      <c r="O10" s="499">
        <f t="shared" si="14"/>
        <v>4.6416666666666666</v>
      </c>
      <c r="P10" s="513">
        <f t="shared" si="14"/>
        <v>4.6416666666666666</v>
      </c>
      <c r="Q10" s="414">
        <v>0</v>
      </c>
      <c r="R10" s="414">
        <f t="shared" si="14"/>
        <v>4.6416666666666666</v>
      </c>
      <c r="S10" s="519">
        <f t="shared" si="14"/>
        <v>4.6416666666666666</v>
      </c>
      <c r="T10" s="526">
        <f t="shared" si="14"/>
        <v>4.6416666666666666</v>
      </c>
      <c r="U10" s="527">
        <f t="shared" si="14"/>
        <v>4.6416666666666666</v>
      </c>
      <c r="V10" s="535">
        <f t="shared" si="14"/>
        <v>4.6416666666666666</v>
      </c>
      <c r="W10" s="536">
        <f t="shared" si="14"/>
        <v>4.6416666666666666</v>
      </c>
      <c r="X10" s="543">
        <f t="shared" si="14"/>
        <v>4.6416666666666666</v>
      </c>
      <c r="Y10" s="543">
        <f t="shared" si="14"/>
        <v>4.6416666666666666</v>
      </c>
      <c r="Z10" s="544">
        <f t="shared" si="14"/>
        <v>4.6416666666666666</v>
      </c>
      <c r="AA10" s="551">
        <f t="shared" si="14"/>
        <v>4.6416666666666666</v>
      </c>
      <c r="AB10" s="555">
        <f t="shared" si="14"/>
        <v>4.6416666666666666</v>
      </c>
      <c r="AC10" s="636">
        <f t="shared" si="14"/>
        <v>4.6416666666666666</v>
      </c>
      <c r="AD10" s="637">
        <f t="shared" si="14"/>
        <v>4.6416666666666666</v>
      </c>
      <c r="AE10" s="643">
        <f t="shared" si="14"/>
        <v>4.6416666666666666</v>
      </c>
      <c r="AF10" s="643">
        <f t="shared" si="14"/>
        <v>4.6416666666666666</v>
      </c>
      <c r="AG10" s="674">
        <f t="shared" si="14"/>
        <v>4.6416666666666666</v>
      </c>
      <c r="AH10" s="675">
        <f t="shared" si="14"/>
        <v>4.6416666666666666</v>
      </c>
      <c r="AI10" s="682">
        <f t="shared" si="14"/>
        <v>4.6416666666666666</v>
      </c>
      <c r="AJ10" s="682">
        <f t="shared" si="14"/>
        <v>4.6416666666666666</v>
      </c>
      <c r="AK10" s="682">
        <f t="shared" si="14"/>
        <v>4.6416666666666666</v>
      </c>
      <c r="AL10" s="683">
        <f t="shared" si="14"/>
        <v>4.6416666666666666</v>
      </c>
      <c r="AM10" s="683">
        <f t="shared" si="14"/>
        <v>4.6416666666666666</v>
      </c>
      <c r="AN10" s="683">
        <f t="shared" si="14"/>
        <v>4.6416666666666666</v>
      </c>
      <c r="AO10" s="689">
        <f t="shared" si="14"/>
        <v>4.6416666666666666</v>
      </c>
      <c r="AQ10" s="5">
        <v>139.25</v>
      </c>
      <c r="AR10" s="9">
        <f>AQ10/D10</f>
        <v>1</v>
      </c>
      <c r="AT10" s="5">
        <f t="shared" si="4"/>
        <v>139.25000000000003</v>
      </c>
      <c r="AU10" s="9">
        <f t="shared" si="13"/>
        <v>1.0000000000000002</v>
      </c>
      <c r="AV10" s="29"/>
      <c r="AX10" s="589">
        <f>D10-AQ10</f>
        <v>0</v>
      </c>
      <c r="AY10" s="4485">
        <f>AX10+AX12</f>
        <v>0</v>
      </c>
      <c r="AZ10" s="29"/>
      <c r="BB10" s="314"/>
    </row>
    <row r="11" spans="1:146" s="255" customFormat="1" ht="15.75" thickBot="1" x14ac:dyDescent="0.25">
      <c r="B11" s="43">
        <v>4</v>
      </c>
      <c r="C11" s="43" t="s">
        <v>23</v>
      </c>
      <c r="D11" s="40">
        <v>60</v>
      </c>
      <c r="E11" s="40">
        <f t="shared" si="5"/>
        <v>6</v>
      </c>
      <c r="F11" s="40">
        <f t="shared" si="6"/>
        <v>4</v>
      </c>
      <c r="G11" s="40">
        <f t="shared" si="7"/>
        <v>3</v>
      </c>
      <c r="H11" s="40">
        <f t="shared" si="8"/>
        <v>2.4</v>
      </c>
      <c r="I11" s="40">
        <f t="shared" si="9"/>
        <v>2</v>
      </c>
      <c r="J11" s="206">
        <f t="shared" si="10"/>
        <v>5.6850483229107442E-2</v>
      </c>
      <c r="K11" s="549">
        <f t="shared" ref="K11:AO11" si="15">$I$11</f>
        <v>2</v>
      </c>
      <c r="L11" s="549">
        <f t="shared" si="15"/>
        <v>2</v>
      </c>
      <c r="M11" s="549">
        <f t="shared" si="15"/>
        <v>2</v>
      </c>
      <c r="N11" s="549">
        <f t="shared" si="15"/>
        <v>2</v>
      </c>
      <c r="O11" s="549">
        <f t="shared" si="15"/>
        <v>2</v>
      </c>
      <c r="P11" s="549">
        <f t="shared" si="15"/>
        <v>2</v>
      </c>
      <c r="Q11" s="549">
        <v>0</v>
      </c>
      <c r="R11" s="549">
        <f t="shared" si="15"/>
        <v>2</v>
      </c>
      <c r="S11" s="549">
        <f t="shared" si="15"/>
        <v>2</v>
      </c>
      <c r="T11" s="549">
        <f t="shared" si="15"/>
        <v>2</v>
      </c>
      <c r="U11" s="549">
        <f t="shared" si="15"/>
        <v>2</v>
      </c>
      <c r="V11" s="549">
        <f t="shared" si="15"/>
        <v>2</v>
      </c>
      <c r="W11" s="549">
        <f t="shared" si="15"/>
        <v>2</v>
      </c>
      <c r="X11" s="549">
        <f t="shared" si="15"/>
        <v>2</v>
      </c>
      <c r="Y11" s="549">
        <f t="shared" si="15"/>
        <v>2</v>
      </c>
      <c r="Z11" s="549">
        <f t="shared" si="15"/>
        <v>2</v>
      </c>
      <c r="AA11" s="549">
        <f t="shared" si="15"/>
        <v>2</v>
      </c>
      <c r="AB11" s="557">
        <f t="shared" si="15"/>
        <v>2</v>
      </c>
      <c r="AC11" s="634">
        <f t="shared" si="15"/>
        <v>2</v>
      </c>
      <c r="AD11" s="639">
        <f t="shared" si="15"/>
        <v>2</v>
      </c>
      <c r="AE11" s="644">
        <f t="shared" si="15"/>
        <v>2</v>
      </c>
      <c r="AF11" s="644">
        <f t="shared" si="15"/>
        <v>2</v>
      </c>
      <c r="AG11" s="672">
        <f t="shared" si="15"/>
        <v>2</v>
      </c>
      <c r="AH11" s="677">
        <f t="shared" si="15"/>
        <v>2</v>
      </c>
      <c r="AI11" s="680">
        <f t="shared" si="15"/>
        <v>2</v>
      </c>
      <c r="AJ11" s="680">
        <f t="shared" si="15"/>
        <v>2</v>
      </c>
      <c r="AK11" s="680">
        <f t="shared" si="15"/>
        <v>2</v>
      </c>
      <c r="AL11" s="685">
        <f t="shared" si="15"/>
        <v>2</v>
      </c>
      <c r="AM11" s="685">
        <f t="shared" si="15"/>
        <v>2</v>
      </c>
      <c r="AN11" s="685">
        <f t="shared" si="15"/>
        <v>2</v>
      </c>
      <c r="AO11" s="688">
        <f t="shared" si="15"/>
        <v>2</v>
      </c>
      <c r="AQ11" s="40">
        <v>60</v>
      </c>
      <c r="AR11" s="51">
        <f t="shared" si="12"/>
        <v>1</v>
      </c>
      <c r="AT11" s="40">
        <f t="shared" si="4"/>
        <v>60</v>
      </c>
      <c r="AU11" s="51">
        <f t="shared" si="13"/>
        <v>1</v>
      </c>
      <c r="AV11" s="62"/>
      <c r="AX11" s="61"/>
      <c r="AY11" s="4486"/>
      <c r="AZ11" s="62"/>
    </row>
    <row r="12" spans="1:146" s="552" customFormat="1" ht="15.75" thickBot="1" x14ac:dyDescent="0.25">
      <c r="B12" s="3">
        <v>5</v>
      </c>
      <c r="C12" s="3" t="s">
        <v>39</v>
      </c>
      <c r="D12" s="5">
        <v>50.5</v>
      </c>
      <c r="E12" s="5">
        <f t="shared" si="5"/>
        <v>5.05</v>
      </c>
      <c r="F12" s="5">
        <f t="shared" si="6"/>
        <v>3.3666666666666667</v>
      </c>
      <c r="G12" s="5">
        <f t="shared" si="7"/>
        <v>2.5249999999999999</v>
      </c>
      <c r="H12" s="5">
        <f t="shared" si="8"/>
        <v>2.02</v>
      </c>
      <c r="I12" s="5">
        <f t="shared" si="9"/>
        <v>1.6833333333333333</v>
      </c>
      <c r="J12" s="194">
        <f t="shared" si="10"/>
        <v>4.7849156717832096E-2</v>
      </c>
      <c r="K12" s="551">
        <f t="shared" ref="K12:AO12" si="16">$I$12</f>
        <v>1.6833333333333333</v>
      </c>
      <c r="L12" s="551">
        <f t="shared" si="16"/>
        <v>1.6833333333333333</v>
      </c>
      <c r="M12" s="551">
        <f t="shared" si="16"/>
        <v>1.6833333333333333</v>
      </c>
      <c r="N12" s="551">
        <f t="shared" si="16"/>
        <v>1.6833333333333333</v>
      </c>
      <c r="O12" s="551">
        <f t="shared" si="16"/>
        <v>1.6833333333333333</v>
      </c>
      <c r="P12" s="551">
        <f t="shared" si="16"/>
        <v>1.6833333333333333</v>
      </c>
      <c r="Q12" s="551">
        <v>0</v>
      </c>
      <c r="R12" s="551">
        <f t="shared" si="16"/>
        <v>1.6833333333333333</v>
      </c>
      <c r="S12" s="551">
        <f t="shared" si="16"/>
        <v>1.6833333333333333</v>
      </c>
      <c r="T12" s="551">
        <f t="shared" si="16"/>
        <v>1.6833333333333333</v>
      </c>
      <c r="U12" s="551">
        <f t="shared" si="16"/>
        <v>1.6833333333333333</v>
      </c>
      <c r="V12" s="551">
        <f t="shared" si="16"/>
        <v>1.6833333333333333</v>
      </c>
      <c r="W12" s="551">
        <f t="shared" si="16"/>
        <v>1.6833333333333333</v>
      </c>
      <c r="X12" s="551">
        <f t="shared" si="16"/>
        <v>1.6833333333333333</v>
      </c>
      <c r="Y12" s="551">
        <f t="shared" si="16"/>
        <v>1.6833333333333333</v>
      </c>
      <c r="Z12" s="551">
        <f t="shared" si="16"/>
        <v>1.6833333333333333</v>
      </c>
      <c r="AA12" s="551">
        <f t="shared" si="16"/>
        <v>1.6833333333333333</v>
      </c>
      <c r="AB12" s="555">
        <f t="shared" si="16"/>
        <v>1.6833333333333333</v>
      </c>
      <c r="AC12" s="636">
        <f t="shared" si="16"/>
        <v>1.6833333333333333</v>
      </c>
      <c r="AD12" s="637">
        <f t="shared" si="16"/>
        <v>1.6833333333333333</v>
      </c>
      <c r="AE12" s="643">
        <f t="shared" si="16"/>
        <v>1.6833333333333333</v>
      </c>
      <c r="AF12" s="643">
        <f t="shared" si="16"/>
        <v>1.6833333333333333</v>
      </c>
      <c r="AG12" s="674">
        <f t="shared" si="16"/>
        <v>1.6833333333333333</v>
      </c>
      <c r="AH12" s="675">
        <f t="shared" si="16"/>
        <v>1.6833333333333333</v>
      </c>
      <c r="AI12" s="682">
        <f t="shared" si="16"/>
        <v>1.6833333333333333</v>
      </c>
      <c r="AJ12" s="682">
        <f t="shared" si="16"/>
        <v>1.6833333333333333</v>
      </c>
      <c r="AK12" s="682">
        <f t="shared" si="16"/>
        <v>1.6833333333333333</v>
      </c>
      <c r="AL12" s="683">
        <f t="shared" si="16"/>
        <v>1.6833333333333333</v>
      </c>
      <c r="AM12" s="683">
        <f t="shared" si="16"/>
        <v>1.6833333333333333</v>
      </c>
      <c r="AN12" s="683">
        <f t="shared" si="16"/>
        <v>1.6833333333333333</v>
      </c>
      <c r="AO12" s="689">
        <f t="shared" si="16"/>
        <v>1.6833333333333333</v>
      </c>
      <c r="AQ12" s="5">
        <v>50.5</v>
      </c>
      <c r="AR12" s="9">
        <f t="shared" si="12"/>
        <v>1</v>
      </c>
      <c r="AT12" s="5">
        <f t="shared" si="4"/>
        <v>50.499999999999964</v>
      </c>
      <c r="AU12" s="9">
        <f t="shared" si="13"/>
        <v>0.99999999999999933</v>
      </c>
      <c r="AV12" s="29"/>
      <c r="AX12" s="511">
        <f>D12-AQ12</f>
        <v>0</v>
      </c>
      <c r="AY12" s="4486"/>
      <c r="AZ12" s="29"/>
    </row>
    <row r="13" spans="1:146" s="255" customFormat="1" x14ac:dyDescent="0.2">
      <c r="B13" s="43">
        <v>6</v>
      </c>
      <c r="C13" s="43" t="s">
        <v>37</v>
      </c>
      <c r="D13" s="40">
        <v>43.65</v>
      </c>
      <c r="E13" s="40">
        <f t="shared" si="5"/>
        <v>4.3650000000000002</v>
      </c>
      <c r="F13" s="40">
        <f t="shared" si="6"/>
        <v>2.9099999999999997</v>
      </c>
      <c r="G13" s="40">
        <f t="shared" si="7"/>
        <v>2.1825000000000001</v>
      </c>
      <c r="H13" s="40">
        <f t="shared" si="8"/>
        <v>1.746</v>
      </c>
      <c r="I13" s="40">
        <f t="shared" si="9"/>
        <v>1.4549999999999998</v>
      </c>
      <c r="J13" s="206">
        <f t="shared" si="10"/>
        <v>4.1358726549175662E-2</v>
      </c>
      <c r="K13" s="549">
        <f>$I$13</f>
        <v>1.4549999999999998</v>
      </c>
      <c r="L13" s="549">
        <f t="shared" ref="L13:AO13" si="17">$I$13</f>
        <v>1.4549999999999998</v>
      </c>
      <c r="M13" s="549">
        <f t="shared" si="17"/>
        <v>1.4549999999999998</v>
      </c>
      <c r="N13" s="549">
        <f t="shared" si="17"/>
        <v>1.4549999999999998</v>
      </c>
      <c r="O13" s="549">
        <f t="shared" si="17"/>
        <v>1.4549999999999998</v>
      </c>
      <c r="P13" s="549">
        <f t="shared" si="17"/>
        <v>1.4549999999999998</v>
      </c>
      <c r="Q13" s="549">
        <v>0</v>
      </c>
      <c r="R13" s="549">
        <f t="shared" si="17"/>
        <v>1.4549999999999998</v>
      </c>
      <c r="S13" s="549">
        <f t="shared" si="17"/>
        <v>1.4549999999999998</v>
      </c>
      <c r="T13" s="549">
        <f t="shared" si="17"/>
        <v>1.4549999999999998</v>
      </c>
      <c r="U13" s="549">
        <f t="shared" si="17"/>
        <v>1.4549999999999998</v>
      </c>
      <c r="V13" s="549">
        <f t="shared" si="17"/>
        <v>1.4549999999999998</v>
      </c>
      <c r="W13" s="549">
        <f t="shared" si="17"/>
        <v>1.4549999999999998</v>
      </c>
      <c r="X13" s="549">
        <f t="shared" si="17"/>
        <v>1.4549999999999998</v>
      </c>
      <c r="Y13" s="549">
        <f t="shared" si="17"/>
        <v>1.4549999999999998</v>
      </c>
      <c r="Z13" s="549">
        <f t="shared" si="17"/>
        <v>1.4549999999999998</v>
      </c>
      <c r="AA13" s="549">
        <f t="shared" si="17"/>
        <v>1.4549999999999998</v>
      </c>
      <c r="AB13" s="557">
        <f t="shared" si="17"/>
        <v>1.4549999999999998</v>
      </c>
      <c r="AC13" s="634">
        <f t="shared" si="17"/>
        <v>1.4549999999999998</v>
      </c>
      <c r="AD13" s="639">
        <f t="shared" si="17"/>
        <v>1.4549999999999998</v>
      </c>
      <c r="AE13" s="644">
        <f t="shared" si="17"/>
        <v>1.4549999999999998</v>
      </c>
      <c r="AF13" s="644">
        <f t="shared" si="17"/>
        <v>1.4549999999999998</v>
      </c>
      <c r="AG13" s="672">
        <f t="shared" si="17"/>
        <v>1.4549999999999998</v>
      </c>
      <c r="AH13" s="677">
        <f t="shared" si="17"/>
        <v>1.4549999999999998</v>
      </c>
      <c r="AI13" s="680">
        <f t="shared" si="17"/>
        <v>1.4549999999999998</v>
      </c>
      <c r="AJ13" s="680">
        <f t="shared" si="17"/>
        <v>1.4549999999999998</v>
      </c>
      <c r="AK13" s="680">
        <f t="shared" si="17"/>
        <v>1.4549999999999998</v>
      </c>
      <c r="AL13" s="685">
        <f t="shared" si="17"/>
        <v>1.4549999999999998</v>
      </c>
      <c r="AM13" s="685">
        <f t="shared" si="17"/>
        <v>1.4549999999999998</v>
      </c>
      <c r="AN13" s="685">
        <f t="shared" si="17"/>
        <v>1.4549999999999998</v>
      </c>
      <c r="AO13" s="688">
        <f t="shared" si="17"/>
        <v>1.4549999999999998</v>
      </c>
      <c r="AQ13" s="40">
        <v>43.65</v>
      </c>
      <c r="AR13" s="51">
        <f t="shared" si="12"/>
        <v>1</v>
      </c>
      <c r="AT13" s="40">
        <f t="shared" ref="AT13" si="18">SUM(K13:AO13)</f>
        <v>43.64999999999997</v>
      </c>
      <c r="AU13" s="51">
        <f t="shared" ref="AU13" si="19">AT13/D13</f>
        <v>0.99999999999999933</v>
      </c>
      <c r="AV13" s="62"/>
      <c r="AX13" s="61"/>
      <c r="AY13" s="632"/>
      <c r="AZ13" s="62"/>
    </row>
    <row r="14" spans="1:146" s="552" customFormat="1" x14ac:dyDescent="0.2">
      <c r="B14" s="433">
        <v>7</v>
      </c>
      <c r="C14" s="3" t="s">
        <v>60</v>
      </c>
      <c r="D14" s="5">
        <v>37</v>
      </c>
      <c r="E14" s="5">
        <f t="shared" si="5"/>
        <v>3.7</v>
      </c>
      <c r="F14" s="5">
        <f t="shared" si="6"/>
        <v>2.4666666666666668</v>
      </c>
      <c r="G14" s="5">
        <f t="shared" si="7"/>
        <v>1.85</v>
      </c>
      <c r="H14" s="5">
        <f t="shared" si="8"/>
        <v>1.48</v>
      </c>
      <c r="I14" s="5">
        <f t="shared" si="9"/>
        <v>1.2333333333333334</v>
      </c>
      <c r="J14" s="194">
        <f t="shared" si="10"/>
        <v>3.5057797991282925E-2</v>
      </c>
      <c r="K14" s="551">
        <f t="shared" ref="K14:AO14" si="20">$I$14</f>
        <v>1.2333333333333334</v>
      </c>
      <c r="L14" s="551">
        <f t="shared" si="20"/>
        <v>1.2333333333333334</v>
      </c>
      <c r="M14" s="551">
        <f t="shared" si="20"/>
        <v>1.2333333333333334</v>
      </c>
      <c r="N14" s="551">
        <f t="shared" si="20"/>
        <v>1.2333333333333334</v>
      </c>
      <c r="O14" s="551">
        <f t="shared" si="20"/>
        <v>1.2333333333333334</v>
      </c>
      <c r="P14" s="551">
        <f t="shared" si="20"/>
        <v>1.2333333333333334</v>
      </c>
      <c r="Q14" s="551">
        <v>0</v>
      </c>
      <c r="R14" s="551">
        <f t="shared" si="20"/>
        <v>1.2333333333333334</v>
      </c>
      <c r="S14" s="551">
        <f t="shared" si="20"/>
        <v>1.2333333333333334</v>
      </c>
      <c r="T14" s="551">
        <f t="shared" si="20"/>
        <v>1.2333333333333334</v>
      </c>
      <c r="U14" s="551">
        <f t="shared" si="20"/>
        <v>1.2333333333333334</v>
      </c>
      <c r="V14" s="551">
        <f t="shared" si="20"/>
        <v>1.2333333333333334</v>
      </c>
      <c r="W14" s="551">
        <f t="shared" si="20"/>
        <v>1.2333333333333334</v>
      </c>
      <c r="X14" s="551">
        <f t="shared" si="20"/>
        <v>1.2333333333333334</v>
      </c>
      <c r="Y14" s="551">
        <f t="shared" si="20"/>
        <v>1.2333333333333334</v>
      </c>
      <c r="Z14" s="551">
        <f t="shared" si="20"/>
        <v>1.2333333333333334</v>
      </c>
      <c r="AA14" s="551">
        <f t="shared" si="20"/>
        <v>1.2333333333333334</v>
      </c>
      <c r="AB14" s="555">
        <f t="shared" si="20"/>
        <v>1.2333333333333334</v>
      </c>
      <c r="AC14" s="636">
        <f t="shared" si="20"/>
        <v>1.2333333333333334</v>
      </c>
      <c r="AD14" s="637">
        <f t="shared" si="20"/>
        <v>1.2333333333333334</v>
      </c>
      <c r="AE14" s="643">
        <f t="shared" si="20"/>
        <v>1.2333333333333334</v>
      </c>
      <c r="AF14" s="643">
        <f t="shared" si="20"/>
        <v>1.2333333333333334</v>
      </c>
      <c r="AG14" s="674">
        <f t="shared" si="20"/>
        <v>1.2333333333333334</v>
      </c>
      <c r="AH14" s="675">
        <f t="shared" si="20"/>
        <v>1.2333333333333334</v>
      </c>
      <c r="AI14" s="682">
        <f t="shared" si="20"/>
        <v>1.2333333333333334</v>
      </c>
      <c r="AJ14" s="682">
        <f t="shared" si="20"/>
        <v>1.2333333333333334</v>
      </c>
      <c r="AK14" s="682">
        <f t="shared" si="20"/>
        <v>1.2333333333333334</v>
      </c>
      <c r="AL14" s="683">
        <f t="shared" si="20"/>
        <v>1.2333333333333334</v>
      </c>
      <c r="AM14" s="683">
        <f t="shared" si="20"/>
        <v>1.2333333333333334</v>
      </c>
      <c r="AN14" s="683">
        <f t="shared" si="20"/>
        <v>1.2333333333333334</v>
      </c>
      <c r="AO14" s="689">
        <f t="shared" si="20"/>
        <v>1.2333333333333334</v>
      </c>
      <c r="AQ14" s="5">
        <v>37</v>
      </c>
      <c r="AR14" s="9">
        <f t="shared" si="12"/>
        <v>1</v>
      </c>
      <c r="AT14" s="5">
        <f t="shared" ref="AT14" si="21">SUM(K14:AO14)</f>
        <v>37.000000000000021</v>
      </c>
      <c r="AU14" s="9">
        <f t="shared" si="13"/>
        <v>1.0000000000000007</v>
      </c>
      <c r="AV14" s="29"/>
      <c r="AX14" s="14"/>
      <c r="AY14" s="588"/>
      <c r="AZ14" s="29"/>
    </row>
    <row r="15" spans="1:146" s="255" customFormat="1" x14ac:dyDescent="0.2">
      <c r="B15" s="43">
        <v>8</v>
      </c>
      <c r="C15" s="427" t="s">
        <v>43</v>
      </c>
      <c r="D15" s="132">
        <v>27</v>
      </c>
      <c r="E15" s="132">
        <f t="shared" si="5"/>
        <v>2.7</v>
      </c>
      <c r="F15" s="132">
        <f t="shared" si="6"/>
        <v>1.8</v>
      </c>
      <c r="G15" s="132">
        <f t="shared" si="7"/>
        <v>1.35</v>
      </c>
      <c r="H15" s="132">
        <f t="shared" si="8"/>
        <v>1.08</v>
      </c>
      <c r="I15" s="132">
        <f t="shared" si="9"/>
        <v>0.9</v>
      </c>
      <c r="J15" s="478">
        <f t="shared" si="10"/>
        <v>2.5582717453098348E-2</v>
      </c>
      <c r="K15" s="549">
        <f t="shared" ref="K15:AO15" si="22">$I$15</f>
        <v>0.9</v>
      </c>
      <c r="L15" s="549">
        <f t="shared" si="22"/>
        <v>0.9</v>
      </c>
      <c r="M15" s="549">
        <f t="shared" si="22"/>
        <v>0.9</v>
      </c>
      <c r="N15" s="549">
        <f t="shared" si="22"/>
        <v>0.9</v>
      </c>
      <c r="O15" s="549">
        <f t="shared" si="22"/>
        <v>0.9</v>
      </c>
      <c r="P15" s="549">
        <f t="shared" si="22"/>
        <v>0.9</v>
      </c>
      <c r="Q15" s="549">
        <v>0</v>
      </c>
      <c r="R15" s="549">
        <f t="shared" si="22"/>
        <v>0.9</v>
      </c>
      <c r="S15" s="549">
        <f t="shared" si="22"/>
        <v>0.9</v>
      </c>
      <c r="T15" s="549">
        <f t="shared" si="22"/>
        <v>0.9</v>
      </c>
      <c r="U15" s="549">
        <f t="shared" si="22"/>
        <v>0.9</v>
      </c>
      <c r="V15" s="549">
        <f t="shared" si="22"/>
        <v>0.9</v>
      </c>
      <c r="W15" s="549">
        <f t="shared" si="22"/>
        <v>0.9</v>
      </c>
      <c r="X15" s="549">
        <f t="shared" si="22"/>
        <v>0.9</v>
      </c>
      <c r="Y15" s="549">
        <f t="shared" si="22"/>
        <v>0.9</v>
      </c>
      <c r="Z15" s="549">
        <f t="shared" si="22"/>
        <v>0.9</v>
      </c>
      <c r="AA15" s="549">
        <f t="shared" si="22"/>
        <v>0.9</v>
      </c>
      <c r="AB15" s="557">
        <f t="shared" si="22"/>
        <v>0.9</v>
      </c>
      <c r="AC15" s="634">
        <f t="shared" si="22"/>
        <v>0.9</v>
      </c>
      <c r="AD15" s="639">
        <f t="shared" si="22"/>
        <v>0.9</v>
      </c>
      <c r="AE15" s="644">
        <f t="shared" si="22"/>
        <v>0.9</v>
      </c>
      <c r="AF15" s="644">
        <f t="shared" si="22"/>
        <v>0.9</v>
      </c>
      <c r="AG15" s="672">
        <f t="shared" si="22"/>
        <v>0.9</v>
      </c>
      <c r="AH15" s="677">
        <f t="shared" si="22"/>
        <v>0.9</v>
      </c>
      <c r="AI15" s="680">
        <f t="shared" si="22"/>
        <v>0.9</v>
      </c>
      <c r="AJ15" s="680">
        <f t="shared" si="22"/>
        <v>0.9</v>
      </c>
      <c r="AK15" s="680">
        <f t="shared" si="22"/>
        <v>0.9</v>
      </c>
      <c r="AL15" s="685">
        <f t="shared" si="22"/>
        <v>0.9</v>
      </c>
      <c r="AM15" s="685">
        <f t="shared" si="22"/>
        <v>0.9</v>
      </c>
      <c r="AN15" s="685">
        <f t="shared" si="22"/>
        <v>0.9</v>
      </c>
      <c r="AO15" s="688">
        <f t="shared" si="22"/>
        <v>0.9</v>
      </c>
      <c r="AQ15" s="40">
        <v>27</v>
      </c>
      <c r="AR15" s="51">
        <f t="shared" si="12"/>
        <v>1</v>
      </c>
      <c r="AT15" s="40">
        <f t="shared" si="4"/>
        <v>26.999999999999986</v>
      </c>
      <c r="AU15" s="51">
        <f t="shared" si="13"/>
        <v>0.99999999999999944</v>
      </c>
      <c r="AV15" s="62"/>
      <c r="AX15" s="61"/>
      <c r="AY15" s="62"/>
      <c r="AZ15" s="62"/>
    </row>
    <row r="16" spans="1:146" s="432" customFormat="1" x14ac:dyDescent="0.2">
      <c r="B16" s="3">
        <v>9</v>
      </c>
      <c r="C16" s="3" t="s">
        <v>103</v>
      </c>
      <c r="D16" s="5">
        <v>25.5</v>
      </c>
      <c r="E16" s="5">
        <f t="shared" si="5"/>
        <v>2.5499999999999998</v>
      </c>
      <c r="F16" s="5">
        <f t="shared" si="6"/>
        <v>1.7</v>
      </c>
      <c r="G16" s="5">
        <f t="shared" si="7"/>
        <v>1.2749999999999999</v>
      </c>
      <c r="H16" s="5">
        <f t="shared" si="8"/>
        <v>1.02</v>
      </c>
      <c r="I16" s="5">
        <f t="shared" si="9"/>
        <v>0.85</v>
      </c>
      <c r="J16" s="194">
        <f t="shared" si="10"/>
        <v>2.4161455372370664E-2</v>
      </c>
      <c r="K16" s="483">
        <f t="shared" ref="K16:AO16" si="23">$I$16</f>
        <v>0.85</v>
      </c>
      <c r="L16" s="483">
        <f t="shared" si="23"/>
        <v>0.85</v>
      </c>
      <c r="M16" s="483">
        <f t="shared" si="23"/>
        <v>0.85</v>
      </c>
      <c r="N16" s="483">
        <f t="shared" si="23"/>
        <v>0.85</v>
      </c>
      <c r="O16" s="483">
        <f t="shared" si="23"/>
        <v>0.85</v>
      </c>
      <c r="P16" s="483">
        <f t="shared" si="23"/>
        <v>0.85</v>
      </c>
      <c r="Q16" s="483">
        <v>0</v>
      </c>
      <c r="R16" s="483">
        <f t="shared" si="23"/>
        <v>0.85</v>
      </c>
      <c r="S16" s="483">
        <f t="shared" si="23"/>
        <v>0.85</v>
      </c>
      <c r="T16" s="483">
        <f t="shared" si="23"/>
        <v>0.85</v>
      </c>
      <c r="U16" s="483">
        <f t="shared" si="23"/>
        <v>0.85</v>
      </c>
      <c r="V16" s="483">
        <f t="shared" si="23"/>
        <v>0.85</v>
      </c>
      <c r="W16" s="483">
        <f t="shared" si="23"/>
        <v>0.85</v>
      </c>
      <c r="X16" s="483">
        <f t="shared" si="23"/>
        <v>0.85</v>
      </c>
      <c r="Y16" s="483">
        <f t="shared" si="23"/>
        <v>0.85</v>
      </c>
      <c r="Z16" s="483">
        <f t="shared" si="23"/>
        <v>0.85</v>
      </c>
      <c r="AA16" s="483">
        <f t="shared" si="23"/>
        <v>0.85</v>
      </c>
      <c r="AB16" s="483">
        <f t="shared" si="23"/>
        <v>0.85</v>
      </c>
      <c r="AC16" s="483">
        <f t="shared" si="23"/>
        <v>0.85</v>
      </c>
      <c r="AD16" s="483">
        <f t="shared" si="23"/>
        <v>0.85</v>
      </c>
      <c r="AE16" s="483">
        <f t="shared" si="23"/>
        <v>0.85</v>
      </c>
      <c r="AF16" s="483">
        <f t="shared" si="23"/>
        <v>0.85</v>
      </c>
      <c r="AG16" s="483">
        <f t="shared" si="23"/>
        <v>0.85</v>
      </c>
      <c r="AH16" s="483">
        <f t="shared" si="23"/>
        <v>0.85</v>
      </c>
      <c r="AI16" s="483">
        <f t="shared" si="23"/>
        <v>0.85</v>
      </c>
      <c r="AJ16" s="483">
        <f t="shared" si="23"/>
        <v>0.85</v>
      </c>
      <c r="AK16" s="483">
        <f t="shared" si="23"/>
        <v>0.85</v>
      </c>
      <c r="AL16" s="483">
        <f t="shared" si="23"/>
        <v>0.85</v>
      </c>
      <c r="AM16" s="483">
        <f t="shared" si="23"/>
        <v>0.85</v>
      </c>
      <c r="AN16" s="483">
        <f t="shared" si="23"/>
        <v>0.85</v>
      </c>
      <c r="AO16" s="483">
        <f t="shared" si="23"/>
        <v>0.85</v>
      </c>
      <c r="AQ16" s="347">
        <v>25.5</v>
      </c>
      <c r="AR16" s="485">
        <f t="shared" si="12"/>
        <v>1</v>
      </c>
      <c r="AT16" s="347">
        <f>SUM(K16:AO16)</f>
        <v>25.500000000000011</v>
      </c>
      <c r="AU16" s="485">
        <f t="shared" si="13"/>
        <v>1.0000000000000004</v>
      </c>
      <c r="AV16" s="482"/>
      <c r="AX16" s="481"/>
      <c r="AY16" s="482"/>
      <c r="AZ16" s="482"/>
    </row>
    <row r="17" spans="2:52" s="255" customFormat="1" x14ac:dyDescent="0.2">
      <c r="B17" s="43">
        <v>10</v>
      </c>
      <c r="C17" s="43" t="s">
        <v>104</v>
      </c>
      <c r="D17" s="40">
        <v>25.5</v>
      </c>
      <c r="E17" s="40">
        <f t="shared" si="5"/>
        <v>2.5499999999999998</v>
      </c>
      <c r="F17" s="40">
        <f t="shared" si="6"/>
        <v>1.7</v>
      </c>
      <c r="G17" s="40">
        <f t="shared" si="7"/>
        <v>1.2749999999999999</v>
      </c>
      <c r="H17" s="40">
        <f t="shared" si="8"/>
        <v>1.02</v>
      </c>
      <c r="I17" s="40">
        <f t="shared" si="9"/>
        <v>0.85</v>
      </c>
      <c r="J17" s="206">
        <f t="shared" si="10"/>
        <v>2.4161455372370664E-2</v>
      </c>
      <c r="K17" s="549">
        <f t="shared" ref="K17:AO17" si="24">$I$17</f>
        <v>0.85</v>
      </c>
      <c r="L17" s="549">
        <f t="shared" si="24"/>
        <v>0.85</v>
      </c>
      <c r="M17" s="549">
        <f t="shared" si="24"/>
        <v>0.85</v>
      </c>
      <c r="N17" s="549">
        <f t="shared" si="24"/>
        <v>0.85</v>
      </c>
      <c r="O17" s="549">
        <f t="shared" si="24"/>
        <v>0.85</v>
      </c>
      <c r="P17" s="549">
        <f t="shared" si="24"/>
        <v>0.85</v>
      </c>
      <c r="Q17" s="549">
        <v>0</v>
      </c>
      <c r="R17" s="549">
        <f t="shared" si="24"/>
        <v>0.85</v>
      </c>
      <c r="S17" s="549">
        <f t="shared" si="24"/>
        <v>0.85</v>
      </c>
      <c r="T17" s="549">
        <f t="shared" si="24"/>
        <v>0.85</v>
      </c>
      <c r="U17" s="549">
        <f t="shared" si="24"/>
        <v>0.85</v>
      </c>
      <c r="V17" s="549">
        <f t="shared" si="24"/>
        <v>0.85</v>
      </c>
      <c r="W17" s="549">
        <f t="shared" si="24"/>
        <v>0.85</v>
      </c>
      <c r="X17" s="549">
        <f t="shared" si="24"/>
        <v>0.85</v>
      </c>
      <c r="Y17" s="549">
        <f t="shared" si="24"/>
        <v>0.85</v>
      </c>
      <c r="Z17" s="549">
        <f t="shared" si="24"/>
        <v>0.85</v>
      </c>
      <c r="AA17" s="549">
        <f t="shared" si="24"/>
        <v>0.85</v>
      </c>
      <c r="AB17" s="557">
        <f t="shared" si="24"/>
        <v>0.85</v>
      </c>
      <c r="AC17" s="634">
        <f t="shared" si="24"/>
        <v>0.85</v>
      </c>
      <c r="AD17" s="639">
        <f t="shared" si="24"/>
        <v>0.85</v>
      </c>
      <c r="AE17" s="644">
        <f t="shared" si="24"/>
        <v>0.85</v>
      </c>
      <c r="AF17" s="644">
        <f t="shared" si="24"/>
        <v>0.85</v>
      </c>
      <c r="AG17" s="672">
        <f t="shared" si="24"/>
        <v>0.85</v>
      </c>
      <c r="AH17" s="677">
        <f t="shared" si="24"/>
        <v>0.85</v>
      </c>
      <c r="AI17" s="680">
        <f t="shared" si="24"/>
        <v>0.85</v>
      </c>
      <c r="AJ17" s="680">
        <f t="shared" si="24"/>
        <v>0.85</v>
      </c>
      <c r="AK17" s="680">
        <f t="shared" si="24"/>
        <v>0.85</v>
      </c>
      <c r="AL17" s="685">
        <f t="shared" si="24"/>
        <v>0.85</v>
      </c>
      <c r="AM17" s="685">
        <f t="shared" si="24"/>
        <v>0.85</v>
      </c>
      <c r="AN17" s="685">
        <f t="shared" si="24"/>
        <v>0.85</v>
      </c>
      <c r="AO17" s="688">
        <f t="shared" si="24"/>
        <v>0.85</v>
      </c>
      <c r="AQ17" s="40">
        <v>25.5</v>
      </c>
      <c r="AR17" s="51">
        <f t="shared" ref="AR17:AR19" si="25">AQ17/D17</f>
        <v>1</v>
      </c>
      <c r="AT17" s="40">
        <f>SUM(K17:AO17)</f>
        <v>25.500000000000011</v>
      </c>
      <c r="AU17" s="51">
        <f t="shared" si="13"/>
        <v>1.0000000000000004</v>
      </c>
      <c r="AV17" s="62"/>
      <c r="AX17" s="61"/>
      <c r="AY17" s="62"/>
      <c r="AZ17" s="62"/>
    </row>
    <row r="18" spans="2:52" s="432" customFormat="1" x14ac:dyDescent="0.2">
      <c r="B18" s="433">
        <v>11</v>
      </c>
      <c r="C18" s="663" t="s">
        <v>98</v>
      </c>
      <c r="D18" s="664">
        <v>25</v>
      </c>
      <c r="E18" s="664">
        <f t="shared" si="5"/>
        <v>2.5</v>
      </c>
      <c r="F18" s="664">
        <f t="shared" si="6"/>
        <v>1.6666666666666667</v>
      </c>
      <c r="G18" s="664">
        <f t="shared" si="7"/>
        <v>1.25</v>
      </c>
      <c r="H18" s="664">
        <f t="shared" si="8"/>
        <v>1</v>
      </c>
      <c r="I18" s="664">
        <f t="shared" si="9"/>
        <v>0.83333333333333337</v>
      </c>
      <c r="J18" s="665">
        <f t="shared" si="10"/>
        <v>2.3687701345461436E-2</v>
      </c>
      <c r="K18" s="666">
        <f>$I$18</f>
        <v>0.83333333333333337</v>
      </c>
      <c r="L18" s="667">
        <f t="shared" ref="L18:AO18" si="26">$I$18</f>
        <v>0.83333333333333337</v>
      </c>
      <c r="M18" s="667">
        <f t="shared" si="26"/>
        <v>0.83333333333333337</v>
      </c>
      <c r="N18" s="667">
        <f t="shared" si="26"/>
        <v>0.83333333333333337</v>
      </c>
      <c r="O18" s="667">
        <f t="shared" si="26"/>
        <v>0.83333333333333337</v>
      </c>
      <c r="P18" s="667">
        <f t="shared" si="26"/>
        <v>0.83333333333333337</v>
      </c>
      <c r="Q18" s="664">
        <v>0</v>
      </c>
      <c r="R18" s="664">
        <f t="shared" si="26"/>
        <v>0.83333333333333337</v>
      </c>
      <c r="S18" s="664">
        <f t="shared" si="26"/>
        <v>0.83333333333333337</v>
      </c>
      <c r="T18" s="664">
        <f t="shared" si="26"/>
        <v>0.83333333333333337</v>
      </c>
      <c r="U18" s="664">
        <f t="shared" si="26"/>
        <v>0.83333333333333337</v>
      </c>
      <c r="V18" s="664">
        <f t="shared" si="26"/>
        <v>0.83333333333333337</v>
      </c>
      <c r="W18" s="664">
        <f t="shared" si="26"/>
        <v>0.83333333333333337</v>
      </c>
      <c r="X18" s="664">
        <f t="shared" si="26"/>
        <v>0.83333333333333337</v>
      </c>
      <c r="Y18" s="664">
        <f t="shared" si="26"/>
        <v>0.83333333333333337</v>
      </c>
      <c r="Z18" s="664">
        <f t="shared" si="26"/>
        <v>0.83333333333333337</v>
      </c>
      <c r="AA18" s="664">
        <f t="shared" si="26"/>
        <v>0.83333333333333337</v>
      </c>
      <c r="AB18" s="664">
        <f t="shared" si="26"/>
        <v>0.83333333333333337</v>
      </c>
      <c r="AC18" s="664">
        <f t="shared" si="26"/>
        <v>0.83333333333333337</v>
      </c>
      <c r="AD18" s="664">
        <f t="shared" si="26"/>
        <v>0.83333333333333337</v>
      </c>
      <c r="AE18" s="664">
        <f t="shared" si="26"/>
        <v>0.83333333333333337</v>
      </c>
      <c r="AF18" s="664">
        <f t="shared" si="26"/>
        <v>0.83333333333333337</v>
      </c>
      <c r="AG18" s="664">
        <f t="shared" si="26"/>
        <v>0.83333333333333337</v>
      </c>
      <c r="AH18" s="664">
        <f t="shared" si="26"/>
        <v>0.83333333333333337</v>
      </c>
      <c r="AI18" s="664">
        <f t="shared" si="26"/>
        <v>0.83333333333333337</v>
      </c>
      <c r="AJ18" s="664">
        <f t="shared" si="26"/>
        <v>0.83333333333333337</v>
      </c>
      <c r="AK18" s="664">
        <f t="shared" si="26"/>
        <v>0.83333333333333337</v>
      </c>
      <c r="AL18" s="664">
        <f t="shared" si="26"/>
        <v>0.83333333333333337</v>
      </c>
      <c r="AM18" s="664">
        <f t="shared" si="26"/>
        <v>0.83333333333333337</v>
      </c>
      <c r="AN18" s="664">
        <f t="shared" si="26"/>
        <v>0.83333333333333337</v>
      </c>
      <c r="AO18" s="664">
        <f t="shared" si="26"/>
        <v>0.83333333333333337</v>
      </c>
      <c r="AQ18" s="347">
        <v>25</v>
      </c>
      <c r="AR18" s="485">
        <f t="shared" si="25"/>
        <v>1</v>
      </c>
      <c r="AT18" s="347">
        <f>SUM(K18:AO18)</f>
        <v>24.999999999999993</v>
      </c>
      <c r="AU18" s="485">
        <f>AT18/D18</f>
        <v>0.99999999999999967</v>
      </c>
      <c r="AV18" s="482"/>
      <c r="AX18" s="481"/>
      <c r="AY18" s="482"/>
      <c r="AZ18" s="482"/>
    </row>
    <row r="19" spans="2:52" s="426" customFormat="1" x14ac:dyDescent="0.2">
      <c r="B19" s="427">
        <v>12</v>
      </c>
      <c r="C19" s="427" t="s">
        <v>102</v>
      </c>
      <c r="D19" s="132">
        <v>18</v>
      </c>
      <c r="E19" s="132">
        <f t="shared" si="5"/>
        <v>1.8</v>
      </c>
      <c r="F19" s="132">
        <f t="shared" si="6"/>
        <v>1.2</v>
      </c>
      <c r="G19" s="132">
        <f t="shared" si="7"/>
        <v>0.9</v>
      </c>
      <c r="H19" s="132">
        <f t="shared" si="8"/>
        <v>0.72</v>
      </c>
      <c r="I19" s="132">
        <f t="shared" si="9"/>
        <v>0.6</v>
      </c>
      <c r="J19" s="478">
        <f t="shared" si="10"/>
        <v>1.7055144968732231E-2</v>
      </c>
      <c r="K19" s="668">
        <f>$I$19</f>
        <v>0.6</v>
      </c>
      <c r="L19" s="440">
        <f t="shared" ref="L19:AO19" si="27">$I$19</f>
        <v>0.6</v>
      </c>
      <c r="M19" s="440">
        <f t="shared" si="27"/>
        <v>0.6</v>
      </c>
      <c r="N19" s="440">
        <f t="shared" si="27"/>
        <v>0.6</v>
      </c>
      <c r="O19" s="440">
        <f t="shared" si="27"/>
        <v>0.6</v>
      </c>
      <c r="P19" s="440">
        <f t="shared" si="27"/>
        <v>0.6</v>
      </c>
      <c r="Q19" s="132">
        <v>0</v>
      </c>
      <c r="R19" s="132">
        <f t="shared" si="27"/>
        <v>0.6</v>
      </c>
      <c r="S19" s="132">
        <f t="shared" si="27"/>
        <v>0.6</v>
      </c>
      <c r="T19" s="132">
        <f t="shared" si="27"/>
        <v>0.6</v>
      </c>
      <c r="U19" s="132">
        <f t="shared" si="27"/>
        <v>0.6</v>
      </c>
      <c r="V19" s="132">
        <f t="shared" si="27"/>
        <v>0.6</v>
      </c>
      <c r="W19" s="132">
        <f t="shared" si="27"/>
        <v>0.6</v>
      </c>
      <c r="X19" s="132">
        <f t="shared" si="27"/>
        <v>0.6</v>
      </c>
      <c r="Y19" s="132">
        <f t="shared" si="27"/>
        <v>0.6</v>
      </c>
      <c r="Z19" s="132">
        <f t="shared" si="27"/>
        <v>0.6</v>
      </c>
      <c r="AA19" s="132">
        <f t="shared" si="27"/>
        <v>0.6</v>
      </c>
      <c r="AB19" s="132">
        <f t="shared" si="27"/>
        <v>0.6</v>
      </c>
      <c r="AC19" s="132">
        <f t="shared" si="27"/>
        <v>0.6</v>
      </c>
      <c r="AD19" s="132">
        <f t="shared" si="27"/>
        <v>0.6</v>
      </c>
      <c r="AE19" s="132">
        <f t="shared" si="27"/>
        <v>0.6</v>
      </c>
      <c r="AF19" s="132">
        <f t="shared" si="27"/>
        <v>0.6</v>
      </c>
      <c r="AG19" s="132">
        <f t="shared" si="27"/>
        <v>0.6</v>
      </c>
      <c r="AH19" s="132">
        <f t="shared" si="27"/>
        <v>0.6</v>
      </c>
      <c r="AI19" s="132">
        <f t="shared" si="27"/>
        <v>0.6</v>
      </c>
      <c r="AJ19" s="132">
        <f t="shared" si="27"/>
        <v>0.6</v>
      </c>
      <c r="AK19" s="132">
        <f t="shared" si="27"/>
        <v>0.6</v>
      </c>
      <c r="AL19" s="132">
        <f t="shared" si="27"/>
        <v>0.6</v>
      </c>
      <c r="AM19" s="132">
        <f t="shared" si="27"/>
        <v>0.6</v>
      </c>
      <c r="AN19" s="132">
        <f t="shared" si="27"/>
        <v>0.6</v>
      </c>
      <c r="AO19" s="132">
        <f t="shared" si="27"/>
        <v>0.6</v>
      </c>
      <c r="AQ19" s="132">
        <v>18</v>
      </c>
      <c r="AR19" s="641">
        <f t="shared" si="25"/>
        <v>1</v>
      </c>
      <c r="AT19" s="132">
        <f>SUM(K19:AO19)</f>
        <v>18</v>
      </c>
      <c r="AU19" s="641">
        <f t="shared" si="13"/>
        <v>1</v>
      </c>
      <c r="AV19" s="480"/>
      <c r="AX19" s="479"/>
      <c r="AY19" s="480"/>
      <c r="AZ19" s="480"/>
    </row>
    <row r="20" spans="2:52" s="552" customFormat="1" x14ac:dyDescent="0.2">
      <c r="B20" s="3">
        <v>13</v>
      </c>
      <c r="C20" s="433" t="s">
        <v>10</v>
      </c>
      <c r="D20" s="347">
        <v>4</v>
      </c>
      <c r="E20" s="347">
        <f t="shared" si="5"/>
        <v>0.4</v>
      </c>
      <c r="F20" s="347">
        <f t="shared" si="6"/>
        <v>0.26666666666666666</v>
      </c>
      <c r="G20" s="347">
        <f t="shared" si="7"/>
        <v>0.2</v>
      </c>
      <c r="H20" s="347">
        <f t="shared" si="8"/>
        <v>0.16</v>
      </c>
      <c r="I20" s="347">
        <f t="shared" si="9"/>
        <v>0.13333333333333333</v>
      </c>
      <c r="J20" s="531">
        <f t="shared" si="10"/>
        <v>3.7900322152738296E-3</v>
      </c>
      <c r="K20" s="551">
        <f t="shared" ref="K20:AO20" si="28">$I$20</f>
        <v>0.13333333333333333</v>
      </c>
      <c r="L20" s="551">
        <f t="shared" si="28"/>
        <v>0.13333333333333333</v>
      </c>
      <c r="M20" s="551">
        <f t="shared" si="28"/>
        <v>0.13333333333333333</v>
      </c>
      <c r="N20" s="551">
        <f t="shared" si="28"/>
        <v>0.13333333333333333</v>
      </c>
      <c r="O20" s="551">
        <f t="shared" si="28"/>
        <v>0.13333333333333333</v>
      </c>
      <c r="P20" s="551">
        <f t="shared" si="28"/>
        <v>0.13333333333333333</v>
      </c>
      <c r="Q20" s="551">
        <v>0</v>
      </c>
      <c r="R20" s="551">
        <f t="shared" si="28"/>
        <v>0.13333333333333333</v>
      </c>
      <c r="S20" s="551">
        <f t="shared" si="28"/>
        <v>0.13333333333333333</v>
      </c>
      <c r="T20" s="551">
        <f t="shared" si="28"/>
        <v>0.13333333333333333</v>
      </c>
      <c r="U20" s="551">
        <f t="shared" si="28"/>
        <v>0.13333333333333333</v>
      </c>
      <c r="V20" s="551">
        <f t="shared" si="28"/>
        <v>0.13333333333333333</v>
      </c>
      <c r="W20" s="551">
        <f t="shared" si="28"/>
        <v>0.13333333333333333</v>
      </c>
      <c r="X20" s="551">
        <f t="shared" si="28"/>
        <v>0.13333333333333333</v>
      </c>
      <c r="Y20" s="551">
        <f t="shared" si="28"/>
        <v>0.13333333333333333</v>
      </c>
      <c r="Z20" s="551">
        <f t="shared" si="28"/>
        <v>0.13333333333333333</v>
      </c>
      <c r="AA20" s="551">
        <f t="shared" si="28"/>
        <v>0.13333333333333333</v>
      </c>
      <c r="AB20" s="555">
        <f t="shared" si="28"/>
        <v>0.13333333333333333</v>
      </c>
      <c r="AC20" s="636">
        <f t="shared" si="28"/>
        <v>0.13333333333333333</v>
      </c>
      <c r="AD20" s="637">
        <f t="shared" si="28"/>
        <v>0.13333333333333333</v>
      </c>
      <c r="AE20" s="643">
        <f t="shared" si="28"/>
        <v>0.13333333333333333</v>
      </c>
      <c r="AF20" s="643">
        <f t="shared" si="28"/>
        <v>0.13333333333333333</v>
      </c>
      <c r="AG20" s="674">
        <f t="shared" si="28"/>
        <v>0.13333333333333333</v>
      </c>
      <c r="AH20" s="675">
        <f t="shared" si="28"/>
        <v>0.13333333333333333</v>
      </c>
      <c r="AI20" s="682">
        <f t="shared" si="28"/>
        <v>0.13333333333333333</v>
      </c>
      <c r="AJ20" s="682">
        <f t="shared" si="28"/>
        <v>0.13333333333333333</v>
      </c>
      <c r="AK20" s="682">
        <f t="shared" si="28"/>
        <v>0.13333333333333333</v>
      </c>
      <c r="AL20" s="683">
        <f t="shared" si="28"/>
        <v>0.13333333333333333</v>
      </c>
      <c r="AM20" s="683">
        <f t="shared" si="28"/>
        <v>0.13333333333333333</v>
      </c>
      <c r="AN20" s="683">
        <f t="shared" si="28"/>
        <v>0.13333333333333333</v>
      </c>
      <c r="AO20" s="689">
        <f t="shared" si="28"/>
        <v>0.13333333333333333</v>
      </c>
      <c r="AQ20" s="5">
        <v>4</v>
      </c>
      <c r="AR20" s="9">
        <f t="shared" si="12"/>
        <v>1</v>
      </c>
      <c r="AT20" s="5">
        <f t="shared" si="4"/>
        <v>3.9999999999999996</v>
      </c>
      <c r="AU20" s="9">
        <f t="shared" si="13"/>
        <v>0.99999999999999989</v>
      </c>
      <c r="AV20" s="29"/>
      <c r="AX20" s="14"/>
      <c r="AY20" s="29"/>
      <c r="AZ20" s="29"/>
    </row>
    <row r="21" spans="2:52" s="255" customFormat="1" x14ac:dyDescent="0.2">
      <c r="B21" s="43"/>
      <c r="C21" s="43" t="s">
        <v>17</v>
      </c>
      <c r="D21" s="40">
        <f>SUM(D8:D20)</f>
        <v>1055.4000000000001</v>
      </c>
      <c r="E21" s="40">
        <f>SUM(E8:E20)</f>
        <v>105.53999999999999</v>
      </c>
      <c r="F21" s="40">
        <f t="shared" ref="F21:H21" si="29">SUM(F8:F20)</f>
        <v>70.36</v>
      </c>
      <c r="G21" s="40">
        <f t="shared" si="29"/>
        <v>52.769999999999996</v>
      </c>
      <c r="H21" s="40">
        <f t="shared" si="29"/>
        <v>42.216000000000001</v>
      </c>
      <c r="I21" s="40">
        <f>SUM(I8:I20)</f>
        <v>35.18</v>
      </c>
      <c r="J21" s="206">
        <f>D21/D33</f>
        <v>0.85085456304417928</v>
      </c>
      <c r="K21" s="549">
        <f t="shared" ref="K21:AO21" si="30">SUM(K8:K20)</f>
        <v>35.18</v>
      </c>
      <c r="L21" s="40">
        <f t="shared" si="30"/>
        <v>35.18</v>
      </c>
      <c r="M21" s="40">
        <f t="shared" si="30"/>
        <v>35.18</v>
      </c>
      <c r="N21" s="40">
        <f t="shared" si="30"/>
        <v>35.18</v>
      </c>
      <c r="O21" s="40">
        <f t="shared" si="30"/>
        <v>35.18</v>
      </c>
      <c r="P21" s="40">
        <f t="shared" si="30"/>
        <v>35.18</v>
      </c>
      <c r="Q21" s="40">
        <f t="shared" si="30"/>
        <v>0</v>
      </c>
      <c r="R21" s="40">
        <f t="shared" si="30"/>
        <v>35.18</v>
      </c>
      <c r="S21" s="40">
        <f t="shared" si="30"/>
        <v>35.18</v>
      </c>
      <c r="T21" s="40">
        <f t="shared" si="30"/>
        <v>35.18</v>
      </c>
      <c r="U21" s="40">
        <f t="shared" si="30"/>
        <v>35.18</v>
      </c>
      <c r="V21" s="40">
        <f t="shared" si="30"/>
        <v>35.18</v>
      </c>
      <c r="W21" s="40">
        <f t="shared" si="30"/>
        <v>35.18</v>
      </c>
      <c r="X21" s="40">
        <f t="shared" si="30"/>
        <v>35.18</v>
      </c>
      <c r="Y21" s="40">
        <f t="shared" si="30"/>
        <v>35.18</v>
      </c>
      <c r="Z21" s="40">
        <f t="shared" si="30"/>
        <v>35.18</v>
      </c>
      <c r="AA21" s="40">
        <f t="shared" si="30"/>
        <v>35.18</v>
      </c>
      <c r="AB21" s="40">
        <f t="shared" si="30"/>
        <v>35.18</v>
      </c>
      <c r="AC21" s="40">
        <f t="shared" si="30"/>
        <v>35.18</v>
      </c>
      <c r="AD21" s="40">
        <f t="shared" si="30"/>
        <v>35.18</v>
      </c>
      <c r="AE21" s="40">
        <f t="shared" si="30"/>
        <v>35.18</v>
      </c>
      <c r="AF21" s="40">
        <f t="shared" si="30"/>
        <v>35.18</v>
      </c>
      <c r="AG21" s="40">
        <f t="shared" si="30"/>
        <v>35.18</v>
      </c>
      <c r="AH21" s="40">
        <f t="shared" si="30"/>
        <v>35.18</v>
      </c>
      <c r="AI21" s="40">
        <f t="shared" si="30"/>
        <v>35.18</v>
      </c>
      <c r="AJ21" s="40">
        <f t="shared" si="30"/>
        <v>35.18</v>
      </c>
      <c r="AK21" s="40">
        <f t="shared" si="30"/>
        <v>35.18</v>
      </c>
      <c r="AL21" s="40">
        <f t="shared" si="30"/>
        <v>35.18</v>
      </c>
      <c r="AM21" s="40">
        <f t="shared" si="30"/>
        <v>35.18</v>
      </c>
      <c r="AN21" s="40">
        <f t="shared" si="30"/>
        <v>35.18</v>
      </c>
      <c r="AO21" s="40">
        <f t="shared" si="30"/>
        <v>35.18</v>
      </c>
      <c r="AQ21" s="40">
        <f>SUM(AQ8:AQ20)</f>
        <v>1055.4000000000001</v>
      </c>
      <c r="AR21" s="51">
        <f>AQ21/$D$21</f>
        <v>1</v>
      </c>
      <c r="AT21" s="40">
        <f>SUM(AT8:AT20)</f>
        <v>1055.3999999999996</v>
      </c>
      <c r="AU21" s="51">
        <f>AT21/$D$21</f>
        <v>0.99999999999999956</v>
      </c>
      <c r="AV21" s="62"/>
      <c r="AX21" s="61"/>
      <c r="AY21" s="62"/>
      <c r="AZ21" s="62"/>
    </row>
    <row r="22" spans="2:52" s="554" customFormat="1" ht="4.5" customHeight="1" x14ac:dyDescent="0.2">
      <c r="D22" s="14"/>
      <c r="E22" s="14"/>
      <c r="F22" s="14"/>
      <c r="G22" s="14"/>
      <c r="H22" s="14"/>
      <c r="I22" s="14"/>
      <c r="J22" s="20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Q22" s="14"/>
      <c r="AR22" s="336"/>
      <c r="AT22" s="14"/>
      <c r="AU22" s="28"/>
      <c r="AV22" s="28"/>
      <c r="AX22" s="14"/>
      <c r="AY22" s="29"/>
      <c r="AZ22" s="29"/>
    </row>
    <row r="23" spans="2:52" s="552" customFormat="1" x14ac:dyDescent="0.2">
      <c r="B23" s="3"/>
      <c r="C23" s="3" t="s">
        <v>77</v>
      </c>
      <c r="D23" s="5"/>
      <c r="E23" s="5"/>
      <c r="F23" s="5"/>
      <c r="G23" s="5"/>
      <c r="H23" s="5"/>
      <c r="I23" s="5"/>
      <c r="J23" s="194"/>
      <c r="K23" s="551">
        <f t="shared" ref="K23:AO23" si="31">K4-K21</f>
        <v>7.3599999999999994</v>
      </c>
      <c r="L23" s="5">
        <f t="shared" si="31"/>
        <v>-5.0300000000000011</v>
      </c>
      <c r="M23" s="5">
        <f t="shared" si="31"/>
        <v>7.4350000000000023</v>
      </c>
      <c r="N23" s="5">
        <f t="shared" si="31"/>
        <v>2.9650000000000034</v>
      </c>
      <c r="O23" s="5">
        <f t="shared" si="31"/>
        <v>9.6700000000000017</v>
      </c>
      <c r="P23" s="5">
        <f t="shared" si="31"/>
        <v>9.9699999999999989</v>
      </c>
      <c r="Q23" s="5">
        <f t="shared" si="31"/>
        <v>0</v>
      </c>
      <c r="R23" s="5">
        <f t="shared" si="31"/>
        <v>-0.90500000000000114</v>
      </c>
      <c r="S23" s="5">
        <f t="shared" si="31"/>
        <v>20.904999999999994</v>
      </c>
      <c r="T23" s="5">
        <f t="shared" si="31"/>
        <v>7.8249999999999957</v>
      </c>
      <c r="U23" s="5">
        <f t="shared" si="31"/>
        <v>28.464999999999996</v>
      </c>
      <c r="V23" s="5">
        <f t="shared" si="31"/>
        <v>12.729999999999997</v>
      </c>
      <c r="W23" s="5">
        <f t="shared" si="31"/>
        <v>14.379999999999995</v>
      </c>
      <c r="X23" s="5">
        <f t="shared" si="31"/>
        <v>-3.1550000000000011</v>
      </c>
      <c r="Y23" s="5">
        <f t="shared" si="31"/>
        <v>-3.1400000000000006</v>
      </c>
      <c r="Z23" s="5">
        <f t="shared" si="31"/>
        <v>9.2199999999999989</v>
      </c>
      <c r="AA23" s="5">
        <f t="shared" si="31"/>
        <v>8.0649999999999977</v>
      </c>
      <c r="AB23" s="5">
        <f t="shared" si="31"/>
        <v>15.219999999999999</v>
      </c>
      <c r="AC23" s="5">
        <f t="shared" si="31"/>
        <v>5.4399999999999977</v>
      </c>
      <c r="AD23" s="5">
        <f t="shared" si="31"/>
        <v>-18.185000000000002</v>
      </c>
      <c r="AE23" s="5">
        <f t="shared" si="31"/>
        <v>-21.605</v>
      </c>
      <c r="AF23" s="5">
        <f t="shared" si="31"/>
        <v>8.6499999999999986</v>
      </c>
      <c r="AG23" s="5">
        <f t="shared" si="31"/>
        <v>-7.07</v>
      </c>
      <c r="AH23" s="5">
        <f t="shared" si="31"/>
        <v>19.240000000000002</v>
      </c>
      <c r="AI23" s="5">
        <f t="shared" si="31"/>
        <v>-12.14</v>
      </c>
      <c r="AJ23" s="5">
        <f t="shared" si="31"/>
        <v>-12.125000000000004</v>
      </c>
      <c r="AK23" s="5">
        <f t="shared" si="31"/>
        <v>-6.2900000000000027</v>
      </c>
      <c r="AL23" s="5">
        <f t="shared" si="31"/>
        <v>-35.18</v>
      </c>
      <c r="AM23" s="5">
        <f t="shared" si="31"/>
        <v>3.865000000000002</v>
      </c>
      <c r="AN23" s="5">
        <f t="shared" si="31"/>
        <v>-5.0150000000000006</v>
      </c>
      <c r="AO23" s="5">
        <f t="shared" si="31"/>
        <v>-2.2550000000000026</v>
      </c>
      <c r="AQ23" s="5">
        <f>SUM(K23:AO23)</f>
        <v>59.309999999999953</v>
      </c>
      <c r="AR23" s="15"/>
      <c r="AT23" s="5"/>
      <c r="AU23" s="12"/>
      <c r="AV23" s="28"/>
      <c r="AX23" s="14"/>
      <c r="AY23" s="29"/>
      <c r="AZ23" s="29"/>
    </row>
    <row r="24" spans="2:52" s="81" customFormat="1" ht="15" customHeight="1" thickBot="1" x14ac:dyDescent="0.25">
      <c r="C24" s="81" t="s">
        <v>93</v>
      </c>
      <c r="D24" s="61"/>
      <c r="E24" s="61"/>
      <c r="F24" s="61"/>
      <c r="G24" s="61"/>
      <c r="H24" s="61"/>
      <c r="I24" s="61"/>
      <c r="J24" s="410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Q24" s="61"/>
      <c r="AR24" s="93"/>
      <c r="AT24" s="4501" t="s">
        <v>99</v>
      </c>
      <c r="AU24" s="4501"/>
      <c r="AV24" s="61"/>
      <c r="AX24" s="61"/>
      <c r="AY24" s="62"/>
      <c r="AZ24" s="62"/>
    </row>
    <row r="25" spans="2:52" s="552" customFormat="1" x14ac:dyDescent="0.2">
      <c r="B25" s="591">
        <v>14</v>
      </c>
      <c r="C25" s="592" t="s">
        <v>88</v>
      </c>
      <c r="D25" s="593">
        <v>100</v>
      </c>
      <c r="E25" s="593">
        <f t="shared" ref="E25:E30" si="32">D25/10</f>
        <v>10</v>
      </c>
      <c r="F25" s="593">
        <f t="shared" ref="F25:F30" si="33">D25/15</f>
        <v>6.666666666666667</v>
      </c>
      <c r="G25" s="593">
        <f t="shared" ref="G25:G30" si="34">D25/20</f>
        <v>5</v>
      </c>
      <c r="H25" s="593">
        <f t="shared" ref="H25:H30" si="35">D25/25</f>
        <v>4</v>
      </c>
      <c r="I25" s="594">
        <f>D25/30</f>
        <v>3.3333333333333335</v>
      </c>
      <c r="J25" s="595">
        <f t="shared" ref="J25:J30" si="36">D25/$D$31</f>
        <v>0.54054054054054057</v>
      </c>
      <c r="K25" s="596">
        <f>I25</f>
        <v>3.3333333333333335</v>
      </c>
      <c r="L25" s="596">
        <v>0</v>
      </c>
      <c r="M25" s="596">
        <f>I25</f>
        <v>3.3333333333333335</v>
      </c>
      <c r="N25" s="596">
        <f>$N$23*J25</f>
        <v>1.6027027027027045</v>
      </c>
      <c r="O25" s="596">
        <f>I25</f>
        <v>3.3333333333333335</v>
      </c>
      <c r="P25" s="596">
        <f>I25</f>
        <v>3.3333333333333335</v>
      </c>
      <c r="Q25" s="596">
        <v>0</v>
      </c>
      <c r="R25" s="596">
        <v>0</v>
      </c>
      <c r="S25" s="596">
        <f>I25</f>
        <v>3.3333333333333335</v>
      </c>
      <c r="T25" s="596">
        <f>I25</f>
        <v>3.3333333333333335</v>
      </c>
      <c r="U25" s="596">
        <f>I25</f>
        <v>3.3333333333333335</v>
      </c>
      <c r="V25" s="596">
        <f>I25</f>
        <v>3.3333333333333335</v>
      </c>
      <c r="W25" s="596">
        <f>I25</f>
        <v>3.3333333333333335</v>
      </c>
      <c r="X25" s="596">
        <v>0</v>
      </c>
      <c r="Y25" s="596">
        <v>0</v>
      </c>
      <c r="Z25" s="596">
        <f>I25</f>
        <v>3.3333333333333335</v>
      </c>
      <c r="AA25" s="596">
        <f>I25</f>
        <v>3.3333333333333335</v>
      </c>
      <c r="AB25" s="596">
        <f>I25</f>
        <v>3.3333333333333335</v>
      </c>
      <c r="AC25" s="596">
        <f>$AC$23*J25</f>
        <v>2.9405405405405394</v>
      </c>
      <c r="AD25" s="596">
        <v>0</v>
      </c>
      <c r="AE25" s="596">
        <v>0</v>
      </c>
      <c r="AF25" s="593">
        <f>I25</f>
        <v>3.3333333333333335</v>
      </c>
      <c r="AG25" s="593">
        <v>0</v>
      </c>
      <c r="AH25" s="593">
        <f>I25</f>
        <v>3.3333333333333335</v>
      </c>
      <c r="AI25" s="593">
        <v>0</v>
      </c>
      <c r="AJ25" s="593">
        <v>0</v>
      </c>
      <c r="AK25" s="593">
        <v>0</v>
      </c>
      <c r="AL25" s="593">
        <v>0</v>
      </c>
      <c r="AM25" s="593">
        <f>$AM$23*J25</f>
        <v>2.0891891891891903</v>
      </c>
      <c r="AN25" s="597">
        <v>0</v>
      </c>
      <c r="AO25" s="598">
        <v>0</v>
      </c>
      <c r="AQ25" s="599"/>
      <c r="AR25" s="600"/>
      <c r="AT25" s="599">
        <f t="shared" ref="AT25:AT30" si="37">SUM(K25:AO25)</f>
        <v>53.299099099099109</v>
      </c>
      <c r="AU25" s="601">
        <f>AT25/D25</f>
        <v>0.53299099099099112</v>
      </c>
      <c r="AV25" s="482"/>
      <c r="AX25" s="4498">
        <f>AU31-AT1</f>
        <v>-0.46700900900900899</v>
      </c>
      <c r="AY25" s="29"/>
      <c r="AZ25" s="29"/>
    </row>
    <row r="26" spans="2:52" s="255" customFormat="1" x14ac:dyDescent="0.2">
      <c r="B26" s="462">
        <v>15</v>
      </c>
      <c r="C26" s="450" t="s">
        <v>69</v>
      </c>
      <c r="D26" s="451">
        <v>50</v>
      </c>
      <c r="E26" s="451">
        <f t="shared" si="32"/>
        <v>5</v>
      </c>
      <c r="F26" s="451">
        <f t="shared" si="33"/>
        <v>3.3333333333333335</v>
      </c>
      <c r="G26" s="451">
        <f t="shared" si="34"/>
        <v>2.5</v>
      </c>
      <c r="H26" s="451">
        <f t="shared" si="35"/>
        <v>2</v>
      </c>
      <c r="I26" s="451">
        <f t="shared" ref="I26:I30" si="38">D26/30</f>
        <v>1.6666666666666667</v>
      </c>
      <c r="J26" s="448">
        <f t="shared" si="36"/>
        <v>0.27027027027027029</v>
      </c>
      <c r="K26" s="445">
        <f t="shared" ref="K26:K30" si="39">I26</f>
        <v>1.6666666666666667</v>
      </c>
      <c r="L26" s="445">
        <v>0</v>
      </c>
      <c r="M26" s="445">
        <f t="shared" ref="M26:M30" si="40">I26</f>
        <v>1.6666666666666667</v>
      </c>
      <c r="N26" s="445">
        <f t="shared" ref="N26:N30" si="41">$N$23*J26</f>
        <v>0.80135135135135227</v>
      </c>
      <c r="O26" s="445">
        <f t="shared" ref="O26:O30" si="42">I26</f>
        <v>1.6666666666666667</v>
      </c>
      <c r="P26" s="445">
        <f t="shared" ref="P26:P30" si="43">I26</f>
        <v>1.6666666666666667</v>
      </c>
      <c r="Q26" s="445">
        <v>0</v>
      </c>
      <c r="R26" s="445">
        <v>0</v>
      </c>
      <c r="S26" s="445">
        <f t="shared" ref="S26:S30" si="44">I26</f>
        <v>1.6666666666666667</v>
      </c>
      <c r="T26" s="445">
        <f t="shared" ref="T26:T30" si="45">I26</f>
        <v>1.6666666666666667</v>
      </c>
      <c r="U26" s="445">
        <f t="shared" ref="U26:U30" si="46">I26</f>
        <v>1.6666666666666667</v>
      </c>
      <c r="V26" s="445">
        <f t="shared" ref="V26:V30" si="47">I26</f>
        <v>1.6666666666666667</v>
      </c>
      <c r="W26" s="445">
        <f t="shared" ref="W26:W30" si="48">I26</f>
        <v>1.6666666666666667</v>
      </c>
      <c r="X26" s="445">
        <v>0</v>
      </c>
      <c r="Y26" s="445">
        <v>0</v>
      </c>
      <c r="Z26" s="445">
        <f t="shared" ref="Z26:Z30" si="49">I26</f>
        <v>1.6666666666666667</v>
      </c>
      <c r="AA26" s="445">
        <f t="shared" ref="AA26:AA30" si="50">I26</f>
        <v>1.6666666666666667</v>
      </c>
      <c r="AB26" s="445">
        <f t="shared" ref="AB26:AB30" si="51">I26</f>
        <v>1.6666666666666667</v>
      </c>
      <c r="AC26" s="445">
        <f t="shared" ref="AC26:AC30" si="52">$AC$23*J26</f>
        <v>1.4702702702702697</v>
      </c>
      <c r="AD26" s="445">
        <v>0</v>
      </c>
      <c r="AE26" s="445">
        <v>0</v>
      </c>
      <c r="AF26" s="451">
        <f t="shared" ref="AF26:AF30" si="53">I26</f>
        <v>1.6666666666666667</v>
      </c>
      <c r="AG26" s="451">
        <v>0</v>
      </c>
      <c r="AH26" s="451">
        <f t="shared" ref="AH26:AH30" si="54">I26</f>
        <v>1.6666666666666667</v>
      </c>
      <c r="AI26" s="451">
        <v>0</v>
      </c>
      <c r="AJ26" s="451">
        <v>0</v>
      </c>
      <c r="AK26" s="451">
        <v>0</v>
      </c>
      <c r="AL26" s="451">
        <v>0</v>
      </c>
      <c r="AM26" s="451">
        <f t="shared" ref="AM26:AM30" si="55">$AM$23*J26</f>
        <v>1.0445945945945951</v>
      </c>
      <c r="AN26" s="452">
        <v>0</v>
      </c>
      <c r="AO26" s="463">
        <v>0</v>
      </c>
      <c r="AQ26" s="458"/>
      <c r="AR26" s="460"/>
      <c r="AT26" s="458">
        <f t="shared" si="37"/>
        <v>26.649549549549555</v>
      </c>
      <c r="AU26" s="487">
        <f t="shared" ref="AU26:AU30" si="56">AT26/D26</f>
        <v>0.53299099099099112</v>
      </c>
      <c r="AV26" s="480"/>
      <c r="AX26" s="4499"/>
      <c r="AY26" s="62"/>
      <c r="AZ26" s="62"/>
    </row>
    <row r="27" spans="2:52" s="552" customFormat="1" ht="15.75" thickBot="1" x14ac:dyDescent="0.25">
      <c r="B27" s="464">
        <v>16</v>
      </c>
      <c r="C27" s="446" t="s">
        <v>92</v>
      </c>
      <c r="D27" s="424">
        <v>35</v>
      </c>
      <c r="E27" s="424">
        <f t="shared" si="32"/>
        <v>3.5</v>
      </c>
      <c r="F27" s="424">
        <f t="shared" si="33"/>
        <v>2.3333333333333335</v>
      </c>
      <c r="G27" s="424">
        <f t="shared" si="34"/>
        <v>1.75</v>
      </c>
      <c r="H27" s="424">
        <f t="shared" si="35"/>
        <v>1.4</v>
      </c>
      <c r="I27" s="424">
        <f t="shared" si="38"/>
        <v>1.1666666666666667</v>
      </c>
      <c r="J27" s="449">
        <f t="shared" si="36"/>
        <v>0.1891891891891892</v>
      </c>
      <c r="K27" s="453">
        <f t="shared" si="39"/>
        <v>1.1666666666666667</v>
      </c>
      <c r="L27" s="453">
        <v>0</v>
      </c>
      <c r="M27" s="424">
        <f t="shared" si="40"/>
        <v>1.1666666666666667</v>
      </c>
      <c r="N27" s="424">
        <f t="shared" si="41"/>
        <v>0.5609459459459466</v>
      </c>
      <c r="O27" s="424">
        <f t="shared" si="42"/>
        <v>1.1666666666666667</v>
      </c>
      <c r="P27" s="424">
        <f t="shared" si="43"/>
        <v>1.1666666666666667</v>
      </c>
      <c r="Q27" s="424">
        <v>0</v>
      </c>
      <c r="R27" s="424">
        <v>0</v>
      </c>
      <c r="S27" s="424">
        <f t="shared" si="44"/>
        <v>1.1666666666666667</v>
      </c>
      <c r="T27" s="424">
        <f t="shared" si="45"/>
        <v>1.1666666666666667</v>
      </c>
      <c r="U27" s="424">
        <f t="shared" si="46"/>
        <v>1.1666666666666667</v>
      </c>
      <c r="V27" s="424">
        <f t="shared" si="47"/>
        <v>1.1666666666666667</v>
      </c>
      <c r="W27" s="424">
        <f t="shared" si="48"/>
        <v>1.1666666666666667</v>
      </c>
      <c r="X27" s="424">
        <v>0</v>
      </c>
      <c r="Y27" s="424">
        <v>0</v>
      </c>
      <c r="Z27" s="424">
        <f t="shared" si="49"/>
        <v>1.1666666666666667</v>
      </c>
      <c r="AA27" s="424">
        <f t="shared" si="50"/>
        <v>1.1666666666666667</v>
      </c>
      <c r="AB27" s="424">
        <f t="shared" si="51"/>
        <v>1.1666666666666667</v>
      </c>
      <c r="AC27" s="424">
        <f t="shared" si="52"/>
        <v>1.0291891891891889</v>
      </c>
      <c r="AD27" s="424">
        <v>0</v>
      </c>
      <c r="AE27" s="424">
        <v>0</v>
      </c>
      <c r="AF27" s="424">
        <f t="shared" si="53"/>
        <v>1.1666666666666667</v>
      </c>
      <c r="AG27" s="424">
        <v>0</v>
      </c>
      <c r="AH27" s="424">
        <f t="shared" si="54"/>
        <v>1.1666666666666667</v>
      </c>
      <c r="AI27" s="424">
        <v>0</v>
      </c>
      <c r="AJ27" s="424">
        <v>0</v>
      </c>
      <c r="AK27" s="424">
        <v>0</v>
      </c>
      <c r="AL27" s="424">
        <v>0</v>
      </c>
      <c r="AM27" s="424">
        <f t="shared" si="55"/>
        <v>0.73121621621621669</v>
      </c>
      <c r="AN27" s="454">
        <v>0</v>
      </c>
      <c r="AO27" s="465">
        <v>0</v>
      </c>
      <c r="AQ27" s="459"/>
      <c r="AR27" s="461"/>
      <c r="AT27" s="459">
        <f t="shared" si="37"/>
        <v>18.654684684684685</v>
      </c>
      <c r="AU27" s="486">
        <f t="shared" si="56"/>
        <v>0.53299099099099101</v>
      </c>
      <c r="AV27" s="482"/>
      <c r="AX27" s="4500"/>
      <c r="AY27" s="29"/>
      <c r="AZ27" s="29"/>
    </row>
    <row r="28" spans="2:52" s="255" customFormat="1" x14ac:dyDescent="0.2">
      <c r="B28" s="462">
        <v>17</v>
      </c>
      <c r="C28" s="400" t="s">
        <v>70</v>
      </c>
      <c r="D28" s="559">
        <v>0</v>
      </c>
      <c r="E28" s="559">
        <f t="shared" si="32"/>
        <v>0</v>
      </c>
      <c r="F28" s="559">
        <f t="shared" si="33"/>
        <v>0</v>
      </c>
      <c r="G28" s="559">
        <f t="shared" si="34"/>
        <v>0</v>
      </c>
      <c r="H28" s="559">
        <f t="shared" si="35"/>
        <v>0</v>
      </c>
      <c r="I28" s="559">
        <f t="shared" si="38"/>
        <v>0</v>
      </c>
      <c r="J28" s="560">
        <f t="shared" si="36"/>
        <v>0</v>
      </c>
      <c r="K28" s="561">
        <f t="shared" si="39"/>
        <v>0</v>
      </c>
      <c r="L28" s="561">
        <f t="shared" ref="L28:L30" si="57">I28</f>
        <v>0</v>
      </c>
      <c r="M28" s="559">
        <f t="shared" si="40"/>
        <v>0</v>
      </c>
      <c r="N28" s="559">
        <f t="shared" si="41"/>
        <v>0</v>
      </c>
      <c r="O28" s="559">
        <f t="shared" si="42"/>
        <v>0</v>
      </c>
      <c r="P28" s="559">
        <f t="shared" si="43"/>
        <v>0</v>
      </c>
      <c r="Q28" s="559">
        <v>0</v>
      </c>
      <c r="R28" s="559">
        <v>0</v>
      </c>
      <c r="S28" s="559">
        <f t="shared" si="44"/>
        <v>0</v>
      </c>
      <c r="T28" s="559">
        <f t="shared" si="45"/>
        <v>0</v>
      </c>
      <c r="U28" s="559">
        <f t="shared" si="46"/>
        <v>0</v>
      </c>
      <c r="V28" s="559">
        <f t="shared" si="47"/>
        <v>0</v>
      </c>
      <c r="W28" s="559">
        <f t="shared" si="48"/>
        <v>0</v>
      </c>
      <c r="X28" s="559">
        <v>0</v>
      </c>
      <c r="Y28" s="559">
        <v>0</v>
      </c>
      <c r="Z28" s="559">
        <f t="shared" si="49"/>
        <v>0</v>
      </c>
      <c r="AA28" s="559">
        <f t="shared" si="50"/>
        <v>0</v>
      </c>
      <c r="AB28" s="559">
        <f t="shared" si="51"/>
        <v>0</v>
      </c>
      <c r="AC28" s="559">
        <f t="shared" si="52"/>
        <v>0</v>
      </c>
      <c r="AD28" s="559">
        <v>0</v>
      </c>
      <c r="AE28" s="559">
        <v>0</v>
      </c>
      <c r="AF28" s="559">
        <f t="shared" si="53"/>
        <v>0</v>
      </c>
      <c r="AG28" s="559">
        <v>0</v>
      </c>
      <c r="AH28" s="559">
        <f t="shared" si="54"/>
        <v>0</v>
      </c>
      <c r="AI28" s="559">
        <v>0</v>
      </c>
      <c r="AJ28" s="559">
        <v>0</v>
      </c>
      <c r="AK28" s="559">
        <v>0</v>
      </c>
      <c r="AL28" s="559">
        <v>0</v>
      </c>
      <c r="AM28" s="559">
        <f t="shared" si="55"/>
        <v>0</v>
      </c>
      <c r="AN28" s="562">
        <v>0</v>
      </c>
      <c r="AO28" s="563">
        <v>0</v>
      </c>
      <c r="AQ28" s="458"/>
      <c r="AR28" s="460"/>
      <c r="AT28" s="458">
        <f>SUM(K28:AO28)</f>
        <v>0</v>
      </c>
      <c r="AU28" s="487" t="e">
        <f t="shared" si="56"/>
        <v>#DIV/0!</v>
      </c>
      <c r="AV28" s="480"/>
      <c r="AX28" s="61"/>
      <c r="AY28" s="62"/>
      <c r="AZ28" s="62"/>
    </row>
    <row r="29" spans="2:52" s="552" customFormat="1" x14ac:dyDescent="0.2">
      <c r="B29" s="464">
        <v>18</v>
      </c>
      <c r="C29" s="287" t="s">
        <v>68</v>
      </c>
      <c r="D29" s="424">
        <v>0</v>
      </c>
      <c r="E29" s="424">
        <f t="shared" si="32"/>
        <v>0</v>
      </c>
      <c r="F29" s="424">
        <f t="shared" si="33"/>
        <v>0</v>
      </c>
      <c r="G29" s="424">
        <f t="shared" si="34"/>
        <v>0</v>
      </c>
      <c r="H29" s="424">
        <f t="shared" si="35"/>
        <v>0</v>
      </c>
      <c r="I29" s="424">
        <f t="shared" si="38"/>
        <v>0</v>
      </c>
      <c r="J29" s="449">
        <f t="shared" si="36"/>
        <v>0</v>
      </c>
      <c r="K29" s="453">
        <f t="shared" si="39"/>
        <v>0</v>
      </c>
      <c r="L29" s="453">
        <f t="shared" si="57"/>
        <v>0</v>
      </c>
      <c r="M29" s="424">
        <f t="shared" si="40"/>
        <v>0</v>
      </c>
      <c r="N29" s="424">
        <f t="shared" si="41"/>
        <v>0</v>
      </c>
      <c r="O29" s="424">
        <f t="shared" si="42"/>
        <v>0</v>
      </c>
      <c r="P29" s="424">
        <f t="shared" si="43"/>
        <v>0</v>
      </c>
      <c r="Q29" s="424">
        <v>0</v>
      </c>
      <c r="R29" s="424">
        <v>0</v>
      </c>
      <c r="S29" s="424">
        <f t="shared" si="44"/>
        <v>0</v>
      </c>
      <c r="T29" s="424">
        <f t="shared" si="45"/>
        <v>0</v>
      </c>
      <c r="U29" s="424">
        <f t="shared" si="46"/>
        <v>0</v>
      </c>
      <c r="V29" s="424">
        <f t="shared" si="47"/>
        <v>0</v>
      </c>
      <c r="W29" s="424">
        <f t="shared" si="48"/>
        <v>0</v>
      </c>
      <c r="X29" s="424">
        <v>0</v>
      </c>
      <c r="Y29" s="424">
        <v>0</v>
      </c>
      <c r="Z29" s="424">
        <f t="shared" si="49"/>
        <v>0</v>
      </c>
      <c r="AA29" s="424">
        <f t="shared" si="50"/>
        <v>0</v>
      </c>
      <c r="AB29" s="424">
        <f t="shared" si="51"/>
        <v>0</v>
      </c>
      <c r="AC29" s="424">
        <f t="shared" si="52"/>
        <v>0</v>
      </c>
      <c r="AD29" s="424">
        <v>0</v>
      </c>
      <c r="AE29" s="424">
        <v>0</v>
      </c>
      <c r="AF29" s="424">
        <f t="shared" si="53"/>
        <v>0</v>
      </c>
      <c r="AG29" s="424">
        <v>0</v>
      </c>
      <c r="AH29" s="424">
        <f t="shared" si="54"/>
        <v>0</v>
      </c>
      <c r="AI29" s="424">
        <v>0</v>
      </c>
      <c r="AJ29" s="424">
        <v>0</v>
      </c>
      <c r="AK29" s="424">
        <v>0</v>
      </c>
      <c r="AL29" s="424">
        <v>0</v>
      </c>
      <c r="AM29" s="424">
        <f t="shared" si="55"/>
        <v>0</v>
      </c>
      <c r="AN29" s="454">
        <v>0</v>
      </c>
      <c r="AO29" s="465">
        <v>0</v>
      </c>
      <c r="AQ29" s="459"/>
      <c r="AR29" s="461"/>
      <c r="AT29" s="459">
        <f>SUM(K29:AO29)</f>
        <v>0</v>
      </c>
      <c r="AU29" s="486" t="e">
        <f t="shared" si="56"/>
        <v>#DIV/0!</v>
      </c>
      <c r="AV29" s="482"/>
      <c r="AX29" s="14"/>
      <c r="AY29" s="29"/>
      <c r="AZ29" s="29"/>
    </row>
    <row r="30" spans="2:52" s="255" customFormat="1" ht="15.75" thickBot="1" x14ac:dyDescent="0.25">
      <c r="B30" s="564">
        <v>19</v>
      </c>
      <c r="C30" s="466" t="s">
        <v>71</v>
      </c>
      <c r="D30" s="565">
        <v>0</v>
      </c>
      <c r="E30" s="565">
        <f t="shared" si="32"/>
        <v>0</v>
      </c>
      <c r="F30" s="565">
        <f t="shared" si="33"/>
        <v>0</v>
      </c>
      <c r="G30" s="565">
        <f t="shared" si="34"/>
        <v>0</v>
      </c>
      <c r="H30" s="565">
        <f t="shared" si="35"/>
        <v>0</v>
      </c>
      <c r="I30" s="565">
        <f t="shared" si="38"/>
        <v>0</v>
      </c>
      <c r="J30" s="566">
        <f t="shared" si="36"/>
        <v>0</v>
      </c>
      <c r="K30" s="567">
        <f t="shared" si="39"/>
        <v>0</v>
      </c>
      <c r="L30" s="567">
        <f t="shared" si="57"/>
        <v>0</v>
      </c>
      <c r="M30" s="565">
        <f t="shared" si="40"/>
        <v>0</v>
      </c>
      <c r="N30" s="565">
        <f t="shared" si="41"/>
        <v>0</v>
      </c>
      <c r="O30" s="565">
        <f t="shared" si="42"/>
        <v>0</v>
      </c>
      <c r="P30" s="565">
        <f t="shared" si="43"/>
        <v>0</v>
      </c>
      <c r="Q30" s="565">
        <v>0</v>
      </c>
      <c r="R30" s="565">
        <v>0</v>
      </c>
      <c r="S30" s="565">
        <f t="shared" si="44"/>
        <v>0</v>
      </c>
      <c r="T30" s="565">
        <f t="shared" si="45"/>
        <v>0</v>
      </c>
      <c r="U30" s="565">
        <f t="shared" si="46"/>
        <v>0</v>
      </c>
      <c r="V30" s="565">
        <f t="shared" si="47"/>
        <v>0</v>
      </c>
      <c r="W30" s="565">
        <f t="shared" si="48"/>
        <v>0</v>
      </c>
      <c r="X30" s="565">
        <v>0</v>
      </c>
      <c r="Y30" s="565">
        <v>0</v>
      </c>
      <c r="Z30" s="565">
        <f t="shared" si="49"/>
        <v>0</v>
      </c>
      <c r="AA30" s="565">
        <f t="shared" si="50"/>
        <v>0</v>
      </c>
      <c r="AB30" s="565">
        <f t="shared" si="51"/>
        <v>0</v>
      </c>
      <c r="AC30" s="565">
        <f t="shared" si="52"/>
        <v>0</v>
      </c>
      <c r="AD30" s="565">
        <v>0</v>
      </c>
      <c r="AE30" s="565">
        <v>0</v>
      </c>
      <c r="AF30" s="565">
        <f t="shared" si="53"/>
        <v>0</v>
      </c>
      <c r="AG30" s="565">
        <v>0</v>
      </c>
      <c r="AH30" s="565">
        <f t="shared" si="54"/>
        <v>0</v>
      </c>
      <c r="AI30" s="565">
        <v>0</v>
      </c>
      <c r="AJ30" s="565">
        <v>0</v>
      </c>
      <c r="AK30" s="565">
        <v>0</v>
      </c>
      <c r="AL30" s="565">
        <v>0</v>
      </c>
      <c r="AM30" s="565">
        <f t="shared" si="55"/>
        <v>0</v>
      </c>
      <c r="AN30" s="568">
        <v>0</v>
      </c>
      <c r="AO30" s="569">
        <v>0</v>
      </c>
      <c r="AQ30" s="570"/>
      <c r="AR30" s="571"/>
      <c r="AT30" s="570">
        <f t="shared" si="37"/>
        <v>0</v>
      </c>
      <c r="AU30" s="572" t="e">
        <f t="shared" si="56"/>
        <v>#DIV/0!</v>
      </c>
      <c r="AV30" s="480"/>
      <c r="AX30" s="61"/>
      <c r="AY30" s="62"/>
      <c r="AZ30" s="62"/>
    </row>
    <row r="31" spans="2:52" s="552" customFormat="1" x14ac:dyDescent="0.2">
      <c r="B31" s="333"/>
      <c r="C31" s="333" t="s">
        <v>94</v>
      </c>
      <c r="D31" s="602">
        <f>SUM(D25:D30)</f>
        <v>185</v>
      </c>
      <c r="E31" s="602">
        <f t="shared" ref="E31:H31" si="58">SUM(E25:E30)</f>
        <v>18.5</v>
      </c>
      <c r="F31" s="602">
        <f t="shared" si="58"/>
        <v>12.333333333333334</v>
      </c>
      <c r="G31" s="602">
        <f t="shared" si="58"/>
        <v>9.25</v>
      </c>
      <c r="H31" s="602">
        <f t="shared" si="58"/>
        <v>7.4</v>
      </c>
      <c r="I31" s="602">
        <f>SUM(I25:I30)</f>
        <v>6.166666666666667</v>
      </c>
      <c r="J31" s="603">
        <f>D31/D33</f>
        <v>0.14914543695582069</v>
      </c>
      <c r="K31" s="604">
        <f t="shared" ref="K31:AO31" si="59">SUM(K25:K30)</f>
        <v>6.166666666666667</v>
      </c>
      <c r="L31" s="602">
        <f t="shared" si="59"/>
        <v>0</v>
      </c>
      <c r="M31" s="602">
        <f t="shared" si="59"/>
        <v>6.166666666666667</v>
      </c>
      <c r="N31" s="602">
        <f t="shared" si="59"/>
        <v>2.9650000000000034</v>
      </c>
      <c r="O31" s="602">
        <f t="shared" si="59"/>
        <v>6.166666666666667</v>
      </c>
      <c r="P31" s="602">
        <f t="shared" si="59"/>
        <v>6.166666666666667</v>
      </c>
      <c r="Q31" s="602">
        <f t="shared" si="59"/>
        <v>0</v>
      </c>
      <c r="R31" s="602">
        <f t="shared" si="59"/>
        <v>0</v>
      </c>
      <c r="S31" s="602">
        <f t="shared" si="59"/>
        <v>6.166666666666667</v>
      </c>
      <c r="T31" s="602">
        <f t="shared" si="59"/>
        <v>6.166666666666667</v>
      </c>
      <c r="U31" s="602">
        <f t="shared" si="59"/>
        <v>6.166666666666667</v>
      </c>
      <c r="V31" s="602">
        <f t="shared" si="59"/>
        <v>6.166666666666667</v>
      </c>
      <c r="W31" s="602">
        <f t="shared" si="59"/>
        <v>6.166666666666667</v>
      </c>
      <c r="X31" s="602">
        <f t="shared" si="59"/>
        <v>0</v>
      </c>
      <c r="Y31" s="602">
        <f t="shared" si="59"/>
        <v>0</v>
      </c>
      <c r="Z31" s="602">
        <f t="shared" si="59"/>
        <v>6.166666666666667</v>
      </c>
      <c r="AA31" s="602">
        <f t="shared" si="59"/>
        <v>6.166666666666667</v>
      </c>
      <c r="AB31" s="602">
        <f t="shared" si="59"/>
        <v>6.166666666666667</v>
      </c>
      <c r="AC31" s="602">
        <f t="shared" si="59"/>
        <v>5.4399999999999977</v>
      </c>
      <c r="AD31" s="602">
        <f t="shared" si="59"/>
        <v>0</v>
      </c>
      <c r="AE31" s="602">
        <f t="shared" si="59"/>
        <v>0</v>
      </c>
      <c r="AF31" s="602">
        <f t="shared" si="59"/>
        <v>6.166666666666667</v>
      </c>
      <c r="AG31" s="602">
        <f t="shared" si="59"/>
        <v>0</v>
      </c>
      <c r="AH31" s="602">
        <f t="shared" si="59"/>
        <v>6.166666666666667</v>
      </c>
      <c r="AI31" s="602">
        <f t="shared" si="59"/>
        <v>0</v>
      </c>
      <c r="AJ31" s="602">
        <f t="shared" si="59"/>
        <v>0</v>
      </c>
      <c r="AK31" s="602">
        <f t="shared" si="59"/>
        <v>0</v>
      </c>
      <c r="AL31" s="602">
        <f t="shared" si="59"/>
        <v>0</v>
      </c>
      <c r="AM31" s="602">
        <f t="shared" si="59"/>
        <v>3.8650000000000024</v>
      </c>
      <c r="AN31" s="602">
        <f t="shared" si="59"/>
        <v>0</v>
      </c>
      <c r="AO31" s="602">
        <f t="shared" si="59"/>
        <v>0</v>
      </c>
      <c r="AQ31" s="602">
        <f>I31*30</f>
        <v>185</v>
      </c>
      <c r="AR31" s="605">
        <f>AT31-AQ31</f>
        <v>-86.396666666666661</v>
      </c>
      <c r="AT31" s="602">
        <f>SUM(AT25:AT30)</f>
        <v>98.603333333333339</v>
      </c>
      <c r="AU31" s="606">
        <f>AT31/D31</f>
        <v>0.53299099099099101</v>
      </c>
      <c r="AV31" s="29"/>
      <c r="AX31" s="14"/>
      <c r="AY31" s="29"/>
      <c r="AZ31" s="29"/>
    </row>
    <row r="32" spans="2:52" s="554" customFormat="1" ht="4.5" customHeight="1" thickBot="1" x14ac:dyDescent="0.25">
      <c r="B32" s="150"/>
      <c r="C32" s="150"/>
      <c r="D32" s="37"/>
      <c r="E32" s="37"/>
      <c r="F32" s="37"/>
      <c r="G32" s="37"/>
      <c r="H32" s="37"/>
      <c r="I32" s="37"/>
      <c r="J32" s="196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Q32" s="37"/>
      <c r="AR32" s="406"/>
      <c r="AT32" s="37"/>
      <c r="AU32" s="607"/>
      <c r="AV32" s="29"/>
      <c r="AX32" s="14"/>
      <c r="AY32" s="29"/>
      <c r="AZ32" s="29"/>
    </row>
    <row r="33" spans="1:52" s="255" customFormat="1" ht="15.75" thickBot="1" x14ac:dyDescent="0.25">
      <c r="B33" s="43"/>
      <c r="C33" s="43" t="s">
        <v>95</v>
      </c>
      <c r="D33" s="40">
        <f t="shared" ref="D33:AO33" si="60">D21+D31</f>
        <v>1240.4000000000001</v>
      </c>
      <c r="E33" s="40">
        <f>E21+E31</f>
        <v>124.03999999999999</v>
      </c>
      <c r="F33" s="40">
        <f t="shared" si="60"/>
        <v>82.693333333333328</v>
      </c>
      <c r="G33" s="40">
        <f t="shared" si="60"/>
        <v>62.019999999999996</v>
      </c>
      <c r="H33" s="40">
        <f t="shared" si="60"/>
        <v>49.616</v>
      </c>
      <c r="I33" s="40">
        <f>I21+I31</f>
        <v>41.346666666666664</v>
      </c>
      <c r="J33" s="220">
        <f t="shared" si="60"/>
        <v>1</v>
      </c>
      <c r="K33" s="549">
        <f t="shared" si="60"/>
        <v>41.346666666666664</v>
      </c>
      <c r="L33" s="549">
        <f>L21+L31</f>
        <v>35.18</v>
      </c>
      <c r="M33" s="40">
        <f t="shared" si="60"/>
        <v>41.346666666666664</v>
      </c>
      <c r="N33" s="40">
        <f t="shared" si="60"/>
        <v>38.145000000000003</v>
      </c>
      <c r="O33" s="40">
        <f t="shared" si="60"/>
        <v>41.346666666666664</v>
      </c>
      <c r="P33" s="40">
        <f t="shared" si="60"/>
        <v>41.346666666666664</v>
      </c>
      <c r="Q33" s="40">
        <f t="shared" si="60"/>
        <v>0</v>
      </c>
      <c r="R33" s="40">
        <f t="shared" si="60"/>
        <v>35.18</v>
      </c>
      <c r="S33" s="40">
        <f t="shared" si="60"/>
        <v>41.346666666666664</v>
      </c>
      <c r="T33" s="40">
        <f t="shared" si="60"/>
        <v>41.346666666666664</v>
      </c>
      <c r="U33" s="40">
        <f t="shared" si="60"/>
        <v>41.346666666666664</v>
      </c>
      <c r="V33" s="40">
        <f t="shared" si="60"/>
        <v>41.346666666666664</v>
      </c>
      <c r="W33" s="40">
        <f t="shared" si="60"/>
        <v>41.346666666666664</v>
      </c>
      <c r="X33" s="40">
        <f t="shared" si="60"/>
        <v>35.18</v>
      </c>
      <c r="Y33" s="40">
        <f t="shared" si="60"/>
        <v>35.18</v>
      </c>
      <c r="Z33" s="40">
        <f t="shared" si="60"/>
        <v>41.346666666666664</v>
      </c>
      <c r="AA33" s="40">
        <f t="shared" si="60"/>
        <v>41.346666666666664</v>
      </c>
      <c r="AB33" s="40">
        <f t="shared" si="60"/>
        <v>41.346666666666664</v>
      </c>
      <c r="AC33" s="40">
        <f t="shared" si="60"/>
        <v>40.619999999999997</v>
      </c>
      <c r="AD33" s="40">
        <f t="shared" si="60"/>
        <v>35.18</v>
      </c>
      <c r="AE33" s="40">
        <f t="shared" si="60"/>
        <v>35.18</v>
      </c>
      <c r="AF33" s="40">
        <f t="shared" si="60"/>
        <v>41.346666666666664</v>
      </c>
      <c r="AG33" s="40">
        <f t="shared" si="60"/>
        <v>35.18</v>
      </c>
      <c r="AH33" s="40">
        <f t="shared" si="60"/>
        <v>41.346666666666664</v>
      </c>
      <c r="AI33" s="40">
        <f t="shared" si="60"/>
        <v>35.18</v>
      </c>
      <c r="AJ33" s="40">
        <f t="shared" si="60"/>
        <v>35.18</v>
      </c>
      <c r="AK33" s="40">
        <f t="shared" si="60"/>
        <v>35.18</v>
      </c>
      <c r="AL33" s="40">
        <f t="shared" si="60"/>
        <v>35.18</v>
      </c>
      <c r="AM33" s="40">
        <f t="shared" si="60"/>
        <v>39.045000000000002</v>
      </c>
      <c r="AN33" s="40">
        <f t="shared" si="60"/>
        <v>35.18</v>
      </c>
      <c r="AO33" s="40">
        <f t="shared" si="60"/>
        <v>35.18</v>
      </c>
      <c r="AQ33" s="40"/>
      <c r="AR33" s="74"/>
      <c r="AT33" s="40">
        <f>AT21+AT31</f>
        <v>1154.0033333333329</v>
      </c>
      <c r="AU33" s="51">
        <f>AT33/D33</f>
        <v>0.93034773728904607</v>
      </c>
      <c r="AV33" s="62"/>
      <c r="AX33" s="573">
        <f>AQ35-AT33</f>
        <v>-39.293333333333067</v>
      </c>
      <c r="AY33" s="62">
        <f>AX33/D33</f>
        <v>-3.1677953348382026E-2</v>
      </c>
      <c r="AZ33" s="62"/>
    </row>
    <row r="34" spans="1:52" s="552" customFormat="1" ht="15.75" thickBot="1" x14ac:dyDescent="0.25">
      <c r="B34" s="608"/>
      <c r="C34" s="608" t="s">
        <v>96</v>
      </c>
      <c r="D34" s="92"/>
      <c r="E34" s="92"/>
      <c r="F34" s="92"/>
      <c r="G34" s="92"/>
      <c r="H34" s="92"/>
      <c r="I34" s="92"/>
      <c r="J34" s="609"/>
      <c r="K34" s="610">
        <f t="shared" ref="K34:AO34" si="61">K4-K33</f>
        <v>1.1933333333333351</v>
      </c>
      <c r="L34" s="610">
        <f>L4-L33</f>
        <v>-5.0300000000000011</v>
      </c>
      <c r="M34" s="610">
        <f t="shared" si="61"/>
        <v>1.268333333333338</v>
      </c>
      <c r="N34" s="610">
        <f t="shared" si="61"/>
        <v>0</v>
      </c>
      <c r="O34" s="610">
        <f t="shared" si="61"/>
        <v>3.5033333333333374</v>
      </c>
      <c r="P34" s="610">
        <f t="shared" si="61"/>
        <v>3.8033333333333346</v>
      </c>
      <c r="Q34" s="610">
        <f t="shared" si="61"/>
        <v>0</v>
      </c>
      <c r="R34" s="610">
        <f t="shared" si="61"/>
        <v>-0.90500000000000114</v>
      </c>
      <c r="S34" s="610">
        <f t="shared" si="61"/>
        <v>14.73833333333333</v>
      </c>
      <c r="T34" s="610">
        <f t="shared" si="61"/>
        <v>1.6583333333333314</v>
      </c>
      <c r="U34" s="610">
        <f t="shared" si="61"/>
        <v>22.298333333333332</v>
      </c>
      <c r="V34" s="610">
        <f t="shared" si="61"/>
        <v>6.5633333333333326</v>
      </c>
      <c r="W34" s="610">
        <f t="shared" si="61"/>
        <v>8.2133333333333312</v>
      </c>
      <c r="X34" s="610">
        <f t="shared" si="61"/>
        <v>-3.1550000000000011</v>
      </c>
      <c r="Y34" s="610">
        <f t="shared" si="61"/>
        <v>-3.1400000000000006</v>
      </c>
      <c r="Z34" s="610">
        <f t="shared" si="61"/>
        <v>3.0533333333333346</v>
      </c>
      <c r="AA34" s="610">
        <f t="shared" si="61"/>
        <v>1.8983333333333334</v>
      </c>
      <c r="AB34" s="610">
        <f t="shared" si="61"/>
        <v>9.0533333333333346</v>
      </c>
      <c r="AC34" s="610">
        <f t="shared" si="61"/>
        <v>0</v>
      </c>
      <c r="AD34" s="610">
        <f t="shared" si="61"/>
        <v>-18.185000000000002</v>
      </c>
      <c r="AE34" s="610">
        <f t="shared" si="61"/>
        <v>-21.605</v>
      </c>
      <c r="AF34" s="610">
        <f t="shared" si="61"/>
        <v>2.4833333333333343</v>
      </c>
      <c r="AG34" s="610">
        <f t="shared" si="61"/>
        <v>-7.07</v>
      </c>
      <c r="AH34" s="610">
        <f t="shared" si="61"/>
        <v>13.073333333333338</v>
      </c>
      <c r="AI34" s="610">
        <f t="shared" si="61"/>
        <v>-12.14</v>
      </c>
      <c r="AJ34" s="610">
        <f t="shared" si="61"/>
        <v>-12.125000000000004</v>
      </c>
      <c r="AK34" s="610">
        <f t="shared" si="61"/>
        <v>-6.2900000000000027</v>
      </c>
      <c r="AL34" s="610">
        <f t="shared" si="61"/>
        <v>-35.18</v>
      </c>
      <c r="AM34" s="610">
        <f t="shared" si="61"/>
        <v>0</v>
      </c>
      <c r="AN34" s="610">
        <f t="shared" si="61"/>
        <v>-5.0150000000000006</v>
      </c>
      <c r="AO34" s="610">
        <f t="shared" si="61"/>
        <v>-2.2550000000000026</v>
      </c>
      <c r="AQ34" s="92">
        <f>SUM(K34:AO34)</f>
        <v>-39.293333333333337</v>
      </c>
      <c r="AR34" s="611"/>
      <c r="AT34" s="14"/>
      <c r="AU34" s="28"/>
      <c r="AV34" s="28"/>
      <c r="AX34" s="14"/>
      <c r="AY34" s="29"/>
      <c r="AZ34" s="29"/>
    </row>
    <row r="35" spans="1:52" s="255" customFormat="1" ht="15.75" thickBot="1" x14ac:dyDescent="0.25">
      <c r="B35" s="574"/>
      <c r="C35" s="575" t="s">
        <v>100</v>
      </c>
      <c r="D35" s="576"/>
      <c r="E35" s="576"/>
      <c r="F35" s="576"/>
      <c r="G35" s="576"/>
      <c r="H35" s="576"/>
      <c r="I35" s="576"/>
      <c r="J35" s="577"/>
      <c r="K35" s="578">
        <f>K33+K34</f>
        <v>42.54</v>
      </c>
      <c r="L35" s="578">
        <f>L33+L34</f>
        <v>30.15</v>
      </c>
      <c r="M35" s="578">
        <f t="shared" ref="M35:AO35" si="62">M33+M34</f>
        <v>42.615000000000002</v>
      </c>
      <c r="N35" s="578">
        <f t="shared" si="62"/>
        <v>38.145000000000003</v>
      </c>
      <c r="O35" s="578">
        <f t="shared" si="62"/>
        <v>44.85</v>
      </c>
      <c r="P35" s="578">
        <f t="shared" si="62"/>
        <v>45.15</v>
      </c>
      <c r="Q35" s="578">
        <f t="shared" si="62"/>
        <v>0</v>
      </c>
      <c r="R35" s="578">
        <f t="shared" si="62"/>
        <v>34.274999999999999</v>
      </c>
      <c r="S35" s="578">
        <f t="shared" si="62"/>
        <v>56.084999999999994</v>
      </c>
      <c r="T35" s="578">
        <f t="shared" si="62"/>
        <v>43.004999999999995</v>
      </c>
      <c r="U35" s="578">
        <f t="shared" si="62"/>
        <v>63.644999999999996</v>
      </c>
      <c r="V35" s="578">
        <f t="shared" si="62"/>
        <v>47.91</v>
      </c>
      <c r="W35" s="578">
        <f t="shared" si="62"/>
        <v>49.559999999999995</v>
      </c>
      <c r="X35" s="578">
        <f t="shared" si="62"/>
        <v>32.024999999999999</v>
      </c>
      <c r="Y35" s="578">
        <f t="shared" si="62"/>
        <v>32.04</v>
      </c>
      <c r="Z35" s="578">
        <f t="shared" si="62"/>
        <v>44.4</v>
      </c>
      <c r="AA35" s="578">
        <f t="shared" si="62"/>
        <v>43.244999999999997</v>
      </c>
      <c r="AB35" s="578">
        <f t="shared" si="62"/>
        <v>50.4</v>
      </c>
      <c r="AC35" s="578">
        <f t="shared" si="62"/>
        <v>40.619999999999997</v>
      </c>
      <c r="AD35" s="578">
        <f t="shared" si="62"/>
        <v>16.994999999999997</v>
      </c>
      <c r="AE35" s="578">
        <f>AE33+AE34</f>
        <v>13.574999999999999</v>
      </c>
      <c r="AF35" s="578">
        <f t="shared" si="62"/>
        <v>43.83</v>
      </c>
      <c r="AG35" s="578">
        <f t="shared" si="62"/>
        <v>28.11</v>
      </c>
      <c r="AH35" s="578">
        <f t="shared" si="62"/>
        <v>54.42</v>
      </c>
      <c r="AI35" s="578">
        <f t="shared" si="62"/>
        <v>23.04</v>
      </c>
      <c r="AJ35" s="578">
        <f t="shared" si="62"/>
        <v>23.054999999999996</v>
      </c>
      <c r="AK35" s="578">
        <f t="shared" si="62"/>
        <v>28.889999999999997</v>
      </c>
      <c r="AL35" s="578">
        <f t="shared" si="62"/>
        <v>0</v>
      </c>
      <c r="AM35" s="578">
        <f t="shared" si="62"/>
        <v>39.045000000000002</v>
      </c>
      <c r="AN35" s="578">
        <f t="shared" si="62"/>
        <v>30.164999999999999</v>
      </c>
      <c r="AO35" s="578">
        <f t="shared" si="62"/>
        <v>32.924999999999997</v>
      </c>
      <c r="AQ35" s="579">
        <f>SUM(K35:AO35)</f>
        <v>1114.7099999999998</v>
      </c>
      <c r="AR35" s="580">
        <f>AQ35/D33</f>
        <v>0.8986697839406641</v>
      </c>
      <c r="AT35" s="581"/>
      <c r="AU35" s="582"/>
      <c r="AV35" s="492"/>
      <c r="AX35" s="61"/>
      <c r="AY35" s="62"/>
      <c r="AZ35" s="62"/>
    </row>
    <row r="36" spans="1:52" s="554" customFormat="1" ht="4.5" customHeight="1" x14ac:dyDescent="0.2">
      <c r="D36" s="14"/>
      <c r="E36" s="14"/>
      <c r="F36" s="14"/>
      <c r="G36" s="14"/>
      <c r="H36" s="14"/>
      <c r="I36" s="14"/>
      <c r="J36" s="200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T36" s="612"/>
      <c r="AU36" s="613"/>
      <c r="AV36" s="28"/>
      <c r="AX36" s="14"/>
      <c r="AY36" s="29"/>
      <c r="AZ36" s="29"/>
    </row>
    <row r="37" spans="1:52" s="432" customFormat="1" x14ac:dyDescent="0.2">
      <c r="A37" s="669"/>
      <c r="B37" s="433"/>
      <c r="C37" s="433" t="s">
        <v>74</v>
      </c>
      <c r="D37" s="347">
        <v>1000</v>
      </c>
      <c r="E37" s="347">
        <f t="shared" ref="E37:E42" si="63">D37/10</f>
        <v>100</v>
      </c>
      <c r="F37" s="347">
        <f t="shared" ref="F37:F38" si="64">D37/15</f>
        <v>66.666666666666671</v>
      </c>
      <c r="G37" s="347">
        <f t="shared" ref="G37:G38" si="65">D37/20</f>
        <v>50</v>
      </c>
      <c r="H37" s="347">
        <f t="shared" ref="H37:H38" si="66">D37/25</f>
        <v>40</v>
      </c>
      <c r="I37" s="347">
        <f>D37/30</f>
        <v>33.333333333333336</v>
      </c>
      <c r="J37" s="531">
        <f>D37/D38</f>
        <v>0.44634886627387965</v>
      </c>
      <c r="K37" s="483">
        <f t="shared" ref="K37:AO37" si="67">$I$37</f>
        <v>33.333333333333336</v>
      </c>
      <c r="L37" s="483">
        <f t="shared" si="67"/>
        <v>33.333333333333336</v>
      </c>
      <c r="M37" s="483">
        <f t="shared" si="67"/>
        <v>33.333333333333336</v>
      </c>
      <c r="N37" s="483">
        <f t="shared" si="67"/>
        <v>33.333333333333336</v>
      </c>
      <c r="O37" s="483">
        <f t="shared" si="67"/>
        <v>33.333333333333336</v>
      </c>
      <c r="P37" s="483">
        <f t="shared" si="67"/>
        <v>33.333333333333336</v>
      </c>
      <c r="Q37" s="483">
        <v>0</v>
      </c>
      <c r="R37" s="483">
        <f t="shared" si="67"/>
        <v>33.333333333333336</v>
      </c>
      <c r="S37" s="483">
        <f t="shared" si="67"/>
        <v>33.333333333333336</v>
      </c>
      <c r="T37" s="483">
        <f t="shared" si="67"/>
        <v>33.333333333333336</v>
      </c>
      <c r="U37" s="483">
        <f t="shared" si="67"/>
        <v>33.333333333333336</v>
      </c>
      <c r="V37" s="483">
        <f t="shared" si="67"/>
        <v>33.333333333333336</v>
      </c>
      <c r="W37" s="483">
        <f t="shared" si="67"/>
        <v>33.333333333333336</v>
      </c>
      <c r="X37" s="483">
        <f t="shared" si="67"/>
        <v>33.333333333333336</v>
      </c>
      <c r="Y37" s="483">
        <f t="shared" si="67"/>
        <v>33.333333333333336</v>
      </c>
      <c r="Z37" s="483">
        <f t="shared" si="67"/>
        <v>33.333333333333336</v>
      </c>
      <c r="AA37" s="483">
        <f t="shared" si="67"/>
        <v>33.333333333333336</v>
      </c>
      <c r="AB37" s="483">
        <f t="shared" si="67"/>
        <v>33.333333333333336</v>
      </c>
      <c r="AC37" s="483">
        <f t="shared" si="67"/>
        <v>33.333333333333336</v>
      </c>
      <c r="AD37" s="483">
        <f t="shared" si="67"/>
        <v>33.333333333333336</v>
      </c>
      <c r="AE37" s="483">
        <f t="shared" si="67"/>
        <v>33.333333333333336</v>
      </c>
      <c r="AF37" s="483">
        <f t="shared" si="67"/>
        <v>33.333333333333336</v>
      </c>
      <c r="AG37" s="483">
        <f t="shared" si="67"/>
        <v>33.333333333333336</v>
      </c>
      <c r="AH37" s="483">
        <f t="shared" si="67"/>
        <v>33.333333333333336</v>
      </c>
      <c r="AI37" s="483">
        <f t="shared" si="67"/>
        <v>33.333333333333336</v>
      </c>
      <c r="AJ37" s="483">
        <f t="shared" si="67"/>
        <v>33.333333333333336</v>
      </c>
      <c r="AK37" s="483">
        <f t="shared" si="67"/>
        <v>33.333333333333336</v>
      </c>
      <c r="AL37" s="483">
        <f t="shared" si="67"/>
        <v>33.333333333333336</v>
      </c>
      <c r="AM37" s="483">
        <f t="shared" si="67"/>
        <v>33.333333333333336</v>
      </c>
      <c r="AN37" s="483">
        <f t="shared" si="67"/>
        <v>33.333333333333336</v>
      </c>
      <c r="AO37" s="483">
        <f t="shared" si="67"/>
        <v>33.333333333333336</v>
      </c>
      <c r="AQ37" s="347">
        <f>SUM(K37:AO37)</f>
        <v>1000.0000000000005</v>
      </c>
      <c r="AR37" s="485">
        <f>AQ37/D37</f>
        <v>1.0000000000000004</v>
      </c>
      <c r="AT37" s="614"/>
      <c r="AU37" s="615"/>
      <c r="AV37" s="491"/>
      <c r="AX37" s="481"/>
      <c r="AY37" s="482"/>
      <c r="AZ37" s="482"/>
    </row>
    <row r="38" spans="1:52" s="81" customFormat="1" x14ac:dyDescent="0.2">
      <c r="B38" s="43"/>
      <c r="C38" s="43" t="s">
        <v>79</v>
      </c>
      <c r="D38" s="40">
        <f>D33+D37</f>
        <v>2240.4</v>
      </c>
      <c r="E38" s="40">
        <f t="shared" si="63"/>
        <v>224.04000000000002</v>
      </c>
      <c r="F38" s="40">
        <f t="shared" si="64"/>
        <v>149.36000000000001</v>
      </c>
      <c r="G38" s="40">
        <f t="shared" si="65"/>
        <v>112.02000000000001</v>
      </c>
      <c r="H38" s="40">
        <f t="shared" si="66"/>
        <v>89.616</v>
      </c>
      <c r="I38" s="40">
        <f>I33+I37</f>
        <v>74.680000000000007</v>
      </c>
      <c r="J38" s="220">
        <f>(D21/D38)+(D31/D38)+(D37/D38)</f>
        <v>1</v>
      </c>
      <c r="K38" s="549">
        <f t="shared" ref="K38:AO38" si="68">$I$38</f>
        <v>74.680000000000007</v>
      </c>
      <c r="L38" s="549">
        <f t="shared" si="68"/>
        <v>74.680000000000007</v>
      </c>
      <c r="M38" s="549">
        <f t="shared" si="68"/>
        <v>74.680000000000007</v>
      </c>
      <c r="N38" s="549">
        <f t="shared" si="68"/>
        <v>74.680000000000007</v>
      </c>
      <c r="O38" s="549">
        <f t="shared" si="68"/>
        <v>74.680000000000007</v>
      </c>
      <c r="P38" s="549">
        <f t="shared" si="68"/>
        <v>74.680000000000007</v>
      </c>
      <c r="Q38" s="549">
        <v>0</v>
      </c>
      <c r="R38" s="549">
        <f t="shared" si="68"/>
        <v>74.680000000000007</v>
      </c>
      <c r="S38" s="549">
        <f t="shared" si="68"/>
        <v>74.680000000000007</v>
      </c>
      <c r="T38" s="549">
        <f t="shared" si="68"/>
        <v>74.680000000000007</v>
      </c>
      <c r="U38" s="549">
        <f t="shared" si="68"/>
        <v>74.680000000000007</v>
      </c>
      <c r="V38" s="549">
        <f t="shared" si="68"/>
        <v>74.680000000000007</v>
      </c>
      <c r="W38" s="549">
        <f t="shared" si="68"/>
        <v>74.680000000000007</v>
      </c>
      <c r="X38" s="549">
        <f t="shared" si="68"/>
        <v>74.680000000000007</v>
      </c>
      <c r="Y38" s="549">
        <f t="shared" si="68"/>
        <v>74.680000000000007</v>
      </c>
      <c r="Z38" s="549">
        <f t="shared" si="68"/>
        <v>74.680000000000007</v>
      </c>
      <c r="AA38" s="549">
        <f t="shared" si="68"/>
        <v>74.680000000000007</v>
      </c>
      <c r="AB38" s="557">
        <f t="shared" si="68"/>
        <v>74.680000000000007</v>
      </c>
      <c r="AC38" s="634">
        <f t="shared" si="68"/>
        <v>74.680000000000007</v>
      </c>
      <c r="AD38" s="639">
        <f t="shared" si="68"/>
        <v>74.680000000000007</v>
      </c>
      <c r="AE38" s="644">
        <f t="shared" si="68"/>
        <v>74.680000000000007</v>
      </c>
      <c r="AF38" s="644">
        <f t="shared" si="68"/>
        <v>74.680000000000007</v>
      </c>
      <c r="AG38" s="672">
        <f t="shared" si="68"/>
        <v>74.680000000000007</v>
      </c>
      <c r="AH38" s="677">
        <f t="shared" si="68"/>
        <v>74.680000000000007</v>
      </c>
      <c r="AI38" s="680">
        <f t="shared" si="68"/>
        <v>74.680000000000007</v>
      </c>
      <c r="AJ38" s="680">
        <f t="shared" si="68"/>
        <v>74.680000000000007</v>
      </c>
      <c r="AK38" s="680">
        <f t="shared" si="68"/>
        <v>74.680000000000007</v>
      </c>
      <c r="AL38" s="685">
        <f t="shared" si="68"/>
        <v>74.680000000000007</v>
      </c>
      <c r="AM38" s="685">
        <f t="shared" si="68"/>
        <v>74.680000000000007</v>
      </c>
      <c r="AN38" s="685">
        <f t="shared" si="68"/>
        <v>74.680000000000007</v>
      </c>
      <c r="AO38" s="688">
        <f t="shared" si="68"/>
        <v>74.680000000000007</v>
      </c>
      <c r="AP38" s="255"/>
      <c r="AQ38" s="40">
        <f>SUM(K38:AO38)</f>
        <v>2240.400000000001</v>
      </c>
      <c r="AR38" s="51">
        <f>AQ38/D38</f>
        <v>1.0000000000000004</v>
      </c>
      <c r="AS38" s="255"/>
      <c r="AT38" s="583"/>
      <c r="AU38" s="584"/>
      <c r="AV38" s="411"/>
      <c r="AW38" s="255"/>
      <c r="AX38" s="61"/>
      <c r="AY38" s="62"/>
      <c r="AZ38" s="62"/>
    </row>
    <row r="39" spans="1:52" s="554" customFormat="1" ht="4.5" customHeight="1" thickBot="1" x14ac:dyDescent="0.25">
      <c r="B39" s="18"/>
      <c r="C39" s="18"/>
      <c r="D39" s="553"/>
      <c r="E39" s="553"/>
      <c r="F39" s="553"/>
      <c r="G39" s="553"/>
      <c r="H39" s="553"/>
      <c r="I39" s="553"/>
      <c r="J39" s="197"/>
      <c r="K39" s="553"/>
      <c r="L39" s="553"/>
      <c r="M39" s="553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Q39" s="18"/>
      <c r="AR39" s="18"/>
      <c r="AT39" s="14"/>
      <c r="AU39" s="29"/>
      <c r="AV39" s="29"/>
      <c r="AX39" s="14"/>
      <c r="AY39" s="29"/>
      <c r="AZ39" s="29"/>
    </row>
    <row r="40" spans="1:52" s="554" customFormat="1" x14ac:dyDescent="0.2">
      <c r="B40" s="616"/>
      <c r="C40" s="617" t="s">
        <v>97</v>
      </c>
      <c r="D40" s="618">
        <f>D21*100/30</f>
        <v>3518.0000000000005</v>
      </c>
      <c r="E40" s="645">
        <f t="shared" si="63"/>
        <v>351.80000000000007</v>
      </c>
      <c r="F40" s="648">
        <f t="shared" ref="F40:F42" si="69">D40/15</f>
        <v>234.53333333333336</v>
      </c>
      <c r="G40" s="652">
        <f t="shared" ref="G40:G42" si="70">D40/20</f>
        <v>175.90000000000003</v>
      </c>
      <c r="H40" s="656">
        <f t="shared" ref="H40:H42" si="71">D40/25</f>
        <v>140.72000000000003</v>
      </c>
      <c r="I40" s="660">
        <f>D40/30</f>
        <v>117.26666666666668</v>
      </c>
      <c r="J40" s="619">
        <f>I40*30%</f>
        <v>35.18</v>
      </c>
      <c r="K40" s="620">
        <f t="shared" ref="K40:AO40" si="72">K4-K21</f>
        <v>7.3599999999999994</v>
      </c>
      <c r="L40" s="621">
        <f t="shared" si="72"/>
        <v>-5.0300000000000011</v>
      </c>
      <c r="M40" s="621">
        <f t="shared" si="72"/>
        <v>7.4350000000000023</v>
      </c>
      <c r="N40" s="621">
        <f t="shared" si="72"/>
        <v>2.9650000000000034</v>
      </c>
      <c r="O40" s="621">
        <f t="shared" si="72"/>
        <v>9.6700000000000017</v>
      </c>
      <c r="P40" s="621">
        <f t="shared" si="72"/>
        <v>9.9699999999999989</v>
      </c>
      <c r="Q40" s="621">
        <f t="shared" si="72"/>
        <v>0</v>
      </c>
      <c r="R40" s="621">
        <f t="shared" si="72"/>
        <v>-0.90500000000000114</v>
      </c>
      <c r="S40" s="621">
        <f t="shared" si="72"/>
        <v>20.904999999999994</v>
      </c>
      <c r="T40" s="621">
        <f t="shared" si="72"/>
        <v>7.8249999999999957</v>
      </c>
      <c r="U40" s="621">
        <f t="shared" si="72"/>
        <v>28.464999999999996</v>
      </c>
      <c r="V40" s="621">
        <f t="shared" si="72"/>
        <v>12.729999999999997</v>
      </c>
      <c r="W40" s="621">
        <f t="shared" si="72"/>
        <v>14.379999999999995</v>
      </c>
      <c r="X40" s="621">
        <f t="shared" si="72"/>
        <v>-3.1550000000000011</v>
      </c>
      <c r="Y40" s="621">
        <f t="shared" si="72"/>
        <v>-3.1400000000000006</v>
      </c>
      <c r="Z40" s="621">
        <f t="shared" si="72"/>
        <v>9.2199999999999989</v>
      </c>
      <c r="AA40" s="621">
        <f t="shared" si="72"/>
        <v>8.0649999999999977</v>
      </c>
      <c r="AB40" s="621">
        <f t="shared" si="72"/>
        <v>15.219999999999999</v>
      </c>
      <c r="AC40" s="621">
        <f t="shared" si="72"/>
        <v>5.4399999999999977</v>
      </c>
      <c r="AD40" s="621">
        <f t="shared" si="72"/>
        <v>-18.185000000000002</v>
      </c>
      <c r="AE40" s="621">
        <f t="shared" si="72"/>
        <v>-21.605</v>
      </c>
      <c r="AF40" s="621">
        <f t="shared" si="72"/>
        <v>8.6499999999999986</v>
      </c>
      <c r="AG40" s="621">
        <f t="shared" si="72"/>
        <v>-7.07</v>
      </c>
      <c r="AH40" s="621">
        <f t="shared" si="72"/>
        <v>19.240000000000002</v>
      </c>
      <c r="AI40" s="621">
        <f t="shared" si="72"/>
        <v>-12.14</v>
      </c>
      <c r="AJ40" s="621">
        <f t="shared" si="72"/>
        <v>-12.125000000000004</v>
      </c>
      <c r="AK40" s="621">
        <f t="shared" si="72"/>
        <v>-6.2900000000000027</v>
      </c>
      <c r="AL40" s="621">
        <f t="shared" si="72"/>
        <v>-35.18</v>
      </c>
      <c r="AM40" s="621">
        <f t="shared" si="72"/>
        <v>3.865000000000002</v>
      </c>
      <c r="AN40" s="621">
        <f t="shared" si="72"/>
        <v>-5.0150000000000006</v>
      </c>
      <c r="AO40" s="622">
        <f t="shared" si="72"/>
        <v>-2.2550000000000026</v>
      </c>
      <c r="AP40" s="552"/>
      <c r="AQ40" s="623">
        <f>SUM(K40:AO40)</f>
        <v>59.309999999999953</v>
      </c>
      <c r="AR40" s="622"/>
      <c r="AS40" s="552"/>
      <c r="AT40" s="14"/>
      <c r="AU40" s="29"/>
      <c r="AV40" s="29"/>
      <c r="AX40" s="14"/>
      <c r="AY40" s="29"/>
      <c r="AZ40" s="29"/>
    </row>
    <row r="41" spans="1:52" s="255" customFormat="1" x14ac:dyDescent="0.2">
      <c r="B41" s="585"/>
      <c r="C41" s="43" t="s">
        <v>97</v>
      </c>
      <c r="D41" s="132">
        <f>D33*100/30</f>
        <v>4134.666666666667</v>
      </c>
      <c r="E41" s="97">
        <f t="shared" si="63"/>
        <v>413.4666666666667</v>
      </c>
      <c r="F41" s="649">
        <f t="shared" si="69"/>
        <v>275.64444444444445</v>
      </c>
      <c r="G41" s="653">
        <f t="shared" si="70"/>
        <v>206.73333333333335</v>
      </c>
      <c r="H41" s="657">
        <f t="shared" si="71"/>
        <v>165.38666666666668</v>
      </c>
      <c r="I41" s="661">
        <f>D41/30</f>
        <v>137.82222222222222</v>
      </c>
      <c r="J41" s="199">
        <f>I41*30%</f>
        <v>41.346666666666664</v>
      </c>
      <c r="K41" s="549">
        <f t="shared" ref="K41:AO41" si="73">K4-K33</f>
        <v>1.1933333333333351</v>
      </c>
      <c r="L41" s="40">
        <f t="shared" si="73"/>
        <v>-5.0300000000000011</v>
      </c>
      <c r="M41" s="40">
        <f>M4-M33</f>
        <v>1.268333333333338</v>
      </c>
      <c r="N41" s="40">
        <f>N4-N33</f>
        <v>0</v>
      </c>
      <c r="O41" s="40">
        <f t="shared" si="73"/>
        <v>3.5033333333333374</v>
      </c>
      <c r="P41" s="40">
        <f t="shared" si="73"/>
        <v>3.8033333333333346</v>
      </c>
      <c r="Q41" s="40">
        <f t="shared" si="73"/>
        <v>0</v>
      </c>
      <c r="R41" s="40">
        <f t="shared" si="73"/>
        <v>-0.90500000000000114</v>
      </c>
      <c r="S41" s="40">
        <f t="shared" si="73"/>
        <v>14.73833333333333</v>
      </c>
      <c r="T41" s="40">
        <f t="shared" si="73"/>
        <v>1.6583333333333314</v>
      </c>
      <c r="U41" s="40">
        <f t="shared" si="73"/>
        <v>22.298333333333332</v>
      </c>
      <c r="V41" s="40">
        <f t="shared" si="73"/>
        <v>6.5633333333333326</v>
      </c>
      <c r="W41" s="40">
        <f t="shared" si="73"/>
        <v>8.2133333333333312</v>
      </c>
      <c r="X41" s="40">
        <f t="shared" si="73"/>
        <v>-3.1550000000000011</v>
      </c>
      <c r="Y41" s="40">
        <f t="shared" si="73"/>
        <v>-3.1400000000000006</v>
      </c>
      <c r="Z41" s="40">
        <f t="shared" si="73"/>
        <v>3.0533333333333346</v>
      </c>
      <c r="AA41" s="40">
        <f t="shared" si="73"/>
        <v>1.8983333333333334</v>
      </c>
      <c r="AB41" s="40">
        <f t="shared" si="73"/>
        <v>9.0533333333333346</v>
      </c>
      <c r="AC41" s="40">
        <f t="shared" si="73"/>
        <v>0</v>
      </c>
      <c r="AD41" s="40">
        <f t="shared" si="73"/>
        <v>-18.185000000000002</v>
      </c>
      <c r="AE41" s="40">
        <f t="shared" si="73"/>
        <v>-21.605</v>
      </c>
      <c r="AF41" s="40">
        <f t="shared" si="73"/>
        <v>2.4833333333333343</v>
      </c>
      <c r="AG41" s="40">
        <f t="shared" si="73"/>
        <v>-7.07</v>
      </c>
      <c r="AH41" s="40">
        <f t="shared" si="73"/>
        <v>13.073333333333338</v>
      </c>
      <c r="AI41" s="40">
        <f t="shared" si="73"/>
        <v>-12.14</v>
      </c>
      <c r="AJ41" s="40">
        <f t="shared" si="73"/>
        <v>-12.125000000000004</v>
      </c>
      <c r="AK41" s="40">
        <f t="shared" si="73"/>
        <v>-6.2900000000000027</v>
      </c>
      <c r="AL41" s="40">
        <f t="shared" si="73"/>
        <v>-35.18</v>
      </c>
      <c r="AM41" s="40">
        <f t="shared" si="73"/>
        <v>0</v>
      </c>
      <c r="AN41" s="40">
        <f t="shared" si="73"/>
        <v>-5.0150000000000006</v>
      </c>
      <c r="AO41" s="586">
        <f t="shared" si="73"/>
        <v>-2.2550000000000026</v>
      </c>
      <c r="AQ41" s="587">
        <f>SUM(K41:AO41)</f>
        <v>-39.293333333333337</v>
      </c>
      <c r="AR41" s="586">
        <f>AQ41+AR31</f>
        <v>-125.69</v>
      </c>
      <c r="AT41" s="61"/>
      <c r="AU41" s="62"/>
      <c r="AV41" s="62"/>
      <c r="AX41" s="50"/>
    </row>
    <row r="42" spans="1:52" s="552" customFormat="1" ht="15.75" thickBot="1" x14ac:dyDescent="0.25">
      <c r="B42" s="624"/>
      <c r="C42" s="625" t="s">
        <v>75</v>
      </c>
      <c r="D42" s="626">
        <f>D38*100/30</f>
        <v>7468</v>
      </c>
      <c r="E42" s="646">
        <f t="shared" si="63"/>
        <v>746.8</v>
      </c>
      <c r="F42" s="650">
        <f t="shared" si="69"/>
        <v>497.86666666666667</v>
      </c>
      <c r="G42" s="654">
        <f t="shared" si="70"/>
        <v>373.4</v>
      </c>
      <c r="H42" s="658">
        <f t="shared" si="71"/>
        <v>298.72000000000003</v>
      </c>
      <c r="I42" s="662">
        <f>D42/30</f>
        <v>248.93333333333334</v>
      </c>
      <c r="J42" s="627">
        <f>I42*30%</f>
        <v>74.679999999999993</v>
      </c>
      <c r="K42" s="628">
        <f>K34-K37</f>
        <v>-32.14</v>
      </c>
      <c r="L42" s="628">
        <f>L34-L37</f>
        <v>-38.363333333333337</v>
      </c>
      <c r="M42" s="628">
        <f t="shared" ref="M42:AO42" si="74">M34-M37</f>
        <v>-32.064999999999998</v>
      </c>
      <c r="N42" s="628">
        <f t="shared" si="74"/>
        <v>-33.333333333333336</v>
      </c>
      <c r="O42" s="628">
        <f t="shared" si="74"/>
        <v>-29.83</v>
      </c>
      <c r="P42" s="628">
        <f t="shared" si="74"/>
        <v>-29.53</v>
      </c>
      <c r="Q42" s="628">
        <f t="shared" si="74"/>
        <v>0</v>
      </c>
      <c r="R42" s="628">
        <f t="shared" si="74"/>
        <v>-34.238333333333337</v>
      </c>
      <c r="S42" s="628">
        <f t="shared" si="74"/>
        <v>-18.595000000000006</v>
      </c>
      <c r="T42" s="628">
        <f t="shared" si="74"/>
        <v>-31.675000000000004</v>
      </c>
      <c r="U42" s="628">
        <f t="shared" si="74"/>
        <v>-11.035000000000004</v>
      </c>
      <c r="V42" s="628">
        <f t="shared" si="74"/>
        <v>-26.770000000000003</v>
      </c>
      <c r="W42" s="628">
        <f t="shared" si="74"/>
        <v>-25.120000000000005</v>
      </c>
      <c r="X42" s="628">
        <f t="shared" si="74"/>
        <v>-36.488333333333337</v>
      </c>
      <c r="Y42" s="628">
        <f t="shared" si="74"/>
        <v>-36.473333333333336</v>
      </c>
      <c r="Z42" s="628">
        <f t="shared" si="74"/>
        <v>-30.28</v>
      </c>
      <c r="AA42" s="628">
        <f t="shared" si="74"/>
        <v>-31.435000000000002</v>
      </c>
      <c r="AB42" s="628">
        <f t="shared" si="74"/>
        <v>-24.28</v>
      </c>
      <c r="AC42" s="628">
        <f t="shared" si="74"/>
        <v>-33.333333333333336</v>
      </c>
      <c r="AD42" s="628">
        <f t="shared" si="74"/>
        <v>-51.518333333333338</v>
      </c>
      <c r="AE42" s="628">
        <f t="shared" si="74"/>
        <v>-54.938333333333333</v>
      </c>
      <c r="AF42" s="628">
        <f t="shared" si="74"/>
        <v>-30.85</v>
      </c>
      <c r="AG42" s="628">
        <f t="shared" si="74"/>
        <v>-40.403333333333336</v>
      </c>
      <c r="AH42" s="628">
        <f t="shared" si="74"/>
        <v>-20.259999999999998</v>
      </c>
      <c r="AI42" s="628">
        <f t="shared" si="74"/>
        <v>-45.473333333333336</v>
      </c>
      <c r="AJ42" s="628">
        <f t="shared" si="74"/>
        <v>-45.458333333333343</v>
      </c>
      <c r="AK42" s="628">
        <f t="shared" si="74"/>
        <v>-39.623333333333335</v>
      </c>
      <c r="AL42" s="628">
        <f t="shared" si="74"/>
        <v>-68.513333333333335</v>
      </c>
      <c r="AM42" s="628">
        <f t="shared" si="74"/>
        <v>-33.333333333333336</v>
      </c>
      <c r="AN42" s="628">
        <f t="shared" ref="AN42" si="75">AN34-AN37</f>
        <v>-38.348333333333336</v>
      </c>
      <c r="AO42" s="629">
        <f t="shared" si="74"/>
        <v>-35.588333333333338</v>
      </c>
      <c r="AQ42" s="630">
        <f>SUM(K42:AO42)</f>
        <v>-1039.2933333333335</v>
      </c>
      <c r="AR42" s="631"/>
      <c r="AT42" s="14"/>
      <c r="AU42" s="182"/>
      <c r="AV42" s="182"/>
    </row>
    <row r="43" spans="1:52" x14ac:dyDescent="0.2">
      <c r="J43" s="314"/>
    </row>
    <row r="50" spans="26:26" x14ac:dyDescent="0.2">
      <c r="Z50" s="171"/>
    </row>
  </sheetData>
  <sortState xmlns:xlrd2="http://schemas.microsoft.com/office/spreadsheetml/2017/richdata2" ref="B9:J20">
    <sortCondition descending="1" ref="J20"/>
  </sortState>
  <mergeCells count="13">
    <mergeCell ref="AX25:AX27"/>
    <mergeCell ref="AT24:AU24"/>
    <mergeCell ref="D2:J2"/>
    <mergeCell ref="AQ2:AQ6"/>
    <mergeCell ref="AR2:AR6"/>
    <mergeCell ref="AT7:AU7"/>
    <mergeCell ref="AY10:AY12"/>
    <mergeCell ref="BA1:BE2"/>
    <mergeCell ref="C1:C2"/>
    <mergeCell ref="D1:J1"/>
    <mergeCell ref="AP1:AQ1"/>
    <mergeCell ref="AR1:AS1"/>
    <mergeCell ref="AT1:AV2"/>
  </mergeCells>
  <conditionalFormatting sqref="AR41">
    <cfRule type="cellIs" dxfId="388" priority="1" operator="greaterThan">
      <formula>0</formula>
    </cfRule>
    <cfRule type="cellIs" dxfId="387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B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'SHOP INCOME (12)'!K23:K23</xm:f>
              <xm:sqref>K24</xm:sqref>
            </x14:sparkline>
            <x14:sparkline>
              <xm:f>'SHOP INCOME (12)'!L23:L23</xm:f>
              <xm:sqref>L24</xm:sqref>
            </x14:sparkline>
            <x14:sparkline>
              <xm:f>'SHOP INCOME (12)'!M23:M23</xm:f>
              <xm:sqref>M24</xm:sqref>
            </x14:sparkline>
            <x14:sparkline>
              <xm:f>'SHOP INCOME (12)'!N23:N23</xm:f>
              <xm:sqref>N24</xm:sqref>
            </x14:sparkline>
            <x14:sparkline>
              <xm:f>'SHOP INCOME (12)'!O23:O23</xm:f>
              <xm:sqref>O24</xm:sqref>
            </x14:sparkline>
            <x14:sparkline>
              <xm:f>'SHOP INCOME (12)'!P23:P23</xm:f>
              <xm:sqref>P24</xm:sqref>
            </x14:sparkline>
            <x14:sparkline>
              <xm:f>'SHOP INCOME (12)'!Q23:Q23</xm:f>
              <xm:sqref>Q24</xm:sqref>
            </x14:sparkline>
            <x14:sparkline>
              <xm:f>'SHOP INCOME (12)'!R23:R23</xm:f>
              <xm:sqref>R24</xm:sqref>
            </x14:sparkline>
            <x14:sparkline>
              <xm:f>'SHOP INCOME (12)'!S23:S23</xm:f>
              <xm:sqref>S24</xm:sqref>
            </x14:sparkline>
            <x14:sparkline>
              <xm:f>'SHOP INCOME (12)'!T23:T23</xm:f>
              <xm:sqref>T24</xm:sqref>
            </x14:sparkline>
            <x14:sparkline>
              <xm:f>'SHOP INCOME (12)'!U23:U23</xm:f>
              <xm:sqref>U24</xm:sqref>
            </x14:sparkline>
            <x14:sparkline>
              <xm:f>'SHOP INCOME (12)'!V23:V23</xm:f>
              <xm:sqref>V24</xm:sqref>
            </x14:sparkline>
            <x14:sparkline>
              <xm:f>'SHOP INCOME (12)'!W23:W23</xm:f>
              <xm:sqref>W24</xm:sqref>
            </x14:sparkline>
            <x14:sparkline>
              <xm:f>'SHOP INCOME (12)'!X23:X23</xm:f>
              <xm:sqref>X24</xm:sqref>
            </x14:sparkline>
            <x14:sparkline>
              <xm:f>'SHOP INCOME (12)'!Y23:Y23</xm:f>
              <xm:sqref>Y24</xm:sqref>
            </x14:sparkline>
            <x14:sparkline>
              <xm:f>'SHOP INCOME (12)'!Z23:Z23</xm:f>
              <xm:sqref>Z24</xm:sqref>
            </x14:sparkline>
            <x14:sparkline>
              <xm:f>'SHOP INCOME (12)'!AA23:AA23</xm:f>
              <xm:sqref>AA24</xm:sqref>
            </x14:sparkline>
            <x14:sparkline>
              <xm:f>'SHOP INCOME (12)'!AB23:AB23</xm:f>
              <xm:sqref>AB24</xm:sqref>
            </x14:sparkline>
            <x14:sparkline>
              <xm:f>'SHOP INCOME (12)'!AC23:AC23</xm:f>
              <xm:sqref>AC24</xm:sqref>
            </x14:sparkline>
            <x14:sparkline>
              <xm:f>'SHOP INCOME (12)'!AD23:AD23</xm:f>
              <xm:sqref>AD24</xm:sqref>
            </x14:sparkline>
            <x14:sparkline>
              <xm:f>'SHOP INCOME (12)'!AE23:AE23</xm:f>
              <xm:sqref>AE24</xm:sqref>
            </x14:sparkline>
            <x14:sparkline>
              <xm:f>'SHOP INCOME (12)'!AF23:AF23</xm:f>
              <xm:sqref>AF24</xm:sqref>
            </x14:sparkline>
            <x14:sparkline>
              <xm:f>'SHOP INCOME (12)'!AG23:AG23</xm:f>
              <xm:sqref>AG24</xm:sqref>
            </x14:sparkline>
            <x14:sparkline>
              <xm:f>'SHOP INCOME (12)'!AH23:AH23</xm:f>
              <xm:sqref>AH24</xm:sqref>
            </x14:sparkline>
            <x14:sparkline>
              <xm:f>'SHOP INCOME (12)'!AI23:AI23</xm:f>
              <xm:sqref>AI24</xm:sqref>
            </x14:sparkline>
            <x14:sparkline>
              <xm:f>'SHOP INCOME (12)'!AJ23:AJ23</xm:f>
              <xm:sqref>AJ24</xm:sqref>
            </x14:sparkline>
            <x14:sparkline>
              <xm:f>'SHOP INCOME (12)'!AK23:AK23</xm:f>
              <xm:sqref>AK24</xm:sqref>
            </x14:sparkline>
            <x14:sparkline>
              <xm:f>'SHOP INCOME (12)'!AL23:AL23</xm:f>
              <xm:sqref>AL24</xm:sqref>
            </x14:sparkline>
            <x14:sparkline>
              <xm:f>'SHOP INCOME (12)'!AM23:AM23</xm:f>
              <xm:sqref>AM24</xm:sqref>
            </x14:sparkline>
            <x14:sparkline>
              <xm:f>'SHOP INCOME (12)'!AN23:AN23</xm:f>
              <xm:sqref>AN24</xm:sqref>
            </x14:sparkline>
            <x14:sparkline>
              <xm:f>'SHOP INCOME (12)'!AO23:AO23</xm:f>
              <xm:sqref>AO24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P52"/>
  <sheetViews>
    <sheetView zoomScale="80" zoomScaleNormal="80" zoomScaleSheetLayoutView="80" workbookViewId="0">
      <pane xSplit="10" ySplit="6" topLeftCell="K16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687" customWidth="1"/>
    <col min="2" max="2" width="4.75" style="687" customWidth="1"/>
    <col min="3" max="3" width="41.375" style="687" bestFit="1" customWidth="1"/>
    <col min="4" max="4" width="10" style="687" bestFit="1" customWidth="1"/>
    <col min="5" max="8" width="11.625" style="687" hidden="1" customWidth="1"/>
    <col min="9" max="9" width="11.625" style="687" bestFit="1" customWidth="1"/>
    <col min="10" max="10" width="8.125" style="687" bestFit="1" customWidth="1"/>
    <col min="11" max="30" width="9.125" style="687"/>
    <col min="31" max="32" width="9" style="687" customWidth="1"/>
    <col min="33" max="41" width="9.125" style="687"/>
    <col min="42" max="42" width="1.75" style="687" customWidth="1"/>
    <col min="43" max="43" width="10" style="687" bestFit="1" customWidth="1"/>
    <col min="44" max="44" width="9.875" style="687" bestFit="1" customWidth="1"/>
    <col min="45" max="45" width="1.75" style="687" customWidth="1"/>
    <col min="46" max="46" width="9.25" style="687" bestFit="1" customWidth="1"/>
    <col min="47" max="47" width="9.875" style="687" bestFit="1" customWidth="1"/>
    <col min="48" max="48" width="9.875" style="687" customWidth="1"/>
    <col min="49" max="49" width="1.875" style="687" customWidth="1"/>
    <col min="50" max="52" width="12" style="687" bestFit="1" customWidth="1"/>
    <col min="53" max="53" width="8.875" style="687" bestFit="1" customWidth="1"/>
    <col min="54" max="56" width="12" style="687" bestFit="1" customWidth="1"/>
    <col min="57" max="57" width="10" style="687" bestFit="1" customWidth="1"/>
    <col min="58" max="16384" width="9.125" style="687"/>
  </cols>
  <sheetData>
    <row r="1" spans="1:146" ht="20.25" customHeight="1" x14ac:dyDescent="0.2">
      <c r="C1" s="4456">
        <v>43466</v>
      </c>
      <c r="D1" s="4466" t="s">
        <v>40</v>
      </c>
      <c r="E1" s="4466"/>
      <c r="F1" s="4466"/>
      <c r="G1" s="4466"/>
      <c r="H1" s="4466"/>
      <c r="I1" s="4466"/>
      <c r="J1" s="4467"/>
      <c r="K1" s="133"/>
      <c r="L1" s="309"/>
      <c r="M1" s="134"/>
      <c r="S1" s="309"/>
      <c r="AG1" s="309"/>
      <c r="AJ1" s="277"/>
      <c r="AO1" s="309"/>
      <c r="AP1" s="4483" t="s">
        <v>90</v>
      </c>
      <c r="AQ1" s="4483"/>
      <c r="AR1" s="4483"/>
      <c r="AS1" s="4491"/>
      <c r="AT1" s="4492">
        <f>31/31</f>
        <v>1</v>
      </c>
      <c r="AU1" s="4493"/>
      <c r="AV1" s="4494"/>
      <c r="AX1" s="503">
        <f>AX2-AX3</f>
        <v>-122.27999999999929</v>
      </c>
      <c r="AY1" s="504">
        <f>AX1*30%</f>
        <v>-36.683999999999784</v>
      </c>
      <c r="AZ1" s="590">
        <f>AX1/AX3</f>
        <v>-3.6437536503092872E-2</v>
      </c>
      <c r="BA1" s="693"/>
      <c r="BB1" s="703">
        <f>BB2-BB3</f>
        <v>-5512.2800000000007</v>
      </c>
      <c r="BC1" s="704">
        <f>BB1*30%</f>
        <v>-1653.6840000000002</v>
      </c>
      <c r="BD1" s="705">
        <f>BB1/BB3</f>
        <v>-0.63027162503944711</v>
      </c>
      <c r="BE1" s="694"/>
    </row>
    <row r="2" spans="1:146" ht="20.25" customHeight="1" thickBot="1" x14ac:dyDescent="0.25">
      <c r="C2" s="4457"/>
      <c r="D2" s="4466" t="s">
        <v>41</v>
      </c>
      <c r="E2" s="4466"/>
      <c r="F2" s="4466"/>
      <c r="G2" s="4466"/>
      <c r="H2" s="4466"/>
      <c r="I2" s="4466"/>
      <c r="J2" s="4467"/>
      <c r="K2" s="133"/>
      <c r="L2" s="309"/>
      <c r="M2" s="134"/>
      <c r="S2" s="309"/>
      <c r="AG2" s="309"/>
      <c r="AJ2" s="277"/>
      <c r="AO2" s="309"/>
      <c r="AQ2" s="4473" t="s">
        <v>54</v>
      </c>
      <c r="AR2" s="4476" t="s">
        <v>61</v>
      </c>
      <c r="AT2" s="4495"/>
      <c r="AU2" s="4496"/>
      <c r="AV2" s="4497"/>
      <c r="AX2" s="505">
        <f>AT3/31*31</f>
        <v>3233.6000000000004</v>
      </c>
      <c r="AY2" s="506">
        <f>AX2*30%</f>
        <v>970.08</v>
      </c>
      <c r="AZ2" s="507">
        <f>AY2-D35</f>
        <v>-1653.6840000000002</v>
      </c>
      <c r="BA2" s="695"/>
      <c r="BB2" s="756">
        <f>AT3/31*31</f>
        <v>3233.6000000000004</v>
      </c>
      <c r="BC2" s="757">
        <f>BB2*30%</f>
        <v>970.08</v>
      </c>
      <c r="BD2" s="702">
        <f>BC2-D40</f>
        <v>-2036.6840000000002</v>
      </c>
      <c r="BE2" s="696"/>
    </row>
    <row r="3" spans="1:146" s="426" customFormat="1" ht="15" customHeight="1" x14ac:dyDescent="0.2">
      <c r="C3" s="427" t="s">
        <v>35</v>
      </c>
      <c r="D3" s="132"/>
      <c r="E3" s="132"/>
      <c r="F3" s="132"/>
      <c r="G3" s="132"/>
      <c r="H3" s="132"/>
      <c r="I3" s="132"/>
      <c r="J3" s="428"/>
      <c r="K3" s="429">
        <v>111.65</v>
      </c>
      <c r="L3" s="430">
        <v>93.05</v>
      </c>
      <c r="M3" s="430">
        <v>107.85</v>
      </c>
      <c r="N3" s="132">
        <v>67.05</v>
      </c>
      <c r="O3" s="132">
        <v>111.35</v>
      </c>
      <c r="P3" s="132">
        <v>149.65</v>
      </c>
      <c r="Q3" s="132">
        <v>69.8</v>
      </c>
      <c r="R3" s="132">
        <v>99.75</v>
      </c>
      <c r="S3" s="132">
        <v>147</v>
      </c>
      <c r="T3" s="132">
        <v>72.2</v>
      </c>
      <c r="U3" s="132">
        <v>125.25</v>
      </c>
      <c r="V3" s="132">
        <v>160.80000000000001</v>
      </c>
      <c r="W3" s="132">
        <v>69.3</v>
      </c>
      <c r="X3" s="132">
        <v>123.6</v>
      </c>
      <c r="Y3" s="132">
        <v>141.6</v>
      </c>
      <c r="Z3" s="132">
        <v>41</v>
      </c>
      <c r="AA3" s="132">
        <v>77</v>
      </c>
      <c r="AB3" s="132">
        <v>76.55</v>
      </c>
      <c r="AC3" s="132">
        <v>111.5</v>
      </c>
      <c r="AD3" s="132">
        <v>130.75</v>
      </c>
      <c r="AE3" s="132">
        <v>98.9</v>
      </c>
      <c r="AF3" s="132">
        <v>128.9</v>
      </c>
      <c r="AG3" s="132">
        <v>101.75</v>
      </c>
      <c r="AH3" s="132">
        <v>106.55</v>
      </c>
      <c r="AI3" s="132">
        <v>54</v>
      </c>
      <c r="AJ3" s="132">
        <v>149.25</v>
      </c>
      <c r="AK3" s="132">
        <v>121</v>
      </c>
      <c r="AL3" s="132">
        <v>60.25</v>
      </c>
      <c r="AM3" s="132">
        <v>103.8</v>
      </c>
      <c r="AN3" s="132">
        <v>100.5</v>
      </c>
      <c r="AO3" s="132">
        <v>122</v>
      </c>
      <c r="AP3" s="431">
        <v>0</v>
      </c>
      <c r="AQ3" s="4474"/>
      <c r="AR3" s="4477"/>
      <c r="AS3" s="431"/>
      <c r="AT3" s="467">
        <f>SUM(K3:AO3)</f>
        <v>3233.6000000000004</v>
      </c>
      <c r="AU3" s="493">
        <f>AT3/AX3</f>
        <v>0.96356246349690711</v>
      </c>
      <c r="AV3" s="496">
        <f>AT3/31</f>
        <v>104.30967741935486</v>
      </c>
      <c r="AX3" s="467">
        <f>D42</f>
        <v>3355.8799999999997</v>
      </c>
      <c r="AY3" s="474">
        <f>AX3-AT3</f>
        <v>122.27999999999929</v>
      </c>
      <c r="AZ3" s="496">
        <f>AY3/1</f>
        <v>122.27999999999929</v>
      </c>
      <c r="BA3" s="697">
        <f>AZ3-AV5</f>
        <v>14.025806451612212</v>
      </c>
      <c r="BB3" s="467">
        <f>D43</f>
        <v>8745.880000000001</v>
      </c>
      <c r="BC3" s="690">
        <f>BB3-AT3</f>
        <v>5512.2800000000007</v>
      </c>
      <c r="BD3" s="700">
        <f>BC3/1</f>
        <v>5512.2800000000007</v>
      </c>
      <c r="BE3" s="473">
        <f>BD3-I43</f>
        <v>5230.1548387096782</v>
      </c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</row>
    <row r="4" spans="1:146" s="432" customFormat="1" ht="15.75" thickBot="1" x14ac:dyDescent="0.25">
      <c r="C4" s="433" t="s">
        <v>89</v>
      </c>
      <c r="D4" s="347"/>
      <c r="E4" s="347"/>
      <c r="F4" s="347"/>
      <c r="G4" s="347"/>
      <c r="H4" s="347"/>
      <c r="I4" s="347">
        <f>AQ42</f>
        <v>-36.68400000000031</v>
      </c>
      <c r="J4" s="434"/>
      <c r="K4" s="711">
        <f>K3*30%</f>
        <v>33.494999999999997</v>
      </c>
      <c r="L4" s="347">
        <f t="shared" ref="L4:AO4" si="0">L3*30%</f>
        <v>27.914999999999999</v>
      </c>
      <c r="M4" s="347">
        <f t="shared" si="0"/>
        <v>32.354999999999997</v>
      </c>
      <c r="N4" s="347">
        <f t="shared" si="0"/>
        <v>20.114999999999998</v>
      </c>
      <c r="O4" s="347">
        <f t="shared" si="0"/>
        <v>33.404999999999994</v>
      </c>
      <c r="P4" s="347">
        <f t="shared" si="0"/>
        <v>44.895000000000003</v>
      </c>
      <c r="Q4" s="347">
        <f t="shared" si="0"/>
        <v>20.939999999999998</v>
      </c>
      <c r="R4" s="347">
        <f t="shared" si="0"/>
        <v>29.924999999999997</v>
      </c>
      <c r="S4" s="347">
        <f t="shared" si="0"/>
        <v>44.1</v>
      </c>
      <c r="T4" s="347">
        <f t="shared" si="0"/>
        <v>21.66</v>
      </c>
      <c r="U4" s="347">
        <f t="shared" si="0"/>
        <v>37.574999999999996</v>
      </c>
      <c r="V4" s="347">
        <f t="shared" si="0"/>
        <v>48.24</v>
      </c>
      <c r="W4" s="347">
        <f t="shared" si="0"/>
        <v>20.79</v>
      </c>
      <c r="X4" s="347">
        <f t="shared" si="0"/>
        <v>37.08</v>
      </c>
      <c r="Y4" s="347">
        <f t="shared" si="0"/>
        <v>42.48</v>
      </c>
      <c r="Z4" s="347">
        <f t="shared" si="0"/>
        <v>12.299999999999999</v>
      </c>
      <c r="AA4" s="347">
        <f t="shared" si="0"/>
        <v>23.099999999999998</v>
      </c>
      <c r="AB4" s="347">
        <f t="shared" si="0"/>
        <v>22.965</v>
      </c>
      <c r="AC4" s="347">
        <f t="shared" si="0"/>
        <v>33.449999999999996</v>
      </c>
      <c r="AD4" s="347">
        <f t="shared" si="0"/>
        <v>39.225000000000001</v>
      </c>
      <c r="AE4" s="347">
        <f t="shared" si="0"/>
        <v>29.67</v>
      </c>
      <c r="AF4" s="347">
        <f t="shared" si="0"/>
        <v>38.67</v>
      </c>
      <c r="AG4" s="347">
        <f t="shared" si="0"/>
        <v>30.524999999999999</v>
      </c>
      <c r="AH4" s="347">
        <f t="shared" si="0"/>
        <v>31.964999999999996</v>
      </c>
      <c r="AI4" s="347">
        <f t="shared" si="0"/>
        <v>16.2</v>
      </c>
      <c r="AJ4" s="347">
        <f t="shared" si="0"/>
        <v>44.774999999999999</v>
      </c>
      <c r="AK4" s="347">
        <f t="shared" si="0"/>
        <v>36.299999999999997</v>
      </c>
      <c r="AL4" s="347">
        <f t="shared" si="0"/>
        <v>18.074999999999999</v>
      </c>
      <c r="AM4" s="347">
        <f t="shared" si="0"/>
        <v>31.139999999999997</v>
      </c>
      <c r="AN4" s="347">
        <f t="shared" si="0"/>
        <v>30.15</v>
      </c>
      <c r="AO4" s="347">
        <f t="shared" si="0"/>
        <v>36.6</v>
      </c>
      <c r="AP4" s="437"/>
      <c r="AQ4" s="4474"/>
      <c r="AR4" s="4477"/>
      <c r="AS4" s="437"/>
      <c r="AT4" s="459">
        <f>AT3*30%</f>
        <v>970.08</v>
      </c>
      <c r="AU4" s="494">
        <f>AT4/D22</f>
        <v>0.963562463496907</v>
      </c>
      <c r="AV4" s="497">
        <f>AT4/31</f>
        <v>31.292903225806452</v>
      </c>
      <c r="AX4" s="508">
        <f>AT4-D22</f>
        <v>-36.683999999999969</v>
      </c>
      <c r="AY4" s="509">
        <f>AX4/1</f>
        <v>-36.683999999999969</v>
      </c>
      <c r="AZ4" s="510">
        <f>AY4*100%/30%</f>
        <v>-122.2799999999999</v>
      </c>
      <c r="BA4" s="698">
        <f>AZ4+AV5</f>
        <v>-14.025806451612823</v>
      </c>
      <c r="BB4" s="508">
        <f>AT4-D35</f>
        <v>-1653.6840000000002</v>
      </c>
      <c r="BC4" s="626">
        <f>BB4/1</f>
        <v>-1653.6840000000002</v>
      </c>
      <c r="BD4" s="701">
        <f>BC4*100%/30%</f>
        <v>-5512.2800000000007</v>
      </c>
      <c r="BE4" s="469">
        <f>BD4+I43</f>
        <v>-5230.1548387096782</v>
      </c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F4" s="471"/>
      <c r="CG4" s="471"/>
      <c r="CH4" s="471"/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</row>
    <row r="5" spans="1:146" s="426" customFormat="1" ht="15" customHeight="1" thickBot="1" x14ac:dyDescent="0.25">
      <c r="C5" s="438"/>
      <c r="J5" s="439"/>
      <c r="K5" s="440" t="s">
        <v>112</v>
      </c>
      <c r="L5" s="440" t="s">
        <v>50</v>
      </c>
      <c r="M5" s="440" t="s">
        <v>51</v>
      </c>
      <c r="N5" s="445" t="s">
        <v>45</v>
      </c>
      <c r="O5" s="440" t="s">
        <v>46</v>
      </c>
      <c r="P5" s="440" t="s">
        <v>47</v>
      </c>
      <c r="Q5" s="440" t="s">
        <v>48</v>
      </c>
      <c r="R5" s="440" t="s">
        <v>49</v>
      </c>
      <c r="S5" s="440" t="s">
        <v>50</v>
      </c>
      <c r="T5" s="440" t="s">
        <v>51</v>
      </c>
      <c r="U5" s="445" t="s">
        <v>45</v>
      </c>
      <c r="V5" s="440" t="s">
        <v>46</v>
      </c>
      <c r="W5" s="440" t="s">
        <v>47</v>
      </c>
      <c r="X5" s="440" t="s">
        <v>48</v>
      </c>
      <c r="Y5" s="440" t="s">
        <v>49</v>
      </c>
      <c r="Z5" s="440" t="s">
        <v>50</v>
      </c>
      <c r="AA5" s="440" t="s">
        <v>51</v>
      </c>
      <c r="AB5" s="445" t="s">
        <v>45</v>
      </c>
      <c r="AC5" s="440" t="s">
        <v>46</v>
      </c>
      <c r="AD5" s="440" t="s">
        <v>47</v>
      </c>
      <c r="AE5" s="440" t="s">
        <v>48</v>
      </c>
      <c r="AF5" s="440" t="s">
        <v>49</v>
      </c>
      <c r="AG5" s="440" t="s">
        <v>50</v>
      </c>
      <c r="AH5" s="440" t="s">
        <v>51</v>
      </c>
      <c r="AI5" s="445" t="s">
        <v>45</v>
      </c>
      <c r="AJ5" s="440" t="s">
        <v>46</v>
      </c>
      <c r="AK5" s="440" t="s">
        <v>47</v>
      </c>
      <c r="AL5" s="440" t="s">
        <v>48</v>
      </c>
      <c r="AM5" s="440" t="s">
        <v>49</v>
      </c>
      <c r="AN5" s="440" t="s">
        <v>50</v>
      </c>
      <c r="AO5" s="440" t="s">
        <v>51</v>
      </c>
      <c r="AQ5" s="4474"/>
      <c r="AR5" s="4477"/>
      <c r="AT5" s="468">
        <f>I42*31</f>
        <v>3355.8799999999997</v>
      </c>
      <c r="AU5" s="495">
        <f>AT5/AX3</f>
        <v>1</v>
      </c>
      <c r="AV5" s="498">
        <f>AT5/31</f>
        <v>108.25419354838708</v>
      </c>
      <c r="BA5" s="470"/>
      <c r="BB5" s="699"/>
      <c r="BC5" s="699"/>
      <c r="BD5" s="699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</row>
    <row r="6" spans="1:146" s="432" customFormat="1" ht="15.75" thickBot="1" x14ac:dyDescent="0.25">
      <c r="B6" s="433" t="s">
        <v>0</v>
      </c>
      <c r="C6" s="433" t="s">
        <v>1</v>
      </c>
      <c r="D6" s="433" t="s">
        <v>24</v>
      </c>
      <c r="E6" s="127" t="s">
        <v>108</v>
      </c>
      <c r="F6" s="647" t="s">
        <v>109</v>
      </c>
      <c r="G6" s="651" t="s">
        <v>110</v>
      </c>
      <c r="H6" s="655" t="s">
        <v>111</v>
      </c>
      <c r="I6" s="659" t="s">
        <v>113</v>
      </c>
      <c r="J6" s="441" t="s">
        <v>2</v>
      </c>
      <c r="K6" s="442">
        <v>1</v>
      </c>
      <c r="L6" s="433">
        <v>2</v>
      </c>
      <c r="M6" s="433">
        <v>3</v>
      </c>
      <c r="N6" s="433">
        <v>4</v>
      </c>
      <c r="O6" s="433">
        <v>5</v>
      </c>
      <c r="P6" s="433">
        <v>6</v>
      </c>
      <c r="Q6" s="433">
        <v>7</v>
      </c>
      <c r="R6" s="433">
        <v>8</v>
      </c>
      <c r="S6" s="433">
        <v>9</v>
      </c>
      <c r="T6" s="433">
        <v>10</v>
      </c>
      <c r="U6" s="433">
        <v>11</v>
      </c>
      <c r="V6" s="433">
        <v>12</v>
      </c>
      <c r="W6" s="433">
        <v>13</v>
      </c>
      <c r="X6" s="433">
        <v>14</v>
      </c>
      <c r="Y6" s="433">
        <v>15</v>
      </c>
      <c r="Z6" s="433">
        <v>16</v>
      </c>
      <c r="AA6" s="433">
        <v>17</v>
      </c>
      <c r="AB6" s="433">
        <v>18</v>
      </c>
      <c r="AC6" s="433">
        <v>19</v>
      </c>
      <c r="AD6" s="433">
        <v>20</v>
      </c>
      <c r="AE6" s="433">
        <v>21</v>
      </c>
      <c r="AF6" s="433">
        <v>22</v>
      </c>
      <c r="AG6" s="433">
        <v>23</v>
      </c>
      <c r="AH6" s="433">
        <v>24</v>
      </c>
      <c r="AI6" s="433">
        <v>25</v>
      </c>
      <c r="AJ6" s="433">
        <v>26</v>
      </c>
      <c r="AK6" s="433">
        <v>27</v>
      </c>
      <c r="AL6" s="433">
        <v>28</v>
      </c>
      <c r="AM6" s="433">
        <v>29</v>
      </c>
      <c r="AN6" s="433">
        <v>30</v>
      </c>
      <c r="AO6" s="433">
        <v>31</v>
      </c>
      <c r="AQ6" s="4475"/>
      <c r="AR6" s="4478"/>
      <c r="AT6" s="443" t="s">
        <v>7</v>
      </c>
      <c r="AU6" s="443" t="s">
        <v>2</v>
      </c>
      <c r="AV6" s="444"/>
      <c r="AX6" s="512">
        <f>AU3-AT1</f>
        <v>-3.6437536503092893E-2</v>
      </c>
      <c r="AY6" s="444"/>
      <c r="AZ6" s="444" t="s">
        <v>101</v>
      </c>
      <c r="BA6" s="472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  <c r="BY6" s="471"/>
      <c r="BZ6" s="471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</row>
    <row r="7" spans="1:146" s="255" customFormat="1" ht="15" customHeight="1" x14ac:dyDescent="0.2">
      <c r="B7" s="81"/>
      <c r="C7" s="81" t="s">
        <v>19</v>
      </c>
      <c r="D7" s="81"/>
      <c r="E7" s="81"/>
      <c r="F7" s="81"/>
      <c r="G7" s="81"/>
      <c r="H7" s="81"/>
      <c r="I7" s="81"/>
      <c r="J7" s="337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T7" s="4502" t="s">
        <v>99</v>
      </c>
      <c r="AU7" s="4502"/>
      <c r="AV7" s="81"/>
      <c r="AX7" s="50"/>
    </row>
    <row r="8" spans="1:146" s="432" customFormat="1" x14ac:dyDescent="0.2">
      <c r="A8" s="670"/>
      <c r="B8" s="433">
        <v>1</v>
      </c>
      <c r="C8" s="433" t="s">
        <v>105</v>
      </c>
      <c r="D8" s="347">
        <v>400</v>
      </c>
      <c r="E8" s="347">
        <f t="shared" ref="E8" si="1">D8/10</f>
        <v>40</v>
      </c>
      <c r="F8" s="347">
        <f t="shared" ref="F8" si="2">D8/15</f>
        <v>26.666666666666668</v>
      </c>
      <c r="G8" s="347">
        <f t="shared" ref="G8" si="3">D8/20</f>
        <v>20</v>
      </c>
      <c r="H8" s="347">
        <f t="shared" ref="H8" si="4">D8/25</f>
        <v>16</v>
      </c>
      <c r="I8" s="347">
        <f t="shared" ref="I8" si="5">D8/31</f>
        <v>12.903225806451612</v>
      </c>
      <c r="J8" s="531">
        <f t="shared" ref="J8" si="6">D8/$D$22</f>
        <v>0.39731257772427303</v>
      </c>
      <c r="K8" s="483">
        <f t="shared" ref="K8:AO8" si="7">$I$8</f>
        <v>12.903225806451612</v>
      </c>
      <c r="L8" s="483">
        <f t="shared" si="7"/>
        <v>12.903225806451612</v>
      </c>
      <c r="M8" s="483">
        <f t="shared" si="7"/>
        <v>12.903225806451612</v>
      </c>
      <c r="N8" s="483">
        <f t="shared" si="7"/>
        <v>12.903225806451612</v>
      </c>
      <c r="O8" s="483">
        <f t="shared" si="7"/>
        <v>12.903225806451612</v>
      </c>
      <c r="P8" s="483">
        <f t="shared" si="7"/>
        <v>12.903225806451612</v>
      </c>
      <c r="Q8" s="483">
        <f t="shared" si="7"/>
        <v>12.903225806451612</v>
      </c>
      <c r="R8" s="483">
        <f t="shared" si="7"/>
        <v>12.903225806451612</v>
      </c>
      <c r="S8" s="483">
        <f t="shared" si="7"/>
        <v>12.903225806451612</v>
      </c>
      <c r="T8" s="483">
        <f t="shared" si="7"/>
        <v>12.903225806451612</v>
      </c>
      <c r="U8" s="483">
        <f t="shared" si="7"/>
        <v>12.903225806451612</v>
      </c>
      <c r="V8" s="483">
        <f t="shared" si="7"/>
        <v>12.903225806451612</v>
      </c>
      <c r="W8" s="483">
        <f t="shared" si="7"/>
        <v>12.903225806451612</v>
      </c>
      <c r="X8" s="483">
        <f t="shared" si="7"/>
        <v>12.903225806451612</v>
      </c>
      <c r="Y8" s="483">
        <f t="shared" si="7"/>
        <v>12.903225806451612</v>
      </c>
      <c r="Z8" s="483">
        <f t="shared" si="7"/>
        <v>12.903225806451612</v>
      </c>
      <c r="AA8" s="483">
        <f t="shared" si="7"/>
        <v>12.903225806451612</v>
      </c>
      <c r="AB8" s="483">
        <f t="shared" si="7"/>
        <v>12.903225806451612</v>
      </c>
      <c r="AC8" s="483">
        <f t="shared" si="7"/>
        <v>12.903225806451612</v>
      </c>
      <c r="AD8" s="483">
        <f t="shared" si="7"/>
        <v>12.903225806451612</v>
      </c>
      <c r="AE8" s="483">
        <f t="shared" si="7"/>
        <v>12.903225806451612</v>
      </c>
      <c r="AF8" s="483">
        <f t="shared" si="7"/>
        <v>12.903225806451612</v>
      </c>
      <c r="AG8" s="483">
        <f t="shared" si="7"/>
        <v>12.903225806451612</v>
      </c>
      <c r="AH8" s="483">
        <f t="shared" si="7"/>
        <v>12.903225806451612</v>
      </c>
      <c r="AI8" s="483">
        <f t="shared" si="7"/>
        <v>12.903225806451612</v>
      </c>
      <c r="AJ8" s="483">
        <f t="shared" si="7"/>
        <v>12.903225806451612</v>
      </c>
      <c r="AK8" s="483">
        <f t="shared" si="7"/>
        <v>12.903225806451612</v>
      </c>
      <c r="AL8" s="483">
        <f t="shared" si="7"/>
        <v>12.903225806451612</v>
      </c>
      <c r="AM8" s="483">
        <f t="shared" si="7"/>
        <v>12.903225806451612</v>
      </c>
      <c r="AN8" s="483">
        <f t="shared" si="7"/>
        <v>12.903225806451612</v>
      </c>
      <c r="AO8" s="483">
        <f t="shared" si="7"/>
        <v>12.903225806451612</v>
      </c>
      <c r="AQ8" s="764">
        <v>400</v>
      </c>
      <c r="AR8" s="485">
        <f>AQ8/D8</f>
        <v>1</v>
      </c>
      <c r="AT8" s="347">
        <f t="shared" ref="AT8:AT20" si="8">SUM(K8:AO8)</f>
        <v>399.99999999999972</v>
      </c>
      <c r="AU8" s="485">
        <f>AT8/D8</f>
        <v>0.99999999999999933</v>
      </c>
      <c r="AV8" s="482"/>
      <c r="AX8" s="481"/>
      <c r="AY8" s="482"/>
      <c r="AZ8" s="482"/>
    </row>
    <row r="9" spans="1:146" s="255" customFormat="1" x14ac:dyDescent="0.2">
      <c r="B9" s="43">
        <v>2</v>
      </c>
      <c r="C9" s="43" t="s">
        <v>22</v>
      </c>
      <c r="D9" s="40">
        <v>200</v>
      </c>
      <c r="E9" s="40">
        <f t="shared" ref="E9:E21" si="9">D9/10</f>
        <v>20</v>
      </c>
      <c r="F9" s="40">
        <f t="shared" ref="F9:F21" si="10">D9/15</f>
        <v>13.333333333333334</v>
      </c>
      <c r="G9" s="40">
        <f t="shared" ref="G9:G21" si="11">D9/20</f>
        <v>10</v>
      </c>
      <c r="H9" s="40">
        <f t="shared" ref="H9:H21" si="12">D9/25</f>
        <v>8</v>
      </c>
      <c r="I9" s="40">
        <f t="shared" ref="I9:I21" si="13">D9/31</f>
        <v>6.4516129032258061</v>
      </c>
      <c r="J9" s="206">
        <f t="shared" ref="J9:J21" si="14">D9/$D$22</f>
        <v>0.19865628886213652</v>
      </c>
      <c r="K9" s="685">
        <f t="shared" ref="K9:AO9" si="15">$I$9</f>
        <v>6.4516129032258061</v>
      </c>
      <c r="L9" s="707">
        <f t="shared" si="15"/>
        <v>6.4516129032258061</v>
      </c>
      <c r="M9" s="707">
        <f t="shared" si="15"/>
        <v>6.4516129032258061</v>
      </c>
      <c r="N9" s="710">
        <f t="shared" si="15"/>
        <v>6.4516129032258061</v>
      </c>
      <c r="O9" s="710">
        <f t="shared" si="15"/>
        <v>6.4516129032258061</v>
      </c>
      <c r="P9" s="710">
        <f t="shared" si="15"/>
        <v>6.4516129032258061</v>
      </c>
      <c r="Q9" s="710">
        <f t="shared" si="15"/>
        <v>6.4516129032258061</v>
      </c>
      <c r="R9" s="710">
        <f t="shared" si="15"/>
        <v>6.4516129032258061</v>
      </c>
      <c r="S9" s="710">
        <f t="shared" si="15"/>
        <v>6.4516129032258061</v>
      </c>
      <c r="T9" s="710">
        <f t="shared" si="15"/>
        <v>6.4516129032258061</v>
      </c>
      <c r="U9" s="712">
        <f t="shared" si="15"/>
        <v>6.4516129032258061</v>
      </c>
      <c r="V9" s="712">
        <f t="shared" si="15"/>
        <v>6.4516129032258061</v>
      </c>
      <c r="W9" s="712">
        <f t="shared" si="15"/>
        <v>6.4516129032258061</v>
      </c>
      <c r="X9" s="715">
        <f t="shared" si="15"/>
        <v>6.4516129032258061</v>
      </c>
      <c r="Y9" s="715">
        <f t="shared" si="15"/>
        <v>6.4516129032258061</v>
      </c>
      <c r="Z9" s="716">
        <f t="shared" si="15"/>
        <v>6.4516129032258061</v>
      </c>
      <c r="AA9" s="716">
        <f t="shared" si="15"/>
        <v>6.4516129032258061</v>
      </c>
      <c r="AB9" s="746">
        <f t="shared" si="15"/>
        <v>6.4516129032258061</v>
      </c>
      <c r="AC9" s="746">
        <f t="shared" si="15"/>
        <v>6.4516129032258061</v>
      </c>
      <c r="AD9" s="746">
        <f t="shared" si="15"/>
        <v>6.4516129032258061</v>
      </c>
      <c r="AE9" s="746">
        <f t="shared" si="15"/>
        <v>6.4516129032258061</v>
      </c>
      <c r="AF9" s="746">
        <f t="shared" si="15"/>
        <v>6.4516129032258061</v>
      </c>
      <c r="AG9" s="752">
        <f t="shared" si="15"/>
        <v>6.4516129032258061</v>
      </c>
      <c r="AH9" s="752">
        <f t="shared" si="15"/>
        <v>6.4516129032258061</v>
      </c>
      <c r="AI9" s="755">
        <f t="shared" si="15"/>
        <v>6.4516129032258061</v>
      </c>
      <c r="AJ9" s="755">
        <f t="shared" si="15"/>
        <v>6.4516129032258061</v>
      </c>
      <c r="AK9" s="755">
        <f t="shared" si="15"/>
        <v>6.4516129032258061</v>
      </c>
      <c r="AL9" s="755">
        <f t="shared" si="15"/>
        <v>6.4516129032258061</v>
      </c>
      <c r="AM9" s="755">
        <f t="shared" si="15"/>
        <v>6.4516129032258061</v>
      </c>
      <c r="AN9" s="755">
        <f t="shared" si="15"/>
        <v>6.4516129032258061</v>
      </c>
      <c r="AO9" s="759">
        <f t="shared" si="15"/>
        <v>6.4516129032258061</v>
      </c>
      <c r="AQ9" s="187">
        <v>200</v>
      </c>
      <c r="AR9" s="51">
        <f t="shared" ref="AR9:AR20" si="16">AQ9/D9</f>
        <v>1</v>
      </c>
      <c r="AT9" s="132">
        <f t="shared" si="8"/>
        <v>199.99999999999986</v>
      </c>
      <c r="AU9" s="641">
        <f t="shared" ref="AU9:AU20" si="17">AT9/D9</f>
        <v>0.99999999999999933</v>
      </c>
      <c r="AV9" s="62"/>
      <c r="AX9" s="61"/>
      <c r="AY9" s="62"/>
      <c r="AZ9" s="62"/>
    </row>
    <row r="10" spans="1:146" x14ac:dyDescent="0.2">
      <c r="B10" s="3">
        <v>3</v>
      </c>
      <c r="C10" s="433" t="s">
        <v>38</v>
      </c>
      <c r="D10" s="5">
        <v>130</v>
      </c>
      <c r="E10" s="5">
        <f t="shared" si="9"/>
        <v>13</v>
      </c>
      <c r="F10" s="5">
        <f t="shared" si="10"/>
        <v>8.6666666666666661</v>
      </c>
      <c r="G10" s="5">
        <f t="shared" si="11"/>
        <v>6.5</v>
      </c>
      <c r="H10" s="5">
        <f t="shared" si="12"/>
        <v>5.2</v>
      </c>
      <c r="I10" s="5">
        <f t="shared" si="13"/>
        <v>4.193548387096774</v>
      </c>
      <c r="J10" s="194">
        <f t="shared" si="14"/>
        <v>0.12912658776038874</v>
      </c>
      <c r="K10" s="683">
        <f t="shared" ref="K10:AO10" si="18">$I$10</f>
        <v>4.193548387096774</v>
      </c>
      <c r="L10" s="708">
        <f t="shared" si="18"/>
        <v>4.193548387096774</v>
      </c>
      <c r="M10" s="708">
        <f t="shared" si="18"/>
        <v>4.193548387096774</v>
      </c>
      <c r="N10" s="709">
        <f t="shared" si="18"/>
        <v>4.193548387096774</v>
      </c>
      <c r="O10" s="709">
        <f t="shared" si="18"/>
        <v>4.193548387096774</v>
      </c>
      <c r="P10" s="709">
        <f t="shared" si="18"/>
        <v>4.193548387096774</v>
      </c>
      <c r="Q10" s="709">
        <f t="shared" si="18"/>
        <v>4.193548387096774</v>
      </c>
      <c r="R10" s="709">
        <f t="shared" si="18"/>
        <v>4.193548387096774</v>
      </c>
      <c r="S10" s="709">
        <f t="shared" si="18"/>
        <v>4.193548387096774</v>
      </c>
      <c r="T10" s="709">
        <f t="shared" si="18"/>
        <v>4.193548387096774</v>
      </c>
      <c r="U10" s="713">
        <f t="shared" si="18"/>
        <v>4.193548387096774</v>
      </c>
      <c r="V10" s="713">
        <f t="shared" si="18"/>
        <v>4.193548387096774</v>
      </c>
      <c r="W10" s="713">
        <f t="shared" si="18"/>
        <v>4.193548387096774</v>
      </c>
      <c r="X10" s="714">
        <f t="shared" si="18"/>
        <v>4.193548387096774</v>
      </c>
      <c r="Y10" s="714">
        <f t="shared" si="18"/>
        <v>4.193548387096774</v>
      </c>
      <c r="Z10" s="717">
        <f t="shared" si="18"/>
        <v>4.193548387096774</v>
      </c>
      <c r="AA10" s="717">
        <f t="shared" si="18"/>
        <v>4.193548387096774</v>
      </c>
      <c r="AB10" s="745">
        <f t="shared" si="18"/>
        <v>4.193548387096774</v>
      </c>
      <c r="AC10" s="745">
        <f t="shared" si="18"/>
        <v>4.193548387096774</v>
      </c>
      <c r="AD10" s="745">
        <f t="shared" si="18"/>
        <v>4.193548387096774</v>
      </c>
      <c r="AE10" s="745">
        <f t="shared" si="18"/>
        <v>4.193548387096774</v>
      </c>
      <c r="AF10" s="745">
        <f t="shared" si="18"/>
        <v>4.193548387096774</v>
      </c>
      <c r="AG10" s="753">
        <f t="shared" si="18"/>
        <v>4.193548387096774</v>
      </c>
      <c r="AH10" s="753">
        <f t="shared" si="18"/>
        <v>4.193548387096774</v>
      </c>
      <c r="AI10" s="754">
        <f t="shared" si="18"/>
        <v>4.193548387096774</v>
      </c>
      <c r="AJ10" s="754">
        <f t="shared" si="18"/>
        <v>4.193548387096774</v>
      </c>
      <c r="AK10" s="754">
        <f t="shared" si="18"/>
        <v>4.193548387096774</v>
      </c>
      <c r="AL10" s="754">
        <f t="shared" si="18"/>
        <v>4.193548387096774</v>
      </c>
      <c r="AM10" s="754">
        <f t="shared" si="18"/>
        <v>4.193548387096774</v>
      </c>
      <c r="AN10" s="754">
        <f t="shared" si="18"/>
        <v>4.193548387096774</v>
      </c>
      <c r="AO10" s="758">
        <f t="shared" si="18"/>
        <v>4.193548387096774</v>
      </c>
      <c r="AQ10" s="764">
        <v>130</v>
      </c>
      <c r="AR10" s="9">
        <f>AQ10/D10</f>
        <v>1</v>
      </c>
      <c r="AT10" s="5">
        <f t="shared" si="8"/>
        <v>129.99999999999994</v>
      </c>
      <c r="AU10" s="9">
        <f t="shared" si="17"/>
        <v>0.99999999999999956</v>
      </c>
      <c r="AV10" s="29"/>
      <c r="AX10" s="692"/>
      <c r="AY10" s="4503"/>
      <c r="AZ10" s="29"/>
      <c r="BB10" s="314"/>
    </row>
    <row r="11" spans="1:146" s="255" customFormat="1" x14ac:dyDescent="0.2">
      <c r="B11" s="43">
        <v>4</v>
      </c>
      <c r="C11" s="427" t="s">
        <v>115</v>
      </c>
      <c r="D11" s="40">
        <v>0</v>
      </c>
      <c r="E11" s="40">
        <f t="shared" si="9"/>
        <v>0</v>
      </c>
      <c r="F11" s="40">
        <f t="shared" si="10"/>
        <v>0</v>
      </c>
      <c r="G11" s="40">
        <f t="shared" si="11"/>
        <v>0</v>
      </c>
      <c r="H11" s="40">
        <f t="shared" si="12"/>
        <v>0</v>
      </c>
      <c r="I11" s="40">
        <f t="shared" si="13"/>
        <v>0</v>
      </c>
      <c r="J11" s="206">
        <f t="shared" si="14"/>
        <v>0</v>
      </c>
      <c r="K11" s="685">
        <f t="shared" ref="K11:AO11" si="19">$I$11</f>
        <v>0</v>
      </c>
      <c r="L11" s="707">
        <f t="shared" si="19"/>
        <v>0</v>
      </c>
      <c r="M11" s="707">
        <f t="shared" si="19"/>
        <v>0</v>
      </c>
      <c r="N11" s="710">
        <f t="shared" si="19"/>
        <v>0</v>
      </c>
      <c r="O11" s="710">
        <f t="shared" si="19"/>
        <v>0</v>
      </c>
      <c r="P11" s="710">
        <f t="shared" si="19"/>
        <v>0</v>
      </c>
      <c r="Q11" s="710">
        <f t="shared" si="19"/>
        <v>0</v>
      </c>
      <c r="R11" s="710">
        <f t="shared" si="19"/>
        <v>0</v>
      </c>
      <c r="S11" s="710">
        <f t="shared" si="19"/>
        <v>0</v>
      </c>
      <c r="T11" s="710">
        <f t="shared" si="19"/>
        <v>0</v>
      </c>
      <c r="U11" s="712">
        <f t="shared" si="19"/>
        <v>0</v>
      </c>
      <c r="V11" s="712">
        <f t="shared" si="19"/>
        <v>0</v>
      </c>
      <c r="W11" s="712">
        <f t="shared" si="19"/>
        <v>0</v>
      </c>
      <c r="X11" s="715">
        <f t="shared" si="19"/>
        <v>0</v>
      </c>
      <c r="Y11" s="715">
        <f t="shared" si="19"/>
        <v>0</v>
      </c>
      <c r="Z11" s="716">
        <f t="shared" si="19"/>
        <v>0</v>
      </c>
      <c r="AA11" s="716">
        <f t="shared" si="19"/>
        <v>0</v>
      </c>
      <c r="AB11" s="746">
        <f t="shared" si="19"/>
        <v>0</v>
      </c>
      <c r="AC11" s="746">
        <f t="shared" si="19"/>
        <v>0</v>
      </c>
      <c r="AD11" s="746">
        <f t="shared" si="19"/>
        <v>0</v>
      </c>
      <c r="AE11" s="746">
        <f t="shared" si="19"/>
        <v>0</v>
      </c>
      <c r="AF11" s="746">
        <f t="shared" si="19"/>
        <v>0</v>
      </c>
      <c r="AG11" s="752">
        <f t="shared" si="19"/>
        <v>0</v>
      </c>
      <c r="AH11" s="752">
        <f t="shared" si="19"/>
        <v>0</v>
      </c>
      <c r="AI11" s="755">
        <f t="shared" si="19"/>
        <v>0</v>
      </c>
      <c r="AJ11" s="755">
        <f t="shared" si="19"/>
        <v>0</v>
      </c>
      <c r="AK11" s="755">
        <f t="shared" si="19"/>
        <v>0</v>
      </c>
      <c r="AL11" s="755">
        <f t="shared" si="19"/>
        <v>0</v>
      </c>
      <c r="AM11" s="755">
        <f t="shared" si="19"/>
        <v>0</v>
      </c>
      <c r="AN11" s="755">
        <f t="shared" si="19"/>
        <v>0</v>
      </c>
      <c r="AO11" s="759">
        <f t="shared" si="19"/>
        <v>0</v>
      </c>
      <c r="AQ11" s="187">
        <v>0</v>
      </c>
      <c r="AR11" s="51" t="e">
        <f t="shared" si="16"/>
        <v>#DIV/0!</v>
      </c>
      <c r="AT11" s="40">
        <f t="shared" si="8"/>
        <v>0</v>
      </c>
      <c r="AU11" s="51" t="e">
        <f t="shared" si="17"/>
        <v>#DIV/0!</v>
      </c>
      <c r="AV11" s="62"/>
      <c r="AX11" s="61"/>
      <c r="AY11" s="4503"/>
      <c r="AZ11" s="62"/>
    </row>
    <row r="12" spans="1:146" x14ac:dyDescent="0.2">
      <c r="B12" s="3">
        <v>5</v>
      </c>
      <c r="C12" s="3" t="s">
        <v>127</v>
      </c>
      <c r="D12" s="5">
        <v>75.414000000000001</v>
      </c>
      <c r="E12" s="5">
        <f t="shared" si="9"/>
        <v>7.5414000000000003</v>
      </c>
      <c r="F12" s="5">
        <f t="shared" si="10"/>
        <v>5.0276000000000005</v>
      </c>
      <c r="G12" s="5">
        <f t="shared" si="11"/>
        <v>3.7707000000000002</v>
      </c>
      <c r="H12" s="5">
        <f t="shared" si="12"/>
        <v>3.0165600000000001</v>
      </c>
      <c r="I12" s="5">
        <f t="shared" si="13"/>
        <v>2.4327096774193548</v>
      </c>
      <c r="J12" s="194">
        <f t="shared" si="14"/>
        <v>7.4907326841245819E-2</v>
      </c>
      <c r="K12" s="683">
        <f t="shared" ref="K12:AO12" si="20">$I$12</f>
        <v>2.4327096774193548</v>
      </c>
      <c r="L12" s="708">
        <f t="shared" si="20"/>
        <v>2.4327096774193548</v>
      </c>
      <c r="M12" s="708">
        <f t="shared" si="20"/>
        <v>2.4327096774193548</v>
      </c>
      <c r="N12" s="709">
        <f t="shared" si="20"/>
        <v>2.4327096774193548</v>
      </c>
      <c r="O12" s="709">
        <f t="shared" si="20"/>
        <v>2.4327096774193548</v>
      </c>
      <c r="P12" s="709">
        <f t="shared" si="20"/>
        <v>2.4327096774193548</v>
      </c>
      <c r="Q12" s="709">
        <f t="shared" si="20"/>
        <v>2.4327096774193548</v>
      </c>
      <c r="R12" s="709">
        <f t="shared" si="20"/>
        <v>2.4327096774193548</v>
      </c>
      <c r="S12" s="709">
        <f t="shared" si="20"/>
        <v>2.4327096774193548</v>
      </c>
      <c r="T12" s="709">
        <f t="shared" si="20"/>
        <v>2.4327096774193548</v>
      </c>
      <c r="U12" s="713">
        <f t="shared" si="20"/>
        <v>2.4327096774193548</v>
      </c>
      <c r="V12" s="713">
        <f t="shared" si="20"/>
        <v>2.4327096774193548</v>
      </c>
      <c r="W12" s="713">
        <f t="shared" si="20"/>
        <v>2.4327096774193548</v>
      </c>
      <c r="X12" s="714">
        <f t="shared" si="20"/>
        <v>2.4327096774193548</v>
      </c>
      <c r="Y12" s="714">
        <f t="shared" si="20"/>
        <v>2.4327096774193548</v>
      </c>
      <c r="Z12" s="717">
        <f t="shared" si="20"/>
        <v>2.4327096774193548</v>
      </c>
      <c r="AA12" s="717">
        <f t="shared" si="20"/>
        <v>2.4327096774193548</v>
      </c>
      <c r="AB12" s="745">
        <f t="shared" si="20"/>
        <v>2.4327096774193548</v>
      </c>
      <c r="AC12" s="745">
        <f t="shared" si="20"/>
        <v>2.4327096774193548</v>
      </c>
      <c r="AD12" s="745">
        <f t="shared" si="20"/>
        <v>2.4327096774193548</v>
      </c>
      <c r="AE12" s="745">
        <f t="shared" si="20"/>
        <v>2.4327096774193548</v>
      </c>
      <c r="AF12" s="745">
        <f t="shared" si="20"/>
        <v>2.4327096774193548</v>
      </c>
      <c r="AG12" s="753">
        <f t="shared" si="20"/>
        <v>2.4327096774193548</v>
      </c>
      <c r="AH12" s="753">
        <f t="shared" si="20"/>
        <v>2.4327096774193548</v>
      </c>
      <c r="AI12" s="754">
        <f t="shared" si="20"/>
        <v>2.4327096774193548</v>
      </c>
      <c r="AJ12" s="754">
        <f t="shared" si="20"/>
        <v>2.4327096774193548</v>
      </c>
      <c r="AK12" s="754">
        <f t="shared" si="20"/>
        <v>2.4327096774193548</v>
      </c>
      <c r="AL12" s="754">
        <f t="shared" si="20"/>
        <v>2.4327096774193548</v>
      </c>
      <c r="AM12" s="754">
        <f t="shared" si="20"/>
        <v>2.4327096774193548</v>
      </c>
      <c r="AN12" s="754">
        <f t="shared" si="20"/>
        <v>2.4327096774193548</v>
      </c>
      <c r="AO12" s="758">
        <f t="shared" si="20"/>
        <v>2.4327096774193548</v>
      </c>
      <c r="AQ12" s="764">
        <v>75.414000000000001</v>
      </c>
      <c r="AR12" s="9">
        <f t="shared" si="16"/>
        <v>1</v>
      </c>
      <c r="AT12" s="5">
        <f t="shared" si="8"/>
        <v>75.413999999999973</v>
      </c>
      <c r="AU12" s="9">
        <f t="shared" si="17"/>
        <v>0.99999999999999967</v>
      </c>
      <c r="AV12" s="29"/>
      <c r="AX12" s="14"/>
      <c r="AY12" s="4503"/>
      <c r="AZ12" s="29"/>
    </row>
    <row r="13" spans="1:146" s="255" customFormat="1" x14ac:dyDescent="0.2">
      <c r="B13" s="43">
        <v>6</v>
      </c>
      <c r="C13" s="43" t="s">
        <v>23</v>
      </c>
      <c r="D13" s="40">
        <v>58</v>
      </c>
      <c r="E13" s="40">
        <f t="shared" si="9"/>
        <v>5.8</v>
      </c>
      <c r="F13" s="40">
        <f t="shared" si="10"/>
        <v>3.8666666666666667</v>
      </c>
      <c r="G13" s="40">
        <f t="shared" si="11"/>
        <v>2.9</v>
      </c>
      <c r="H13" s="40">
        <f t="shared" si="12"/>
        <v>2.3199999999999998</v>
      </c>
      <c r="I13" s="40">
        <f t="shared" si="13"/>
        <v>1.8709677419354838</v>
      </c>
      <c r="J13" s="206">
        <f t="shared" si="14"/>
        <v>5.7610323770019588E-2</v>
      </c>
      <c r="K13" s="685">
        <f t="shared" ref="K13:AO13" si="21">$I$13</f>
        <v>1.8709677419354838</v>
      </c>
      <c r="L13" s="707">
        <f t="shared" si="21"/>
        <v>1.8709677419354838</v>
      </c>
      <c r="M13" s="707">
        <f t="shared" si="21"/>
        <v>1.8709677419354838</v>
      </c>
      <c r="N13" s="710">
        <f t="shared" si="21"/>
        <v>1.8709677419354838</v>
      </c>
      <c r="O13" s="710">
        <f t="shared" si="21"/>
        <v>1.8709677419354838</v>
      </c>
      <c r="P13" s="710">
        <f t="shared" si="21"/>
        <v>1.8709677419354838</v>
      </c>
      <c r="Q13" s="710">
        <f t="shared" si="21"/>
        <v>1.8709677419354838</v>
      </c>
      <c r="R13" s="710">
        <f t="shared" si="21"/>
        <v>1.8709677419354838</v>
      </c>
      <c r="S13" s="710">
        <f t="shared" si="21"/>
        <v>1.8709677419354838</v>
      </c>
      <c r="T13" s="710">
        <f t="shared" si="21"/>
        <v>1.8709677419354838</v>
      </c>
      <c r="U13" s="712">
        <f t="shared" si="21"/>
        <v>1.8709677419354838</v>
      </c>
      <c r="V13" s="712">
        <f t="shared" si="21"/>
        <v>1.8709677419354838</v>
      </c>
      <c r="W13" s="712">
        <f t="shared" si="21"/>
        <v>1.8709677419354838</v>
      </c>
      <c r="X13" s="715">
        <f t="shared" si="21"/>
        <v>1.8709677419354838</v>
      </c>
      <c r="Y13" s="715">
        <f t="shared" si="21"/>
        <v>1.8709677419354838</v>
      </c>
      <c r="Z13" s="716">
        <f t="shared" si="21"/>
        <v>1.8709677419354838</v>
      </c>
      <c r="AA13" s="716">
        <f t="shared" si="21"/>
        <v>1.8709677419354838</v>
      </c>
      <c r="AB13" s="746">
        <f t="shared" si="21"/>
        <v>1.8709677419354838</v>
      </c>
      <c r="AC13" s="746">
        <f t="shared" si="21"/>
        <v>1.8709677419354838</v>
      </c>
      <c r="AD13" s="746">
        <f t="shared" si="21"/>
        <v>1.8709677419354838</v>
      </c>
      <c r="AE13" s="746">
        <f t="shared" si="21"/>
        <v>1.8709677419354838</v>
      </c>
      <c r="AF13" s="746">
        <f t="shared" si="21"/>
        <v>1.8709677419354838</v>
      </c>
      <c r="AG13" s="752">
        <f t="shared" si="21"/>
        <v>1.8709677419354838</v>
      </c>
      <c r="AH13" s="752">
        <f t="shared" si="21"/>
        <v>1.8709677419354838</v>
      </c>
      <c r="AI13" s="755">
        <f t="shared" si="21"/>
        <v>1.8709677419354838</v>
      </c>
      <c r="AJ13" s="755">
        <f t="shared" si="21"/>
        <v>1.8709677419354838</v>
      </c>
      <c r="AK13" s="755">
        <f t="shared" si="21"/>
        <v>1.8709677419354838</v>
      </c>
      <c r="AL13" s="755">
        <f t="shared" si="21"/>
        <v>1.8709677419354838</v>
      </c>
      <c r="AM13" s="755">
        <f t="shared" si="21"/>
        <v>1.8709677419354838</v>
      </c>
      <c r="AN13" s="755">
        <f t="shared" si="21"/>
        <v>1.8709677419354838</v>
      </c>
      <c r="AO13" s="759">
        <f t="shared" si="21"/>
        <v>1.8709677419354838</v>
      </c>
      <c r="AQ13" s="187">
        <v>58</v>
      </c>
      <c r="AR13" s="51">
        <f t="shared" si="16"/>
        <v>1</v>
      </c>
      <c r="AT13" s="40">
        <f t="shared" ref="AT13" si="22">SUM(K13:AO13)</f>
        <v>57.99999999999995</v>
      </c>
      <c r="AU13" s="51">
        <f t="shared" si="17"/>
        <v>0.99999999999999911</v>
      </c>
      <c r="AV13" s="62"/>
      <c r="AX13" s="61"/>
      <c r="AY13" s="691"/>
      <c r="AZ13" s="62"/>
    </row>
    <row r="14" spans="1:146" x14ac:dyDescent="0.2">
      <c r="B14" s="433">
        <v>7</v>
      </c>
      <c r="C14" s="3" t="s">
        <v>117</v>
      </c>
      <c r="D14" s="5">
        <v>38</v>
      </c>
      <c r="E14" s="5">
        <f t="shared" si="9"/>
        <v>3.8</v>
      </c>
      <c r="F14" s="5">
        <f t="shared" si="10"/>
        <v>2.5333333333333332</v>
      </c>
      <c r="G14" s="5">
        <f t="shared" si="11"/>
        <v>1.9</v>
      </c>
      <c r="H14" s="5">
        <f t="shared" si="12"/>
        <v>1.52</v>
      </c>
      <c r="I14" s="5">
        <f t="shared" si="13"/>
        <v>1.2258064516129032</v>
      </c>
      <c r="J14" s="194">
        <f t="shared" si="14"/>
        <v>3.7744694883805933E-2</v>
      </c>
      <c r="K14" s="683">
        <f t="shared" ref="K14:AO14" si="23">$I$14</f>
        <v>1.2258064516129032</v>
      </c>
      <c r="L14" s="708">
        <f t="shared" si="23"/>
        <v>1.2258064516129032</v>
      </c>
      <c r="M14" s="708">
        <f t="shared" si="23"/>
        <v>1.2258064516129032</v>
      </c>
      <c r="N14" s="709">
        <f t="shared" si="23"/>
        <v>1.2258064516129032</v>
      </c>
      <c r="O14" s="709">
        <f t="shared" si="23"/>
        <v>1.2258064516129032</v>
      </c>
      <c r="P14" s="709">
        <f t="shared" si="23"/>
        <v>1.2258064516129032</v>
      </c>
      <c r="Q14" s="709">
        <f t="shared" si="23"/>
        <v>1.2258064516129032</v>
      </c>
      <c r="R14" s="709">
        <f t="shared" si="23"/>
        <v>1.2258064516129032</v>
      </c>
      <c r="S14" s="709">
        <f t="shared" si="23"/>
        <v>1.2258064516129032</v>
      </c>
      <c r="T14" s="709">
        <f t="shared" si="23"/>
        <v>1.2258064516129032</v>
      </c>
      <c r="U14" s="713">
        <f t="shared" si="23"/>
        <v>1.2258064516129032</v>
      </c>
      <c r="V14" s="713">
        <f t="shared" si="23"/>
        <v>1.2258064516129032</v>
      </c>
      <c r="W14" s="713">
        <f t="shared" si="23"/>
        <v>1.2258064516129032</v>
      </c>
      <c r="X14" s="714">
        <f t="shared" si="23"/>
        <v>1.2258064516129032</v>
      </c>
      <c r="Y14" s="714">
        <f t="shared" si="23"/>
        <v>1.2258064516129032</v>
      </c>
      <c r="Z14" s="717">
        <f t="shared" si="23"/>
        <v>1.2258064516129032</v>
      </c>
      <c r="AA14" s="717">
        <f t="shared" si="23"/>
        <v>1.2258064516129032</v>
      </c>
      <c r="AB14" s="745">
        <f t="shared" si="23"/>
        <v>1.2258064516129032</v>
      </c>
      <c r="AC14" s="745">
        <f t="shared" si="23"/>
        <v>1.2258064516129032</v>
      </c>
      <c r="AD14" s="745">
        <f t="shared" si="23"/>
        <v>1.2258064516129032</v>
      </c>
      <c r="AE14" s="745">
        <f t="shared" si="23"/>
        <v>1.2258064516129032</v>
      </c>
      <c r="AF14" s="745">
        <f t="shared" si="23"/>
        <v>1.2258064516129032</v>
      </c>
      <c r="AG14" s="753">
        <f t="shared" si="23"/>
        <v>1.2258064516129032</v>
      </c>
      <c r="AH14" s="753">
        <f t="shared" si="23"/>
        <v>1.2258064516129032</v>
      </c>
      <c r="AI14" s="754">
        <f t="shared" si="23"/>
        <v>1.2258064516129032</v>
      </c>
      <c r="AJ14" s="754">
        <f t="shared" si="23"/>
        <v>1.2258064516129032</v>
      </c>
      <c r="AK14" s="754">
        <f t="shared" si="23"/>
        <v>1.2258064516129032</v>
      </c>
      <c r="AL14" s="754">
        <f t="shared" si="23"/>
        <v>1.2258064516129032</v>
      </c>
      <c r="AM14" s="754">
        <f t="shared" si="23"/>
        <v>1.2258064516129032</v>
      </c>
      <c r="AN14" s="754">
        <f t="shared" si="23"/>
        <v>1.2258064516129032</v>
      </c>
      <c r="AO14" s="758">
        <f t="shared" si="23"/>
        <v>1.2258064516129032</v>
      </c>
      <c r="AQ14" s="764">
        <v>38</v>
      </c>
      <c r="AR14" s="9">
        <f t="shared" si="16"/>
        <v>1</v>
      </c>
      <c r="AT14" s="5">
        <f t="shared" ref="AT14" si="24">SUM(K14:AO14)</f>
        <v>38.000000000000014</v>
      </c>
      <c r="AU14" s="9">
        <f t="shared" si="17"/>
        <v>1.0000000000000004</v>
      </c>
      <c r="AV14" s="29"/>
      <c r="AX14" s="14"/>
      <c r="AY14" s="588"/>
      <c r="AZ14" s="29"/>
    </row>
    <row r="15" spans="1:146" s="255" customFormat="1" x14ac:dyDescent="0.2">
      <c r="B15" s="43">
        <v>8</v>
      </c>
      <c r="C15" s="427" t="s">
        <v>118</v>
      </c>
      <c r="D15" s="132">
        <v>30.35</v>
      </c>
      <c r="E15" s="132">
        <f t="shared" si="9"/>
        <v>3.0350000000000001</v>
      </c>
      <c r="F15" s="132">
        <f t="shared" si="10"/>
        <v>2.0233333333333334</v>
      </c>
      <c r="G15" s="132">
        <f t="shared" si="11"/>
        <v>1.5175000000000001</v>
      </c>
      <c r="H15" s="132">
        <f t="shared" si="12"/>
        <v>1.214</v>
      </c>
      <c r="I15" s="132">
        <f t="shared" si="13"/>
        <v>0.97903225806451621</v>
      </c>
      <c r="J15" s="478">
        <f t="shared" si="14"/>
        <v>3.0146091834829216E-2</v>
      </c>
      <c r="K15" s="735">
        <f t="shared" ref="K15:AO15" si="25">$I$15</f>
        <v>0.97903225806451621</v>
      </c>
      <c r="L15" s="735">
        <f t="shared" si="25"/>
        <v>0.97903225806451621</v>
      </c>
      <c r="M15" s="735">
        <f t="shared" si="25"/>
        <v>0.97903225806451621</v>
      </c>
      <c r="N15" s="735">
        <f t="shared" si="25"/>
        <v>0.97903225806451621</v>
      </c>
      <c r="O15" s="735">
        <f t="shared" si="25"/>
        <v>0.97903225806451621</v>
      </c>
      <c r="P15" s="735">
        <f t="shared" si="25"/>
        <v>0.97903225806451621</v>
      </c>
      <c r="Q15" s="735">
        <f t="shared" si="25"/>
        <v>0.97903225806451621</v>
      </c>
      <c r="R15" s="735">
        <f t="shared" si="25"/>
        <v>0.97903225806451621</v>
      </c>
      <c r="S15" s="735">
        <f t="shared" si="25"/>
        <v>0.97903225806451621</v>
      </c>
      <c r="T15" s="735">
        <f t="shared" si="25"/>
        <v>0.97903225806451621</v>
      </c>
      <c r="U15" s="735">
        <f t="shared" si="25"/>
        <v>0.97903225806451621</v>
      </c>
      <c r="V15" s="735">
        <f t="shared" si="25"/>
        <v>0.97903225806451621</v>
      </c>
      <c r="W15" s="735">
        <f t="shared" si="25"/>
        <v>0.97903225806451621</v>
      </c>
      <c r="X15" s="735">
        <f t="shared" si="25"/>
        <v>0.97903225806451621</v>
      </c>
      <c r="Y15" s="735">
        <f t="shared" si="25"/>
        <v>0.97903225806451621</v>
      </c>
      <c r="Z15" s="735">
        <f t="shared" si="25"/>
        <v>0.97903225806451621</v>
      </c>
      <c r="AA15" s="735">
        <f t="shared" si="25"/>
        <v>0.97903225806451621</v>
      </c>
      <c r="AB15" s="746">
        <f t="shared" si="25"/>
        <v>0.97903225806451621</v>
      </c>
      <c r="AC15" s="746">
        <f t="shared" si="25"/>
        <v>0.97903225806451621</v>
      </c>
      <c r="AD15" s="746">
        <f t="shared" si="25"/>
        <v>0.97903225806451621</v>
      </c>
      <c r="AE15" s="746">
        <f t="shared" si="25"/>
        <v>0.97903225806451621</v>
      </c>
      <c r="AF15" s="746">
        <f t="shared" si="25"/>
        <v>0.97903225806451621</v>
      </c>
      <c r="AG15" s="752">
        <f t="shared" si="25"/>
        <v>0.97903225806451621</v>
      </c>
      <c r="AH15" s="752">
        <f t="shared" si="25"/>
        <v>0.97903225806451621</v>
      </c>
      <c r="AI15" s="755">
        <f t="shared" si="25"/>
        <v>0.97903225806451621</v>
      </c>
      <c r="AJ15" s="755">
        <f t="shared" si="25"/>
        <v>0.97903225806451621</v>
      </c>
      <c r="AK15" s="755">
        <f t="shared" si="25"/>
        <v>0.97903225806451621</v>
      </c>
      <c r="AL15" s="755">
        <f t="shared" si="25"/>
        <v>0.97903225806451621</v>
      </c>
      <c r="AM15" s="755">
        <f t="shared" si="25"/>
        <v>0.97903225806451621</v>
      </c>
      <c r="AN15" s="755">
        <f t="shared" si="25"/>
        <v>0.97903225806451621</v>
      </c>
      <c r="AO15" s="759">
        <f t="shared" si="25"/>
        <v>0.97903225806451621</v>
      </c>
      <c r="AQ15" s="187">
        <v>30.35</v>
      </c>
      <c r="AR15" s="51">
        <f t="shared" si="16"/>
        <v>1</v>
      </c>
      <c r="AT15" s="40">
        <f t="shared" si="8"/>
        <v>30.350000000000016</v>
      </c>
      <c r="AU15" s="51">
        <f t="shared" si="17"/>
        <v>1.0000000000000004</v>
      </c>
      <c r="AV15" s="62"/>
      <c r="AX15" s="61"/>
      <c r="AY15" s="62"/>
      <c r="AZ15" s="62"/>
    </row>
    <row r="16" spans="1:146" s="432" customFormat="1" x14ac:dyDescent="0.2">
      <c r="B16" s="3">
        <v>9</v>
      </c>
      <c r="C16" s="3" t="s">
        <v>114</v>
      </c>
      <c r="D16" s="5">
        <v>25.5</v>
      </c>
      <c r="E16" s="5">
        <f t="shared" si="9"/>
        <v>2.5499999999999998</v>
      </c>
      <c r="F16" s="5">
        <f t="shared" si="10"/>
        <v>1.7</v>
      </c>
      <c r="G16" s="5">
        <f t="shared" si="11"/>
        <v>1.2749999999999999</v>
      </c>
      <c r="H16" s="5">
        <f t="shared" si="12"/>
        <v>1.02</v>
      </c>
      <c r="I16" s="5">
        <f t="shared" si="13"/>
        <v>0.82258064516129037</v>
      </c>
      <c r="J16" s="194">
        <f t="shared" si="14"/>
        <v>2.5328676829922403E-2</v>
      </c>
      <c r="K16" s="483">
        <f t="shared" ref="K16:AO16" si="26">$I$16</f>
        <v>0.82258064516129037</v>
      </c>
      <c r="L16" s="483">
        <f t="shared" si="26"/>
        <v>0.82258064516129037</v>
      </c>
      <c r="M16" s="483">
        <f t="shared" si="26"/>
        <v>0.82258064516129037</v>
      </c>
      <c r="N16" s="483">
        <f t="shared" si="26"/>
        <v>0.82258064516129037</v>
      </c>
      <c r="O16" s="483">
        <f t="shared" si="26"/>
        <v>0.82258064516129037</v>
      </c>
      <c r="P16" s="483">
        <f t="shared" si="26"/>
        <v>0.82258064516129037</v>
      </c>
      <c r="Q16" s="483">
        <f t="shared" si="26"/>
        <v>0.82258064516129037</v>
      </c>
      <c r="R16" s="483">
        <f t="shared" si="26"/>
        <v>0.82258064516129037</v>
      </c>
      <c r="S16" s="483">
        <f t="shared" si="26"/>
        <v>0.82258064516129037</v>
      </c>
      <c r="T16" s="483">
        <f t="shared" si="26"/>
        <v>0.82258064516129037</v>
      </c>
      <c r="U16" s="483">
        <f t="shared" si="26"/>
        <v>0.82258064516129037</v>
      </c>
      <c r="V16" s="483">
        <f t="shared" si="26"/>
        <v>0.82258064516129037</v>
      </c>
      <c r="W16" s="483">
        <f t="shared" si="26"/>
        <v>0.82258064516129037</v>
      </c>
      <c r="X16" s="483">
        <f t="shared" si="26"/>
        <v>0.82258064516129037</v>
      </c>
      <c r="Y16" s="483">
        <f t="shared" si="26"/>
        <v>0.82258064516129037</v>
      </c>
      <c r="Z16" s="483">
        <f t="shared" si="26"/>
        <v>0.82258064516129037</v>
      </c>
      <c r="AA16" s="483">
        <f t="shared" si="26"/>
        <v>0.82258064516129037</v>
      </c>
      <c r="AB16" s="483">
        <f t="shared" si="26"/>
        <v>0.82258064516129037</v>
      </c>
      <c r="AC16" s="483">
        <f t="shared" si="26"/>
        <v>0.82258064516129037</v>
      </c>
      <c r="AD16" s="483">
        <f t="shared" si="26"/>
        <v>0.82258064516129037</v>
      </c>
      <c r="AE16" s="483">
        <f t="shared" si="26"/>
        <v>0.82258064516129037</v>
      </c>
      <c r="AF16" s="483">
        <f t="shared" si="26"/>
        <v>0.82258064516129037</v>
      </c>
      <c r="AG16" s="483">
        <f t="shared" si="26"/>
        <v>0.82258064516129037</v>
      </c>
      <c r="AH16" s="483">
        <f t="shared" si="26"/>
        <v>0.82258064516129037</v>
      </c>
      <c r="AI16" s="483">
        <f t="shared" si="26"/>
        <v>0.82258064516129037</v>
      </c>
      <c r="AJ16" s="483">
        <f t="shared" si="26"/>
        <v>0.82258064516129037</v>
      </c>
      <c r="AK16" s="483">
        <f t="shared" si="26"/>
        <v>0.82258064516129037</v>
      </c>
      <c r="AL16" s="483">
        <f t="shared" si="26"/>
        <v>0.82258064516129037</v>
      </c>
      <c r="AM16" s="483">
        <f t="shared" si="26"/>
        <v>0.82258064516129037</v>
      </c>
      <c r="AN16" s="483">
        <f t="shared" si="26"/>
        <v>0.82258064516129037</v>
      </c>
      <c r="AO16" s="483">
        <f t="shared" si="26"/>
        <v>0.82258064516129037</v>
      </c>
      <c r="AQ16" s="764">
        <v>25.5</v>
      </c>
      <c r="AR16" s="485">
        <f t="shared" si="16"/>
        <v>1</v>
      </c>
      <c r="AT16" s="347">
        <f>SUM(K16:AO16)</f>
        <v>25.500000000000014</v>
      </c>
      <c r="AU16" s="485">
        <f t="shared" si="17"/>
        <v>1.0000000000000007</v>
      </c>
      <c r="AV16" s="482"/>
      <c r="AX16" s="481"/>
      <c r="AY16" s="482"/>
      <c r="AZ16" s="482"/>
    </row>
    <row r="17" spans="2:52" s="255" customFormat="1" x14ac:dyDescent="0.2">
      <c r="B17" s="43">
        <v>10</v>
      </c>
      <c r="C17" s="427" t="s">
        <v>116</v>
      </c>
      <c r="D17" s="132">
        <v>25.5</v>
      </c>
      <c r="E17" s="132">
        <f t="shared" si="9"/>
        <v>2.5499999999999998</v>
      </c>
      <c r="F17" s="132">
        <f t="shared" si="10"/>
        <v>1.7</v>
      </c>
      <c r="G17" s="132">
        <f t="shared" si="11"/>
        <v>1.2749999999999999</v>
      </c>
      <c r="H17" s="132">
        <f t="shared" si="12"/>
        <v>1.02</v>
      </c>
      <c r="I17" s="132">
        <f t="shared" si="13"/>
        <v>0.82258064516129037</v>
      </c>
      <c r="J17" s="478">
        <f t="shared" si="14"/>
        <v>2.5328676829922403E-2</v>
      </c>
      <c r="K17" s="735">
        <f t="shared" ref="K17:AO17" si="27">$I$17</f>
        <v>0.82258064516129037</v>
      </c>
      <c r="L17" s="735">
        <f t="shared" si="27"/>
        <v>0.82258064516129037</v>
      </c>
      <c r="M17" s="735">
        <f t="shared" si="27"/>
        <v>0.82258064516129037</v>
      </c>
      <c r="N17" s="735">
        <f t="shared" si="27"/>
        <v>0.82258064516129037</v>
      </c>
      <c r="O17" s="735">
        <f t="shared" si="27"/>
        <v>0.82258064516129037</v>
      </c>
      <c r="P17" s="735">
        <f t="shared" si="27"/>
        <v>0.82258064516129037</v>
      </c>
      <c r="Q17" s="735">
        <f t="shared" si="27"/>
        <v>0.82258064516129037</v>
      </c>
      <c r="R17" s="735">
        <f t="shared" si="27"/>
        <v>0.82258064516129037</v>
      </c>
      <c r="S17" s="735">
        <f t="shared" si="27"/>
        <v>0.82258064516129037</v>
      </c>
      <c r="T17" s="735">
        <f t="shared" si="27"/>
        <v>0.82258064516129037</v>
      </c>
      <c r="U17" s="735">
        <f t="shared" si="27"/>
        <v>0.82258064516129037</v>
      </c>
      <c r="V17" s="735">
        <f t="shared" si="27"/>
        <v>0.82258064516129037</v>
      </c>
      <c r="W17" s="735">
        <f t="shared" si="27"/>
        <v>0.82258064516129037</v>
      </c>
      <c r="X17" s="735">
        <f t="shared" si="27"/>
        <v>0.82258064516129037</v>
      </c>
      <c r="Y17" s="735">
        <f t="shared" si="27"/>
        <v>0.82258064516129037</v>
      </c>
      <c r="Z17" s="735">
        <f t="shared" si="27"/>
        <v>0.82258064516129037</v>
      </c>
      <c r="AA17" s="735">
        <f t="shared" si="27"/>
        <v>0.82258064516129037</v>
      </c>
      <c r="AB17" s="746">
        <f t="shared" si="27"/>
        <v>0.82258064516129037</v>
      </c>
      <c r="AC17" s="746">
        <f t="shared" si="27"/>
        <v>0.82258064516129037</v>
      </c>
      <c r="AD17" s="746">
        <f t="shared" si="27"/>
        <v>0.82258064516129037</v>
      </c>
      <c r="AE17" s="746">
        <f t="shared" si="27"/>
        <v>0.82258064516129037</v>
      </c>
      <c r="AF17" s="746">
        <f t="shared" si="27"/>
        <v>0.82258064516129037</v>
      </c>
      <c r="AG17" s="752">
        <f t="shared" si="27"/>
        <v>0.82258064516129037</v>
      </c>
      <c r="AH17" s="752">
        <f t="shared" si="27"/>
        <v>0.82258064516129037</v>
      </c>
      <c r="AI17" s="755">
        <f t="shared" si="27"/>
        <v>0.82258064516129037</v>
      </c>
      <c r="AJ17" s="755">
        <f t="shared" si="27"/>
        <v>0.82258064516129037</v>
      </c>
      <c r="AK17" s="755">
        <f t="shared" si="27"/>
        <v>0.82258064516129037</v>
      </c>
      <c r="AL17" s="755">
        <f t="shared" si="27"/>
        <v>0.82258064516129037</v>
      </c>
      <c r="AM17" s="755">
        <f t="shared" si="27"/>
        <v>0.82258064516129037</v>
      </c>
      <c r="AN17" s="755">
        <f t="shared" si="27"/>
        <v>0.82258064516129037</v>
      </c>
      <c r="AO17" s="759">
        <f t="shared" si="27"/>
        <v>0.82258064516129037</v>
      </c>
      <c r="AQ17" s="187">
        <v>25.5</v>
      </c>
      <c r="AR17" s="51">
        <f t="shared" si="16"/>
        <v>1</v>
      </c>
      <c r="AT17" s="40">
        <f>SUM(K17:AO17)</f>
        <v>25.500000000000014</v>
      </c>
      <c r="AU17" s="51">
        <f t="shared" si="17"/>
        <v>1.0000000000000007</v>
      </c>
      <c r="AV17" s="62"/>
      <c r="AX17" s="61"/>
      <c r="AY17" s="62"/>
      <c r="AZ17" s="62"/>
    </row>
    <row r="18" spans="2:52" s="432" customFormat="1" x14ac:dyDescent="0.2">
      <c r="B18" s="433">
        <v>11</v>
      </c>
      <c r="C18" s="663" t="s">
        <v>43</v>
      </c>
      <c r="D18" s="664">
        <v>20</v>
      </c>
      <c r="E18" s="664">
        <f t="shared" si="9"/>
        <v>2</v>
      </c>
      <c r="F18" s="664">
        <f t="shared" si="10"/>
        <v>1.3333333333333333</v>
      </c>
      <c r="G18" s="664">
        <f t="shared" si="11"/>
        <v>1</v>
      </c>
      <c r="H18" s="664">
        <f t="shared" si="12"/>
        <v>0.8</v>
      </c>
      <c r="I18" s="664">
        <f t="shared" si="13"/>
        <v>0.64516129032258063</v>
      </c>
      <c r="J18" s="665">
        <f t="shared" si="14"/>
        <v>1.9865628886213651E-2</v>
      </c>
      <c r="K18" s="666">
        <f t="shared" ref="K18:AO18" si="28">$I$18</f>
        <v>0.64516129032258063</v>
      </c>
      <c r="L18" s="667">
        <f t="shared" si="28"/>
        <v>0.64516129032258063</v>
      </c>
      <c r="M18" s="667">
        <f t="shared" si="28"/>
        <v>0.64516129032258063</v>
      </c>
      <c r="N18" s="667">
        <f t="shared" si="28"/>
        <v>0.64516129032258063</v>
      </c>
      <c r="O18" s="667">
        <f t="shared" si="28"/>
        <v>0.64516129032258063</v>
      </c>
      <c r="P18" s="667">
        <f t="shared" si="28"/>
        <v>0.64516129032258063</v>
      </c>
      <c r="Q18" s="667">
        <f t="shared" si="28"/>
        <v>0.64516129032258063</v>
      </c>
      <c r="R18" s="667">
        <f t="shared" si="28"/>
        <v>0.64516129032258063</v>
      </c>
      <c r="S18" s="667">
        <f t="shared" si="28"/>
        <v>0.64516129032258063</v>
      </c>
      <c r="T18" s="667">
        <f t="shared" si="28"/>
        <v>0.64516129032258063</v>
      </c>
      <c r="U18" s="667">
        <f t="shared" si="28"/>
        <v>0.64516129032258063</v>
      </c>
      <c r="V18" s="667">
        <f t="shared" si="28"/>
        <v>0.64516129032258063</v>
      </c>
      <c r="W18" s="667">
        <f t="shared" si="28"/>
        <v>0.64516129032258063</v>
      </c>
      <c r="X18" s="667">
        <f t="shared" si="28"/>
        <v>0.64516129032258063</v>
      </c>
      <c r="Y18" s="667">
        <f t="shared" si="28"/>
        <v>0.64516129032258063</v>
      </c>
      <c r="Z18" s="667">
        <f t="shared" si="28"/>
        <v>0.64516129032258063</v>
      </c>
      <c r="AA18" s="667">
        <f t="shared" si="28"/>
        <v>0.64516129032258063</v>
      </c>
      <c r="AB18" s="667">
        <f t="shared" si="28"/>
        <v>0.64516129032258063</v>
      </c>
      <c r="AC18" s="667">
        <f t="shared" si="28"/>
        <v>0.64516129032258063</v>
      </c>
      <c r="AD18" s="667">
        <f t="shared" si="28"/>
        <v>0.64516129032258063</v>
      </c>
      <c r="AE18" s="667">
        <f t="shared" si="28"/>
        <v>0.64516129032258063</v>
      </c>
      <c r="AF18" s="667">
        <f t="shared" si="28"/>
        <v>0.64516129032258063</v>
      </c>
      <c r="AG18" s="667">
        <f t="shared" si="28"/>
        <v>0.64516129032258063</v>
      </c>
      <c r="AH18" s="667">
        <f t="shared" si="28"/>
        <v>0.64516129032258063</v>
      </c>
      <c r="AI18" s="667">
        <f t="shared" si="28"/>
        <v>0.64516129032258063</v>
      </c>
      <c r="AJ18" s="667">
        <f t="shared" si="28"/>
        <v>0.64516129032258063</v>
      </c>
      <c r="AK18" s="667">
        <f t="shared" si="28"/>
        <v>0.64516129032258063</v>
      </c>
      <c r="AL18" s="667">
        <f t="shared" si="28"/>
        <v>0.64516129032258063</v>
      </c>
      <c r="AM18" s="667">
        <f t="shared" si="28"/>
        <v>0.64516129032258063</v>
      </c>
      <c r="AN18" s="667">
        <f t="shared" si="28"/>
        <v>0.64516129032258063</v>
      </c>
      <c r="AO18" s="667">
        <f t="shared" si="28"/>
        <v>0.64516129032258063</v>
      </c>
      <c r="AQ18" s="764">
        <v>20</v>
      </c>
      <c r="AR18" s="485">
        <f t="shared" si="16"/>
        <v>1</v>
      </c>
      <c r="AT18" s="347">
        <f>SUM(K18:AO18)</f>
        <v>19.999999999999993</v>
      </c>
      <c r="AU18" s="485">
        <f>AT18/D18</f>
        <v>0.99999999999999967</v>
      </c>
      <c r="AV18" s="482"/>
      <c r="AX18" s="481"/>
      <c r="AY18" s="482"/>
      <c r="AZ18" s="482"/>
    </row>
    <row r="19" spans="2:52" s="426" customFormat="1" x14ac:dyDescent="0.2">
      <c r="B19" s="427">
        <v>12</v>
      </c>
      <c r="C19" s="427" t="s">
        <v>119</v>
      </c>
      <c r="D19" s="132">
        <v>4</v>
      </c>
      <c r="E19" s="132">
        <f t="shared" si="9"/>
        <v>0.4</v>
      </c>
      <c r="F19" s="132">
        <f t="shared" si="10"/>
        <v>0.26666666666666666</v>
      </c>
      <c r="G19" s="132">
        <f t="shared" si="11"/>
        <v>0.2</v>
      </c>
      <c r="H19" s="132">
        <f t="shared" si="12"/>
        <v>0.16</v>
      </c>
      <c r="I19" s="132">
        <f t="shared" si="13"/>
        <v>0.12903225806451613</v>
      </c>
      <c r="J19" s="478">
        <f t="shared" si="14"/>
        <v>3.9731257772427303E-3</v>
      </c>
      <c r="K19" s="668">
        <f t="shared" ref="K19:AO19" si="29">$I$19</f>
        <v>0.12903225806451613</v>
      </c>
      <c r="L19" s="440">
        <f t="shared" si="29"/>
        <v>0.12903225806451613</v>
      </c>
      <c r="M19" s="440">
        <f t="shared" si="29"/>
        <v>0.12903225806451613</v>
      </c>
      <c r="N19" s="440">
        <f t="shared" si="29"/>
        <v>0.12903225806451613</v>
      </c>
      <c r="O19" s="440">
        <f t="shared" si="29"/>
        <v>0.12903225806451613</v>
      </c>
      <c r="P19" s="440">
        <f t="shared" si="29"/>
        <v>0.12903225806451613</v>
      </c>
      <c r="Q19" s="440">
        <f t="shared" si="29"/>
        <v>0.12903225806451613</v>
      </c>
      <c r="R19" s="440">
        <f t="shared" si="29"/>
        <v>0.12903225806451613</v>
      </c>
      <c r="S19" s="440">
        <f t="shared" si="29"/>
        <v>0.12903225806451613</v>
      </c>
      <c r="T19" s="440">
        <f t="shared" si="29"/>
        <v>0.12903225806451613</v>
      </c>
      <c r="U19" s="440">
        <f t="shared" si="29"/>
        <v>0.12903225806451613</v>
      </c>
      <c r="V19" s="440">
        <f t="shared" si="29"/>
        <v>0.12903225806451613</v>
      </c>
      <c r="W19" s="440">
        <f t="shared" si="29"/>
        <v>0.12903225806451613</v>
      </c>
      <c r="X19" s="440">
        <f t="shared" si="29"/>
        <v>0.12903225806451613</v>
      </c>
      <c r="Y19" s="440">
        <f t="shared" si="29"/>
        <v>0.12903225806451613</v>
      </c>
      <c r="Z19" s="440">
        <f t="shared" si="29"/>
        <v>0.12903225806451613</v>
      </c>
      <c r="AA19" s="440">
        <f t="shared" si="29"/>
        <v>0.12903225806451613</v>
      </c>
      <c r="AB19" s="440">
        <f t="shared" si="29"/>
        <v>0.12903225806451613</v>
      </c>
      <c r="AC19" s="440">
        <f t="shared" si="29"/>
        <v>0.12903225806451613</v>
      </c>
      <c r="AD19" s="440">
        <f t="shared" si="29"/>
        <v>0.12903225806451613</v>
      </c>
      <c r="AE19" s="440">
        <f t="shared" si="29"/>
        <v>0.12903225806451613</v>
      </c>
      <c r="AF19" s="440">
        <f t="shared" si="29"/>
        <v>0.12903225806451613</v>
      </c>
      <c r="AG19" s="440">
        <f t="shared" si="29"/>
        <v>0.12903225806451613</v>
      </c>
      <c r="AH19" s="440">
        <f t="shared" si="29"/>
        <v>0.12903225806451613</v>
      </c>
      <c r="AI19" s="440">
        <f t="shared" si="29"/>
        <v>0.12903225806451613</v>
      </c>
      <c r="AJ19" s="440">
        <f t="shared" si="29"/>
        <v>0.12903225806451613</v>
      </c>
      <c r="AK19" s="440">
        <f t="shared" si="29"/>
        <v>0.12903225806451613</v>
      </c>
      <c r="AL19" s="440">
        <f t="shared" si="29"/>
        <v>0.12903225806451613</v>
      </c>
      <c r="AM19" s="440">
        <f t="shared" si="29"/>
        <v>0.12903225806451613</v>
      </c>
      <c r="AN19" s="440">
        <f t="shared" si="29"/>
        <v>0.12903225806451613</v>
      </c>
      <c r="AO19" s="440">
        <f t="shared" si="29"/>
        <v>0.12903225806451613</v>
      </c>
      <c r="AQ19" s="187">
        <v>4</v>
      </c>
      <c r="AR19" s="641">
        <f t="shared" si="16"/>
        <v>1</v>
      </c>
      <c r="AT19" s="132">
        <f>SUM(K19:AO19)</f>
        <v>3.9999999999999973</v>
      </c>
      <c r="AU19" s="641">
        <f t="shared" si="17"/>
        <v>0.99999999999999933</v>
      </c>
      <c r="AV19" s="480"/>
      <c r="AX19" s="479"/>
      <c r="AY19" s="480"/>
      <c r="AZ19" s="480"/>
    </row>
    <row r="20" spans="2:52" s="737" customFormat="1" x14ac:dyDescent="0.2">
      <c r="B20" s="3">
        <v>13</v>
      </c>
      <c r="C20" s="3" t="s">
        <v>124</v>
      </c>
      <c r="D20" s="5">
        <v>0</v>
      </c>
      <c r="E20" s="5">
        <f t="shared" si="9"/>
        <v>0</v>
      </c>
      <c r="F20" s="5">
        <f t="shared" si="10"/>
        <v>0</v>
      </c>
      <c r="G20" s="5">
        <f t="shared" si="11"/>
        <v>0</v>
      </c>
      <c r="H20" s="5">
        <f t="shared" si="12"/>
        <v>0</v>
      </c>
      <c r="I20" s="5">
        <f t="shared" si="13"/>
        <v>0</v>
      </c>
      <c r="J20" s="194">
        <f t="shared" si="14"/>
        <v>0</v>
      </c>
      <c r="K20" s="736">
        <f t="shared" ref="K20:AO20" si="30">$I$20</f>
        <v>0</v>
      </c>
      <c r="L20" s="736">
        <f t="shared" si="30"/>
        <v>0</v>
      </c>
      <c r="M20" s="736">
        <f t="shared" si="30"/>
        <v>0</v>
      </c>
      <c r="N20" s="736">
        <f t="shared" si="30"/>
        <v>0</v>
      </c>
      <c r="O20" s="736">
        <f t="shared" si="30"/>
        <v>0</v>
      </c>
      <c r="P20" s="736">
        <f t="shared" si="30"/>
        <v>0</v>
      </c>
      <c r="Q20" s="736">
        <f t="shared" si="30"/>
        <v>0</v>
      </c>
      <c r="R20" s="736">
        <f t="shared" si="30"/>
        <v>0</v>
      </c>
      <c r="S20" s="736">
        <f t="shared" si="30"/>
        <v>0</v>
      </c>
      <c r="T20" s="736">
        <f t="shared" si="30"/>
        <v>0</v>
      </c>
      <c r="U20" s="736">
        <f t="shared" si="30"/>
        <v>0</v>
      </c>
      <c r="V20" s="736">
        <f t="shared" si="30"/>
        <v>0</v>
      </c>
      <c r="W20" s="736">
        <f t="shared" si="30"/>
        <v>0</v>
      </c>
      <c r="X20" s="736">
        <f t="shared" si="30"/>
        <v>0</v>
      </c>
      <c r="Y20" s="736">
        <f t="shared" si="30"/>
        <v>0</v>
      </c>
      <c r="Z20" s="736">
        <f t="shared" si="30"/>
        <v>0</v>
      </c>
      <c r="AA20" s="736">
        <f t="shared" si="30"/>
        <v>0</v>
      </c>
      <c r="AB20" s="745">
        <f t="shared" si="30"/>
        <v>0</v>
      </c>
      <c r="AC20" s="745">
        <f t="shared" si="30"/>
        <v>0</v>
      </c>
      <c r="AD20" s="745">
        <f t="shared" si="30"/>
        <v>0</v>
      </c>
      <c r="AE20" s="745">
        <f t="shared" si="30"/>
        <v>0</v>
      </c>
      <c r="AF20" s="745">
        <f t="shared" si="30"/>
        <v>0</v>
      </c>
      <c r="AG20" s="753">
        <f t="shared" si="30"/>
        <v>0</v>
      </c>
      <c r="AH20" s="753">
        <f t="shared" si="30"/>
        <v>0</v>
      </c>
      <c r="AI20" s="754">
        <f t="shared" si="30"/>
        <v>0</v>
      </c>
      <c r="AJ20" s="754">
        <f t="shared" si="30"/>
        <v>0</v>
      </c>
      <c r="AK20" s="754">
        <f t="shared" si="30"/>
        <v>0</v>
      </c>
      <c r="AL20" s="754">
        <f t="shared" si="30"/>
        <v>0</v>
      </c>
      <c r="AM20" s="754">
        <f t="shared" si="30"/>
        <v>0</v>
      </c>
      <c r="AN20" s="754">
        <f t="shared" si="30"/>
        <v>0</v>
      </c>
      <c r="AO20" s="758">
        <f t="shared" si="30"/>
        <v>0</v>
      </c>
      <c r="AQ20" s="5">
        <v>0</v>
      </c>
      <c r="AR20" s="9" t="e">
        <f t="shared" si="16"/>
        <v>#DIV/0!</v>
      </c>
      <c r="AT20" s="5">
        <f t="shared" si="8"/>
        <v>0</v>
      </c>
      <c r="AU20" s="9" t="e">
        <f t="shared" si="17"/>
        <v>#DIV/0!</v>
      </c>
      <c r="AV20" s="29"/>
      <c r="AX20" s="14"/>
      <c r="AY20" s="29"/>
      <c r="AZ20" s="29"/>
    </row>
    <row r="21" spans="2:52" s="255" customFormat="1" x14ac:dyDescent="0.2">
      <c r="B21" s="43">
        <v>14</v>
      </c>
      <c r="C21" s="427" t="s">
        <v>128</v>
      </c>
      <c r="D21" s="132">
        <v>0</v>
      </c>
      <c r="E21" s="132">
        <f t="shared" si="9"/>
        <v>0</v>
      </c>
      <c r="F21" s="132">
        <f t="shared" si="10"/>
        <v>0</v>
      </c>
      <c r="G21" s="132">
        <f t="shared" si="11"/>
        <v>0</v>
      </c>
      <c r="H21" s="132">
        <f t="shared" si="12"/>
        <v>0</v>
      </c>
      <c r="I21" s="132">
        <f t="shared" si="13"/>
        <v>0</v>
      </c>
      <c r="J21" s="478">
        <f t="shared" si="14"/>
        <v>0</v>
      </c>
      <c r="K21" s="735">
        <f>$I$21</f>
        <v>0</v>
      </c>
      <c r="L21" s="735">
        <f t="shared" ref="L21:AO21" si="31">$I$21</f>
        <v>0</v>
      </c>
      <c r="M21" s="735">
        <f t="shared" si="31"/>
        <v>0</v>
      </c>
      <c r="N21" s="735">
        <f t="shared" si="31"/>
        <v>0</v>
      </c>
      <c r="O21" s="735">
        <f t="shared" si="31"/>
        <v>0</v>
      </c>
      <c r="P21" s="735">
        <f t="shared" si="31"/>
        <v>0</v>
      </c>
      <c r="Q21" s="735">
        <f t="shared" si="31"/>
        <v>0</v>
      </c>
      <c r="R21" s="735">
        <f t="shared" si="31"/>
        <v>0</v>
      </c>
      <c r="S21" s="735">
        <f t="shared" si="31"/>
        <v>0</v>
      </c>
      <c r="T21" s="735">
        <f t="shared" si="31"/>
        <v>0</v>
      </c>
      <c r="U21" s="735">
        <f t="shared" si="31"/>
        <v>0</v>
      </c>
      <c r="V21" s="735">
        <f t="shared" si="31"/>
        <v>0</v>
      </c>
      <c r="W21" s="735">
        <f t="shared" si="31"/>
        <v>0</v>
      </c>
      <c r="X21" s="735">
        <f t="shared" si="31"/>
        <v>0</v>
      </c>
      <c r="Y21" s="735">
        <f t="shared" si="31"/>
        <v>0</v>
      </c>
      <c r="Z21" s="735">
        <f t="shared" si="31"/>
        <v>0</v>
      </c>
      <c r="AA21" s="735">
        <f t="shared" si="31"/>
        <v>0</v>
      </c>
      <c r="AB21" s="746">
        <f t="shared" si="31"/>
        <v>0</v>
      </c>
      <c r="AC21" s="746">
        <f t="shared" si="31"/>
        <v>0</v>
      </c>
      <c r="AD21" s="746">
        <f t="shared" si="31"/>
        <v>0</v>
      </c>
      <c r="AE21" s="746">
        <f t="shared" si="31"/>
        <v>0</v>
      </c>
      <c r="AF21" s="746">
        <f t="shared" si="31"/>
        <v>0</v>
      </c>
      <c r="AG21" s="752">
        <f t="shared" si="31"/>
        <v>0</v>
      </c>
      <c r="AH21" s="752">
        <f t="shared" si="31"/>
        <v>0</v>
      </c>
      <c r="AI21" s="755">
        <f t="shared" si="31"/>
        <v>0</v>
      </c>
      <c r="AJ21" s="755">
        <f t="shared" si="31"/>
        <v>0</v>
      </c>
      <c r="AK21" s="755">
        <f t="shared" si="31"/>
        <v>0</v>
      </c>
      <c r="AL21" s="755">
        <f t="shared" si="31"/>
        <v>0</v>
      </c>
      <c r="AM21" s="755">
        <f t="shared" si="31"/>
        <v>0</v>
      </c>
      <c r="AN21" s="755">
        <f t="shared" si="31"/>
        <v>0</v>
      </c>
      <c r="AO21" s="759">
        <f t="shared" si="31"/>
        <v>0</v>
      </c>
      <c r="AQ21" s="40">
        <v>0</v>
      </c>
      <c r="AR21" s="51" t="e">
        <f t="shared" ref="AR21" si="32">AQ21/D21</f>
        <v>#DIV/0!</v>
      </c>
      <c r="AT21" s="40">
        <f t="shared" ref="AT21" si="33">SUM(K21:AO21)</f>
        <v>0</v>
      </c>
      <c r="AU21" s="51" t="e">
        <f t="shared" ref="AU21" si="34">AT21/D21</f>
        <v>#DIV/0!</v>
      </c>
      <c r="AV21" s="62"/>
      <c r="AX21" s="61"/>
      <c r="AY21" s="62"/>
      <c r="AZ21" s="62"/>
    </row>
    <row r="22" spans="2:52" s="737" customFormat="1" x14ac:dyDescent="0.2">
      <c r="B22" s="3"/>
      <c r="C22" s="3" t="s">
        <v>17</v>
      </c>
      <c r="D22" s="5">
        <f t="shared" ref="D22:I22" si="35">SUM(D8:D21)</f>
        <v>1006.764</v>
      </c>
      <c r="E22" s="5">
        <f t="shared" si="35"/>
        <v>100.67639999999999</v>
      </c>
      <c r="F22" s="5">
        <f t="shared" si="35"/>
        <v>67.117599999999996</v>
      </c>
      <c r="G22" s="5">
        <f t="shared" si="35"/>
        <v>50.338199999999993</v>
      </c>
      <c r="H22" s="5">
        <f t="shared" si="35"/>
        <v>40.270560000000003</v>
      </c>
      <c r="I22" s="5">
        <f t="shared" si="35"/>
        <v>32.476258064516138</v>
      </c>
      <c r="J22" s="194">
        <f>D22/D35</f>
        <v>0.38370981536449161</v>
      </c>
      <c r="K22" s="736">
        <f t="shared" ref="K22:AO22" si="36">SUM(K8:K21)</f>
        <v>32.476258064516138</v>
      </c>
      <c r="L22" s="736">
        <f t="shared" si="36"/>
        <v>32.476258064516138</v>
      </c>
      <c r="M22" s="736">
        <f t="shared" si="36"/>
        <v>32.476258064516138</v>
      </c>
      <c r="N22" s="736">
        <f t="shared" si="36"/>
        <v>32.476258064516138</v>
      </c>
      <c r="O22" s="736">
        <f t="shared" si="36"/>
        <v>32.476258064516138</v>
      </c>
      <c r="P22" s="736">
        <f t="shared" si="36"/>
        <v>32.476258064516138</v>
      </c>
      <c r="Q22" s="736">
        <f t="shared" si="36"/>
        <v>32.476258064516138</v>
      </c>
      <c r="R22" s="736">
        <f t="shared" si="36"/>
        <v>32.476258064516138</v>
      </c>
      <c r="S22" s="736">
        <f t="shared" si="36"/>
        <v>32.476258064516138</v>
      </c>
      <c r="T22" s="736">
        <f t="shared" si="36"/>
        <v>32.476258064516138</v>
      </c>
      <c r="U22" s="736">
        <f t="shared" si="36"/>
        <v>32.476258064516138</v>
      </c>
      <c r="V22" s="736">
        <f t="shared" si="36"/>
        <v>32.476258064516138</v>
      </c>
      <c r="W22" s="736">
        <f t="shared" si="36"/>
        <v>32.476258064516138</v>
      </c>
      <c r="X22" s="736">
        <f t="shared" si="36"/>
        <v>32.476258064516138</v>
      </c>
      <c r="Y22" s="736">
        <f t="shared" si="36"/>
        <v>32.476258064516138</v>
      </c>
      <c r="Z22" s="736">
        <f t="shared" si="36"/>
        <v>32.476258064516138</v>
      </c>
      <c r="AA22" s="736">
        <f t="shared" si="36"/>
        <v>32.476258064516138</v>
      </c>
      <c r="AB22" s="736">
        <f t="shared" si="36"/>
        <v>32.476258064516138</v>
      </c>
      <c r="AC22" s="736">
        <f t="shared" si="36"/>
        <v>32.476258064516138</v>
      </c>
      <c r="AD22" s="736">
        <f t="shared" si="36"/>
        <v>32.476258064516138</v>
      </c>
      <c r="AE22" s="736">
        <f t="shared" si="36"/>
        <v>32.476258064516138</v>
      </c>
      <c r="AF22" s="736">
        <f t="shared" si="36"/>
        <v>32.476258064516138</v>
      </c>
      <c r="AG22" s="736">
        <f t="shared" si="36"/>
        <v>32.476258064516138</v>
      </c>
      <c r="AH22" s="736">
        <f t="shared" si="36"/>
        <v>32.476258064516138</v>
      </c>
      <c r="AI22" s="736">
        <f t="shared" si="36"/>
        <v>32.476258064516138</v>
      </c>
      <c r="AJ22" s="736">
        <f t="shared" si="36"/>
        <v>32.476258064516138</v>
      </c>
      <c r="AK22" s="736">
        <f t="shared" si="36"/>
        <v>32.476258064516138</v>
      </c>
      <c r="AL22" s="736">
        <f t="shared" si="36"/>
        <v>32.476258064516138</v>
      </c>
      <c r="AM22" s="736">
        <f t="shared" si="36"/>
        <v>32.476258064516138</v>
      </c>
      <c r="AN22" s="736">
        <f t="shared" si="36"/>
        <v>32.476258064516138</v>
      </c>
      <c r="AO22" s="736">
        <f t="shared" si="36"/>
        <v>32.476258064516138</v>
      </c>
      <c r="AQ22" s="5">
        <f>SUM(AQ8:AQ21)</f>
        <v>1006.764</v>
      </c>
      <c r="AR22" s="9">
        <f>AQ22/$D$22</f>
        <v>1</v>
      </c>
      <c r="AT22" s="5">
        <f>SUM(AT8:AT21)</f>
        <v>1006.7639999999996</v>
      </c>
      <c r="AU22" s="9">
        <f>AT22/$D$22</f>
        <v>0.99999999999999956</v>
      </c>
      <c r="AV22" s="29"/>
      <c r="AX22" s="14"/>
      <c r="AY22" s="29"/>
      <c r="AZ22" s="29"/>
    </row>
    <row r="23" spans="2:52" s="81" customFormat="1" ht="4.5" customHeight="1" x14ac:dyDescent="0.2">
      <c r="D23" s="61"/>
      <c r="E23" s="61"/>
      <c r="F23" s="61"/>
      <c r="G23" s="61"/>
      <c r="H23" s="61"/>
      <c r="I23" s="61"/>
      <c r="J23" s="410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Q23" s="61"/>
      <c r="AR23" s="93"/>
      <c r="AT23" s="61"/>
      <c r="AU23" s="411"/>
      <c r="AV23" s="411"/>
      <c r="AX23" s="61"/>
      <c r="AY23" s="62"/>
      <c r="AZ23" s="62"/>
    </row>
    <row r="24" spans="2:52" s="255" customFormat="1" x14ac:dyDescent="0.2">
      <c r="B24" s="43"/>
      <c r="C24" s="43" t="s">
        <v>77</v>
      </c>
      <c r="D24" s="40"/>
      <c r="E24" s="40"/>
      <c r="F24" s="40"/>
      <c r="G24" s="40"/>
      <c r="H24" s="40"/>
      <c r="I24" s="40"/>
      <c r="J24" s="206"/>
      <c r="K24" s="735">
        <f t="shared" ref="K24:AO24" si="37">K4-K22</f>
        <v>1.0187419354838596</v>
      </c>
      <c r="L24" s="40">
        <f t="shared" si="37"/>
        <v>-4.5612580645161387</v>
      </c>
      <c r="M24" s="40">
        <f t="shared" si="37"/>
        <v>-0.12125806451614096</v>
      </c>
      <c r="N24" s="40">
        <f t="shared" si="37"/>
        <v>-12.361258064516139</v>
      </c>
      <c r="O24" s="40">
        <f t="shared" si="37"/>
        <v>0.9287419354838562</v>
      </c>
      <c r="P24" s="40">
        <f t="shared" si="37"/>
        <v>12.418741935483865</v>
      </c>
      <c r="Q24" s="40">
        <f t="shared" si="37"/>
        <v>-11.53625806451614</v>
      </c>
      <c r="R24" s="40">
        <f t="shared" si="37"/>
        <v>-2.5512580645161407</v>
      </c>
      <c r="S24" s="40">
        <f t="shared" si="37"/>
        <v>11.623741935483864</v>
      </c>
      <c r="T24" s="40">
        <f t="shared" si="37"/>
        <v>-10.816258064516138</v>
      </c>
      <c r="U24" s="40">
        <f t="shared" si="37"/>
        <v>5.0987419354838579</v>
      </c>
      <c r="V24" s="40">
        <f t="shared" si="37"/>
        <v>15.763741935483864</v>
      </c>
      <c r="W24" s="40">
        <f t="shared" si="37"/>
        <v>-11.686258064516139</v>
      </c>
      <c r="X24" s="40">
        <f t="shared" si="37"/>
        <v>4.6037419354838605</v>
      </c>
      <c r="Y24" s="40">
        <f t="shared" si="37"/>
        <v>10.003741935483859</v>
      </c>
      <c r="Z24" s="40">
        <f t="shared" si="37"/>
        <v>-20.176258064516141</v>
      </c>
      <c r="AA24" s="40">
        <f t="shared" si="37"/>
        <v>-9.37625806451614</v>
      </c>
      <c r="AB24" s="40">
        <f t="shared" si="37"/>
        <v>-9.511258064516138</v>
      </c>
      <c r="AC24" s="40">
        <f t="shared" si="37"/>
        <v>0.9737419354838579</v>
      </c>
      <c r="AD24" s="40">
        <f t="shared" si="37"/>
        <v>6.7487419354838636</v>
      </c>
      <c r="AE24" s="40">
        <f t="shared" si="37"/>
        <v>-2.8062580645161361</v>
      </c>
      <c r="AF24" s="40">
        <f t="shared" si="37"/>
        <v>6.1937419354838639</v>
      </c>
      <c r="AG24" s="40">
        <f t="shared" si="37"/>
        <v>-1.9512580645161393</v>
      </c>
      <c r="AH24" s="40">
        <f t="shared" si="37"/>
        <v>-0.51125806451614153</v>
      </c>
      <c r="AI24" s="40">
        <f t="shared" si="37"/>
        <v>-16.276258064516139</v>
      </c>
      <c r="AJ24" s="40">
        <f t="shared" si="37"/>
        <v>12.298741935483861</v>
      </c>
      <c r="AK24" s="40">
        <f t="shared" si="37"/>
        <v>3.8237419354838593</v>
      </c>
      <c r="AL24" s="40">
        <f t="shared" si="37"/>
        <v>-14.401258064516139</v>
      </c>
      <c r="AM24" s="40">
        <f t="shared" si="37"/>
        <v>-1.3362580645161408</v>
      </c>
      <c r="AN24" s="40">
        <f t="shared" si="37"/>
        <v>-2.3262580645161393</v>
      </c>
      <c r="AO24" s="40">
        <f t="shared" si="37"/>
        <v>4.1237419354838636</v>
      </c>
      <c r="AQ24" s="40">
        <f>SUM(K24:AO24)</f>
        <v>-36.68400000000031</v>
      </c>
      <c r="AR24" s="74"/>
      <c r="AT24" s="40"/>
      <c r="AU24" s="70"/>
      <c r="AV24" s="411"/>
      <c r="AX24" s="61"/>
      <c r="AY24" s="62"/>
      <c r="AZ24" s="62"/>
    </row>
    <row r="25" spans="2:52" s="740" customFormat="1" ht="15" customHeight="1" thickBot="1" x14ac:dyDescent="0.25">
      <c r="C25" s="740" t="s">
        <v>93</v>
      </c>
      <c r="D25" s="14"/>
      <c r="E25" s="14"/>
      <c r="F25" s="14"/>
      <c r="G25" s="14"/>
      <c r="H25" s="14"/>
      <c r="I25" s="14"/>
      <c r="J25" s="200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Q25" s="14"/>
      <c r="AR25" s="336"/>
      <c r="AT25" s="4504" t="s">
        <v>99</v>
      </c>
      <c r="AU25" s="4504"/>
      <c r="AV25" s="14"/>
      <c r="AX25" s="14"/>
      <c r="AY25" s="29"/>
      <c r="AZ25" s="29"/>
    </row>
    <row r="26" spans="2:52" s="255" customFormat="1" x14ac:dyDescent="0.2">
      <c r="B26" s="718">
        <v>15</v>
      </c>
      <c r="C26" s="719" t="s">
        <v>125</v>
      </c>
      <c r="D26" s="720">
        <v>470</v>
      </c>
      <c r="E26" s="720">
        <f t="shared" ref="E26" si="38">D26/10</f>
        <v>47</v>
      </c>
      <c r="F26" s="720">
        <f t="shared" ref="F26" si="39">D26/15</f>
        <v>31.333333333333332</v>
      </c>
      <c r="G26" s="720">
        <f t="shared" ref="G26" si="40">D26/20</f>
        <v>23.5</v>
      </c>
      <c r="H26" s="720">
        <f t="shared" ref="H26" si="41">D26/25</f>
        <v>18.8</v>
      </c>
      <c r="I26" s="721">
        <f t="shared" ref="I26" si="42">D26/31</f>
        <v>15.161290322580646</v>
      </c>
      <c r="J26" s="722">
        <f>D26/$D$33</f>
        <v>0.29066171923314782</v>
      </c>
      <c r="K26" s="723">
        <f>$K$24*J26</f>
        <v>0.29610928242264317</v>
      </c>
      <c r="L26" s="723">
        <v>0</v>
      </c>
      <c r="M26" s="723">
        <v>0</v>
      </c>
      <c r="N26" s="723">
        <v>0</v>
      </c>
      <c r="O26" s="723">
        <f>$O$24*J26</f>
        <v>0.26994972769165887</v>
      </c>
      <c r="P26" s="723">
        <f>$P$24*J26</f>
        <v>3.60965288168053</v>
      </c>
      <c r="Q26" s="723">
        <v>0</v>
      </c>
      <c r="R26" s="723">
        <v>0</v>
      </c>
      <c r="S26" s="723">
        <f>$S$24*J26</f>
        <v>3.3785768148901769</v>
      </c>
      <c r="T26" s="723">
        <v>0</v>
      </c>
      <c r="U26" s="723">
        <f>$U$24*J26</f>
        <v>1.4820090968938857</v>
      </c>
      <c r="V26" s="723">
        <f>$V$24*J26</f>
        <v>4.5819163325154095</v>
      </c>
      <c r="W26" s="723">
        <v>0</v>
      </c>
      <c r="X26" s="723">
        <f>$X$24*J26</f>
        <v>1.3381315458734784</v>
      </c>
      <c r="Y26" s="723">
        <f>$Y$24*J26</f>
        <v>2.9077048297324763</v>
      </c>
      <c r="Z26" s="723">
        <v>0</v>
      </c>
      <c r="AA26" s="723">
        <v>0</v>
      </c>
      <c r="AB26" s="723">
        <v>0</v>
      </c>
      <c r="AC26" s="723">
        <f>$AC$24*J26</f>
        <v>0.28302950505715102</v>
      </c>
      <c r="AD26" s="723">
        <f>$AD$24*J26</f>
        <v>1.9616009336285813</v>
      </c>
      <c r="AE26" s="723">
        <v>0</v>
      </c>
      <c r="AF26" s="720">
        <f>$AF$24*J26</f>
        <v>1.8002836794541843</v>
      </c>
      <c r="AG26" s="720">
        <v>0</v>
      </c>
      <c r="AH26" s="720">
        <v>0</v>
      </c>
      <c r="AI26" s="720">
        <v>0</v>
      </c>
      <c r="AJ26" s="720">
        <f>$AJ$24*J26</f>
        <v>3.5747734753725511</v>
      </c>
      <c r="AK26" s="720">
        <f>$AK$24*J26</f>
        <v>1.1114154048716227</v>
      </c>
      <c r="AL26" s="720">
        <v>0</v>
      </c>
      <c r="AM26" s="720">
        <v>0</v>
      </c>
      <c r="AN26" s="720">
        <v>0</v>
      </c>
      <c r="AO26" s="724">
        <f>$AO$24*J26</f>
        <v>1.1986139206415682</v>
      </c>
      <c r="AQ26" s="725"/>
      <c r="AR26" s="726"/>
      <c r="AT26" s="725">
        <f t="shared" ref="AT26:AT32" si="43">SUM(K26:AO26)</f>
        <v>27.793767430725921</v>
      </c>
      <c r="AU26" s="727">
        <f>AT26/D26</f>
        <v>5.9135675384523238E-2</v>
      </c>
      <c r="AV26" s="480"/>
      <c r="AX26" s="4505">
        <f>AU33-AT1</f>
        <v>-0.94086432461547675</v>
      </c>
      <c r="AY26" s="62"/>
      <c r="AZ26" s="62"/>
    </row>
    <row r="27" spans="2:52" s="737" customFormat="1" ht="15.75" thickBot="1" x14ac:dyDescent="0.25">
      <c r="B27" s="464">
        <v>16</v>
      </c>
      <c r="C27" s="446" t="s">
        <v>121</v>
      </c>
      <c r="D27" s="424">
        <v>400</v>
      </c>
      <c r="E27" s="424">
        <f>D27/10</f>
        <v>40</v>
      </c>
      <c r="F27" s="424">
        <f>D27/15</f>
        <v>26.666666666666668</v>
      </c>
      <c r="G27" s="424">
        <f>D27/20</f>
        <v>20</v>
      </c>
      <c r="H27" s="424">
        <f>D27/25</f>
        <v>16</v>
      </c>
      <c r="I27" s="424">
        <f>D27/31</f>
        <v>12.903225806451612</v>
      </c>
      <c r="J27" s="449">
        <f>D27/$D$33</f>
        <v>0.24737167594310452</v>
      </c>
      <c r="K27" s="453">
        <f t="shared" ref="K27:K32" si="44">$K$24*J27</f>
        <v>0.25200789993416439</v>
      </c>
      <c r="L27" s="453">
        <v>0</v>
      </c>
      <c r="M27" s="453">
        <v>0</v>
      </c>
      <c r="N27" s="453">
        <v>0</v>
      </c>
      <c r="O27" s="453">
        <f t="shared" ref="O27:O32" si="45">$O$24*J27</f>
        <v>0.22974444909928415</v>
      </c>
      <c r="P27" s="453">
        <f t="shared" ref="P27:P32" si="46">$P$24*J27</f>
        <v>3.0720450056855575</v>
      </c>
      <c r="Q27" s="453">
        <v>0</v>
      </c>
      <c r="R27" s="453">
        <v>0</v>
      </c>
      <c r="S27" s="453">
        <f t="shared" ref="S27:S32" si="47">$S$24*J27</f>
        <v>2.8753845233107889</v>
      </c>
      <c r="T27" s="453">
        <v>0</v>
      </c>
      <c r="U27" s="453">
        <f t="shared" ref="U27:U32" si="48">$U$24*J27</f>
        <v>1.2612843377820304</v>
      </c>
      <c r="V27" s="453">
        <f t="shared" ref="V27:V32" si="49">$V$24*J27</f>
        <v>3.8995032617152416</v>
      </c>
      <c r="W27" s="453">
        <v>0</v>
      </c>
      <c r="X27" s="453">
        <f t="shared" ref="X27:X32" si="50">$X$24*J27</f>
        <v>1.1388353581901944</v>
      </c>
      <c r="Y27" s="453">
        <f t="shared" ref="Y27:Y32" si="51">$Y$24*J27</f>
        <v>2.4746424082829583</v>
      </c>
      <c r="Z27" s="453">
        <v>0</v>
      </c>
      <c r="AA27" s="453">
        <v>0</v>
      </c>
      <c r="AB27" s="453">
        <v>0</v>
      </c>
      <c r="AC27" s="453">
        <f t="shared" ref="AC27:AC32" si="52">$AC$24*J27</f>
        <v>0.2408761745167243</v>
      </c>
      <c r="AD27" s="453">
        <f t="shared" ref="AD27:AD32" si="53">$AD$24*J27</f>
        <v>1.6694476030881544</v>
      </c>
      <c r="AE27" s="453">
        <v>0</v>
      </c>
      <c r="AF27" s="424">
        <f t="shared" ref="AF27:AF32" si="54">$AF$24*J27</f>
        <v>1.5321563229397315</v>
      </c>
      <c r="AG27" s="424">
        <v>0</v>
      </c>
      <c r="AH27" s="424">
        <v>0</v>
      </c>
      <c r="AI27" s="424">
        <v>0</v>
      </c>
      <c r="AJ27" s="424">
        <f t="shared" ref="AJ27:AJ32" si="55">$AJ$24*J27</f>
        <v>3.0423604045723835</v>
      </c>
      <c r="AK27" s="424">
        <f t="shared" ref="AK27:AK32" si="56">$AK$24*J27</f>
        <v>0.94588545095457255</v>
      </c>
      <c r="AL27" s="424">
        <v>0</v>
      </c>
      <c r="AM27" s="424">
        <v>0</v>
      </c>
      <c r="AN27" s="424">
        <v>0</v>
      </c>
      <c r="AO27" s="465">
        <f t="shared" ref="AO27:AO32" si="57">$AO$24*J27</f>
        <v>1.0200969537375049</v>
      </c>
      <c r="AQ27" s="459"/>
      <c r="AR27" s="461"/>
      <c r="AT27" s="459">
        <f t="shared" si="43"/>
        <v>23.654270153809293</v>
      </c>
      <c r="AU27" s="486">
        <f t="shared" ref="AU27:AU32" si="58">AT27/D27</f>
        <v>5.9135675384523231E-2</v>
      </c>
      <c r="AV27" s="482"/>
      <c r="AX27" s="4506"/>
      <c r="AY27" s="29"/>
      <c r="AZ27" s="29"/>
    </row>
    <row r="28" spans="2:52" s="255" customFormat="1" x14ac:dyDescent="0.2">
      <c r="B28" s="462">
        <v>17</v>
      </c>
      <c r="C28" s="450" t="s">
        <v>120</v>
      </c>
      <c r="D28" s="451">
        <v>250</v>
      </c>
      <c r="E28" s="451">
        <f t="shared" ref="E28:E31" si="59">D28/10</f>
        <v>25</v>
      </c>
      <c r="F28" s="451">
        <f t="shared" ref="F28:F30" si="60">D28/15</f>
        <v>16.666666666666668</v>
      </c>
      <c r="G28" s="451">
        <f t="shared" ref="G28:G30" si="61">D28/20</f>
        <v>12.5</v>
      </c>
      <c r="H28" s="451">
        <f t="shared" ref="H28:H30" si="62">D28/25</f>
        <v>10</v>
      </c>
      <c r="I28" s="451">
        <f t="shared" ref="I28:I30" si="63">D28/31</f>
        <v>8.064516129032258</v>
      </c>
      <c r="J28" s="448">
        <f t="shared" ref="J28:J30" si="64">D28/$D$33</f>
        <v>0.15460729746444032</v>
      </c>
      <c r="K28" s="445">
        <f t="shared" si="44"/>
        <v>0.15750493745885275</v>
      </c>
      <c r="L28" s="445">
        <v>0</v>
      </c>
      <c r="M28" s="445">
        <v>0</v>
      </c>
      <c r="N28" s="445">
        <v>0</v>
      </c>
      <c r="O28" s="445">
        <f t="shared" si="45"/>
        <v>0.1435902806870526</v>
      </c>
      <c r="P28" s="451">
        <f t="shared" si="46"/>
        <v>1.9200281285534733</v>
      </c>
      <c r="Q28" s="451">
        <v>0</v>
      </c>
      <c r="R28" s="451">
        <v>0</v>
      </c>
      <c r="S28" s="451">
        <f t="shared" si="47"/>
        <v>1.797115327069243</v>
      </c>
      <c r="T28" s="451">
        <v>0</v>
      </c>
      <c r="U28" s="451">
        <f t="shared" si="48"/>
        <v>0.78830271111376904</v>
      </c>
      <c r="V28" s="451">
        <f t="shared" si="49"/>
        <v>2.4371895385720261</v>
      </c>
      <c r="W28" s="451">
        <v>0</v>
      </c>
      <c r="X28" s="451">
        <f t="shared" si="50"/>
        <v>0.71177209886887149</v>
      </c>
      <c r="Y28" s="451">
        <f t="shared" si="51"/>
        <v>1.546651505176849</v>
      </c>
      <c r="Z28" s="451">
        <v>0</v>
      </c>
      <c r="AA28" s="451">
        <v>0</v>
      </c>
      <c r="AB28" s="451">
        <v>0</v>
      </c>
      <c r="AC28" s="451">
        <f t="shared" si="52"/>
        <v>0.15054760907295267</v>
      </c>
      <c r="AD28" s="451">
        <f t="shared" si="53"/>
        <v>1.0434047519300964</v>
      </c>
      <c r="AE28" s="451">
        <v>0</v>
      </c>
      <c r="AF28" s="451">
        <f t="shared" si="54"/>
        <v>0.95759770183733206</v>
      </c>
      <c r="AG28" s="451">
        <v>0</v>
      </c>
      <c r="AH28" s="451">
        <v>0</v>
      </c>
      <c r="AI28" s="451">
        <v>0</v>
      </c>
      <c r="AJ28" s="451">
        <f t="shared" si="55"/>
        <v>1.9014752528577399</v>
      </c>
      <c r="AK28" s="451">
        <f t="shared" si="56"/>
        <v>0.59117840684660783</v>
      </c>
      <c r="AL28" s="451">
        <v>0</v>
      </c>
      <c r="AM28" s="451">
        <v>0</v>
      </c>
      <c r="AN28" s="451">
        <v>0</v>
      </c>
      <c r="AO28" s="463">
        <f t="shared" si="57"/>
        <v>0.63756059608594062</v>
      </c>
      <c r="AQ28" s="732"/>
      <c r="AR28" s="733"/>
      <c r="AT28" s="732">
        <f t="shared" ref="AT28:AT30" si="65">SUM(K28:AO28)</f>
        <v>14.783918846130804</v>
      </c>
      <c r="AU28" s="734">
        <f t="shared" ref="AU28:AU30" si="66">AT28/D28</f>
        <v>5.9135675384523217E-2</v>
      </c>
      <c r="AV28" s="480"/>
      <c r="AX28" s="62"/>
      <c r="AY28" s="62"/>
      <c r="AZ28" s="62"/>
    </row>
    <row r="29" spans="2:52" s="737" customFormat="1" x14ac:dyDescent="0.2">
      <c r="B29" s="464">
        <v>18</v>
      </c>
      <c r="C29" s="446" t="s">
        <v>126</v>
      </c>
      <c r="D29" s="424">
        <v>222</v>
      </c>
      <c r="E29" s="424">
        <f t="shared" si="59"/>
        <v>22.2</v>
      </c>
      <c r="F29" s="424">
        <f t="shared" si="60"/>
        <v>14.8</v>
      </c>
      <c r="G29" s="424">
        <f t="shared" si="61"/>
        <v>11.1</v>
      </c>
      <c r="H29" s="424">
        <f t="shared" si="62"/>
        <v>8.8800000000000008</v>
      </c>
      <c r="I29" s="424">
        <f t="shared" si="63"/>
        <v>7.161290322580645</v>
      </c>
      <c r="J29" s="449">
        <f t="shared" si="64"/>
        <v>0.13729128014842301</v>
      </c>
      <c r="K29" s="453">
        <f t="shared" si="44"/>
        <v>0.13986438446346125</v>
      </c>
      <c r="L29" s="453">
        <v>0</v>
      </c>
      <c r="M29" s="453">
        <v>0</v>
      </c>
      <c r="N29" s="453">
        <v>0</v>
      </c>
      <c r="O29" s="453">
        <f t="shared" si="45"/>
        <v>0.12750816925010272</v>
      </c>
      <c r="P29" s="424">
        <f t="shared" si="46"/>
        <v>1.7049849781554844</v>
      </c>
      <c r="Q29" s="424">
        <v>0</v>
      </c>
      <c r="R29" s="424">
        <v>0</v>
      </c>
      <c r="S29" s="424">
        <f t="shared" si="47"/>
        <v>1.5958384104374879</v>
      </c>
      <c r="T29" s="424">
        <v>0</v>
      </c>
      <c r="U29" s="424">
        <f t="shared" si="48"/>
        <v>0.70001280746902694</v>
      </c>
      <c r="V29" s="424">
        <f t="shared" si="49"/>
        <v>2.1642243102519592</v>
      </c>
      <c r="W29" s="424">
        <v>0</v>
      </c>
      <c r="X29" s="424">
        <f t="shared" si="50"/>
        <v>0.63205362379555785</v>
      </c>
      <c r="Y29" s="424">
        <f t="shared" si="51"/>
        <v>1.3734265365970419</v>
      </c>
      <c r="Z29" s="424">
        <v>0</v>
      </c>
      <c r="AA29" s="424">
        <v>0</v>
      </c>
      <c r="AB29" s="424">
        <v>0</v>
      </c>
      <c r="AC29" s="424">
        <f t="shared" si="52"/>
        <v>0.13368627685678197</v>
      </c>
      <c r="AD29" s="424">
        <f t="shared" si="53"/>
        <v>0.92654341971392562</v>
      </c>
      <c r="AE29" s="424">
        <v>0</v>
      </c>
      <c r="AF29" s="424">
        <f t="shared" si="54"/>
        <v>0.8503467592315509</v>
      </c>
      <c r="AG29" s="424">
        <v>0</v>
      </c>
      <c r="AH29" s="424">
        <v>0</v>
      </c>
      <c r="AI29" s="424">
        <v>0</v>
      </c>
      <c r="AJ29" s="424">
        <f t="shared" si="55"/>
        <v>1.688510024537673</v>
      </c>
      <c r="AK29" s="424">
        <f t="shared" si="56"/>
        <v>0.52496642527978776</v>
      </c>
      <c r="AL29" s="424">
        <v>0</v>
      </c>
      <c r="AM29" s="424">
        <v>0</v>
      </c>
      <c r="AN29" s="424">
        <v>0</v>
      </c>
      <c r="AO29" s="465">
        <f t="shared" si="57"/>
        <v>0.56615380932431525</v>
      </c>
      <c r="AQ29" s="729"/>
      <c r="AR29" s="730"/>
      <c r="AT29" s="729">
        <f t="shared" si="65"/>
        <v>13.128119935364158</v>
      </c>
      <c r="AU29" s="731">
        <f t="shared" si="66"/>
        <v>5.9135675384523231E-2</v>
      </c>
      <c r="AV29" s="482"/>
      <c r="AX29" s="29"/>
      <c r="AY29" s="29"/>
      <c r="AZ29" s="29"/>
    </row>
    <row r="30" spans="2:52" s="255" customFormat="1" x14ac:dyDescent="0.2">
      <c r="B30" s="462">
        <v>19</v>
      </c>
      <c r="C30" s="450" t="s">
        <v>4</v>
      </c>
      <c r="D30" s="451">
        <v>150</v>
      </c>
      <c r="E30" s="451">
        <f t="shared" si="59"/>
        <v>15</v>
      </c>
      <c r="F30" s="451">
        <f t="shared" si="60"/>
        <v>10</v>
      </c>
      <c r="G30" s="451">
        <f t="shared" si="61"/>
        <v>7.5</v>
      </c>
      <c r="H30" s="451">
        <f t="shared" si="62"/>
        <v>6</v>
      </c>
      <c r="I30" s="451">
        <f t="shared" si="63"/>
        <v>4.838709677419355</v>
      </c>
      <c r="J30" s="448">
        <f t="shared" si="64"/>
        <v>9.2764378478664186E-2</v>
      </c>
      <c r="K30" s="445">
        <f t="shared" si="44"/>
        <v>9.4502962475311647E-2</v>
      </c>
      <c r="L30" s="445">
        <v>0</v>
      </c>
      <c r="M30" s="445">
        <v>0</v>
      </c>
      <c r="N30" s="445">
        <v>0</v>
      </c>
      <c r="O30" s="445">
        <f t="shared" si="45"/>
        <v>8.6154168412231558E-2</v>
      </c>
      <c r="P30" s="451">
        <f t="shared" si="46"/>
        <v>1.152016877132084</v>
      </c>
      <c r="Q30" s="451">
        <v>0</v>
      </c>
      <c r="R30" s="451">
        <v>0</v>
      </c>
      <c r="S30" s="451">
        <f t="shared" si="47"/>
        <v>1.0782691962415456</v>
      </c>
      <c r="T30" s="451">
        <v>0</v>
      </c>
      <c r="U30" s="451">
        <f t="shared" si="48"/>
        <v>0.47298162666826138</v>
      </c>
      <c r="V30" s="451">
        <f t="shared" si="49"/>
        <v>1.4623137231432155</v>
      </c>
      <c r="W30" s="451">
        <v>0</v>
      </c>
      <c r="X30" s="451">
        <f t="shared" si="50"/>
        <v>0.42706325932132283</v>
      </c>
      <c r="Y30" s="451">
        <f t="shared" si="51"/>
        <v>0.92799090310610932</v>
      </c>
      <c r="Z30" s="451">
        <v>0</v>
      </c>
      <c r="AA30" s="451">
        <v>0</v>
      </c>
      <c r="AB30" s="451">
        <v>0</v>
      </c>
      <c r="AC30" s="451">
        <f t="shared" si="52"/>
        <v>9.0328565443771602E-2</v>
      </c>
      <c r="AD30" s="451">
        <f t="shared" si="53"/>
        <v>0.6260428511580578</v>
      </c>
      <c r="AE30" s="451">
        <v>0</v>
      </c>
      <c r="AF30" s="451">
        <f t="shared" si="54"/>
        <v>0.57455862110239919</v>
      </c>
      <c r="AG30" s="451">
        <v>0</v>
      </c>
      <c r="AH30" s="451">
        <v>0</v>
      </c>
      <c r="AI30" s="451">
        <v>0</v>
      </c>
      <c r="AJ30" s="451">
        <f t="shared" si="55"/>
        <v>1.1408851517146437</v>
      </c>
      <c r="AK30" s="451">
        <f t="shared" si="56"/>
        <v>0.35470704410796466</v>
      </c>
      <c r="AL30" s="451">
        <v>0</v>
      </c>
      <c r="AM30" s="451">
        <v>0</v>
      </c>
      <c r="AN30" s="451">
        <v>0</v>
      </c>
      <c r="AO30" s="463">
        <f t="shared" si="57"/>
        <v>0.3825363576515643</v>
      </c>
      <c r="AQ30" s="732"/>
      <c r="AR30" s="733"/>
      <c r="AT30" s="732">
        <f t="shared" si="65"/>
        <v>8.870351307678483</v>
      </c>
      <c r="AU30" s="734">
        <f t="shared" si="66"/>
        <v>5.9135675384523217E-2</v>
      </c>
      <c r="AV30" s="480"/>
      <c r="AX30" s="62"/>
      <c r="AY30" s="62"/>
      <c r="AZ30" s="62"/>
    </row>
    <row r="31" spans="2:52" s="737" customFormat="1" x14ac:dyDescent="0.2">
      <c r="B31" s="464">
        <v>20</v>
      </c>
      <c r="C31" s="446" t="s">
        <v>122</v>
      </c>
      <c r="D31" s="424">
        <v>100</v>
      </c>
      <c r="E31" s="424">
        <f t="shared" si="59"/>
        <v>10</v>
      </c>
      <c r="F31" s="424">
        <f t="shared" ref="F31" si="67">D31/15</f>
        <v>6.666666666666667</v>
      </c>
      <c r="G31" s="424">
        <f t="shared" ref="G31" si="68">D31/20</f>
        <v>5</v>
      </c>
      <c r="H31" s="424">
        <f t="shared" ref="H31" si="69">D31/25</f>
        <v>4</v>
      </c>
      <c r="I31" s="424">
        <f t="shared" ref="I31" si="70">D31/31</f>
        <v>3.225806451612903</v>
      </c>
      <c r="J31" s="449">
        <f t="shared" ref="J31" si="71">D31/$D$33</f>
        <v>6.1842918985776131E-2</v>
      </c>
      <c r="K31" s="453">
        <f t="shared" si="44"/>
        <v>6.3001974983541098E-2</v>
      </c>
      <c r="L31" s="453">
        <v>0</v>
      </c>
      <c r="M31" s="453">
        <v>0</v>
      </c>
      <c r="N31" s="453">
        <v>0</v>
      </c>
      <c r="O31" s="453">
        <f t="shared" si="45"/>
        <v>5.7436112274821038E-2</v>
      </c>
      <c r="P31" s="453">
        <f t="shared" si="46"/>
        <v>0.76801125142138937</v>
      </c>
      <c r="Q31" s="453">
        <v>0</v>
      </c>
      <c r="R31" s="453">
        <v>0</v>
      </c>
      <c r="S31" s="453">
        <f t="shared" si="47"/>
        <v>0.71884613082769722</v>
      </c>
      <c r="T31" s="453">
        <v>0</v>
      </c>
      <c r="U31" s="453">
        <f t="shared" si="48"/>
        <v>0.3153210844455076</v>
      </c>
      <c r="V31" s="453">
        <f t="shared" si="49"/>
        <v>0.97487581542881041</v>
      </c>
      <c r="W31" s="453">
        <v>0</v>
      </c>
      <c r="X31" s="453">
        <f t="shared" si="50"/>
        <v>0.28470883954754861</v>
      </c>
      <c r="Y31" s="453">
        <f t="shared" si="51"/>
        <v>0.61866060207073958</v>
      </c>
      <c r="Z31" s="453">
        <v>0</v>
      </c>
      <c r="AA31" s="453">
        <v>0</v>
      </c>
      <c r="AB31" s="424">
        <v>0</v>
      </c>
      <c r="AC31" s="424">
        <f t="shared" si="52"/>
        <v>6.0219043629181075E-2</v>
      </c>
      <c r="AD31" s="424">
        <f t="shared" si="53"/>
        <v>0.41736190077203861</v>
      </c>
      <c r="AE31" s="424">
        <v>0</v>
      </c>
      <c r="AF31" s="424">
        <f t="shared" si="54"/>
        <v>0.38303908073493287</v>
      </c>
      <c r="AG31" s="424">
        <v>0</v>
      </c>
      <c r="AH31" s="424">
        <v>0</v>
      </c>
      <c r="AI31" s="424">
        <v>0</v>
      </c>
      <c r="AJ31" s="424">
        <f t="shared" si="55"/>
        <v>0.76059010114309589</v>
      </c>
      <c r="AK31" s="424">
        <f t="shared" si="56"/>
        <v>0.23647136273864314</v>
      </c>
      <c r="AL31" s="424">
        <v>0</v>
      </c>
      <c r="AM31" s="424">
        <v>0</v>
      </c>
      <c r="AN31" s="424">
        <v>0</v>
      </c>
      <c r="AO31" s="465">
        <f t="shared" si="57"/>
        <v>0.25502423843437622</v>
      </c>
      <c r="AQ31" s="729"/>
      <c r="AR31" s="730"/>
      <c r="AT31" s="729">
        <f t="shared" ref="AT31" si="72">SUM(K31:AO31)</f>
        <v>5.9135675384523232</v>
      </c>
      <c r="AU31" s="731">
        <f t="shared" ref="AU31" si="73">AT31/D31</f>
        <v>5.9135675384523231E-2</v>
      </c>
      <c r="AV31" s="482"/>
      <c r="AX31" s="29"/>
      <c r="AY31" s="29"/>
      <c r="AZ31" s="29"/>
    </row>
    <row r="32" spans="2:52" s="255" customFormat="1" ht="15.75" thickBot="1" x14ac:dyDescent="0.25">
      <c r="B32" s="741">
        <v>21</v>
      </c>
      <c r="C32" s="728" t="s">
        <v>123</v>
      </c>
      <c r="D32" s="565">
        <v>25</v>
      </c>
      <c r="E32" s="565">
        <f>D32/10</f>
        <v>2.5</v>
      </c>
      <c r="F32" s="565">
        <f>D32/15</f>
        <v>1.6666666666666667</v>
      </c>
      <c r="G32" s="565">
        <f>D32/20</f>
        <v>1.25</v>
      </c>
      <c r="H32" s="565">
        <f>D32/25</f>
        <v>1</v>
      </c>
      <c r="I32" s="565">
        <f>D32/31</f>
        <v>0.80645161290322576</v>
      </c>
      <c r="J32" s="566">
        <f>D32/$D$33</f>
        <v>1.5460729746444033E-2</v>
      </c>
      <c r="K32" s="567">
        <f t="shared" si="44"/>
        <v>1.5750493745885275E-2</v>
      </c>
      <c r="L32" s="567">
        <v>0</v>
      </c>
      <c r="M32" s="567">
        <v>0</v>
      </c>
      <c r="N32" s="567">
        <v>0</v>
      </c>
      <c r="O32" s="567">
        <f t="shared" si="45"/>
        <v>1.435902806870526E-2</v>
      </c>
      <c r="P32" s="567">
        <f t="shared" si="46"/>
        <v>0.19200281285534734</v>
      </c>
      <c r="Q32" s="567">
        <v>0</v>
      </c>
      <c r="R32" s="567">
        <v>0</v>
      </c>
      <c r="S32" s="567">
        <f t="shared" si="47"/>
        <v>0.1797115327069243</v>
      </c>
      <c r="T32" s="567">
        <v>0</v>
      </c>
      <c r="U32" s="567">
        <f t="shared" si="48"/>
        <v>7.8830271111376901E-2</v>
      </c>
      <c r="V32" s="567">
        <f t="shared" si="49"/>
        <v>0.2437189538572026</v>
      </c>
      <c r="W32" s="567">
        <v>0</v>
      </c>
      <c r="X32" s="567">
        <f t="shared" si="50"/>
        <v>7.1177209886887152E-2</v>
      </c>
      <c r="Y32" s="567">
        <f t="shared" si="51"/>
        <v>0.1546651505176849</v>
      </c>
      <c r="Z32" s="567">
        <v>0</v>
      </c>
      <c r="AA32" s="567">
        <v>0</v>
      </c>
      <c r="AB32" s="565">
        <v>0</v>
      </c>
      <c r="AC32" s="565">
        <f t="shared" si="52"/>
        <v>1.5054760907295269E-2</v>
      </c>
      <c r="AD32" s="565">
        <f t="shared" si="53"/>
        <v>0.10434047519300965</v>
      </c>
      <c r="AE32" s="565">
        <v>0</v>
      </c>
      <c r="AF32" s="565">
        <f t="shared" si="54"/>
        <v>9.5759770183733217E-2</v>
      </c>
      <c r="AG32" s="565">
        <v>0</v>
      </c>
      <c r="AH32" s="565">
        <v>0</v>
      </c>
      <c r="AI32" s="565">
        <v>0</v>
      </c>
      <c r="AJ32" s="565">
        <f t="shared" si="55"/>
        <v>0.19014752528577397</v>
      </c>
      <c r="AK32" s="565">
        <f t="shared" si="56"/>
        <v>5.9117840684660784E-2</v>
      </c>
      <c r="AL32" s="565">
        <v>0</v>
      </c>
      <c r="AM32" s="565">
        <v>0</v>
      </c>
      <c r="AN32" s="565">
        <v>0</v>
      </c>
      <c r="AO32" s="569">
        <f t="shared" si="57"/>
        <v>6.3756059608594054E-2</v>
      </c>
      <c r="AQ32" s="570"/>
      <c r="AR32" s="571"/>
      <c r="AT32" s="570">
        <f t="shared" si="43"/>
        <v>1.4783918846130808</v>
      </c>
      <c r="AU32" s="572">
        <f t="shared" si="58"/>
        <v>5.9135675384523231E-2</v>
      </c>
      <c r="AV32" s="480"/>
      <c r="AX32" s="61"/>
      <c r="AY32" s="62"/>
      <c r="AZ32" s="62"/>
    </row>
    <row r="33" spans="1:52" s="737" customFormat="1" x14ac:dyDescent="0.2">
      <c r="B33" s="333"/>
      <c r="C33" s="333" t="s">
        <v>94</v>
      </c>
      <c r="D33" s="602">
        <f t="shared" ref="D33:I33" si="74">SUM(D26:D32)</f>
        <v>1617</v>
      </c>
      <c r="E33" s="602">
        <f t="shared" si="74"/>
        <v>161.69999999999999</v>
      </c>
      <c r="F33" s="602">
        <f t="shared" si="74"/>
        <v>107.80000000000001</v>
      </c>
      <c r="G33" s="602">
        <f t="shared" si="74"/>
        <v>80.849999999999994</v>
      </c>
      <c r="H33" s="602">
        <f t="shared" si="74"/>
        <v>64.680000000000007</v>
      </c>
      <c r="I33" s="602">
        <f t="shared" si="74"/>
        <v>52.161290322580641</v>
      </c>
      <c r="J33" s="603">
        <f>D33/D35</f>
        <v>0.61629018463550833</v>
      </c>
      <c r="K33" s="604">
        <f t="shared" ref="K33:AO33" si="75">SUM(K26:K32)</f>
        <v>1.0187419354838596</v>
      </c>
      <c r="L33" s="602">
        <f t="shared" si="75"/>
        <v>0</v>
      </c>
      <c r="M33" s="602">
        <f t="shared" si="75"/>
        <v>0</v>
      </c>
      <c r="N33" s="602">
        <f t="shared" si="75"/>
        <v>0</v>
      </c>
      <c r="O33" s="602">
        <f t="shared" si="75"/>
        <v>0.92874193548385631</v>
      </c>
      <c r="P33" s="602">
        <f t="shared" si="75"/>
        <v>12.418741935483869</v>
      </c>
      <c r="Q33" s="602">
        <f t="shared" si="75"/>
        <v>0</v>
      </c>
      <c r="R33" s="602">
        <f t="shared" si="75"/>
        <v>0</v>
      </c>
      <c r="S33" s="602">
        <f t="shared" si="75"/>
        <v>11.623741935483864</v>
      </c>
      <c r="T33" s="602">
        <f t="shared" si="75"/>
        <v>0</v>
      </c>
      <c r="U33" s="602">
        <f t="shared" si="75"/>
        <v>5.0987419354838579</v>
      </c>
      <c r="V33" s="602">
        <f t="shared" si="75"/>
        <v>15.763741935483862</v>
      </c>
      <c r="W33" s="602">
        <f t="shared" si="75"/>
        <v>0</v>
      </c>
      <c r="X33" s="602">
        <f t="shared" si="75"/>
        <v>4.6037419354838613</v>
      </c>
      <c r="Y33" s="602">
        <f t="shared" si="75"/>
        <v>10.003741935483861</v>
      </c>
      <c r="Z33" s="602">
        <f t="shared" si="75"/>
        <v>0</v>
      </c>
      <c r="AA33" s="602">
        <f t="shared" si="75"/>
        <v>0</v>
      </c>
      <c r="AB33" s="602">
        <f t="shared" si="75"/>
        <v>0</v>
      </c>
      <c r="AC33" s="602">
        <f t="shared" si="75"/>
        <v>0.97374193548385779</v>
      </c>
      <c r="AD33" s="602">
        <f t="shared" si="75"/>
        <v>6.7487419354838645</v>
      </c>
      <c r="AE33" s="602">
        <f t="shared" si="75"/>
        <v>0</v>
      </c>
      <c r="AF33" s="602">
        <f t="shared" si="75"/>
        <v>6.193741935483863</v>
      </c>
      <c r="AG33" s="602">
        <f t="shared" si="75"/>
        <v>0</v>
      </c>
      <c r="AH33" s="602">
        <f t="shared" si="75"/>
        <v>0</v>
      </c>
      <c r="AI33" s="602">
        <f t="shared" si="75"/>
        <v>0</v>
      </c>
      <c r="AJ33" s="602">
        <f t="shared" si="75"/>
        <v>12.298741935483861</v>
      </c>
      <c r="AK33" s="602">
        <f t="shared" si="75"/>
        <v>3.8237419354838593</v>
      </c>
      <c r="AL33" s="602">
        <f t="shared" si="75"/>
        <v>0</v>
      </c>
      <c r="AM33" s="602">
        <f t="shared" si="75"/>
        <v>0</v>
      </c>
      <c r="AN33" s="602">
        <f t="shared" si="75"/>
        <v>0</v>
      </c>
      <c r="AO33" s="602">
        <f t="shared" si="75"/>
        <v>4.1237419354838636</v>
      </c>
      <c r="AQ33" s="602">
        <f>I33*30</f>
        <v>1564.8387096774193</v>
      </c>
      <c r="AR33" s="605">
        <f>AT33-AQ33</f>
        <v>-1469.2163225806453</v>
      </c>
      <c r="AT33" s="602">
        <f>SUM(AT26:AT32)</f>
        <v>95.622387096774048</v>
      </c>
      <c r="AU33" s="606">
        <f>AT33/D33</f>
        <v>5.9135675384523217E-2</v>
      </c>
      <c r="AV33" s="29"/>
      <c r="AX33" s="14"/>
      <c r="AY33" s="29"/>
      <c r="AZ33" s="29"/>
    </row>
    <row r="34" spans="1:52" s="81" customFormat="1" ht="4.5" customHeight="1" thickBot="1" x14ac:dyDescent="0.25">
      <c r="B34" s="739"/>
      <c r="C34" s="739"/>
      <c r="D34" s="80"/>
      <c r="E34" s="80"/>
      <c r="F34" s="80"/>
      <c r="G34" s="80"/>
      <c r="H34" s="80"/>
      <c r="I34" s="80"/>
      <c r="J34" s="747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Q34" s="80"/>
      <c r="AR34" s="152"/>
      <c r="AT34" s="80"/>
      <c r="AU34" s="748"/>
      <c r="AV34" s="62"/>
      <c r="AX34" s="61"/>
      <c r="AY34" s="62"/>
      <c r="AZ34" s="62"/>
    </row>
    <row r="35" spans="1:52" s="255" customFormat="1" ht="15.75" thickBot="1" x14ac:dyDescent="0.25">
      <c r="B35" s="43"/>
      <c r="C35" s="43" t="s">
        <v>95</v>
      </c>
      <c r="D35" s="40">
        <f>D22+D33</f>
        <v>2623.7640000000001</v>
      </c>
      <c r="E35" s="40">
        <f t="shared" ref="E35:AO35" si="76">E22+E33</f>
        <v>262.37639999999999</v>
      </c>
      <c r="F35" s="40">
        <f t="shared" si="76"/>
        <v>174.91759999999999</v>
      </c>
      <c r="G35" s="40">
        <f t="shared" si="76"/>
        <v>131.18819999999999</v>
      </c>
      <c r="H35" s="40">
        <f t="shared" si="76"/>
        <v>104.95056000000001</v>
      </c>
      <c r="I35" s="40">
        <f t="shared" si="76"/>
        <v>84.637548387096786</v>
      </c>
      <c r="J35" s="220">
        <f t="shared" si="76"/>
        <v>1</v>
      </c>
      <c r="K35" s="735">
        <f>$I$35</f>
        <v>84.637548387096786</v>
      </c>
      <c r="L35" s="735">
        <f t="shared" ref="L35:AA35" si="77">$I$35</f>
        <v>84.637548387096786</v>
      </c>
      <c r="M35" s="735">
        <f t="shared" si="77"/>
        <v>84.637548387096786</v>
      </c>
      <c r="N35" s="735">
        <f t="shared" si="77"/>
        <v>84.637548387096786</v>
      </c>
      <c r="O35" s="735">
        <f t="shared" si="77"/>
        <v>84.637548387096786</v>
      </c>
      <c r="P35" s="735">
        <f t="shared" si="77"/>
        <v>84.637548387096786</v>
      </c>
      <c r="Q35" s="735">
        <f t="shared" si="77"/>
        <v>84.637548387096786</v>
      </c>
      <c r="R35" s="735">
        <f t="shared" si="77"/>
        <v>84.637548387096786</v>
      </c>
      <c r="S35" s="735">
        <f t="shared" si="77"/>
        <v>84.637548387096786</v>
      </c>
      <c r="T35" s="735">
        <f t="shared" si="77"/>
        <v>84.637548387096786</v>
      </c>
      <c r="U35" s="735">
        <f t="shared" si="77"/>
        <v>84.637548387096786</v>
      </c>
      <c r="V35" s="735">
        <f t="shared" si="77"/>
        <v>84.637548387096786</v>
      </c>
      <c r="W35" s="735">
        <f t="shared" si="77"/>
        <v>84.637548387096786</v>
      </c>
      <c r="X35" s="735">
        <f t="shared" si="77"/>
        <v>84.637548387096786</v>
      </c>
      <c r="Y35" s="735">
        <f t="shared" si="77"/>
        <v>84.637548387096786</v>
      </c>
      <c r="Z35" s="735">
        <f t="shared" si="77"/>
        <v>84.637548387096786</v>
      </c>
      <c r="AA35" s="735">
        <f t="shared" si="77"/>
        <v>84.637548387096786</v>
      </c>
      <c r="AB35" s="40">
        <f t="shared" si="76"/>
        <v>32.476258064516138</v>
      </c>
      <c r="AC35" s="40">
        <f t="shared" si="76"/>
        <v>33.449999999999996</v>
      </c>
      <c r="AD35" s="40">
        <f t="shared" si="76"/>
        <v>39.225000000000001</v>
      </c>
      <c r="AE35" s="40">
        <f t="shared" si="76"/>
        <v>32.476258064516138</v>
      </c>
      <c r="AF35" s="40">
        <f t="shared" si="76"/>
        <v>38.67</v>
      </c>
      <c r="AG35" s="40">
        <f t="shared" si="76"/>
        <v>32.476258064516138</v>
      </c>
      <c r="AH35" s="40">
        <f t="shared" si="76"/>
        <v>32.476258064516138</v>
      </c>
      <c r="AI35" s="40">
        <f t="shared" si="76"/>
        <v>32.476258064516138</v>
      </c>
      <c r="AJ35" s="40">
        <f t="shared" si="76"/>
        <v>44.774999999999999</v>
      </c>
      <c r="AK35" s="40">
        <f t="shared" si="76"/>
        <v>36.299999999999997</v>
      </c>
      <c r="AL35" s="40">
        <f t="shared" si="76"/>
        <v>32.476258064516138</v>
      </c>
      <c r="AM35" s="40">
        <f t="shared" si="76"/>
        <v>32.476258064516138</v>
      </c>
      <c r="AN35" s="40">
        <f t="shared" si="76"/>
        <v>32.476258064516138</v>
      </c>
      <c r="AO35" s="40">
        <f t="shared" si="76"/>
        <v>36.6</v>
      </c>
      <c r="AQ35" s="40"/>
      <c r="AR35" s="74"/>
      <c r="AT35" s="40">
        <f>AT22+AT33</f>
        <v>1102.3863870967737</v>
      </c>
      <c r="AU35" s="51">
        <f>AT35/D35</f>
        <v>0.42015455166576476</v>
      </c>
      <c r="AV35" s="62"/>
      <c r="AX35" s="573">
        <f>AQ37-AT35</f>
        <v>-132.30638709677362</v>
      </c>
      <c r="AY35" s="62">
        <f>AX35/D35</f>
        <v>-5.0426176705211906E-2</v>
      </c>
      <c r="AZ35" s="62"/>
    </row>
    <row r="36" spans="1:52" s="737" customFormat="1" ht="15.75" thickBot="1" x14ac:dyDescent="0.25">
      <c r="B36" s="608"/>
      <c r="C36" s="608" t="s">
        <v>96</v>
      </c>
      <c r="D36" s="92"/>
      <c r="E36" s="92"/>
      <c r="F36" s="92"/>
      <c r="G36" s="92"/>
      <c r="H36" s="92"/>
      <c r="I36" s="92"/>
      <c r="J36" s="609"/>
      <c r="K36" s="610">
        <f>K4-K35</f>
        <v>-51.142548387096788</v>
      </c>
      <c r="L36" s="610">
        <f t="shared" ref="L36:AO36" si="78">L4-L35</f>
        <v>-56.722548387096786</v>
      </c>
      <c r="M36" s="610">
        <f t="shared" si="78"/>
        <v>-52.282548387096789</v>
      </c>
      <c r="N36" s="610">
        <f t="shared" si="78"/>
        <v>-64.522548387096791</v>
      </c>
      <c r="O36" s="610">
        <f t="shared" si="78"/>
        <v>-51.232548387096791</v>
      </c>
      <c r="P36" s="610">
        <f>P4-P35</f>
        <v>-39.742548387096782</v>
      </c>
      <c r="Q36" s="610">
        <f t="shared" si="78"/>
        <v>-63.697548387096788</v>
      </c>
      <c r="R36" s="610">
        <f t="shared" si="78"/>
        <v>-54.712548387096788</v>
      </c>
      <c r="S36" s="610">
        <f t="shared" si="78"/>
        <v>-40.537548387096784</v>
      </c>
      <c r="T36" s="610">
        <f t="shared" si="78"/>
        <v>-62.977548387096789</v>
      </c>
      <c r="U36" s="610">
        <f t="shared" si="78"/>
        <v>-47.06254838709679</v>
      </c>
      <c r="V36" s="610">
        <f t="shared" si="78"/>
        <v>-36.397548387096784</v>
      </c>
      <c r="W36" s="610">
        <f t="shared" si="78"/>
        <v>-63.847548387096786</v>
      </c>
      <c r="X36" s="610">
        <f t="shared" si="78"/>
        <v>-47.557548387096787</v>
      </c>
      <c r="Y36" s="610">
        <f t="shared" si="78"/>
        <v>-42.157548387096789</v>
      </c>
      <c r="Z36" s="610">
        <f t="shared" si="78"/>
        <v>-72.337548387096788</v>
      </c>
      <c r="AA36" s="610">
        <f t="shared" si="78"/>
        <v>-61.537548387096791</v>
      </c>
      <c r="AB36" s="610">
        <f t="shared" si="78"/>
        <v>-9.511258064516138</v>
      </c>
      <c r="AC36" s="610">
        <f t="shared" si="78"/>
        <v>0</v>
      </c>
      <c r="AD36" s="610">
        <f t="shared" si="78"/>
        <v>0</v>
      </c>
      <c r="AE36" s="610">
        <f t="shared" si="78"/>
        <v>-2.8062580645161361</v>
      </c>
      <c r="AF36" s="610">
        <f t="shared" si="78"/>
        <v>0</v>
      </c>
      <c r="AG36" s="610">
        <f t="shared" si="78"/>
        <v>-1.9512580645161393</v>
      </c>
      <c r="AH36" s="610">
        <f t="shared" si="78"/>
        <v>-0.51125806451614153</v>
      </c>
      <c r="AI36" s="610">
        <f t="shared" si="78"/>
        <v>-16.276258064516139</v>
      </c>
      <c r="AJ36" s="610">
        <f t="shared" si="78"/>
        <v>0</v>
      </c>
      <c r="AK36" s="610">
        <f t="shared" si="78"/>
        <v>0</v>
      </c>
      <c r="AL36" s="610">
        <f t="shared" si="78"/>
        <v>-14.401258064516139</v>
      </c>
      <c r="AM36" s="610">
        <f t="shared" si="78"/>
        <v>-1.3362580645161408</v>
      </c>
      <c r="AN36" s="610">
        <f t="shared" si="78"/>
        <v>-2.3262580645161393</v>
      </c>
      <c r="AO36" s="610">
        <f t="shared" si="78"/>
        <v>0</v>
      </c>
      <c r="AQ36" s="92">
        <f>SUM(K36:AO36)</f>
        <v>-957.58838709677457</v>
      </c>
      <c r="AR36" s="611"/>
      <c r="AT36" s="14"/>
      <c r="AU36" s="28"/>
      <c r="AV36" s="28"/>
      <c r="AX36" s="14"/>
      <c r="AY36" s="29"/>
      <c r="AZ36" s="29"/>
    </row>
    <row r="37" spans="1:52" s="255" customFormat="1" ht="15.75" thickBot="1" x14ac:dyDescent="0.25">
      <c r="B37" s="574"/>
      <c r="C37" s="575" t="s">
        <v>100</v>
      </c>
      <c r="D37" s="576"/>
      <c r="E37" s="576"/>
      <c r="F37" s="576"/>
      <c r="G37" s="576"/>
      <c r="H37" s="576"/>
      <c r="I37" s="576"/>
      <c r="J37" s="577"/>
      <c r="K37" s="578">
        <f>K35+K36</f>
        <v>33.494999999999997</v>
      </c>
      <c r="L37" s="578">
        <f>L35+L36</f>
        <v>27.914999999999999</v>
      </c>
      <c r="M37" s="578">
        <f t="shared" ref="M37:AO37" si="79">M35+M36</f>
        <v>32.354999999999997</v>
      </c>
      <c r="N37" s="578">
        <f t="shared" si="79"/>
        <v>20.114999999999995</v>
      </c>
      <c r="O37" s="578">
        <f t="shared" si="79"/>
        <v>33.404999999999994</v>
      </c>
      <c r="P37" s="578">
        <f t="shared" si="79"/>
        <v>44.895000000000003</v>
      </c>
      <c r="Q37" s="578">
        <f t="shared" si="79"/>
        <v>20.939999999999998</v>
      </c>
      <c r="R37" s="578">
        <f t="shared" si="79"/>
        <v>29.924999999999997</v>
      </c>
      <c r="S37" s="578">
        <f t="shared" si="79"/>
        <v>44.1</v>
      </c>
      <c r="T37" s="578">
        <f t="shared" si="79"/>
        <v>21.659999999999997</v>
      </c>
      <c r="U37" s="578">
        <f t="shared" si="79"/>
        <v>37.574999999999996</v>
      </c>
      <c r="V37" s="578">
        <f t="shared" si="79"/>
        <v>48.24</v>
      </c>
      <c r="W37" s="578">
        <f t="shared" si="79"/>
        <v>20.79</v>
      </c>
      <c r="X37" s="578">
        <f t="shared" si="79"/>
        <v>37.08</v>
      </c>
      <c r="Y37" s="578">
        <f t="shared" si="79"/>
        <v>42.48</v>
      </c>
      <c r="Z37" s="578">
        <f t="shared" si="79"/>
        <v>12.299999999999997</v>
      </c>
      <c r="AA37" s="578">
        <f t="shared" si="79"/>
        <v>23.099999999999994</v>
      </c>
      <c r="AB37" s="578">
        <f t="shared" si="79"/>
        <v>22.965</v>
      </c>
      <c r="AC37" s="578">
        <f t="shared" si="79"/>
        <v>33.449999999999996</v>
      </c>
      <c r="AD37" s="578">
        <f t="shared" si="79"/>
        <v>39.225000000000001</v>
      </c>
      <c r="AE37" s="578">
        <f>AE35+AE36</f>
        <v>29.67</v>
      </c>
      <c r="AF37" s="578">
        <f t="shared" si="79"/>
        <v>38.67</v>
      </c>
      <c r="AG37" s="578">
        <f t="shared" si="79"/>
        <v>30.524999999999999</v>
      </c>
      <c r="AH37" s="578">
        <f t="shared" si="79"/>
        <v>31.964999999999996</v>
      </c>
      <c r="AI37" s="578">
        <f t="shared" si="79"/>
        <v>16.2</v>
      </c>
      <c r="AJ37" s="578">
        <f t="shared" si="79"/>
        <v>44.774999999999999</v>
      </c>
      <c r="AK37" s="578">
        <f t="shared" si="79"/>
        <v>36.299999999999997</v>
      </c>
      <c r="AL37" s="578">
        <f t="shared" si="79"/>
        <v>18.074999999999999</v>
      </c>
      <c r="AM37" s="578">
        <f t="shared" si="79"/>
        <v>31.139999999999997</v>
      </c>
      <c r="AN37" s="578">
        <f t="shared" si="79"/>
        <v>30.15</v>
      </c>
      <c r="AO37" s="578">
        <f t="shared" si="79"/>
        <v>36.6</v>
      </c>
      <c r="AQ37" s="579">
        <f>SUM(K37:AO37)</f>
        <v>970.08</v>
      </c>
      <c r="AR37" s="580">
        <f>AQ37/D35</f>
        <v>0.36972837496055283</v>
      </c>
      <c r="AT37" s="581"/>
      <c r="AU37" s="582"/>
      <c r="AV37" s="492"/>
      <c r="AX37" s="61"/>
      <c r="AY37" s="62"/>
      <c r="AZ37" s="62"/>
    </row>
    <row r="38" spans="1:52" s="81" customFormat="1" ht="4.5" customHeight="1" x14ac:dyDescent="0.2">
      <c r="D38" s="61"/>
      <c r="E38" s="61"/>
      <c r="F38" s="61"/>
      <c r="G38" s="61"/>
      <c r="H38" s="61"/>
      <c r="I38" s="61"/>
      <c r="J38" s="410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T38" s="749"/>
      <c r="AU38" s="750"/>
      <c r="AV38" s="411"/>
      <c r="AX38" s="61"/>
      <c r="AY38" s="62"/>
      <c r="AZ38" s="62"/>
    </row>
    <row r="39" spans="1:52" s="432" customFormat="1" x14ac:dyDescent="0.2">
      <c r="A39" s="669"/>
      <c r="B39" s="433"/>
      <c r="C39" s="433" t="s">
        <v>74</v>
      </c>
      <c r="D39" s="347">
        <v>383</v>
      </c>
      <c r="E39" s="347">
        <f t="shared" ref="E39:E44" si="80">D39/10</f>
        <v>38.299999999999997</v>
      </c>
      <c r="F39" s="347">
        <f t="shared" ref="F39:F40" si="81">D39/15</f>
        <v>25.533333333333335</v>
      </c>
      <c r="G39" s="347">
        <f t="shared" ref="G39:G40" si="82">D39/20</f>
        <v>19.149999999999999</v>
      </c>
      <c r="H39" s="347">
        <f t="shared" ref="H39:H40" si="83">D39/25</f>
        <v>15.32</v>
      </c>
      <c r="I39" s="347">
        <f>D39/31</f>
        <v>12.35483870967742</v>
      </c>
      <c r="J39" s="531">
        <f>D39/D40</f>
        <v>0.12737946842519066</v>
      </c>
      <c r="K39" s="483">
        <f t="shared" ref="K39:AO39" si="84">$I$39</f>
        <v>12.35483870967742</v>
      </c>
      <c r="L39" s="483">
        <f t="shared" si="84"/>
        <v>12.35483870967742</v>
      </c>
      <c r="M39" s="483">
        <f t="shared" si="84"/>
        <v>12.35483870967742</v>
      </c>
      <c r="N39" s="483">
        <f t="shared" si="84"/>
        <v>12.35483870967742</v>
      </c>
      <c r="O39" s="483">
        <f t="shared" si="84"/>
        <v>12.35483870967742</v>
      </c>
      <c r="P39" s="483">
        <f t="shared" si="84"/>
        <v>12.35483870967742</v>
      </c>
      <c r="Q39" s="483">
        <f t="shared" si="84"/>
        <v>12.35483870967742</v>
      </c>
      <c r="R39" s="483">
        <f t="shared" si="84"/>
        <v>12.35483870967742</v>
      </c>
      <c r="S39" s="483">
        <f t="shared" si="84"/>
        <v>12.35483870967742</v>
      </c>
      <c r="T39" s="483">
        <f t="shared" si="84"/>
        <v>12.35483870967742</v>
      </c>
      <c r="U39" s="483">
        <f t="shared" si="84"/>
        <v>12.35483870967742</v>
      </c>
      <c r="V39" s="483">
        <f t="shared" si="84"/>
        <v>12.35483870967742</v>
      </c>
      <c r="W39" s="483">
        <f t="shared" si="84"/>
        <v>12.35483870967742</v>
      </c>
      <c r="X39" s="483">
        <f t="shared" si="84"/>
        <v>12.35483870967742</v>
      </c>
      <c r="Y39" s="483">
        <f t="shared" si="84"/>
        <v>12.35483870967742</v>
      </c>
      <c r="Z39" s="483">
        <f t="shared" si="84"/>
        <v>12.35483870967742</v>
      </c>
      <c r="AA39" s="483">
        <f t="shared" si="84"/>
        <v>12.35483870967742</v>
      </c>
      <c r="AB39" s="483">
        <f t="shared" si="84"/>
        <v>12.35483870967742</v>
      </c>
      <c r="AC39" s="483">
        <f t="shared" si="84"/>
        <v>12.35483870967742</v>
      </c>
      <c r="AD39" s="483">
        <f t="shared" si="84"/>
        <v>12.35483870967742</v>
      </c>
      <c r="AE39" s="483">
        <f t="shared" si="84"/>
        <v>12.35483870967742</v>
      </c>
      <c r="AF39" s="483">
        <f t="shared" si="84"/>
        <v>12.35483870967742</v>
      </c>
      <c r="AG39" s="483">
        <f t="shared" si="84"/>
        <v>12.35483870967742</v>
      </c>
      <c r="AH39" s="483">
        <f t="shared" si="84"/>
        <v>12.35483870967742</v>
      </c>
      <c r="AI39" s="483">
        <f t="shared" si="84"/>
        <v>12.35483870967742</v>
      </c>
      <c r="AJ39" s="483">
        <f t="shared" si="84"/>
        <v>12.35483870967742</v>
      </c>
      <c r="AK39" s="483">
        <f t="shared" si="84"/>
        <v>12.35483870967742</v>
      </c>
      <c r="AL39" s="483">
        <f t="shared" si="84"/>
        <v>12.35483870967742</v>
      </c>
      <c r="AM39" s="483">
        <f t="shared" si="84"/>
        <v>12.35483870967742</v>
      </c>
      <c r="AN39" s="483">
        <f t="shared" si="84"/>
        <v>12.35483870967742</v>
      </c>
      <c r="AO39" s="483">
        <f t="shared" si="84"/>
        <v>12.35483870967742</v>
      </c>
      <c r="AQ39" s="347">
        <f>SUM(K39:AO39)</f>
        <v>383.00000000000011</v>
      </c>
      <c r="AR39" s="485">
        <f>AQ39/D39</f>
        <v>1.0000000000000002</v>
      </c>
      <c r="AT39" s="614"/>
      <c r="AU39" s="615"/>
      <c r="AV39" s="491"/>
      <c r="AX39" s="481"/>
      <c r="AY39" s="482"/>
      <c r="AZ39" s="482"/>
    </row>
    <row r="40" spans="1:52" s="81" customFormat="1" x14ac:dyDescent="0.2">
      <c r="B40" s="43"/>
      <c r="C40" s="43" t="s">
        <v>79</v>
      </c>
      <c r="D40" s="40">
        <f>D35+D39</f>
        <v>3006.7640000000001</v>
      </c>
      <c r="E40" s="40">
        <f t="shared" si="80"/>
        <v>300.6764</v>
      </c>
      <c r="F40" s="40">
        <f t="shared" si="81"/>
        <v>200.45093333333335</v>
      </c>
      <c r="G40" s="40">
        <f t="shared" si="82"/>
        <v>150.3382</v>
      </c>
      <c r="H40" s="40">
        <f t="shared" si="83"/>
        <v>120.27056</v>
      </c>
      <c r="I40" s="40">
        <f>I35+I39</f>
        <v>96.992387096774209</v>
      </c>
      <c r="J40" s="220">
        <f>(D22/D40)+(D33/D40)+(D39/D40)</f>
        <v>0.99999999999999989</v>
      </c>
      <c r="K40" s="735">
        <f t="shared" ref="K40:AO40" si="85">$I$40</f>
        <v>96.992387096774209</v>
      </c>
      <c r="L40" s="735">
        <f t="shared" si="85"/>
        <v>96.992387096774209</v>
      </c>
      <c r="M40" s="735">
        <f t="shared" si="85"/>
        <v>96.992387096774209</v>
      </c>
      <c r="N40" s="735">
        <f t="shared" si="85"/>
        <v>96.992387096774209</v>
      </c>
      <c r="O40" s="735">
        <f t="shared" si="85"/>
        <v>96.992387096774209</v>
      </c>
      <c r="P40" s="735">
        <f t="shared" si="85"/>
        <v>96.992387096774209</v>
      </c>
      <c r="Q40" s="735">
        <f t="shared" si="85"/>
        <v>96.992387096774209</v>
      </c>
      <c r="R40" s="735">
        <f t="shared" si="85"/>
        <v>96.992387096774209</v>
      </c>
      <c r="S40" s="735">
        <f t="shared" si="85"/>
        <v>96.992387096774209</v>
      </c>
      <c r="T40" s="735">
        <f t="shared" si="85"/>
        <v>96.992387096774209</v>
      </c>
      <c r="U40" s="735">
        <f t="shared" si="85"/>
        <v>96.992387096774209</v>
      </c>
      <c r="V40" s="735">
        <f t="shared" si="85"/>
        <v>96.992387096774209</v>
      </c>
      <c r="W40" s="735">
        <f t="shared" si="85"/>
        <v>96.992387096774209</v>
      </c>
      <c r="X40" s="735">
        <f t="shared" si="85"/>
        <v>96.992387096774209</v>
      </c>
      <c r="Y40" s="735">
        <f t="shared" si="85"/>
        <v>96.992387096774209</v>
      </c>
      <c r="Z40" s="735">
        <f t="shared" si="85"/>
        <v>96.992387096774209</v>
      </c>
      <c r="AA40" s="735">
        <f t="shared" si="85"/>
        <v>96.992387096774209</v>
      </c>
      <c r="AB40" s="746">
        <f t="shared" si="85"/>
        <v>96.992387096774209</v>
      </c>
      <c r="AC40" s="746">
        <f t="shared" si="85"/>
        <v>96.992387096774209</v>
      </c>
      <c r="AD40" s="746">
        <f t="shared" si="85"/>
        <v>96.992387096774209</v>
      </c>
      <c r="AE40" s="746">
        <f t="shared" si="85"/>
        <v>96.992387096774209</v>
      </c>
      <c r="AF40" s="746">
        <f t="shared" si="85"/>
        <v>96.992387096774209</v>
      </c>
      <c r="AG40" s="752">
        <f t="shared" si="85"/>
        <v>96.992387096774209</v>
      </c>
      <c r="AH40" s="759">
        <f t="shared" si="85"/>
        <v>96.992387096774209</v>
      </c>
      <c r="AI40" s="759">
        <f t="shared" si="85"/>
        <v>96.992387096774209</v>
      </c>
      <c r="AJ40" s="759">
        <f t="shared" si="85"/>
        <v>96.992387096774209</v>
      </c>
      <c r="AK40" s="759">
        <f t="shared" si="85"/>
        <v>96.992387096774209</v>
      </c>
      <c r="AL40" s="759">
        <f t="shared" si="85"/>
        <v>96.992387096774209</v>
      </c>
      <c r="AM40" s="759">
        <f t="shared" si="85"/>
        <v>96.992387096774209</v>
      </c>
      <c r="AN40" s="759">
        <f t="shared" si="85"/>
        <v>96.992387096774209</v>
      </c>
      <c r="AO40" s="759">
        <f t="shared" si="85"/>
        <v>96.992387096774209</v>
      </c>
      <c r="AP40" s="255"/>
      <c r="AQ40" s="40">
        <f>SUM(K40:AO40)</f>
        <v>3006.7639999999988</v>
      </c>
      <c r="AR40" s="51">
        <f>AQ40/D40</f>
        <v>0.99999999999999956</v>
      </c>
      <c r="AS40" s="255"/>
      <c r="AT40" s="583"/>
      <c r="AU40" s="584"/>
      <c r="AV40" s="411"/>
      <c r="AW40" s="255"/>
      <c r="AX40" s="61"/>
      <c r="AY40" s="62"/>
      <c r="AZ40" s="62"/>
    </row>
    <row r="41" spans="1:52" s="81" customFormat="1" ht="4.5" customHeight="1" thickBot="1" x14ac:dyDescent="0.25">
      <c r="B41" s="71"/>
      <c r="C41" s="71"/>
      <c r="D41" s="738"/>
      <c r="E41" s="738"/>
      <c r="F41" s="738"/>
      <c r="G41" s="738"/>
      <c r="H41" s="738"/>
      <c r="I41" s="738"/>
      <c r="J41" s="751"/>
      <c r="K41" s="738"/>
      <c r="L41" s="738"/>
      <c r="M41" s="738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Q41" s="71"/>
      <c r="AR41" s="71"/>
      <c r="AT41" s="61"/>
      <c r="AU41" s="62"/>
      <c r="AV41" s="62"/>
      <c r="AX41" s="61"/>
      <c r="AY41" s="62"/>
      <c r="AZ41" s="62"/>
    </row>
    <row r="42" spans="1:52" s="740" customFormat="1" ht="15.75" thickBot="1" x14ac:dyDescent="0.25">
      <c r="B42" s="616"/>
      <c r="C42" s="617" t="s">
        <v>97</v>
      </c>
      <c r="D42" s="618">
        <f>D22*100/30</f>
        <v>3355.8799999999997</v>
      </c>
      <c r="E42" s="645">
        <f t="shared" si="80"/>
        <v>335.58799999999997</v>
      </c>
      <c r="F42" s="648">
        <f t="shared" ref="F42:F44" si="86">D42/15</f>
        <v>223.72533333333331</v>
      </c>
      <c r="G42" s="652">
        <f>D42/20</f>
        <v>167.79399999999998</v>
      </c>
      <c r="H42" s="656">
        <f t="shared" ref="H42:H44" si="87">D42/25</f>
        <v>134.23519999999999</v>
      </c>
      <c r="I42" s="660">
        <f>D42/31</f>
        <v>108.25419354838708</v>
      </c>
      <c r="J42" s="619">
        <f>I42*30%</f>
        <v>32.476258064516124</v>
      </c>
      <c r="K42" s="620">
        <f>K4-K22</f>
        <v>1.0187419354838596</v>
      </c>
      <c r="L42" s="621">
        <f t="shared" ref="L42:AO42" si="88">L4-L22</f>
        <v>-4.5612580645161387</v>
      </c>
      <c r="M42" s="621">
        <f t="shared" si="88"/>
        <v>-0.12125806451614096</v>
      </c>
      <c r="N42" s="621">
        <f t="shared" si="88"/>
        <v>-12.361258064516139</v>
      </c>
      <c r="O42" s="621">
        <f t="shared" si="88"/>
        <v>0.9287419354838562</v>
      </c>
      <c r="P42" s="621">
        <f t="shared" si="88"/>
        <v>12.418741935483865</v>
      </c>
      <c r="Q42" s="621">
        <f t="shared" si="88"/>
        <v>-11.53625806451614</v>
      </c>
      <c r="R42" s="621">
        <f t="shared" si="88"/>
        <v>-2.5512580645161407</v>
      </c>
      <c r="S42" s="621">
        <f t="shared" si="88"/>
        <v>11.623741935483864</v>
      </c>
      <c r="T42" s="621">
        <f t="shared" si="88"/>
        <v>-10.816258064516138</v>
      </c>
      <c r="U42" s="621">
        <f t="shared" si="88"/>
        <v>5.0987419354838579</v>
      </c>
      <c r="V42" s="621">
        <f t="shared" si="88"/>
        <v>15.763741935483864</v>
      </c>
      <c r="W42" s="621">
        <f t="shared" si="88"/>
        <v>-11.686258064516139</v>
      </c>
      <c r="X42" s="621">
        <f t="shared" si="88"/>
        <v>4.6037419354838605</v>
      </c>
      <c r="Y42" s="621">
        <f t="shared" si="88"/>
        <v>10.003741935483859</v>
      </c>
      <c r="Z42" s="621">
        <f t="shared" si="88"/>
        <v>-20.176258064516141</v>
      </c>
      <c r="AA42" s="621">
        <f t="shared" si="88"/>
        <v>-9.37625806451614</v>
      </c>
      <c r="AB42" s="621">
        <f t="shared" si="88"/>
        <v>-9.511258064516138</v>
      </c>
      <c r="AC42" s="621">
        <f t="shared" si="88"/>
        <v>0.9737419354838579</v>
      </c>
      <c r="AD42" s="621">
        <f t="shared" si="88"/>
        <v>6.7487419354838636</v>
      </c>
      <c r="AE42" s="621">
        <f t="shared" si="88"/>
        <v>-2.8062580645161361</v>
      </c>
      <c r="AF42" s="621">
        <f t="shared" si="88"/>
        <v>6.1937419354838639</v>
      </c>
      <c r="AG42" s="621">
        <f t="shared" si="88"/>
        <v>-1.9512580645161393</v>
      </c>
      <c r="AH42" s="621">
        <f t="shared" si="88"/>
        <v>-0.51125806451614153</v>
      </c>
      <c r="AI42" s="621">
        <f t="shared" si="88"/>
        <v>-16.276258064516139</v>
      </c>
      <c r="AJ42" s="621">
        <f t="shared" si="88"/>
        <v>12.298741935483861</v>
      </c>
      <c r="AK42" s="621">
        <f t="shared" si="88"/>
        <v>3.8237419354838593</v>
      </c>
      <c r="AL42" s="621">
        <f t="shared" si="88"/>
        <v>-14.401258064516139</v>
      </c>
      <c r="AM42" s="621">
        <f t="shared" si="88"/>
        <v>-1.3362580645161408</v>
      </c>
      <c r="AN42" s="621">
        <f t="shared" si="88"/>
        <v>-2.3262580645161393</v>
      </c>
      <c r="AO42" s="622">
        <f t="shared" si="88"/>
        <v>4.1237419354838636</v>
      </c>
      <c r="AP42" s="737"/>
      <c r="AQ42" s="623">
        <f>SUM(K42:AO42)</f>
        <v>-36.68400000000031</v>
      </c>
      <c r="AR42" s="622"/>
      <c r="AS42" s="737"/>
      <c r="AT42" s="14"/>
      <c r="AU42" s="29"/>
      <c r="AV42" s="29"/>
      <c r="AX42" s="14"/>
      <c r="AY42" s="29"/>
      <c r="AZ42" s="29"/>
    </row>
    <row r="43" spans="1:52" s="255" customFormat="1" ht="15.75" thickBot="1" x14ac:dyDescent="0.25">
      <c r="B43" s="585"/>
      <c r="C43" s="43" t="s">
        <v>97</v>
      </c>
      <c r="D43" s="132">
        <f>D35*100/30</f>
        <v>8745.880000000001</v>
      </c>
      <c r="E43" s="97">
        <f t="shared" si="80"/>
        <v>874.58800000000008</v>
      </c>
      <c r="F43" s="649">
        <f t="shared" si="86"/>
        <v>583.05866666666668</v>
      </c>
      <c r="G43" s="653">
        <f t="shared" ref="G43:G44" si="89">D43/20</f>
        <v>437.29400000000004</v>
      </c>
      <c r="H43" s="657">
        <f t="shared" si="87"/>
        <v>349.83520000000004</v>
      </c>
      <c r="I43" s="661">
        <f>D43/31</f>
        <v>282.12516129032264</v>
      </c>
      <c r="J43" s="199">
        <f>I43*30%</f>
        <v>84.637548387096786</v>
      </c>
      <c r="K43" s="735">
        <f>K4-K35</f>
        <v>-51.142548387096788</v>
      </c>
      <c r="L43" s="40">
        <f t="shared" ref="L43:AO43" si="90">L4-L35</f>
        <v>-56.722548387096786</v>
      </c>
      <c r="M43" s="40">
        <f t="shared" si="90"/>
        <v>-52.282548387096789</v>
      </c>
      <c r="N43" s="40">
        <f t="shared" si="90"/>
        <v>-64.522548387096791</v>
      </c>
      <c r="O43" s="40">
        <f t="shared" si="90"/>
        <v>-51.232548387096791</v>
      </c>
      <c r="P43" s="40">
        <f t="shared" si="90"/>
        <v>-39.742548387096782</v>
      </c>
      <c r="Q43" s="40">
        <f t="shared" si="90"/>
        <v>-63.697548387096788</v>
      </c>
      <c r="R43" s="40">
        <f t="shared" si="90"/>
        <v>-54.712548387096788</v>
      </c>
      <c r="S43" s="40">
        <f t="shared" si="90"/>
        <v>-40.537548387096784</v>
      </c>
      <c r="T43" s="40">
        <f t="shared" si="90"/>
        <v>-62.977548387096789</v>
      </c>
      <c r="U43" s="40">
        <f t="shared" si="90"/>
        <v>-47.06254838709679</v>
      </c>
      <c r="V43" s="40">
        <f t="shared" si="90"/>
        <v>-36.397548387096784</v>
      </c>
      <c r="W43" s="40">
        <f t="shared" si="90"/>
        <v>-63.847548387096786</v>
      </c>
      <c r="X43" s="40">
        <f t="shared" si="90"/>
        <v>-47.557548387096787</v>
      </c>
      <c r="Y43" s="40">
        <f t="shared" si="90"/>
        <v>-42.157548387096789</v>
      </c>
      <c r="Z43" s="40">
        <f t="shared" si="90"/>
        <v>-72.337548387096788</v>
      </c>
      <c r="AA43" s="40">
        <f t="shared" si="90"/>
        <v>-61.537548387096791</v>
      </c>
      <c r="AB43" s="40">
        <f t="shared" si="90"/>
        <v>-9.511258064516138</v>
      </c>
      <c r="AC43" s="40">
        <f t="shared" si="90"/>
        <v>0</v>
      </c>
      <c r="AD43" s="40">
        <f t="shared" si="90"/>
        <v>0</v>
      </c>
      <c r="AE43" s="40">
        <f t="shared" si="90"/>
        <v>-2.8062580645161361</v>
      </c>
      <c r="AF43" s="40">
        <f t="shared" si="90"/>
        <v>0</v>
      </c>
      <c r="AG43" s="40">
        <f t="shared" si="90"/>
        <v>-1.9512580645161393</v>
      </c>
      <c r="AH43" s="40">
        <f t="shared" si="90"/>
        <v>-0.51125806451614153</v>
      </c>
      <c r="AI43" s="40">
        <f t="shared" si="90"/>
        <v>-16.276258064516139</v>
      </c>
      <c r="AJ43" s="40">
        <f t="shared" si="90"/>
        <v>0</v>
      </c>
      <c r="AK43" s="40">
        <f t="shared" si="90"/>
        <v>0</v>
      </c>
      <c r="AL43" s="40">
        <f t="shared" si="90"/>
        <v>-14.401258064516139</v>
      </c>
      <c r="AM43" s="40">
        <f t="shared" si="90"/>
        <v>-1.3362580645161408</v>
      </c>
      <c r="AN43" s="40">
        <f t="shared" si="90"/>
        <v>-2.3262580645161393</v>
      </c>
      <c r="AO43" s="586">
        <f t="shared" si="90"/>
        <v>0</v>
      </c>
      <c r="AQ43" s="587">
        <f>SUM(K43:AO43)</f>
        <v>-957.58838709677457</v>
      </c>
      <c r="AR43" s="586"/>
      <c r="AT43" s="742">
        <f>AT3/2</f>
        <v>1616.8000000000002</v>
      </c>
      <c r="AU43" s="743">
        <f>AT43-AT4</f>
        <v>646.72000000000014</v>
      </c>
      <c r="AV43" s="744">
        <f>AU43+AQ43</f>
        <v>-310.86838709677443</v>
      </c>
      <c r="AX43" s="50"/>
    </row>
    <row r="44" spans="1:52" s="737" customFormat="1" ht="15.75" thickBot="1" x14ac:dyDescent="0.25">
      <c r="B44" s="624"/>
      <c r="C44" s="625" t="s">
        <v>75</v>
      </c>
      <c r="D44" s="626">
        <f>D40*100/30</f>
        <v>10022.546666666667</v>
      </c>
      <c r="E44" s="646">
        <f t="shared" si="80"/>
        <v>1002.2546666666667</v>
      </c>
      <c r="F44" s="650">
        <f t="shared" si="86"/>
        <v>668.16977777777777</v>
      </c>
      <c r="G44" s="654">
        <f t="shared" si="89"/>
        <v>501.12733333333335</v>
      </c>
      <c r="H44" s="658">
        <f t="shared" si="87"/>
        <v>400.90186666666671</v>
      </c>
      <c r="I44" s="662">
        <f>D44/31</f>
        <v>323.30795698924732</v>
      </c>
      <c r="J44" s="627">
        <f>I44*30%</f>
        <v>96.992387096774195</v>
      </c>
      <c r="K44" s="628">
        <f>K4-K40</f>
        <v>-63.497387096774212</v>
      </c>
      <c r="L44" s="628">
        <f t="shared" ref="L44:AO44" si="91">L4-L40</f>
        <v>-69.077387096774203</v>
      </c>
      <c r="M44" s="628">
        <f t="shared" si="91"/>
        <v>-64.637387096774205</v>
      </c>
      <c r="N44" s="628">
        <f t="shared" si="91"/>
        <v>-76.877387096774214</v>
      </c>
      <c r="O44" s="628">
        <f t="shared" si="91"/>
        <v>-63.587387096774215</v>
      </c>
      <c r="P44" s="628">
        <f t="shared" si="91"/>
        <v>-52.097387096774206</v>
      </c>
      <c r="Q44" s="628">
        <f t="shared" si="91"/>
        <v>-76.052387096774211</v>
      </c>
      <c r="R44" s="628">
        <f t="shared" si="91"/>
        <v>-67.067387096774212</v>
      </c>
      <c r="S44" s="628">
        <f t="shared" si="91"/>
        <v>-52.892387096774208</v>
      </c>
      <c r="T44" s="628">
        <f t="shared" si="91"/>
        <v>-75.332387096774212</v>
      </c>
      <c r="U44" s="628">
        <f t="shared" si="91"/>
        <v>-59.417387096774213</v>
      </c>
      <c r="V44" s="628">
        <f t="shared" si="91"/>
        <v>-48.752387096774207</v>
      </c>
      <c r="W44" s="628">
        <f t="shared" si="91"/>
        <v>-76.202387096774203</v>
      </c>
      <c r="X44" s="628">
        <f t="shared" si="91"/>
        <v>-59.912387096774211</v>
      </c>
      <c r="Y44" s="628">
        <f t="shared" si="91"/>
        <v>-54.512387096774212</v>
      </c>
      <c r="Z44" s="628">
        <f t="shared" si="91"/>
        <v>-84.692387096774212</v>
      </c>
      <c r="AA44" s="628">
        <f t="shared" si="91"/>
        <v>-73.892387096774215</v>
      </c>
      <c r="AB44" s="628">
        <f t="shared" si="91"/>
        <v>-74.027387096774206</v>
      </c>
      <c r="AC44" s="628">
        <f t="shared" si="91"/>
        <v>-63.542387096774213</v>
      </c>
      <c r="AD44" s="628">
        <f t="shared" si="91"/>
        <v>-57.767387096774208</v>
      </c>
      <c r="AE44" s="628">
        <f t="shared" si="91"/>
        <v>-67.322387096774207</v>
      </c>
      <c r="AF44" s="628">
        <f t="shared" si="91"/>
        <v>-58.322387096774207</v>
      </c>
      <c r="AG44" s="628">
        <f t="shared" si="91"/>
        <v>-66.467387096774218</v>
      </c>
      <c r="AH44" s="628">
        <f t="shared" si="91"/>
        <v>-65.02738709677422</v>
      </c>
      <c r="AI44" s="628">
        <f t="shared" si="91"/>
        <v>-80.792387096774206</v>
      </c>
      <c r="AJ44" s="628">
        <f t="shared" si="91"/>
        <v>-52.21738709677421</v>
      </c>
      <c r="AK44" s="628">
        <f t="shared" si="91"/>
        <v>-60.692387096774212</v>
      </c>
      <c r="AL44" s="628">
        <f t="shared" si="91"/>
        <v>-78.917387096774206</v>
      </c>
      <c r="AM44" s="628">
        <f t="shared" si="91"/>
        <v>-65.852387096774208</v>
      </c>
      <c r="AN44" s="628">
        <f t="shared" si="91"/>
        <v>-66.842387096774218</v>
      </c>
      <c r="AO44" s="631">
        <f t="shared" si="91"/>
        <v>-60.392387096774208</v>
      </c>
      <c r="AQ44" s="630">
        <f>SUM(K44:AO44)</f>
        <v>-2036.6840000000009</v>
      </c>
      <c r="AR44" s="631"/>
      <c r="AT44" s="14"/>
      <c r="AU44" s="182"/>
      <c r="AV44" s="182"/>
    </row>
    <row r="45" spans="1:52" x14ac:dyDescent="0.2">
      <c r="J45" s="314"/>
    </row>
    <row r="52" spans="26:26" x14ac:dyDescent="0.2">
      <c r="Z52" s="171"/>
    </row>
  </sheetData>
  <sortState xmlns:xlrd2="http://schemas.microsoft.com/office/spreadsheetml/2017/richdata2" ref="C9:J21">
    <sortCondition descending="1" ref="J21"/>
  </sortState>
  <mergeCells count="12">
    <mergeCell ref="AT7:AU7"/>
    <mergeCell ref="AY10:AY12"/>
    <mergeCell ref="AT25:AU25"/>
    <mergeCell ref="AX26:AX27"/>
    <mergeCell ref="C1:C2"/>
    <mergeCell ref="D1:J1"/>
    <mergeCell ref="AP1:AQ1"/>
    <mergeCell ref="AR1:AS1"/>
    <mergeCell ref="AT1:AV2"/>
    <mergeCell ref="D2:J2"/>
    <mergeCell ref="AQ2:AQ6"/>
    <mergeCell ref="AR2:AR6"/>
  </mergeCells>
  <conditionalFormatting sqref="AR43">
    <cfRule type="cellIs" dxfId="386" priority="1" operator="greaterThan">
      <formula>0</formula>
    </cfRule>
    <cfRule type="cellIs" dxfId="385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C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(1-19)'!K24:K24</xm:f>
              <xm:sqref>K25</xm:sqref>
            </x14:sparkline>
            <x14:sparkline>
              <xm:f>'E&amp;M SHOP INCOME (1-19)'!L24:L24</xm:f>
              <xm:sqref>L25</xm:sqref>
            </x14:sparkline>
            <x14:sparkline>
              <xm:f>'E&amp;M SHOP INCOME (1-19)'!M24:M24</xm:f>
              <xm:sqref>M25</xm:sqref>
            </x14:sparkline>
            <x14:sparkline>
              <xm:f>'E&amp;M SHOP INCOME (1-19)'!N24:N24</xm:f>
              <xm:sqref>N25</xm:sqref>
            </x14:sparkline>
            <x14:sparkline>
              <xm:f>'E&amp;M SHOP INCOME (1-19)'!O24:O24</xm:f>
              <xm:sqref>O25</xm:sqref>
            </x14:sparkline>
            <x14:sparkline>
              <xm:f>'E&amp;M SHOP INCOME (1-19)'!P24:P24</xm:f>
              <xm:sqref>P25</xm:sqref>
            </x14:sparkline>
            <x14:sparkline>
              <xm:f>'E&amp;M SHOP INCOME (1-19)'!Q24:Q24</xm:f>
              <xm:sqref>Q25</xm:sqref>
            </x14:sparkline>
            <x14:sparkline>
              <xm:f>'E&amp;M SHOP INCOME (1-19)'!R24:R24</xm:f>
              <xm:sqref>R25</xm:sqref>
            </x14:sparkline>
            <x14:sparkline>
              <xm:f>'E&amp;M SHOP INCOME (1-19)'!S24:S24</xm:f>
              <xm:sqref>S25</xm:sqref>
            </x14:sparkline>
            <x14:sparkline>
              <xm:f>'E&amp;M SHOP INCOME (1-19)'!T24:T24</xm:f>
              <xm:sqref>T25</xm:sqref>
            </x14:sparkline>
            <x14:sparkline>
              <xm:f>'E&amp;M SHOP INCOME (1-19)'!U24:U24</xm:f>
              <xm:sqref>U25</xm:sqref>
            </x14:sparkline>
            <x14:sparkline>
              <xm:f>'E&amp;M SHOP INCOME (1-19)'!V24:V24</xm:f>
              <xm:sqref>V25</xm:sqref>
            </x14:sparkline>
            <x14:sparkline>
              <xm:f>'E&amp;M SHOP INCOME (1-19)'!W24:W24</xm:f>
              <xm:sqref>W25</xm:sqref>
            </x14:sparkline>
            <x14:sparkline>
              <xm:f>'E&amp;M SHOP INCOME (1-19)'!X24:X24</xm:f>
              <xm:sqref>X25</xm:sqref>
            </x14:sparkline>
            <x14:sparkline>
              <xm:f>'E&amp;M SHOP INCOME (1-19)'!Y24:Y24</xm:f>
              <xm:sqref>Y25</xm:sqref>
            </x14:sparkline>
            <x14:sparkline>
              <xm:f>'E&amp;M SHOP INCOME (1-19)'!Z24:Z24</xm:f>
              <xm:sqref>Z25</xm:sqref>
            </x14:sparkline>
            <x14:sparkline>
              <xm:f>'E&amp;M SHOP INCOME (1-19)'!AA24:AA24</xm:f>
              <xm:sqref>AA25</xm:sqref>
            </x14:sparkline>
            <x14:sparkline>
              <xm:f>'E&amp;M SHOP INCOME (1-19)'!AB24:AB24</xm:f>
              <xm:sqref>AB25</xm:sqref>
            </x14:sparkline>
            <x14:sparkline>
              <xm:f>'E&amp;M SHOP INCOME (1-19)'!AC24:AC24</xm:f>
              <xm:sqref>AC25</xm:sqref>
            </x14:sparkline>
            <x14:sparkline>
              <xm:f>'E&amp;M SHOP INCOME (1-19)'!AD24:AD24</xm:f>
              <xm:sqref>AD25</xm:sqref>
            </x14:sparkline>
            <x14:sparkline>
              <xm:f>'E&amp;M SHOP INCOME (1-19)'!AE24:AE24</xm:f>
              <xm:sqref>AE25</xm:sqref>
            </x14:sparkline>
            <x14:sparkline>
              <xm:f>'E&amp;M SHOP INCOME (1-19)'!AF24:AF24</xm:f>
              <xm:sqref>AF25</xm:sqref>
            </x14:sparkline>
            <x14:sparkline>
              <xm:f>'E&amp;M SHOP INCOME (1-19)'!AG24:AG24</xm:f>
              <xm:sqref>AG25</xm:sqref>
            </x14:sparkline>
            <x14:sparkline>
              <xm:f>'E&amp;M SHOP INCOME (1-19)'!AH24:AH24</xm:f>
              <xm:sqref>AH25</xm:sqref>
            </x14:sparkline>
            <x14:sparkline>
              <xm:f>'E&amp;M SHOP INCOME (1-19)'!AI24:AI24</xm:f>
              <xm:sqref>AI25</xm:sqref>
            </x14:sparkline>
            <x14:sparkline>
              <xm:f>'E&amp;M SHOP INCOME (1-19)'!AJ24:AJ24</xm:f>
              <xm:sqref>AJ25</xm:sqref>
            </x14:sparkline>
            <x14:sparkline>
              <xm:f>'E&amp;M SHOP INCOME (1-19)'!AK24:AK24</xm:f>
              <xm:sqref>AK25</xm:sqref>
            </x14:sparkline>
            <x14:sparkline>
              <xm:f>'E&amp;M SHOP INCOME (1-19)'!AL24:AL24</xm:f>
              <xm:sqref>AL25</xm:sqref>
            </x14:sparkline>
            <x14:sparkline>
              <xm:f>'E&amp;M SHOP INCOME (1-19)'!AM24:AM24</xm:f>
              <xm:sqref>AM25</xm:sqref>
            </x14:sparkline>
            <x14:sparkline>
              <xm:f>'E&amp;M SHOP INCOME (1-19)'!AN24:AN24</xm:f>
              <xm:sqref>AN25</xm:sqref>
            </x14:sparkline>
            <x14:sparkline>
              <xm:f>'E&amp;M SHOP INCOME (1-19)'!AO24:AO24</xm:f>
              <xm:sqref>AO25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FG54"/>
  <sheetViews>
    <sheetView zoomScale="85" zoomScaleNormal="85" zoomScaleSheetLayoutView="80" workbookViewId="0">
      <pane xSplit="11" ySplit="6" topLeftCell="AX7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760" customWidth="1"/>
    <col min="2" max="2" width="3.125" style="760" bestFit="1" customWidth="1"/>
    <col min="3" max="3" width="35.625" style="760" bestFit="1" customWidth="1"/>
    <col min="4" max="4" width="0.875" style="809" customWidth="1"/>
    <col min="5" max="5" width="9.75" style="760" bestFit="1" customWidth="1"/>
    <col min="6" max="9" width="11" style="760" hidden="1" customWidth="1"/>
    <col min="10" max="10" width="11" style="760" bestFit="1" customWidth="1"/>
    <col min="11" max="11" width="8.125" style="760" bestFit="1" customWidth="1"/>
    <col min="12" max="18" width="8.375" style="760" customWidth="1"/>
    <col min="19" max="19" width="0.875" style="773" customWidth="1"/>
    <col min="20" max="20" width="9.375" style="918" customWidth="1"/>
    <col min="21" max="21" width="7.75" style="918" customWidth="1"/>
    <col min="22" max="22" width="7.375" style="918" customWidth="1"/>
    <col min="23" max="23" width="0.875" style="773" customWidth="1"/>
    <col min="24" max="29" width="8.375" style="760" customWidth="1"/>
    <col min="30" max="30" width="7.75" style="760" customWidth="1"/>
    <col min="31" max="31" width="0.875" style="773" customWidth="1"/>
    <col min="32" max="32" width="9.375" style="918" customWidth="1"/>
    <col min="33" max="34" width="7.75" style="918" customWidth="1"/>
    <col min="35" max="35" width="0.875" style="773" customWidth="1"/>
    <col min="36" max="42" width="8.375" style="760" customWidth="1"/>
    <col min="43" max="43" width="0.875" style="773" customWidth="1"/>
    <col min="44" max="44" width="9.375" style="918" customWidth="1"/>
    <col min="45" max="45" width="7.75" style="918" customWidth="1"/>
    <col min="46" max="46" width="7.375" style="918" customWidth="1"/>
    <col min="47" max="47" width="0.875" style="773" customWidth="1"/>
    <col min="48" max="54" width="8.375" style="760" customWidth="1"/>
    <col min="55" max="55" width="0.875" style="773" customWidth="1"/>
    <col min="56" max="56" width="9.375" style="918" customWidth="1"/>
    <col min="57" max="58" width="8.375" style="918" customWidth="1"/>
    <col min="59" max="59" width="0.875" style="760" customWidth="1"/>
    <col min="60" max="61" width="9.375" style="760" bestFit="1" customWidth="1"/>
    <col min="62" max="62" width="1.75" style="760" customWidth="1"/>
    <col min="63" max="63" width="8.75" style="760" bestFit="1" customWidth="1"/>
    <col min="64" max="64" width="9.25" style="760" bestFit="1" customWidth="1"/>
    <col min="65" max="65" width="9.375" style="760" bestFit="1" customWidth="1"/>
    <col min="66" max="66" width="1.875" style="760" customWidth="1"/>
    <col min="67" max="68" width="10.625" style="760" bestFit="1" customWidth="1"/>
    <col min="69" max="69" width="9.25" style="760" bestFit="1" customWidth="1"/>
    <col min="70" max="70" width="7.375" style="760" bestFit="1" customWidth="1"/>
    <col min="71" max="71" width="11.25" style="760" bestFit="1" customWidth="1"/>
    <col min="72" max="72" width="10.625" style="760" bestFit="1" customWidth="1"/>
    <col min="73" max="73" width="10.375" style="760" bestFit="1" customWidth="1"/>
    <col min="74" max="74" width="9.375" style="760" bestFit="1" customWidth="1"/>
    <col min="75" max="76" width="11.25" style="760" bestFit="1" customWidth="1"/>
    <col min="77" max="77" width="11.375" style="760" bestFit="1" customWidth="1"/>
    <col min="78" max="78" width="9.375" style="760" bestFit="1" customWidth="1"/>
    <col min="79" max="16384" width="9.125" style="760"/>
  </cols>
  <sheetData>
    <row r="1" spans="1:163" ht="20.25" customHeight="1" thickBot="1" x14ac:dyDescent="0.25">
      <c r="C1" s="4456">
        <v>43497</v>
      </c>
      <c r="D1" s="811"/>
      <c r="E1" s="4466" t="s">
        <v>40</v>
      </c>
      <c r="F1" s="4466"/>
      <c r="G1" s="4466"/>
      <c r="H1" s="4466"/>
      <c r="I1" s="4466"/>
      <c r="J1" s="4466"/>
      <c r="K1" s="4467"/>
      <c r="L1" s="133"/>
      <c r="M1" s="309"/>
      <c r="N1" s="134"/>
      <c r="Y1" s="309"/>
      <c r="AW1" s="309"/>
      <c r="AZ1" s="277"/>
      <c r="BG1" s="4483" t="s">
        <v>90</v>
      </c>
      <c r="BH1" s="4483"/>
      <c r="BI1" s="4483"/>
      <c r="BJ1" s="4491"/>
      <c r="BK1" s="4492">
        <f>28/28</f>
        <v>1</v>
      </c>
      <c r="BL1" s="4493"/>
      <c r="BM1" s="4494"/>
      <c r="BO1" s="503">
        <f>BO2-BO3</f>
        <v>-86.366666666665878</v>
      </c>
      <c r="BP1" s="504">
        <f>BO1*30%</f>
        <v>-25.909999999999762</v>
      </c>
      <c r="BQ1" s="590">
        <f>BO1/BO3</f>
        <v>-2.3876883380177641E-2</v>
      </c>
      <c r="BR1" s="693"/>
      <c r="BS1" s="703">
        <f>BS2-BS3</f>
        <v>-1815.8666666666668</v>
      </c>
      <c r="BT1" s="704">
        <f>BS1*30%</f>
        <v>-544.76</v>
      </c>
      <c r="BU1" s="705">
        <f>BS1/BS3</f>
        <v>-0.33962593516209477</v>
      </c>
      <c r="BV1" s="694"/>
      <c r="BW1" s="703">
        <f>BW2-BW3</f>
        <v>2494.6333333333323</v>
      </c>
      <c r="BX1" s="972">
        <f>BW1*30%</f>
        <v>748.38999999999965</v>
      </c>
      <c r="BY1" s="705">
        <f>BW1/BW3</f>
        <v>2.4075599163583683</v>
      </c>
      <c r="BZ1" s="694"/>
    </row>
    <row r="2" spans="1:163" ht="20.25" customHeight="1" thickBot="1" x14ac:dyDescent="0.25">
      <c r="C2" s="4457"/>
      <c r="D2" s="808"/>
      <c r="E2" s="4466" t="s">
        <v>41</v>
      </c>
      <c r="F2" s="4466"/>
      <c r="G2" s="4466"/>
      <c r="H2" s="4466"/>
      <c r="I2" s="4466"/>
      <c r="J2" s="4466"/>
      <c r="K2" s="4467"/>
      <c r="L2" s="4510" t="s">
        <v>135</v>
      </c>
      <c r="M2" s="4511"/>
      <c r="N2" s="4511"/>
      <c r="O2" s="4511"/>
      <c r="P2" s="4511"/>
      <c r="Q2" s="4511"/>
      <c r="R2" s="4511"/>
      <c r="S2" s="776"/>
      <c r="T2" s="4512" t="s">
        <v>139</v>
      </c>
      <c r="U2" s="4513"/>
      <c r="V2" s="4514"/>
      <c r="W2" s="776"/>
      <c r="X2" s="4511" t="s">
        <v>136</v>
      </c>
      <c r="Y2" s="4511"/>
      <c r="Z2" s="4511"/>
      <c r="AA2" s="4511"/>
      <c r="AB2" s="4511"/>
      <c r="AC2" s="4511"/>
      <c r="AD2" s="4511"/>
      <c r="AE2" s="776"/>
      <c r="AF2" s="4512" t="s">
        <v>140</v>
      </c>
      <c r="AG2" s="4513"/>
      <c r="AH2" s="4514"/>
      <c r="AI2" s="776"/>
      <c r="AJ2" s="4511" t="s">
        <v>137</v>
      </c>
      <c r="AK2" s="4511"/>
      <c r="AL2" s="4511"/>
      <c r="AM2" s="4511"/>
      <c r="AN2" s="4511"/>
      <c r="AO2" s="4511"/>
      <c r="AP2" s="4511"/>
      <c r="AQ2" s="776"/>
      <c r="AR2" s="4512" t="s">
        <v>141</v>
      </c>
      <c r="AS2" s="4513"/>
      <c r="AT2" s="4514"/>
      <c r="AU2" s="776"/>
      <c r="AV2" s="4511" t="s">
        <v>138</v>
      </c>
      <c r="AW2" s="4511"/>
      <c r="AX2" s="4511"/>
      <c r="AY2" s="4511"/>
      <c r="AZ2" s="4511"/>
      <c r="BA2" s="4511"/>
      <c r="BB2" s="4511"/>
      <c r="BC2" s="776"/>
      <c r="BD2" s="4512" t="s">
        <v>142</v>
      </c>
      <c r="BE2" s="4513"/>
      <c r="BF2" s="4514"/>
      <c r="BH2" s="4473" t="s">
        <v>54</v>
      </c>
      <c r="BI2" s="4476" t="s">
        <v>61</v>
      </c>
      <c r="BK2" s="4495"/>
      <c r="BL2" s="4496"/>
      <c r="BM2" s="4497"/>
      <c r="BO2" s="505">
        <f>BK3/28*28</f>
        <v>3530.8</v>
      </c>
      <c r="BP2" s="506">
        <f>BO2*30%</f>
        <v>1059.24</v>
      </c>
      <c r="BQ2" s="507">
        <f>BP2-E24</f>
        <v>-25.909999999999854</v>
      </c>
      <c r="BR2" s="695"/>
      <c r="BS2" s="756">
        <f>BK3/28*28</f>
        <v>3530.8</v>
      </c>
      <c r="BT2" s="757">
        <f>BS2*30%</f>
        <v>1059.24</v>
      </c>
      <c r="BU2" s="761">
        <f>BT2-E37</f>
        <v>-4287.4266666666672</v>
      </c>
      <c r="BV2" s="696"/>
      <c r="BW2" s="756">
        <f>BK3/28*28</f>
        <v>3530.8</v>
      </c>
      <c r="BX2" s="757">
        <f>BW2*30%</f>
        <v>1059.24</v>
      </c>
      <c r="BY2" s="702">
        <f>BX2-E42</f>
        <v>23.07333333333213</v>
      </c>
      <c r="BZ2" s="696"/>
    </row>
    <row r="3" spans="1:163" s="426" customFormat="1" ht="15" customHeight="1" x14ac:dyDescent="0.2">
      <c r="C3" s="427" t="s">
        <v>130</v>
      </c>
      <c r="D3" s="812"/>
      <c r="E3" s="132"/>
      <c r="F3" s="132"/>
      <c r="G3" s="132"/>
      <c r="H3" s="132"/>
      <c r="I3" s="132"/>
      <c r="J3" s="132"/>
      <c r="K3" s="428"/>
      <c r="L3" s="429">
        <v>135.30000000000001</v>
      </c>
      <c r="M3" s="430">
        <v>151.6</v>
      </c>
      <c r="N3" s="430">
        <v>139.75</v>
      </c>
      <c r="O3" s="132">
        <v>113.25</v>
      </c>
      <c r="P3" s="132">
        <v>116</v>
      </c>
      <c r="Q3" s="132">
        <v>135.25</v>
      </c>
      <c r="R3" s="132">
        <v>105.5</v>
      </c>
      <c r="S3" s="777"/>
      <c r="T3" s="925">
        <f>SUM(L3:R3)</f>
        <v>896.65</v>
      </c>
      <c r="U3" s="132">
        <f>J26*7</f>
        <v>905.95833333333326</v>
      </c>
      <c r="V3" s="926">
        <f>T3-U3</f>
        <v>-9.3083333333332803</v>
      </c>
      <c r="W3" s="777"/>
      <c r="X3" s="132">
        <v>116.25</v>
      </c>
      <c r="Y3" s="132">
        <v>148.9</v>
      </c>
      <c r="Z3" s="132">
        <v>156.80000000000001</v>
      </c>
      <c r="AA3" s="132">
        <v>84</v>
      </c>
      <c r="AB3" s="132">
        <v>122.45</v>
      </c>
      <c r="AC3" s="132">
        <v>221.1</v>
      </c>
      <c r="AD3" s="132">
        <v>330.15</v>
      </c>
      <c r="AE3" s="777"/>
      <c r="AF3" s="925">
        <f>SUM(X3:AD3)</f>
        <v>1179.6500000000001</v>
      </c>
      <c r="AG3" s="132">
        <f>J26*7</f>
        <v>905.95833333333326</v>
      </c>
      <c r="AH3" s="926">
        <f>AF3-AG3</f>
        <v>273.69166666666683</v>
      </c>
      <c r="AI3" s="777"/>
      <c r="AJ3" s="132">
        <v>132.75</v>
      </c>
      <c r="AK3" s="132">
        <v>166.75</v>
      </c>
      <c r="AL3" s="132">
        <v>220.45</v>
      </c>
      <c r="AM3" s="132">
        <v>115.95</v>
      </c>
      <c r="AN3" s="132">
        <v>76.45</v>
      </c>
      <c r="AO3" s="132">
        <v>87.5</v>
      </c>
      <c r="AP3" s="132">
        <v>156.94999999999999</v>
      </c>
      <c r="AQ3" s="777"/>
      <c r="AR3" s="925">
        <f>SUM(AJ3:AP3)</f>
        <v>956.80000000000018</v>
      </c>
      <c r="AS3" s="132">
        <f>J26*7</f>
        <v>905.95833333333326</v>
      </c>
      <c r="AT3" s="926">
        <f>AR3-AS3</f>
        <v>50.841666666666924</v>
      </c>
      <c r="AU3" s="777"/>
      <c r="AV3" s="132">
        <v>0</v>
      </c>
      <c r="AW3" s="132">
        <v>92.7</v>
      </c>
      <c r="AX3" s="132">
        <v>75.650000000000006</v>
      </c>
      <c r="AY3" s="132">
        <v>118.35</v>
      </c>
      <c r="AZ3" s="132">
        <v>141</v>
      </c>
      <c r="BA3" s="132">
        <v>70</v>
      </c>
      <c r="BB3" s="132">
        <v>0</v>
      </c>
      <c r="BC3" s="777"/>
      <c r="BD3" s="925">
        <f>SUM(AV3:BB3)</f>
        <v>497.70000000000005</v>
      </c>
      <c r="BE3" s="132">
        <f>J26*3</f>
        <v>388.26785714285711</v>
      </c>
      <c r="BF3" s="926">
        <f>BD3-BE3</f>
        <v>109.43214285714294</v>
      </c>
      <c r="BG3" s="431"/>
      <c r="BH3" s="4474"/>
      <c r="BI3" s="4477"/>
      <c r="BJ3" s="431"/>
      <c r="BK3" s="467">
        <f>SUM(L3:R3)+SUM(X3:AD3)+SUM(AJ3:AP3)+SUM(AV3:BB3)</f>
        <v>3530.8</v>
      </c>
      <c r="BL3" s="493">
        <f>BK3/BO3</f>
        <v>0.97612311661982232</v>
      </c>
      <c r="BM3" s="496">
        <f>BK3/22</f>
        <v>160.4909090909091</v>
      </c>
      <c r="BO3" s="467">
        <f>E44</f>
        <v>3617.1666666666661</v>
      </c>
      <c r="BP3" s="474">
        <f>BO3-BK3</f>
        <v>86.366666666665878</v>
      </c>
      <c r="BQ3" s="496">
        <f>BP3/1</f>
        <v>86.366666666665878</v>
      </c>
      <c r="BR3" s="697">
        <f>BQ3-J44</f>
        <v>-42.817857142857918</v>
      </c>
      <c r="BS3" s="467">
        <f>E45</f>
        <v>5346.666666666667</v>
      </c>
      <c r="BT3" s="690">
        <f>BS3-BK3</f>
        <v>1815.8666666666668</v>
      </c>
      <c r="BU3" s="700">
        <f>BT3/1</f>
        <v>1815.8666666666668</v>
      </c>
      <c r="BV3" s="473">
        <f>BU3-J45</f>
        <v>1624.9142857142858</v>
      </c>
      <c r="BW3" s="467">
        <f>E42</f>
        <v>1036.1666666666679</v>
      </c>
      <c r="BX3" s="690">
        <f>BW3-BK3</f>
        <v>-2494.6333333333323</v>
      </c>
      <c r="BY3" s="700">
        <f>BX3/1</f>
        <v>-2494.6333333333323</v>
      </c>
      <c r="BZ3" s="473">
        <f>BY3-J46</f>
        <v>-2531.6392857142846</v>
      </c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</row>
    <row r="4" spans="1:163" s="432" customFormat="1" ht="15.75" thickBot="1" x14ac:dyDescent="0.25">
      <c r="C4" s="433" t="s">
        <v>89</v>
      </c>
      <c r="D4" s="780"/>
      <c r="E4" s="347"/>
      <c r="F4" s="347"/>
      <c r="G4" s="347"/>
      <c r="H4" s="347"/>
      <c r="I4" s="347"/>
      <c r="J4" s="347">
        <f>BH26</f>
        <v>-27.910000000000011</v>
      </c>
      <c r="K4" s="434"/>
      <c r="L4" s="711">
        <f>L3*30%</f>
        <v>40.590000000000003</v>
      </c>
      <c r="M4" s="347">
        <f>M3*30%</f>
        <v>45.48</v>
      </c>
      <c r="N4" s="347">
        <f>N3*30%</f>
        <v>41.924999999999997</v>
      </c>
      <c r="O4" s="347">
        <f t="shared" ref="O4:BB4" si="0">O3*30%</f>
        <v>33.975000000000001</v>
      </c>
      <c r="P4" s="347">
        <f t="shared" si="0"/>
        <v>34.799999999999997</v>
      </c>
      <c r="Q4" s="347">
        <f t="shared" si="0"/>
        <v>40.574999999999996</v>
      </c>
      <c r="R4" s="347">
        <f>R3*30%</f>
        <v>31.65</v>
      </c>
      <c r="S4" s="778"/>
      <c r="T4" s="927">
        <f>T3*30%</f>
        <v>268.995</v>
      </c>
      <c r="U4" s="347">
        <f>U3*30%</f>
        <v>271.78749999999997</v>
      </c>
      <c r="V4" s="928">
        <f>V3*30%</f>
        <v>-2.792499999999984</v>
      </c>
      <c r="W4" s="778"/>
      <c r="X4" s="347">
        <f t="shared" si="0"/>
        <v>34.875</v>
      </c>
      <c r="Y4" s="347">
        <f t="shared" si="0"/>
        <v>44.67</v>
      </c>
      <c r="Z4" s="347">
        <f t="shared" si="0"/>
        <v>47.04</v>
      </c>
      <c r="AA4" s="347">
        <f t="shared" si="0"/>
        <v>25.2</v>
      </c>
      <c r="AB4" s="347">
        <f t="shared" si="0"/>
        <v>36.734999999999999</v>
      </c>
      <c r="AC4" s="347">
        <f t="shared" si="0"/>
        <v>66.33</v>
      </c>
      <c r="AD4" s="347">
        <f t="shared" si="0"/>
        <v>99.044999999999987</v>
      </c>
      <c r="AE4" s="778"/>
      <c r="AF4" s="927">
        <f>SUM(X4:AD4)</f>
        <v>353.89499999999998</v>
      </c>
      <c r="AG4" s="347">
        <f>AG3*30%</f>
        <v>271.78749999999997</v>
      </c>
      <c r="AH4" s="928">
        <f>AH3*30%</f>
        <v>82.107500000000044</v>
      </c>
      <c r="AI4" s="778"/>
      <c r="AJ4" s="347">
        <f t="shared" si="0"/>
        <v>39.824999999999996</v>
      </c>
      <c r="AK4" s="347">
        <f t="shared" si="0"/>
        <v>50.024999999999999</v>
      </c>
      <c r="AL4" s="347">
        <f t="shared" si="0"/>
        <v>66.134999999999991</v>
      </c>
      <c r="AM4" s="347">
        <f t="shared" si="0"/>
        <v>34.784999999999997</v>
      </c>
      <c r="AN4" s="347">
        <f t="shared" si="0"/>
        <v>22.934999999999999</v>
      </c>
      <c r="AO4" s="347">
        <f t="shared" si="0"/>
        <v>26.25</v>
      </c>
      <c r="AP4" s="347">
        <f t="shared" si="0"/>
        <v>47.084999999999994</v>
      </c>
      <c r="AQ4" s="778"/>
      <c r="AR4" s="927">
        <f>SUM(AJ4:AP4)</f>
        <v>287.03999999999996</v>
      </c>
      <c r="AS4" s="347">
        <f>AS3*30%</f>
        <v>271.78749999999997</v>
      </c>
      <c r="AT4" s="928">
        <f>AR4-AS4</f>
        <v>15.252499999999998</v>
      </c>
      <c r="AU4" s="778"/>
      <c r="AV4" s="347">
        <f t="shared" si="0"/>
        <v>0</v>
      </c>
      <c r="AW4" s="347">
        <f t="shared" si="0"/>
        <v>27.81</v>
      </c>
      <c r="AX4" s="347">
        <f t="shared" si="0"/>
        <v>22.695</v>
      </c>
      <c r="AY4" s="347">
        <f t="shared" si="0"/>
        <v>35.504999999999995</v>
      </c>
      <c r="AZ4" s="347">
        <f t="shared" si="0"/>
        <v>42.3</v>
      </c>
      <c r="BA4" s="347">
        <f t="shared" si="0"/>
        <v>21</v>
      </c>
      <c r="BB4" s="347">
        <f t="shared" si="0"/>
        <v>0</v>
      </c>
      <c r="BC4" s="778"/>
      <c r="BD4" s="927">
        <f>SUM(AV4:BB4)</f>
        <v>149.31</v>
      </c>
      <c r="BE4" s="347">
        <f>BE3*30%</f>
        <v>116.48035714285713</v>
      </c>
      <c r="BF4" s="928">
        <f>BD4-BE4</f>
        <v>32.829642857142872</v>
      </c>
      <c r="BG4" s="437"/>
      <c r="BH4" s="4474"/>
      <c r="BI4" s="4477"/>
      <c r="BJ4" s="437"/>
      <c r="BK4" s="459">
        <f>SUM(L4:R4)+SUM(X4:AD4)+SUM(AJ4:AP4)+SUM(AV4:BB4)</f>
        <v>1059.2399999999998</v>
      </c>
      <c r="BL4" s="494">
        <f>BK4/E24</f>
        <v>0.9761231166198221</v>
      </c>
      <c r="BM4" s="497">
        <f>BK4/22</f>
        <v>48.147272727272714</v>
      </c>
      <c r="BO4" s="508">
        <f>BK4-E24</f>
        <v>-25.910000000000082</v>
      </c>
      <c r="BP4" s="509">
        <f>BO4/1</f>
        <v>-25.910000000000082</v>
      </c>
      <c r="BQ4" s="510">
        <f>BP4*100%/30%</f>
        <v>-86.366666666666944</v>
      </c>
      <c r="BR4" s="698">
        <f>BQ4+J44</f>
        <v>42.817857142856852</v>
      </c>
      <c r="BS4" s="508">
        <f>BK4-E35</f>
        <v>-544.76000000000022</v>
      </c>
      <c r="BT4" s="626">
        <f>BS4/1</f>
        <v>-544.76000000000022</v>
      </c>
      <c r="BU4" s="701">
        <f>BT4*100%/30%</f>
        <v>-1815.8666666666675</v>
      </c>
      <c r="BV4" s="469">
        <f>BU4+J45</f>
        <v>-1624.9142857142865</v>
      </c>
      <c r="BW4" s="508">
        <f>BK4-E41</f>
        <v>748.38999999999942</v>
      </c>
      <c r="BX4" s="626">
        <f>BW4/1</f>
        <v>748.38999999999942</v>
      </c>
      <c r="BY4" s="701">
        <f>BX4*100%/30%</f>
        <v>2494.6333333333314</v>
      </c>
      <c r="BZ4" s="469">
        <f>BY4+J46</f>
        <v>2531.6392857142837</v>
      </c>
      <c r="CA4" s="471"/>
      <c r="CB4" s="471"/>
      <c r="CC4" s="471"/>
      <c r="CD4" s="471"/>
      <c r="CE4" s="471"/>
      <c r="CF4" s="471"/>
      <c r="CG4" s="471"/>
      <c r="CH4" s="471"/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</row>
    <row r="5" spans="1:163" s="426" customFormat="1" ht="15" customHeight="1" thickBot="1" x14ac:dyDescent="0.25">
      <c r="C5" s="438"/>
      <c r="D5" s="438"/>
      <c r="K5" s="439"/>
      <c r="L5" s="445" t="s">
        <v>45</v>
      </c>
      <c r="M5" s="440" t="s">
        <v>46</v>
      </c>
      <c r="N5" s="440" t="s">
        <v>47</v>
      </c>
      <c r="O5" s="440" t="s">
        <v>48</v>
      </c>
      <c r="P5" s="440" t="s">
        <v>49</v>
      </c>
      <c r="Q5" s="440" t="s">
        <v>50</v>
      </c>
      <c r="R5" s="440" t="s">
        <v>51</v>
      </c>
      <c r="S5" s="779"/>
      <c r="T5" s="925"/>
      <c r="U5" s="440"/>
      <c r="V5" s="929"/>
      <c r="W5" s="779"/>
      <c r="X5" s="445" t="s">
        <v>45</v>
      </c>
      <c r="Y5" s="440" t="s">
        <v>46</v>
      </c>
      <c r="Z5" s="440" t="s">
        <v>47</v>
      </c>
      <c r="AA5" s="440" t="s">
        <v>48</v>
      </c>
      <c r="AB5" s="440" t="s">
        <v>49</v>
      </c>
      <c r="AC5" s="440" t="s">
        <v>50</v>
      </c>
      <c r="AD5" s="440" t="s">
        <v>51</v>
      </c>
      <c r="AE5" s="779"/>
      <c r="AF5" s="925"/>
      <c r="AG5" s="440"/>
      <c r="AH5" s="929"/>
      <c r="AI5" s="779"/>
      <c r="AJ5" s="445" t="s">
        <v>45</v>
      </c>
      <c r="AK5" s="440" t="s">
        <v>46</v>
      </c>
      <c r="AL5" s="440" t="s">
        <v>47</v>
      </c>
      <c r="AM5" s="440" t="s">
        <v>48</v>
      </c>
      <c r="AN5" s="440" t="s">
        <v>49</v>
      </c>
      <c r="AO5" s="440" t="s">
        <v>50</v>
      </c>
      <c r="AP5" s="440" t="s">
        <v>51</v>
      </c>
      <c r="AQ5" s="779"/>
      <c r="AR5" s="925"/>
      <c r="AS5" s="440"/>
      <c r="AT5" s="929"/>
      <c r="AU5" s="779"/>
      <c r="AV5" s="445" t="s">
        <v>45</v>
      </c>
      <c r="AW5" s="440" t="s">
        <v>46</v>
      </c>
      <c r="AX5" s="440" t="s">
        <v>47</v>
      </c>
      <c r="AY5" s="440" t="s">
        <v>48</v>
      </c>
      <c r="AZ5" s="440" t="s">
        <v>49</v>
      </c>
      <c r="BA5" s="440" t="s">
        <v>50</v>
      </c>
      <c r="BB5" s="440" t="s">
        <v>51</v>
      </c>
      <c r="BC5" s="779"/>
      <c r="BD5" s="925"/>
      <c r="BE5" s="440"/>
      <c r="BF5" s="929"/>
      <c r="BH5" s="4474"/>
      <c r="BI5" s="4477"/>
      <c r="BK5" s="468">
        <f>J44*28</f>
        <v>3617.1666666666661</v>
      </c>
      <c r="BL5" s="495">
        <f>BK5/BO3</f>
        <v>1</v>
      </c>
      <c r="BM5" s="498">
        <f>BK5/22</f>
        <v>164.41666666666663</v>
      </c>
      <c r="BR5" s="470"/>
      <c r="BS5" s="699"/>
      <c r="BT5" s="699"/>
      <c r="BU5" s="699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</row>
    <row r="6" spans="1:163" s="432" customFormat="1" ht="15.75" thickBot="1" x14ac:dyDescent="0.25">
      <c r="B6" s="433" t="s">
        <v>0</v>
      </c>
      <c r="C6" s="433" t="s">
        <v>1</v>
      </c>
      <c r="D6" s="780"/>
      <c r="E6" s="433" t="s">
        <v>24</v>
      </c>
      <c r="F6" s="127" t="s">
        <v>108</v>
      </c>
      <c r="G6" s="647" t="s">
        <v>109</v>
      </c>
      <c r="H6" s="651" t="s">
        <v>110</v>
      </c>
      <c r="I6" s="655" t="s">
        <v>111</v>
      </c>
      <c r="J6" s="659" t="s">
        <v>129</v>
      </c>
      <c r="K6" s="441" t="s">
        <v>2</v>
      </c>
      <c r="L6" s="442">
        <v>1</v>
      </c>
      <c r="M6" s="433">
        <v>2</v>
      </c>
      <c r="N6" s="433">
        <v>3</v>
      </c>
      <c r="O6" s="433">
        <v>4</v>
      </c>
      <c r="P6" s="433">
        <v>5</v>
      </c>
      <c r="Q6" s="433">
        <v>6</v>
      </c>
      <c r="R6" s="433">
        <v>7</v>
      </c>
      <c r="S6" s="780"/>
      <c r="T6" s="930"/>
      <c r="U6" s="931"/>
      <c r="V6" s="932"/>
      <c r="W6" s="780"/>
      <c r="X6" s="433">
        <v>8</v>
      </c>
      <c r="Y6" s="433">
        <v>9</v>
      </c>
      <c r="Z6" s="433">
        <v>10</v>
      </c>
      <c r="AA6" s="433">
        <v>11</v>
      </c>
      <c r="AB6" s="433">
        <v>12</v>
      </c>
      <c r="AC6" s="433">
        <v>13</v>
      </c>
      <c r="AD6" s="433">
        <v>14</v>
      </c>
      <c r="AE6" s="780"/>
      <c r="AF6" s="930"/>
      <c r="AG6" s="931"/>
      <c r="AH6" s="932"/>
      <c r="AI6" s="780"/>
      <c r="AJ6" s="433">
        <v>15</v>
      </c>
      <c r="AK6" s="433">
        <v>16</v>
      </c>
      <c r="AL6" s="433">
        <v>17</v>
      </c>
      <c r="AM6" s="433">
        <v>18</v>
      </c>
      <c r="AN6" s="433">
        <v>19</v>
      </c>
      <c r="AO6" s="433">
        <v>20</v>
      </c>
      <c r="AP6" s="433">
        <v>21</v>
      </c>
      <c r="AQ6" s="780"/>
      <c r="AR6" s="930"/>
      <c r="AS6" s="931"/>
      <c r="AT6" s="932"/>
      <c r="AU6" s="780"/>
      <c r="AV6" s="433">
        <v>22</v>
      </c>
      <c r="AW6" s="433">
        <v>23</v>
      </c>
      <c r="AX6" s="433">
        <v>24</v>
      </c>
      <c r="AY6" s="433">
        <v>25</v>
      </c>
      <c r="AZ6" s="433">
        <v>26</v>
      </c>
      <c r="BA6" s="433">
        <v>27</v>
      </c>
      <c r="BB6" s="433">
        <v>28</v>
      </c>
      <c r="BC6" s="780"/>
      <c r="BD6" s="930"/>
      <c r="BE6" s="931"/>
      <c r="BF6" s="932"/>
      <c r="BH6" s="4475"/>
      <c r="BI6" s="4478"/>
      <c r="BK6" s="443" t="s">
        <v>7</v>
      </c>
      <c r="BL6" s="443" t="s">
        <v>2</v>
      </c>
      <c r="BM6" s="444"/>
      <c r="BO6" s="512">
        <f>BL3-BK1</f>
        <v>-2.3876883380177683E-2</v>
      </c>
      <c r="BP6" s="444"/>
      <c r="BQ6" s="444" t="s">
        <v>101</v>
      </c>
      <c r="BR6" s="472"/>
      <c r="BS6" s="471"/>
      <c r="BT6" s="471"/>
      <c r="BU6" s="471"/>
      <c r="BV6" s="471"/>
      <c r="BW6" s="471"/>
      <c r="BX6" s="471"/>
      <c r="BY6" s="471"/>
      <c r="BZ6" s="471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</row>
    <row r="7" spans="1:163" s="255" customFormat="1" ht="15" customHeight="1" thickBot="1" x14ac:dyDescent="0.25">
      <c r="B7" s="81"/>
      <c r="C7" s="81" t="s">
        <v>19</v>
      </c>
      <c r="D7" s="81"/>
      <c r="E7" s="81"/>
      <c r="F7" s="81"/>
      <c r="G7" s="81"/>
      <c r="H7" s="81"/>
      <c r="I7" s="81"/>
      <c r="J7" s="81"/>
      <c r="K7" s="33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K7" s="4502" t="s">
        <v>99</v>
      </c>
      <c r="BL7" s="4502"/>
      <c r="BM7" s="81"/>
      <c r="BO7" s="50"/>
    </row>
    <row r="8" spans="1:163" s="432" customFormat="1" x14ac:dyDescent="0.2">
      <c r="A8" s="775"/>
      <c r="B8" s="433">
        <v>1</v>
      </c>
      <c r="C8" s="433" t="s">
        <v>134</v>
      </c>
      <c r="D8" s="780"/>
      <c r="E8" s="347">
        <v>400</v>
      </c>
      <c r="F8" s="347">
        <f t="shared" ref="F8:F22" si="1">E8/10</f>
        <v>40</v>
      </c>
      <c r="G8" s="347">
        <f t="shared" ref="G8:G22" si="2">E8/15</f>
        <v>26.666666666666668</v>
      </c>
      <c r="H8" s="347">
        <f t="shared" ref="H8:H22" si="3">E8/20</f>
        <v>20</v>
      </c>
      <c r="I8" s="347">
        <f t="shared" ref="I8:I22" si="4">E8/25</f>
        <v>16</v>
      </c>
      <c r="J8" s="347">
        <f>E8/28</f>
        <v>14.285714285714286</v>
      </c>
      <c r="K8" s="531">
        <f t="shared" ref="K8:K22" si="5">E8/$E$24</f>
        <v>0.36861263419803719</v>
      </c>
      <c r="L8" s="483">
        <f t="shared" ref="L8:R8" si="6">$J$8</f>
        <v>14.285714285714286</v>
      </c>
      <c r="M8" s="483">
        <f t="shared" si="6"/>
        <v>14.285714285714286</v>
      </c>
      <c r="N8" s="483">
        <f t="shared" si="6"/>
        <v>14.285714285714286</v>
      </c>
      <c r="O8" s="483">
        <f t="shared" si="6"/>
        <v>14.285714285714286</v>
      </c>
      <c r="P8" s="483">
        <f t="shared" si="6"/>
        <v>14.285714285714286</v>
      </c>
      <c r="Q8" s="483">
        <f t="shared" si="6"/>
        <v>14.285714285714286</v>
      </c>
      <c r="R8" s="483">
        <f t="shared" si="6"/>
        <v>14.285714285714286</v>
      </c>
      <c r="S8" s="781"/>
      <c r="T8" s="933">
        <f>SUM(L8:R8)</f>
        <v>100.00000000000001</v>
      </c>
      <c r="U8" s="934">
        <f>($T$3*K8)*30%</f>
        <v>99.154955536100999</v>
      </c>
      <c r="V8" s="935">
        <f>U8-T8</f>
        <v>-0.84504446389901489</v>
      </c>
      <c r="W8" s="781"/>
      <c r="X8" s="483">
        <f t="shared" ref="X8:AD8" si="7">$J$8</f>
        <v>14.285714285714286</v>
      </c>
      <c r="Y8" s="483">
        <f t="shared" si="7"/>
        <v>14.285714285714286</v>
      </c>
      <c r="Z8" s="483">
        <f t="shared" si="7"/>
        <v>14.285714285714286</v>
      </c>
      <c r="AA8" s="483">
        <f t="shared" si="7"/>
        <v>14.285714285714286</v>
      </c>
      <c r="AB8" s="483">
        <f t="shared" si="7"/>
        <v>14.285714285714286</v>
      </c>
      <c r="AC8" s="483">
        <f t="shared" si="7"/>
        <v>14.285714285714286</v>
      </c>
      <c r="AD8" s="483">
        <f t="shared" si="7"/>
        <v>14.285714285714286</v>
      </c>
      <c r="AE8" s="781"/>
      <c r="AF8" s="933">
        <f t="shared" ref="AF8:AF22" si="8">SUM(X8:AD8)</f>
        <v>100.00000000000001</v>
      </c>
      <c r="AG8" s="934">
        <f>($AF$3*K8)*30%</f>
        <v>130.45016817951438</v>
      </c>
      <c r="AH8" s="935">
        <f>AG8-AF8</f>
        <v>30.450168179514364</v>
      </c>
      <c r="AI8" s="781"/>
      <c r="AJ8" s="483">
        <f t="shared" ref="AJ8:AP8" si="9">$J$8</f>
        <v>14.285714285714286</v>
      </c>
      <c r="AK8" s="483">
        <f t="shared" si="9"/>
        <v>14.285714285714286</v>
      </c>
      <c r="AL8" s="483">
        <f t="shared" si="9"/>
        <v>14.285714285714286</v>
      </c>
      <c r="AM8" s="483">
        <f t="shared" si="9"/>
        <v>14.285714285714286</v>
      </c>
      <c r="AN8" s="483">
        <f t="shared" si="9"/>
        <v>14.285714285714286</v>
      </c>
      <c r="AO8" s="483">
        <f t="shared" si="9"/>
        <v>14.285714285714286</v>
      </c>
      <c r="AP8" s="483">
        <f t="shared" si="9"/>
        <v>14.285714285714286</v>
      </c>
      <c r="AQ8" s="781"/>
      <c r="AR8" s="933">
        <f>SUM(AJ8:AP8)</f>
        <v>100.00000000000001</v>
      </c>
      <c r="AS8" s="934">
        <f>($AR$3*K8)*30%</f>
        <v>105.80657052020462</v>
      </c>
      <c r="AT8" s="935">
        <f>AS8-AR8</f>
        <v>5.8065705202046018</v>
      </c>
      <c r="AU8" s="781"/>
      <c r="AV8" s="483">
        <f t="shared" ref="AV8:BB8" si="10">$J$8</f>
        <v>14.285714285714286</v>
      </c>
      <c r="AW8" s="483">
        <f t="shared" si="10"/>
        <v>14.285714285714286</v>
      </c>
      <c r="AX8" s="483">
        <f t="shared" si="10"/>
        <v>14.285714285714286</v>
      </c>
      <c r="AY8" s="483">
        <f t="shared" si="10"/>
        <v>14.285714285714286</v>
      </c>
      <c r="AZ8" s="483">
        <f t="shared" si="10"/>
        <v>14.285714285714286</v>
      </c>
      <c r="BA8" s="483">
        <f t="shared" si="10"/>
        <v>14.285714285714286</v>
      </c>
      <c r="BB8" s="483">
        <f t="shared" si="10"/>
        <v>14.285714285714286</v>
      </c>
      <c r="BC8" s="781"/>
      <c r="BD8" s="933">
        <f t="shared" ref="BD8:BD22" si="11">SUM(AV8:BB8)</f>
        <v>100.00000000000001</v>
      </c>
      <c r="BE8" s="934">
        <f>($BD$3*K8)*30%</f>
        <v>55.03755241210893</v>
      </c>
      <c r="BF8" s="935">
        <f>BE8-BD8</f>
        <v>-44.962447587891084</v>
      </c>
      <c r="BH8" s="764">
        <v>400</v>
      </c>
      <c r="BI8" s="485">
        <f t="shared" ref="BI8:BI22" si="12">BH8/E8</f>
        <v>1</v>
      </c>
      <c r="BK8" s="347">
        <f>SUM(L8:R8)+SUM(X8:AD8)+SUM(AJ8:AP8)+SUM(AV8:BB8)</f>
        <v>400.00000000000006</v>
      </c>
      <c r="BL8" s="485">
        <f t="shared" ref="BL8:BL22" si="13">BK8/E8</f>
        <v>1.0000000000000002</v>
      </c>
      <c r="BM8" s="482"/>
      <c r="BO8" s="481"/>
      <c r="BP8" s="482"/>
      <c r="BQ8" s="482"/>
    </row>
    <row r="9" spans="1:163" s="255" customFormat="1" x14ac:dyDescent="0.2">
      <c r="B9" s="43">
        <v>2</v>
      </c>
      <c r="C9" s="43" t="s">
        <v>22</v>
      </c>
      <c r="D9" s="813"/>
      <c r="E9" s="40">
        <v>200</v>
      </c>
      <c r="F9" s="40">
        <f t="shared" si="1"/>
        <v>20</v>
      </c>
      <c r="G9" s="40">
        <f t="shared" si="2"/>
        <v>13.333333333333334</v>
      </c>
      <c r="H9" s="40">
        <f t="shared" si="3"/>
        <v>10</v>
      </c>
      <c r="I9" s="40">
        <f t="shared" si="4"/>
        <v>8</v>
      </c>
      <c r="J9" s="40">
        <f t="shared" ref="J9:J22" si="14">E9/28</f>
        <v>7.1428571428571432</v>
      </c>
      <c r="K9" s="206">
        <f t="shared" si="5"/>
        <v>0.1843063170990186</v>
      </c>
      <c r="L9" s="759">
        <f t="shared" ref="L9:R9" si="15">$J$9</f>
        <v>7.1428571428571432</v>
      </c>
      <c r="M9" s="763">
        <f t="shared" si="15"/>
        <v>7.1428571428571432</v>
      </c>
      <c r="N9" s="765">
        <f t="shared" si="15"/>
        <v>7.1428571428571432</v>
      </c>
      <c r="O9" s="768">
        <f t="shared" si="15"/>
        <v>7.1428571428571432</v>
      </c>
      <c r="P9" s="768">
        <f t="shared" si="15"/>
        <v>7.1428571428571432</v>
      </c>
      <c r="Q9" s="769">
        <f t="shared" si="15"/>
        <v>7.1428571428571432</v>
      </c>
      <c r="R9" s="772">
        <f t="shared" si="15"/>
        <v>7.1428571428571432</v>
      </c>
      <c r="S9" s="782"/>
      <c r="T9" s="911">
        <f t="shared" ref="T9:T46" si="16">SUM(L9:R9)</f>
        <v>50.000000000000007</v>
      </c>
      <c r="U9" s="917">
        <f t="shared" ref="U9:U22" si="17">($T$3*K9)*30%</f>
        <v>49.5774777680505</v>
      </c>
      <c r="V9" s="936">
        <f t="shared" ref="V9:V22" si="18">U9-T9</f>
        <v>-0.42252223194950744</v>
      </c>
      <c r="W9" s="782"/>
      <c r="X9" s="759">
        <f t="shared" ref="X9:AD9" si="19">$J$9</f>
        <v>7.1428571428571432</v>
      </c>
      <c r="Y9" s="790">
        <f t="shared" si="19"/>
        <v>7.1428571428571432</v>
      </c>
      <c r="Z9" s="793">
        <f t="shared" si="19"/>
        <v>7.1428571428571432</v>
      </c>
      <c r="AA9" s="794">
        <f t="shared" si="19"/>
        <v>7.1428571428571432</v>
      </c>
      <c r="AB9" s="796">
        <f t="shared" si="19"/>
        <v>7.1428571428571432</v>
      </c>
      <c r="AC9" s="796">
        <f t="shared" si="19"/>
        <v>7.1428571428571432</v>
      </c>
      <c r="AD9" s="798">
        <f t="shared" si="19"/>
        <v>7.1428571428571432</v>
      </c>
      <c r="AE9" s="782"/>
      <c r="AF9" s="911">
        <f t="shared" si="8"/>
        <v>50.000000000000007</v>
      </c>
      <c r="AG9" s="917">
        <f t="shared" ref="AG9:AG22" si="20">($AF$3*K9)*30%</f>
        <v>65.225084089757189</v>
      </c>
      <c r="AH9" s="936">
        <f t="shared" ref="AH9:AH22" si="21">AG9-AF9</f>
        <v>15.225084089757182</v>
      </c>
      <c r="AI9" s="782"/>
      <c r="AJ9" s="759">
        <f t="shared" ref="AJ9:AP9" si="22">$J$9</f>
        <v>7.1428571428571432</v>
      </c>
      <c r="AK9" s="801">
        <f t="shared" si="22"/>
        <v>7.1428571428571432</v>
      </c>
      <c r="AL9" s="802">
        <f t="shared" si="22"/>
        <v>7.1428571428571432</v>
      </c>
      <c r="AM9" s="805">
        <f t="shared" si="22"/>
        <v>7.1428571428571432</v>
      </c>
      <c r="AN9" s="806">
        <f t="shared" si="22"/>
        <v>7.1428571428571432</v>
      </c>
      <c r="AO9" s="823">
        <f t="shared" si="22"/>
        <v>7.1428571428571432</v>
      </c>
      <c r="AP9" s="826">
        <f t="shared" si="22"/>
        <v>7.1428571428571432</v>
      </c>
      <c r="AQ9" s="782"/>
      <c r="AR9" s="911">
        <f t="shared" ref="AR9:AR22" si="23">SUM(AJ9:AP9)</f>
        <v>50.000000000000007</v>
      </c>
      <c r="AS9" s="917">
        <f t="shared" ref="AS9:AS22" si="24">($AR$3*K9)*30%</f>
        <v>52.903285260102308</v>
      </c>
      <c r="AT9" s="936">
        <f t="shared" ref="AT9:AT12" si="25">AS9-AR9</f>
        <v>2.9032852601023009</v>
      </c>
      <c r="AU9" s="782"/>
      <c r="AV9" s="759">
        <f t="shared" ref="AV9:BB9" si="26">$J$9</f>
        <v>7.1428571428571432</v>
      </c>
      <c r="AW9" s="961">
        <f t="shared" si="26"/>
        <v>7.1428571428571432</v>
      </c>
      <c r="AX9" s="967">
        <f t="shared" si="26"/>
        <v>7.1428571428571432</v>
      </c>
      <c r="AY9" s="971">
        <f t="shared" si="26"/>
        <v>7.1428571428571432</v>
      </c>
      <c r="AZ9" s="977">
        <f t="shared" si="26"/>
        <v>7.1428571428571432</v>
      </c>
      <c r="BA9" s="979">
        <f t="shared" si="26"/>
        <v>7.1428571428571432</v>
      </c>
      <c r="BB9" s="980">
        <f t="shared" si="26"/>
        <v>7.1428571428571432</v>
      </c>
      <c r="BC9" s="782"/>
      <c r="BD9" s="911">
        <f t="shared" si="11"/>
        <v>50.000000000000007</v>
      </c>
      <c r="BE9" s="917">
        <f t="shared" ref="BE9:BE22" si="27">($BD$3*K9)*30%</f>
        <v>27.518776206054465</v>
      </c>
      <c r="BF9" s="936">
        <f t="shared" ref="BF9:BF12" si="28">BE9-BD9</f>
        <v>-22.481223793945542</v>
      </c>
      <c r="BH9" s="187">
        <v>200</v>
      </c>
      <c r="BI9" s="51">
        <f t="shared" si="12"/>
        <v>1</v>
      </c>
      <c r="BK9" s="132">
        <f t="shared" ref="BK9:BK21" si="29">SUM(L9:R9)+SUM(X9:AD9)+SUM(AJ9:AP9)+SUM(AV9:BB9)</f>
        <v>200.00000000000003</v>
      </c>
      <c r="BL9" s="641">
        <f t="shared" si="13"/>
        <v>1.0000000000000002</v>
      </c>
      <c r="BM9" s="62"/>
      <c r="BO9" s="61"/>
      <c r="BP9" s="62"/>
      <c r="BQ9" s="62"/>
    </row>
    <row r="10" spans="1:163" x14ac:dyDescent="0.2">
      <c r="B10" s="3">
        <v>3</v>
      </c>
      <c r="C10" s="433" t="s">
        <v>38</v>
      </c>
      <c r="D10" s="780"/>
      <c r="E10" s="5">
        <v>120</v>
      </c>
      <c r="F10" s="5">
        <f t="shared" si="1"/>
        <v>12</v>
      </c>
      <c r="G10" s="5">
        <f t="shared" si="2"/>
        <v>8</v>
      </c>
      <c r="H10" s="5">
        <f t="shared" si="3"/>
        <v>6</v>
      </c>
      <c r="I10" s="5">
        <f t="shared" si="4"/>
        <v>4.8</v>
      </c>
      <c r="J10" s="5">
        <f t="shared" si="14"/>
        <v>4.2857142857142856</v>
      </c>
      <c r="K10" s="194">
        <f t="shared" si="5"/>
        <v>0.11058379025941116</v>
      </c>
      <c r="L10" s="758">
        <f t="shared" ref="L10:R10" si="30">$J$10</f>
        <v>4.2857142857142856</v>
      </c>
      <c r="M10" s="762">
        <f t="shared" si="30"/>
        <v>4.2857142857142856</v>
      </c>
      <c r="N10" s="766">
        <f t="shared" si="30"/>
        <v>4.2857142857142856</v>
      </c>
      <c r="O10" s="767">
        <f t="shared" si="30"/>
        <v>4.2857142857142856</v>
      </c>
      <c r="P10" s="767">
        <f t="shared" si="30"/>
        <v>4.2857142857142856</v>
      </c>
      <c r="Q10" s="770">
        <f t="shared" si="30"/>
        <v>4.2857142857142856</v>
      </c>
      <c r="R10" s="771">
        <f t="shared" si="30"/>
        <v>4.2857142857142856</v>
      </c>
      <c r="S10" s="145"/>
      <c r="T10" s="937">
        <f t="shared" si="16"/>
        <v>29.999999999999996</v>
      </c>
      <c r="U10" s="916">
        <f t="shared" si="17"/>
        <v>29.746486660830303</v>
      </c>
      <c r="V10" s="938">
        <f t="shared" si="18"/>
        <v>-0.2535133391696931</v>
      </c>
      <c r="W10" s="145"/>
      <c r="X10" s="758">
        <f t="shared" ref="X10:AD10" si="31">$J$10</f>
        <v>4.2857142857142856</v>
      </c>
      <c r="Y10" s="789">
        <f t="shared" si="31"/>
        <v>4.2857142857142856</v>
      </c>
      <c r="Z10" s="792">
        <f t="shared" si="31"/>
        <v>4.2857142857142856</v>
      </c>
      <c r="AA10" s="795">
        <f t="shared" si="31"/>
        <v>4.2857142857142856</v>
      </c>
      <c r="AB10" s="797">
        <f t="shared" si="31"/>
        <v>4.2857142857142856</v>
      </c>
      <c r="AC10" s="797">
        <f t="shared" si="31"/>
        <v>4.2857142857142856</v>
      </c>
      <c r="AD10" s="799">
        <f t="shared" si="31"/>
        <v>4.2857142857142856</v>
      </c>
      <c r="AE10" s="145"/>
      <c r="AF10" s="937">
        <f t="shared" si="8"/>
        <v>29.999999999999996</v>
      </c>
      <c r="AG10" s="916">
        <f t="shared" si="20"/>
        <v>39.135050453854312</v>
      </c>
      <c r="AH10" s="938">
        <f t="shared" si="21"/>
        <v>9.1350504538543156</v>
      </c>
      <c r="AI10" s="145"/>
      <c r="AJ10" s="758">
        <f t="shared" ref="AJ10:AP10" si="32">$J$10</f>
        <v>4.2857142857142856</v>
      </c>
      <c r="AK10" s="800">
        <f t="shared" si="32"/>
        <v>4.2857142857142856</v>
      </c>
      <c r="AL10" s="803">
        <f t="shared" si="32"/>
        <v>4.2857142857142856</v>
      </c>
      <c r="AM10" s="804">
        <f t="shared" si="32"/>
        <v>4.2857142857142856</v>
      </c>
      <c r="AN10" s="807">
        <f t="shared" si="32"/>
        <v>4.2857142857142856</v>
      </c>
      <c r="AO10" s="824">
        <f t="shared" si="32"/>
        <v>4.2857142857142856</v>
      </c>
      <c r="AP10" s="825">
        <f t="shared" si="32"/>
        <v>4.2857142857142856</v>
      </c>
      <c r="AQ10" s="145"/>
      <c r="AR10" s="937">
        <f t="shared" si="23"/>
        <v>29.999999999999996</v>
      </c>
      <c r="AS10" s="916">
        <f t="shared" si="24"/>
        <v>31.741971156061382</v>
      </c>
      <c r="AT10" s="938">
        <f t="shared" si="25"/>
        <v>1.7419711560613855</v>
      </c>
      <c r="AU10" s="145"/>
      <c r="AV10" s="758">
        <f t="shared" ref="AV10:BB10" si="33">$J$10</f>
        <v>4.2857142857142856</v>
      </c>
      <c r="AW10" s="960">
        <f t="shared" si="33"/>
        <v>4.2857142857142856</v>
      </c>
      <c r="AX10" s="966">
        <f t="shared" si="33"/>
        <v>4.2857142857142856</v>
      </c>
      <c r="AY10" s="970">
        <f t="shared" si="33"/>
        <v>4.2857142857142856</v>
      </c>
      <c r="AZ10" s="976">
        <f t="shared" si="33"/>
        <v>4.2857142857142856</v>
      </c>
      <c r="BA10" s="978">
        <f t="shared" si="33"/>
        <v>4.2857142857142856</v>
      </c>
      <c r="BB10" s="981">
        <f t="shared" si="33"/>
        <v>4.2857142857142856</v>
      </c>
      <c r="BC10" s="145"/>
      <c r="BD10" s="937">
        <f t="shared" si="11"/>
        <v>29.999999999999996</v>
      </c>
      <c r="BE10" s="916">
        <f t="shared" si="27"/>
        <v>16.511265723632679</v>
      </c>
      <c r="BF10" s="938">
        <f t="shared" si="28"/>
        <v>-13.488734276367317</v>
      </c>
      <c r="BH10" s="764">
        <v>113</v>
      </c>
      <c r="BI10" s="9">
        <f t="shared" si="12"/>
        <v>0.94166666666666665</v>
      </c>
      <c r="BK10" s="5">
        <f t="shared" si="29"/>
        <v>119.99999999999999</v>
      </c>
      <c r="BL10" s="9">
        <f t="shared" si="13"/>
        <v>0.99999999999999989</v>
      </c>
      <c r="BM10" s="29"/>
      <c r="BO10" s="692"/>
      <c r="BP10" s="4503"/>
      <c r="BQ10" s="29"/>
      <c r="BS10" s="314"/>
    </row>
    <row r="11" spans="1:163" s="255" customFormat="1" x14ac:dyDescent="0.2">
      <c r="B11" s="43">
        <v>4</v>
      </c>
      <c r="C11" s="427" t="s">
        <v>115</v>
      </c>
      <c r="D11" s="812"/>
      <c r="E11" s="40">
        <v>75</v>
      </c>
      <c r="F11" s="40">
        <f t="shared" si="1"/>
        <v>7.5</v>
      </c>
      <c r="G11" s="40">
        <f t="shared" si="2"/>
        <v>5</v>
      </c>
      <c r="H11" s="40">
        <f t="shared" si="3"/>
        <v>3.75</v>
      </c>
      <c r="I11" s="40">
        <f t="shared" si="4"/>
        <v>3</v>
      </c>
      <c r="J11" s="40">
        <f t="shared" si="14"/>
        <v>2.6785714285714284</v>
      </c>
      <c r="K11" s="206">
        <f t="shared" si="5"/>
        <v>6.9114868912131977E-2</v>
      </c>
      <c r="L11" s="759">
        <f t="shared" ref="L11:R11" si="34">$J$11</f>
        <v>2.6785714285714284</v>
      </c>
      <c r="M11" s="763">
        <f t="shared" si="34"/>
        <v>2.6785714285714284</v>
      </c>
      <c r="N11" s="765">
        <f t="shared" si="34"/>
        <v>2.6785714285714284</v>
      </c>
      <c r="O11" s="768">
        <f t="shared" si="34"/>
        <v>2.6785714285714284</v>
      </c>
      <c r="P11" s="768">
        <f t="shared" si="34"/>
        <v>2.6785714285714284</v>
      </c>
      <c r="Q11" s="769">
        <f t="shared" si="34"/>
        <v>2.6785714285714284</v>
      </c>
      <c r="R11" s="772">
        <f t="shared" si="34"/>
        <v>2.6785714285714284</v>
      </c>
      <c r="S11" s="782"/>
      <c r="T11" s="911">
        <f t="shared" si="16"/>
        <v>18.749999999999996</v>
      </c>
      <c r="U11" s="917">
        <f t="shared" si="17"/>
        <v>18.591554163018941</v>
      </c>
      <c r="V11" s="936">
        <f t="shared" si="18"/>
        <v>-0.15844583698105552</v>
      </c>
      <c r="W11" s="782"/>
      <c r="X11" s="759">
        <f t="shared" ref="X11:AD11" si="35">$J$11</f>
        <v>2.6785714285714284</v>
      </c>
      <c r="Y11" s="790">
        <f t="shared" si="35"/>
        <v>2.6785714285714284</v>
      </c>
      <c r="Z11" s="793">
        <f t="shared" si="35"/>
        <v>2.6785714285714284</v>
      </c>
      <c r="AA11" s="794">
        <f t="shared" si="35"/>
        <v>2.6785714285714284</v>
      </c>
      <c r="AB11" s="796">
        <f t="shared" si="35"/>
        <v>2.6785714285714284</v>
      </c>
      <c r="AC11" s="796">
        <f t="shared" si="35"/>
        <v>2.6785714285714284</v>
      </c>
      <c r="AD11" s="798">
        <f t="shared" si="35"/>
        <v>2.6785714285714284</v>
      </c>
      <c r="AE11" s="782"/>
      <c r="AF11" s="911">
        <f t="shared" si="8"/>
        <v>18.749999999999996</v>
      </c>
      <c r="AG11" s="917">
        <f t="shared" si="20"/>
        <v>24.459406533658946</v>
      </c>
      <c r="AH11" s="936">
        <f t="shared" si="21"/>
        <v>5.7094065336589495</v>
      </c>
      <c r="AI11" s="782"/>
      <c r="AJ11" s="759">
        <f t="shared" ref="AJ11:AP11" si="36">$J$11</f>
        <v>2.6785714285714284</v>
      </c>
      <c r="AK11" s="801">
        <f t="shared" si="36"/>
        <v>2.6785714285714284</v>
      </c>
      <c r="AL11" s="802">
        <f t="shared" si="36"/>
        <v>2.6785714285714284</v>
      </c>
      <c r="AM11" s="805">
        <f t="shared" si="36"/>
        <v>2.6785714285714284</v>
      </c>
      <c r="AN11" s="806">
        <f t="shared" si="36"/>
        <v>2.6785714285714284</v>
      </c>
      <c r="AO11" s="823">
        <f t="shared" si="36"/>
        <v>2.6785714285714284</v>
      </c>
      <c r="AP11" s="826">
        <f t="shared" si="36"/>
        <v>2.6785714285714284</v>
      </c>
      <c r="AQ11" s="782"/>
      <c r="AR11" s="911">
        <f t="shared" si="23"/>
        <v>18.749999999999996</v>
      </c>
      <c r="AS11" s="917">
        <f t="shared" si="24"/>
        <v>19.838731972538366</v>
      </c>
      <c r="AT11" s="936">
        <f t="shared" si="25"/>
        <v>1.0887319725383691</v>
      </c>
      <c r="AU11" s="782"/>
      <c r="AV11" s="759">
        <f t="shared" ref="AV11:BB11" si="37">$J$11</f>
        <v>2.6785714285714284</v>
      </c>
      <c r="AW11" s="961">
        <f t="shared" si="37"/>
        <v>2.6785714285714284</v>
      </c>
      <c r="AX11" s="967">
        <f t="shared" si="37"/>
        <v>2.6785714285714284</v>
      </c>
      <c r="AY11" s="971">
        <f t="shared" si="37"/>
        <v>2.6785714285714284</v>
      </c>
      <c r="AZ11" s="977">
        <f t="shared" si="37"/>
        <v>2.6785714285714284</v>
      </c>
      <c r="BA11" s="979">
        <f t="shared" si="37"/>
        <v>2.6785714285714284</v>
      </c>
      <c r="BB11" s="980">
        <f t="shared" si="37"/>
        <v>2.6785714285714284</v>
      </c>
      <c r="BC11" s="782"/>
      <c r="BD11" s="911">
        <f t="shared" si="11"/>
        <v>18.749999999999996</v>
      </c>
      <c r="BE11" s="917">
        <f t="shared" si="27"/>
        <v>10.319541077270426</v>
      </c>
      <c r="BF11" s="936">
        <f t="shared" si="28"/>
        <v>-8.4304589227295708</v>
      </c>
      <c r="BH11" s="187">
        <v>75</v>
      </c>
      <c r="BI11" s="51">
        <f t="shared" si="12"/>
        <v>1</v>
      </c>
      <c r="BK11" s="40">
        <f t="shared" si="29"/>
        <v>74.999999999999986</v>
      </c>
      <c r="BL11" s="51">
        <f t="shared" si="13"/>
        <v>0.99999999999999978</v>
      </c>
      <c r="BM11" s="62"/>
      <c r="BO11" s="61"/>
      <c r="BP11" s="4503"/>
      <c r="BQ11" s="62"/>
    </row>
    <row r="12" spans="1:163" x14ac:dyDescent="0.2">
      <c r="B12" s="3">
        <v>5</v>
      </c>
      <c r="C12" s="3" t="s">
        <v>127</v>
      </c>
      <c r="D12" s="814"/>
      <c r="E12" s="5">
        <v>73.900000000000006</v>
      </c>
      <c r="F12" s="5">
        <f t="shared" si="1"/>
        <v>7.3900000000000006</v>
      </c>
      <c r="G12" s="5">
        <f t="shared" si="2"/>
        <v>4.9266666666666667</v>
      </c>
      <c r="H12" s="5">
        <f t="shared" si="3"/>
        <v>3.6950000000000003</v>
      </c>
      <c r="I12" s="5">
        <f t="shared" si="4"/>
        <v>2.9560000000000004</v>
      </c>
      <c r="J12" s="5">
        <f t="shared" si="14"/>
        <v>2.6392857142857147</v>
      </c>
      <c r="K12" s="194">
        <f t="shared" si="5"/>
        <v>6.8101184168087373E-2</v>
      </c>
      <c r="L12" s="758">
        <f t="shared" ref="L12:R12" si="38">$J$12</f>
        <v>2.6392857142857147</v>
      </c>
      <c r="M12" s="762">
        <f t="shared" si="38"/>
        <v>2.6392857142857147</v>
      </c>
      <c r="N12" s="766">
        <f t="shared" si="38"/>
        <v>2.6392857142857147</v>
      </c>
      <c r="O12" s="767">
        <f t="shared" si="38"/>
        <v>2.6392857142857147</v>
      </c>
      <c r="P12" s="767">
        <f t="shared" si="38"/>
        <v>2.6392857142857147</v>
      </c>
      <c r="Q12" s="770">
        <f t="shared" si="38"/>
        <v>2.6392857142857147</v>
      </c>
      <c r="R12" s="771">
        <f t="shared" si="38"/>
        <v>2.6392857142857147</v>
      </c>
      <c r="S12" s="145"/>
      <c r="T12" s="937">
        <f t="shared" si="16"/>
        <v>18.475000000000001</v>
      </c>
      <c r="U12" s="916">
        <f t="shared" si="17"/>
        <v>18.318878035294663</v>
      </c>
      <c r="V12" s="938">
        <f t="shared" si="18"/>
        <v>-0.15612196470533846</v>
      </c>
      <c r="W12" s="145"/>
      <c r="X12" s="758">
        <f t="shared" ref="X12:AD12" si="39">$J$12</f>
        <v>2.6392857142857147</v>
      </c>
      <c r="Y12" s="789">
        <f t="shared" si="39"/>
        <v>2.6392857142857147</v>
      </c>
      <c r="Z12" s="792">
        <f t="shared" si="39"/>
        <v>2.6392857142857147</v>
      </c>
      <c r="AA12" s="795">
        <f t="shared" si="39"/>
        <v>2.6392857142857147</v>
      </c>
      <c r="AB12" s="797">
        <f t="shared" si="39"/>
        <v>2.6392857142857147</v>
      </c>
      <c r="AC12" s="797">
        <f t="shared" si="39"/>
        <v>2.6392857142857147</v>
      </c>
      <c r="AD12" s="799">
        <f t="shared" si="39"/>
        <v>2.6392857142857147</v>
      </c>
      <c r="AE12" s="145"/>
      <c r="AF12" s="937">
        <f t="shared" si="8"/>
        <v>18.475000000000001</v>
      </c>
      <c r="AG12" s="916">
        <f t="shared" si="20"/>
        <v>24.100668571165279</v>
      </c>
      <c r="AH12" s="938">
        <f t="shared" si="21"/>
        <v>5.6256685711652779</v>
      </c>
      <c r="AI12" s="145"/>
      <c r="AJ12" s="758">
        <f t="shared" ref="AJ12:AP12" si="40">$J$12</f>
        <v>2.6392857142857147</v>
      </c>
      <c r="AK12" s="800">
        <f t="shared" si="40"/>
        <v>2.6392857142857147</v>
      </c>
      <c r="AL12" s="803">
        <f t="shared" si="40"/>
        <v>2.6392857142857147</v>
      </c>
      <c r="AM12" s="804">
        <f t="shared" si="40"/>
        <v>2.6392857142857147</v>
      </c>
      <c r="AN12" s="807">
        <f t="shared" si="40"/>
        <v>2.6392857142857147</v>
      </c>
      <c r="AO12" s="824">
        <f t="shared" si="40"/>
        <v>2.6392857142857147</v>
      </c>
      <c r="AP12" s="825">
        <f t="shared" si="40"/>
        <v>2.6392857142857147</v>
      </c>
      <c r="AQ12" s="145"/>
      <c r="AR12" s="937">
        <f t="shared" si="23"/>
        <v>18.475000000000001</v>
      </c>
      <c r="AS12" s="916">
        <f t="shared" si="24"/>
        <v>19.547763903607805</v>
      </c>
      <c r="AT12" s="938">
        <f t="shared" si="25"/>
        <v>1.0727639036078038</v>
      </c>
      <c r="AU12" s="145"/>
      <c r="AV12" s="758">
        <f t="shared" ref="AV12:BB12" si="41">$J$12</f>
        <v>2.6392857142857147</v>
      </c>
      <c r="AW12" s="960">
        <f t="shared" si="41"/>
        <v>2.6392857142857147</v>
      </c>
      <c r="AX12" s="966">
        <f t="shared" si="41"/>
        <v>2.6392857142857147</v>
      </c>
      <c r="AY12" s="970">
        <f t="shared" si="41"/>
        <v>2.6392857142857147</v>
      </c>
      <c r="AZ12" s="976">
        <f t="shared" si="41"/>
        <v>2.6392857142857147</v>
      </c>
      <c r="BA12" s="978">
        <f t="shared" si="41"/>
        <v>2.6392857142857147</v>
      </c>
      <c r="BB12" s="981">
        <f t="shared" si="41"/>
        <v>2.6392857142857147</v>
      </c>
      <c r="BC12" s="145"/>
      <c r="BD12" s="937">
        <f t="shared" si="11"/>
        <v>18.475000000000001</v>
      </c>
      <c r="BE12" s="916">
        <f t="shared" si="27"/>
        <v>10.168187808137127</v>
      </c>
      <c r="BF12" s="938">
        <f t="shared" si="28"/>
        <v>-8.3068121918628748</v>
      </c>
      <c r="BH12" s="764">
        <v>73.900000000000006</v>
      </c>
      <c r="BI12" s="9">
        <f t="shared" si="12"/>
        <v>1</v>
      </c>
      <c r="BK12" s="5">
        <f t="shared" si="29"/>
        <v>73.900000000000006</v>
      </c>
      <c r="BL12" s="9">
        <f t="shared" si="13"/>
        <v>1</v>
      </c>
      <c r="BM12" s="29"/>
      <c r="BO12" s="14"/>
      <c r="BP12" s="4503"/>
      <c r="BQ12" s="29"/>
    </row>
    <row r="13" spans="1:163" s="255" customFormat="1" x14ac:dyDescent="0.2">
      <c r="B13" s="43">
        <v>6</v>
      </c>
      <c r="C13" s="43" t="s">
        <v>23</v>
      </c>
      <c r="D13" s="813"/>
      <c r="E13" s="40">
        <v>54</v>
      </c>
      <c r="F13" s="40">
        <f t="shared" si="1"/>
        <v>5.4</v>
      </c>
      <c r="G13" s="40">
        <f t="shared" si="2"/>
        <v>3.6</v>
      </c>
      <c r="H13" s="40">
        <f t="shared" si="3"/>
        <v>2.7</v>
      </c>
      <c r="I13" s="40">
        <f t="shared" si="4"/>
        <v>2.16</v>
      </c>
      <c r="J13" s="40">
        <f>E13/27</f>
        <v>2</v>
      </c>
      <c r="K13" s="206">
        <f t="shared" si="5"/>
        <v>4.9762705616735022E-2</v>
      </c>
      <c r="L13" s="759">
        <f t="shared" ref="L13:R13" si="42">$J$13</f>
        <v>2</v>
      </c>
      <c r="M13" s="763">
        <f t="shared" si="42"/>
        <v>2</v>
      </c>
      <c r="N13" s="765">
        <f t="shared" si="42"/>
        <v>2</v>
      </c>
      <c r="O13" s="768">
        <f t="shared" si="42"/>
        <v>2</v>
      </c>
      <c r="P13" s="768">
        <f t="shared" si="42"/>
        <v>2</v>
      </c>
      <c r="Q13" s="769">
        <f t="shared" si="42"/>
        <v>2</v>
      </c>
      <c r="R13" s="772">
        <f t="shared" si="42"/>
        <v>2</v>
      </c>
      <c r="S13" s="782"/>
      <c r="T13" s="911">
        <f t="shared" si="16"/>
        <v>14</v>
      </c>
      <c r="U13" s="917">
        <f t="shared" si="17"/>
        <v>13.385918997373636</v>
      </c>
      <c r="V13" s="936">
        <f>U13-T13</f>
        <v>-0.61408100262636367</v>
      </c>
      <c r="W13" s="782"/>
      <c r="X13" s="759">
        <f t="shared" ref="X13:AD13" si="43">$J$13</f>
        <v>2</v>
      </c>
      <c r="Y13" s="790">
        <f t="shared" si="43"/>
        <v>2</v>
      </c>
      <c r="Z13" s="793">
        <f t="shared" si="43"/>
        <v>2</v>
      </c>
      <c r="AA13" s="794">
        <f t="shared" si="43"/>
        <v>2</v>
      </c>
      <c r="AB13" s="796">
        <f t="shared" si="43"/>
        <v>2</v>
      </c>
      <c r="AC13" s="796">
        <f t="shared" si="43"/>
        <v>2</v>
      </c>
      <c r="AD13" s="798">
        <f t="shared" si="43"/>
        <v>2</v>
      </c>
      <c r="AE13" s="782"/>
      <c r="AF13" s="911">
        <f t="shared" si="8"/>
        <v>14</v>
      </c>
      <c r="AG13" s="917">
        <f t="shared" si="20"/>
        <v>17.610772704234442</v>
      </c>
      <c r="AH13" s="936">
        <f>AG13-AF13</f>
        <v>3.6107727042344422</v>
      </c>
      <c r="AI13" s="782"/>
      <c r="AJ13" s="759">
        <f t="shared" ref="AJ13:AP13" si="44">$J$13</f>
        <v>2</v>
      </c>
      <c r="AK13" s="801">
        <f t="shared" si="44"/>
        <v>2</v>
      </c>
      <c r="AL13" s="802">
        <f t="shared" si="44"/>
        <v>2</v>
      </c>
      <c r="AM13" s="805">
        <f t="shared" si="44"/>
        <v>2</v>
      </c>
      <c r="AN13" s="806">
        <f t="shared" si="44"/>
        <v>2</v>
      </c>
      <c r="AO13" s="823">
        <f t="shared" si="44"/>
        <v>2</v>
      </c>
      <c r="AP13" s="826">
        <f t="shared" si="44"/>
        <v>2</v>
      </c>
      <c r="AQ13" s="782"/>
      <c r="AR13" s="911">
        <f t="shared" si="23"/>
        <v>14</v>
      </c>
      <c r="AS13" s="917">
        <f t="shared" si="24"/>
        <v>14.283887020227624</v>
      </c>
      <c r="AT13" s="936">
        <f>AS13-AR13</f>
        <v>0.28388702022762402</v>
      </c>
      <c r="AU13" s="782"/>
      <c r="AV13" s="759">
        <f t="shared" ref="AV13:BB13" si="45">$J$13</f>
        <v>2</v>
      </c>
      <c r="AW13" s="961">
        <f t="shared" si="45"/>
        <v>2</v>
      </c>
      <c r="AX13" s="967">
        <f t="shared" si="45"/>
        <v>2</v>
      </c>
      <c r="AY13" s="971">
        <f t="shared" si="45"/>
        <v>2</v>
      </c>
      <c r="AZ13" s="977">
        <f t="shared" si="45"/>
        <v>2</v>
      </c>
      <c r="BA13" s="979">
        <f t="shared" si="45"/>
        <v>2</v>
      </c>
      <c r="BB13" s="980">
        <f t="shared" si="45"/>
        <v>2</v>
      </c>
      <c r="BC13" s="782"/>
      <c r="BD13" s="911">
        <f t="shared" si="11"/>
        <v>14</v>
      </c>
      <c r="BE13" s="917">
        <f t="shared" si="27"/>
        <v>7.4300695756347066</v>
      </c>
      <c r="BF13" s="936">
        <f>BE13-BD13</f>
        <v>-6.5699304243652934</v>
      </c>
      <c r="BH13" s="187">
        <v>35.1</v>
      </c>
      <c r="BI13" s="51">
        <f t="shared" si="12"/>
        <v>0.65</v>
      </c>
      <c r="BK13" s="40">
        <f t="shared" si="29"/>
        <v>56</v>
      </c>
      <c r="BL13" s="51">
        <f t="shared" si="13"/>
        <v>1.037037037037037</v>
      </c>
      <c r="BM13" s="62"/>
      <c r="BO13" s="61"/>
      <c r="BP13" s="691"/>
      <c r="BQ13" s="62"/>
    </row>
    <row r="14" spans="1:163" x14ac:dyDescent="0.2">
      <c r="A14" s="669"/>
      <c r="B14" s="433">
        <v>7</v>
      </c>
      <c r="C14" s="3" t="s">
        <v>117</v>
      </c>
      <c r="D14" s="814"/>
      <c r="E14" s="5">
        <v>37</v>
      </c>
      <c r="F14" s="5">
        <f t="shared" si="1"/>
        <v>3.7</v>
      </c>
      <c r="G14" s="5">
        <f t="shared" si="2"/>
        <v>2.4666666666666668</v>
      </c>
      <c r="H14" s="5">
        <f t="shared" si="3"/>
        <v>1.85</v>
      </c>
      <c r="I14" s="5">
        <f t="shared" si="4"/>
        <v>1.48</v>
      </c>
      <c r="J14" s="5">
        <f t="shared" si="14"/>
        <v>1.3214285714285714</v>
      </c>
      <c r="K14" s="194">
        <f t="shared" si="5"/>
        <v>3.4096668663318438E-2</v>
      </c>
      <c r="L14" s="758">
        <f t="shared" ref="L14:R14" si="46">$J$14</f>
        <v>1.3214285714285714</v>
      </c>
      <c r="M14" s="762">
        <f t="shared" si="46"/>
        <v>1.3214285714285714</v>
      </c>
      <c r="N14" s="766">
        <f t="shared" si="46"/>
        <v>1.3214285714285714</v>
      </c>
      <c r="O14" s="767">
        <f t="shared" si="46"/>
        <v>1.3214285714285714</v>
      </c>
      <c r="P14" s="767">
        <f t="shared" si="46"/>
        <v>1.3214285714285714</v>
      </c>
      <c r="Q14" s="770">
        <f t="shared" si="46"/>
        <v>1.3214285714285714</v>
      </c>
      <c r="R14" s="771">
        <f t="shared" si="46"/>
        <v>1.3214285714285714</v>
      </c>
      <c r="S14" s="145"/>
      <c r="T14" s="937">
        <f t="shared" si="16"/>
        <v>9.25</v>
      </c>
      <c r="U14" s="916">
        <f t="shared" si="17"/>
        <v>9.1718333870893431</v>
      </c>
      <c r="V14" s="938">
        <f t="shared" si="18"/>
        <v>-7.8166612910656852E-2</v>
      </c>
      <c r="W14" s="145"/>
      <c r="X14" s="758">
        <f t="shared" ref="X14:AD14" si="47">$J$14</f>
        <v>1.3214285714285714</v>
      </c>
      <c r="Y14" s="789">
        <f t="shared" si="47"/>
        <v>1.3214285714285714</v>
      </c>
      <c r="Z14" s="792">
        <f t="shared" si="47"/>
        <v>1.3214285714285714</v>
      </c>
      <c r="AA14" s="795">
        <f t="shared" si="47"/>
        <v>1.3214285714285714</v>
      </c>
      <c r="AB14" s="797">
        <f t="shared" si="47"/>
        <v>1.3214285714285714</v>
      </c>
      <c r="AC14" s="797">
        <f t="shared" si="47"/>
        <v>1.3214285714285714</v>
      </c>
      <c r="AD14" s="799">
        <f t="shared" si="47"/>
        <v>1.3214285714285714</v>
      </c>
      <c r="AE14" s="145"/>
      <c r="AF14" s="937">
        <f t="shared" si="8"/>
        <v>9.25</v>
      </c>
      <c r="AG14" s="916">
        <f t="shared" si="20"/>
        <v>12.06664055660508</v>
      </c>
      <c r="AH14" s="938">
        <f t="shared" si="21"/>
        <v>2.8166405566050798</v>
      </c>
      <c r="AI14" s="145"/>
      <c r="AJ14" s="758">
        <f t="shared" ref="AJ14:AP14" si="48">$J$14</f>
        <v>1.3214285714285714</v>
      </c>
      <c r="AK14" s="800">
        <f t="shared" si="48"/>
        <v>1.3214285714285714</v>
      </c>
      <c r="AL14" s="803">
        <f t="shared" si="48"/>
        <v>1.3214285714285714</v>
      </c>
      <c r="AM14" s="804">
        <f t="shared" si="48"/>
        <v>1.3214285714285714</v>
      </c>
      <c r="AN14" s="807">
        <f t="shared" si="48"/>
        <v>1.3214285714285714</v>
      </c>
      <c r="AO14" s="824">
        <f t="shared" si="48"/>
        <v>1.3214285714285714</v>
      </c>
      <c r="AP14" s="825">
        <f t="shared" si="48"/>
        <v>1.3214285714285714</v>
      </c>
      <c r="AQ14" s="145"/>
      <c r="AR14" s="937">
        <f t="shared" si="23"/>
        <v>9.25</v>
      </c>
      <c r="AS14" s="916">
        <f t="shared" si="24"/>
        <v>9.787107773118926</v>
      </c>
      <c r="AT14" s="938">
        <f t="shared" ref="AT14:AT22" si="49">AS14-AR14</f>
        <v>0.53710777311892599</v>
      </c>
      <c r="AU14" s="145"/>
      <c r="AV14" s="758">
        <f t="shared" ref="AV14:BB14" si="50">$J$14</f>
        <v>1.3214285714285714</v>
      </c>
      <c r="AW14" s="960">
        <f t="shared" si="50"/>
        <v>1.3214285714285714</v>
      </c>
      <c r="AX14" s="966">
        <f t="shared" si="50"/>
        <v>1.3214285714285714</v>
      </c>
      <c r="AY14" s="970">
        <f t="shared" si="50"/>
        <v>1.3214285714285714</v>
      </c>
      <c r="AZ14" s="976">
        <f t="shared" si="50"/>
        <v>1.3214285714285714</v>
      </c>
      <c r="BA14" s="978">
        <f t="shared" si="50"/>
        <v>1.3214285714285714</v>
      </c>
      <c r="BB14" s="981">
        <f t="shared" si="50"/>
        <v>1.3214285714285714</v>
      </c>
      <c r="BC14" s="145"/>
      <c r="BD14" s="937">
        <f t="shared" si="11"/>
        <v>9.25</v>
      </c>
      <c r="BE14" s="916">
        <f t="shared" si="27"/>
        <v>5.090973598120077</v>
      </c>
      <c r="BF14" s="938">
        <f t="shared" ref="BF14:BF22" si="51">BE14-BD14</f>
        <v>-4.159026401879923</v>
      </c>
      <c r="BH14" s="764">
        <v>37</v>
      </c>
      <c r="BI14" s="9">
        <f t="shared" si="12"/>
        <v>1</v>
      </c>
      <c r="BK14" s="5">
        <f t="shared" si="29"/>
        <v>37</v>
      </c>
      <c r="BL14" s="9">
        <f t="shared" si="13"/>
        <v>1</v>
      </c>
      <c r="BM14" s="29"/>
      <c r="BO14" s="14"/>
      <c r="BP14" s="588"/>
      <c r="BQ14" s="29"/>
    </row>
    <row r="15" spans="1:163" s="255" customFormat="1" x14ac:dyDescent="0.2">
      <c r="A15" s="810"/>
      <c r="B15" s="43">
        <v>8</v>
      </c>
      <c r="C15" s="427" t="s">
        <v>118</v>
      </c>
      <c r="D15" s="812"/>
      <c r="E15" s="132">
        <v>29.15</v>
      </c>
      <c r="F15" s="132">
        <f t="shared" si="1"/>
        <v>2.915</v>
      </c>
      <c r="G15" s="132">
        <f t="shared" si="2"/>
        <v>1.9433333333333331</v>
      </c>
      <c r="H15" s="132">
        <f t="shared" si="3"/>
        <v>1.4575</v>
      </c>
      <c r="I15" s="132">
        <f t="shared" si="4"/>
        <v>1.1659999999999999</v>
      </c>
      <c r="J15" s="132">
        <f t="shared" si="14"/>
        <v>1.0410714285714284</v>
      </c>
      <c r="K15" s="478">
        <f t="shared" si="5"/>
        <v>2.6862645717181957E-2</v>
      </c>
      <c r="L15" s="759">
        <f t="shared" ref="L15:R15" si="52">$J$15</f>
        <v>1.0410714285714284</v>
      </c>
      <c r="M15" s="763">
        <f t="shared" si="52"/>
        <v>1.0410714285714284</v>
      </c>
      <c r="N15" s="765">
        <f t="shared" si="52"/>
        <v>1.0410714285714284</v>
      </c>
      <c r="O15" s="768">
        <f t="shared" si="52"/>
        <v>1.0410714285714284</v>
      </c>
      <c r="P15" s="768">
        <f t="shared" si="52"/>
        <v>1.0410714285714284</v>
      </c>
      <c r="Q15" s="769">
        <f t="shared" si="52"/>
        <v>1.0410714285714284</v>
      </c>
      <c r="R15" s="772">
        <f t="shared" si="52"/>
        <v>1.0410714285714284</v>
      </c>
      <c r="S15" s="782"/>
      <c r="T15" s="911">
        <f t="shared" si="16"/>
        <v>7.2874999999999996</v>
      </c>
      <c r="U15" s="917">
        <f t="shared" si="17"/>
        <v>7.2259173846933598</v>
      </c>
      <c r="V15" s="936">
        <f t="shared" si="18"/>
        <v>-6.1582615306639887E-2</v>
      </c>
      <c r="W15" s="782"/>
      <c r="X15" s="759">
        <f t="shared" ref="X15:AD15" si="53">$J$15</f>
        <v>1.0410714285714284</v>
      </c>
      <c r="Y15" s="790">
        <f t="shared" si="53"/>
        <v>1.0410714285714284</v>
      </c>
      <c r="Z15" s="793">
        <f t="shared" si="53"/>
        <v>1.0410714285714284</v>
      </c>
      <c r="AA15" s="794">
        <f t="shared" si="53"/>
        <v>1.0410714285714284</v>
      </c>
      <c r="AB15" s="796">
        <f t="shared" si="53"/>
        <v>1.0410714285714284</v>
      </c>
      <c r="AC15" s="796">
        <f t="shared" si="53"/>
        <v>1.0410714285714284</v>
      </c>
      <c r="AD15" s="798">
        <f t="shared" si="53"/>
        <v>1.0410714285714284</v>
      </c>
      <c r="AE15" s="782"/>
      <c r="AF15" s="911">
        <f t="shared" si="8"/>
        <v>7.2874999999999996</v>
      </c>
      <c r="AG15" s="917">
        <f t="shared" si="20"/>
        <v>9.5065560060821088</v>
      </c>
      <c r="AH15" s="936">
        <f t="shared" si="21"/>
        <v>2.2190560060821092</v>
      </c>
      <c r="AI15" s="782"/>
      <c r="AJ15" s="759">
        <f t="shared" ref="AJ15:AP15" si="54">$J$15</f>
        <v>1.0410714285714284</v>
      </c>
      <c r="AK15" s="801">
        <f t="shared" si="54"/>
        <v>1.0410714285714284</v>
      </c>
      <c r="AL15" s="802">
        <f t="shared" si="54"/>
        <v>1.0410714285714284</v>
      </c>
      <c r="AM15" s="805">
        <f t="shared" si="54"/>
        <v>1.0410714285714284</v>
      </c>
      <c r="AN15" s="806">
        <f t="shared" si="54"/>
        <v>1.0410714285714284</v>
      </c>
      <c r="AO15" s="823">
        <f t="shared" si="54"/>
        <v>1.0410714285714284</v>
      </c>
      <c r="AP15" s="826">
        <f t="shared" si="54"/>
        <v>1.0410714285714284</v>
      </c>
      <c r="AQ15" s="782"/>
      <c r="AR15" s="911">
        <f t="shared" si="23"/>
        <v>7.2874999999999996</v>
      </c>
      <c r="AS15" s="917">
        <f t="shared" si="24"/>
        <v>7.7106538266599101</v>
      </c>
      <c r="AT15" s="936">
        <f t="shared" si="49"/>
        <v>0.42315382665991041</v>
      </c>
      <c r="AU15" s="782"/>
      <c r="AV15" s="759">
        <f t="shared" ref="AV15:BB15" si="55">$J$15</f>
        <v>1.0410714285714284</v>
      </c>
      <c r="AW15" s="961">
        <f t="shared" si="55"/>
        <v>1.0410714285714284</v>
      </c>
      <c r="AX15" s="967">
        <f t="shared" si="55"/>
        <v>1.0410714285714284</v>
      </c>
      <c r="AY15" s="971">
        <f t="shared" si="55"/>
        <v>1.0410714285714284</v>
      </c>
      <c r="AZ15" s="977">
        <f t="shared" si="55"/>
        <v>1.0410714285714284</v>
      </c>
      <c r="BA15" s="979">
        <f t="shared" si="55"/>
        <v>1.0410714285714284</v>
      </c>
      <c r="BB15" s="980">
        <f t="shared" si="55"/>
        <v>1.0410714285714284</v>
      </c>
      <c r="BC15" s="782"/>
      <c r="BD15" s="911">
        <f t="shared" si="11"/>
        <v>7.2874999999999996</v>
      </c>
      <c r="BE15" s="917">
        <f t="shared" si="27"/>
        <v>4.0108616320324382</v>
      </c>
      <c r="BF15" s="936">
        <f t="shared" si="51"/>
        <v>-3.2766383679675615</v>
      </c>
      <c r="BH15" s="187">
        <v>29.15</v>
      </c>
      <c r="BI15" s="51">
        <f t="shared" si="12"/>
        <v>1</v>
      </c>
      <c r="BK15" s="40">
        <f t="shared" si="29"/>
        <v>29.15</v>
      </c>
      <c r="BL15" s="51">
        <f t="shared" si="13"/>
        <v>1</v>
      </c>
      <c r="BM15" s="62"/>
      <c r="BO15" s="61"/>
      <c r="BP15" s="62"/>
      <c r="BQ15" s="62"/>
    </row>
    <row r="16" spans="1:163" s="432" customFormat="1" x14ac:dyDescent="0.2">
      <c r="B16" s="3">
        <v>9</v>
      </c>
      <c r="C16" s="3" t="s">
        <v>114</v>
      </c>
      <c r="D16" s="814"/>
      <c r="E16" s="5">
        <v>25.5</v>
      </c>
      <c r="F16" s="5">
        <f t="shared" si="1"/>
        <v>2.5499999999999998</v>
      </c>
      <c r="G16" s="5">
        <f t="shared" si="2"/>
        <v>1.7</v>
      </c>
      <c r="H16" s="5">
        <f t="shared" si="3"/>
        <v>1.2749999999999999</v>
      </c>
      <c r="I16" s="5">
        <f t="shared" si="4"/>
        <v>1.02</v>
      </c>
      <c r="J16" s="5">
        <f t="shared" si="14"/>
        <v>0.9107142857142857</v>
      </c>
      <c r="K16" s="194">
        <f t="shared" si="5"/>
        <v>2.3499055430124871E-2</v>
      </c>
      <c r="L16" s="483">
        <f t="shared" ref="L16:R16" si="56">$J$16</f>
        <v>0.9107142857142857</v>
      </c>
      <c r="M16" s="483">
        <f t="shared" si="56"/>
        <v>0.9107142857142857</v>
      </c>
      <c r="N16" s="483">
        <f t="shared" si="56"/>
        <v>0.9107142857142857</v>
      </c>
      <c r="O16" s="483">
        <f t="shared" si="56"/>
        <v>0.9107142857142857</v>
      </c>
      <c r="P16" s="483">
        <f t="shared" si="56"/>
        <v>0.9107142857142857</v>
      </c>
      <c r="Q16" s="483">
        <f t="shared" si="56"/>
        <v>0.9107142857142857</v>
      </c>
      <c r="R16" s="483">
        <f t="shared" si="56"/>
        <v>0.9107142857142857</v>
      </c>
      <c r="S16" s="781"/>
      <c r="T16" s="927">
        <f t="shared" si="16"/>
        <v>6.375</v>
      </c>
      <c r="U16" s="483">
        <f t="shared" si="17"/>
        <v>6.3211284154264398</v>
      </c>
      <c r="V16" s="939">
        <f t="shared" si="18"/>
        <v>-5.3871584573560227E-2</v>
      </c>
      <c r="W16" s="781"/>
      <c r="X16" s="483">
        <f t="shared" ref="X16:AD16" si="57">$J$16</f>
        <v>0.9107142857142857</v>
      </c>
      <c r="Y16" s="483">
        <f t="shared" si="57"/>
        <v>0.9107142857142857</v>
      </c>
      <c r="Z16" s="483">
        <f t="shared" si="57"/>
        <v>0.9107142857142857</v>
      </c>
      <c r="AA16" s="483">
        <f t="shared" si="57"/>
        <v>0.9107142857142857</v>
      </c>
      <c r="AB16" s="483">
        <f t="shared" si="57"/>
        <v>0.9107142857142857</v>
      </c>
      <c r="AC16" s="483">
        <f t="shared" si="57"/>
        <v>0.9107142857142857</v>
      </c>
      <c r="AD16" s="483">
        <f t="shared" si="57"/>
        <v>0.9107142857142857</v>
      </c>
      <c r="AE16" s="781"/>
      <c r="AF16" s="927">
        <f t="shared" si="8"/>
        <v>6.375</v>
      </c>
      <c r="AG16" s="483">
        <f t="shared" si="20"/>
        <v>8.3161982214440417</v>
      </c>
      <c r="AH16" s="939">
        <f t="shared" si="21"/>
        <v>1.9411982214440417</v>
      </c>
      <c r="AI16" s="781"/>
      <c r="AJ16" s="483">
        <f t="shared" ref="AJ16:AP16" si="58">$J$16</f>
        <v>0.9107142857142857</v>
      </c>
      <c r="AK16" s="483">
        <f t="shared" si="58"/>
        <v>0.9107142857142857</v>
      </c>
      <c r="AL16" s="483">
        <f t="shared" si="58"/>
        <v>0.9107142857142857</v>
      </c>
      <c r="AM16" s="483">
        <f t="shared" si="58"/>
        <v>0.9107142857142857</v>
      </c>
      <c r="AN16" s="483">
        <f t="shared" si="58"/>
        <v>0.9107142857142857</v>
      </c>
      <c r="AO16" s="483">
        <f t="shared" si="58"/>
        <v>0.9107142857142857</v>
      </c>
      <c r="AP16" s="483">
        <f t="shared" si="58"/>
        <v>0.9107142857142857</v>
      </c>
      <c r="AQ16" s="781"/>
      <c r="AR16" s="927">
        <f t="shared" si="23"/>
        <v>6.375</v>
      </c>
      <c r="AS16" s="483">
        <f t="shared" si="24"/>
        <v>6.7451688706630435</v>
      </c>
      <c r="AT16" s="939">
        <f t="shared" si="49"/>
        <v>0.37016887066304349</v>
      </c>
      <c r="AU16" s="781"/>
      <c r="AV16" s="483">
        <f t="shared" ref="AV16:BB16" si="59">$J$16</f>
        <v>0.9107142857142857</v>
      </c>
      <c r="AW16" s="483">
        <f t="shared" si="59"/>
        <v>0.9107142857142857</v>
      </c>
      <c r="AX16" s="483">
        <f t="shared" si="59"/>
        <v>0.9107142857142857</v>
      </c>
      <c r="AY16" s="483">
        <f t="shared" si="59"/>
        <v>0.9107142857142857</v>
      </c>
      <c r="AZ16" s="483">
        <f t="shared" si="59"/>
        <v>0.9107142857142857</v>
      </c>
      <c r="BA16" s="483">
        <f t="shared" si="59"/>
        <v>0.9107142857142857</v>
      </c>
      <c r="BB16" s="483">
        <f t="shared" si="59"/>
        <v>0.9107142857142857</v>
      </c>
      <c r="BC16" s="781"/>
      <c r="BD16" s="927">
        <f t="shared" si="11"/>
        <v>6.375</v>
      </c>
      <c r="BE16" s="483">
        <f t="shared" si="27"/>
        <v>3.5086439662719449</v>
      </c>
      <c r="BF16" s="939">
        <f t="shared" si="51"/>
        <v>-2.8663560337280551</v>
      </c>
      <c r="BH16" s="764">
        <v>25.5</v>
      </c>
      <c r="BI16" s="485">
        <f t="shared" si="12"/>
        <v>1</v>
      </c>
      <c r="BK16" s="347">
        <f t="shared" si="29"/>
        <v>25.5</v>
      </c>
      <c r="BL16" s="485">
        <f t="shared" si="13"/>
        <v>1</v>
      </c>
      <c r="BM16" s="482"/>
      <c r="BO16" s="481"/>
      <c r="BP16" s="482"/>
      <c r="BQ16" s="482"/>
    </row>
    <row r="17" spans="1:69" s="255" customFormat="1" x14ac:dyDescent="0.2">
      <c r="A17" s="810"/>
      <c r="B17" s="43">
        <v>10</v>
      </c>
      <c r="C17" s="427" t="s">
        <v>116</v>
      </c>
      <c r="D17" s="812"/>
      <c r="E17" s="132">
        <v>25.5</v>
      </c>
      <c r="F17" s="132">
        <f t="shared" si="1"/>
        <v>2.5499999999999998</v>
      </c>
      <c r="G17" s="132">
        <f t="shared" si="2"/>
        <v>1.7</v>
      </c>
      <c r="H17" s="132">
        <f t="shared" si="3"/>
        <v>1.2749999999999999</v>
      </c>
      <c r="I17" s="132">
        <f t="shared" si="4"/>
        <v>1.02</v>
      </c>
      <c r="J17" s="132">
        <f t="shared" si="14"/>
        <v>0.9107142857142857</v>
      </c>
      <c r="K17" s="478">
        <f t="shared" si="5"/>
        <v>2.3499055430124871E-2</v>
      </c>
      <c r="L17" s="759">
        <f t="shared" ref="L17:R17" si="60">$J$17</f>
        <v>0.9107142857142857</v>
      </c>
      <c r="M17" s="763">
        <f t="shared" si="60"/>
        <v>0.9107142857142857</v>
      </c>
      <c r="N17" s="765">
        <f t="shared" si="60"/>
        <v>0.9107142857142857</v>
      </c>
      <c r="O17" s="768">
        <f t="shared" si="60"/>
        <v>0.9107142857142857</v>
      </c>
      <c r="P17" s="768">
        <f t="shared" si="60"/>
        <v>0.9107142857142857</v>
      </c>
      <c r="Q17" s="769">
        <f t="shared" si="60"/>
        <v>0.9107142857142857</v>
      </c>
      <c r="R17" s="772">
        <f t="shared" si="60"/>
        <v>0.9107142857142857</v>
      </c>
      <c r="S17" s="782"/>
      <c r="T17" s="911">
        <f t="shared" si="16"/>
        <v>6.375</v>
      </c>
      <c r="U17" s="917">
        <f t="shared" si="17"/>
        <v>6.3211284154264398</v>
      </c>
      <c r="V17" s="936">
        <f t="shared" si="18"/>
        <v>-5.3871584573560227E-2</v>
      </c>
      <c r="W17" s="782"/>
      <c r="X17" s="759">
        <f t="shared" ref="X17:AD17" si="61">$J$17</f>
        <v>0.9107142857142857</v>
      </c>
      <c r="Y17" s="790">
        <f t="shared" si="61"/>
        <v>0.9107142857142857</v>
      </c>
      <c r="Z17" s="793">
        <f t="shared" si="61"/>
        <v>0.9107142857142857</v>
      </c>
      <c r="AA17" s="794">
        <f t="shared" si="61"/>
        <v>0.9107142857142857</v>
      </c>
      <c r="AB17" s="796">
        <f t="shared" si="61"/>
        <v>0.9107142857142857</v>
      </c>
      <c r="AC17" s="796">
        <f t="shared" si="61"/>
        <v>0.9107142857142857</v>
      </c>
      <c r="AD17" s="798">
        <f t="shared" si="61"/>
        <v>0.9107142857142857</v>
      </c>
      <c r="AE17" s="782"/>
      <c r="AF17" s="911">
        <f t="shared" si="8"/>
        <v>6.375</v>
      </c>
      <c r="AG17" s="917">
        <f t="shared" si="20"/>
        <v>8.3161982214440417</v>
      </c>
      <c r="AH17" s="936">
        <f t="shared" si="21"/>
        <v>1.9411982214440417</v>
      </c>
      <c r="AI17" s="782"/>
      <c r="AJ17" s="759">
        <f t="shared" ref="AJ17:AP17" si="62">$J$17</f>
        <v>0.9107142857142857</v>
      </c>
      <c r="AK17" s="801">
        <f t="shared" si="62"/>
        <v>0.9107142857142857</v>
      </c>
      <c r="AL17" s="802">
        <f t="shared" si="62"/>
        <v>0.9107142857142857</v>
      </c>
      <c r="AM17" s="805">
        <f t="shared" si="62"/>
        <v>0.9107142857142857</v>
      </c>
      <c r="AN17" s="806">
        <f t="shared" si="62"/>
        <v>0.9107142857142857</v>
      </c>
      <c r="AO17" s="823">
        <f t="shared" si="62"/>
        <v>0.9107142857142857</v>
      </c>
      <c r="AP17" s="826">
        <f t="shared" si="62"/>
        <v>0.9107142857142857</v>
      </c>
      <c r="AQ17" s="782"/>
      <c r="AR17" s="911">
        <f t="shared" si="23"/>
        <v>6.375</v>
      </c>
      <c r="AS17" s="917">
        <f t="shared" si="24"/>
        <v>6.7451688706630435</v>
      </c>
      <c r="AT17" s="936">
        <f t="shared" si="49"/>
        <v>0.37016887066304349</v>
      </c>
      <c r="AU17" s="782"/>
      <c r="AV17" s="759">
        <f t="shared" ref="AV17:BB17" si="63">$J$17</f>
        <v>0.9107142857142857</v>
      </c>
      <c r="AW17" s="961">
        <f t="shared" si="63"/>
        <v>0.9107142857142857</v>
      </c>
      <c r="AX17" s="967">
        <f t="shared" si="63"/>
        <v>0.9107142857142857</v>
      </c>
      <c r="AY17" s="971">
        <f t="shared" si="63"/>
        <v>0.9107142857142857</v>
      </c>
      <c r="AZ17" s="977">
        <f t="shared" si="63"/>
        <v>0.9107142857142857</v>
      </c>
      <c r="BA17" s="979">
        <f t="shared" si="63"/>
        <v>0.9107142857142857</v>
      </c>
      <c r="BB17" s="980">
        <f t="shared" si="63"/>
        <v>0.9107142857142857</v>
      </c>
      <c r="BC17" s="782"/>
      <c r="BD17" s="911">
        <f t="shared" si="11"/>
        <v>6.375</v>
      </c>
      <c r="BE17" s="917">
        <f t="shared" si="27"/>
        <v>3.5086439662719449</v>
      </c>
      <c r="BF17" s="936">
        <f t="shared" si="51"/>
        <v>-2.8663560337280551</v>
      </c>
      <c r="BH17" s="187">
        <v>25.5</v>
      </c>
      <c r="BI17" s="51">
        <f t="shared" si="12"/>
        <v>1</v>
      </c>
      <c r="BK17" s="40">
        <f t="shared" si="29"/>
        <v>25.5</v>
      </c>
      <c r="BL17" s="51">
        <f t="shared" si="13"/>
        <v>1</v>
      </c>
      <c r="BM17" s="62"/>
      <c r="BO17" s="61"/>
      <c r="BP17" s="62"/>
      <c r="BQ17" s="62"/>
    </row>
    <row r="18" spans="1:69" s="432" customFormat="1" x14ac:dyDescent="0.2">
      <c r="B18" s="433">
        <v>11</v>
      </c>
      <c r="C18" s="663" t="s">
        <v>43</v>
      </c>
      <c r="D18" s="780"/>
      <c r="E18" s="664">
        <v>20</v>
      </c>
      <c r="F18" s="664">
        <f t="shared" si="1"/>
        <v>2</v>
      </c>
      <c r="G18" s="664">
        <f t="shared" si="2"/>
        <v>1.3333333333333333</v>
      </c>
      <c r="H18" s="664">
        <f t="shared" si="3"/>
        <v>1</v>
      </c>
      <c r="I18" s="664">
        <f t="shared" si="4"/>
        <v>0.8</v>
      </c>
      <c r="J18" s="664">
        <f t="shared" si="14"/>
        <v>0.7142857142857143</v>
      </c>
      <c r="K18" s="665">
        <f t="shared" si="5"/>
        <v>1.8430631709901859E-2</v>
      </c>
      <c r="L18" s="711">
        <f t="shared" ref="L18:R18" si="64">$J$18</f>
        <v>0.7142857142857143</v>
      </c>
      <c r="M18" s="347">
        <f t="shared" si="64"/>
        <v>0.7142857142857143</v>
      </c>
      <c r="N18" s="347">
        <f t="shared" si="64"/>
        <v>0.7142857142857143</v>
      </c>
      <c r="O18" s="347">
        <f t="shared" si="64"/>
        <v>0.7142857142857143</v>
      </c>
      <c r="P18" s="347">
        <f t="shared" si="64"/>
        <v>0.7142857142857143</v>
      </c>
      <c r="Q18" s="347">
        <f t="shared" si="64"/>
        <v>0.7142857142857143</v>
      </c>
      <c r="R18" s="347">
        <f t="shared" si="64"/>
        <v>0.7142857142857143</v>
      </c>
      <c r="S18" s="781"/>
      <c r="T18" s="940">
        <f t="shared" si="16"/>
        <v>5</v>
      </c>
      <c r="U18" s="667">
        <f t="shared" si="17"/>
        <v>4.9577477768050509</v>
      </c>
      <c r="V18" s="941">
        <f t="shared" si="18"/>
        <v>-4.2252223194949146E-2</v>
      </c>
      <c r="W18" s="781"/>
      <c r="X18" s="667">
        <f t="shared" ref="X18:AD18" si="65">$J$18</f>
        <v>0.7142857142857143</v>
      </c>
      <c r="Y18" s="667">
        <f t="shared" si="65"/>
        <v>0.7142857142857143</v>
      </c>
      <c r="Z18" s="667">
        <f t="shared" si="65"/>
        <v>0.7142857142857143</v>
      </c>
      <c r="AA18" s="667">
        <f t="shared" si="65"/>
        <v>0.7142857142857143</v>
      </c>
      <c r="AB18" s="667">
        <f t="shared" si="65"/>
        <v>0.7142857142857143</v>
      </c>
      <c r="AC18" s="667">
        <f t="shared" si="65"/>
        <v>0.7142857142857143</v>
      </c>
      <c r="AD18" s="667">
        <f t="shared" si="65"/>
        <v>0.7142857142857143</v>
      </c>
      <c r="AE18" s="781"/>
      <c r="AF18" s="940">
        <f t="shared" si="8"/>
        <v>5</v>
      </c>
      <c r="AG18" s="667">
        <f t="shared" si="20"/>
        <v>6.5225084089757184</v>
      </c>
      <c r="AH18" s="941">
        <f t="shared" si="21"/>
        <v>1.5225084089757184</v>
      </c>
      <c r="AI18" s="781"/>
      <c r="AJ18" s="667">
        <f t="shared" ref="AJ18:AP18" si="66">$J$18</f>
        <v>0.7142857142857143</v>
      </c>
      <c r="AK18" s="667">
        <f t="shared" si="66"/>
        <v>0.7142857142857143</v>
      </c>
      <c r="AL18" s="667">
        <f t="shared" si="66"/>
        <v>0.7142857142857143</v>
      </c>
      <c r="AM18" s="667">
        <f t="shared" si="66"/>
        <v>0.7142857142857143</v>
      </c>
      <c r="AN18" s="667">
        <f t="shared" si="66"/>
        <v>0.7142857142857143</v>
      </c>
      <c r="AO18" s="667">
        <f t="shared" si="66"/>
        <v>0.7142857142857143</v>
      </c>
      <c r="AP18" s="667">
        <f t="shared" si="66"/>
        <v>0.7142857142857143</v>
      </c>
      <c r="AQ18" s="781"/>
      <c r="AR18" s="940">
        <f t="shared" si="23"/>
        <v>5</v>
      </c>
      <c r="AS18" s="667">
        <f t="shared" si="24"/>
        <v>5.2903285260102306</v>
      </c>
      <c r="AT18" s="941">
        <f t="shared" si="49"/>
        <v>0.29032852601023063</v>
      </c>
      <c r="AU18" s="781"/>
      <c r="AV18" s="667">
        <f t="shared" ref="AV18:BB18" si="67">$J$18</f>
        <v>0.7142857142857143</v>
      </c>
      <c r="AW18" s="667">
        <f t="shared" si="67"/>
        <v>0.7142857142857143</v>
      </c>
      <c r="AX18" s="667">
        <f t="shared" si="67"/>
        <v>0.7142857142857143</v>
      </c>
      <c r="AY18" s="667">
        <f t="shared" si="67"/>
        <v>0.7142857142857143</v>
      </c>
      <c r="AZ18" s="667">
        <f t="shared" si="67"/>
        <v>0.7142857142857143</v>
      </c>
      <c r="BA18" s="667">
        <f t="shared" si="67"/>
        <v>0.7142857142857143</v>
      </c>
      <c r="BB18" s="667">
        <f t="shared" si="67"/>
        <v>0.7142857142857143</v>
      </c>
      <c r="BC18" s="781"/>
      <c r="BD18" s="940">
        <f t="shared" si="11"/>
        <v>5</v>
      </c>
      <c r="BE18" s="667">
        <f t="shared" si="27"/>
        <v>2.7518776206054469</v>
      </c>
      <c r="BF18" s="941">
        <f t="shared" si="51"/>
        <v>-2.2481223793945531</v>
      </c>
      <c r="BH18" s="764">
        <v>20</v>
      </c>
      <c r="BI18" s="485">
        <f t="shared" si="12"/>
        <v>1</v>
      </c>
      <c r="BK18" s="347">
        <f t="shared" si="29"/>
        <v>20</v>
      </c>
      <c r="BL18" s="485">
        <f t="shared" si="13"/>
        <v>1</v>
      </c>
      <c r="BM18" s="482"/>
      <c r="BO18" s="481"/>
      <c r="BP18" s="482"/>
      <c r="BQ18" s="482"/>
    </row>
    <row r="19" spans="1:69" s="426" customFormat="1" x14ac:dyDescent="0.2">
      <c r="B19" s="427">
        <v>12</v>
      </c>
      <c r="C19" s="427" t="s">
        <v>131</v>
      </c>
      <c r="D19" s="812"/>
      <c r="E19" s="132">
        <v>10</v>
      </c>
      <c r="F19" s="132">
        <f t="shared" si="1"/>
        <v>1</v>
      </c>
      <c r="G19" s="132">
        <f t="shared" si="2"/>
        <v>0.66666666666666663</v>
      </c>
      <c r="H19" s="132">
        <f t="shared" si="3"/>
        <v>0.5</v>
      </c>
      <c r="I19" s="132">
        <f t="shared" si="4"/>
        <v>0.4</v>
      </c>
      <c r="J19" s="132">
        <f t="shared" si="14"/>
        <v>0.35714285714285715</v>
      </c>
      <c r="K19" s="478">
        <f t="shared" si="5"/>
        <v>9.2153158549509295E-3</v>
      </c>
      <c r="L19" s="668">
        <f t="shared" ref="L19:R19" si="68">$J$19</f>
        <v>0.35714285714285715</v>
      </c>
      <c r="M19" s="132">
        <f t="shared" si="68"/>
        <v>0.35714285714285715</v>
      </c>
      <c r="N19" s="132">
        <f t="shared" si="68"/>
        <v>0.35714285714285715</v>
      </c>
      <c r="O19" s="132">
        <f t="shared" si="68"/>
        <v>0.35714285714285715</v>
      </c>
      <c r="P19" s="132">
        <f t="shared" si="68"/>
        <v>0.35714285714285715</v>
      </c>
      <c r="Q19" s="132">
        <f t="shared" si="68"/>
        <v>0.35714285714285715</v>
      </c>
      <c r="R19" s="132">
        <f t="shared" si="68"/>
        <v>0.35714285714285715</v>
      </c>
      <c r="S19" s="779"/>
      <c r="T19" s="925">
        <f t="shared" si="16"/>
        <v>2.5</v>
      </c>
      <c r="U19" s="440">
        <f t="shared" si="17"/>
        <v>2.4788738884025254</v>
      </c>
      <c r="V19" s="929">
        <f>U19-T19</f>
        <v>-2.1126111597474573E-2</v>
      </c>
      <c r="W19" s="779"/>
      <c r="X19" s="440">
        <f t="shared" ref="X19:AD19" si="69">$J$19</f>
        <v>0.35714285714285715</v>
      </c>
      <c r="Y19" s="440">
        <f t="shared" si="69"/>
        <v>0.35714285714285715</v>
      </c>
      <c r="Z19" s="440">
        <f t="shared" si="69"/>
        <v>0.35714285714285715</v>
      </c>
      <c r="AA19" s="440">
        <f t="shared" si="69"/>
        <v>0.35714285714285715</v>
      </c>
      <c r="AB19" s="440">
        <f t="shared" si="69"/>
        <v>0.35714285714285715</v>
      </c>
      <c r="AC19" s="440">
        <f t="shared" si="69"/>
        <v>0.35714285714285715</v>
      </c>
      <c r="AD19" s="440">
        <f t="shared" si="69"/>
        <v>0.35714285714285715</v>
      </c>
      <c r="AE19" s="779"/>
      <c r="AF19" s="925">
        <f t="shared" si="8"/>
        <v>2.5</v>
      </c>
      <c r="AG19" s="440">
        <f t="shared" si="20"/>
        <v>3.2612542044878592</v>
      </c>
      <c r="AH19" s="929">
        <f t="shared" si="21"/>
        <v>0.76125420448785919</v>
      </c>
      <c r="AI19" s="779"/>
      <c r="AJ19" s="440">
        <f t="shared" ref="AJ19:AP19" si="70">$J$19</f>
        <v>0.35714285714285715</v>
      </c>
      <c r="AK19" s="440">
        <f t="shared" si="70"/>
        <v>0.35714285714285715</v>
      </c>
      <c r="AL19" s="440">
        <f t="shared" si="70"/>
        <v>0.35714285714285715</v>
      </c>
      <c r="AM19" s="440">
        <f t="shared" si="70"/>
        <v>0.35714285714285715</v>
      </c>
      <c r="AN19" s="440">
        <f t="shared" si="70"/>
        <v>0.35714285714285715</v>
      </c>
      <c r="AO19" s="440">
        <f t="shared" si="70"/>
        <v>0.35714285714285715</v>
      </c>
      <c r="AP19" s="440">
        <f t="shared" si="70"/>
        <v>0.35714285714285715</v>
      </c>
      <c r="AQ19" s="779"/>
      <c r="AR19" s="925">
        <f t="shared" si="23"/>
        <v>2.5</v>
      </c>
      <c r="AS19" s="440">
        <f t="shared" si="24"/>
        <v>2.6451642630051153</v>
      </c>
      <c r="AT19" s="929">
        <f t="shared" si="49"/>
        <v>0.14516426300511531</v>
      </c>
      <c r="AU19" s="779"/>
      <c r="AV19" s="440">
        <f t="shared" ref="AV19:BB19" si="71">$J$19</f>
        <v>0.35714285714285715</v>
      </c>
      <c r="AW19" s="440">
        <f t="shared" si="71"/>
        <v>0.35714285714285715</v>
      </c>
      <c r="AX19" s="440">
        <f t="shared" si="71"/>
        <v>0.35714285714285715</v>
      </c>
      <c r="AY19" s="440">
        <f t="shared" si="71"/>
        <v>0.35714285714285715</v>
      </c>
      <c r="AZ19" s="440">
        <f t="shared" si="71"/>
        <v>0.35714285714285715</v>
      </c>
      <c r="BA19" s="440">
        <f t="shared" si="71"/>
        <v>0.35714285714285715</v>
      </c>
      <c r="BB19" s="440">
        <f t="shared" si="71"/>
        <v>0.35714285714285715</v>
      </c>
      <c r="BC19" s="779"/>
      <c r="BD19" s="925">
        <f t="shared" si="11"/>
        <v>2.5</v>
      </c>
      <c r="BE19" s="440">
        <f t="shared" si="27"/>
        <v>1.3759388103027235</v>
      </c>
      <c r="BF19" s="929">
        <f t="shared" si="51"/>
        <v>-1.1240611896972765</v>
      </c>
      <c r="BH19" s="187">
        <v>10</v>
      </c>
      <c r="BI19" s="641">
        <f t="shared" si="12"/>
        <v>1</v>
      </c>
      <c r="BK19" s="132">
        <f t="shared" si="29"/>
        <v>10</v>
      </c>
      <c r="BL19" s="641">
        <f t="shared" si="13"/>
        <v>1</v>
      </c>
      <c r="BM19" s="480"/>
      <c r="BO19" s="479"/>
      <c r="BP19" s="480"/>
      <c r="BQ19" s="480"/>
    </row>
    <row r="20" spans="1:69" s="833" customFormat="1" x14ac:dyDescent="0.2">
      <c r="B20" s="201">
        <v>13</v>
      </c>
      <c r="C20" s="834" t="s">
        <v>144</v>
      </c>
      <c r="D20" s="835"/>
      <c r="E20" s="89">
        <v>10.1</v>
      </c>
      <c r="F20" s="89">
        <f t="shared" si="1"/>
        <v>1.01</v>
      </c>
      <c r="G20" s="89">
        <f t="shared" si="2"/>
        <v>0.67333333333333334</v>
      </c>
      <c r="H20" s="89">
        <f t="shared" si="3"/>
        <v>0.505</v>
      </c>
      <c r="I20" s="89">
        <f t="shared" si="4"/>
        <v>0.40399999999999997</v>
      </c>
      <c r="J20" s="89">
        <f t="shared" si="14"/>
        <v>0.36071428571428571</v>
      </c>
      <c r="K20" s="836">
        <f t="shared" si="5"/>
        <v>9.3074690135004391E-3</v>
      </c>
      <c r="L20" s="837">
        <f>$J$20</f>
        <v>0.36071428571428571</v>
      </c>
      <c r="M20" s="837">
        <f t="shared" ref="M20:R20" si="72">$J$20</f>
        <v>0.36071428571428571</v>
      </c>
      <c r="N20" s="837">
        <f t="shared" si="72"/>
        <v>0.36071428571428571</v>
      </c>
      <c r="O20" s="837">
        <f t="shared" si="72"/>
        <v>0.36071428571428571</v>
      </c>
      <c r="P20" s="837">
        <f t="shared" si="72"/>
        <v>0.36071428571428571</v>
      </c>
      <c r="Q20" s="837">
        <f t="shared" si="72"/>
        <v>0.36071428571428571</v>
      </c>
      <c r="R20" s="837">
        <f t="shared" si="72"/>
        <v>0.36071428571428571</v>
      </c>
      <c r="S20" s="838"/>
      <c r="T20" s="942">
        <f t="shared" ref="T20" si="73">SUM(L20:R20)</f>
        <v>2.5249999999999999</v>
      </c>
      <c r="U20" s="837">
        <f t="shared" ref="U20" si="74">($T$3*K20)*30%</f>
        <v>2.5036626272865505</v>
      </c>
      <c r="V20" s="943">
        <f t="shared" ref="V20" si="75">U20-T20</f>
        <v>-2.1337372713449376E-2</v>
      </c>
      <c r="W20" s="838"/>
      <c r="X20" s="837">
        <f t="shared" ref="X20:AD20" si="76">$J$20</f>
        <v>0.36071428571428571</v>
      </c>
      <c r="Y20" s="837">
        <f t="shared" si="76"/>
        <v>0.36071428571428571</v>
      </c>
      <c r="Z20" s="837">
        <f t="shared" si="76"/>
        <v>0.36071428571428571</v>
      </c>
      <c r="AA20" s="837">
        <f t="shared" si="76"/>
        <v>0.36071428571428571</v>
      </c>
      <c r="AB20" s="837">
        <f t="shared" si="76"/>
        <v>0.36071428571428571</v>
      </c>
      <c r="AC20" s="837">
        <f t="shared" si="76"/>
        <v>0.36071428571428571</v>
      </c>
      <c r="AD20" s="837">
        <f t="shared" si="76"/>
        <v>0.36071428571428571</v>
      </c>
      <c r="AE20" s="838"/>
      <c r="AF20" s="942">
        <f t="shared" ref="AF20" si="77">SUM(X20:AD20)</f>
        <v>2.5249999999999999</v>
      </c>
      <c r="AG20" s="837">
        <f t="shared" ref="AG20" si="78">($AF$3*K20)*30%</f>
        <v>3.2938667465327378</v>
      </c>
      <c r="AH20" s="943">
        <f t="shared" ref="AH20" si="79">AG20-AF20</f>
        <v>0.7688667465327379</v>
      </c>
      <c r="AI20" s="838"/>
      <c r="AJ20" s="837">
        <f t="shared" ref="AJ20:AP20" si="80">$J$20</f>
        <v>0.36071428571428571</v>
      </c>
      <c r="AK20" s="837">
        <f t="shared" si="80"/>
        <v>0.36071428571428571</v>
      </c>
      <c r="AL20" s="837">
        <f t="shared" si="80"/>
        <v>0.36071428571428571</v>
      </c>
      <c r="AM20" s="837">
        <f t="shared" si="80"/>
        <v>0.36071428571428571</v>
      </c>
      <c r="AN20" s="837">
        <f t="shared" si="80"/>
        <v>0.36071428571428571</v>
      </c>
      <c r="AO20" s="837">
        <f t="shared" si="80"/>
        <v>0.36071428571428571</v>
      </c>
      <c r="AP20" s="837">
        <f t="shared" si="80"/>
        <v>0.36071428571428571</v>
      </c>
      <c r="AQ20" s="838"/>
      <c r="AR20" s="942">
        <f t="shared" ref="AR20" si="81">SUM(AJ20:AP20)</f>
        <v>2.5249999999999999</v>
      </c>
      <c r="AS20" s="837">
        <f t="shared" ref="AS20" si="82">($AR$3*K20)*30%</f>
        <v>2.6716159056351665</v>
      </c>
      <c r="AT20" s="943">
        <f t="shared" ref="AT20" si="83">AS20-AR20</f>
        <v>0.14661590563516658</v>
      </c>
      <c r="AU20" s="838"/>
      <c r="AV20" s="837">
        <f t="shared" ref="AV20:BB20" si="84">$J$20</f>
        <v>0.36071428571428571</v>
      </c>
      <c r="AW20" s="837">
        <f t="shared" si="84"/>
        <v>0.36071428571428571</v>
      </c>
      <c r="AX20" s="837">
        <f t="shared" si="84"/>
        <v>0.36071428571428571</v>
      </c>
      <c r="AY20" s="837">
        <f t="shared" si="84"/>
        <v>0.36071428571428571</v>
      </c>
      <c r="AZ20" s="837">
        <f t="shared" si="84"/>
        <v>0.36071428571428571</v>
      </c>
      <c r="BA20" s="837">
        <f t="shared" si="84"/>
        <v>0.36071428571428571</v>
      </c>
      <c r="BB20" s="837">
        <f t="shared" si="84"/>
        <v>0.36071428571428571</v>
      </c>
      <c r="BC20" s="838"/>
      <c r="BD20" s="942">
        <f t="shared" ref="BD20" si="85">SUM(AV20:BB20)</f>
        <v>2.5249999999999999</v>
      </c>
      <c r="BE20" s="837">
        <f t="shared" ref="BE20" si="86">($BD$3*K20)*30%</f>
        <v>1.3896981984057508</v>
      </c>
      <c r="BF20" s="943">
        <f t="shared" ref="BF20" si="87">BE20-BD20</f>
        <v>-1.1353018015942491</v>
      </c>
      <c r="BH20" s="295">
        <v>10.1</v>
      </c>
      <c r="BI20" s="839">
        <f t="shared" ref="BI20" si="88">BH20/E20</f>
        <v>1</v>
      </c>
      <c r="BK20" s="89">
        <f t="shared" ref="BK20" si="89">SUM(L20:R20)+SUM(X20:AD20)+SUM(AJ20:AP20)+SUM(AV20:BB20)</f>
        <v>10.1</v>
      </c>
      <c r="BL20" s="839">
        <f t="shared" ref="BL20" si="90">BK20/E20</f>
        <v>1</v>
      </c>
      <c r="BM20" s="840"/>
      <c r="BO20" s="841"/>
      <c r="BP20" s="840"/>
      <c r="BQ20" s="840"/>
    </row>
    <row r="21" spans="1:69" s="255" customFormat="1" x14ac:dyDescent="0.2">
      <c r="A21" s="810"/>
      <c r="B21" s="427">
        <v>14</v>
      </c>
      <c r="C21" s="43" t="s">
        <v>119</v>
      </c>
      <c r="D21" s="813"/>
      <c r="E21" s="40">
        <v>4</v>
      </c>
      <c r="F21" s="40">
        <f t="shared" si="1"/>
        <v>0.4</v>
      </c>
      <c r="G21" s="40">
        <f t="shared" si="2"/>
        <v>0.26666666666666666</v>
      </c>
      <c r="H21" s="40">
        <f t="shared" si="3"/>
        <v>0.2</v>
      </c>
      <c r="I21" s="40">
        <f t="shared" si="4"/>
        <v>0.16</v>
      </c>
      <c r="J21" s="40">
        <f t="shared" si="14"/>
        <v>0.14285714285714285</v>
      </c>
      <c r="K21" s="206">
        <f t="shared" si="5"/>
        <v>3.686126341980372E-3</v>
      </c>
      <c r="L21" s="826">
        <f t="shared" ref="L21:R21" si="91">$J$21</f>
        <v>0.14285714285714285</v>
      </c>
      <c r="M21" s="826">
        <f t="shared" si="91"/>
        <v>0.14285714285714285</v>
      </c>
      <c r="N21" s="826">
        <f t="shared" si="91"/>
        <v>0.14285714285714285</v>
      </c>
      <c r="O21" s="826">
        <f t="shared" si="91"/>
        <v>0.14285714285714285</v>
      </c>
      <c r="P21" s="826">
        <f t="shared" si="91"/>
        <v>0.14285714285714285</v>
      </c>
      <c r="Q21" s="826">
        <f t="shared" si="91"/>
        <v>0.14285714285714285</v>
      </c>
      <c r="R21" s="826">
        <f t="shared" si="91"/>
        <v>0.14285714285714285</v>
      </c>
      <c r="S21" s="782"/>
      <c r="T21" s="911">
        <f t="shared" si="16"/>
        <v>0.99999999999999978</v>
      </c>
      <c r="U21" s="917">
        <f t="shared" si="17"/>
        <v>0.99154955536101019</v>
      </c>
      <c r="V21" s="936">
        <f t="shared" si="18"/>
        <v>-8.4504446389895849E-3</v>
      </c>
      <c r="W21" s="782"/>
      <c r="X21" s="826">
        <f t="shared" ref="X21:AD21" si="92">$J$21</f>
        <v>0.14285714285714285</v>
      </c>
      <c r="Y21" s="826">
        <f t="shared" si="92"/>
        <v>0.14285714285714285</v>
      </c>
      <c r="Z21" s="826">
        <f t="shared" si="92"/>
        <v>0.14285714285714285</v>
      </c>
      <c r="AA21" s="826">
        <f t="shared" si="92"/>
        <v>0.14285714285714285</v>
      </c>
      <c r="AB21" s="826">
        <f t="shared" si="92"/>
        <v>0.14285714285714285</v>
      </c>
      <c r="AC21" s="826">
        <f t="shared" si="92"/>
        <v>0.14285714285714285</v>
      </c>
      <c r="AD21" s="826">
        <f t="shared" si="92"/>
        <v>0.14285714285714285</v>
      </c>
      <c r="AE21" s="782"/>
      <c r="AF21" s="911">
        <f t="shared" si="8"/>
        <v>0.99999999999999978</v>
      </c>
      <c r="AG21" s="917">
        <f t="shared" si="20"/>
        <v>1.3045016817951438</v>
      </c>
      <c r="AH21" s="936">
        <f t="shared" si="21"/>
        <v>0.30450168179514403</v>
      </c>
      <c r="AI21" s="782"/>
      <c r="AJ21" s="826">
        <f t="shared" ref="AJ21:AP21" si="93">$J$21</f>
        <v>0.14285714285714285</v>
      </c>
      <c r="AK21" s="826">
        <f t="shared" si="93"/>
        <v>0.14285714285714285</v>
      </c>
      <c r="AL21" s="826">
        <f t="shared" si="93"/>
        <v>0.14285714285714285</v>
      </c>
      <c r="AM21" s="826">
        <f t="shared" si="93"/>
        <v>0.14285714285714285</v>
      </c>
      <c r="AN21" s="826">
        <f t="shared" si="93"/>
        <v>0.14285714285714285</v>
      </c>
      <c r="AO21" s="826">
        <f t="shared" si="93"/>
        <v>0.14285714285714285</v>
      </c>
      <c r="AP21" s="826">
        <f t="shared" si="93"/>
        <v>0.14285714285714285</v>
      </c>
      <c r="AQ21" s="782"/>
      <c r="AR21" s="911">
        <f t="shared" si="23"/>
        <v>0.99999999999999978</v>
      </c>
      <c r="AS21" s="917">
        <f t="shared" si="24"/>
        <v>1.0580657052020461</v>
      </c>
      <c r="AT21" s="936">
        <f t="shared" si="49"/>
        <v>5.8065705202046347E-2</v>
      </c>
      <c r="AU21" s="782"/>
      <c r="AV21" s="826">
        <f t="shared" ref="AV21:BB21" si="94">$J$21</f>
        <v>0.14285714285714285</v>
      </c>
      <c r="AW21" s="961">
        <f t="shared" si="94"/>
        <v>0.14285714285714285</v>
      </c>
      <c r="AX21" s="967">
        <f t="shared" si="94"/>
        <v>0.14285714285714285</v>
      </c>
      <c r="AY21" s="971">
        <f t="shared" si="94"/>
        <v>0.14285714285714285</v>
      </c>
      <c r="AZ21" s="977">
        <f t="shared" si="94"/>
        <v>0.14285714285714285</v>
      </c>
      <c r="BA21" s="979">
        <f t="shared" si="94"/>
        <v>0.14285714285714285</v>
      </c>
      <c r="BB21" s="980">
        <f t="shared" si="94"/>
        <v>0.14285714285714285</v>
      </c>
      <c r="BC21" s="782"/>
      <c r="BD21" s="911">
        <f t="shared" si="11"/>
        <v>0.99999999999999978</v>
      </c>
      <c r="BE21" s="917">
        <f t="shared" si="27"/>
        <v>0.55037552412108937</v>
      </c>
      <c r="BF21" s="936">
        <f t="shared" si="51"/>
        <v>-0.44962447587891041</v>
      </c>
      <c r="BH21" s="187">
        <v>4</v>
      </c>
      <c r="BI21" s="51">
        <f t="shared" si="12"/>
        <v>1</v>
      </c>
      <c r="BK21" s="40">
        <f t="shared" si="29"/>
        <v>3.9999999999999991</v>
      </c>
      <c r="BL21" s="51">
        <f t="shared" si="13"/>
        <v>0.99999999999999978</v>
      </c>
      <c r="BM21" s="62"/>
      <c r="BO21" s="61"/>
      <c r="BP21" s="62"/>
      <c r="BQ21" s="62"/>
    </row>
    <row r="22" spans="1:69" s="224" customFormat="1" x14ac:dyDescent="0.2">
      <c r="B22" s="834">
        <v>15</v>
      </c>
      <c r="C22" s="834" t="s">
        <v>124</v>
      </c>
      <c r="D22" s="835"/>
      <c r="E22" s="89">
        <v>1</v>
      </c>
      <c r="F22" s="89">
        <f t="shared" si="1"/>
        <v>0.1</v>
      </c>
      <c r="G22" s="89">
        <f t="shared" si="2"/>
        <v>6.6666666666666666E-2</v>
      </c>
      <c r="H22" s="89">
        <f t="shared" si="3"/>
        <v>0.05</v>
      </c>
      <c r="I22" s="89">
        <f t="shared" si="4"/>
        <v>0.04</v>
      </c>
      <c r="J22" s="89">
        <f t="shared" si="14"/>
        <v>3.5714285714285712E-2</v>
      </c>
      <c r="K22" s="836">
        <f t="shared" si="5"/>
        <v>9.2153158549509301E-4</v>
      </c>
      <c r="L22" s="227">
        <f t="shared" ref="L22:R22" si="95">$J$22</f>
        <v>3.5714285714285712E-2</v>
      </c>
      <c r="M22" s="227">
        <f t="shared" si="95"/>
        <v>3.5714285714285712E-2</v>
      </c>
      <c r="N22" s="227">
        <f t="shared" si="95"/>
        <v>3.5714285714285712E-2</v>
      </c>
      <c r="O22" s="227">
        <f t="shared" si="95"/>
        <v>3.5714285714285712E-2</v>
      </c>
      <c r="P22" s="227">
        <f t="shared" si="95"/>
        <v>3.5714285714285712E-2</v>
      </c>
      <c r="Q22" s="227">
        <f t="shared" si="95"/>
        <v>3.5714285714285712E-2</v>
      </c>
      <c r="R22" s="227">
        <f t="shared" si="95"/>
        <v>3.5714285714285712E-2</v>
      </c>
      <c r="S22" s="844"/>
      <c r="T22" s="944">
        <f t="shared" si="16"/>
        <v>0.24999999999999994</v>
      </c>
      <c r="U22" s="227">
        <f t="shared" si="17"/>
        <v>0.24788738884025255</v>
      </c>
      <c r="V22" s="945">
        <f t="shared" si="18"/>
        <v>-2.1126111597473962E-3</v>
      </c>
      <c r="W22" s="844"/>
      <c r="X22" s="227">
        <f t="shared" ref="X22:AD22" si="96">$J$22</f>
        <v>3.5714285714285712E-2</v>
      </c>
      <c r="Y22" s="227">
        <f t="shared" si="96"/>
        <v>3.5714285714285712E-2</v>
      </c>
      <c r="Z22" s="227">
        <f t="shared" si="96"/>
        <v>3.5714285714285712E-2</v>
      </c>
      <c r="AA22" s="227">
        <f t="shared" si="96"/>
        <v>3.5714285714285712E-2</v>
      </c>
      <c r="AB22" s="227">
        <f t="shared" si="96"/>
        <v>3.5714285714285712E-2</v>
      </c>
      <c r="AC22" s="227">
        <f t="shared" si="96"/>
        <v>3.5714285714285712E-2</v>
      </c>
      <c r="AD22" s="227">
        <f t="shared" si="96"/>
        <v>3.5714285714285712E-2</v>
      </c>
      <c r="AE22" s="844"/>
      <c r="AF22" s="944">
        <f t="shared" si="8"/>
        <v>0.24999999999999994</v>
      </c>
      <c r="AG22" s="227">
        <f t="shared" si="20"/>
        <v>0.32612542044878595</v>
      </c>
      <c r="AH22" s="945">
        <f t="shared" si="21"/>
        <v>7.6125420448786008E-2</v>
      </c>
      <c r="AI22" s="844"/>
      <c r="AJ22" s="227">
        <f t="shared" ref="AJ22:AP22" si="97">$J$22</f>
        <v>3.5714285714285712E-2</v>
      </c>
      <c r="AK22" s="227">
        <f t="shared" si="97"/>
        <v>3.5714285714285712E-2</v>
      </c>
      <c r="AL22" s="227">
        <f t="shared" si="97"/>
        <v>3.5714285714285712E-2</v>
      </c>
      <c r="AM22" s="227">
        <f t="shared" si="97"/>
        <v>3.5714285714285712E-2</v>
      </c>
      <c r="AN22" s="227">
        <f t="shared" si="97"/>
        <v>3.5714285714285712E-2</v>
      </c>
      <c r="AO22" s="227">
        <f t="shared" si="97"/>
        <v>3.5714285714285712E-2</v>
      </c>
      <c r="AP22" s="227">
        <f t="shared" si="97"/>
        <v>3.5714285714285712E-2</v>
      </c>
      <c r="AQ22" s="844"/>
      <c r="AR22" s="944">
        <f t="shared" si="23"/>
        <v>0.24999999999999994</v>
      </c>
      <c r="AS22" s="227">
        <f t="shared" si="24"/>
        <v>0.26451642630051153</v>
      </c>
      <c r="AT22" s="945">
        <f t="shared" si="49"/>
        <v>1.4516426300511587E-2</v>
      </c>
      <c r="AU22" s="844"/>
      <c r="AV22" s="227">
        <f t="shared" ref="AV22:BB22" si="98">$J$22</f>
        <v>3.5714285714285712E-2</v>
      </c>
      <c r="AW22" s="227">
        <f t="shared" si="98"/>
        <v>3.5714285714285712E-2</v>
      </c>
      <c r="AX22" s="227">
        <f t="shared" si="98"/>
        <v>3.5714285714285712E-2</v>
      </c>
      <c r="AY22" s="227">
        <f t="shared" si="98"/>
        <v>3.5714285714285712E-2</v>
      </c>
      <c r="AZ22" s="227">
        <f t="shared" si="98"/>
        <v>3.5714285714285712E-2</v>
      </c>
      <c r="BA22" s="227">
        <f t="shared" si="98"/>
        <v>3.5714285714285712E-2</v>
      </c>
      <c r="BB22" s="227">
        <f t="shared" si="98"/>
        <v>3.5714285714285712E-2</v>
      </c>
      <c r="BC22" s="844"/>
      <c r="BD22" s="944">
        <f t="shared" si="11"/>
        <v>0.24999999999999994</v>
      </c>
      <c r="BE22" s="227">
        <f t="shared" si="27"/>
        <v>0.13759388103027234</v>
      </c>
      <c r="BF22" s="945">
        <f t="shared" si="51"/>
        <v>-0.1124061189697276</v>
      </c>
      <c r="BH22" s="295">
        <v>1</v>
      </c>
      <c r="BI22" s="225">
        <f t="shared" si="12"/>
        <v>1</v>
      </c>
      <c r="BK22" s="202">
        <f>SUM(L22:R22)+SUM(X22:AD22)+SUM(AJ22:AP22)+SUM(AV22:BB22)</f>
        <v>0.99999999999999978</v>
      </c>
      <c r="BL22" s="225">
        <f t="shared" si="13"/>
        <v>0.99999999999999978</v>
      </c>
      <c r="BM22" s="226"/>
      <c r="BO22" s="203"/>
      <c r="BP22" s="226"/>
      <c r="BQ22" s="226"/>
    </row>
    <row r="23" spans="1:69" s="255" customFormat="1" x14ac:dyDescent="0.2">
      <c r="B23" s="43">
        <v>16</v>
      </c>
      <c r="C23" s="427"/>
      <c r="D23" s="812"/>
      <c r="E23" s="132"/>
      <c r="F23" s="132"/>
      <c r="G23" s="132"/>
      <c r="H23" s="132"/>
      <c r="I23" s="132"/>
      <c r="J23" s="132"/>
      <c r="K23" s="478"/>
      <c r="L23" s="826"/>
      <c r="M23" s="826"/>
      <c r="N23" s="826"/>
      <c r="O23" s="826"/>
      <c r="P23" s="826"/>
      <c r="Q23" s="826"/>
      <c r="R23" s="826"/>
      <c r="S23" s="782"/>
      <c r="T23" s="911"/>
      <c r="U23" s="917"/>
      <c r="V23" s="936"/>
      <c r="W23" s="782"/>
      <c r="X23" s="826"/>
      <c r="Y23" s="826"/>
      <c r="Z23" s="826"/>
      <c r="AA23" s="826"/>
      <c r="AB23" s="826"/>
      <c r="AC23" s="826"/>
      <c r="AD23" s="826"/>
      <c r="AE23" s="782"/>
      <c r="AF23" s="911"/>
      <c r="AG23" s="917"/>
      <c r="AH23" s="936"/>
      <c r="AI23" s="782"/>
      <c r="AJ23" s="826"/>
      <c r="AK23" s="826"/>
      <c r="AL23" s="826"/>
      <c r="AM23" s="826"/>
      <c r="AN23" s="826"/>
      <c r="AO23" s="826"/>
      <c r="AP23" s="826"/>
      <c r="AQ23" s="782"/>
      <c r="AR23" s="911"/>
      <c r="AS23" s="917"/>
      <c r="AT23" s="936"/>
      <c r="AU23" s="782"/>
      <c r="AV23" s="826"/>
      <c r="AW23" s="826"/>
      <c r="AX23" s="826"/>
      <c r="AY23" s="826"/>
      <c r="AZ23" s="826"/>
      <c r="BA23" s="826"/>
      <c r="BB23" s="826"/>
      <c r="BC23" s="782"/>
      <c r="BD23" s="911"/>
      <c r="BE23" s="917"/>
      <c r="BF23" s="936"/>
      <c r="BH23" s="40"/>
      <c r="BI23" s="51"/>
      <c r="BK23" s="40"/>
      <c r="BL23" s="51"/>
      <c r="BM23" s="62"/>
      <c r="BO23" s="61"/>
      <c r="BP23" s="62"/>
      <c r="BQ23" s="62"/>
    </row>
    <row r="24" spans="1:69" s="224" customFormat="1" ht="15.75" thickBot="1" x14ac:dyDescent="0.25">
      <c r="B24" s="201"/>
      <c r="C24" s="201" t="s">
        <v>17</v>
      </c>
      <c r="D24" s="843"/>
      <c r="E24" s="202">
        <f t="shared" ref="E24:I24" si="99">SUM(E8:E22)</f>
        <v>1085.1499999999999</v>
      </c>
      <c r="F24" s="202">
        <f t="shared" si="99"/>
        <v>108.51500000000001</v>
      </c>
      <c r="G24" s="202">
        <f t="shared" si="99"/>
        <v>72.343333333333334</v>
      </c>
      <c r="H24" s="202">
        <f t="shared" si="99"/>
        <v>54.257500000000007</v>
      </c>
      <c r="I24" s="202">
        <f t="shared" si="99"/>
        <v>43.405999999999992</v>
      </c>
      <c r="J24" s="202">
        <f>SUM(J8:J22)</f>
        <v>38.826785714285712</v>
      </c>
      <c r="K24" s="229">
        <f>E24/(E24+E35+E41)</f>
        <v>0.36171666666666663</v>
      </c>
      <c r="L24" s="227">
        <f t="shared" ref="L24:R24" si="100">SUM(L8:L22)</f>
        <v>38.826785714285712</v>
      </c>
      <c r="M24" s="227">
        <f t="shared" si="100"/>
        <v>38.826785714285712</v>
      </c>
      <c r="N24" s="227">
        <f t="shared" si="100"/>
        <v>38.826785714285712</v>
      </c>
      <c r="O24" s="227">
        <f t="shared" si="100"/>
        <v>38.826785714285712</v>
      </c>
      <c r="P24" s="227">
        <f t="shared" si="100"/>
        <v>38.826785714285712</v>
      </c>
      <c r="Q24" s="227">
        <f t="shared" si="100"/>
        <v>38.826785714285712</v>
      </c>
      <c r="R24" s="227">
        <f t="shared" si="100"/>
        <v>38.826785714285712</v>
      </c>
      <c r="S24" s="844"/>
      <c r="T24" s="909">
        <f>SUM(L24:R24)</f>
        <v>271.78749999999997</v>
      </c>
      <c r="U24" s="908">
        <f>SUM(U8:U22)</f>
        <v>268.99499999999995</v>
      </c>
      <c r="V24" s="912">
        <f>SUM(V8:V22)</f>
        <v>-2.7925000000000004</v>
      </c>
      <c r="W24" s="844"/>
      <c r="X24" s="227">
        <f t="shared" ref="X24:AD24" si="101">SUM(X8:X22)</f>
        <v>38.826785714285712</v>
      </c>
      <c r="Y24" s="227">
        <f t="shared" si="101"/>
        <v>38.826785714285712</v>
      </c>
      <c r="Z24" s="227">
        <f t="shared" si="101"/>
        <v>38.826785714285712</v>
      </c>
      <c r="AA24" s="227">
        <f t="shared" si="101"/>
        <v>38.826785714285712</v>
      </c>
      <c r="AB24" s="227">
        <f t="shared" si="101"/>
        <v>38.826785714285712</v>
      </c>
      <c r="AC24" s="227">
        <f t="shared" si="101"/>
        <v>38.826785714285712</v>
      </c>
      <c r="AD24" s="227">
        <f t="shared" si="101"/>
        <v>38.826785714285712</v>
      </c>
      <c r="AE24" s="844"/>
      <c r="AF24" s="909">
        <f>SUM(X24:AD24)</f>
        <v>271.78749999999997</v>
      </c>
      <c r="AG24" s="908">
        <f>SUM(AG8:AG22)</f>
        <v>353.89500000000004</v>
      </c>
      <c r="AH24" s="912">
        <f>SUM(AH8:AH22)</f>
        <v>82.107500000000059</v>
      </c>
      <c r="AI24" s="844"/>
      <c r="AJ24" s="227">
        <f t="shared" ref="AJ24:AP24" si="102">SUM(AJ8:AJ22)</f>
        <v>38.826785714285712</v>
      </c>
      <c r="AK24" s="227">
        <f t="shared" si="102"/>
        <v>38.826785714285712</v>
      </c>
      <c r="AL24" s="227">
        <f t="shared" si="102"/>
        <v>38.826785714285712</v>
      </c>
      <c r="AM24" s="227">
        <f t="shared" si="102"/>
        <v>38.826785714285712</v>
      </c>
      <c r="AN24" s="227">
        <f t="shared" si="102"/>
        <v>38.826785714285712</v>
      </c>
      <c r="AO24" s="227">
        <f t="shared" si="102"/>
        <v>38.826785714285712</v>
      </c>
      <c r="AP24" s="227">
        <f t="shared" si="102"/>
        <v>38.826785714285712</v>
      </c>
      <c r="AQ24" s="844"/>
      <c r="AR24" s="909">
        <f>SUM(AJ24:AP24)</f>
        <v>271.78749999999997</v>
      </c>
      <c r="AS24" s="908">
        <f>SUM(AS8:AS22)</f>
        <v>287.04000000000019</v>
      </c>
      <c r="AT24" s="912">
        <f>SUM(AT8:AT22)</f>
        <v>15.252500000000081</v>
      </c>
      <c r="AU24" s="844"/>
      <c r="AV24" s="227">
        <f t="shared" ref="AV24:BB24" si="103">SUM(AV8:AV22)</f>
        <v>38.826785714285712</v>
      </c>
      <c r="AW24" s="227">
        <f t="shared" si="103"/>
        <v>38.826785714285712</v>
      </c>
      <c r="AX24" s="227">
        <f t="shared" si="103"/>
        <v>38.826785714285712</v>
      </c>
      <c r="AY24" s="227">
        <f t="shared" si="103"/>
        <v>38.826785714285712</v>
      </c>
      <c r="AZ24" s="227">
        <f t="shared" si="103"/>
        <v>38.826785714285712</v>
      </c>
      <c r="BA24" s="227">
        <f t="shared" si="103"/>
        <v>38.826785714285712</v>
      </c>
      <c r="BB24" s="227">
        <f t="shared" si="103"/>
        <v>38.826785714285712</v>
      </c>
      <c r="BC24" s="844"/>
      <c r="BD24" s="909">
        <f>SUM(AV24:BB24)</f>
        <v>271.78749999999997</v>
      </c>
      <c r="BE24" s="908">
        <f>SUM(BE8:BE22)</f>
        <v>149.30999999999997</v>
      </c>
      <c r="BF24" s="912">
        <f>SUM(BF8:BF22)</f>
        <v>-122.47750000000001</v>
      </c>
      <c r="BH24" s="202">
        <f>SUM(BH8:BH22)</f>
        <v>1059.25</v>
      </c>
      <c r="BI24" s="225">
        <f>BH24/$E$24</f>
        <v>0.97613233193567717</v>
      </c>
      <c r="BK24" s="202">
        <f>SUM(BK8:BK22)</f>
        <v>1087.1500000000001</v>
      </c>
      <c r="BL24" s="225">
        <f>BK24/$E$24</f>
        <v>1.0018430631709905</v>
      </c>
      <c r="BM24" s="226"/>
      <c r="BO24" s="203"/>
      <c r="BP24" s="226"/>
      <c r="BQ24" s="226"/>
    </row>
    <row r="25" spans="1:69" s="271" customFormat="1" ht="4.5" customHeight="1" thickBot="1" x14ac:dyDescent="0.25">
      <c r="E25" s="203"/>
      <c r="F25" s="203"/>
      <c r="G25" s="203"/>
      <c r="H25" s="203"/>
      <c r="I25" s="203"/>
      <c r="J25" s="203"/>
      <c r="K25" s="845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H25" s="203"/>
      <c r="BI25" s="846"/>
      <c r="BK25" s="203"/>
      <c r="BL25" s="847"/>
      <c r="BM25" s="847"/>
      <c r="BO25" s="203"/>
      <c r="BP25" s="226"/>
      <c r="BQ25" s="226"/>
    </row>
    <row r="26" spans="1:69" s="255" customFormat="1" ht="15.75" thickBot="1" x14ac:dyDescent="0.25">
      <c r="B26" s="43"/>
      <c r="C26" s="43" t="s">
        <v>77</v>
      </c>
      <c r="D26" s="813"/>
      <c r="E26" s="40">
        <f>E24*100/30</f>
        <v>3617.1666666666661</v>
      </c>
      <c r="F26" s="40">
        <f t="shared" ref="F26:I26" si="104">F24*100/30</f>
        <v>361.71666666666675</v>
      </c>
      <c r="G26" s="40">
        <f t="shared" si="104"/>
        <v>241.14444444444445</v>
      </c>
      <c r="H26" s="40">
        <f t="shared" si="104"/>
        <v>180.85833333333338</v>
      </c>
      <c r="I26" s="40">
        <f t="shared" si="104"/>
        <v>144.68666666666664</v>
      </c>
      <c r="J26" s="40">
        <f>J24*100/30</f>
        <v>129.42261904761904</v>
      </c>
      <c r="K26" s="193">
        <f>E26/E48</f>
        <v>0.36171666666666663</v>
      </c>
      <c r="L26" s="826">
        <f t="shared" ref="L26:R26" si="105">L4-L24</f>
        <v>1.763214285714291</v>
      </c>
      <c r="M26" s="40">
        <f t="shared" si="105"/>
        <v>6.6532142857142844</v>
      </c>
      <c r="N26" s="40">
        <f t="shared" si="105"/>
        <v>3.0982142857142847</v>
      </c>
      <c r="O26" s="40">
        <f t="shared" si="105"/>
        <v>-4.851785714285711</v>
      </c>
      <c r="P26" s="40">
        <f t="shared" si="105"/>
        <v>-4.0267857142857153</v>
      </c>
      <c r="Q26" s="40">
        <f t="shared" si="105"/>
        <v>1.7482142857142833</v>
      </c>
      <c r="R26" s="40">
        <f t="shared" si="105"/>
        <v>-7.1767857142857139</v>
      </c>
      <c r="S26" s="783"/>
      <c r="T26" s="742">
        <f>SUM(L26:R26)</f>
        <v>-2.7924999999999969</v>
      </c>
      <c r="U26" s="947">
        <f>L26+M26+N26+Q26</f>
        <v>13.262857142857143</v>
      </c>
      <c r="V26" s="948">
        <f>O26+P26+R26</f>
        <v>-16.05535714285714</v>
      </c>
      <c r="W26" s="783"/>
      <c r="X26" s="40">
        <f t="shared" ref="X26:AD26" si="106">X4-X24</f>
        <v>-3.9517857142857125</v>
      </c>
      <c r="Y26" s="40">
        <f t="shared" si="106"/>
        <v>5.8432142857142892</v>
      </c>
      <c r="Z26" s="40">
        <f t="shared" si="106"/>
        <v>8.2132142857142867</v>
      </c>
      <c r="AA26" s="40">
        <f t="shared" si="106"/>
        <v>-13.626785714285713</v>
      </c>
      <c r="AB26" s="40">
        <f t="shared" si="106"/>
        <v>-2.091785714285713</v>
      </c>
      <c r="AC26" s="40">
        <f t="shared" si="106"/>
        <v>27.503214285714286</v>
      </c>
      <c r="AD26" s="40">
        <f t="shared" si="106"/>
        <v>60.218214285714275</v>
      </c>
      <c r="AE26" s="783"/>
      <c r="AF26" s="742">
        <f>SUM(X26:AD26)</f>
        <v>82.107500000000002</v>
      </c>
      <c r="AG26" s="947"/>
      <c r="AH26" s="948">
        <f>X26+AA26+AB26</f>
        <v>-19.670357142857139</v>
      </c>
      <c r="AI26" s="783"/>
      <c r="AJ26" s="40">
        <f t="shared" ref="AJ26:AP26" si="107">AJ4-AJ24</f>
        <v>0.99821428571428328</v>
      </c>
      <c r="AK26" s="40">
        <f t="shared" si="107"/>
        <v>11.198214285714286</v>
      </c>
      <c r="AL26" s="40">
        <f t="shared" si="107"/>
        <v>27.308214285714278</v>
      </c>
      <c r="AM26" s="40">
        <f t="shared" si="107"/>
        <v>-4.0417857142857159</v>
      </c>
      <c r="AN26" s="40">
        <f t="shared" si="107"/>
        <v>-15.891785714285714</v>
      </c>
      <c r="AO26" s="40">
        <f t="shared" si="107"/>
        <v>-12.576785714285712</v>
      </c>
      <c r="AP26" s="40">
        <f t="shared" si="107"/>
        <v>8.2582142857142813</v>
      </c>
      <c r="AQ26" s="783"/>
      <c r="AR26" s="742">
        <f>SUM(AJ26:AP26)</f>
        <v>15.252499999999987</v>
      </c>
      <c r="AS26" s="947"/>
      <c r="AT26" s="948">
        <f>AM26+AN26+AO26</f>
        <v>-32.510357142857146</v>
      </c>
      <c r="AU26" s="783"/>
      <c r="AV26" s="40">
        <f t="shared" ref="AV26:BB26" si="108">AV4-AV24</f>
        <v>-38.826785714285712</v>
      </c>
      <c r="AW26" s="40">
        <f t="shared" si="108"/>
        <v>-11.016785714285714</v>
      </c>
      <c r="AX26" s="40">
        <f t="shared" si="108"/>
        <v>-16.131785714285712</v>
      </c>
      <c r="AY26" s="40">
        <f t="shared" si="108"/>
        <v>-3.321785714285717</v>
      </c>
      <c r="AZ26" s="40">
        <f t="shared" si="108"/>
        <v>3.4732142857142847</v>
      </c>
      <c r="BA26" s="40">
        <f t="shared" si="108"/>
        <v>-17.826785714285712</v>
      </c>
      <c r="BB26" s="40">
        <f t="shared" si="108"/>
        <v>-38.826785714285712</v>
      </c>
      <c r="BC26" s="783"/>
      <c r="BD26" s="742">
        <f>SUM(AV26:BB26)</f>
        <v>-122.47749999999999</v>
      </c>
      <c r="BE26" s="947"/>
      <c r="BF26" s="948">
        <f>AV26+AW26+AX26+AY26+BA26</f>
        <v>-87.123928571428564</v>
      </c>
      <c r="BH26" s="40">
        <f>SUM(L26:R26)+SUM(X26:AD26)+SUM(AJ26:AP26)+SUM(AV26:BB26)</f>
        <v>-27.910000000000011</v>
      </c>
      <c r="BI26" s="74"/>
      <c r="BK26" s="40"/>
      <c r="BL26" s="70"/>
      <c r="BM26" s="411"/>
      <c r="BO26" s="61"/>
      <c r="BP26" s="62"/>
      <c r="BQ26" s="62"/>
    </row>
    <row r="27" spans="1:69" s="271" customFormat="1" ht="15" customHeight="1" thickBot="1" x14ac:dyDescent="0.25">
      <c r="C27" s="271" t="s">
        <v>143</v>
      </c>
      <c r="E27" s="203"/>
      <c r="F27" s="203"/>
      <c r="G27" s="203"/>
      <c r="H27" s="203"/>
      <c r="I27" s="203"/>
      <c r="J27" s="203"/>
      <c r="K27" s="845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H27" s="203"/>
      <c r="BI27" s="846"/>
      <c r="BK27" s="4507" t="s">
        <v>99</v>
      </c>
      <c r="BL27" s="4507"/>
      <c r="BM27" s="203"/>
      <c r="BO27" s="203"/>
      <c r="BP27" s="226"/>
      <c r="BQ27" s="226"/>
    </row>
    <row r="28" spans="1:69" s="255" customFormat="1" x14ac:dyDescent="0.2">
      <c r="A28" s="774"/>
      <c r="B28" s="718">
        <v>17</v>
      </c>
      <c r="C28" s="815" t="s">
        <v>132</v>
      </c>
      <c r="D28" s="819"/>
      <c r="E28" s="818">
        <v>470</v>
      </c>
      <c r="F28" s="720">
        <f t="shared" ref="F28" si="109">E28/10</f>
        <v>47</v>
      </c>
      <c r="G28" s="720">
        <f t="shared" ref="G28" si="110">E28/15</f>
        <v>31.333333333333332</v>
      </c>
      <c r="H28" s="720">
        <f t="shared" ref="H28" si="111">E28/20</f>
        <v>23.5</v>
      </c>
      <c r="I28" s="720">
        <f t="shared" ref="I28" si="112">E28/25</f>
        <v>18.8</v>
      </c>
      <c r="J28" s="721">
        <f>E28/28</f>
        <v>16.785714285714285</v>
      </c>
      <c r="K28" s="722">
        <f>E28/$E$35</f>
        <v>0.29301745635910226</v>
      </c>
      <c r="L28" s="723">
        <f>$L$26*K28</f>
        <v>0.51665256501603296</v>
      </c>
      <c r="M28" s="723">
        <f t="shared" ref="M28:M34" si="113">$M$26*K28</f>
        <v>1.949507926612041</v>
      </c>
      <c r="N28" s="723">
        <f t="shared" ref="N28:N34" si="114">$N$26*K28</f>
        <v>0.90783086925543255</v>
      </c>
      <c r="O28" s="723">
        <v>0</v>
      </c>
      <c r="P28" s="723">
        <v>0</v>
      </c>
      <c r="Q28" s="723">
        <f t="shared" ref="Q28:Q34" si="115">$Q$26*K28</f>
        <v>0.51225730317064411</v>
      </c>
      <c r="R28" s="787">
        <v>0</v>
      </c>
      <c r="S28" s="479"/>
      <c r="T28" s="725">
        <f t="shared" si="16"/>
        <v>3.8862486640541505</v>
      </c>
      <c r="U28" s="723">
        <f>$T$26*K28</f>
        <v>-0.81825124688279216</v>
      </c>
      <c r="V28" s="784">
        <f>T28+U28</f>
        <v>3.0679974171713584</v>
      </c>
      <c r="W28" s="479"/>
      <c r="X28" s="725">
        <v>0</v>
      </c>
      <c r="Y28" s="723">
        <f>$Y$26*K28</f>
        <v>1.7121637869611697</v>
      </c>
      <c r="Z28" s="723">
        <f>$Z$26*K28</f>
        <v>2.4066151585322411</v>
      </c>
      <c r="AA28" s="723">
        <v>0</v>
      </c>
      <c r="AB28" s="723">
        <v>0</v>
      </c>
      <c r="AC28" s="723">
        <f>$AC$26*K28</f>
        <v>8.0589218916993239</v>
      </c>
      <c r="AD28" s="723">
        <f t="shared" ref="AD28:AD30" si="116">J28</f>
        <v>16.785714285714285</v>
      </c>
      <c r="AE28" s="479"/>
      <c r="AF28" s="725">
        <f>SUM(X28:AD28)</f>
        <v>28.963415122907019</v>
      </c>
      <c r="AG28" s="723">
        <f>$AF$26*K28</f>
        <v>24.05893079800499</v>
      </c>
      <c r="AH28" s="784">
        <f>AF28-AG28</f>
        <v>4.9044843249020289</v>
      </c>
      <c r="AI28" s="479"/>
      <c r="AJ28" s="725">
        <f>$AJ$26*K28</f>
        <v>0.29249421090131744</v>
      </c>
      <c r="AK28" s="723">
        <f>$AK$26*K28</f>
        <v>3.2812722657641613</v>
      </c>
      <c r="AL28" s="723">
        <f>$AL$26*K28</f>
        <v>8.0017834877092966</v>
      </c>
      <c r="AM28" s="723">
        <v>0</v>
      </c>
      <c r="AN28" s="723">
        <v>0</v>
      </c>
      <c r="AO28" s="723">
        <v>0</v>
      </c>
      <c r="AP28" s="787">
        <f>$AP$26*K28</f>
        <v>2.4198009440683994</v>
      </c>
      <c r="AQ28" s="479"/>
      <c r="AR28" s="725">
        <f t="shared" ref="AR28:AR35" si="117">SUM(AJ28:AP28)</f>
        <v>13.995350908443175</v>
      </c>
      <c r="AS28" s="723">
        <f>$AR$26*K28</f>
        <v>4.4692487531172036</v>
      </c>
      <c r="AT28" s="784">
        <f>AR28-AS28</f>
        <v>9.5261021553259724</v>
      </c>
      <c r="AU28" s="479"/>
      <c r="AV28" s="791">
        <v>0</v>
      </c>
      <c r="AW28" s="720">
        <v>0</v>
      </c>
      <c r="AX28" s="720">
        <v>0</v>
      </c>
      <c r="AY28" s="720">
        <v>0</v>
      </c>
      <c r="AZ28" s="720">
        <f>$AZ$26*K28</f>
        <v>1.0177124153900958</v>
      </c>
      <c r="BA28" s="720">
        <v>0</v>
      </c>
      <c r="BB28" s="724">
        <v>0</v>
      </c>
      <c r="BC28" s="479"/>
      <c r="BD28" s="725">
        <f>SUM(AV28:BB28)</f>
        <v>1.0177124153900958</v>
      </c>
      <c r="BE28" s="723">
        <f>$BD$26*K28</f>
        <v>-35.888045511221947</v>
      </c>
      <c r="BF28" s="784">
        <f>BD28-BE28</f>
        <v>36.90575792661204</v>
      </c>
      <c r="BH28" s="725"/>
      <c r="BI28" s="726"/>
      <c r="BK28" s="725">
        <f>SUM(L28:R28)+SUM(X28:AD28)+SUM(AJ28:AP28)+SUM(AV28:BB28)</f>
        <v>47.862727110794438</v>
      </c>
      <c r="BL28" s="727">
        <f t="shared" ref="BL28:BL34" si="118">BK28/E28</f>
        <v>0.10183558959743498</v>
      </c>
      <c r="BM28" s="480"/>
      <c r="BO28" s="4508">
        <f>BL35-BK1</f>
        <v>-0.89816441040256501</v>
      </c>
      <c r="BP28" s="62"/>
      <c r="BQ28" s="62"/>
    </row>
    <row r="29" spans="1:69" s="224" customFormat="1" ht="15.75" thickBot="1" x14ac:dyDescent="0.25">
      <c r="B29" s="851">
        <v>18</v>
      </c>
      <c r="C29" s="852" t="s">
        <v>121</v>
      </c>
      <c r="D29" s="850"/>
      <c r="E29" s="853">
        <v>350</v>
      </c>
      <c r="F29" s="854">
        <f>E29/10</f>
        <v>35</v>
      </c>
      <c r="G29" s="854">
        <f>E29/15</f>
        <v>23.333333333333332</v>
      </c>
      <c r="H29" s="854">
        <f>E29/20</f>
        <v>17.5</v>
      </c>
      <c r="I29" s="854">
        <f>E29/25</f>
        <v>14</v>
      </c>
      <c r="J29" s="854">
        <f t="shared" ref="J29:J34" si="119">E29/28</f>
        <v>12.5</v>
      </c>
      <c r="K29" s="855">
        <f>E29/$E$35</f>
        <v>0.21820448877805487</v>
      </c>
      <c r="L29" s="853">
        <f t="shared" ref="L29:L34" si="120">$L$26*K29</f>
        <v>0.38474127182045004</v>
      </c>
      <c r="M29" s="853">
        <f t="shared" si="113"/>
        <v>1.451761221945137</v>
      </c>
      <c r="N29" s="853">
        <f t="shared" si="114"/>
        <v>0.67604426433915188</v>
      </c>
      <c r="O29" s="853">
        <v>0</v>
      </c>
      <c r="P29" s="853">
        <v>0</v>
      </c>
      <c r="Q29" s="853">
        <f t="shared" si="115"/>
        <v>0.38146820448877755</v>
      </c>
      <c r="R29" s="856">
        <v>0</v>
      </c>
      <c r="S29" s="841"/>
      <c r="T29" s="857">
        <f t="shared" si="16"/>
        <v>2.8940149625935163</v>
      </c>
      <c r="U29" s="853">
        <f t="shared" ref="U29:U34" si="121">$T$26*K29</f>
        <v>-0.60933603491271759</v>
      </c>
      <c r="V29" s="858">
        <f t="shared" ref="V29:V34" si="122">T29+U29</f>
        <v>2.2846789276807988</v>
      </c>
      <c r="W29" s="841"/>
      <c r="X29" s="857">
        <v>0</v>
      </c>
      <c r="Y29" s="853">
        <f t="shared" ref="Y29:Y34" si="123">$Y$26*K29</f>
        <v>1.2750155860349135</v>
      </c>
      <c r="Z29" s="853">
        <f t="shared" ref="Z29:Z34" si="124">$Z$26*K29</f>
        <v>1.792160224438903</v>
      </c>
      <c r="AA29" s="853">
        <v>0</v>
      </c>
      <c r="AB29" s="853">
        <v>0</v>
      </c>
      <c r="AC29" s="853">
        <f t="shared" ref="AC29:AC34" si="125">$AC$26*K29</f>
        <v>6.0013248129675816</v>
      </c>
      <c r="AD29" s="853">
        <f t="shared" si="116"/>
        <v>12.5</v>
      </c>
      <c r="AE29" s="841"/>
      <c r="AF29" s="857">
        <f t="shared" ref="AF29:AF34" si="126">SUM(X29:AD29)</f>
        <v>21.568500623441398</v>
      </c>
      <c r="AG29" s="853">
        <f t="shared" ref="AG29:AG34" si="127">$AF$26*K29</f>
        <v>17.916225062344139</v>
      </c>
      <c r="AH29" s="858">
        <f t="shared" ref="AH29:AH34" si="128">AF29-AG29</f>
        <v>3.6522755610972588</v>
      </c>
      <c r="AI29" s="841"/>
      <c r="AJ29" s="857">
        <f t="shared" ref="AJ29:AJ34" si="129">$AJ$26*K29</f>
        <v>0.2178148379052364</v>
      </c>
      <c r="AK29" s="853">
        <f t="shared" ref="AK29:AK34" si="130">$AK$26*K29</f>
        <v>2.4435006234413965</v>
      </c>
      <c r="AL29" s="853">
        <f t="shared" ref="AL29:AL34" si="131">$AL$26*K29</f>
        <v>5.9587749376558587</v>
      </c>
      <c r="AM29" s="853">
        <v>0</v>
      </c>
      <c r="AN29" s="853">
        <v>0</v>
      </c>
      <c r="AO29" s="853">
        <v>0</v>
      </c>
      <c r="AP29" s="856">
        <f t="shared" ref="AP29:AP34" si="132">$AP$26*K29</f>
        <v>1.8019794264339144</v>
      </c>
      <c r="AQ29" s="841"/>
      <c r="AR29" s="857">
        <f t="shared" si="117"/>
        <v>10.422069825436408</v>
      </c>
      <c r="AS29" s="853">
        <f t="shared" ref="AS29:AS34" si="133">$AR$26*K29</f>
        <v>3.328163965087279</v>
      </c>
      <c r="AT29" s="858">
        <f t="shared" ref="AT29:AT34" si="134">AR29-AS29</f>
        <v>7.0939058603491283</v>
      </c>
      <c r="AU29" s="841"/>
      <c r="AV29" s="857">
        <v>0</v>
      </c>
      <c r="AW29" s="854">
        <v>0</v>
      </c>
      <c r="AX29" s="854">
        <v>0</v>
      </c>
      <c r="AY29" s="854">
        <v>0</v>
      </c>
      <c r="AZ29" s="854">
        <f t="shared" ref="AZ29:AZ34" si="135">$AZ$26*K29</f>
        <v>0.75787094763092255</v>
      </c>
      <c r="BA29" s="854">
        <v>0</v>
      </c>
      <c r="BB29" s="856">
        <v>0</v>
      </c>
      <c r="BC29" s="841"/>
      <c r="BD29" s="857">
        <f t="shared" ref="BD29:BD35" si="136">SUM(AV29:BB29)</f>
        <v>0.75787094763092255</v>
      </c>
      <c r="BE29" s="853">
        <f t="shared" ref="BE29:BE34" si="137">$BD$26*K29</f>
        <v>-26.725140274314214</v>
      </c>
      <c r="BF29" s="858">
        <f t="shared" ref="BF29:BF34" si="138">BD29-BE29</f>
        <v>27.483011221945137</v>
      </c>
      <c r="BH29" s="857"/>
      <c r="BI29" s="859"/>
      <c r="BK29" s="857">
        <f t="shared" ref="BK29:BK33" si="139">SUM(L29:R29)+SUM(X29:AD29)+SUM(AJ29:AP29)+SUM(AV29:BB29)</f>
        <v>35.642456359102241</v>
      </c>
      <c r="BL29" s="860">
        <f t="shared" si="118"/>
        <v>0.10183558959743497</v>
      </c>
      <c r="BM29" s="840"/>
      <c r="BO29" s="4509"/>
      <c r="BP29" s="226"/>
      <c r="BQ29" s="226"/>
    </row>
    <row r="30" spans="1:69" s="255" customFormat="1" x14ac:dyDescent="0.2">
      <c r="B30" s="462">
        <v>19</v>
      </c>
      <c r="C30" s="816" t="s">
        <v>120</v>
      </c>
      <c r="D30" s="819"/>
      <c r="E30" s="445">
        <v>300</v>
      </c>
      <c r="F30" s="451">
        <f t="shared" ref="F30:F33" si="140">E30/10</f>
        <v>30</v>
      </c>
      <c r="G30" s="451">
        <f t="shared" ref="G30:G33" si="141">E30/15</f>
        <v>20</v>
      </c>
      <c r="H30" s="451">
        <f t="shared" ref="H30:H33" si="142">E30/20</f>
        <v>15</v>
      </c>
      <c r="I30" s="451">
        <f t="shared" ref="I30:I33" si="143">E30/25</f>
        <v>12</v>
      </c>
      <c r="J30" s="451">
        <f t="shared" si="119"/>
        <v>10.714285714285714</v>
      </c>
      <c r="K30" s="448">
        <f t="shared" ref="K30:K33" si="144">E30/$E$35</f>
        <v>0.18703241895261846</v>
      </c>
      <c r="L30" s="445">
        <f t="shared" si="120"/>
        <v>0.3297782329889572</v>
      </c>
      <c r="M30" s="445">
        <f t="shared" si="113"/>
        <v>1.2443667616672602</v>
      </c>
      <c r="N30" s="445">
        <f t="shared" si="114"/>
        <v>0.57946651229070167</v>
      </c>
      <c r="O30" s="445">
        <v>0</v>
      </c>
      <c r="P30" s="445">
        <v>0</v>
      </c>
      <c r="Q30" s="451">
        <f t="shared" si="115"/>
        <v>0.32697274670466647</v>
      </c>
      <c r="R30" s="463">
        <v>0</v>
      </c>
      <c r="S30" s="479"/>
      <c r="T30" s="458">
        <f t="shared" si="16"/>
        <v>2.4805842536515854</v>
      </c>
      <c r="U30" s="451">
        <f t="shared" si="121"/>
        <v>-0.52228802992518653</v>
      </c>
      <c r="V30" s="463">
        <f t="shared" si="122"/>
        <v>1.958296223726399</v>
      </c>
      <c r="W30" s="479"/>
      <c r="X30" s="458">
        <v>0</v>
      </c>
      <c r="Y30" s="451">
        <f t="shared" si="123"/>
        <v>1.0928705023156402</v>
      </c>
      <c r="Z30" s="451">
        <f t="shared" si="124"/>
        <v>1.5361373352333454</v>
      </c>
      <c r="AA30" s="451">
        <v>0</v>
      </c>
      <c r="AB30" s="451">
        <v>0</v>
      </c>
      <c r="AC30" s="451">
        <f t="shared" si="125"/>
        <v>5.143992696829355</v>
      </c>
      <c r="AD30" s="451">
        <f t="shared" si="116"/>
        <v>10.714285714285714</v>
      </c>
      <c r="AE30" s="479"/>
      <c r="AF30" s="458">
        <f t="shared" si="126"/>
        <v>18.487286248664056</v>
      </c>
      <c r="AG30" s="451">
        <f t="shared" si="127"/>
        <v>15.356764339152122</v>
      </c>
      <c r="AH30" s="463">
        <f t="shared" si="128"/>
        <v>3.1305219095119341</v>
      </c>
      <c r="AI30" s="479"/>
      <c r="AJ30" s="458">
        <f t="shared" si="129"/>
        <v>0.18669843249020263</v>
      </c>
      <c r="AK30" s="451">
        <f t="shared" si="130"/>
        <v>2.0944291058069116</v>
      </c>
      <c r="AL30" s="451">
        <f t="shared" si="131"/>
        <v>5.1075213751335937</v>
      </c>
      <c r="AM30" s="451">
        <v>0</v>
      </c>
      <c r="AN30" s="451">
        <v>0</v>
      </c>
      <c r="AO30" s="451">
        <v>0</v>
      </c>
      <c r="AP30" s="463">
        <f t="shared" si="132"/>
        <v>1.5445537940862122</v>
      </c>
      <c r="AQ30" s="479"/>
      <c r="AR30" s="458">
        <f t="shared" si="117"/>
        <v>8.9332027075169194</v>
      </c>
      <c r="AS30" s="451">
        <f t="shared" si="133"/>
        <v>2.8527119700748105</v>
      </c>
      <c r="AT30" s="463">
        <f t="shared" si="134"/>
        <v>6.0804907374421084</v>
      </c>
      <c r="AU30" s="479"/>
      <c r="AV30" s="458">
        <v>0</v>
      </c>
      <c r="AW30" s="451">
        <v>0</v>
      </c>
      <c r="AX30" s="451">
        <v>0</v>
      </c>
      <c r="AY30" s="451">
        <v>0</v>
      </c>
      <c r="AZ30" s="451">
        <f t="shared" si="135"/>
        <v>0.64960366939793357</v>
      </c>
      <c r="BA30" s="451">
        <v>0</v>
      </c>
      <c r="BB30" s="463">
        <v>0</v>
      </c>
      <c r="BC30" s="479"/>
      <c r="BD30" s="458">
        <f t="shared" si="136"/>
        <v>0.64960366939793357</v>
      </c>
      <c r="BE30" s="451">
        <f t="shared" si="137"/>
        <v>-22.907263092269325</v>
      </c>
      <c r="BF30" s="463">
        <f t="shared" si="138"/>
        <v>23.556866761667258</v>
      </c>
      <c r="BH30" s="732"/>
      <c r="BI30" s="733"/>
      <c r="BK30" s="732">
        <f t="shared" si="139"/>
        <v>30.550676879230494</v>
      </c>
      <c r="BL30" s="734">
        <f t="shared" si="118"/>
        <v>0.10183558959743498</v>
      </c>
      <c r="BM30" s="480"/>
      <c r="BO30" s="62"/>
      <c r="BP30" s="62"/>
      <c r="BQ30" s="62"/>
    </row>
    <row r="31" spans="1:69" s="224" customFormat="1" x14ac:dyDescent="0.2">
      <c r="A31" s="849"/>
      <c r="B31" s="851">
        <v>20</v>
      </c>
      <c r="C31" s="852" t="s">
        <v>133</v>
      </c>
      <c r="D31" s="850"/>
      <c r="E31" s="853">
        <v>209</v>
      </c>
      <c r="F31" s="854">
        <f t="shared" si="140"/>
        <v>20.9</v>
      </c>
      <c r="G31" s="854">
        <f t="shared" si="141"/>
        <v>13.933333333333334</v>
      </c>
      <c r="H31" s="854">
        <f t="shared" si="142"/>
        <v>10.45</v>
      </c>
      <c r="I31" s="854">
        <f t="shared" si="143"/>
        <v>8.36</v>
      </c>
      <c r="J31" s="854">
        <f t="shared" si="119"/>
        <v>7.4642857142857144</v>
      </c>
      <c r="K31" s="855">
        <f t="shared" si="144"/>
        <v>0.13029925187032418</v>
      </c>
      <c r="L31" s="853">
        <f t="shared" si="120"/>
        <v>0.22974550231564014</v>
      </c>
      <c r="M31" s="853">
        <f t="shared" si="113"/>
        <v>0.86690884396152457</v>
      </c>
      <c r="N31" s="853">
        <f t="shared" si="114"/>
        <v>0.40369500356252208</v>
      </c>
      <c r="O31" s="853">
        <v>0</v>
      </c>
      <c r="P31" s="853">
        <v>0</v>
      </c>
      <c r="Q31" s="854">
        <f t="shared" si="115"/>
        <v>0.22779101353758427</v>
      </c>
      <c r="R31" s="856">
        <v>0</v>
      </c>
      <c r="S31" s="841"/>
      <c r="T31" s="857">
        <f t="shared" si="16"/>
        <v>1.7281403633772712</v>
      </c>
      <c r="U31" s="854">
        <f t="shared" si="121"/>
        <v>-0.36386066084787988</v>
      </c>
      <c r="V31" s="856">
        <f t="shared" si="122"/>
        <v>1.3642797025293913</v>
      </c>
      <c r="W31" s="841"/>
      <c r="X31" s="857">
        <v>0</v>
      </c>
      <c r="Y31" s="854">
        <f t="shared" si="123"/>
        <v>0.76136644994656255</v>
      </c>
      <c r="Z31" s="854">
        <f t="shared" si="124"/>
        <v>1.0701756768792305</v>
      </c>
      <c r="AA31" s="854">
        <v>0</v>
      </c>
      <c r="AB31" s="854">
        <v>0</v>
      </c>
      <c r="AC31" s="854">
        <f t="shared" si="125"/>
        <v>3.583648245457784</v>
      </c>
      <c r="AD31" s="854">
        <f>J31</f>
        <v>7.4642857142857144</v>
      </c>
      <c r="AE31" s="841"/>
      <c r="AF31" s="857">
        <f t="shared" si="126"/>
        <v>12.879476086569291</v>
      </c>
      <c r="AG31" s="854">
        <f t="shared" si="127"/>
        <v>10.698545822942643</v>
      </c>
      <c r="AH31" s="856">
        <f t="shared" si="128"/>
        <v>2.1809302636266477</v>
      </c>
      <c r="AI31" s="841"/>
      <c r="AJ31" s="857">
        <f t="shared" si="129"/>
        <v>0.13006657463484114</v>
      </c>
      <c r="AK31" s="854">
        <f t="shared" si="130"/>
        <v>1.4591189437121481</v>
      </c>
      <c r="AL31" s="854">
        <f t="shared" si="131"/>
        <v>3.5582398913430695</v>
      </c>
      <c r="AM31" s="854">
        <v>0</v>
      </c>
      <c r="AN31" s="854">
        <v>0</v>
      </c>
      <c r="AO31" s="854">
        <v>0</v>
      </c>
      <c r="AP31" s="856">
        <f t="shared" si="132"/>
        <v>1.0760391432133944</v>
      </c>
      <c r="AQ31" s="841"/>
      <c r="AR31" s="857">
        <f t="shared" si="117"/>
        <v>6.2234645529034536</v>
      </c>
      <c r="AS31" s="854">
        <f t="shared" si="133"/>
        <v>1.9873893391521178</v>
      </c>
      <c r="AT31" s="856">
        <f t="shared" si="134"/>
        <v>4.2360752137513362</v>
      </c>
      <c r="AU31" s="841"/>
      <c r="AV31" s="857">
        <v>0</v>
      </c>
      <c r="AW31" s="854">
        <v>0</v>
      </c>
      <c r="AX31" s="854">
        <v>0</v>
      </c>
      <c r="AY31" s="854">
        <v>0</v>
      </c>
      <c r="AZ31" s="854">
        <f t="shared" si="135"/>
        <v>0.45255722301389367</v>
      </c>
      <c r="BA31" s="854">
        <v>0</v>
      </c>
      <c r="BB31" s="856">
        <v>0</v>
      </c>
      <c r="BC31" s="841"/>
      <c r="BD31" s="857">
        <f t="shared" si="136"/>
        <v>0.45255722301389367</v>
      </c>
      <c r="BE31" s="854">
        <f t="shared" si="137"/>
        <v>-15.958726620947628</v>
      </c>
      <c r="BF31" s="856">
        <f t="shared" si="138"/>
        <v>16.41128384396152</v>
      </c>
      <c r="BH31" s="861"/>
      <c r="BI31" s="862"/>
      <c r="BK31" s="861">
        <f t="shared" si="139"/>
        <v>21.283638225863911</v>
      </c>
      <c r="BL31" s="863">
        <f t="shared" si="118"/>
        <v>0.10183558959743498</v>
      </c>
      <c r="BM31" s="840"/>
      <c r="BO31" s="226"/>
      <c r="BP31" s="226"/>
      <c r="BQ31" s="226"/>
    </row>
    <row r="32" spans="1:69" s="255" customFormat="1" x14ac:dyDescent="0.2">
      <c r="B32" s="462">
        <v>21</v>
      </c>
      <c r="C32" s="816" t="s">
        <v>4</v>
      </c>
      <c r="D32" s="819"/>
      <c r="E32" s="445">
        <v>150</v>
      </c>
      <c r="F32" s="451">
        <f t="shared" si="140"/>
        <v>15</v>
      </c>
      <c r="G32" s="451">
        <f t="shared" si="141"/>
        <v>10</v>
      </c>
      <c r="H32" s="451">
        <f t="shared" si="142"/>
        <v>7.5</v>
      </c>
      <c r="I32" s="451">
        <f t="shared" si="143"/>
        <v>6</v>
      </c>
      <c r="J32" s="451">
        <f t="shared" si="119"/>
        <v>5.3571428571428568</v>
      </c>
      <c r="K32" s="448">
        <f t="shared" si="144"/>
        <v>9.3516209476309231E-2</v>
      </c>
      <c r="L32" s="445">
        <f t="shared" si="120"/>
        <v>0.1648891164944786</v>
      </c>
      <c r="M32" s="445">
        <f t="shared" si="113"/>
        <v>0.62218338083363012</v>
      </c>
      <c r="N32" s="445">
        <f t="shared" si="114"/>
        <v>0.28973325614535084</v>
      </c>
      <c r="O32" s="445">
        <v>0</v>
      </c>
      <c r="P32" s="445">
        <v>0</v>
      </c>
      <c r="Q32" s="451">
        <f t="shared" si="115"/>
        <v>0.16348637335233324</v>
      </c>
      <c r="R32" s="463">
        <v>0</v>
      </c>
      <c r="S32" s="479"/>
      <c r="T32" s="458">
        <f t="shared" si="16"/>
        <v>1.2402921268257927</v>
      </c>
      <c r="U32" s="451">
        <f t="shared" si="121"/>
        <v>-0.26114401496259326</v>
      </c>
      <c r="V32" s="463">
        <f t="shared" si="122"/>
        <v>0.9791481118631995</v>
      </c>
      <c r="W32" s="479"/>
      <c r="X32" s="458">
        <v>0</v>
      </c>
      <c r="Y32" s="451">
        <f t="shared" si="123"/>
        <v>0.5464352511578201</v>
      </c>
      <c r="Z32" s="451">
        <f t="shared" si="124"/>
        <v>0.7680686676166727</v>
      </c>
      <c r="AA32" s="451">
        <v>0</v>
      </c>
      <c r="AB32" s="451">
        <v>0</v>
      </c>
      <c r="AC32" s="451">
        <f t="shared" si="125"/>
        <v>2.5719963484146775</v>
      </c>
      <c r="AD32" s="451">
        <f t="shared" ref="AD32:AD34" si="145">J32</f>
        <v>5.3571428571428568</v>
      </c>
      <c r="AE32" s="479"/>
      <c r="AF32" s="458">
        <f t="shared" si="126"/>
        <v>9.2436431243320278</v>
      </c>
      <c r="AG32" s="451">
        <f t="shared" si="127"/>
        <v>7.6783821695760608</v>
      </c>
      <c r="AH32" s="463">
        <f t="shared" si="128"/>
        <v>1.565260954755967</v>
      </c>
      <c r="AI32" s="479"/>
      <c r="AJ32" s="458">
        <f t="shared" si="129"/>
        <v>9.3349216245101313E-2</v>
      </c>
      <c r="AK32" s="451">
        <f t="shared" si="130"/>
        <v>1.0472145529034558</v>
      </c>
      <c r="AL32" s="451">
        <f t="shared" si="131"/>
        <v>2.5537606875667969</v>
      </c>
      <c r="AM32" s="451">
        <v>0</v>
      </c>
      <c r="AN32" s="451">
        <v>0</v>
      </c>
      <c r="AO32" s="451">
        <v>0</v>
      </c>
      <c r="AP32" s="463">
        <f t="shared" si="132"/>
        <v>0.77227689704310609</v>
      </c>
      <c r="AQ32" s="479"/>
      <c r="AR32" s="458">
        <f t="shared" si="117"/>
        <v>4.4666013537584597</v>
      </c>
      <c r="AS32" s="451">
        <f t="shared" si="133"/>
        <v>1.4263559850374052</v>
      </c>
      <c r="AT32" s="463">
        <f t="shared" si="134"/>
        <v>3.0402453687210542</v>
      </c>
      <c r="AU32" s="479"/>
      <c r="AV32" s="458">
        <v>0</v>
      </c>
      <c r="AW32" s="451">
        <v>0</v>
      </c>
      <c r="AX32" s="451">
        <v>0</v>
      </c>
      <c r="AY32" s="451">
        <v>0</v>
      </c>
      <c r="AZ32" s="451">
        <f t="shared" si="135"/>
        <v>0.32480183469896678</v>
      </c>
      <c r="BA32" s="451">
        <v>0</v>
      </c>
      <c r="BB32" s="463">
        <v>0</v>
      </c>
      <c r="BC32" s="479"/>
      <c r="BD32" s="458">
        <f t="shared" si="136"/>
        <v>0.32480183469896678</v>
      </c>
      <c r="BE32" s="451">
        <f t="shared" si="137"/>
        <v>-11.453631546134662</v>
      </c>
      <c r="BF32" s="463">
        <f t="shared" si="138"/>
        <v>11.778433380833629</v>
      </c>
      <c r="BH32" s="732"/>
      <c r="BI32" s="733"/>
      <c r="BK32" s="732">
        <f t="shared" si="139"/>
        <v>15.275338439615247</v>
      </c>
      <c r="BL32" s="734">
        <f t="shared" si="118"/>
        <v>0.10183558959743498</v>
      </c>
      <c r="BM32" s="480"/>
      <c r="BO32" s="62"/>
      <c r="BP32" s="62"/>
      <c r="BQ32" s="62"/>
    </row>
    <row r="33" spans="1:69" s="224" customFormat="1" x14ac:dyDescent="0.2">
      <c r="B33" s="851">
        <v>22</v>
      </c>
      <c r="C33" s="852" t="s">
        <v>122</v>
      </c>
      <c r="D33" s="850"/>
      <c r="E33" s="853">
        <v>100</v>
      </c>
      <c r="F33" s="854">
        <f t="shared" si="140"/>
        <v>10</v>
      </c>
      <c r="G33" s="854">
        <f t="shared" si="141"/>
        <v>6.666666666666667</v>
      </c>
      <c r="H33" s="854">
        <f t="shared" si="142"/>
        <v>5</v>
      </c>
      <c r="I33" s="854">
        <f t="shared" si="143"/>
        <v>4</v>
      </c>
      <c r="J33" s="854">
        <f t="shared" si="119"/>
        <v>3.5714285714285716</v>
      </c>
      <c r="K33" s="855">
        <f t="shared" si="144"/>
        <v>6.2344139650872821E-2</v>
      </c>
      <c r="L33" s="853">
        <f t="shared" si="120"/>
        <v>0.10992607766298572</v>
      </c>
      <c r="M33" s="853">
        <f t="shared" si="113"/>
        <v>0.41478892055575339</v>
      </c>
      <c r="N33" s="853">
        <f t="shared" si="114"/>
        <v>0.19315550409690055</v>
      </c>
      <c r="O33" s="853">
        <v>0</v>
      </c>
      <c r="P33" s="853">
        <v>0</v>
      </c>
      <c r="Q33" s="853">
        <f t="shared" si="115"/>
        <v>0.10899091556822216</v>
      </c>
      <c r="R33" s="856">
        <v>0</v>
      </c>
      <c r="S33" s="841"/>
      <c r="T33" s="857">
        <f t="shared" si="16"/>
        <v>0.8268614178838618</v>
      </c>
      <c r="U33" s="853">
        <f t="shared" si="121"/>
        <v>-0.17409600997506217</v>
      </c>
      <c r="V33" s="858">
        <f t="shared" si="122"/>
        <v>0.65276540790879967</v>
      </c>
      <c r="W33" s="841"/>
      <c r="X33" s="857">
        <v>0</v>
      </c>
      <c r="Y33" s="853">
        <f t="shared" si="123"/>
        <v>0.36429016743854675</v>
      </c>
      <c r="Z33" s="853">
        <f t="shared" si="124"/>
        <v>0.5120457784111152</v>
      </c>
      <c r="AA33" s="853">
        <v>0</v>
      </c>
      <c r="AB33" s="853">
        <v>0</v>
      </c>
      <c r="AC33" s="853">
        <f t="shared" si="125"/>
        <v>1.7146642322764518</v>
      </c>
      <c r="AD33" s="853">
        <f t="shared" si="145"/>
        <v>3.5714285714285716</v>
      </c>
      <c r="AE33" s="841"/>
      <c r="AF33" s="857">
        <f t="shared" si="126"/>
        <v>6.1624287495546852</v>
      </c>
      <c r="AG33" s="853">
        <f t="shared" si="127"/>
        <v>5.1189214463840402</v>
      </c>
      <c r="AH33" s="858">
        <f t="shared" si="128"/>
        <v>1.043507303170645</v>
      </c>
      <c r="AI33" s="841"/>
      <c r="AJ33" s="857">
        <f t="shared" si="129"/>
        <v>6.2232810830067542E-2</v>
      </c>
      <c r="AK33" s="853">
        <f t="shared" si="130"/>
        <v>0.69814303526897048</v>
      </c>
      <c r="AL33" s="853">
        <f t="shared" si="131"/>
        <v>1.7025071250445312</v>
      </c>
      <c r="AM33" s="854">
        <v>0</v>
      </c>
      <c r="AN33" s="854">
        <v>0</v>
      </c>
      <c r="AO33" s="854">
        <v>0</v>
      </c>
      <c r="AP33" s="856">
        <f t="shared" si="132"/>
        <v>0.5148512646954041</v>
      </c>
      <c r="AQ33" s="841"/>
      <c r="AR33" s="857">
        <f t="shared" si="117"/>
        <v>2.9777342358389731</v>
      </c>
      <c r="AS33" s="853">
        <f t="shared" si="133"/>
        <v>0.95090399002493686</v>
      </c>
      <c r="AT33" s="858">
        <f t="shared" si="134"/>
        <v>2.0268302458140361</v>
      </c>
      <c r="AU33" s="841"/>
      <c r="AV33" s="857">
        <v>0</v>
      </c>
      <c r="AW33" s="854">
        <v>0</v>
      </c>
      <c r="AX33" s="854">
        <v>0</v>
      </c>
      <c r="AY33" s="854">
        <v>0</v>
      </c>
      <c r="AZ33" s="854">
        <f t="shared" si="135"/>
        <v>0.21653455646597786</v>
      </c>
      <c r="BA33" s="854">
        <v>0</v>
      </c>
      <c r="BB33" s="856">
        <v>0</v>
      </c>
      <c r="BC33" s="841"/>
      <c r="BD33" s="857">
        <f t="shared" si="136"/>
        <v>0.21653455646597786</v>
      </c>
      <c r="BE33" s="853">
        <f t="shared" si="137"/>
        <v>-7.6357543640897756</v>
      </c>
      <c r="BF33" s="858">
        <f t="shared" si="138"/>
        <v>7.8522889205557531</v>
      </c>
      <c r="BH33" s="861"/>
      <c r="BI33" s="862"/>
      <c r="BK33" s="861">
        <f t="shared" si="139"/>
        <v>10.183558959743499</v>
      </c>
      <c r="BL33" s="863">
        <f t="shared" si="118"/>
        <v>0.10183558959743498</v>
      </c>
      <c r="BM33" s="840"/>
      <c r="BO33" s="226"/>
      <c r="BP33" s="226"/>
      <c r="BQ33" s="226"/>
    </row>
    <row r="34" spans="1:69" s="255" customFormat="1" ht="15.75" thickBot="1" x14ac:dyDescent="0.25">
      <c r="B34" s="741">
        <v>23</v>
      </c>
      <c r="C34" s="817" t="s">
        <v>123</v>
      </c>
      <c r="D34" s="819"/>
      <c r="E34" s="567">
        <v>25</v>
      </c>
      <c r="F34" s="565">
        <f>E34/10</f>
        <v>2.5</v>
      </c>
      <c r="G34" s="565">
        <f>E34/15</f>
        <v>1.6666666666666667</v>
      </c>
      <c r="H34" s="565">
        <f>E34/20</f>
        <v>1.25</v>
      </c>
      <c r="I34" s="565">
        <f>E34/25</f>
        <v>1</v>
      </c>
      <c r="J34" s="565">
        <f t="shared" si="119"/>
        <v>0.8928571428571429</v>
      </c>
      <c r="K34" s="566">
        <f>E34/$E$35</f>
        <v>1.5586034912718205E-2</v>
      </c>
      <c r="L34" s="567">
        <f t="shared" si="120"/>
        <v>2.748151941574643E-2</v>
      </c>
      <c r="M34" s="567">
        <f t="shared" si="113"/>
        <v>0.10369723013893835</v>
      </c>
      <c r="N34" s="567">
        <f t="shared" si="114"/>
        <v>4.8288876024225137E-2</v>
      </c>
      <c r="O34" s="567">
        <v>0</v>
      </c>
      <c r="P34" s="567">
        <v>0</v>
      </c>
      <c r="Q34" s="567">
        <f t="shared" si="115"/>
        <v>2.7247728892055539E-2</v>
      </c>
      <c r="R34" s="569">
        <v>0</v>
      </c>
      <c r="S34" s="479"/>
      <c r="T34" s="785">
        <f t="shared" si="16"/>
        <v>0.20671535447096545</v>
      </c>
      <c r="U34" s="567">
        <f t="shared" si="121"/>
        <v>-4.3524002493765541E-2</v>
      </c>
      <c r="V34" s="786">
        <f t="shared" si="122"/>
        <v>0.16319135197719992</v>
      </c>
      <c r="W34" s="479"/>
      <c r="X34" s="785">
        <v>0</v>
      </c>
      <c r="Y34" s="567">
        <f t="shared" si="123"/>
        <v>9.1072541859636688E-2</v>
      </c>
      <c r="Z34" s="567">
        <f t="shared" si="124"/>
        <v>0.1280114446027788</v>
      </c>
      <c r="AA34" s="567">
        <v>0</v>
      </c>
      <c r="AB34" s="567">
        <v>0</v>
      </c>
      <c r="AC34" s="567">
        <f t="shared" si="125"/>
        <v>0.42866605806911295</v>
      </c>
      <c r="AD34" s="567">
        <f t="shared" si="145"/>
        <v>0.8928571428571429</v>
      </c>
      <c r="AE34" s="479"/>
      <c r="AF34" s="785">
        <f t="shared" si="126"/>
        <v>1.5406071873886713</v>
      </c>
      <c r="AG34" s="567">
        <f t="shared" si="127"/>
        <v>1.2797303615960101</v>
      </c>
      <c r="AH34" s="786">
        <f t="shared" si="128"/>
        <v>0.26087682579266125</v>
      </c>
      <c r="AI34" s="479"/>
      <c r="AJ34" s="785">
        <f t="shared" si="129"/>
        <v>1.5558202707516885E-2</v>
      </c>
      <c r="AK34" s="567">
        <f t="shared" si="130"/>
        <v>0.17453575881724262</v>
      </c>
      <c r="AL34" s="567">
        <f t="shared" si="131"/>
        <v>0.42562678126113279</v>
      </c>
      <c r="AM34" s="565">
        <v>0</v>
      </c>
      <c r="AN34" s="565">
        <v>0</v>
      </c>
      <c r="AO34" s="565">
        <v>0</v>
      </c>
      <c r="AP34" s="569">
        <f t="shared" si="132"/>
        <v>0.12871281617385102</v>
      </c>
      <c r="AQ34" s="479"/>
      <c r="AR34" s="785">
        <f t="shared" si="117"/>
        <v>0.74443355895974328</v>
      </c>
      <c r="AS34" s="567">
        <f t="shared" si="133"/>
        <v>0.23772599750623422</v>
      </c>
      <c r="AT34" s="786">
        <f t="shared" si="134"/>
        <v>0.50670756145350904</v>
      </c>
      <c r="AU34" s="479"/>
      <c r="AV34" s="785">
        <v>0</v>
      </c>
      <c r="AW34" s="565">
        <v>0</v>
      </c>
      <c r="AX34" s="565">
        <v>0</v>
      </c>
      <c r="AY34" s="565">
        <v>0</v>
      </c>
      <c r="AZ34" s="565">
        <f t="shared" si="135"/>
        <v>5.4133639116494464E-2</v>
      </c>
      <c r="BA34" s="565">
        <v>0</v>
      </c>
      <c r="BB34" s="569">
        <v>0</v>
      </c>
      <c r="BC34" s="479"/>
      <c r="BD34" s="785">
        <f t="shared" si="136"/>
        <v>5.4133639116494464E-2</v>
      </c>
      <c r="BE34" s="567">
        <f t="shared" si="137"/>
        <v>-1.9089385910224439</v>
      </c>
      <c r="BF34" s="786">
        <f t="shared" si="138"/>
        <v>1.9630722301389383</v>
      </c>
      <c r="BH34" s="570"/>
      <c r="BI34" s="571"/>
      <c r="BK34" s="570">
        <f>SUM(L34:R34)+SUM(X34:AD34)+SUM(AJ34:AP34)+SUM(AV34:BB34)</f>
        <v>2.5458897399358746</v>
      </c>
      <c r="BL34" s="572">
        <f t="shared" si="118"/>
        <v>0.10183558959743498</v>
      </c>
      <c r="BM34" s="480"/>
      <c r="BO34" s="61"/>
      <c r="BP34" s="62"/>
      <c r="BQ34" s="62"/>
    </row>
    <row r="35" spans="1:69" s="224" customFormat="1" ht="15.75" thickBot="1" x14ac:dyDescent="0.25">
      <c r="B35" s="864"/>
      <c r="C35" s="864" t="s">
        <v>94</v>
      </c>
      <c r="D35" s="843"/>
      <c r="E35" s="865">
        <f t="shared" ref="E35:I35" si="146">SUM(E28:E34)</f>
        <v>1604</v>
      </c>
      <c r="F35" s="865">
        <f t="shared" si="146"/>
        <v>160.4</v>
      </c>
      <c r="G35" s="865">
        <f t="shared" si="146"/>
        <v>106.93333333333334</v>
      </c>
      <c r="H35" s="865">
        <f t="shared" si="146"/>
        <v>80.2</v>
      </c>
      <c r="I35" s="865">
        <f t="shared" si="146"/>
        <v>64.16</v>
      </c>
      <c r="J35" s="865">
        <f>SUM(J28:J34)</f>
        <v>57.285714285714285</v>
      </c>
      <c r="K35" s="964">
        <f>E35/(E24+E35+E41)</f>
        <v>0.53466666666666662</v>
      </c>
      <c r="L35" s="866">
        <f t="shared" ref="L35:BB35" si="147">SUM(L28:L34)</f>
        <v>1.7632142857142912</v>
      </c>
      <c r="M35" s="865">
        <f t="shared" si="147"/>
        <v>6.6532142857142844</v>
      </c>
      <c r="N35" s="865">
        <f t="shared" si="147"/>
        <v>3.0982142857142847</v>
      </c>
      <c r="O35" s="865">
        <f t="shared" si="147"/>
        <v>0</v>
      </c>
      <c r="P35" s="865">
        <f t="shared" si="147"/>
        <v>0</v>
      </c>
      <c r="Q35" s="865">
        <f t="shared" si="147"/>
        <v>1.7482142857142833</v>
      </c>
      <c r="R35" s="865">
        <f t="shared" si="147"/>
        <v>0</v>
      </c>
      <c r="S35" s="848"/>
      <c r="T35" s="949">
        <f t="shared" si="16"/>
        <v>13.262857142857143</v>
      </c>
      <c r="U35" s="950">
        <f>SUM(U28:U34)</f>
        <v>-2.7924999999999973</v>
      </c>
      <c r="V35" s="951">
        <f>SUM(V28:V34)</f>
        <v>10.470357142857146</v>
      </c>
      <c r="W35" s="848"/>
      <c r="X35" s="865">
        <f t="shared" si="147"/>
        <v>0</v>
      </c>
      <c r="Y35" s="865">
        <f t="shared" si="147"/>
        <v>5.8432142857142892</v>
      </c>
      <c r="Z35" s="865">
        <f t="shared" si="147"/>
        <v>8.2132142857142867</v>
      </c>
      <c r="AA35" s="865">
        <f t="shared" si="147"/>
        <v>0</v>
      </c>
      <c r="AB35" s="865">
        <f t="shared" si="147"/>
        <v>0</v>
      </c>
      <c r="AC35" s="865">
        <f t="shared" si="147"/>
        <v>27.503214285714286</v>
      </c>
      <c r="AD35" s="865">
        <f t="shared" si="147"/>
        <v>57.285714285714285</v>
      </c>
      <c r="AE35" s="848"/>
      <c r="AF35" s="949">
        <f>SUM(X35:AD35)</f>
        <v>98.845357142857154</v>
      </c>
      <c r="AG35" s="950">
        <f>SUM(AG28:AG34)</f>
        <v>82.107500000000002</v>
      </c>
      <c r="AH35" s="951">
        <f>SUM(AH28:AH34)</f>
        <v>16.737857142857141</v>
      </c>
      <c r="AI35" s="848"/>
      <c r="AJ35" s="865">
        <f t="shared" si="147"/>
        <v>0.99821428571428317</v>
      </c>
      <c r="AK35" s="865">
        <f t="shared" si="147"/>
        <v>11.198214285714286</v>
      </c>
      <c r="AL35" s="865">
        <f t="shared" si="147"/>
        <v>27.308214285714282</v>
      </c>
      <c r="AM35" s="865">
        <f t="shared" si="147"/>
        <v>0</v>
      </c>
      <c r="AN35" s="865">
        <f t="shared" si="147"/>
        <v>0</v>
      </c>
      <c r="AO35" s="865">
        <f t="shared" si="147"/>
        <v>0</v>
      </c>
      <c r="AP35" s="865">
        <f t="shared" si="147"/>
        <v>8.2582142857142813</v>
      </c>
      <c r="AQ35" s="848"/>
      <c r="AR35" s="949">
        <f t="shared" si="117"/>
        <v>47.762857142857136</v>
      </c>
      <c r="AS35" s="950">
        <f>SUM(AS28:AS34)</f>
        <v>15.252499999999987</v>
      </c>
      <c r="AT35" s="951">
        <f>SUM(AT28:AT34)</f>
        <v>32.510357142857146</v>
      </c>
      <c r="AU35" s="848"/>
      <c r="AV35" s="865">
        <f t="shared" si="147"/>
        <v>0</v>
      </c>
      <c r="AW35" s="865">
        <f t="shared" si="147"/>
        <v>0</v>
      </c>
      <c r="AX35" s="865">
        <f t="shared" si="147"/>
        <v>0</v>
      </c>
      <c r="AY35" s="865">
        <f t="shared" si="147"/>
        <v>0</v>
      </c>
      <c r="AZ35" s="865">
        <f t="shared" si="147"/>
        <v>3.4732142857142847</v>
      </c>
      <c r="BA35" s="865">
        <f t="shared" si="147"/>
        <v>0</v>
      </c>
      <c r="BB35" s="865">
        <f t="shared" si="147"/>
        <v>0</v>
      </c>
      <c r="BC35" s="848"/>
      <c r="BD35" s="949">
        <f t="shared" si="136"/>
        <v>3.4732142857142847</v>
      </c>
      <c r="BE35" s="950">
        <f>SUM(BE28:BE34)</f>
        <v>-122.47749999999999</v>
      </c>
      <c r="BF35" s="951">
        <f>SUM(BF28:BF34)</f>
        <v>125.95071428571427</v>
      </c>
      <c r="BH35" s="865">
        <f>J35*28</f>
        <v>1604</v>
      </c>
      <c r="BI35" s="867">
        <f>BK35-BH35</f>
        <v>-1440.6557142857143</v>
      </c>
      <c r="BK35" s="865">
        <f>SUM(BK28:BK34)</f>
        <v>163.34428571428569</v>
      </c>
      <c r="BL35" s="868">
        <f>BK35/E35</f>
        <v>0.10183558959743497</v>
      </c>
      <c r="BM35" s="226"/>
      <c r="BO35" s="203"/>
      <c r="BP35" s="226"/>
      <c r="BQ35" s="226"/>
    </row>
    <row r="36" spans="1:69" s="271" customFormat="1" ht="4.5" customHeight="1" thickBot="1" x14ac:dyDescent="0.25">
      <c r="B36" s="869"/>
      <c r="C36" s="869"/>
      <c r="E36" s="222"/>
      <c r="F36" s="222"/>
      <c r="G36" s="222"/>
      <c r="H36" s="222"/>
      <c r="I36" s="222"/>
      <c r="J36" s="222"/>
      <c r="K36" s="870"/>
      <c r="L36" s="222"/>
      <c r="M36" s="222"/>
      <c r="N36" s="222"/>
      <c r="O36" s="222"/>
      <c r="P36" s="222"/>
      <c r="Q36" s="222"/>
      <c r="R36" s="222"/>
      <c r="S36" s="203"/>
      <c r="T36" s="203"/>
      <c r="U36" s="203"/>
      <c r="V36" s="203"/>
      <c r="W36" s="203"/>
      <c r="X36" s="222"/>
      <c r="Y36" s="222"/>
      <c r="Z36" s="222"/>
      <c r="AA36" s="222"/>
      <c r="AB36" s="222"/>
      <c r="AC36" s="222"/>
      <c r="AD36" s="222"/>
      <c r="AE36" s="203"/>
      <c r="AF36" s="203"/>
      <c r="AG36" s="203"/>
      <c r="AH36" s="203"/>
      <c r="AI36" s="203"/>
      <c r="AJ36" s="222"/>
      <c r="AK36" s="222"/>
      <c r="AL36" s="222"/>
      <c r="AM36" s="222"/>
      <c r="AN36" s="222"/>
      <c r="AO36" s="222"/>
      <c r="AP36" s="222"/>
      <c r="AQ36" s="203"/>
      <c r="AR36" s="203"/>
      <c r="AS36" s="203"/>
      <c r="AT36" s="203"/>
      <c r="AU36" s="203"/>
      <c r="AV36" s="222"/>
      <c r="AW36" s="222"/>
      <c r="AX36" s="222"/>
      <c r="AY36" s="222"/>
      <c r="AZ36" s="222"/>
      <c r="BA36" s="222"/>
      <c r="BB36" s="222"/>
      <c r="BC36" s="203"/>
      <c r="BD36" s="203"/>
      <c r="BE36" s="203"/>
      <c r="BF36" s="203"/>
      <c r="BH36" s="222"/>
      <c r="BI36" s="871"/>
      <c r="BK36" s="222"/>
      <c r="BL36" s="872"/>
      <c r="BM36" s="226"/>
      <c r="BO36" s="203"/>
      <c r="BP36" s="226"/>
      <c r="BQ36" s="226"/>
    </row>
    <row r="37" spans="1:69" s="255" customFormat="1" x14ac:dyDescent="0.2">
      <c r="B37" s="43"/>
      <c r="C37" s="43" t="s">
        <v>148</v>
      </c>
      <c r="D37" s="813"/>
      <c r="E37" s="40">
        <f>E35*100/30</f>
        <v>5346.666666666667</v>
      </c>
      <c r="F37" s="40">
        <f t="shared" ref="F37:I37" si="148">F24+F35</f>
        <v>268.91500000000002</v>
      </c>
      <c r="G37" s="40">
        <f t="shared" si="148"/>
        <v>179.27666666666667</v>
      </c>
      <c r="H37" s="40">
        <f t="shared" si="148"/>
        <v>134.45750000000001</v>
      </c>
      <c r="I37" s="40">
        <f t="shared" si="148"/>
        <v>107.56599999999999</v>
      </c>
      <c r="J37" s="40">
        <f>J35*100/30</f>
        <v>190.95238095238093</v>
      </c>
      <c r="K37" s="193">
        <f>E37/E48</f>
        <v>0.53466666666666673</v>
      </c>
      <c r="L37" s="826">
        <f>$J$37*30/100</f>
        <v>57.285714285714285</v>
      </c>
      <c r="M37" s="961">
        <f t="shared" ref="M37:R37" si="149">$J$37*30/100</f>
        <v>57.285714285714285</v>
      </c>
      <c r="N37" s="961">
        <f t="shared" si="149"/>
        <v>57.285714285714285</v>
      </c>
      <c r="O37" s="961">
        <f t="shared" si="149"/>
        <v>57.285714285714285</v>
      </c>
      <c r="P37" s="961">
        <f t="shared" si="149"/>
        <v>57.285714285714285</v>
      </c>
      <c r="Q37" s="961">
        <f t="shared" si="149"/>
        <v>57.285714285714285</v>
      </c>
      <c r="R37" s="961">
        <f t="shared" si="149"/>
        <v>57.285714285714285</v>
      </c>
      <c r="S37" s="782"/>
      <c r="T37" s="952">
        <f>SUM(L37:R37)</f>
        <v>401</v>
      </c>
      <c r="U37" s="953"/>
      <c r="V37" s="954"/>
      <c r="W37" s="782"/>
      <c r="X37" s="826">
        <f>$J$37*30/100</f>
        <v>57.285714285714285</v>
      </c>
      <c r="Y37" s="826">
        <f t="shared" ref="Y37:AD37" si="150">$J$37*30/100</f>
        <v>57.285714285714285</v>
      </c>
      <c r="Z37" s="826">
        <f t="shared" si="150"/>
        <v>57.285714285714285</v>
      </c>
      <c r="AA37" s="826">
        <f t="shared" si="150"/>
        <v>57.285714285714285</v>
      </c>
      <c r="AB37" s="826">
        <f t="shared" si="150"/>
        <v>57.285714285714285</v>
      </c>
      <c r="AC37" s="826">
        <f t="shared" si="150"/>
        <v>57.285714285714285</v>
      </c>
      <c r="AD37" s="826">
        <f t="shared" si="150"/>
        <v>57.285714285714285</v>
      </c>
      <c r="AE37" s="782"/>
      <c r="AF37" s="952">
        <f t="shared" ref="AF37" si="151">SUM(X37:AD37)</f>
        <v>401</v>
      </c>
      <c r="AG37" s="953"/>
      <c r="AH37" s="954"/>
      <c r="AI37" s="782"/>
      <c r="AJ37" s="826">
        <f>$J$37*30/100</f>
        <v>57.285714285714285</v>
      </c>
      <c r="AK37" s="826">
        <f t="shared" ref="AK37:AP37" si="152">$J$37*30/100</f>
        <v>57.285714285714285</v>
      </c>
      <c r="AL37" s="826">
        <f t="shared" si="152"/>
        <v>57.285714285714285</v>
      </c>
      <c r="AM37" s="826">
        <f t="shared" si="152"/>
        <v>57.285714285714285</v>
      </c>
      <c r="AN37" s="826">
        <f t="shared" si="152"/>
        <v>57.285714285714285</v>
      </c>
      <c r="AO37" s="826">
        <f t="shared" si="152"/>
        <v>57.285714285714285</v>
      </c>
      <c r="AP37" s="826">
        <f t="shared" si="152"/>
        <v>57.285714285714285</v>
      </c>
      <c r="AQ37" s="782"/>
      <c r="AR37" s="952">
        <f t="shared" ref="AR37:AR39" si="153">SUM(AJ37:AP37)</f>
        <v>401</v>
      </c>
      <c r="AS37" s="953"/>
      <c r="AT37" s="954"/>
      <c r="AU37" s="782"/>
      <c r="AV37" s="40">
        <f>$J$37*30/100</f>
        <v>57.285714285714285</v>
      </c>
      <c r="AW37" s="40">
        <f t="shared" ref="AW37:BB37" si="154">$J$37*30/100</f>
        <v>57.285714285714285</v>
      </c>
      <c r="AX37" s="40">
        <f t="shared" si="154"/>
        <v>57.285714285714285</v>
      </c>
      <c r="AY37" s="40">
        <f t="shared" si="154"/>
        <v>57.285714285714285</v>
      </c>
      <c r="AZ37" s="40">
        <f t="shared" si="154"/>
        <v>57.285714285714285</v>
      </c>
      <c r="BA37" s="40">
        <f t="shared" si="154"/>
        <v>57.285714285714285</v>
      </c>
      <c r="BB37" s="40">
        <f t="shared" si="154"/>
        <v>57.285714285714285</v>
      </c>
      <c r="BC37" s="782"/>
      <c r="BD37" s="952">
        <f t="shared" ref="BD37:BD39" si="155">SUM(AV37:BB37)</f>
        <v>401</v>
      </c>
      <c r="BE37" s="953"/>
      <c r="BF37" s="954"/>
      <c r="BH37" s="40"/>
      <c r="BI37" s="74"/>
      <c r="BK37" s="40"/>
      <c r="BL37" s="51"/>
      <c r="BM37" s="62"/>
      <c r="BO37" s="61"/>
      <c r="BP37" s="62"/>
      <c r="BQ37" s="62"/>
    </row>
    <row r="38" spans="1:69" s="224" customFormat="1" ht="15.75" thickBot="1" x14ac:dyDescent="0.25">
      <c r="B38" s="204"/>
      <c r="C38" s="204" t="s">
        <v>147</v>
      </c>
      <c r="D38" s="843"/>
      <c r="E38" s="205"/>
      <c r="F38" s="205"/>
      <c r="G38" s="205"/>
      <c r="H38" s="205"/>
      <c r="I38" s="205"/>
      <c r="J38" s="205"/>
      <c r="K38" s="873"/>
      <c r="L38" s="874">
        <f>L35-L37</f>
        <v>-55.522499999999994</v>
      </c>
      <c r="M38" s="874">
        <f>M35-M37</f>
        <v>-50.6325</v>
      </c>
      <c r="N38" s="874">
        <f t="shared" ref="N38:Q38" si="156">N35-N37</f>
        <v>-54.1875</v>
      </c>
      <c r="O38" s="874">
        <f t="shared" si="156"/>
        <v>-57.285714285714285</v>
      </c>
      <c r="P38" s="874">
        <f t="shared" si="156"/>
        <v>-57.285714285714285</v>
      </c>
      <c r="Q38" s="874">
        <f t="shared" si="156"/>
        <v>-55.537500000000001</v>
      </c>
      <c r="R38" s="874">
        <f>R35-R37</f>
        <v>-57.285714285714285</v>
      </c>
      <c r="S38" s="844"/>
      <c r="T38" s="909">
        <f>SUM(L38:R38)</f>
        <v>-387.73714285714289</v>
      </c>
      <c r="U38" s="908"/>
      <c r="V38" s="912"/>
      <c r="W38" s="844"/>
      <c r="X38" s="874">
        <f>X35-X37</f>
        <v>-57.285714285714285</v>
      </c>
      <c r="Y38" s="874">
        <f>Y35-Y37</f>
        <v>-51.442499999999995</v>
      </c>
      <c r="Z38" s="874">
        <f t="shared" ref="Z38" si="157">Z35-Z37</f>
        <v>-49.072499999999998</v>
      </c>
      <c r="AA38" s="874">
        <f t="shared" ref="AA38" si="158">AA35-AA37</f>
        <v>-57.285714285714285</v>
      </c>
      <c r="AB38" s="874">
        <f>AB35-AB37</f>
        <v>-57.285714285714285</v>
      </c>
      <c r="AC38" s="874">
        <f t="shared" ref="AC38" si="159">AC35-AC37</f>
        <v>-29.782499999999999</v>
      </c>
      <c r="AD38" s="875">
        <f>AD26-AD37</f>
        <v>2.9324999999999903</v>
      </c>
      <c r="AE38" s="844"/>
      <c r="AF38" s="909">
        <f>SUM(X38:AD38)</f>
        <v>-299.22214285714279</v>
      </c>
      <c r="AG38" s="908"/>
      <c r="AH38" s="962"/>
      <c r="AI38" s="844"/>
      <c r="AJ38" s="874">
        <f>AJ35-AJ37</f>
        <v>-56.287500000000001</v>
      </c>
      <c r="AK38" s="874">
        <f>AK35-AK37</f>
        <v>-46.087499999999999</v>
      </c>
      <c r="AL38" s="874">
        <f t="shared" ref="AL38" si="160">AL35-AL37</f>
        <v>-29.977500000000003</v>
      </c>
      <c r="AM38" s="874">
        <f t="shared" ref="AM38" si="161">AM35-AM37</f>
        <v>-57.285714285714285</v>
      </c>
      <c r="AN38" s="874">
        <f t="shared" ref="AN38" si="162">AN35-AN37</f>
        <v>-57.285714285714285</v>
      </c>
      <c r="AO38" s="874">
        <f t="shared" ref="AO38" si="163">AO35-AO37</f>
        <v>-57.285714285714285</v>
      </c>
      <c r="AP38" s="874">
        <f>AP35-AP37</f>
        <v>-49.027500000000003</v>
      </c>
      <c r="AQ38" s="844"/>
      <c r="AR38" s="909">
        <f t="shared" si="153"/>
        <v>-353.23714285714289</v>
      </c>
      <c r="AS38" s="908"/>
      <c r="AT38" s="912"/>
      <c r="AU38" s="844"/>
      <c r="AV38" s="874">
        <f t="shared" ref="AV38:BB38" si="164">AV35-AV37</f>
        <v>-57.285714285714285</v>
      </c>
      <c r="AW38" s="874">
        <f t="shared" si="164"/>
        <v>-57.285714285714285</v>
      </c>
      <c r="AX38" s="874">
        <f t="shared" si="164"/>
        <v>-57.285714285714285</v>
      </c>
      <c r="AY38" s="874">
        <f t="shared" si="164"/>
        <v>-57.285714285714285</v>
      </c>
      <c r="AZ38" s="874">
        <f t="shared" si="164"/>
        <v>-53.8125</v>
      </c>
      <c r="BA38" s="874">
        <f t="shared" si="164"/>
        <v>-57.285714285714285</v>
      </c>
      <c r="BB38" s="874">
        <f t="shared" si="164"/>
        <v>-57.285714285714285</v>
      </c>
      <c r="BC38" s="844"/>
      <c r="BD38" s="909">
        <f t="shared" si="155"/>
        <v>-397.52678571428567</v>
      </c>
      <c r="BE38" s="908"/>
      <c r="BF38" s="912"/>
      <c r="BH38" s="205">
        <f>SUM(L38:R38)+SUM(X38:AD38)+SUM(AJ38:AP38)+SUM(AV38:BB38)</f>
        <v>-1437.7232142857142</v>
      </c>
      <c r="BI38" s="876"/>
      <c r="BK38" s="203"/>
      <c r="BL38" s="847"/>
      <c r="BM38" s="847"/>
      <c r="BO38" s="203"/>
      <c r="BP38" s="226"/>
      <c r="BQ38" s="226"/>
    </row>
    <row r="39" spans="1:69" s="255" customFormat="1" ht="15.75" thickBot="1" x14ac:dyDescent="0.25">
      <c r="B39" s="574"/>
      <c r="C39" s="820" t="s">
        <v>100</v>
      </c>
      <c r="D39" s="819"/>
      <c r="E39" s="578"/>
      <c r="F39" s="576"/>
      <c r="G39" s="576"/>
      <c r="H39" s="576"/>
      <c r="I39" s="576"/>
      <c r="J39" s="576"/>
      <c r="K39" s="577"/>
      <c r="L39" s="578">
        <f>L37+L38</f>
        <v>1.763214285714291</v>
      </c>
      <c r="M39" s="578">
        <f>M37+M38</f>
        <v>6.6532142857142844</v>
      </c>
      <c r="N39" s="578">
        <f t="shared" ref="N39:R39" si="165">N37+N38</f>
        <v>3.0982142857142847</v>
      </c>
      <c r="O39" s="578">
        <f t="shared" si="165"/>
        <v>0</v>
      </c>
      <c r="P39" s="578">
        <f t="shared" si="165"/>
        <v>0</v>
      </c>
      <c r="Q39" s="578">
        <f t="shared" si="165"/>
        <v>1.7482142857142833</v>
      </c>
      <c r="R39" s="788">
        <f t="shared" si="165"/>
        <v>0</v>
      </c>
      <c r="S39" s="479"/>
      <c r="T39" s="579">
        <f t="shared" si="16"/>
        <v>13.262857142857143</v>
      </c>
      <c r="U39" s="578"/>
      <c r="V39" s="788"/>
      <c r="W39" s="479"/>
      <c r="X39" s="579">
        <f>X37+X38</f>
        <v>0</v>
      </c>
      <c r="Y39" s="578">
        <f>Y37+Y38</f>
        <v>5.8432142857142892</v>
      </c>
      <c r="Z39" s="578">
        <f t="shared" ref="Z39" si="166">Z37+Z38</f>
        <v>8.2132142857142867</v>
      </c>
      <c r="AA39" s="578">
        <f t="shared" ref="AA39" si="167">AA37+AA38</f>
        <v>0</v>
      </c>
      <c r="AB39" s="578">
        <f t="shared" ref="AB39" si="168">AB37+AB38</f>
        <v>0</v>
      </c>
      <c r="AC39" s="578">
        <f t="shared" ref="AC39" si="169">AC37+AC38</f>
        <v>27.503214285714286</v>
      </c>
      <c r="AD39" s="788">
        <f t="shared" ref="AD39" si="170">AD37+AD38</f>
        <v>60.218214285714275</v>
      </c>
      <c r="AE39" s="479"/>
      <c r="AF39" s="579">
        <f>SUM(X39:AD39)</f>
        <v>101.77785714285713</v>
      </c>
      <c r="AG39" s="578"/>
      <c r="AH39" s="788"/>
      <c r="AI39" s="779"/>
      <c r="AJ39" s="579">
        <f>AJ37+AJ38</f>
        <v>0.99821428571428328</v>
      </c>
      <c r="AK39" s="578">
        <f>AK37+AK38</f>
        <v>11.198214285714286</v>
      </c>
      <c r="AL39" s="578">
        <f t="shared" ref="AL39" si="171">AL37+AL38</f>
        <v>27.308214285714282</v>
      </c>
      <c r="AM39" s="578">
        <f t="shared" ref="AM39" si="172">AM37+AM38</f>
        <v>0</v>
      </c>
      <c r="AN39" s="578">
        <f t="shared" ref="AN39" si="173">AN37+AN38</f>
        <v>0</v>
      </c>
      <c r="AO39" s="578">
        <f t="shared" ref="AO39" si="174">AO37+AO38</f>
        <v>0</v>
      </c>
      <c r="AP39" s="788">
        <f t="shared" ref="AP39" si="175">AP37+AP38</f>
        <v>8.2582142857142813</v>
      </c>
      <c r="AQ39" s="479"/>
      <c r="AR39" s="579">
        <f t="shared" si="153"/>
        <v>47.762857142857136</v>
      </c>
      <c r="AS39" s="578"/>
      <c r="AT39" s="788"/>
      <c r="AU39" s="479"/>
      <c r="AV39" s="579">
        <f>AV37+AV38</f>
        <v>0</v>
      </c>
      <c r="AW39" s="578">
        <f>AW37+AW38</f>
        <v>0</v>
      </c>
      <c r="AX39" s="578">
        <f t="shared" ref="AX39" si="176">AX37+AX38</f>
        <v>0</v>
      </c>
      <c r="AY39" s="578">
        <f t="shared" ref="AY39" si="177">AY37+AY38</f>
        <v>0</v>
      </c>
      <c r="AZ39" s="578">
        <f t="shared" ref="AZ39" si="178">AZ37+AZ38</f>
        <v>3.4732142857142847</v>
      </c>
      <c r="BA39" s="578">
        <f t="shared" ref="BA39" si="179">BA37+BA38</f>
        <v>0</v>
      </c>
      <c r="BB39" s="788">
        <f t="shared" ref="BB39" si="180">BB37+BB38</f>
        <v>0</v>
      </c>
      <c r="BC39" s="479"/>
      <c r="BD39" s="579">
        <f t="shared" si="155"/>
        <v>3.4732142857142847</v>
      </c>
      <c r="BE39" s="578"/>
      <c r="BF39" s="788"/>
      <c r="BH39" s="579">
        <f>SUM(L39:R39)+SUM(X39:AD39)+SUM(AJ39:AP39)+SUM(AV39:BB39)</f>
        <v>166.27678571428569</v>
      </c>
      <c r="BI39" s="580">
        <f>BH39/E37</f>
        <v>3.1099149447809043E-2</v>
      </c>
      <c r="BK39" s="581"/>
      <c r="BL39" s="582"/>
      <c r="BM39" s="492"/>
      <c r="BO39" s="61"/>
      <c r="BP39" s="62"/>
      <c r="BQ39" s="62"/>
    </row>
    <row r="40" spans="1:69" s="271" customFormat="1" ht="4.5" customHeight="1" thickBot="1" x14ac:dyDescent="0.25">
      <c r="E40" s="203"/>
      <c r="F40" s="203"/>
      <c r="G40" s="203"/>
      <c r="H40" s="203"/>
      <c r="I40" s="203"/>
      <c r="J40" s="203"/>
      <c r="K40" s="845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K40" s="878"/>
      <c r="BL40" s="879"/>
      <c r="BM40" s="847"/>
      <c r="BO40" s="203"/>
      <c r="BP40" s="226"/>
      <c r="BQ40" s="226"/>
    </row>
    <row r="41" spans="1:69" s="833" customFormat="1" x14ac:dyDescent="0.2">
      <c r="A41" s="842"/>
      <c r="B41" s="834">
        <v>24</v>
      </c>
      <c r="C41" s="834" t="s">
        <v>74</v>
      </c>
      <c r="D41" s="835"/>
      <c r="E41" s="89">
        <f>3000-(E24+E35)</f>
        <v>310.85000000000036</v>
      </c>
      <c r="F41" s="89">
        <f t="shared" ref="F41:F46" si="181">E41/10</f>
        <v>31.085000000000036</v>
      </c>
      <c r="G41" s="89">
        <f t="shared" ref="G41:G42" si="182">E41/15</f>
        <v>20.723333333333358</v>
      </c>
      <c r="H41" s="89">
        <f t="shared" ref="H41:H42" si="183">E41/20</f>
        <v>15.542500000000018</v>
      </c>
      <c r="I41" s="89">
        <f t="shared" ref="I41:I42" si="184">E41/25</f>
        <v>12.434000000000015</v>
      </c>
      <c r="J41" s="89">
        <f>E41/28</f>
        <v>11.101785714285727</v>
      </c>
      <c r="K41" s="965">
        <f>E41/(E24+E35+E41)</f>
        <v>0.10361666666666679</v>
      </c>
      <c r="L41" s="837">
        <f t="shared" ref="L41:R41" si="185">$J$41</f>
        <v>11.101785714285727</v>
      </c>
      <c r="M41" s="837">
        <f t="shared" si="185"/>
        <v>11.101785714285727</v>
      </c>
      <c r="N41" s="837">
        <f t="shared" si="185"/>
        <v>11.101785714285727</v>
      </c>
      <c r="O41" s="837">
        <f t="shared" si="185"/>
        <v>11.101785714285727</v>
      </c>
      <c r="P41" s="837">
        <f t="shared" si="185"/>
        <v>11.101785714285727</v>
      </c>
      <c r="Q41" s="837">
        <f t="shared" si="185"/>
        <v>11.101785714285727</v>
      </c>
      <c r="R41" s="837">
        <f t="shared" si="185"/>
        <v>11.101785714285727</v>
      </c>
      <c r="S41" s="838"/>
      <c r="T41" s="955">
        <f t="shared" si="16"/>
        <v>77.712500000000091</v>
      </c>
      <c r="U41" s="888"/>
      <c r="V41" s="956"/>
      <c r="W41" s="838"/>
      <c r="X41" s="837">
        <f t="shared" ref="X41:AD41" si="186">$J$41</f>
        <v>11.101785714285727</v>
      </c>
      <c r="Y41" s="837">
        <f t="shared" si="186"/>
        <v>11.101785714285727</v>
      </c>
      <c r="Z41" s="837">
        <f t="shared" si="186"/>
        <v>11.101785714285727</v>
      </c>
      <c r="AA41" s="837">
        <f t="shared" si="186"/>
        <v>11.101785714285727</v>
      </c>
      <c r="AB41" s="837">
        <f t="shared" si="186"/>
        <v>11.101785714285727</v>
      </c>
      <c r="AC41" s="837">
        <f t="shared" si="186"/>
        <v>11.101785714285727</v>
      </c>
      <c r="AD41" s="837">
        <f t="shared" si="186"/>
        <v>11.101785714285727</v>
      </c>
      <c r="AE41" s="838"/>
      <c r="AF41" s="955">
        <f t="shared" ref="AF41" si="187">SUM(X41:AD41)</f>
        <v>77.712500000000091</v>
      </c>
      <c r="AG41" s="888"/>
      <c r="AH41" s="956"/>
      <c r="AI41" s="838"/>
      <c r="AJ41" s="837">
        <f t="shared" ref="AJ41:AP41" si="188">$J$41</f>
        <v>11.101785714285727</v>
      </c>
      <c r="AK41" s="837">
        <f t="shared" si="188"/>
        <v>11.101785714285727</v>
      </c>
      <c r="AL41" s="837">
        <f t="shared" si="188"/>
        <v>11.101785714285727</v>
      </c>
      <c r="AM41" s="837">
        <f t="shared" si="188"/>
        <v>11.101785714285727</v>
      </c>
      <c r="AN41" s="837">
        <f t="shared" si="188"/>
        <v>11.101785714285727</v>
      </c>
      <c r="AO41" s="837">
        <f t="shared" si="188"/>
        <v>11.101785714285727</v>
      </c>
      <c r="AP41" s="837">
        <f t="shared" si="188"/>
        <v>11.101785714285727</v>
      </c>
      <c r="AQ41" s="838"/>
      <c r="AR41" s="955">
        <f t="shared" ref="AR41" si="189">SUM(AJ41:AP41)</f>
        <v>77.712500000000091</v>
      </c>
      <c r="AS41" s="888"/>
      <c r="AT41" s="956"/>
      <c r="AU41" s="838"/>
      <c r="AV41" s="837">
        <f t="shared" ref="AV41:BB41" si="190">$J$41</f>
        <v>11.101785714285727</v>
      </c>
      <c r="AW41" s="837">
        <f t="shared" si="190"/>
        <v>11.101785714285727</v>
      </c>
      <c r="AX41" s="837">
        <f t="shared" si="190"/>
        <v>11.101785714285727</v>
      </c>
      <c r="AY41" s="837">
        <f t="shared" si="190"/>
        <v>11.101785714285727</v>
      </c>
      <c r="AZ41" s="837">
        <f t="shared" si="190"/>
        <v>11.101785714285727</v>
      </c>
      <c r="BA41" s="837">
        <f t="shared" si="190"/>
        <v>11.101785714285727</v>
      </c>
      <c r="BB41" s="837">
        <f t="shared" si="190"/>
        <v>11.101785714285727</v>
      </c>
      <c r="BC41" s="838"/>
      <c r="BD41" s="955">
        <f t="shared" ref="BD41" si="191">SUM(AV41:BB41)</f>
        <v>77.712500000000091</v>
      </c>
      <c r="BE41" s="888"/>
      <c r="BF41" s="956"/>
      <c r="BH41" s="89">
        <f t="shared" ref="BH41:BH48" si="192">SUM(L41:R41)+SUM(X41:AD41)+SUM(AJ41:AP41)+SUM(AV41:BB41)</f>
        <v>310.85000000000036</v>
      </c>
      <c r="BI41" s="839">
        <f>BH41/E41</f>
        <v>1</v>
      </c>
      <c r="BK41" s="880"/>
      <c r="BL41" s="881"/>
      <c r="BM41" s="877"/>
      <c r="BO41" s="841"/>
      <c r="BP41" s="840"/>
      <c r="BQ41" s="840"/>
    </row>
    <row r="42" spans="1:69" s="81" customFormat="1" ht="15.75" thickBot="1" x14ac:dyDescent="0.25">
      <c r="B42" s="43"/>
      <c r="C42" s="43" t="s">
        <v>79</v>
      </c>
      <c r="D42" s="813"/>
      <c r="E42" s="40">
        <f>E41*100/30</f>
        <v>1036.1666666666679</v>
      </c>
      <c r="F42" s="40">
        <f t="shared" si="181"/>
        <v>103.61666666666679</v>
      </c>
      <c r="G42" s="40">
        <f t="shared" si="182"/>
        <v>69.077777777777854</v>
      </c>
      <c r="H42" s="40">
        <f t="shared" si="183"/>
        <v>51.808333333333394</v>
      </c>
      <c r="I42" s="40">
        <f t="shared" si="184"/>
        <v>41.446666666666715</v>
      </c>
      <c r="J42" s="40">
        <f>J41*100/30</f>
        <v>37.005952380952422</v>
      </c>
      <c r="K42" s="193">
        <f>E42/E48</f>
        <v>0.10361666666666679</v>
      </c>
      <c r="L42" s="826"/>
      <c r="M42" s="826"/>
      <c r="N42" s="826"/>
      <c r="O42" s="826"/>
      <c r="P42" s="826"/>
      <c r="Q42" s="826"/>
      <c r="R42" s="826"/>
      <c r="S42" s="782"/>
      <c r="T42" s="957"/>
      <c r="U42" s="958"/>
      <c r="V42" s="959"/>
      <c r="W42" s="782"/>
      <c r="X42" s="826"/>
      <c r="Y42" s="826"/>
      <c r="Z42" s="826"/>
      <c r="AA42" s="826"/>
      <c r="AB42" s="826"/>
      <c r="AC42" s="826"/>
      <c r="AD42" s="826"/>
      <c r="AE42" s="782"/>
      <c r="AF42" s="957"/>
      <c r="AG42" s="958"/>
      <c r="AH42" s="959"/>
      <c r="AI42" s="782"/>
      <c r="AJ42" s="826"/>
      <c r="AK42" s="826"/>
      <c r="AL42" s="826"/>
      <c r="AM42" s="826"/>
      <c r="AN42" s="826"/>
      <c r="AO42" s="826"/>
      <c r="AP42" s="826"/>
      <c r="AQ42" s="782"/>
      <c r="AR42" s="957"/>
      <c r="AS42" s="958"/>
      <c r="AT42" s="959"/>
      <c r="AU42" s="782"/>
      <c r="AV42" s="826"/>
      <c r="AW42" s="961"/>
      <c r="AX42" s="826"/>
      <c r="AY42" s="826"/>
      <c r="AZ42" s="826"/>
      <c r="BA42" s="826"/>
      <c r="BB42" s="826"/>
      <c r="BC42" s="782"/>
      <c r="BD42" s="957"/>
      <c r="BE42" s="958"/>
      <c r="BF42" s="959"/>
      <c r="BG42" s="255"/>
      <c r="BH42" s="40">
        <f>SUM(L42:R42)+SUM(X42:AD42)+SUM(AJ42:AP42)+SUM(AV42:BB42)</f>
        <v>0</v>
      </c>
      <c r="BI42" s="51">
        <f>BH42/E42</f>
        <v>0</v>
      </c>
      <c r="BJ42" s="255"/>
      <c r="BK42" s="583"/>
      <c r="BL42" s="584"/>
      <c r="BM42" s="411"/>
      <c r="BN42" s="255"/>
      <c r="BO42" s="61"/>
      <c r="BP42" s="62"/>
      <c r="BQ42" s="62"/>
    </row>
    <row r="43" spans="1:69" s="271" customFormat="1" ht="4.5" customHeight="1" thickBot="1" x14ac:dyDescent="0.25">
      <c r="B43" s="882"/>
      <c r="C43" s="882"/>
      <c r="E43" s="883"/>
      <c r="F43" s="883"/>
      <c r="G43" s="883"/>
      <c r="H43" s="883"/>
      <c r="I43" s="883"/>
      <c r="J43" s="883"/>
      <c r="K43" s="884"/>
      <c r="L43" s="883"/>
      <c r="M43" s="883"/>
      <c r="N43" s="883"/>
      <c r="O43" s="882"/>
      <c r="P43" s="882"/>
      <c r="Q43" s="882"/>
      <c r="R43" s="882"/>
      <c r="X43" s="882"/>
      <c r="Y43" s="882"/>
      <c r="Z43" s="882"/>
      <c r="AA43" s="882"/>
      <c r="AB43" s="882"/>
      <c r="AC43" s="882"/>
      <c r="AD43" s="882"/>
      <c r="AJ43" s="882"/>
      <c r="AK43" s="882"/>
      <c r="AL43" s="882"/>
      <c r="AM43" s="882"/>
      <c r="AN43" s="882"/>
      <c r="AO43" s="882"/>
      <c r="AP43" s="882"/>
      <c r="AV43" s="882"/>
      <c r="AW43" s="882"/>
      <c r="AX43" s="882"/>
      <c r="AY43" s="882"/>
      <c r="AZ43" s="882"/>
      <c r="BA43" s="882"/>
      <c r="BB43" s="882"/>
      <c r="BH43" s="882"/>
      <c r="BI43" s="882"/>
      <c r="BK43" s="203"/>
      <c r="BL43" s="226"/>
      <c r="BM43" s="226"/>
      <c r="BO43" s="203"/>
      <c r="BP43" s="226"/>
      <c r="BQ43" s="226"/>
    </row>
    <row r="44" spans="1:69" s="271" customFormat="1" ht="15.75" thickBot="1" x14ac:dyDescent="0.25">
      <c r="B44" s="885"/>
      <c r="C44" s="886" t="s">
        <v>97</v>
      </c>
      <c r="D44" s="887"/>
      <c r="E44" s="888">
        <f>E24*100/30</f>
        <v>3617.1666666666661</v>
      </c>
      <c r="F44" s="889">
        <f t="shared" si="181"/>
        <v>361.71666666666658</v>
      </c>
      <c r="G44" s="890">
        <f t="shared" ref="G44:G46" si="193">E44/15</f>
        <v>241.14444444444442</v>
      </c>
      <c r="H44" s="891">
        <f>E44/20</f>
        <v>180.85833333333329</v>
      </c>
      <c r="I44" s="892">
        <f t="shared" ref="I44:I46" si="194">E44/25</f>
        <v>144.68666666666664</v>
      </c>
      <c r="J44" s="893">
        <f>E44/28</f>
        <v>129.1845238095238</v>
      </c>
      <c r="K44" s="894">
        <f>J44*30%</f>
        <v>38.755357142857136</v>
      </c>
      <c r="L44" s="895">
        <f>L4-L24</f>
        <v>1.763214285714291</v>
      </c>
      <c r="M44" s="895">
        <f t="shared" ref="M44:N44" si="195">M4-M24</f>
        <v>6.6532142857142844</v>
      </c>
      <c r="N44" s="895">
        <f t="shared" si="195"/>
        <v>3.0982142857142847</v>
      </c>
      <c r="O44" s="895">
        <f t="shared" ref="O44:R44" si="196">O4-O24</f>
        <v>-4.851785714285711</v>
      </c>
      <c r="P44" s="895">
        <f t="shared" si="196"/>
        <v>-4.0267857142857153</v>
      </c>
      <c r="Q44" s="895">
        <f t="shared" si="196"/>
        <v>1.7482142857142833</v>
      </c>
      <c r="R44" s="898">
        <f t="shared" si="196"/>
        <v>-7.1767857142857139</v>
      </c>
      <c r="S44" s="203"/>
      <c r="T44" s="913">
        <f t="shared" si="16"/>
        <v>-2.7924999999999969</v>
      </c>
      <c r="U44" s="895"/>
      <c r="V44" s="898"/>
      <c r="W44" s="896"/>
      <c r="X44" s="913">
        <f t="shared" ref="X44:AD44" si="197">X4-X24</f>
        <v>-3.9517857142857125</v>
      </c>
      <c r="Y44" s="913">
        <f t="shared" si="197"/>
        <v>5.8432142857142892</v>
      </c>
      <c r="Z44" s="913">
        <f t="shared" si="197"/>
        <v>8.2132142857142867</v>
      </c>
      <c r="AA44" s="913">
        <f t="shared" si="197"/>
        <v>-13.626785714285713</v>
      </c>
      <c r="AB44" s="913">
        <f t="shared" si="197"/>
        <v>-2.091785714285713</v>
      </c>
      <c r="AC44" s="913">
        <f t="shared" si="197"/>
        <v>27.503214285714286</v>
      </c>
      <c r="AD44" s="913">
        <f t="shared" si="197"/>
        <v>60.218214285714275</v>
      </c>
      <c r="AE44" s="203"/>
      <c r="AF44" s="913">
        <f t="shared" ref="AF44:AF46" si="198">SUM(X44:AD44)</f>
        <v>82.107500000000002</v>
      </c>
      <c r="AG44" s="895"/>
      <c r="AH44" s="898"/>
      <c r="AI44" s="896"/>
      <c r="AJ44" s="895">
        <f t="shared" ref="AJ44:AN44" si="199">AJ4-AJ24</f>
        <v>0.99821428571428328</v>
      </c>
      <c r="AK44" s="895">
        <f t="shared" si="199"/>
        <v>11.198214285714286</v>
      </c>
      <c r="AL44" s="895">
        <f t="shared" si="199"/>
        <v>27.308214285714278</v>
      </c>
      <c r="AM44" s="895">
        <f t="shared" si="199"/>
        <v>-4.0417857142857159</v>
      </c>
      <c r="AN44" s="895">
        <f t="shared" si="199"/>
        <v>-15.891785714285714</v>
      </c>
      <c r="AO44" s="895">
        <f t="shared" ref="AO44:AP44" si="200">AO4-AO24</f>
        <v>-12.576785714285712</v>
      </c>
      <c r="AP44" s="895">
        <f t="shared" si="200"/>
        <v>8.2582142857142813</v>
      </c>
      <c r="AQ44" s="203"/>
      <c r="AR44" s="913">
        <f t="shared" ref="AR44:AR46" si="201">SUM(AJ44:AP44)</f>
        <v>15.252499999999987</v>
      </c>
      <c r="AS44" s="895"/>
      <c r="AT44" s="898"/>
      <c r="AU44" s="896"/>
      <c r="AV44" s="895">
        <f t="shared" ref="AV44:BB44" si="202">AV4-AV24</f>
        <v>-38.826785714285712</v>
      </c>
      <c r="AW44" s="895">
        <f t="shared" si="202"/>
        <v>-11.016785714285714</v>
      </c>
      <c r="AX44" s="895">
        <f t="shared" si="202"/>
        <v>-16.131785714285712</v>
      </c>
      <c r="AY44" s="895">
        <f t="shared" si="202"/>
        <v>-3.321785714285717</v>
      </c>
      <c r="AZ44" s="895">
        <f t="shared" si="202"/>
        <v>3.4732142857142847</v>
      </c>
      <c r="BA44" s="895">
        <f t="shared" si="202"/>
        <v>-17.826785714285712</v>
      </c>
      <c r="BB44" s="895">
        <f t="shared" si="202"/>
        <v>-38.826785714285712</v>
      </c>
      <c r="BC44" s="896"/>
      <c r="BD44" s="913">
        <f t="shared" ref="BD44:BD46" si="203">SUM(AV44:BB44)</f>
        <v>-122.47749999999999</v>
      </c>
      <c r="BE44" s="895"/>
      <c r="BF44" s="898"/>
      <c r="BG44" s="224"/>
      <c r="BH44" s="897">
        <f t="shared" si="192"/>
        <v>-27.910000000000011</v>
      </c>
      <c r="BI44" s="898"/>
      <c r="BJ44" s="224"/>
      <c r="BK44" s="573">
        <f>BH44-BK35</f>
        <v>-191.25428571428569</v>
      </c>
      <c r="BL44" s="226"/>
      <c r="BM44" s="226"/>
      <c r="BO44" s="203"/>
      <c r="BP44" s="226"/>
      <c r="BQ44" s="226"/>
    </row>
    <row r="45" spans="1:69" s="255" customFormat="1" ht="15.75" thickBot="1" x14ac:dyDescent="0.25">
      <c r="B45" s="585"/>
      <c r="C45" s="821" t="s">
        <v>97</v>
      </c>
      <c r="D45" s="822"/>
      <c r="E45" s="440">
        <f>E37</f>
        <v>5346.666666666667</v>
      </c>
      <c r="F45" s="97">
        <f t="shared" si="181"/>
        <v>534.66666666666674</v>
      </c>
      <c r="G45" s="649">
        <f t="shared" si="193"/>
        <v>356.44444444444446</v>
      </c>
      <c r="H45" s="653">
        <f t="shared" ref="H45:H46" si="204">E45/20</f>
        <v>267.33333333333337</v>
      </c>
      <c r="I45" s="657">
        <f t="shared" si="194"/>
        <v>213.86666666666667</v>
      </c>
      <c r="J45" s="661">
        <f>E45/28</f>
        <v>190.95238095238096</v>
      </c>
      <c r="K45" s="199">
        <f>J45*30%</f>
        <v>57.285714285714285</v>
      </c>
      <c r="L45" s="826">
        <f>L38</f>
        <v>-55.522499999999994</v>
      </c>
      <c r="M45" s="961">
        <f t="shared" ref="M45:R45" si="205">M38</f>
        <v>-50.6325</v>
      </c>
      <c r="N45" s="961">
        <f t="shared" si="205"/>
        <v>-54.1875</v>
      </c>
      <c r="O45" s="961">
        <f t="shared" si="205"/>
        <v>-57.285714285714285</v>
      </c>
      <c r="P45" s="961">
        <f t="shared" si="205"/>
        <v>-57.285714285714285</v>
      </c>
      <c r="Q45" s="961">
        <f t="shared" si="205"/>
        <v>-55.537500000000001</v>
      </c>
      <c r="R45" s="586">
        <f t="shared" si="205"/>
        <v>-57.285714285714285</v>
      </c>
      <c r="S45" s="782"/>
      <c r="T45" s="911">
        <f t="shared" si="16"/>
        <v>-387.73714285714289</v>
      </c>
      <c r="U45" s="40"/>
      <c r="V45" s="586"/>
      <c r="W45" s="946"/>
      <c r="X45" s="911">
        <f>X38</f>
        <v>-57.285714285714285</v>
      </c>
      <c r="Y45" s="40">
        <f t="shared" ref="Y45:AD45" si="206">Y38</f>
        <v>-51.442499999999995</v>
      </c>
      <c r="Z45" s="40">
        <f t="shared" si="206"/>
        <v>-49.072499999999998</v>
      </c>
      <c r="AA45" s="40">
        <f t="shared" si="206"/>
        <v>-57.285714285714285</v>
      </c>
      <c r="AB45" s="40">
        <f t="shared" si="206"/>
        <v>-57.285714285714285</v>
      </c>
      <c r="AC45" s="40">
        <f t="shared" si="206"/>
        <v>-29.782499999999999</v>
      </c>
      <c r="AD45" s="40">
        <f t="shared" si="206"/>
        <v>2.9324999999999903</v>
      </c>
      <c r="AE45" s="782"/>
      <c r="AF45" s="911">
        <f t="shared" si="198"/>
        <v>-299.22214285714279</v>
      </c>
      <c r="AG45" s="40"/>
      <c r="AH45" s="586"/>
      <c r="AI45" s="946"/>
      <c r="AJ45" s="911">
        <f>AJ38</f>
        <v>-56.287500000000001</v>
      </c>
      <c r="AK45" s="40">
        <f t="shared" ref="AK45:AP45" si="207">AK38</f>
        <v>-46.087499999999999</v>
      </c>
      <c r="AL45" s="40">
        <f t="shared" si="207"/>
        <v>-29.977500000000003</v>
      </c>
      <c r="AM45" s="40">
        <f t="shared" si="207"/>
        <v>-57.285714285714285</v>
      </c>
      <c r="AN45" s="40">
        <f t="shared" si="207"/>
        <v>-57.285714285714285</v>
      </c>
      <c r="AO45" s="40">
        <f t="shared" si="207"/>
        <v>-57.285714285714285</v>
      </c>
      <c r="AP45" s="586">
        <f t="shared" si="207"/>
        <v>-49.027500000000003</v>
      </c>
      <c r="AQ45" s="782"/>
      <c r="AR45" s="911">
        <f>SUM(AJ45:AP45)</f>
        <v>-353.23714285714289</v>
      </c>
      <c r="AS45" s="40"/>
      <c r="AT45" s="586"/>
      <c r="AU45" s="783"/>
      <c r="AV45" s="40">
        <f>AV38</f>
        <v>-57.285714285714285</v>
      </c>
      <c r="AW45" s="40">
        <f t="shared" ref="AW45:BB45" si="208">AW38</f>
        <v>-57.285714285714285</v>
      </c>
      <c r="AX45" s="40">
        <f t="shared" si="208"/>
        <v>-57.285714285714285</v>
      </c>
      <c r="AY45" s="40">
        <f t="shared" si="208"/>
        <v>-57.285714285714285</v>
      </c>
      <c r="AZ45" s="40">
        <f t="shared" si="208"/>
        <v>-53.8125</v>
      </c>
      <c r="BA45" s="40">
        <f t="shared" si="208"/>
        <v>-57.285714285714285</v>
      </c>
      <c r="BB45" s="40">
        <f t="shared" si="208"/>
        <v>-57.285714285714285</v>
      </c>
      <c r="BC45" s="783"/>
      <c r="BD45" s="911">
        <f>SUM(AV45:BB45)</f>
        <v>-397.52678571428567</v>
      </c>
      <c r="BE45" s="40"/>
      <c r="BF45" s="586"/>
      <c r="BH45" s="587">
        <f>SUM(L45:R45)+SUM(X45:AD45)+SUM(AJ45:AP45)+SUM(AV45:BB45)</f>
        <v>-1437.7232142857142</v>
      </c>
      <c r="BI45" s="586"/>
      <c r="BK45" s="742">
        <f>BK3*50%</f>
        <v>1765.4</v>
      </c>
      <c r="BL45" s="743">
        <f>BK45-E24</f>
        <v>680.25000000000023</v>
      </c>
      <c r="BM45" s="744">
        <f>BL45-E35</f>
        <v>-923.74999999999977</v>
      </c>
      <c r="BO45" s="50"/>
    </row>
    <row r="46" spans="1:69" s="224" customFormat="1" ht="15.75" thickBot="1" x14ac:dyDescent="0.25">
      <c r="B46" s="899"/>
      <c r="C46" s="900" t="s">
        <v>75</v>
      </c>
      <c r="D46" s="887"/>
      <c r="E46" s="901">
        <f>E41*100/30</f>
        <v>1036.1666666666679</v>
      </c>
      <c r="F46" s="902">
        <f t="shared" si="181"/>
        <v>103.61666666666679</v>
      </c>
      <c r="G46" s="903">
        <f t="shared" si="193"/>
        <v>69.077777777777854</v>
      </c>
      <c r="H46" s="904">
        <f t="shared" si="204"/>
        <v>51.808333333333394</v>
      </c>
      <c r="I46" s="905">
        <f t="shared" si="194"/>
        <v>41.446666666666715</v>
      </c>
      <c r="J46" s="906">
        <f>E46/28</f>
        <v>37.005952380952422</v>
      </c>
      <c r="K46" s="907">
        <f>J46*30%</f>
        <v>11.101785714285727</v>
      </c>
      <c r="L46" s="908">
        <f>0-L41</f>
        <v>-11.101785714285727</v>
      </c>
      <c r="M46" s="908">
        <f t="shared" ref="M46:R46" si="209">0-M41</f>
        <v>-11.101785714285727</v>
      </c>
      <c r="N46" s="908">
        <f t="shared" si="209"/>
        <v>-11.101785714285727</v>
      </c>
      <c r="O46" s="908">
        <f t="shared" si="209"/>
        <v>-11.101785714285727</v>
      </c>
      <c r="P46" s="908">
        <f t="shared" si="209"/>
        <v>-11.101785714285727</v>
      </c>
      <c r="Q46" s="908">
        <f t="shared" si="209"/>
        <v>-11.101785714285727</v>
      </c>
      <c r="R46" s="910">
        <f t="shared" si="209"/>
        <v>-11.101785714285727</v>
      </c>
      <c r="S46" s="844"/>
      <c r="T46" s="909">
        <f t="shared" si="16"/>
        <v>-77.712500000000091</v>
      </c>
      <c r="U46" s="908"/>
      <c r="V46" s="912"/>
      <c r="W46" s="203"/>
      <c r="X46" s="909">
        <f t="shared" ref="X46:AC46" si="210">0-X41</f>
        <v>-11.101785714285727</v>
      </c>
      <c r="Y46" s="908">
        <f t="shared" si="210"/>
        <v>-11.101785714285727</v>
      </c>
      <c r="Z46" s="908">
        <f t="shared" si="210"/>
        <v>-11.101785714285727</v>
      </c>
      <c r="AA46" s="908">
        <f t="shared" si="210"/>
        <v>-11.101785714285727</v>
      </c>
      <c r="AB46" s="908">
        <f t="shared" si="210"/>
        <v>-11.101785714285727</v>
      </c>
      <c r="AC46" s="908">
        <f t="shared" si="210"/>
        <v>-11.101785714285727</v>
      </c>
      <c r="AD46" s="912">
        <f>AD38-AD41</f>
        <v>-8.1692857142857367</v>
      </c>
      <c r="AE46" s="844"/>
      <c r="AF46" s="909">
        <f t="shared" si="198"/>
        <v>-74.780000000000101</v>
      </c>
      <c r="AG46" s="908"/>
      <c r="AH46" s="912"/>
      <c r="AI46" s="203"/>
      <c r="AJ46" s="909">
        <f t="shared" ref="AJ46:AP46" si="211">0-AJ41</f>
        <v>-11.101785714285727</v>
      </c>
      <c r="AK46" s="908">
        <f t="shared" si="211"/>
        <v>-11.101785714285727</v>
      </c>
      <c r="AL46" s="908">
        <f t="shared" si="211"/>
        <v>-11.101785714285727</v>
      </c>
      <c r="AM46" s="908">
        <f t="shared" si="211"/>
        <v>-11.101785714285727</v>
      </c>
      <c r="AN46" s="908">
        <f t="shared" si="211"/>
        <v>-11.101785714285727</v>
      </c>
      <c r="AO46" s="908">
        <f t="shared" si="211"/>
        <v>-11.101785714285727</v>
      </c>
      <c r="AP46" s="912">
        <f t="shared" si="211"/>
        <v>-11.101785714285727</v>
      </c>
      <c r="AQ46" s="844"/>
      <c r="AR46" s="909">
        <f t="shared" si="201"/>
        <v>-77.712500000000091</v>
      </c>
      <c r="AS46" s="908"/>
      <c r="AT46" s="912"/>
      <c r="AU46" s="844"/>
      <c r="AV46" s="908">
        <f t="shared" ref="AV46:BB46" si="212">0-AV41</f>
        <v>-11.101785714285727</v>
      </c>
      <c r="AW46" s="908">
        <f t="shared" si="212"/>
        <v>-11.101785714285727</v>
      </c>
      <c r="AX46" s="908">
        <f t="shared" si="212"/>
        <v>-11.101785714285727</v>
      </c>
      <c r="AY46" s="908">
        <f t="shared" si="212"/>
        <v>-11.101785714285727</v>
      </c>
      <c r="AZ46" s="908">
        <f t="shared" si="212"/>
        <v>-11.101785714285727</v>
      </c>
      <c r="BA46" s="908">
        <f t="shared" si="212"/>
        <v>-11.101785714285727</v>
      </c>
      <c r="BB46" s="908">
        <f t="shared" si="212"/>
        <v>-11.101785714285727</v>
      </c>
      <c r="BC46" s="844"/>
      <c r="BD46" s="909">
        <f t="shared" si="203"/>
        <v>-77.712500000000091</v>
      </c>
      <c r="BE46" s="908"/>
      <c r="BF46" s="912"/>
      <c r="BH46" s="909">
        <f t="shared" si="192"/>
        <v>-307.91750000000036</v>
      </c>
      <c r="BI46" s="910"/>
      <c r="BK46" s="203"/>
      <c r="BL46" s="291"/>
      <c r="BM46" s="974">
        <f>BM45+BH46</f>
        <v>-1231.6675</v>
      </c>
    </row>
    <row r="47" spans="1:69" ht="4.5" customHeight="1" thickBot="1" x14ac:dyDescent="0.25">
      <c r="K47" s="314"/>
    </row>
    <row r="48" spans="1:69" s="255" customFormat="1" ht="15.75" thickBot="1" x14ac:dyDescent="0.25">
      <c r="B48" s="574"/>
      <c r="C48" s="820"/>
      <c r="D48" s="819"/>
      <c r="E48" s="578">
        <f>E44+E45+E46</f>
        <v>10000</v>
      </c>
      <c r="F48" s="576"/>
      <c r="G48" s="576"/>
      <c r="H48" s="576"/>
      <c r="I48" s="576"/>
      <c r="J48" s="576">
        <f>E48/28</f>
        <v>357.14285714285717</v>
      </c>
      <c r="K48" s="963">
        <f>J48*30%</f>
        <v>107.14285714285715</v>
      </c>
      <c r="L48" s="578">
        <f>L44+L45+L46</f>
        <v>-64.861071428571435</v>
      </c>
      <c r="M48" s="578">
        <f t="shared" ref="M48:R48" si="213">M44+M45+M46</f>
        <v>-55.081071428571441</v>
      </c>
      <c r="N48" s="578">
        <f t="shared" si="213"/>
        <v>-62.191071428571441</v>
      </c>
      <c r="O48" s="578">
        <f t="shared" si="213"/>
        <v>-73.239285714285728</v>
      </c>
      <c r="P48" s="578">
        <f t="shared" si="213"/>
        <v>-72.414285714285725</v>
      </c>
      <c r="Q48" s="578">
        <f t="shared" si="213"/>
        <v>-64.89107142857145</v>
      </c>
      <c r="R48" s="788">
        <f t="shared" si="213"/>
        <v>-75.564285714285731</v>
      </c>
      <c r="S48" s="479"/>
      <c r="T48" s="579">
        <f>SUM(L48:R48)</f>
        <v>-468.24214285714294</v>
      </c>
      <c r="U48" s="578"/>
      <c r="V48" s="788"/>
      <c r="W48" s="479"/>
      <c r="X48" s="579">
        <f t="shared" ref="X48:AD48" si="214">X44+X45+X46</f>
        <v>-72.339285714285722</v>
      </c>
      <c r="Y48" s="578">
        <f t="shared" si="214"/>
        <v>-56.701071428571431</v>
      </c>
      <c r="Z48" s="578">
        <f t="shared" si="214"/>
        <v>-51.961071428571437</v>
      </c>
      <c r="AA48" s="578">
        <f t="shared" si="214"/>
        <v>-82.01428571428572</v>
      </c>
      <c r="AB48" s="578">
        <f t="shared" si="214"/>
        <v>-70.479285714285723</v>
      </c>
      <c r="AC48" s="578">
        <f t="shared" si="214"/>
        <v>-13.38107142857144</v>
      </c>
      <c r="AD48" s="788">
        <f t="shared" si="214"/>
        <v>54.98142857142853</v>
      </c>
      <c r="AE48" s="479"/>
      <c r="AF48" s="579">
        <f>SUM(X48:AD48)</f>
        <v>-291.89464285714291</v>
      </c>
      <c r="AG48" s="578"/>
      <c r="AH48" s="788"/>
      <c r="AI48" s="779"/>
      <c r="AJ48" s="579">
        <f t="shared" ref="AJ48:AP48" si="215">AJ44+AJ45+AJ46</f>
        <v>-66.39107142857145</v>
      </c>
      <c r="AK48" s="576">
        <f t="shared" si="215"/>
        <v>-45.991071428571438</v>
      </c>
      <c r="AL48" s="576">
        <f t="shared" si="215"/>
        <v>-13.771071428571451</v>
      </c>
      <c r="AM48" s="576">
        <f t="shared" si="215"/>
        <v>-72.429285714285726</v>
      </c>
      <c r="AN48" s="576">
        <f t="shared" si="215"/>
        <v>-84.27928571428572</v>
      </c>
      <c r="AO48" s="576">
        <f t="shared" si="215"/>
        <v>-80.964285714285722</v>
      </c>
      <c r="AP48" s="788">
        <f t="shared" si="215"/>
        <v>-51.871071428571447</v>
      </c>
      <c r="AQ48" s="479"/>
      <c r="AR48" s="579">
        <f>SUM(AJ48:AP48)</f>
        <v>-415.69714285714298</v>
      </c>
      <c r="AS48" s="578"/>
      <c r="AT48" s="788"/>
      <c r="AU48" s="479"/>
      <c r="AV48" s="579">
        <f t="shared" ref="AV48:BB48" si="216">AV44+AV45+AV46</f>
        <v>-107.21428571428572</v>
      </c>
      <c r="AW48" s="576">
        <f t="shared" si="216"/>
        <v>-79.40428571428572</v>
      </c>
      <c r="AX48" s="576">
        <f>AX44+AX45+AX46</f>
        <v>-84.519285714285715</v>
      </c>
      <c r="AY48" s="576">
        <f t="shared" si="216"/>
        <v>-71.709285714285727</v>
      </c>
      <c r="AZ48" s="576">
        <f t="shared" si="216"/>
        <v>-61.441071428571441</v>
      </c>
      <c r="BA48" s="576">
        <f t="shared" si="216"/>
        <v>-86.214285714285722</v>
      </c>
      <c r="BB48" s="576">
        <f t="shared" si="216"/>
        <v>-107.21428571428572</v>
      </c>
      <c r="BC48" s="479"/>
      <c r="BD48" s="579">
        <f>SUM(AV48:BB48)</f>
        <v>-597.71678571428583</v>
      </c>
      <c r="BE48" s="578"/>
      <c r="BF48" s="788"/>
      <c r="BH48" s="579">
        <f t="shared" si="192"/>
        <v>-1773.5507142857148</v>
      </c>
      <c r="BI48" s="580"/>
      <c r="BK48" s="581"/>
      <c r="BL48" s="582"/>
      <c r="BM48" s="492"/>
      <c r="BO48" s="61"/>
      <c r="BP48" s="62"/>
      <c r="BQ48" s="62"/>
    </row>
    <row r="49" spans="2:69" ht="4.5" customHeight="1" thickBot="1" x14ac:dyDescent="0.25"/>
    <row r="50" spans="2:69" s="255" customFormat="1" ht="15.75" thickBot="1" x14ac:dyDescent="0.25">
      <c r="B50" s="574"/>
      <c r="C50" s="820"/>
      <c r="D50" s="819"/>
      <c r="E50" s="578"/>
      <c r="F50" s="576"/>
      <c r="G50" s="576"/>
      <c r="H50" s="576"/>
      <c r="I50" s="576"/>
      <c r="J50" s="576"/>
      <c r="K50" s="963"/>
      <c r="L50" s="578">
        <f>L48*100/30</f>
        <v>-216.20357142857145</v>
      </c>
      <c r="M50" s="578">
        <f t="shared" ref="M50:R50" si="217">M48*100/30</f>
        <v>-183.60357142857146</v>
      </c>
      <c r="N50" s="578">
        <f t="shared" si="217"/>
        <v>-207.30357142857147</v>
      </c>
      <c r="O50" s="578">
        <f t="shared" si="217"/>
        <v>-244.13095238095241</v>
      </c>
      <c r="P50" s="578">
        <f t="shared" si="217"/>
        <v>-241.38095238095241</v>
      </c>
      <c r="Q50" s="578">
        <f t="shared" si="217"/>
        <v>-216.3035714285715</v>
      </c>
      <c r="R50" s="968">
        <f t="shared" si="217"/>
        <v>-251.88095238095244</v>
      </c>
      <c r="S50" s="969"/>
      <c r="T50" s="579">
        <f>SUM(L50:R50)</f>
        <v>-1560.8071428571432</v>
      </c>
      <c r="U50" s="578"/>
      <c r="V50" s="788"/>
      <c r="W50" s="479"/>
      <c r="X50" s="579">
        <f t="shared" ref="X50:AD50" si="218">X48*100/30</f>
        <v>-241.13095238095241</v>
      </c>
      <c r="Y50" s="578">
        <f t="shared" si="218"/>
        <v>-189.00357142857143</v>
      </c>
      <c r="Z50" s="578">
        <f t="shared" si="218"/>
        <v>-173.20357142857148</v>
      </c>
      <c r="AA50" s="578">
        <f t="shared" si="218"/>
        <v>-273.38095238095241</v>
      </c>
      <c r="AB50" s="578">
        <f t="shared" si="218"/>
        <v>-234.93095238095242</v>
      </c>
      <c r="AC50" s="578">
        <f t="shared" si="218"/>
        <v>-44.60357142857147</v>
      </c>
      <c r="AD50" s="788">
        <f t="shared" si="218"/>
        <v>183.27142857142843</v>
      </c>
      <c r="AE50" s="479"/>
      <c r="AF50" s="579">
        <f>SUM(X50:AD50)</f>
        <v>-972.98214285714312</v>
      </c>
      <c r="AG50" s="578"/>
      <c r="AH50" s="788"/>
      <c r="AI50" s="779"/>
      <c r="AJ50" s="579">
        <f t="shared" ref="AJ50:AP50" si="219">AJ48*100/30</f>
        <v>-221.3035714285715</v>
      </c>
      <c r="AK50" s="576">
        <f t="shared" si="219"/>
        <v>-153.30357142857147</v>
      </c>
      <c r="AL50" s="576">
        <f t="shared" si="219"/>
        <v>-45.903571428571503</v>
      </c>
      <c r="AM50" s="576">
        <f t="shared" si="219"/>
        <v>-241.43095238095242</v>
      </c>
      <c r="AN50" s="576">
        <f t="shared" si="219"/>
        <v>-280.93095238095242</v>
      </c>
      <c r="AO50" s="576">
        <f>AO48*100/30</f>
        <v>-269.88095238095241</v>
      </c>
      <c r="AP50" s="788">
        <f t="shared" si="219"/>
        <v>-172.9035714285715</v>
      </c>
      <c r="AQ50" s="479"/>
      <c r="AR50" s="579">
        <f>SUM(AJ50:AP50)</f>
        <v>-1385.6571428571433</v>
      </c>
      <c r="AS50" s="578"/>
      <c r="AT50" s="788"/>
      <c r="AU50" s="479"/>
      <c r="AV50" s="579">
        <f t="shared" ref="AV50:BB50" si="220">AV48*100/30</f>
        <v>-357.38095238095241</v>
      </c>
      <c r="AW50" s="576">
        <f t="shared" si="220"/>
        <v>-264.68095238095242</v>
      </c>
      <c r="AX50" s="576">
        <f t="shared" si="220"/>
        <v>-281.73095238095237</v>
      </c>
      <c r="AY50" s="576">
        <f t="shared" si="220"/>
        <v>-239.03095238095241</v>
      </c>
      <c r="AZ50" s="576">
        <f t="shared" si="220"/>
        <v>-204.80357142857147</v>
      </c>
      <c r="BA50" s="576">
        <f t="shared" si="220"/>
        <v>-287.38095238095241</v>
      </c>
      <c r="BB50" s="576">
        <f t="shared" si="220"/>
        <v>-357.38095238095241</v>
      </c>
      <c r="BC50" s="479"/>
      <c r="BD50" s="579">
        <f>SUM(AV50:BB50)</f>
        <v>-1992.389285714286</v>
      </c>
      <c r="BE50" s="578"/>
      <c r="BF50" s="788"/>
      <c r="BH50" s="579">
        <f>SUM(L50:R50)+SUM(X50:AD50)+SUM(AJ50:AP50)+SUM(AV50:BB50)</f>
        <v>-5911.8357142857149</v>
      </c>
      <c r="BI50" s="973"/>
      <c r="BK50" s="581"/>
      <c r="BL50" s="582"/>
      <c r="BM50" s="492"/>
      <c r="BO50" s="61"/>
      <c r="BP50" s="62"/>
      <c r="BQ50" s="62"/>
    </row>
    <row r="54" spans="2:69" x14ac:dyDescent="0.2">
      <c r="AK54" s="171"/>
    </row>
  </sheetData>
  <mergeCells count="20">
    <mergeCell ref="AF2:AH2"/>
    <mergeCell ref="AR2:AT2"/>
    <mergeCell ref="BD2:BF2"/>
    <mergeCell ref="BK7:BL7"/>
    <mergeCell ref="BP10:BP12"/>
    <mergeCell ref="BK27:BL27"/>
    <mergeCell ref="BO28:BO29"/>
    <mergeCell ref="C1:C2"/>
    <mergeCell ref="E1:K1"/>
    <mergeCell ref="BG1:BH1"/>
    <mergeCell ref="BI1:BJ1"/>
    <mergeCell ref="BK1:BM2"/>
    <mergeCell ref="E2:K2"/>
    <mergeCell ref="BH2:BH6"/>
    <mergeCell ref="BI2:BI6"/>
    <mergeCell ref="L2:R2"/>
    <mergeCell ref="X2:AD2"/>
    <mergeCell ref="AJ2:AP2"/>
    <mergeCell ref="AV2:BB2"/>
    <mergeCell ref="T2:V2"/>
  </mergeCells>
  <conditionalFormatting sqref="BI45">
    <cfRule type="cellIs" dxfId="384" priority="1" operator="greaterThan">
      <formula>0</formula>
    </cfRule>
    <cfRule type="cellIs" dxfId="383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D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(2-19) '!BC26:BC26</xm:f>
              <xm:sqref>BC27</xm:sqref>
            </x14:sparkline>
            <x14:sparkline>
              <xm:f>'E&amp;M SHOP INCOME (2-19) '!BD26:BD26</xm:f>
              <xm:sqref>BD27</xm:sqref>
            </x14:sparkline>
            <x14:sparkline>
              <xm:f>'E&amp;M SHOP INCOME (2-19) '!BE26:BE26</xm:f>
              <xm:sqref>BE27</xm:sqref>
            </x14:sparkline>
            <x14:sparkline>
              <xm:f>'E&amp;M SHOP INCOME (2-19) '!BF26:BF26</xm:f>
              <xm:sqref>BF27</xm:sqref>
            </x14:sparkline>
          </x14:sparklines>
        </x14:sparklineGroup>
        <x14:sparklineGroup type="stacked" displayEmptyCellsAs="gap" negative="1" xr2:uid="{00000000-0003-0000-0D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(2-19) '!AQ26:AQ26</xm:f>
              <xm:sqref>AQ27</xm:sqref>
            </x14:sparkline>
            <x14:sparkline>
              <xm:f>'E&amp;M SHOP INCOME (2-19) '!AR26:AR26</xm:f>
              <xm:sqref>AR27</xm:sqref>
            </x14:sparkline>
            <x14:sparkline>
              <xm:f>'E&amp;M SHOP INCOME (2-19) '!AS26:AS26</xm:f>
              <xm:sqref>AS27</xm:sqref>
            </x14:sparkline>
            <x14:sparkline>
              <xm:f>'E&amp;M SHOP INCOME (2-19) '!AT26:AT26</xm:f>
              <xm:sqref>AT27</xm:sqref>
            </x14:sparkline>
            <x14:sparkline>
              <xm:f>'E&amp;M SHOP INCOME (2-19) '!AU26:AU26</xm:f>
              <xm:sqref>AU27</xm:sqref>
            </x14:sparkline>
          </x14:sparklines>
        </x14:sparklineGroup>
        <x14:sparklineGroup type="stacked" displayEmptyCellsAs="gap" negative="1" xr2:uid="{00000000-0003-0000-0D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(2-19) '!AE26:AE26</xm:f>
              <xm:sqref>AE27</xm:sqref>
            </x14:sparkline>
            <x14:sparkline>
              <xm:f>'E&amp;M SHOP INCOME (2-19) '!AF26:AF26</xm:f>
              <xm:sqref>AF27</xm:sqref>
            </x14:sparkline>
            <x14:sparkline>
              <xm:f>'E&amp;M SHOP INCOME (2-19) '!AG26:AG26</xm:f>
              <xm:sqref>AG27</xm:sqref>
            </x14:sparkline>
            <x14:sparkline>
              <xm:f>'E&amp;M SHOP INCOME (2-19) '!AH26:AH26</xm:f>
              <xm:sqref>AH27</xm:sqref>
            </x14:sparkline>
            <x14:sparkline>
              <xm:f>'E&amp;M SHOP INCOME (2-19) '!AI26:AI26</xm:f>
              <xm:sqref>AI27</xm:sqref>
            </x14:sparkline>
          </x14:sparklines>
        </x14:sparklineGroup>
        <x14:sparklineGroup type="stacked" displayEmptyCellsAs="gap" negative="1" xr2:uid="{00000000-0003-0000-0D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(2-19) '!L26:L26</xm:f>
              <xm:sqref>L27</xm:sqref>
            </x14:sparkline>
            <x14:sparkline>
              <xm:f>'E&amp;M SHOP INCOME (2-19) '!M26:M26</xm:f>
              <xm:sqref>M27</xm:sqref>
            </x14:sparkline>
            <x14:sparkline>
              <xm:f>'E&amp;M SHOP INCOME (2-19) '!N26:N26</xm:f>
              <xm:sqref>N27</xm:sqref>
            </x14:sparkline>
            <x14:sparkline>
              <xm:f>'E&amp;M SHOP INCOME (2-19) '!O26:O26</xm:f>
              <xm:sqref>O27</xm:sqref>
            </x14:sparkline>
            <x14:sparkline>
              <xm:f>'E&amp;M SHOP INCOME (2-19) '!P26:P26</xm:f>
              <xm:sqref>P27</xm:sqref>
            </x14:sparkline>
            <x14:sparkline>
              <xm:f>'E&amp;M SHOP INCOME (2-19) '!Q26:Q26</xm:f>
              <xm:sqref>Q27</xm:sqref>
            </x14:sparkline>
            <x14:sparkline>
              <xm:f>'E&amp;M SHOP INCOME (2-19) '!R26:R26</xm:f>
              <xm:sqref>R27</xm:sqref>
            </x14:sparkline>
            <x14:sparkline>
              <xm:f>'E&amp;M SHOP INCOME (2-19) '!S26:S26</xm:f>
              <xm:sqref>S27</xm:sqref>
            </x14:sparkline>
            <x14:sparkline>
              <xm:f>'E&amp;M SHOP INCOME (2-19) '!T26:T26</xm:f>
              <xm:sqref>T27</xm:sqref>
            </x14:sparkline>
            <x14:sparkline>
              <xm:f>'E&amp;M SHOP INCOME (2-19) '!U26:U26</xm:f>
              <xm:sqref>U27</xm:sqref>
            </x14:sparkline>
            <x14:sparkline>
              <xm:f>'E&amp;M SHOP INCOME (2-19) '!V26:V26</xm:f>
              <xm:sqref>V27</xm:sqref>
            </x14:sparkline>
            <x14:sparkline>
              <xm:f>'E&amp;M SHOP INCOME (2-19) '!W26:W26</xm:f>
              <xm:sqref>W27</xm:sqref>
            </x14:sparkline>
            <x14:sparkline>
              <xm:f>'E&amp;M SHOP INCOME (2-19) '!X26:X26</xm:f>
              <xm:sqref>X27</xm:sqref>
            </x14:sparkline>
            <x14:sparkline>
              <xm:f>'E&amp;M SHOP INCOME (2-19) '!Y26:Y26</xm:f>
              <xm:sqref>Y27</xm:sqref>
            </x14:sparkline>
            <x14:sparkline>
              <xm:f>'E&amp;M SHOP INCOME (2-19) '!Z26:Z26</xm:f>
              <xm:sqref>Z27</xm:sqref>
            </x14:sparkline>
            <x14:sparkline>
              <xm:f>'E&amp;M SHOP INCOME (2-19) '!AA26:AA26</xm:f>
              <xm:sqref>AA27</xm:sqref>
            </x14:sparkline>
            <x14:sparkline>
              <xm:f>'E&amp;M SHOP INCOME (2-19) '!AB26:AB26</xm:f>
              <xm:sqref>AB27</xm:sqref>
            </x14:sparkline>
            <x14:sparkline>
              <xm:f>'E&amp;M SHOP INCOME (2-19) '!AC26:AC26</xm:f>
              <xm:sqref>AC27</xm:sqref>
            </x14:sparkline>
            <x14:sparkline>
              <xm:f>'E&amp;M SHOP INCOME (2-19) '!AD26:AD26</xm:f>
              <xm:sqref>AD27</xm:sqref>
            </x14:sparkline>
            <x14:sparkline>
              <xm:f>'E&amp;M SHOP INCOME (2-19) '!AJ26:AJ26</xm:f>
              <xm:sqref>AJ27</xm:sqref>
            </x14:sparkline>
            <x14:sparkline>
              <xm:f>'E&amp;M SHOP INCOME (2-19) '!AK26:AK26</xm:f>
              <xm:sqref>AK27</xm:sqref>
            </x14:sparkline>
            <x14:sparkline>
              <xm:f>'E&amp;M SHOP INCOME (2-19) '!AL26:AL26</xm:f>
              <xm:sqref>AL27</xm:sqref>
            </x14:sparkline>
            <x14:sparkline>
              <xm:f>'E&amp;M SHOP INCOME (2-19) '!AM26:AM26</xm:f>
              <xm:sqref>AM27</xm:sqref>
            </x14:sparkline>
            <x14:sparkline>
              <xm:f>'E&amp;M SHOP INCOME (2-19) '!AN26:AN26</xm:f>
              <xm:sqref>AN27</xm:sqref>
            </x14:sparkline>
            <x14:sparkline>
              <xm:f>'E&amp;M SHOP INCOME (2-19) '!AO26:AO26</xm:f>
              <xm:sqref>AO27</xm:sqref>
            </x14:sparkline>
            <x14:sparkline>
              <xm:f>'E&amp;M SHOP INCOME (2-19) '!AP26:AP26</xm:f>
              <xm:sqref>AP27</xm:sqref>
            </x14:sparkline>
            <x14:sparkline>
              <xm:f>'E&amp;M SHOP INCOME (2-19) '!AV26:AV26</xm:f>
              <xm:sqref>AV27</xm:sqref>
            </x14:sparkline>
            <x14:sparkline>
              <xm:f>'E&amp;M SHOP INCOME (2-19) '!AW26:AW26</xm:f>
              <xm:sqref>AW27</xm:sqref>
            </x14:sparkline>
            <x14:sparkline>
              <xm:f>'E&amp;M SHOP INCOME (2-19) '!AX26:AX26</xm:f>
              <xm:sqref>AX27</xm:sqref>
            </x14:sparkline>
            <x14:sparkline>
              <xm:f>'E&amp;M SHOP INCOME (2-19) '!AY26:AY26</xm:f>
              <xm:sqref>AY27</xm:sqref>
            </x14:sparkline>
            <x14:sparkline>
              <xm:f>'E&amp;M SHOP INCOME (2-19) '!AZ26:AZ26</xm:f>
              <xm:sqref>AZ27</xm:sqref>
            </x14:sparkline>
            <x14:sparkline>
              <xm:f>'E&amp;M SHOP INCOME (2-19) '!BA26:BA26</xm:f>
              <xm:sqref>BA27</xm:sqref>
            </x14:sparkline>
            <x14:sparkline>
              <xm:f>'E&amp;M SHOP INCOME (2-19) '!BB26:BB26</xm:f>
              <xm:sqref>BB27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FP57"/>
  <sheetViews>
    <sheetView zoomScale="80" zoomScaleNormal="80" zoomScaleSheetLayoutView="80" workbookViewId="0">
      <pane xSplit="11" ySplit="6" topLeftCell="BS7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830" customWidth="1"/>
    <col min="2" max="2" width="4.75" style="830" customWidth="1"/>
    <col min="3" max="3" width="42.875" style="830" bestFit="1" customWidth="1"/>
    <col min="4" max="4" width="0.875" style="832" customWidth="1"/>
    <col min="5" max="5" width="10" style="830" bestFit="1" customWidth="1"/>
    <col min="6" max="9" width="11.625" style="830" hidden="1" customWidth="1"/>
    <col min="10" max="10" width="11.625" style="830" bestFit="1" customWidth="1"/>
    <col min="11" max="11" width="8.75" style="830" bestFit="1" customWidth="1"/>
    <col min="12" max="12" width="0.875" style="984" hidden="1" customWidth="1"/>
    <col min="13" max="19" width="8.875" style="830" hidden="1" customWidth="1"/>
    <col min="20" max="20" width="0.875" style="832" customWidth="1"/>
    <col min="21" max="21" width="10" style="830" bestFit="1" customWidth="1"/>
    <col min="22" max="22" width="7.875" style="830" bestFit="1" customWidth="1"/>
    <col min="23" max="23" width="9.25" style="830" bestFit="1" customWidth="1"/>
    <col min="24" max="24" width="0.875" style="832" hidden="1" customWidth="1"/>
    <col min="25" max="31" width="8.875" style="830" hidden="1" customWidth="1"/>
    <col min="32" max="32" width="0.875" style="832" customWidth="1"/>
    <col min="33" max="33" width="10" style="918" bestFit="1" customWidth="1"/>
    <col min="34" max="34" width="7.875" style="918" bestFit="1" customWidth="1"/>
    <col min="35" max="35" width="8.125" style="918" customWidth="1"/>
    <col min="36" max="36" width="0.875" style="832" hidden="1" customWidth="1"/>
    <col min="37" max="37" width="8.875" style="830" hidden="1" customWidth="1"/>
    <col min="38" max="38" width="8.625" style="830" hidden="1" customWidth="1"/>
    <col min="39" max="39" width="8.875" style="830" hidden="1" customWidth="1"/>
    <col min="40" max="40" width="8.125" style="830" hidden="1" customWidth="1"/>
    <col min="41" max="41" width="8.875" style="830" hidden="1" customWidth="1"/>
    <col min="42" max="43" width="8.125" style="830" hidden="1" customWidth="1"/>
    <col min="44" max="44" width="0.875" style="832" customWidth="1"/>
    <col min="45" max="45" width="8.875" style="918" bestFit="1" customWidth="1"/>
    <col min="46" max="46" width="8.125" style="918" bestFit="1" customWidth="1"/>
    <col min="47" max="47" width="8.875" style="918" bestFit="1" customWidth="1"/>
    <col min="48" max="48" width="0.875" style="832" hidden="1" customWidth="1"/>
    <col min="49" max="55" width="8.875" style="830" hidden="1" customWidth="1"/>
    <col min="56" max="56" width="0.875" style="832" customWidth="1"/>
    <col min="57" max="57" width="10" style="918" bestFit="1" customWidth="1"/>
    <col min="58" max="58" width="8.125" style="918" customWidth="1"/>
    <col min="59" max="59" width="8.125" style="918" bestFit="1" customWidth="1"/>
    <col min="60" max="60" width="0.875" style="830" customWidth="1"/>
    <col min="61" max="63" width="8.875" style="830" bestFit="1" customWidth="1"/>
    <col min="64" max="64" width="0.875" style="830" customWidth="1"/>
    <col min="65" max="65" width="8.875" style="918" bestFit="1" customWidth="1"/>
    <col min="66" max="66" width="7.875" style="918" customWidth="1"/>
    <col min="67" max="67" width="7.875" style="918" bestFit="1" customWidth="1"/>
    <col min="68" max="68" width="0.875" style="830" customWidth="1"/>
    <col min="69" max="69" width="10" style="830" bestFit="1" customWidth="1"/>
    <col min="70" max="70" width="9.875" style="830" bestFit="1" customWidth="1"/>
    <col min="71" max="71" width="0.875" style="830" customWidth="1"/>
    <col min="72" max="72" width="9.25" style="830" bestFit="1" customWidth="1"/>
    <col min="73" max="73" width="10" style="830" bestFit="1" customWidth="1"/>
    <col min="74" max="74" width="11.625" style="830" bestFit="1" customWidth="1"/>
    <col min="75" max="75" width="1.875" style="830" customWidth="1"/>
    <col min="76" max="76" width="11.25" style="830" bestFit="1" customWidth="1"/>
    <col min="77" max="77" width="12" style="830" bestFit="1" customWidth="1"/>
    <col min="78" max="78" width="12.25" style="830" bestFit="1" customWidth="1"/>
    <col min="79" max="79" width="12.875" style="830" bestFit="1" customWidth="1"/>
    <col min="80" max="80" width="12" style="830" customWidth="1"/>
    <col min="81" max="81" width="11.25" style="830" bestFit="1" customWidth="1"/>
    <col min="82" max="82" width="10.875" style="830" customWidth="1"/>
    <col min="83" max="83" width="10" style="830" bestFit="1" customWidth="1"/>
    <col min="84" max="85" width="12" style="830" bestFit="1" customWidth="1"/>
    <col min="86" max="86" width="11" style="830" bestFit="1" customWidth="1"/>
    <col min="87" max="87" width="10" style="830" bestFit="1" customWidth="1"/>
    <col min="88" max="89" width="9.125" style="830" customWidth="1"/>
    <col min="90" max="16384" width="9.125" style="830"/>
  </cols>
  <sheetData>
    <row r="1" spans="1:172" ht="20.25" customHeight="1" thickBot="1" x14ac:dyDescent="0.25">
      <c r="C1" s="4456">
        <v>43525</v>
      </c>
      <c r="D1" s="811"/>
      <c r="E1" s="4466" t="s">
        <v>40</v>
      </c>
      <c r="F1" s="4466"/>
      <c r="G1" s="4466"/>
      <c r="H1" s="4466"/>
      <c r="I1" s="4466"/>
      <c r="J1" s="4466"/>
      <c r="K1" s="4467"/>
      <c r="L1" s="983"/>
      <c r="M1" s="133"/>
      <c r="N1" s="309"/>
      <c r="O1" s="134"/>
      <c r="Z1" s="309"/>
      <c r="AO1" s="914"/>
      <c r="AP1" s="914"/>
      <c r="AQ1" s="914"/>
      <c r="AW1" s="914"/>
      <c r="AX1" s="915"/>
      <c r="BA1" s="277"/>
      <c r="BJ1" s="309"/>
      <c r="BP1" s="4483" t="s">
        <v>90</v>
      </c>
      <c r="BQ1" s="4483"/>
      <c r="BR1" s="4483"/>
      <c r="BS1" s="4491"/>
      <c r="BT1" s="4492">
        <f>BX11/31</f>
        <v>1</v>
      </c>
      <c r="BU1" s="4493"/>
      <c r="BV1" s="4494"/>
      <c r="BX1" s="503">
        <f>BX2-BX3</f>
        <v>307.23333333333312</v>
      </c>
      <c r="BY1" s="504">
        <f>BX1*30%</f>
        <v>92.169999999999931</v>
      </c>
      <c r="BZ1" s="590">
        <f>BX1/BX3</f>
        <v>8.0847331257400942E-2</v>
      </c>
      <c r="CA1" s="693"/>
      <c r="CB1" s="703">
        <f>CB2-CB3</f>
        <v>-1155.9333333333334</v>
      </c>
      <c r="CC1" s="704">
        <f>CB1*30%</f>
        <v>-346.78000000000003</v>
      </c>
      <c r="CD1" s="705">
        <f>CB1/CB3</f>
        <v>-0.21962001266624448</v>
      </c>
      <c r="CE1" s="694"/>
      <c r="CF1" s="703">
        <f>CF2-CF3</f>
        <v>-5892.6</v>
      </c>
      <c r="CG1" s="704">
        <f>CF1*30%</f>
        <v>-1767.78</v>
      </c>
      <c r="CH1" s="705">
        <f>CF1/CF3</f>
        <v>-0.58926000000000001</v>
      </c>
      <c r="CI1" s="694"/>
    </row>
    <row r="2" spans="1:172" ht="20.25" customHeight="1" thickBot="1" x14ac:dyDescent="0.25">
      <c r="C2" s="4457"/>
      <c r="D2" s="829"/>
      <c r="E2" s="4466" t="s">
        <v>41</v>
      </c>
      <c r="F2" s="4466"/>
      <c r="G2" s="4466"/>
      <c r="H2" s="4466"/>
      <c r="I2" s="4466"/>
      <c r="J2" s="4466"/>
      <c r="K2" s="4467"/>
      <c r="L2" s="983"/>
      <c r="M2" s="4511" t="s">
        <v>135</v>
      </c>
      <c r="N2" s="4511"/>
      <c r="O2" s="4511"/>
      <c r="P2" s="4511"/>
      <c r="Q2" s="4511"/>
      <c r="R2" s="4511"/>
      <c r="S2" s="4511"/>
      <c r="T2" s="919"/>
      <c r="U2" s="4512" t="s">
        <v>139</v>
      </c>
      <c r="V2" s="4513"/>
      <c r="W2" s="4514"/>
      <c r="X2" s="923"/>
      <c r="Y2" s="4511" t="s">
        <v>136</v>
      </c>
      <c r="Z2" s="4511"/>
      <c r="AA2" s="4511"/>
      <c r="AB2" s="4511"/>
      <c r="AC2" s="4511"/>
      <c r="AD2" s="4511"/>
      <c r="AE2" s="4511"/>
      <c r="AF2" s="776"/>
      <c r="AG2" s="4512" t="s">
        <v>140</v>
      </c>
      <c r="AH2" s="4513"/>
      <c r="AI2" s="4514"/>
      <c r="AJ2" s="776"/>
      <c r="AK2" s="4511" t="s">
        <v>137</v>
      </c>
      <c r="AL2" s="4511"/>
      <c r="AM2" s="4511"/>
      <c r="AN2" s="4511"/>
      <c r="AO2" s="4511"/>
      <c r="AP2" s="4511"/>
      <c r="AQ2" s="4511"/>
      <c r="AR2" s="776"/>
      <c r="AS2" s="4512" t="s">
        <v>141</v>
      </c>
      <c r="AT2" s="4513"/>
      <c r="AU2" s="4514"/>
      <c r="AV2" s="776"/>
      <c r="AW2" s="4511" t="s">
        <v>138</v>
      </c>
      <c r="AX2" s="4511"/>
      <c r="AY2" s="4511"/>
      <c r="AZ2" s="4511"/>
      <c r="BA2" s="4511"/>
      <c r="BB2" s="4511"/>
      <c r="BC2" s="4511"/>
      <c r="BD2" s="776"/>
      <c r="BE2" s="4512" t="s">
        <v>142</v>
      </c>
      <c r="BF2" s="4513"/>
      <c r="BG2" s="4514"/>
      <c r="BH2" s="831"/>
      <c r="BI2" s="4516" t="s">
        <v>145</v>
      </c>
      <c r="BJ2" s="4517"/>
      <c r="BK2" s="4518"/>
      <c r="BL2" s="831"/>
      <c r="BM2" s="4512" t="s">
        <v>146</v>
      </c>
      <c r="BN2" s="4513"/>
      <c r="BO2" s="4514"/>
      <c r="BQ2" s="4473" t="s">
        <v>54</v>
      </c>
      <c r="BR2" s="4476" t="s">
        <v>61</v>
      </c>
      <c r="BT2" s="4495"/>
      <c r="BU2" s="4496"/>
      <c r="BV2" s="4497"/>
      <c r="BX2" s="505">
        <f>BT3/BX11*31</f>
        <v>4107.3999999999996</v>
      </c>
      <c r="BY2" s="506">
        <f>BX2*30%</f>
        <v>1232.2199999999998</v>
      </c>
      <c r="BZ2" s="507">
        <f>BY2-E25</f>
        <v>92.169999999999845</v>
      </c>
      <c r="CA2" s="695"/>
      <c r="CB2" s="756">
        <f>BT3/BX11*31</f>
        <v>4107.3999999999996</v>
      </c>
      <c r="CC2" s="757">
        <f>CB2*30%</f>
        <v>1232.2199999999998</v>
      </c>
      <c r="CD2" s="761">
        <f>CC2-E38</f>
        <v>-4031.1133333333332</v>
      </c>
      <c r="CE2" s="696"/>
      <c r="CF2" s="756">
        <f>BT3/BX11*31</f>
        <v>4107.3999999999996</v>
      </c>
      <c r="CG2" s="757">
        <f>CF2*30%</f>
        <v>1232.2199999999998</v>
      </c>
      <c r="CH2" s="702">
        <f>CG2-E42</f>
        <v>295.72000000000037</v>
      </c>
      <c r="CI2" s="696"/>
    </row>
    <row r="3" spans="1:172" s="426" customFormat="1" ht="15" customHeight="1" x14ac:dyDescent="0.2">
      <c r="C3" s="982" t="s">
        <v>130</v>
      </c>
      <c r="D3" s="812"/>
      <c r="E3" s="132"/>
      <c r="F3" s="132"/>
      <c r="G3" s="132"/>
      <c r="H3" s="132"/>
      <c r="I3" s="132"/>
      <c r="J3" s="132"/>
      <c r="K3" s="428"/>
      <c r="L3" s="480"/>
      <c r="M3" s="132">
        <v>58.75</v>
      </c>
      <c r="N3" s="132">
        <v>107.1</v>
      </c>
      <c r="O3" s="132">
        <v>151.6</v>
      </c>
      <c r="P3" s="132">
        <v>158.05000000000001</v>
      </c>
      <c r="Q3" s="132">
        <v>87.5</v>
      </c>
      <c r="R3" s="132">
        <v>153.75</v>
      </c>
      <c r="S3" s="132">
        <v>96.25</v>
      </c>
      <c r="T3" s="920"/>
      <c r="U3" s="925">
        <f>SUM(M3:S3)</f>
        <v>813</v>
      </c>
      <c r="V3" s="132">
        <f>J27*7</f>
        <v>858.10215053763432</v>
      </c>
      <c r="W3" s="926">
        <f>U3-V3</f>
        <v>-45.102150537634316</v>
      </c>
      <c r="X3" s="779"/>
      <c r="Y3" s="132">
        <v>0</v>
      </c>
      <c r="Z3" s="132">
        <v>172.45</v>
      </c>
      <c r="AA3" s="132">
        <v>106.25</v>
      </c>
      <c r="AB3" s="132">
        <v>140.19999999999999</v>
      </c>
      <c r="AC3" s="132">
        <v>148.4</v>
      </c>
      <c r="AD3" s="132">
        <v>173.15</v>
      </c>
      <c r="AE3" s="132">
        <v>79.2</v>
      </c>
      <c r="AF3" s="777"/>
      <c r="AG3" s="925">
        <f>SUM(Y3:AE3)</f>
        <v>819.65</v>
      </c>
      <c r="AH3" s="132">
        <f>J27*7</f>
        <v>858.10215053763432</v>
      </c>
      <c r="AI3" s="926">
        <f>AG3-AH3</f>
        <v>-38.452150537634338</v>
      </c>
      <c r="AJ3" s="777"/>
      <c r="AK3" s="132">
        <v>63.65</v>
      </c>
      <c r="AL3" s="132">
        <v>65.75</v>
      </c>
      <c r="AM3" s="132">
        <v>106.5</v>
      </c>
      <c r="AN3" s="132">
        <v>242.5</v>
      </c>
      <c r="AO3" s="132">
        <v>158.05000000000001</v>
      </c>
      <c r="AP3" s="132">
        <v>352</v>
      </c>
      <c r="AQ3" s="132">
        <v>414.55</v>
      </c>
      <c r="AR3" s="777"/>
      <c r="AS3" s="925">
        <f>SUM(AK3:AQ3)</f>
        <v>1403</v>
      </c>
      <c r="AT3" s="132">
        <f>J27*7</f>
        <v>858.10215053763432</v>
      </c>
      <c r="AU3" s="926">
        <f>AS3-AT3</f>
        <v>544.89784946236568</v>
      </c>
      <c r="AV3" s="777"/>
      <c r="AW3" s="132">
        <v>70</v>
      </c>
      <c r="AX3" s="132">
        <v>175.4</v>
      </c>
      <c r="AY3" s="132">
        <v>180.1</v>
      </c>
      <c r="AZ3" s="132">
        <v>103.5</v>
      </c>
      <c r="BA3" s="132">
        <v>113.65</v>
      </c>
      <c r="BB3" s="132">
        <v>132</v>
      </c>
      <c r="BC3" s="132">
        <v>117.35</v>
      </c>
      <c r="BD3" s="777"/>
      <c r="BE3" s="925">
        <f>SUM(AW3:BC3)</f>
        <v>892</v>
      </c>
      <c r="BF3" s="132">
        <f>J27*7</f>
        <v>858.10215053763432</v>
      </c>
      <c r="BG3" s="926">
        <f>BE3-BF3</f>
        <v>33.897849462365684</v>
      </c>
      <c r="BH3" s="479"/>
      <c r="BI3" s="132">
        <v>40.75</v>
      </c>
      <c r="BJ3" s="132">
        <v>99</v>
      </c>
      <c r="BK3" s="132">
        <v>40</v>
      </c>
      <c r="BL3" s="479"/>
      <c r="BM3" s="925">
        <f>SUM(BI3:BK3)</f>
        <v>179.75</v>
      </c>
      <c r="BN3" s="132">
        <f>S27*0</f>
        <v>0</v>
      </c>
      <c r="BO3" s="926">
        <f>BM3-BN3</f>
        <v>179.75</v>
      </c>
      <c r="BP3" s="431"/>
      <c r="BQ3" s="4474"/>
      <c r="BR3" s="4477"/>
      <c r="BS3" s="431"/>
      <c r="BT3" s="467">
        <f>SUM(M3:S3)+SUM(Y3:AE3)+SUM(AK3:AQ3)+SUM(AW3:BC3)+SUM(BI3:BK3)</f>
        <v>4107.3999999999996</v>
      </c>
      <c r="BU3" s="493">
        <f>BT3/BX3</f>
        <v>1.080847331257401</v>
      </c>
      <c r="BV3" s="496">
        <f>BT3/1</f>
        <v>4107.3999999999996</v>
      </c>
      <c r="BX3" s="467">
        <f>E46</f>
        <v>3800.1666666666665</v>
      </c>
      <c r="BY3" s="474">
        <f>BX3-BT3</f>
        <v>-307.23333333333312</v>
      </c>
      <c r="BZ3" s="496">
        <f>BY3/BX14</f>
        <v>-307.23333333333312</v>
      </c>
      <c r="CA3" s="697">
        <f>BZ3-J46</f>
        <v>-429.81935483870944</v>
      </c>
      <c r="CB3" s="467">
        <f>E47</f>
        <v>5263.333333333333</v>
      </c>
      <c r="CC3" s="690">
        <f>CB3-BT3</f>
        <v>1155.9333333333334</v>
      </c>
      <c r="CD3" s="700">
        <f>CC3/BX14</f>
        <v>1155.9333333333334</v>
      </c>
      <c r="CE3" s="473">
        <f>CD3-J47</f>
        <v>986.14838709677429</v>
      </c>
      <c r="CF3" s="467">
        <f>E51</f>
        <v>10000</v>
      </c>
      <c r="CG3" s="690">
        <f>CF3-BT3</f>
        <v>5892.6</v>
      </c>
      <c r="CH3" s="700">
        <f>CG3/BX14</f>
        <v>5892.6</v>
      </c>
      <c r="CI3" s="473">
        <f>CH3-J51</f>
        <v>5570.0193548387097</v>
      </c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  <c r="FP3" s="470"/>
    </row>
    <row r="4" spans="1:172" s="432" customFormat="1" ht="15.75" thickBot="1" x14ac:dyDescent="0.25">
      <c r="C4" s="433" t="s">
        <v>89</v>
      </c>
      <c r="D4" s="780"/>
      <c r="E4" s="347"/>
      <c r="F4" s="347"/>
      <c r="G4" s="347"/>
      <c r="H4" s="347"/>
      <c r="I4" s="347"/>
      <c r="J4" s="347">
        <f>BQ27</f>
        <v>92.17</v>
      </c>
      <c r="K4" s="434"/>
      <c r="L4" s="482"/>
      <c r="M4" s="347">
        <f>M3*30%</f>
        <v>17.625</v>
      </c>
      <c r="N4" s="347">
        <f>N3*30%</f>
        <v>32.129999999999995</v>
      </c>
      <c r="O4" s="347">
        <f>O3*30%</f>
        <v>45.48</v>
      </c>
      <c r="P4" s="347">
        <f t="shared" ref="P4:BC4" si="0">P3*30%</f>
        <v>47.414999999999999</v>
      </c>
      <c r="Q4" s="347">
        <f t="shared" si="0"/>
        <v>26.25</v>
      </c>
      <c r="R4" s="347">
        <f t="shared" si="0"/>
        <v>46.125</v>
      </c>
      <c r="S4" s="347">
        <f>S3*30%</f>
        <v>28.875</v>
      </c>
      <c r="T4" s="921"/>
      <c r="U4" s="927">
        <f t="shared" ref="U4" si="1">U3*30%</f>
        <v>243.89999999999998</v>
      </c>
      <c r="V4" s="347">
        <f>V3*30%</f>
        <v>257.43064516129027</v>
      </c>
      <c r="W4" s="928">
        <f>W3*30%</f>
        <v>-13.530645161290295</v>
      </c>
      <c r="X4" s="781"/>
      <c r="Y4" s="347">
        <f t="shared" si="0"/>
        <v>0</v>
      </c>
      <c r="Z4" s="347">
        <f t="shared" si="0"/>
        <v>51.734999999999992</v>
      </c>
      <c r="AA4" s="347">
        <f t="shared" si="0"/>
        <v>31.875</v>
      </c>
      <c r="AB4" s="347">
        <f t="shared" si="0"/>
        <v>42.059999999999995</v>
      </c>
      <c r="AC4" s="347">
        <f t="shared" si="0"/>
        <v>44.52</v>
      </c>
      <c r="AD4" s="347">
        <f t="shared" si="0"/>
        <v>51.945</v>
      </c>
      <c r="AE4" s="347">
        <f t="shared" si="0"/>
        <v>23.76</v>
      </c>
      <c r="AF4" s="778"/>
      <c r="AG4" s="927">
        <f>SUM(Y4:AE4)</f>
        <v>245.89499999999998</v>
      </c>
      <c r="AH4" s="347">
        <f>AH3*30%</f>
        <v>257.43064516129027</v>
      </c>
      <c r="AI4" s="928">
        <f>AI3*30%</f>
        <v>-11.535645161290301</v>
      </c>
      <c r="AJ4" s="778"/>
      <c r="AK4" s="347">
        <f t="shared" si="0"/>
        <v>19.094999999999999</v>
      </c>
      <c r="AL4" s="347">
        <f t="shared" si="0"/>
        <v>19.724999999999998</v>
      </c>
      <c r="AM4" s="347">
        <f t="shared" si="0"/>
        <v>31.95</v>
      </c>
      <c r="AN4" s="347">
        <f t="shared" si="0"/>
        <v>72.75</v>
      </c>
      <c r="AO4" s="347">
        <f t="shared" si="0"/>
        <v>47.414999999999999</v>
      </c>
      <c r="AP4" s="347">
        <f t="shared" si="0"/>
        <v>105.6</v>
      </c>
      <c r="AQ4" s="347">
        <f t="shared" si="0"/>
        <v>124.36499999999999</v>
      </c>
      <c r="AR4" s="778"/>
      <c r="AS4" s="927">
        <f>SUM(AK4:AQ4)</f>
        <v>420.9</v>
      </c>
      <c r="AT4" s="347">
        <f>AT3*30%</f>
        <v>257.43064516129027</v>
      </c>
      <c r="AU4" s="928">
        <f>AS4-AT4</f>
        <v>163.46935483870971</v>
      </c>
      <c r="AV4" s="778"/>
      <c r="AW4" s="347">
        <f t="shared" si="0"/>
        <v>21</v>
      </c>
      <c r="AX4" s="347">
        <f t="shared" si="0"/>
        <v>52.62</v>
      </c>
      <c r="AY4" s="347">
        <f t="shared" si="0"/>
        <v>54.029999999999994</v>
      </c>
      <c r="AZ4" s="347">
        <f t="shared" si="0"/>
        <v>31.049999999999997</v>
      </c>
      <c r="BA4" s="347">
        <f t="shared" si="0"/>
        <v>34.094999999999999</v>
      </c>
      <c r="BB4" s="347">
        <f t="shared" si="0"/>
        <v>39.6</v>
      </c>
      <c r="BC4" s="347">
        <f t="shared" si="0"/>
        <v>35.204999999999998</v>
      </c>
      <c r="BD4" s="778"/>
      <c r="BE4" s="927">
        <f>SUM(AW4:BC4)</f>
        <v>267.59999999999997</v>
      </c>
      <c r="BF4" s="347">
        <f>BF3*30%</f>
        <v>257.43064516129027</v>
      </c>
      <c r="BG4" s="928">
        <f>BE4-BF4</f>
        <v>10.169354838709694</v>
      </c>
      <c r="BH4" s="481"/>
      <c r="BI4" s="347">
        <f t="shared" ref="BI4:BK4" si="2">BI3*30%</f>
        <v>12.225</v>
      </c>
      <c r="BJ4" s="347">
        <f t="shared" si="2"/>
        <v>29.7</v>
      </c>
      <c r="BK4" s="347">
        <f t="shared" si="2"/>
        <v>12</v>
      </c>
      <c r="BL4" s="481"/>
      <c r="BM4" s="927">
        <f>SUM(BI4:BK4)</f>
        <v>53.924999999999997</v>
      </c>
      <c r="BN4" s="347">
        <f>BN3*30%</f>
        <v>0</v>
      </c>
      <c r="BO4" s="928">
        <f>BM4-BN4</f>
        <v>53.924999999999997</v>
      </c>
      <c r="BP4" s="437"/>
      <c r="BQ4" s="4474"/>
      <c r="BR4" s="4477"/>
      <c r="BS4" s="437"/>
      <c r="BT4" s="459">
        <f>SUM(M4:S4)+SUM(Y4:AE4)+SUM(AK4:AQ4)+SUM(AW4:BC4)+SUM(BI4:BK4)</f>
        <v>1232.2199999999998</v>
      </c>
      <c r="BU4" s="494">
        <f>BT4/E25</f>
        <v>1.080847331257401</v>
      </c>
      <c r="BV4" s="497">
        <f>BT4/1</f>
        <v>1232.2199999999998</v>
      </c>
      <c r="BX4" s="508">
        <f>BT4-E25</f>
        <v>92.169999999999845</v>
      </c>
      <c r="BY4" s="509">
        <f>BX4/BX14</f>
        <v>92.169999999999845</v>
      </c>
      <c r="BZ4" s="510">
        <f>BY4*100%/30%</f>
        <v>307.23333333333284</v>
      </c>
      <c r="CA4" s="698">
        <f>BZ4+J46</f>
        <v>429.81935483870916</v>
      </c>
      <c r="CB4" s="508">
        <f>BT4-E36</f>
        <v>-346.7800000000002</v>
      </c>
      <c r="CC4" s="626">
        <f>CB4/BX14</f>
        <v>-346.7800000000002</v>
      </c>
      <c r="CD4" s="701">
        <f>CC4*100%/30%</f>
        <v>-1155.9333333333341</v>
      </c>
      <c r="CE4" s="469">
        <f>CD4+J47</f>
        <v>-986.14838709677497</v>
      </c>
      <c r="CF4" s="508">
        <f>BT4-E53</f>
        <v>-1767.7800000000002</v>
      </c>
      <c r="CG4" s="626">
        <f>CF4/BX14</f>
        <v>-1767.7800000000002</v>
      </c>
      <c r="CH4" s="701">
        <f>CG4*100%/30%</f>
        <v>-5892.6000000000013</v>
      </c>
      <c r="CI4" s="469">
        <f>CH4+J51</f>
        <v>-5570.0193548387106</v>
      </c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  <c r="FH4" s="471"/>
      <c r="FI4" s="471"/>
      <c r="FJ4" s="471"/>
      <c r="FK4" s="471"/>
      <c r="FL4" s="471"/>
      <c r="FM4" s="471"/>
      <c r="FN4" s="471"/>
      <c r="FO4" s="471"/>
      <c r="FP4" s="471"/>
    </row>
    <row r="5" spans="1:172" s="426" customFormat="1" ht="15" customHeight="1" thickBot="1" x14ac:dyDescent="0.25">
      <c r="C5" s="438"/>
      <c r="D5" s="438"/>
      <c r="K5" s="439"/>
      <c r="L5" s="438"/>
      <c r="M5" s="451" t="s">
        <v>45</v>
      </c>
      <c r="N5" s="132" t="s">
        <v>46</v>
      </c>
      <c r="O5" s="132" t="s">
        <v>47</v>
      </c>
      <c r="P5" s="132" t="s">
        <v>48</v>
      </c>
      <c r="Q5" s="132" t="s">
        <v>49</v>
      </c>
      <c r="R5" s="132" t="s">
        <v>50</v>
      </c>
      <c r="S5" s="132" t="s">
        <v>51</v>
      </c>
      <c r="T5" s="479"/>
      <c r="U5" s="925"/>
      <c r="V5" s="440"/>
      <c r="W5" s="929"/>
      <c r="X5" s="779"/>
      <c r="Y5" s="445" t="s">
        <v>45</v>
      </c>
      <c r="Z5" s="440" t="s">
        <v>46</v>
      </c>
      <c r="AA5" s="440" t="s">
        <v>47</v>
      </c>
      <c r="AB5" s="440" t="s">
        <v>48</v>
      </c>
      <c r="AC5" s="440" t="s">
        <v>49</v>
      </c>
      <c r="AD5" s="440" t="s">
        <v>50</v>
      </c>
      <c r="AE5" s="440" t="s">
        <v>51</v>
      </c>
      <c r="AF5" s="779"/>
      <c r="AG5" s="925"/>
      <c r="AH5" s="440"/>
      <c r="AI5" s="929"/>
      <c r="AJ5" s="779"/>
      <c r="AK5" s="445" t="s">
        <v>45</v>
      </c>
      <c r="AL5" s="440" t="s">
        <v>46</v>
      </c>
      <c r="AM5" s="440" t="s">
        <v>47</v>
      </c>
      <c r="AN5" s="440" t="s">
        <v>48</v>
      </c>
      <c r="AO5" s="440" t="s">
        <v>49</v>
      </c>
      <c r="AP5" s="440" t="s">
        <v>50</v>
      </c>
      <c r="AQ5" s="440" t="s">
        <v>51</v>
      </c>
      <c r="AR5" s="779"/>
      <c r="AS5" s="925"/>
      <c r="AT5" s="440"/>
      <c r="AU5" s="929"/>
      <c r="AV5" s="779"/>
      <c r="AW5" s="445" t="s">
        <v>45</v>
      </c>
      <c r="AX5" s="440" t="s">
        <v>46</v>
      </c>
      <c r="AY5" s="440" t="s">
        <v>47</v>
      </c>
      <c r="AZ5" s="440" t="s">
        <v>48</v>
      </c>
      <c r="BA5" s="440" t="s">
        <v>49</v>
      </c>
      <c r="BB5" s="440" t="s">
        <v>50</v>
      </c>
      <c r="BC5" s="440" t="s">
        <v>51</v>
      </c>
      <c r="BD5" s="779"/>
      <c r="BE5" s="925"/>
      <c r="BF5" s="440"/>
      <c r="BG5" s="929"/>
      <c r="BH5" s="479"/>
      <c r="BI5" s="451" t="s">
        <v>45</v>
      </c>
      <c r="BJ5" s="440" t="s">
        <v>46</v>
      </c>
      <c r="BK5" s="440" t="s">
        <v>47</v>
      </c>
      <c r="BL5" s="479"/>
      <c r="BM5" s="925"/>
      <c r="BN5" s="440"/>
      <c r="BO5" s="929"/>
      <c r="BQ5" s="4474"/>
      <c r="BR5" s="4477"/>
      <c r="BT5" s="468">
        <f>J46*BX11</f>
        <v>3800.1666666666665</v>
      </c>
      <c r="BU5" s="495">
        <f>BT5/BX3</f>
        <v>1</v>
      </c>
      <c r="BV5" s="498">
        <f>BT5/1</f>
        <v>3800.1666666666665</v>
      </c>
      <c r="CA5" s="470"/>
      <c r="CB5" s="699"/>
      <c r="CC5" s="699"/>
      <c r="CD5" s="1020">
        <f>CD4+BZ4</f>
        <v>-848.70000000000118</v>
      </c>
      <c r="CE5" s="470"/>
      <c r="CF5" s="470"/>
      <c r="CG5" s="470"/>
      <c r="CH5" s="1021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  <c r="FH5" s="470"/>
      <c r="FI5" s="470"/>
      <c r="FJ5" s="470"/>
      <c r="FK5" s="470"/>
      <c r="FL5" s="470"/>
      <c r="FM5" s="470"/>
      <c r="FN5" s="470"/>
      <c r="FO5" s="470"/>
      <c r="FP5" s="470"/>
    </row>
    <row r="6" spans="1:172" s="432" customFormat="1" ht="15.75" thickBot="1" x14ac:dyDescent="0.25">
      <c r="B6" s="433" t="s">
        <v>0</v>
      </c>
      <c r="C6" s="433" t="s">
        <v>1</v>
      </c>
      <c r="D6" s="780"/>
      <c r="E6" s="433" t="s">
        <v>24</v>
      </c>
      <c r="F6" s="127" t="s">
        <v>108</v>
      </c>
      <c r="G6" s="647" t="s">
        <v>109</v>
      </c>
      <c r="H6" s="651" t="s">
        <v>110</v>
      </c>
      <c r="I6" s="655" t="s">
        <v>111</v>
      </c>
      <c r="J6" s="659" t="s">
        <v>113</v>
      </c>
      <c r="K6" s="441" t="s">
        <v>2</v>
      </c>
      <c r="L6" s="444"/>
      <c r="M6" s="433">
        <v>1</v>
      </c>
      <c r="N6" s="433">
        <v>2</v>
      </c>
      <c r="O6" s="433">
        <v>3</v>
      </c>
      <c r="P6" s="433">
        <v>4</v>
      </c>
      <c r="Q6" s="433">
        <v>5</v>
      </c>
      <c r="R6" s="433">
        <v>6</v>
      </c>
      <c r="S6" s="433">
        <v>7</v>
      </c>
      <c r="T6" s="922"/>
      <c r="U6" s="930"/>
      <c r="V6" s="931"/>
      <c r="W6" s="932"/>
      <c r="X6" s="924"/>
      <c r="Y6" s="433">
        <v>8</v>
      </c>
      <c r="Z6" s="433">
        <v>9</v>
      </c>
      <c r="AA6" s="433">
        <v>10</v>
      </c>
      <c r="AB6" s="433">
        <v>11</v>
      </c>
      <c r="AC6" s="433">
        <v>12</v>
      </c>
      <c r="AD6" s="433">
        <v>13</v>
      </c>
      <c r="AE6" s="433">
        <v>14</v>
      </c>
      <c r="AF6" s="780"/>
      <c r="AG6" s="930"/>
      <c r="AH6" s="931"/>
      <c r="AI6" s="932"/>
      <c r="AJ6" s="780"/>
      <c r="AK6" s="433">
        <v>15</v>
      </c>
      <c r="AL6" s="433">
        <v>16</v>
      </c>
      <c r="AM6" s="433">
        <v>17</v>
      </c>
      <c r="AN6" s="433">
        <v>18</v>
      </c>
      <c r="AO6" s="433">
        <v>19</v>
      </c>
      <c r="AP6" s="433">
        <v>20</v>
      </c>
      <c r="AQ6" s="433">
        <v>21</v>
      </c>
      <c r="AR6" s="780"/>
      <c r="AS6" s="930"/>
      <c r="AT6" s="931"/>
      <c r="AU6" s="932"/>
      <c r="AV6" s="780"/>
      <c r="AW6" s="433">
        <v>22</v>
      </c>
      <c r="AX6" s="433">
        <v>23</v>
      </c>
      <c r="AY6" s="433">
        <v>24</v>
      </c>
      <c r="AZ6" s="433">
        <v>25</v>
      </c>
      <c r="BA6" s="433">
        <v>26</v>
      </c>
      <c r="BB6" s="433">
        <v>27</v>
      </c>
      <c r="BC6" s="433">
        <v>28</v>
      </c>
      <c r="BD6" s="780"/>
      <c r="BE6" s="930"/>
      <c r="BF6" s="931"/>
      <c r="BG6" s="932"/>
      <c r="BH6" s="444"/>
      <c r="BI6" s="433">
        <v>29</v>
      </c>
      <c r="BJ6" s="433">
        <v>30</v>
      </c>
      <c r="BK6" s="433">
        <v>31</v>
      </c>
      <c r="BL6" s="444"/>
      <c r="BM6" s="930"/>
      <c r="BN6" s="931"/>
      <c r="BO6" s="932"/>
      <c r="BQ6" s="4475"/>
      <c r="BR6" s="4478"/>
      <c r="BT6" s="443" t="s">
        <v>7</v>
      </c>
      <c r="BU6" s="443" t="s">
        <v>2</v>
      </c>
      <c r="BV6" s="444"/>
      <c r="BX6" s="512">
        <f>BU3-BT1</f>
        <v>8.0847331257400956E-2</v>
      </c>
      <c r="BY6" s="444"/>
      <c r="BZ6" s="444" t="s">
        <v>101</v>
      </c>
      <c r="CA6" s="472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  <c r="FP6" s="471"/>
    </row>
    <row r="7" spans="1:172" s="255" customFormat="1" ht="15" customHeight="1" thickBot="1" x14ac:dyDescent="0.25">
      <c r="B7" s="81"/>
      <c r="C7" s="81" t="s">
        <v>19</v>
      </c>
      <c r="D7" s="81"/>
      <c r="E7" s="81"/>
      <c r="F7" s="81"/>
      <c r="G7" s="81"/>
      <c r="H7" s="81"/>
      <c r="I7" s="81"/>
      <c r="J7" s="81"/>
      <c r="K7" s="33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T7" s="4519" t="s">
        <v>99</v>
      </c>
      <c r="BU7" s="4519"/>
      <c r="BV7" s="81"/>
      <c r="BX7" s="50"/>
    </row>
    <row r="8" spans="1:172" s="432" customFormat="1" x14ac:dyDescent="0.2">
      <c r="A8" s="775"/>
      <c r="B8" s="433">
        <v>1</v>
      </c>
      <c r="C8" s="433" t="s">
        <v>134</v>
      </c>
      <c r="D8" s="780"/>
      <c r="E8" s="347">
        <v>400</v>
      </c>
      <c r="F8" s="347">
        <f t="shared" ref="F8:F17" si="3">E8/10</f>
        <v>40</v>
      </c>
      <c r="G8" s="347">
        <f t="shared" ref="G8:G17" si="4">E8/15</f>
        <v>26.666666666666668</v>
      </c>
      <c r="H8" s="347">
        <f t="shared" ref="H8:H17" si="5">E8/20</f>
        <v>20</v>
      </c>
      <c r="I8" s="347">
        <f t="shared" ref="I8:I17" si="6">E8/25</f>
        <v>16</v>
      </c>
      <c r="J8" s="347">
        <f t="shared" ref="J8:J24" si="7">E8/31</f>
        <v>12.903225806451612</v>
      </c>
      <c r="K8" s="531">
        <f t="shared" ref="K8:K24" si="8">E8/$E$25</f>
        <v>0.35086180430682867</v>
      </c>
      <c r="L8" s="491"/>
      <c r="M8" s="347">
        <f t="shared" ref="M8:S8" si="9">$J$8</f>
        <v>12.903225806451612</v>
      </c>
      <c r="N8" s="347">
        <f t="shared" si="9"/>
        <v>12.903225806451612</v>
      </c>
      <c r="O8" s="347">
        <f t="shared" si="9"/>
        <v>12.903225806451612</v>
      </c>
      <c r="P8" s="347">
        <f t="shared" si="9"/>
        <v>12.903225806451612</v>
      </c>
      <c r="Q8" s="347">
        <f t="shared" si="9"/>
        <v>12.903225806451612</v>
      </c>
      <c r="R8" s="347">
        <f t="shared" si="9"/>
        <v>12.903225806451612</v>
      </c>
      <c r="S8" s="347">
        <f t="shared" si="9"/>
        <v>12.903225806451612</v>
      </c>
      <c r="T8" s="481"/>
      <c r="U8" s="933">
        <f t="shared" ref="U8:U49" si="10">SUM(M8:S8)</f>
        <v>90.322580645161295</v>
      </c>
      <c r="V8" s="934">
        <f>($U$3*K8)*30%</f>
        <v>85.575194070435515</v>
      </c>
      <c r="W8" s="935">
        <f>V8-U8</f>
        <v>-4.7473865747257804</v>
      </c>
      <c r="X8" s="781"/>
      <c r="Y8" s="347">
        <f t="shared" ref="Y8:AE8" si="11">$J$8</f>
        <v>12.903225806451612</v>
      </c>
      <c r="Z8" s="347">
        <f t="shared" si="11"/>
        <v>12.903225806451612</v>
      </c>
      <c r="AA8" s="347">
        <f t="shared" si="11"/>
        <v>12.903225806451612</v>
      </c>
      <c r="AB8" s="347">
        <f t="shared" si="11"/>
        <v>12.903225806451612</v>
      </c>
      <c r="AC8" s="347">
        <f t="shared" si="11"/>
        <v>12.903225806451612</v>
      </c>
      <c r="AD8" s="347">
        <f t="shared" si="11"/>
        <v>12.903225806451612</v>
      </c>
      <c r="AE8" s="347">
        <f t="shared" si="11"/>
        <v>12.903225806451612</v>
      </c>
      <c r="AF8" s="781"/>
      <c r="AG8" s="933">
        <f>SUM(Y8:AE8)</f>
        <v>90.322580645161295</v>
      </c>
      <c r="AH8" s="934">
        <f>($AG$3*K8)*30%</f>
        <v>86.275163370027627</v>
      </c>
      <c r="AI8" s="935">
        <f>AH8-AG8</f>
        <v>-4.0474172751336681</v>
      </c>
      <c r="AJ8" s="781"/>
      <c r="AK8" s="483">
        <f t="shared" ref="AK8:AQ8" si="12">$J$8</f>
        <v>12.903225806451612</v>
      </c>
      <c r="AL8" s="483">
        <f t="shared" si="12"/>
        <v>12.903225806451612</v>
      </c>
      <c r="AM8" s="483">
        <f t="shared" si="12"/>
        <v>12.903225806451612</v>
      </c>
      <c r="AN8" s="483">
        <f t="shared" si="12"/>
        <v>12.903225806451612</v>
      </c>
      <c r="AO8" s="483">
        <f t="shared" si="12"/>
        <v>12.903225806451612</v>
      </c>
      <c r="AP8" s="483">
        <f t="shared" si="12"/>
        <v>12.903225806451612</v>
      </c>
      <c r="AQ8" s="483">
        <f t="shared" si="12"/>
        <v>12.903225806451612</v>
      </c>
      <c r="AR8" s="781"/>
      <c r="AS8" s="933">
        <f>SUM(AK8:AQ8)</f>
        <v>90.322580645161295</v>
      </c>
      <c r="AT8" s="934">
        <f>($AS$3*K8)*30%</f>
        <v>147.67773343274419</v>
      </c>
      <c r="AU8" s="935">
        <f>AT8-AS8</f>
        <v>57.355152787582895</v>
      </c>
      <c r="AV8" s="781"/>
      <c r="AW8" s="483">
        <f t="shared" ref="AW8:BC8" si="13">$J$8</f>
        <v>12.903225806451612</v>
      </c>
      <c r="AX8" s="483">
        <f t="shared" si="13"/>
        <v>12.903225806451612</v>
      </c>
      <c r="AY8" s="483">
        <f t="shared" si="13"/>
        <v>12.903225806451612</v>
      </c>
      <c r="AZ8" s="483">
        <f t="shared" si="13"/>
        <v>12.903225806451612</v>
      </c>
      <c r="BA8" s="483">
        <f t="shared" si="13"/>
        <v>12.903225806451612</v>
      </c>
      <c r="BB8" s="483">
        <f t="shared" si="13"/>
        <v>12.903225806451612</v>
      </c>
      <c r="BC8" s="483">
        <f t="shared" si="13"/>
        <v>12.903225806451612</v>
      </c>
      <c r="BD8" s="781"/>
      <c r="BE8" s="933">
        <f t="shared" ref="BE8:BE22" si="14">SUM(AW8:BC8)</f>
        <v>90.322580645161295</v>
      </c>
      <c r="BF8" s="934">
        <f>($BE$3*K8)*30%</f>
        <v>93.890618832507343</v>
      </c>
      <c r="BG8" s="935">
        <f>BF8-BE8</f>
        <v>3.5680381873460476</v>
      </c>
      <c r="BH8" s="481"/>
      <c r="BI8" s="347">
        <f t="shared" ref="BI8:BK8" si="15">$J$8</f>
        <v>12.903225806451612</v>
      </c>
      <c r="BJ8" s="347">
        <f t="shared" si="15"/>
        <v>12.903225806451612</v>
      </c>
      <c r="BK8" s="347">
        <f t="shared" si="15"/>
        <v>12.903225806451612</v>
      </c>
      <c r="BL8" s="481"/>
      <c r="BM8" s="933">
        <f>SUM(BI8:BK8)</f>
        <v>38.709677419354833</v>
      </c>
      <c r="BN8" s="934">
        <f>($BM$3*K8)*30%</f>
        <v>18.920222797245735</v>
      </c>
      <c r="BO8" s="935">
        <f>BN8-BM8</f>
        <v>-19.789454622109098</v>
      </c>
      <c r="BQ8" s="347">
        <v>400</v>
      </c>
      <c r="BR8" s="485">
        <f t="shared" ref="BR8:BR22" si="16">BQ8/E8</f>
        <v>1</v>
      </c>
      <c r="BT8" s="1215">
        <f t="shared" ref="BT8:BT22" si="17">SUM(M8:S8)+SUM(Y8:AE8)+SUM(AK8:AQ8)+SUM(AW8:BC8)+SUM(BI8:BK8)</f>
        <v>400</v>
      </c>
      <c r="BU8" s="1013">
        <f t="shared" ref="BU8:BU22" si="18">BT8/E8</f>
        <v>1</v>
      </c>
      <c r="BV8" s="482"/>
      <c r="BX8" s="1023"/>
      <c r="BY8" s="1024"/>
      <c r="BZ8" s="1025"/>
      <c r="CA8" s="1025"/>
      <c r="CB8" s="1025"/>
      <c r="CC8" s="1025"/>
      <c r="CD8" s="1025"/>
      <c r="CE8" s="1025"/>
      <c r="CF8" s="1026"/>
    </row>
    <row r="9" spans="1:172" s="255" customFormat="1" x14ac:dyDescent="0.2">
      <c r="B9" s="43">
        <v>2</v>
      </c>
      <c r="C9" s="43" t="s">
        <v>22</v>
      </c>
      <c r="D9" s="813"/>
      <c r="E9" s="40">
        <v>200</v>
      </c>
      <c r="F9" s="40">
        <f t="shared" si="3"/>
        <v>20</v>
      </c>
      <c r="G9" s="40">
        <f t="shared" si="4"/>
        <v>13.333333333333334</v>
      </c>
      <c r="H9" s="40">
        <f t="shared" si="5"/>
        <v>10</v>
      </c>
      <c r="I9" s="40">
        <f t="shared" si="6"/>
        <v>8</v>
      </c>
      <c r="J9" s="40">
        <f t="shared" si="7"/>
        <v>6.4516129032258061</v>
      </c>
      <c r="K9" s="206">
        <f t="shared" si="8"/>
        <v>0.17543090215341434</v>
      </c>
      <c r="L9" s="411"/>
      <c r="M9" s="40">
        <f t="shared" ref="M9:S9" si="19">$J$9</f>
        <v>6.4516129032258061</v>
      </c>
      <c r="N9" s="40">
        <f t="shared" si="19"/>
        <v>6.4516129032258061</v>
      </c>
      <c r="O9" s="40">
        <f t="shared" si="19"/>
        <v>6.4516129032258061</v>
      </c>
      <c r="P9" s="40">
        <f t="shared" si="19"/>
        <v>6.4516129032258061</v>
      </c>
      <c r="Q9" s="40">
        <f t="shared" si="19"/>
        <v>6.4516129032258061</v>
      </c>
      <c r="R9" s="40">
        <f t="shared" si="19"/>
        <v>6.4516129032258061</v>
      </c>
      <c r="S9" s="40">
        <f t="shared" si="19"/>
        <v>6.4516129032258061</v>
      </c>
      <c r="T9" s="61"/>
      <c r="U9" s="911">
        <f t="shared" si="10"/>
        <v>45.161290322580648</v>
      </c>
      <c r="V9" s="917">
        <f t="shared" ref="V9:V22" si="20">($U$3*K9)*30%</f>
        <v>42.787597035217757</v>
      </c>
      <c r="W9" s="936">
        <f t="shared" ref="W9:W22" si="21">V9-U9</f>
        <v>-2.3736932873628902</v>
      </c>
      <c r="X9" s="782"/>
      <c r="Y9" s="40">
        <f t="shared" ref="Y9:AE9" si="22">$J$9</f>
        <v>6.4516129032258061</v>
      </c>
      <c r="Z9" s="40">
        <f t="shared" si="22"/>
        <v>6.4516129032258061</v>
      </c>
      <c r="AA9" s="40">
        <f t="shared" si="22"/>
        <v>6.4516129032258061</v>
      </c>
      <c r="AB9" s="40">
        <f t="shared" si="22"/>
        <v>6.4516129032258061</v>
      </c>
      <c r="AC9" s="40">
        <f t="shared" si="22"/>
        <v>6.4516129032258061</v>
      </c>
      <c r="AD9" s="40">
        <f t="shared" si="22"/>
        <v>6.4516129032258061</v>
      </c>
      <c r="AE9" s="40">
        <f t="shared" si="22"/>
        <v>6.4516129032258061</v>
      </c>
      <c r="AF9" s="782"/>
      <c r="AG9" s="911">
        <f t="shared" ref="AG9:AG22" si="23">SUM(Y9:AE9)</f>
        <v>45.161290322580648</v>
      </c>
      <c r="AH9" s="917">
        <f t="shared" ref="AH9:AH22" si="24">($AG$3*K9)*30%</f>
        <v>43.137581685013814</v>
      </c>
      <c r="AI9" s="936">
        <f t="shared" ref="AI9:AI22" si="25">AH9-AG9</f>
        <v>-2.0237086375668341</v>
      </c>
      <c r="AJ9" s="782"/>
      <c r="AK9" s="827">
        <f t="shared" ref="AK9:AQ9" si="26">$J$9</f>
        <v>6.4516129032258061</v>
      </c>
      <c r="AL9" s="1041">
        <f t="shared" si="26"/>
        <v>6.4516129032258061</v>
      </c>
      <c r="AM9" s="1045">
        <f t="shared" si="26"/>
        <v>6.4516129032258061</v>
      </c>
      <c r="AN9" s="1045">
        <f t="shared" si="26"/>
        <v>6.4516129032258061</v>
      </c>
      <c r="AO9" s="1048">
        <f t="shared" si="26"/>
        <v>6.4516129032258061</v>
      </c>
      <c r="AP9" s="1048">
        <f t="shared" si="26"/>
        <v>6.4516129032258061</v>
      </c>
      <c r="AQ9" s="1049">
        <f t="shared" si="26"/>
        <v>6.4516129032258061</v>
      </c>
      <c r="AR9" s="782"/>
      <c r="AS9" s="911">
        <f t="shared" ref="AS9:AS22" si="27">SUM(AK9:AQ9)</f>
        <v>45.161290322580648</v>
      </c>
      <c r="AT9" s="917">
        <f t="shared" ref="AT9:AT22" si="28">($AS$3*K9)*30%</f>
        <v>73.838866716372095</v>
      </c>
      <c r="AU9" s="936">
        <f t="shared" ref="AU9:AU12" si="29">AT9-AS9</f>
        <v>28.677576393791448</v>
      </c>
      <c r="AV9" s="782"/>
      <c r="AW9" s="827">
        <f t="shared" ref="AW9:BC9" si="30">$J$9</f>
        <v>6.4516129032258061</v>
      </c>
      <c r="AX9" s="1051">
        <f t="shared" si="30"/>
        <v>6.4516129032258061</v>
      </c>
      <c r="AY9" s="1056">
        <f t="shared" si="30"/>
        <v>6.4516129032258061</v>
      </c>
      <c r="AZ9" s="1061">
        <f t="shared" si="30"/>
        <v>6.4516129032258061</v>
      </c>
      <c r="BA9" s="1064">
        <f t="shared" si="30"/>
        <v>6.4516129032258061</v>
      </c>
      <c r="BB9" s="1144">
        <f t="shared" si="30"/>
        <v>6.4516129032258061</v>
      </c>
      <c r="BC9" s="1148">
        <f t="shared" si="30"/>
        <v>6.4516129032258061</v>
      </c>
      <c r="BD9" s="782"/>
      <c r="BE9" s="911">
        <f t="shared" si="14"/>
        <v>45.161290322580648</v>
      </c>
      <c r="BF9" s="917">
        <f t="shared" ref="BF9:BF22" si="31">($BE$3*K9)*30%</f>
        <v>46.945309416253671</v>
      </c>
      <c r="BG9" s="936">
        <f t="shared" ref="BG9:BG12" si="32">BF9-BE9</f>
        <v>1.7840190936730238</v>
      </c>
      <c r="BH9" s="61"/>
      <c r="BI9" s="40">
        <f t="shared" ref="BI9:BK9" si="33">$J$9</f>
        <v>6.4516129032258061</v>
      </c>
      <c r="BJ9" s="40">
        <f t="shared" si="33"/>
        <v>6.4516129032258061</v>
      </c>
      <c r="BK9" s="40">
        <f t="shared" si="33"/>
        <v>6.4516129032258061</v>
      </c>
      <c r="BL9" s="61"/>
      <c r="BM9" s="911">
        <f t="shared" ref="BM9:BM22" si="34">SUM(BI9:BK9)</f>
        <v>19.354838709677416</v>
      </c>
      <c r="BN9" s="917">
        <f t="shared" ref="BN9:BN22" si="35">($BM$3*K9)*30%</f>
        <v>9.4601113986228675</v>
      </c>
      <c r="BO9" s="936">
        <f t="shared" ref="BO9:BO12" si="36">BN9-BM9</f>
        <v>-9.8947273110545488</v>
      </c>
      <c r="BQ9" s="40">
        <v>200</v>
      </c>
      <c r="BR9" s="51">
        <f t="shared" si="16"/>
        <v>1</v>
      </c>
      <c r="BT9" s="1211">
        <f t="shared" si="17"/>
        <v>200</v>
      </c>
      <c r="BU9" s="1014">
        <f t="shared" si="18"/>
        <v>1</v>
      </c>
      <c r="BV9" s="62"/>
      <c r="BX9" s="1039">
        <v>43555</v>
      </c>
      <c r="BY9" s="482"/>
      <c r="BZ9" s="444"/>
      <c r="CA9" s="444"/>
      <c r="CB9" s="444"/>
      <c r="CC9" s="444"/>
      <c r="CD9" s="444"/>
      <c r="CE9" s="444"/>
      <c r="CF9" s="1027"/>
    </row>
    <row r="10" spans="1:172" x14ac:dyDescent="0.2">
      <c r="B10" s="3">
        <v>3</v>
      </c>
      <c r="C10" s="433" t="s">
        <v>38</v>
      </c>
      <c r="D10" s="780"/>
      <c r="E10" s="5">
        <v>130</v>
      </c>
      <c r="F10" s="5">
        <f t="shared" si="3"/>
        <v>13</v>
      </c>
      <c r="G10" s="5">
        <f t="shared" si="4"/>
        <v>8.6666666666666661</v>
      </c>
      <c r="H10" s="5">
        <f t="shared" si="5"/>
        <v>6.5</v>
      </c>
      <c r="I10" s="5">
        <f t="shared" si="6"/>
        <v>5.2</v>
      </c>
      <c r="J10" s="5">
        <f t="shared" si="7"/>
        <v>4.193548387096774</v>
      </c>
      <c r="K10" s="194">
        <f t="shared" si="8"/>
        <v>0.11403008639971932</v>
      </c>
      <c r="L10" s="28"/>
      <c r="M10" s="5">
        <f t="shared" ref="M10:S10" si="37">$J$10</f>
        <v>4.193548387096774</v>
      </c>
      <c r="N10" s="5">
        <f t="shared" si="37"/>
        <v>4.193548387096774</v>
      </c>
      <c r="O10" s="5">
        <f t="shared" si="37"/>
        <v>4.193548387096774</v>
      </c>
      <c r="P10" s="5">
        <f t="shared" si="37"/>
        <v>4.193548387096774</v>
      </c>
      <c r="Q10" s="5">
        <f t="shared" si="37"/>
        <v>4.193548387096774</v>
      </c>
      <c r="R10" s="5">
        <f t="shared" si="37"/>
        <v>4.193548387096774</v>
      </c>
      <c r="S10" s="5">
        <f t="shared" si="37"/>
        <v>4.193548387096774</v>
      </c>
      <c r="T10" s="14"/>
      <c r="U10" s="937">
        <f t="shared" si="10"/>
        <v>29.354838709677423</v>
      </c>
      <c r="V10" s="916">
        <f t="shared" si="20"/>
        <v>27.81193807289154</v>
      </c>
      <c r="W10" s="938">
        <f t="shared" si="21"/>
        <v>-1.542900636785884</v>
      </c>
      <c r="X10" s="145"/>
      <c r="Y10" s="5">
        <f t="shared" ref="Y10:AE10" si="38">$J$10</f>
        <v>4.193548387096774</v>
      </c>
      <c r="Z10" s="5">
        <f t="shared" si="38"/>
        <v>4.193548387096774</v>
      </c>
      <c r="AA10" s="5">
        <f t="shared" si="38"/>
        <v>4.193548387096774</v>
      </c>
      <c r="AB10" s="5">
        <f t="shared" si="38"/>
        <v>4.193548387096774</v>
      </c>
      <c r="AC10" s="5">
        <f t="shared" si="38"/>
        <v>4.193548387096774</v>
      </c>
      <c r="AD10" s="5">
        <f t="shared" si="38"/>
        <v>4.193548387096774</v>
      </c>
      <c r="AE10" s="5">
        <f t="shared" si="38"/>
        <v>4.193548387096774</v>
      </c>
      <c r="AF10" s="145"/>
      <c r="AG10" s="937">
        <f t="shared" si="23"/>
        <v>29.354838709677423</v>
      </c>
      <c r="AH10" s="916">
        <f t="shared" si="24"/>
        <v>28.03942809525898</v>
      </c>
      <c r="AI10" s="938">
        <f t="shared" si="25"/>
        <v>-1.3154106144184432</v>
      </c>
      <c r="AJ10" s="145"/>
      <c r="AK10" s="828">
        <f t="shared" ref="AK10:AQ10" si="39">$J$10</f>
        <v>4.193548387096774</v>
      </c>
      <c r="AL10" s="1042">
        <f t="shared" si="39"/>
        <v>4.193548387096774</v>
      </c>
      <c r="AM10" s="1046">
        <f t="shared" si="39"/>
        <v>4.193548387096774</v>
      </c>
      <c r="AN10" s="1046">
        <f t="shared" si="39"/>
        <v>4.193548387096774</v>
      </c>
      <c r="AO10" s="1047">
        <f t="shared" si="39"/>
        <v>4.193548387096774</v>
      </c>
      <c r="AP10" s="1047">
        <f t="shared" si="39"/>
        <v>4.193548387096774</v>
      </c>
      <c r="AQ10" s="1050">
        <f t="shared" si="39"/>
        <v>4.193548387096774</v>
      </c>
      <c r="AR10" s="145"/>
      <c r="AS10" s="937">
        <f t="shared" si="27"/>
        <v>29.354838709677423</v>
      </c>
      <c r="AT10" s="916">
        <f t="shared" si="28"/>
        <v>47.995263365641854</v>
      </c>
      <c r="AU10" s="938">
        <f t="shared" si="29"/>
        <v>18.640424655964431</v>
      </c>
      <c r="AV10" s="145"/>
      <c r="AW10" s="828">
        <f t="shared" ref="AW10:BC10" si="40">$J$10</f>
        <v>4.193548387096774</v>
      </c>
      <c r="AX10" s="1052">
        <f t="shared" si="40"/>
        <v>4.193548387096774</v>
      </c>
      <c r="AY10" s="1055">
        <f t="shared" si="40"/>
        <v>4.193548387096774</v>
      </c>
      <c r="AZ10" s="1062">
        <f t="shared" si="40"/>
        <v>4.193548387096774</v>
      </c>
      <c r="BA10" s="1063">
        <f t="shared" si="40"/>
        <v>4.193548387096774</v>
      </c>
      <c r="BB10" s="1145">
        <f t="shared" si="40"/>
        <v>4.193548387096774</v>
      </c>
      <c r="BC10" s="1147">
        <f t="shared" si="40"/>
        <v>4.193548387096774</v>
      </c>
      <c r="BD10" s="145"/>
      <c r="BE10" s="937">
        <f t="shared" si="14"/>
        <v>29.354838709677423</v>
      </c>
      <c r="BF10" s="916">
        <f t="shared" si="31"/>
        <v>30.514451120564885</v>
      </c>
      <c r="BG10" s="938">
        <f t="shared" si="32"/>
        <v>1.1596124108874619</v>
      </c>
      <c r="BH10" s="14"/>
      <c r="BI10" s="5">
        <f t="shared" ref="BI10:BK10" si="41">$J$10</f>
        <v>4.193548387096774</v>
      </c>
      <c r="BJ10" s="5">
        <f t="shared" si="41"/>
        <v>4.193548387096774</v>
      </c>
      <c r="BK10" s="5">
        <f t="shared" si="41"/>
        <v>4.193548387096774</v>
      </c>
      <c r="BL10" s="14"/>
      <c r="BM10" s="937">
        <f t="shared" si="34"/>
        <v>12.580645161290322</v>
      </c>
      <c r="BN10" s="916">
        <f t="shared" si="35"/>
        <v>6.1490724091048641</v>
      </c>
      <c r="BO10" s="938">
        <f t="shared" si="36"/>
        <v>-6.431572752185458</v>
      </c>
      <c r="BQ10" s="5">
        <v>130</v>
      </c>
      <c r="BR10" s="9">
        <f t="shared" si="16"/>
        <v>1</v>
      </c>
      <c r="BT10" s="1212">
        <f t="shared" si="17"/>
        <v>130.00000000000003</v>
      </c>
      <c r="BU10" s="1015">
        <f t="shared" si="18"/>
        <v>1.0000000000000002</v>
      </c>
      <c r="BV10" s="29"/>
      <c r="BX10" s="1040">
        <v>43524</v>
      </c>
      <c r="BY10" s="62"/>
      <c r="BZ10" s="81"/>
      <c r="CA10" s="81"/>
      <c r="CB10" s="81"/>
      <c r="CC10" s="81"/>
      <c r="CD10" s="81"/>
      <c r="CE10" s="81"/>
      <c r="CF10" s="1029"/>
    </row>
    <row r="11" spans="1:172" s="255" customFormat="1" x14ac:dyDescent="0.2">
      <c r="B11" s="43">
        <v>4</v>
      </c>
      <c r="C11" s="427" t="s">
        <v>115</v>
      </c>
      <c r="D11" s="812"/>
      <c r="E11" s="40">
        <v>75</v>
      </c>
      <c r="F11" s="40">
        <f t="shared" si="3"/>
        <v>7.5</v>
      </c>
      <c r="G11" s="40">
        <f t="shared" si="4"/>
        <v>5</v>
      </c>
      <c r="H11" s="40">
        <f t="shared" si="5"/>
        <v>3.75</v>
      </c>
      <c r="I11" s="40">
        <f t="shared" si="6"/>
        <v>3</v>
      </c>
      <c r="J11" s="40">
        <f t="shared" si="7"/>
        <v>2.4193548387096775</v>
      </c>
      <c r="K11" s="206">
        <f t="shared" si="8"/>
        <v>6.5786588307530369E-2</v>
      </c>
      <c r="L11" s="411"/>
      <c r="M11" s="40">
        <f t="shared" ref="M11:S11" si="42">$J$11</f>
        <v>2.4193548387096775</v>
      </c>
      <c r="N11" s="40">
        <f t="shared" si="42"/>
        <v>2.4193548387096775</v>
      </c>
      <c r="O11" s="40">
        <f t="shared" si="42"/>
        <v>2.4193548387096775</v>
      </c>
      <c r="P11" s="40">
        <f t="shared" si="42"/>
        <v>2.4193548387096775</v>
      </c>
      <c r="Q11" s="40">
        <f t="shared" si="42"/>
        <v>2.4193548387096775</v>
      </c>
      <c r="R11" s="40">
        <f t="shared" si="42"/>
        <v>2.4193548387096775</v>
      </c>
      <c r="S11" s="40">
        <f t="shared" si="42"/>
        <v>2.4193548387096775</v>
      </c>
      <c r="T11" s="61"/>
      <c r="U11" s="911">
        <f t="shared" si="10"/>
        <v>16.935483870967744</v>
      </c>
      <c r="V11" s="917">
        <f t="shared" si="20"/>
        <v>16.045348888206657</v>
      </c>
      <c r="W11" s="936">
        <f t="shared" si="21"/>
        <v>-0.89013498276108649</v>
      </c>
      <c r="X11" s="782"/>
      <c r="Y11" s="40">
        <f t="shared" ref="Y11:AE11" si="43">$J$11</f>
        <v>2.4193548387096775</v>
      </c>
      <c r="Z11" s="40">
        <f t="shared" si="43"/>
        <v>2.4193548387096775</v>
      </c>
      <c r="AA11" s="40">
        <f t="shared" si="43"/>
        <v>2.4193548387096775</v>
      </c>
      <c r="AB11" s="40">
        <f t="shared" si="43"/>
        <v>2.4193548387096775</v>
      </c>
      <c r="AC11" s="40">
        <f t="shared" si="43"/>
        <v>2.4193548387096775</v>
      </c>
      <c r="AD11" s="40">
        <f t="shared" si="43"/>
        <v>2.4193548387096775</v>
      </c>
      <c r="AE11" s="40">
        <f t="shared" si="43"/>
        <v>2.4193548387096775</v>
      </c>
      <c r="AF11" s="782"/>
      <c r="AG11" s="911">
        <f t="shared" si="23"/>
        <v>16.935483870967744</v>
      </c>
      <c r="AH11" s="917">
        <f t="shared" si="24"/>
        <v>16.176593131880178</v>
      </c>
      <c r="AI11" s="936">
        <f t="shared" si="25"/>
        <v>-0.75889073908756544</v>
      </c>
      <c r="AJ11" s="782"/>
      <c r="AK11" s="827">
        <f t="shared" ref="AK11:AQ11" si="44">$J$11</f>
        <v>2.4193548387096775</v>
      </c>
      <c r="AL11" s="1041">
        <f t="shared" si="44"/>
        <v>2.4193548387096775</v>
      </c>
      <c r="AM11" s="1045">
        <f t="shared" si="44"/>
        <v>2.4193548387096775</v>
      </c>
      <c r="AN11" s="1045">
        <f t="shared" si="44"/>
        <v>2.4193548387096775</v>
      </c>
      <c r="AO11" s="1048">
        <f t="shared" si="44"/>
        <v>2.4193548387096775</v>
      </c>
      <c r="AP11" s="1048">
        <f t="shared" si="44"/>
        <v>2.4193548387096775</v>
      </c>
      <c r="AQ11" s="1049">
        <f t="shared" si="44"/>
        <v>2.4193548387096775</v>
      </c>
      <c r="AR11" s="782"/>
      <c r="AS11" s="911">
        <f t="shared" si="27"/>
        <v>16.935483870967744</v>
      </c>
      <c r="AT11" s="917">
        <f t="shared" si="28"/>
        <v>27.68957501863953</v>
      </c>
      <c r="AU11" s="936">
        <f t="shared" si="29"/>
        <v>10.754091147671787</v>
      </c>
      <c r="AV11" s="782"/>
      <c r="AW11" s="827">
        <f t="shared" ref="AW11:BC11" si="45">$J$11</f>
        <v>2.4193548387096775</v>
      </c>
      <c r="AX11" s="1051">
        <f t="shared" si="45"/>
        <v>2.4193548387096775</v>
      </c>
      <c r="AY11" s="1056">
        <f t="shared" si="45"/>
        <v>2.4193548387096775</v>
      </c>
      <c r="AZ11" s="1061">
        <f t="shared" si="45"/>
        <v>2.4193548387096775</v>
      </c>
      <c r="BA11" s="1064">
        <f t="shared" si="45"/>
        <v>2.4193548387096775</v>
      </c>
      <c r="BB11" s="1144">
        <f t="shared" si="45"/>
        <v>2.4193548387096775</v>
      </c>
      <c r="BC11" s="1148">
        <f t="shared" si="45"/>
        <v>2.4193548387096775</v>
      </c>
      <c r="BD11" s="782"/>
      <c r="BE11" s="911">
        <f t="shared" si="14"/>
        <v>16.935483870967744</v>
      </c>
      <c r="BF11" s="917">
        <f t="shared" si="31"/>
        <v>17.604491031095126</v>
      </c>
      <c r="BG11" s="936">
        <f t="shared" si="32"/>
        <v>0.66900716012738215</v>
      </c>
      <c r="BH11" s="61"/>
      <c r="BI11" s="40">
        <f t="shared" ref="BI11:BK11" si="46">$J$11</f>
        <v>2.4193548387096775</v>
      </c>
      <c r="BJ11" s="40">
        <f t="shared" si="46"/>
        <v>2.4193548387096775</v>
      </c>
      <c r="BK11" s="40">
        <f t="shared" si="46"/>
        <v>2.4193548387096775</v>
      </c>
      <c r="BL11" s="61"/>
      <c r="BM11" s="911">
        <f t="shared" si="34"/>
        <v>7.258064516129032</v>
      </c>
      <c r="BN11" s="917">
        <f t="shared" si="35"/>
        <v>3.5475417744835749</v>
      </c>
      <c r="BO11" s="936">
        <f t="shared" si="36"/>
        <v>-3.7105227416454571</v>
      </c>
      <c r="BQ11" s="40">
        <v>10</v>
      </c>
      <c r="BR11" s="51">
        <f t="shared" si="16"/>
        <v>0.13333333333333333</v>
      </c>
      <c r="BT11" s="1211">
        <f t="shared" si="17"/>
        <v>75</v>
      </c>
      <c r="BU11" s="1016">
        <f t="shared" si="18"/>
        <v>1</v>
      </c>
      <c r="BV11" s="975">
        <f>BQ11-BT11</f>
        <v>-65</v>
      </c>
      <c r="BX11" s="1035">
        <f>BX9-BX10</f>
        <v>31</v>
      </c>
      <c r="BY11" s="840"/>
      <c r="BZ11" s="988"/>
      <c r="CA11" s="988"/>
      <c r="CB11" s="988"/>
      <c r="CC11" s="988"/>
      <c r="CD11" s="988"/>
      <c r="CE11" s="988"/>
      <c r="CF11" s="1030"/>
    </row>
    <row r="12" spans="1:172" s="1053" customFormat="1" x14ac:dyDescent="0.2">
      <c r="B12" s="3">
        <v>5</v>
      </c>
      <c r="C12" s="3" t="s">
        <v>127</v>
      </c>
      <c r="D12" s="814"/>
      <c r="E12" s="5">
        <v>73.900000000000006</v>
      </c>
      <c r="F12" s="5">
        <f t="shared" si="3"/>
        <v>7.3900000000000006</v>
      </c>
      <c r="G12" s="5">
        <f t="shared" si="4"/>
        <v>4.9266666666666667</v>
      </c>
      <c r="H12" s="5">
        <f t="shared" si="5"/>
        <v>3.6950000000000003</v>
      </c>
      <c r="I12" s="5">
        <f t="shared" si="6"/>
        <v>2.9560000000000004</v>
      </c>
      <c r="J12" s="5">
        <f t="shared" si="7"/>
        <v>2.3838709677419359</v>
      </c>
      <c r="K12" s="194">
        <f t="shared" si="8"/>
        <v>6.4821718345686605E-2</v>
      </c>
      <c r="L12" s="28"/>
      <c r="M12" s="5">
        <f t="shared" ref="M12:S12" si="47">$J$12</f>
        <v>2.3838709677419359</v>
      </c>
      <c r="N12" s="5">
        <f t="shared" si="47"/>
        <v>2.3838709677419359</v>
      </c>
      <c r="O12" s="5">
        <f t="shared" si="47"/>
        <v>2.3838709677419359</v>
      </c>
      <c r="P12" s="5">
        <f t="shared" si="47"/>
        <v>2.3838709677419359</v>
      </c>
      <c r="Q12" s="5">
        <f t="shared" si="47"/>
        <v>2.3838709677419359</v>
      </c>
      <c r="R12" s="5">
        <f t="shared" si="47"/>
        <v>2.3838709677419359</v>
      </c>
      <c r="S12" s="5">
        <f t="shared" si="47"/>
        <v>2.3838709677419359</v>
      </c>
      <c r="T12" s="14"/>
      <c r="U12" s="937">
        <f t="shared" si="10"/>
        <v>16.687096774193552</v>
      </c>
      <c r="V12" s="1052">
        <f t="shared" si="20"/>
        <v>15.810017104512962</v>
      </c>
      <c r="W12" s="938">
        <f t="shared" si="21"/>
        <v>-0.87707966968059026</v>
      </c>
      <c r="X12" s="145"/>
      <c r="Y12" s="5">
        <f t="shared" ref="Y12:AE12" si="48">$J$12</f>
        <v>2.3838709677419359</v>
      </c>
      <c r="Z12" s="5">
        <f t="shared" si="48"/>
        <v>2.3838709677419359</v>
      </c>
      <c r="AA12" s="5">
        <f t="shared" si="48"/>
        <v>2.3838709677419359</v>
      </c>
      <c r="AB12" s="5">
        <f t="shared" si="48"/>
        <v>2.3838709677419359</v>
      </c>
      <c r="AC12" s="5">
        <f t="shared" si="48"/>
        <v>2.3838709677419359</v>
      </c>
      <c r="AD12" s="5">
        <f t="shared" si="48"/>
        <v>2.3838709677419359</v>
      </c>
      <c r="AE12" s="5">
        <f t="shared" si="48"/>
        <v>2.3838709677419359</v>
      </c>
      <c r="AF12" s="145"/>
      <c r="AG12" s="937">
        <f t="shared" si="23"/>
        <v>16.687096774193552</v>
      </c>
      <c r="AH12" s="1052">
        <f t="shared" si="24"/>
        <v>15.939336432612606</v>
      </c>
      <c r="AI12" s="938">
        <f t="shared" si="25"/>
        <v>-0.74776034158094618</v>
      </c>
      <c r="AJ12" s="145"/>
      <c r="AK12" s="1052">
        <f t="shared" ref="AK12:AQ12" si="49">$J$12</f>
        <v>2.3838709677419359</v>
      </c>
      <c r="AL12" s="1052">
        <f t="shared" si="49"/>
        <v>2.3838709677419359</v>
      </c>
      <c r="AM12" s="1052">
        <f t="shared" si="49"/>
        <v>2.3838709677419359</v>
      </c>
      <c r="AN12" s="1052">
        <f t="shared" si="49"/>
        <v>2.3838709677419359</v>
      </c>
      <c r="AO12" s="1052">
        <f t="shared" si="49"/>
        <v>2.3838709677419359</v>
      </c>
      <c r="AP12" s="1052">
        <f t="shared" si="49"/>
        <v>2.3838709677419359</v>
      </c>
      <c r="AQ12" s="1052">
        <f t="shared" si="49"/>
        <v>2.3838709677419359</v>
      </c>
      <c r="AR12" s="145"/>
      <c r="AS12" s="937">
        <f t="shared" si="27"/>
        <v>16.687096774193552</v>
      </c>
      <c r="AT12" s="1052">
        <f t="shared" si="28"/>
        <v>27.283461251699492</v>
      </c>
      <c r="AU12" s="938">
        <f t="shared" si="29"/>
        <v>10.59636447750594</v>
      </c>
      <c r="AV12" s="145"/>
      <c r="AW12" s="1052">
        <f t="shared" ref="AW12:BC12" si="50">$J$12</f>
        <v>2.3838709677419359</v>
      </c>
      <c r="AX12" s="1052">
        <f t="shared" si="50"/>
        <v>2.3838709677419359</v>
      </c>
      <c r="AY12" s="1055">
        <f t="shared" si="50"/>
        <v>2.3838709677419359</v>
      </c>
      <c r="AZ12" s="1062">
        <f t="shared" si="50"/>
        <v>2.3838709677419359</v>
      </c>
      <c r="BA12" s="1063">
        <f t="shared" si="50"/>
        <v>2.3838709677419359</v>
      </c>
      <c r="BB12" s="1145">
        <f t="shared" si="50"/>
        <v>2.3838709677419359</v>
      </c>
      <c r="BC12" s="1147">
        <f t="shared" si="50"/>
        <v>2.3838709677419359</v>
      </c>
      <c r="BD12" s="145"/>
      <c r="BE12" s="937">
        <f t="shared" si="14"/>
        <v>16.687096774193552</v>
      </c>
      <c r="BF12" s="1052">
        <f t="shared" si="31"/>
        <v>17.346291829305734</v>
      </c>
      <c r="BG12" s="938">
        <f t="shared" si="32"/>
        <v>0.6591950551121819</v>
      </c>
      <c r="BH12" s="14"/>
      <c r="BI12" s="5">
        <f t="shared" ref="BI12:BK12" si="51">$J$12</f>
        <v>2.3838709677419359</v>
      </c>
      <c r="BJ12" s="5">
        <f t="shared" si="51"/>
        <v>2.3838709677419359</v>
      </c>
      <c r="BK12" s="5">
        <f t="shared" si="51"/>
        <v>2.3838709677419359</v>
      </c>
      <c r="BL12" s="14"/>
      <c r="BM12" s="937">
        <f t="shared" si="34"/>
        <v>7.1516129032258071</v>
      </c>
      <c r="BN12" s="1052">
        <f t="shared" si="35"/>
        <v>3.4955111617911503</v>
      </c>
      <c r="BO12" s="938">
        <f t="shared" si="36"/>
        <v>-3.6561017414346568</v>
      </c>
      <c r="BQ12" s="5">
        <v>73.900000000000006</v>
      </c>
      <c r="BR12" s="9">
        <f t="shared" si="16"/>
        <v>1</v>
      </c>
      <c r="BT12" s="1212">
        <f t="shared" si="17"/>
        <v>73.90000000000002</v>
      </c>
      <c r="BU12" s="1015">
        <f t="shared" si="18"/>
        <v>1.0000000000000002</v>
      </c>
      <c r="BV12" s="29"/>
      <c r="BX12" s="1040">
        <v>43555</v>
      </c>
      <c r="BY12" s="482"/>
      <c r="BZ12" s="444"/>
      <c r="CA12" s="444"/>
      <c r="CB12" s="444"/>
      <c r="CC12" s="444"/>
      <c r="CD12" s="444"/>
      <c r="CE12" s="444"/>
      <c r="CF12" s="1027"/>
    </row>
    <row r="13" spans="1:172" s="255" customFormat="1" x14ac:dyDescent="0.2">
      <c r="B13" s="43">
        <v>6</v>
      </c>
      <c r="C13" s="43" t="s">
        <v>23</v>
      </c>
      <c r="D13" s="813"/>
      <c r="E13" s="40">
        <v>62</v>
      </c>
      <c r="F13" s="40">
        <f t="shared" si="3"/>
        <v>6.2</v>
      </c>
      <c r="G13" s="40">
        <f t="shared" si="4"/>
        <v>4.1333333333333337</v>
      </c>
      <c r="H13" s="40">
        <f t="shared" si="5"/>
        <v>3.1</v>
      </c>
      <c r="I13" s="40">
        <f t="shared" si="6"/>
        <v>2.48</v>
      </c>
      <c r="J13" s="40">
        <f t="shared" si="7"/>
        <v>2</v>
      </c>
      <c r="K13" s="206">
        <f t="shared" si="8"/>
        <v>5.438357966755844E-2</v>
      </c>
      <c r="L13" s="411"/>
      <c r="M13" s="40">
        <f t="shared" ref="M13:S13" si="52">$J$13</f>
        <v>2</v>
      </c>
      <c r="N13" s="40">
        <f t="shared" si="52"/>
        <v>2</v>
      </c>
      <c r="O13" s="40">
        <f t="shared" si="52"/>
        <v>2</v>
      </c>
      <c r="P13" s="40">
        <f t="shared" si="52"/>
        <v>2</v>
      </c>
      <c r="Q13" s="40">
        <f t="shared" si="52"/>
        <v>2</v>
      </c>
      <c r="R13" s="40">
        <f t="shared" si="52"/>
        <v>2</v>
      </c>
      <c r="S13" s="40">
        <f t="shared" si="52"/>
        <v>2</v>
      </c>
      <c r="T13" s="61"/>
      <c r="U13" s="911">
        <f t="shared" si="10"/>
        <v>14</v>
      </c>
      <c r="V13" s="917">
        <f t="shared" si="20"/>
        <v>13.264155080917504</v>
      </c>
      <c r="W13" s="936">
        <f>V13-U13</f>
        <v>-0.73584491908249561</v>
      </c>
      <c r="X13" s="782"/>
      <c r="Y13" s="40">
        <f t="shared" ref="Y13:AE13" si="53">$J$13</f>
        <v>2</v>
      </c>
      <c r="Z13" s="40">
        <f t="shared" si="53"/>
        <v>2</v>
      </c>
      <c r="AA13" s="40">
        <f t="shared" si="53"/>
        <v>2</v>
      </c>
      <c r="AB13" s="40">
        <f t="shared" si="53"/>
        <v>2</v>
      </c>
      <c r="AC13" s="40">
        <f t="shared" si="53"/>
        <v>2</v>
      </c>
      <c r="AD13" s="40">
        <f t="shared" si="53"/>
        <v>2</v>
      </c>
      <c r="AE13" s="40">
        <f t="shared" si="53"/>
        <v>2</v>
      </c>
      <c r="AF13" s="782"/>
      <c r="AG13" s="911">
        <f t="shared" si="23"/>
        <v>14</v>
      </c>
      <c r="AH13" s="917">
        <f t="shared" si="24"/>
        <v>13.37265032235428</v>
      </c>
      <c r="AI13" s="936">
        <f>AH13-AG13</f>
        <v>-0.62734967764571969</v>
      </c>
      <c r="AJ13" s="782"/>
      <c r="AK13" s="827">
        <f t="shared" ref="AK13:AQ13" si="54">$J$13</f>
        <v>2</v>
      </c>
      <c r="AL13" s="1041">
        <f t="shared" si="54"/>
        <v>2</v>
      </c>
      <c r="AM13" s="1045">
        <f t="shared" si="54"/>
        <v>2</v>
      </c>
      <c r="AN13" s="1045">
        <f t="shared" si="54"/>
        <v>2</v>
      </c>
      <c r="AO13" s="1048">
        <f t="shared" si="54"/>
        <v>2</v>
      </c>
      <c r="AP13" s="1048">
        <f t="shared" si="54"/>
        <v>2</v>
      </c>
      <c r="AQ13" s="1049">
        <f t="shared" si="54"/>
        <v>2</v>
      </c>
      <c r="AR13" s="782"/>
      <c r="AS13" s="911">
        <f t="shared" si="27"/>
        <v>14</v>
      </c>
      <c r="AT13" s="917">
        <f t="shared" si="28"/>
        <v>22.890048682075346</v>
      </c>
      <c r="AU13" s="936">
        <f>AT13-AS13</f>
        <v>8.8900486820753457</v>
      </c>
      <c r="AV13" s="782"/>
      <c r="AW13" s="827">
        <f t="shared" ref="AW13:BC13" si="55">$J$13</f>
        <v>2</v>
      </c>
      <c r="AX13" s="1051">
        <f t="shared" si="55"/>
        <v>2</v>
      </c>
      <c r="AY13" s="1056">
        <f t="shared" si="55"/>
        <v>2</v>
      </c>
      <c r="AZ13" s="1061">
        <f t="shared" si="55"/>
        <v>2</v>
      </c>
      <c r="BA13" s="1064">
        <f t="shared" si="55"/>
        <v>2</v>
      </c>
      <c r="BB13" s="1144">
        <f t="shared" si="55"/>
        <v>2</v>
      </c>
      <c r="BC13" s="1148">
        <f t="shared" si="55"/>
        <v>2</v>
      </c>
      <c r="BD13" s="782"/>
      <c r="BE13" s="911">
        <f t="shared" si="14"/>
        <v>14</v>
      </c>
      <c r="BF13" s="917">
        <f t="shared" si="31"/>
        <v>14.553045919038638</v>
      </c>
      <c r="BG13" s="936">
        <f>BF13-BE13</f>
        <v>0.55304591903863809</v>
      </c>
      <c r="BH13" s="61"/>
      <c r="BI13" s="40">
        <f t="shared" ref="BI13:BK13" si="56">$J$13</f>
        <v>2</v>
      </c>
      <c r="BJ13" s="40">
        <f t="shared" si="56"/>
        <v>2</v>
      </c>
      <c r="BK13" s="40">
        <f t="shared" si="56"/>
        <v>2</v>
      </c>
      <c r="BL13" s="61"/>
      <c r="BM13" s="911">
        <f t="shared" si="34"/>
        <v>6</v>
      </c>
      <c r="BN13" s="917">
        <f t="shared" si="35"/>
        <v>2.9326345335730886</v>
      </c>
      <c r="BO13" s="936">
        <f>BN13-BM13</f>
        <v>-3.0673654664269114</v>
      </c>
      <c r="BQ13" s="40">
        <v>62</v>
      </c>
      <c r="BR13" s="51">
        <f t="shared" si="16"/>
        <v>1</v>
      </c>
      <c r="BT13" s="1211">
        <f t="shared" si="17"/>
        <v>62</v>
      </c>
      <c r="BU13" s="1016">
        <f t="shared" si="18"/>
        <v>1</v>
      </c>
      <c r="BV13" s="62"/>
      <c r="BX13" s="1043">
        <v>43556</v>
      </c>
      <c r="BY13" s="840"/>
      <c r="BZ13" s="988"/>
      <c r="CA13" s="988"/>
      <c r="CB13" s="988"/>
      <c r="CC13" s="988"/>
      <c r="CD13" s="988"/>
      <c r="CE13" s="988"/>
      <c r="CF13" s="1030"/>
    </row>
    <row r="14" spans="1:172" x14ac:dyDescent="0.2">
      <c r="A14" s="669"/>
      <c r="B14" s="433">
        <v>7</v>
      </c>
      <c r="C14" s="3" t="s">
        <v>117</v>
      </c>
      <c r="D14" s="814"/>
      <c r="E14" s="5">
        <v>37</v>
      </c>
      <c r="F14" s="5">
        <f t="shared" si="3"/>
        <v>3.7</v>
      </c>
      <c r="G14" s="5">
        <f t="shared" si="4"/>
        <v>2.4666666666666668</v>
      </c>
      <c r="H14" s="5">
        <f t="shared" si="5"/>
        <v>1.85</v>
      </c>
      <c r="I14" s="5">
        <f t="shared" si="6"/>
        <v>1.48</v>
      </c>
      <c r="J14" s="5">
        <f t="shared" si="7"/>
        <v>1.1935483870967742</v>
      </c>
      <c r="K14" s="194">
        <f t="shared" si="8"/>
        <v>3.2454716898381648E-2</v>
      </c>
      <c r="L14" s="28"/>
      <c r="M14" s="5">
        <f t="shared" ref="M14:S14" si="57">$J$14</f>
        <v>1.1935483870967742</v>
      </c>
      <c r="N14" s="5">
        <f t="shared" si="57"/>
        <v>1.1935483870967742</v>
      </c>
      <c r="O14" s="5">
        <f t="shared" si="57"/>
        <v>1.1935483870967742</v>
      </c>
      <c r="P14" s="5">
        <f t="shared" si="57"/>
        <v>1.1935483870967742</v>
      </c>
      <c r="Q14" s="5">
        <f t="shared" si="57"/>
        <v>1.1935483870967742</v>
      </c>
      <c r="R14" s="5">
        <f t="shared" si="57"/>
        <v>1.1935483870967742</v>
      </c>
      <c r="S14" s="5">
        <f t="shared" si="57"/>
        <v>1.1935483870967742</v>
      </c>
      <c r="T14" s="14"/>
      <c r="U14" s="937">
        <f t="shared" si="10"/>
        <v>8.3548387096774199</v>
      </c>
      <c r="V14" s="916">
        <f t="shared" si="20"/>
        <v>7.9157054515152829</v>
      </c>
      <c r="W14" s="938">
        <f t="shared" si="21"/>
        <v>-0.439133258162137</v>
      </c>
      <c r="X14" s="145"/>
      <c r="Y14" s="5">
        <f t="shared" ref="Y14:AE14" si="58">$J$14</f>
        <v>1.1935483870967742</v>
      </c>
      <c r="Z14" s="5">
        <f t="shared" si="58"/>
        <v>1.1935483870967742</v>
      </c>
      <c r="AA14" s="5">
        <f t="shared" si="58"/>
        <v>1.1935483870967742</v>
      </c>
      <c r="AB14" s="5">
        <f t="shared" si="58"/>
        <v>1.1935483870967742</v>
      </c>
      <c r="AC14" s="5">
        <f t="shared" si="58"/>
        <v>1.1935483870967742</v>
      </c>
      <c r="AD14" s="5">
        <f t="shared" si="58"/>
        <v>1.1935483870967742</v>
      </c>
      <c r="AE14" s="5">
        <f t="shared" si="58"/>
        <v>1.1935483870967742</v>
      </c>
      <c r="AF14" s="145"/>
      <c r="AG14" s="937">
        <f t="shared" si="23"/>
        <v>8.3548387096774199</v>
      </c>
      <c r="AH14" s="916">
        <f t="shared" si="24"/>
        <v>7.9804526117275554</v>
      </c>
      <c r="AI14" s="938">
        <f t="shared" si="25"/>
        <v>-0.37438609794986455</v>
      </c>
      <c r="AJ14" s="145"/>
      <c r="AK14" s="828">
        <f t="shared" ref="AK14:AQ14" si="59">$J$14</f>
        <v>1.1935483870967742</v>
      </c>
      <c r="AL14" s="1042">
        <f t="shared" si="59"/>
        <v>1.1935483870967742</v>
      </c>
      <c r="AM14" s="1046">
        <f t="shared" si="59"/>
        <v>1.1935483870967742</v>
      </c>
      <c r="AN14" s="1046">
        <f t="shared" si="59"/>
        <v>1.1935483870967742</v>
      </c>
      <c r="AO14" s="1047">
        <f t="shared" si="59"/>
        <v>1.1935483870967742</v>
      </c>
      <c r="AP14" s="1047">
        <f t="shared" si="59"/>
        <v>1.1935483870967742</v>
      </c>
      <c r="AQ14" s="1050">
        <f t="shared" si="59"/>
        <v>1.1935483870967742</v>
      </c>
      <c r="AR14" s="145"/>
      <c r="AS14" s="937">
        <f t="shared" si="27"/>
        <v>8.3548387096774199</v>
      </c>
      <c r="AT14" s="916">
        <f t="shared" si="28"/>
        <v>13.660190342528836</v>
      </c>
      <c r="AU14" s="938">
        <f t="shared" ref="AU14:AU22" si="60">AT14-AS14</f>
        <v>5.3053516328514156</v>
      </c>
      <c r="AV14" s="145"/>
      <c r="AW14" s="828">
        <f t="shared" ref="AW14:BC14" si="61">$J$14</f>
        <v>1.1935483870967742</v>
      </c>
      <c r="AX14" s="1052">
        <f t="shared" si="61"/>
        <v>1.1935483870967742</v>
      </c>
      <c r="AY14" s="1055">
        <f t="shared" si="61"/>
        <v>1.1935483870967742</v>
      </c>
      <c r="AZ14" s="1062">
        <f t="shared" si="61"/>
        <v>1.1935483870967742</v>
      </c>
      <c r="BA14" s="1063">
        <f t="shared" si="61"/>
        <v>1.1935483870967742</v>
      </c>
      <c r="BB14" s="1145">
        <f t="shared" si="61"/>
        <v>1.1935483870967742</v>
      </c>
      <c r="BC14" s="1147">
        <f t="shared" si="61"/>
        <v>1.1935483870967742</v>
      </c>
      <c r="BD14" s="145"/>
      <c r="BE14" s="937">
        <f t="shared" si="14"/>
        <v>8.3548387096774199</v>
      </c>
      <c r="BF14" s="916">
        <f t="shared" si="31"/>
        <v>8.6848822420069283</v>
      </c>
      <c r="BG14" s="938">
        <f t="shared" ref="BG14:BG22" si="62">BF14-BE14</f>
        <v>0.33004353232950834</v>
      </c>
      <c r="BH14" s="14"/>
      <c r="BI14" s="5">
        <f t="shared" ref="BI14:BK14" si="63">$J$14</f>
        <v>1.1935483870967742</v>
      </c>
      <c r="BJ14" s="5">
        <f t="shared" si="63"/>
        <v>1.1935483870967742</v>
      </c>
      <c r="BK14" s="5">
        <f t="shared" si="63"/>
        <v>1.1935483870967742</v>
      </c>
      <c r="BL14" s="14"/>
      <c r="BM14" s="937">
        <f t="shared" si="34"/>
        <v>3.580645161290323</v>
      </c>
      <c r="BN14" s="916">
        <f t="shared" si="35"/>
        <v>1.7501206087452303</v>
      </c>
      <c r="BO14" s="938">
        <f t="shared" ref="BO14:BO19" si="64">BN14-BM14</f>
        <v>-1.8305245525450926</v>
      </c>
      <c r="BQ14" s="5">
        <v>37</v>
      </c>
      <c r="BR14" s="9">
        <f t="shared" si="16"/>
        <v>1</v>
      </c>
      <c r="BT14" s="1212">
        <f t="shared" si="17"/>
        <v>37</v>
      </c>
      <c r="BU14" s="1015">
        <f t="shared" si="18"/>
        <v>1</v>
      </c>
      <c r="BV14" s="29"/>
      <c r="BX14" s="1044">
        <f>BX13-BX12</f>
        <v>1</v>
      </c>
      <c r="BY14" s="62"/>
      <c r="BZ14" s="81"/>
      <c r="CA14" s="81"/>
      <c r="CB14" s="81"/>
      <c r="CC14" s="81"/>
      <c r="CD14" s="81"/>
      <c r="CE14" s="81"/>
      <c r="CF14" s="1029"/>
    </row>
    <row r="15" spans="1:172" s="255" customFormat="1" x14ac:dyDescent="0.2">
      <c r="A15" s="810"/>
      <c r="B15" s="43">
        <v>8</v>
      </c>
      <c r="C15" s="427" t="s">
        <v>118</v>
      </c>
      <c r="D15" s="812"/>
      <c r="E15" s="132">
        <v>29.15</v>
      </c>
      <c r="F15" s="132">
        <f t="shared" si="3"/>
        <v>2.915</v>
      </c>
      <c r="G15" s="132">
        <f t="shared" si="4"/>
        <v>1.9433333333333331</v>
      </c>
      <c r="H15" s="132">
        <f t="shared" si="5"/>
        <v>1.4575</v>
      </c>
      <c r="I15" s="132">
        <f t="shared" si="6"/>
        <v>1.1659999999999999</v>
      </c>
      <c r="J15" s="132">
        <f t="shared" si="7"/>
        <v>0.94032258064516128</v>
      </c>
      <c r="K15" s="478">
        <f t="shared" si="8"/>
        <v>2.5569053988860137E-2</v>
      </c>
      <c r="L15" s="492"/>
      <c r="M15" s="40">
        <f t="shared" ref="M15:S15" si="65">$J$15</f>
        <v>0.94032258064516128</v>
      </c>
      <c r="N15" s="40">
        <f t="shared" si="65"/>
        <v>0.94032258064516128</v>
      </c>
      <c r="O15" s="40">
        <f t="shared" si="65"/>
        <v>0.94032258064516128</v>
      </c>
      <c r="P15" s="40">
        <f t="shared" si="65"/>
        <v>0.94032258064516128</v>
      </c>
      <c r="Q15" s="40">
        <f t="shared" si="65"/>
        <v>0.94032258064516128</v>
      </c>
      <c r="R15" s="40">
        <f t="shared" si="65"/>
        <v>0.94032258064516128</v>
      </c>
      <c r="S15" s="40">
        <f t="shared" si="65"/>
        <v>0.94032258064516128</v>
      </c>
      <c r="T15" s="61"/>
      <c r="U15" s="911">
        <f t="shared" si="10"/>
        <v>6.5822580645161288</v>
      </c>
      <c r="V15" s="917">
        <f t="shared" si="20"/>
        <v>6.2362922678829866</v>
      </c>
      <c r="W15" s="936">
        <f t="shared" si="21"/>
        <v>-0.3459657966331422</v>
      </c>
      <c r="X15" s="782"/>
      <c r="Y15" s="40">
        <f t="shared" ref="Y15:AE15" si="66">$J$15</f>
        <v>0.94032258064516128</v>
      </c>
      <c r="Z15" s="40">
        <f t="shared" si="66"/>
        <v>0.94032258064516128</v>
      </c>
      <c r="AA15" s="40">
        <f t="shared" si="66"/>
        <v>0.94032258064516128</v>
      </c>
      <c r="AB15" s="40">
        <f t="shared" si="66"/>
        <v>0.94032258064516128</v>
      </c>
      <c r="AC15" s="40">
        <f t="shared" si="66"/>
        <v>0.94032258064516128</v>
      </c>
      <c r="AD15" s="40">
        <f t="shared" si="66"/>
        <v>0.94032258064516128</v>
      </c>
      <c r="AE15" s="40">
        <f t="shared" si="66"/>
        <v>0.94032258064516128</v>
      </c>
      <c r="AF15" s="782"/>
      <c r="AG15" s="911">
        <f t="shared" si="23"/>
        <v>6.5822580645161288</v>
      </c>
      <c r="AH15" s="917">
        <f t="shared" si="24"/>
        <v>6.2873025305907637</v>
      </c>
      <c r="AI15" s="936">
        <f t="shared" si="25"/>
        <v>-0.29495553392536511</v>
      </c>
      <c r="AJ15" s="782"/>
      <c r="AK15" s="827">
        <f t="shared" ref="AK15:AQ15" si="67">$J$15</f>
        <v>0.94032258064516128</v>
      </c>
      <c r="AL15" s="1041">
        <f t="shared" si="67"/>
        <v>0.94032258064516128</v>
      </c>
      <c r="AM15" s="1045">
        <f t="shared" si="67"/>
        <v>0.94032258064516128</v>
      </c>
      <c r="AN15" s="1045">
        <f t="shared" si="67"/>
        <v>0.94032258064516128</v>
      </c>
      <c r="AO15" s="1048">
        <f t="shared" si="67"/>
        <v>0.94032258064516128</v>
      </c>
      <c r="AP15" s="1048">
        <f t="shared" si="67"/>
        <v>0.94032258064516128</v>
      </c>
      <c r="AQ15" s="1049">
        <f t="shared" si="67"/>
        <v>0.94032258064516128</v>
      </c>
      <c r="AR15" s="782"/>
      <c r="AS15" s="911">
        <f t="shared" si="27"/>
        <v>6.5822580645161288</v>
      </c>
      <c r="AT15" s="917">
        <f t="shared" si="28"/>
        <v>10.762014823911231</v>
      </c>
      <c r="AU15" s="936">
        <f t="shared" si="60"/>
        <v>4.1797567593951026</v>
      </c>
      <c r="AV15" s="782"/>
      <c r="AW15" s="827">
        <f t="shared" ref="AW15:BC15" si="68">$J$15</f>
        <v>0.94032258064516128</v>
      </c>
      <c r="AX15" s="1051">
        <f t="shared" si="68"/>
        <v>0.94032258064516128</v>
      </c>
      <c r="AY15" s="1056">
        <f t="shared" si="68"/>
        <v>0.94032258064516128</v>
      </c>
      <c r="AZ15" s="1061">
        <f t="shared" si="68"/>
        <v>0.94032258064516128</v>
      </c>
      <c r="BA15" s="1064">
        <f t="shared" si="68"/>
        <v>0.94032258064516128</v>
      </c>
      <c r="BB15" s="1144">
        <f t="shared" si="68"/>
        <v>0.94032258064516128</v>
      </c>
      <c r="BC15" s="1148">
        <f t="shared" si="68"/>
        <v>0.94032258064516128</v>
      </c>
      <c r="BD15" s="782"/>
      <c r="BE15" s="911">
        <f t="shared" si="14"/>
        <v>6.5822580645161288</v>
      </c>
      <c r="BF15" s="917">
        <f t="shared" si="31"/>
        <v>6.8422788474189717</v>
      </c>
      <c r="BG15" s="936">
        <f t="shared" si="62"/>
        <v>0.26002078290284292</v>
      </c>
      <c r="BH15" s="61"/>
      <c r="BI15" s="40">
        <f t="shared" ref="BI15:BK15" si="69">$J$15</f>
        <v>0.94032258064516128</v>
      </c>
      <c r="BJ15" s="40">
        <f t="shared" si="69"/>
        <v>0.94032258064516128</v>
      </c>
      <c r="BK15" s="40">
        <f t="shared" si="69"/>
        <v>0.94032258064516128</v>
      </c>
      <c r="BL15" s="61"/>
      <c r="BM15" s="911">
        <f t="shared" si="34"/>
        <v>2.8209677419354837</v>
      </c>
      <c r="BN15" s="917">
        <f t="shared" si="35"/>
        <v>1.378811236349283</v>
      </c>
      <c r="BO15" s="936">
        <f t="shared" si="64"/>
        <v>-1.4421565055862007</v>
      </c>
      <c r="BQ15" s="40">
        <v>29.15</v>
      </c>
      <c r="BR15" s="51">
        <f t="shared" si="16"/>
        <v>1</v>
      </c>
      <c r="BT15" s="1211">
        <f t="shared" si="17"/>
        <v>29.15</v>
      </c>
      <c r="BU15" s="1016">
        <f t="shared" si="18"/>
        <v>1</v>
      </c>
      <c r="BV15" s="62"/>
      <c r="BX15" s="1031"/>
      <c r="BY15" s="1022"/>
      <c r="BZ15" s="271"/>
      <c r="CA15" s="271"/>
      <c r="CB15" s="271"/>
      <c r="CC15" s="271"/>
      <c r="CD15" s="271"/>
      <c r="CE15" s="271"/>
      <c r="CF15" s="1032"/>
    </row>
    <row r="16" spans="1:172" s="432" customFormat="1" x14ac:dyDescent="0.2">
      <c r="B16" s="3">
        <v>9</v>
      </c>
      <c r="C16" s="3" t="s">
        <v>114</v>
      </c>
      <c r="D16" s="814"/>
      <c r="E16" s="5">
        <v>25.5</v>
      </c>
      <c r="F16" s="5">
        <f t="shared" si="3"/>
        <v>2.5499999999999998</v>
      </c>
      <c r="G16" s="5">
        <f t="shared" si="4"/>
        <v>1.7</v>
      </c>
      <c r="H16" s="5">
        <f t="shared" si="5"/>
        <v>1.2749999999999999</v>
      </c>
      <c r="I16" s="5">
        <f t="shared" si="6"/>
        <v>1.02</v>
      </c>
      <c r="J16" s="5">
        <f t="shared" si="7"/>
        <v>0.82258064516129037</v>
      </c>
      <c r="K16" s="194">
        <f t="shared" si="8"/>
        <v>2.2367440024560328E-2</v>
      </c>
      <c r="L16" s="28"/>
      <c r="M16" s="347">
        <f t="shared" ref="M16:S16" si="70">$J$16</f>
        <v>0.82258064516129037</v>
      </c>
      <c r="N16" s="347">
        <f t="shared" si="70"/>
        <v>0.82258064516129037</v>
      </c>
      <c r="O16" s="347">
        <f t="shared" si="70"/>
        <v>0.82258064516129037</v>
      </c>
      <c r="P16" s="347">
        <f t="shared" si="70"/>
        <v>0.82258064516129037</v>
      </c>
      <c r="Q16" s="347">
        <f t="shared" si="70"/>
        <v>0.82258064516129037</v>
      </c>
      <c r="R16" s="347">
        <f t="shared" si="70"/>
        <v>0.82258064516129037</v>
      </c>
      <c r="S16" s="347">
        <f t="shared" si="70"/>
        <v>0.82258064516129037</v>
      </c>
      <c r="T16" s="481"/>
      <c r="U16" s="927">
        <f t="shared" si="10"/>
        <v>5.758064516129032</v>
      </c>
      <c r="V16" s="483">
        <f t="shared" si="20"/>
        <v>5.4554186219902636</v>
      </c>
      <c r="W16" s="939">
        <f t="shared" si="21"/>
        <v>-0.30264589413876841</v>
      </c>
      <c r="X16" s="781"/>
      <c r="Y16" s="347">
        <f t="shared" ref="Y16:AE16" si="71">$J$16</f>
        <v>0.82258064516129037</v>
      </c>
      <c r="Z16" s="347">
        <f t="shared" si="71"/>
        <v>0.82258064516129037</v>
      </c>
      <c r="AA16" s="347">
        <f t="shared" si="71"/>
        <v>0.82258064516129037</v>
      </c>
      <c r="AB16" s="347">
        <f t="shared" si="71"/>
        <v>0.82258064516129037</v>
      </c>
      <c r="AC16" s="347">
        <f t="shared" si="71"/>
        <v>0.82258064516129037</v>
      </c>
      <c r="AD16" s="347">
        <f t="shared" si="71"/>
        <v>0.82258064516129037</v>
      </c>
      <c r="AE16" s="347">
        <f t="shared" si="71"/>
        <v>0.82258064516129037</v>
      </c>
      <c r="AF16" s="781"/>
      <c r="AG16" s="927">
        <f t="shared" si="23"/>
        <v>5.758064516129032</v>
      </c>
      <c r="AH16" s="483">
        <f t="shared" si="24"/>
        <v>5.5000416648392614</v>
      </c>
      <c r="AI16" s="939">
        <f t="shared" si="25"/>
        <v>-0.25802285128977065</v>
      </c>
      <c r="AJ16" s="781"/>
      <c r="AK16" s="483">
        <f t="shared" ref="AK16:AQ16" si="72">$J$16</f>
        <v>0.82258064516129037</v>
      </c>
      <c r="AL16" s="483">
        <f t="shared" si="72"/>
        <v>0.82258064516129037</v>
      </c>
      <c r="AM16" s="483">
        <f t="shared" si="72"/>
        <v>0.82258064516129037</v>
      </c>
      <c r="AN16" s="483">
        <f t="shared" si="72"/>
        <v>0.82258064516129037</v>
      </c>
      <c r="AO16" s="483">
        <f t="shared" si="72"/>
        <v>0.82258064516129037</v>
      </c>
      <c r="AP16" s="483">
        <f t="shared" si="72"/>
        <v>0.82258064516129037</v>
      </c>
      <c r="AQ16" s="483">
        <f t="shared" si="72"/>
        <v>0.82258064516129037</v>
      </c>
      <c r="AR16" s="781"/>
      <c r="AS16" s="927">
        <f t="shared" si="27"/>
        <v>5.758064516129032</v>
      </c>
      <c r="AT16" s="483">
        <f t="shared" si="28"/>
        <v>9.4144555063374415</v>
      </c>
      <c r="AU16" s="939">
        <f t="shared" si="60"/>
        <v>3.6563909902084095</v>
      </c>
      <c r="AV16" s="781"/>
      <c r="AW16" s="483">
        <f t="shared" ref="AW16:AZ16" si="73">$J$16</f>
        <v>0.82258064516129037</v>
      </c>
      <c r="AX16" s="483">
        <f t="shared" si="73"/>
        <v>0.82258064516129037</v>
      </c>
      <c r="AY16" s="483">
        <f t="shared" si="73"/>
        <v>0.82258064516129037</v>
      </c>
      <c r="AZ16" s="483">
        <f t="shared" si="73"/>
        <v>0.82258064516129037</v>
      </c>
      <c r="BA16" s="483">
        <f>$J$16</f>
        <v>0.82258064516129037</v>
      </c>
      <c r="BB16" s="483">
        <f>$J$16</f>
        <v>0.82258064516129037</v>
      </c>
      <c r="BC16" s="483">
        <f>$J$16</f>
        <v>0.82258064516129037</v>
      </c>
      <c r="BD16" s="781"/>
      <c r="BE16" s="927">
        <f t="shared" si="14"/>
        <v>5.758064516129032</v>
      </c>
      <c r="BF16" s="483">
        <f t="shared" si="31"/>
        <v>5.9855269505723436</v>
      </c>
      <c r="BG16" s="939">
        <f t="shared" si="62"/>
        <v>0.2274624344433116</v>
      </c>
      <c r="BH16" s="481"/>
      <c r="BI16" s="347">
        <f>$J$16</f>
        <v>0.82258064516129037</v>
      </c>
      <c r="BJ16" s="347">
        <f>$J$16</f>
        <v>0.82258064516129037</v>
      </c>
      <c r="BK16" s="347">
        <f>$J$16</f>
        <v>0.82258064516129037</v>
      </c>
      <c r="BL16" s="481"/>
      <c r="BM16" s="927">
        <f t="shared" si="34"/>
        <v>2.467741935483871</v>
      </c>
      <c r="BN16" s="483">
        <f t="shared" si="35"/>
        <v>1.2061642033244155</v>
      </c>
      <c r="BO16" s="939">
        <f t="shared" si="64"/>
        <v>-1.2615777321594555</v>
      </c>
      <c r="BQ16" s="347">
        <v>25.5</v>
      </c>
      <c r="BR16" s="485">
        <f t="shared" si="16"/>
        <v>1</v>
      </c>
      <c r="BT16" s="1212">
        <f t="shared" si="17"/>
        <v>25.5</v>
      </c>
      <c r="BU16" s="1017">
        <f t="shared" si="18"/>
        <v>1</v>
      </c>
      <c r="BV16" s="482"/>
      <c r="BX16" s="1058"/>
      <c r="BY16" s="29" t="s">
        <v>157</v>
      </c>
      <c r="BZ16" s="1059">
        <f>BT1</f>
        <v>1</v>
      </c>
      <c r="CA16" s="1054"/>
      <c r="CB16" s="1054"/>
      <c r="CC16" s="1054"/>
      <c r="CD16" s="1054"/>
      <c r="CE16" s="1054"/>
      <c r="CF16" s="1060"/>
    </row>
    <row r="17" spans="1:84" s="255" customFormat="1" x14ac:dyDescent="0.2">
      <c r="A17" s="810"/>
      <c r="B17" s="43">
        <v>10</v>
      </c>
      <c r="C17" s="427" t="s">
        <v>116</v>
      </c>
      <c r="D17" s="812"/>
      <c r="E17" s="132">
        <v>25.5</v>
      </c>
      <c r="F17" s="132">
        <f t="shared" si="3"/>
        <v>2.5499999999999998</v>
      </c>
      <c r="G17" s="132">
        <f t="shared" si="4"/>
        <v>1.7</v>
      </c>
      <c r="H17" s="132">
        <f t="shared" si="5"/>
        <v>1.2749999999999999</v>
      </c>
      <c r="I17" s="132">
        <f t="shared" si="6"/>
        <v>1.02</v>
      </c>
      <c r="J17" s="132">
        <f t="shared" si="7"/>
        <v>0.82258064516129037</v>
      </c>
      <c r="K17" s="478">
        <f t="shared" si="8"/>
        <v>2.2367440024560328E-2</v>
      </c>
      <c r="L17" s="492"/>
      <c r="M17" s="40">
        <f t="shared" ref="M17:S17" si="74">$J$17</f>
        <v>0.82258064516129037</v>
      </c>
      <c r="N17" s="40">
        <f t="shared" si="74"/>
        <v>0.82258064516129037</v>
      </c>
      <c r="O17" s="40">
        <f t="shared" si="74"/>
        <v>0.82258064516129037</v>
      </c>
      <c r="P17" s="40">
        <f t="shared" si="74"/>
        <v>0.82258064516129037</v>
      </c>
      <c r="Q17" s="40">
        <f t="shared" si="74"/>
        <v>0.82258064516129037</v>
      </c>
      <c r="R17" s="40">
        <f t="shared" si="74"/>
        <v>0.82258064516129037</v>
      </c>
      <c r="S17" s="40">
        <f t="shared" si="74"/>
        <v>0.82258064516129037</v>
      </c>
      <c r="T17" s="61"/>
      <c r="U17" s="911">
        <f t="shared" si="10"/>
        <v>5.758064516129032</v>
      </c>
      <c r="V17" s="917">
        <f t="shared" si="20"/>
        <v>5.4554186219902636</v>
      </c>
      <c r="W17" s="936">
        <f t="shared" si="21"/>
        <v>-0.30264589413876841</v>
      </c>
      <c r="X17" s="782"/>
      <c r="Y17" s="40">
        <f t="shared" ref="Y17:AE17" si="75">$J$17</f>
        <v>0.82258064516129037</v>
      </c>
      <c r="Z17" s="40">
        <f t="shared" si="75"/>
        <v>0.82258064516129037</v>
      </c>
      <c r="AA17" s="40">
        <f t="shared" si="75"/>
        <v>0.82258064516129037</v>
      </c>
      <c r="AB17" s="40">
        <f t="shared" si="75"/>
        <v>0.82258064516129037</v>
      </c>
      <c r="AC17" s="40">
        <f t="shared" si="75"/>
        <v>0.82258064516129037</v>
      </c>
      <c r="AD17" s="40">
        <f t="shared" si="75"/>
        <v>0.82258064516129037</v>
      </c>
      <c r="AE17" s="40">
        <f t="shared" si="75"/>
        <v>0.82258064516129037</v>
      </c>
      <c r="AF17" s="782"/>
      <c r="AG17" s="911">
        <f t="shared" si="23"/>
        <v>5.758064516129032</v>
      </c>
      <c r="AH17" s="917">
        <f t="shared" si="24"/>
        <v>5.5000416648392614</v>
      </c>
      <c r="AI17" s="936">
        <f t="shared" si="25"/>
        <v>-0.25802285128977065</v>
      </c>
      <c r="AJ17" s="782"/>
      <c r="AK17" s="827">
        <f t="shared" ref="AK17:AQ17" si="76">$J$17</f>
        <v>0.82258064516129037</v>
      </c>
      <c r="AL17" s="1041">
        <f t="shared" si="76"/>
        <v>0.82258064516129037</v>
      </c>
      <c r="AM17" s="1045">
        <f t="shared" si="76"/>
        <v>0.82258064516129037</v>
      </c>
      <c r="AN17" s="1045">
        <f t="shared" si="76"/>
        <v>0.82258064516129037</v>
      </c>
      <c r="AO17" s="1048">
        <f t="shared" si="76"/>
        <v>0.82258064516129037</v>
      </c>
      <c r="AP17" s="1048">
        <f t="shared" si="76"/>
        <v>0.82258064516129037</v>
      </c>
      <c r="AQ17" s="1049">
        <f t="shared" si="76"/>
        <v>0.82258064516129037</v>
      </c>
      <c r="AR17" s="782"/>
      <c r="AS17" s="911">
        <f t="shared" si="27"/>
        <v>5.758064516129032</v>
      </c>
      <c r="AT17" s="917">
        <f t="shared" si="28"/>
        <v>9.4144555063374415</v>
      </c>
      <c r="AU17" s="936">
        <f t="shared" si="60"/>
        <v>3.6563909902084095</v>
      </c>
      <c r="AV17" s="782"/>
      <c r="AW17" s="827">
        <f t="shared" ref="AW17:BC17" si="77">$J$17</f>
        <v>0.82258064516129037</v>
      </c>
      <c r="AX17" s="1051">
        <f t="shared" si="77"/>
        <v>0.82258064516129037</v>
      </c>
      <c r="AY17" s="1056">
        <f t="shared" si="77"/>
        <v>0.82258064516129037</v>
      </c>
      <c r="AZ17" s="1061">
        <f t="shared" si="77"/>
        <v>0.82258064516129037</v>
      </c>
      <c r="BA17" s="1064">
        <f t="shared" si="77"/>
        <v>0.82258064516129037</v>
      </c>
      <c r="BB17" s="1144">
        <f t="shared" si="77"/>
        <v>0.82258064516129037</v>
      </c>
      <c r="BC17" s="1148">
        <f t="shared" si="77"/>
        <v>0.82258064516129037</v>
      </c>
      <c r="BD17" s="782"/>
      <c r="BE17" s="911">
        <f t="shared" si="14"/>
        <v>5.758064516129032</v>
      </c>
      <c r="BF17" s="917">
        <f t="shared" si="31"/>
        <v>5.9855269505723436</v>
      </c>
      <c r="BG17" s="936">
        <f t="shared" si="62"/>
        <v>0.2274624344433116</v>
      </c>
      <c r="BH17" s="61"/>
      <c r="BI17" s="40">
        <f t="shared" ref="BI17:BK17" si="78">$J$17</f>
        <v>0.82258064516129037</v>
      </c>
      <c r="BJ17" s="40">
        <f t="shared" si="78"/>
        <v>0.82258064516129037</v>
      </c>
      <c r="BK17" s="40">
        <f t="shared" si="78"/>
        <v>0.82258064516129037</v>
      </c>
      <c r="BL17" s="61"/>
      <c r="BM17" s="911">
        <f t="shared" si="34"/>
        <v>2.467741935483871</v>
      </c>
      <c r="BN17" s="917">
        <f t="shared" si="35"/>
        <v>1.2061642033244155</v>
      </c>
      <c r="BO17" s="936">
        <f t="shared" si="64"/>
        <v>-1.2615777321594555</v>
      </c>
      <c r="BQ17" s="40">
        <v>25.5</v>
      </c>
      <c r="BR17" s="51">
        <f t="shared" si="16"/>
        <v>1</v>
      </c>
      <c r="BT17" s="1211">
        <f t="shared" si="17"/>
        <v>25.5</v>
      </c>
      <c r="BU17" s="1016">
        <f t="shared" si="18"/>
        <v>1</v>
      </c>
      <c r="BV17" s="62"/>
      <c r="BX17" s="1034"/>
      <c r="BY17" s="271"/>
      <c r="BZ17" s="271"/>
      <c r="CA17" s="271"/>
      <c r="CB17" s="271"/>
      <c r="CC17" s="271"/>
      <c r="CD17" s="271"/>
      <c r="CE17" s="271"/>
      <c r="CF17" s="1032"/>
    </row>
    <row r="18" spans="1:84" s="833" customFormat="1" x14ac:dyDescent="0.2">
      <c r="A18" s="842"/>
      <c r="B18" s="834">
        <v>11</v>
      </c>
      <c r="C18" s="1011" t="s">
        <v>123</v>
      </c>
      <c r="D18" s="835"/>
      <c r="E18" s="996">
        <v>25</v>
      </c>
      <c r="F18" s="996"/>
      <c r="G18" s="996"/>
      <c r="H18" s="996"/>
      <c r="I18" s="996"/>
      <c r="J18" s="996">
        <f t="shared" si="7"/>
        <v>0.80645161290322576</v>
      </c>
      <c r="K18" s="997">
        <f t="shared" si="8"/>
        <v>2.1928862769176792E-2</v>
      </c>
      <c r="L18" s="877"/>
      <c r="M18" s="89">
        <f t="shared" ref="M18:S18" si="79">$J$18</f>
        <v>0.80645161290322576</v>
      </c>
      <c r="N18" s="89">
        <f t="shared" si="79"/>
        <v>0.80645161290322576</v>
      </c>
      <c r="O18" s="89">
        <f t="shared" si="79"/>
        <v>0.80645161290322576</v>
      </c>
      <c r="P18" s="89">
        <f t="shared" si="79"/>
        <v>0.80645161290322576</v>
      </c>
      <c r="Q18" s="89">
        <f t="shared" si="79"/>
        <v>0.80645161290322576</v>
      </c>
      <c r="R18" s="89">
        <f t="shared" si="79"/>
        <v>0.80645161290322576</v>
      </c>
      <c r="S18" s="89">
        <f t="shared" si="79"/>
        <v>0.80645161290322576</v>
      </c>
      <c r="T18" s="841"/>
      <c r="U18" s="998">
        <f t="shared" si="10"/>
        <v>5.645161290322581</v>
      </c>
      <c r="V18" s="999">
        <f t="shared" si="20"/>
        <v>5.3484496294022197</v>
      </c>
      <c r="W18" s="1000">
        <f t="shared" si="21"/>
        <v>-0.29671166092036128</v>
      </c>
      <c r="X18" s="838"/>
      <c r="Y18" s="89">
        <f t="shared" ref="Y18:AE18" si="80">$J$18</f>
        <v>0.80645161290322576</v>
      </c>
      <c r="Z18" s="89">
        <f t="shared" si="80"/>
        <v>0.80645161290322576</v>
      </c>
      <c r="AA18" s="89">
        <f t="shared" si="80"/>
        <v>0.80645161290322576</v>
      </c>
      <c r="AB18" s="89">
        <f t="shared" si="80"/>
        <v>0.80645161290322576</v>
      </c>
      <c r="AC18" s="89">
        <f t="shared" si="80"/>
        <v>0.80645161290322576</v>
      </c>
      <c r="AD18" s="89">
        <f t="shared" si="80"/>
        <v>0.80645161290322576</v>
      </c>
      <c r="AE18" s="89">
        <f t="shared" si="80"/>
        <v>0.80645161290322576</v>
      </c>
      <c r="AF18" s="838"/>
      <c r="AG18" s="998">
        <f t="shared" si="23"/>
        <v>5.645161290322581</v>
      </c>
      <c r="AH18" s="999">
        <f t="shared" si="24"/>
        <v>5.3921977106267267</v>
      </c>
      <c r="AI18" s="1000">
        <f t="shared" si="25"/>
        <v>-0.25296357969585426</v>
      </c>
      <c r="AJ18" s="838"/>
      <c r="AK18" s="999">
        <f t="shared" ref="AK18:AQ18" si="81">$J$18</f>
        <v>0.80645161290322576</v>
      </c>
      <c r="AL18" s="999">
        <f t="shared" si="81"/>
        <v>0.80645161290322576</v>
      </c>
      <c r="AM18" s="999">
        <f t="shared" si="81"/>
        <v>0.80645161290322576</v>
      </c>
      <c r="AN18" s="999">
        <f t="shared" si="81"/>
        <v>0.80645161290322576</v>
      </c>
      <c r="AO18" s="999">
        <f t="shared" si="81"/>
        <v>0.80645161290322576</v>
      </c>
      <c r="AP18" s="999">
        <f t="shared" si="81"/>
        <v>0.80645161290322576</v>
      </c>
      <c r="AQ18" s="999">
        <f t="shared" si="81"/>
        <v>0.80645161290322576</v>
      </c>
      <c r="AR18" s="838"/>
      <c r="AS18" s="998">
        <f t="shared" si="27"/>
        <v>5.645161290322581</v>
      </c>
      <c r="AT18" s="999">
        <f t="shared" si="28"/>
        <v>9.2298583395465119</v>
      </c>
      <c r="AU18" s="1000">
        <f t="shared" si="60"/>
        <v>3.584697049223931</v>
      </c>
      <c r="AV18" s="838"/>
      <c r="AW18" s="999">
        <f t="shared" ref="AW18:BC18" si="82">$J$18</f>
        <v>0.80645161290322576</v>
      </c>
      <c r="AX18" s="999">
        <f t="shared" si="82"/>
        <v>0.80645161290322576</v>
      </c>
      <c r="AY18" s="999">
        <f t="shared" si="82"/>
        <v>0.80645161290322576</v>
      </c>
      <c r="AZ18" s="999">
        <f t="shared" si="82"/>
        <v>0.80645161290322576</v>
      </c>
      <c r="BA18" s="999">
        <f t="shared" si="82"/>
        <v>0.80645161290322576</v>
      </c>
      <c r="BB18" s="999">
        <f t="shared" si="82"/>
        <v>0.80645161290322576</v>
      </c>
      <c r="BC18" s="999">
        <f t="shared" si="82"/>
        <v>0.80645161290322576</v>
      </c>
      <c r="BD18" s="838"/>
      <c r="BE18" s="998">
        <f t="shared" si="14"/>
        <v>5.645161290322581</v>
      </c>
      <c r="BF18" s="999">
        <f t="shared" si="31"/>
        <v>5.8681636770317089</v>
      </c>
      <c r="BG18" s="1000">
        <f t="shared" si="62"/>
        <v>0.22300238670912798</v>
      </c>
      <c r="BH18" s="841"/>
      <c r="BI18" s="996">
        <f t="shared" ref="BI18:BK18" si="83">$J$18</f>
        <v>0.80645161290322576</v>
      </c>
      <c r="BJ18" s="996">
        <f t="shared" si="83"/>
        <v>0.80645161290322576</v>
      </c>
      <c r="BK18" s="996">
        <f t="shared" si="83"/>
        <v>0.80645161290322576</v>
      </c>
      <c r="BL18" s="841"/>
      <c r="BM18" s="998">
        <f t="shared" si="34"/>
        <v>2.419354838709677</v>
      </c>
      <c r="BN18" s="999">
        <f t="shared" si="35"/>
        <v>1.1825139248278584</v>
      </c>
      <c r="BO18" s="1000">
        <f t="shared" si="64"/>
        <v>-1.2368409138818186</v>
      </c>
      <c r="BQ18" s="89">
        <v>25</v>
      </c>
      <c r="BR18" s="839">
        <f t="shared" si="16"/>
        <v>1</v>
      </c>
      <c r="BT18" s="1213">
        <f t="shared" si="17"/>
        <v>25</v>
      </c>
      <c r="BU18" s="1018">
        <f t="shared" si="18"/>
        <v>1</v>
      </c>
      <c r="BV18" s="840"/>
      <c r="BX18" s="1031"/>
      <c r="BY18" s="226"/>
      <c r="BZ18" s="271"/>
      <c r="CA18" s="271"/>
      <c r="CB18" s="271"/>
      <c r="CC18" s="271"/>
      <c r="CD18" s="271"/>
      <c r="CE18" s="271"/>
      <c r="CF18" s="1032"/>
    </row>
    <row r="19" spans="1:84" s="426" customFormat="1" x14ac:dyDescent="0.2">
      <c r="B19" s="427">
        <v>12</v>
      </c>
      <c r="C19" s="427" t="s">
        <v>43</v>
      </c>
      <c r="D19" s="812"/>
      <c r="E19" s="132">
        <v>20</v>
      </c>
      <c r="F19" s="132">
        <f t="shared" ref="F19:F24" si="84">E19/10</f>
        <v>2</v>
      </c>
      <c r="G19" s="132">
        <f t="shared" ref="G19:G24" si="85">E19/15</f>
        <v>1.3333333333333333</v>
      </c>
      <c r="H19" s="132">
        <f t="shared" ref="H19:H24" si="86">E19/20</f>
        <v>1</v>
      </c>
      <c r="I19" s="132">
        <f t="shared" ref="I19:I24" si="87">E19/25</f>
        <v>0.8</v>
      </c>
      <c r="J19" s="132">
        <f t="shared" si="7"/>
        <v>0.64516129032258063</v>
      </c>
      <c r="K19" s="478">
        <f t="shared" si="8"/>
        <v>1.7543090215341433E-2</v>
      </c>
      <c r="L19" s="492"/>
      <c r="M19" s="132">
        <f t="shared" ref="M19:S19" si="88">$J$19</f>
        <v>0.64516129032258063</v>
      </c>
      <c r="N19" s="132">
        <f t="shared" si="88"/>
        <v>0.64516129032258063</v>
      </c>
      <c r="O19" s="132">
        <f t="shared" si="88"/>
        <v>0.64516129032258063</v>
      </c>
      <c r="P19" s="132">
        <f t="shared" si="88"/>
        <v>0.64516129032258063</v>
      </c>
      <c r="Q19" s="132">
        <f t="shared" si="88"/>
        <v>0.64516129032258063</v>
      </c>
      <c r="R19" s="132">
        <f t="shared" si="88"/>
        <v>0.64516129032258063</v>
      </c>
      <c r="S19" s="132">
        <f t="shared" si="88"/>
        <v>0.64516129032258063</v>
      </c>
      <c r="T19" s="479"/>
      <c r="U19" s="925">
        <f t="shared" si="10"/>
        <v>4.5161290322580641</v>
      </c>
      <c r="V19" s="440">
        <f t="shared" si="20"/>
        <v>4.2787597035217759</v>
      </c>
      <c r="W19" s="929">
        <f t="shared" si="21"/>
        <v>-0.23736932873628813</v>
      </c>
      <c r="X19" s="779"/>
      <c r="Y19" s="132">
        <f t="shared" ref="Y19:AE19" si="89">$J$19</f>
        <v>0.64516129032258063</v>
      </c>
      <c r="Z19" s="132">
        <f t="shared" si="89"/>
        <v>0.64516129032258063</v>
      </c>
      <c r="AA19" s="132">
        <f t="shared" si="89"/>
        <v>0.64516129032258063</v>
      </c>
      <c r="AB19" s="132">
        <f t="shared" si="89"/>
        <v>0.64516129032258063</v>
      </c>
      <c r="AC19" s="132">
        <f t="shared" si="89"/>
        <v>0.64516129032258063</v>
      </c>
      <c r="AD19" s="132">
        <f t="shared" si="89"/>
        <v>0.64516129032258063</v>
      </c>
      <c r="AE19" s="132">
        <f t="shared" si="89"/>
        <v>0.64516129032258063</v>
      </c>
      <c r="AF19" s="779"/>
      <c r="AG19" s="925">
        <f t="shared" si="23"/>
        <v>4.5161290322580641</v>
      </c>
      <c r="AH19" s="440">
        <f t="shared" si="24"/>
        <v>4.3137581685013808</v>
      </c>
      <c r="AI19" s="929">
        <f t="shared" si="25"/>
        <v>-0.20237086375668323</v>
      </c>
      <c r="AJ19" s="779"/>
      <c r="AK19" s="440">
        <f t="shared" ref="AK19:AQ19" si="90">$J$19</f>
        <v>0.64516129032258063</v>
      </c>
      <c r="AL19" s="440">
        <f t="shared" si="90"/>
        <v>0.64516129032258063</v>
      </c>
      <c r="AM19" s="440">
        <f t="shared" si="90"/>
        <v>0.64516129032258063</v>
      </c>
      <c r="AN19" s="440">
        <f t="shared" si="90"/>
        <v>0.64516129032258063</v>
      </c>
      <c r="AO19" s="440">
        <f t="shared" si="90"/>
        <v>0.64516129032258063</v>
      </c>
      <c r="AP19" s="440">
        <f t="shared" si="90"/>
        <v>0.64516129032258063</v>
      </c>
      <c r="AQ19" s="440">
        <f t="shared" si="90"/>
        <v>0.64516129032258063</v>
      </c>
      <c r="AR19" s="779"/>
      <c r="AS19" s="925">
        <f t="shared" si="27"/>
        <v>4.5161290322580641</v>
      </c>
      <c r="AT19" s="440">
        <f t="shared" si="28"/>
        <v>7.3838866716372085</v>
      </c>
      <c r="AU19" s="929">
        <f t="shared" si="60"/>
        <v>2.8677576393791444</v>
      </c>
      <c r="AV19" s="779"/>
      <c r="AW19" s="440">
        <f t="shared" ref="AW19:BC19" si="91">$J$19</f>
        <v>0.64516129032258063</v>
      </c>
      <c r="AX19" s="440">
        <f t="shared" si="91"/>
        <v>0.64516129032258063</v>
      </c>
      <c r="AY19" s="440">
        <f t="shared" si="91"/>
        <v>0.64516129032258063</v>
      </c>
      <c r="AZ19" s="440">
        <f t="shared" si="91"/>
        <v>0.64516129032258063</v>
      </c>
      <c r="BA19" s="440">
        <f t="shared" si="91"/>
        <v>0.64516129032258063</v>
      </c>
      <c r="BB19" s="440">
        <f t="shared" si="91"/>
        <v>0.64516129032258063</v>
      </c>
      <c r="BC19" s="440">
        <f t="shared" si="91"/>
        <v>0.64516129032258063</v>
      </c>
      <c r="BD19" s="779"/>
      <c r="BE19" s="925">
        <f t="shared" si="14"/>
        <v>4.5161290322580641</v>
      </c>
      <c r="BF19" s="440">
        <f t="shared" si="31"/>
        <v>4.6945309416253673</v>
      </c>
      <c r="BG19" s="929">
        <f t="shared" si="62"/>
        <v>0.17840190936730327</v>
      </c>
      <c r="BH19" s="479"/>
      <c r="BI19" s="132">
        <f t="shared" ref="BI19:BK19" si="92">$J$19</f>
        <v>0.64516129032258063</v>
      </c>
      <c r="BJ19" s="132">
        <f t="shared" si="92"/>
        <v>0.64516129032258063</v>
      </c>
      <c r="BK19" s="132">
        <f t="shared" si="92"/>
        <v>0.64516129032258063</v>
      </c>
      <c r="BL19" s="479"/>
      <c r="BM19" s="925">
        <f t="shared" si="34"/>
        <v>1.935483870967742</v>
      </c>
      <c r="BN19" s="440">
        <f t="shared" si="35"/>
        <v>0.94601113986228669</v>
      </c>
      <c r="BO19" s="929">
        <f t="shared" si="64"/>
        <v>-0.98947273110545531</v>
      </c>
      <c r="BQ19" s="132">
        <v>20</v>
      </c>
      <c r="BR19" s="641">
        <f t="shared" si="16"/>
        <v>1</v>
      </c>
      <c r="BT19" s="1211">
        <f t="shared" si="17"/>
        <v>20</v>
      </c>
      <c r="BU19" s="1014">
        <f t="shared" si="18"/>
        <v>1</v>
      </c>
      <c r="BV19" s="480"/>
      <c r="BX19" s="1035"/>
      <c r="BY19" s="81" t="s">
        <v>155</v>
      </c>
      <c r="BZ19" s="81" t="s">
        <v>156</v>
      </c>
      <c r="CA19" s="81"/>
      <c r="CB19" s="81"/>
      <c r="CC19" s="81"/>
      <c r="CD19" s="81"/>
      <c r="CE19" s="81"/>
      <c r="CF19" s="1029"/>
    </row>
    <row r="20" spans="1:84" s="833" customFormat="1" x14ac:dyDescent="0.2">
      <c r="B20" s="201">
        <v>13</v>
      </c>
      <c r="C20" s="834" t="s">
        <v>144</v>
      </c>
      <c r="D20" s="835"/>
      <c r="E20" s="89">
        <v>12</v>
      </c>
      <c r="F20" s="89">
        <f t="shared" si="84"/>
        <v>1.2</v>
      </c>
      <c r="G20" s="89">
        <f t="shared" si="85"/>
        <v>0.8</v>
      </c>
      <c r="H20" s="89">
        <f t="shared" si="86"/>
        <v>0.6</v>
      </c>
      <c r="I20" s="89">
        <f t="shared" si="87"/>
        <v>0.48</v>
      </c>
      <c r="J20" s="89">
        <f t="shared" si="7"/>
        <v>0.38709677419354838</v>
      </c>
      <c r="K20" s="836">
        <f t="shared" si="8"/>
        <v>1.052585412920486E-2</v>
      </c>
      <c r="L20" s="877"/>
      <c r="M20" s="89">
        <f t="shared" ref="M20:S20" si="93">$J$20</f>
        <v>0.38709677419354838</v>
      </c>
      <c r="N20" s="89">
        <f t="shared" si="93"/>
        <v>0.38709677419354838</v>
      </c>
      <c r="O20" s="89">
        <f t="shared" si="93"/>
        <v>0.38709677419354838</v>
      </c>
      <c r="P20" s="89">
        <f t="shared" si="93"/>
        <v>0.38709677419354838</v>
      </c>
      <c r="Q20" s="89">
        <f t="shared" si="93"/>
        <v>0.38709677419354838</v>
      </c>
      <c r="R20" s="89">
        <f t="shared" si="93"/>
        <v>0.38709677419354838</v>
      </c>
      <c r="S20" s="89">
        <f t="shared" si="93"/>
        <v>0.38709677419354838</v>
      </c>
      <c r="T20" s="841"/>
      <c r="U20" s="942">
        <f t="shared" ref="U20" si="94">SUM(M20:S20)</f>
        <v>2.709677419354839</v>
      </c>
      <c r="V20" s="837">
        <f t="shared" ref="V20" si="95">($U$3*K20)*30%</f>
        <v>2.5672558221130655</v>
      </c>
      <c r="W20" s="943">
        <f t="shared" ref="W20" si="96">V20-U20</f>
        <v>-0.1424215972417735</v>
      </c>
      <c r="X20" s="838"/>
      <c r="Y20" s="89">
        <f t="shared" ref="Y20:AE20" si="97">$J$20</f>
        <v>0.38709677419354838</v>
      </c>
      <c r="Z20" s="89">
        <f t="shared" si="97"/>
        <v>0.38709677419354838</v>
      </c>
      <c r="AA20" s="89">
        <f t="shared" si="97"/>
        <v>0.38709677419354838</v>
      </c>
      <c r="AB20" s="89">
        <f t="shared" si="97"/>
        <v>0.38709677419354838</v>
      </c>
      <c r="AC20" s="89">
        <f t="shared" si="97"/>
        <v>0.38709677419354838</v>
      </c>
      <c r="AD20" s="89">
        <f t="shared" si="97"/>
        <v>0.38709677419354838</v>
      </c>
      <c r="AE20" s="89">
        <f t="shared" si="97"/>
        <v>0.38709677419354838</v>
      </c>
      <c r="AF20" s="838"/>
      <c r="AG20" s="942">
        <f t="shared" ref="AG20" si="98">SUM(Y20:AE20)</f>
        <v>2.709677419354839</v>
      </c>
      <c r="AH20" s="837">
        <f t="shared" ref="AH20" si="99">($AG$3*K20)*30%</f>
        <v>2.5882549011008291</v>
      </c>
      <c r="AI20" s="943">
        <f t="shared" ref="AI20" si="100">AH20-AG20</f>
        <v>-0.12142251825400985</v>
      </c>
      <c r="AJ20" s="838"/>
      <c r="AK20" s="837">
        <f t="shared" ref="AK20:AQ20" si="101">$J$20</f>
        <v>0.38709677419354838</v>
      </c>
      <c r="AL20" s="837">
        <f t="shared" si="101"/>
        <v>0.38709677419354838</v>
      </c>
      <c r="AM20" s="837">
        <f t="shared" si="101"/>
        <v>0.38709677419354838</v>
      </c>
      <c r="AN20" s="837">
        <f t="shared" si="101"/>
        <v>0.38709677419354838</v>
      </c>
      <c r="AO20" s="837">
        <f t="shared" si="101"/>
        <v>0.38709677419354838</v>
      </c>
      <c r="AP20" s="837">
        <f t="shared" si="101"/>
        <v>0.38709677419354838</v>
      </c>
      <c r="AQ20" s="837">
        <f t="shared" si="101"/>
        <v>0.38709677419354838</v>
      </c>
      <c r="AR20" s="838"/>
      <c r="AS20" s="942">
        <f t="shared" ref="AS20" si="102">SUM(AK20:AQ20)</f>
        <v>2.709677419354839</v>
      </c>
      <c r="AT20" s="837">
        <f t="shared" ref="AT20" si="103">($AS$3*K20)*30%</f>
        <v>4.4303320029823254</v>
      </c>
      <c r="AU20" s="943">
        <f t="shared" ref="AU20" si="104">AT20-AS20</f>
        <v>1.7206545836274865</v>
      </c>
      <c r="AV20" s="838"/>
      <c r="AW20" s="837">
        <f t="shared" ref="AW20:BC20" si="105">$J$20</f>
        <v>0.38709677419354838</v>
      </c>
      <c r="AX20" s="837">
        <f t="shared" si="105"/>
        <v>0.38709677419354838</v>
      </c>
      <c r="AY20" s="837">
        <f t="shared" si="105"/>
        <v>0.38709677419354838</v>
      </c>
      <c r="AZ20" s="837">
        <f t="shared" si="105"/>
        <v>0.38709677419354838</v>
      </c>
      <c r="BA20" s="837">
        <f t="shared" si="105"/>
        <v>0.38709677419354838</v>
      </c>
      <c r="BB20" s="837">
        <f t="shared" si="105"/>
        <v>0.38709677419354838</v>
      </c>
      <c r="BC20" s="837">
        <f t="shared" si="105"/>
        <v>0.38709677419354838</v>
      </c>
      <c r="BD20" s="838"/>
      <c r="BE20" s="942">
        <f t="shared" ref="BE20" si="106">SUM(AW20:BC20)</f>
        <v>2.709677419354839</v>
      </c>
      <c r="BF20" s="837">
        <f t="shared" ref="BF20" si="107">($BE$3*K20)*30%</f>
        <v>2.8167185649752202</v>
      </c>
      <c r="BG20" s="943">
        <f t="shared" ref="BG20" si="108">BF20-BE20</f>
        <v>0.10704114562038125</v>
      </c>
      <c r="BH20" s="841"/>
      <c r="BI20" s="89">
        <f t="shared" ref="BI20:BK20" si="109">$J$20</f>
        <v>0.38709677419354838</v>
      </c>
      <c r="BJ20" s="89">
        <f t="shared" si="109"/>
        <v>0.38709677419354838</v>
      </c>
      <c r="BK20" s="89">
        <f t="shared" si="109"/>
        <v>0.38709677419354838</v>
      </c>
      <c r="BL20" s="841"/>
      <c r="BM20" s="942">
        <f t="shared" si="34"/>
        <v>1.161290322580645</v>
      </c>
      <c r="BN20" s="837">
        <f t="shared" si="35"/>
        <v>0.56760668391737201</v>
      </c>
      <c r="BO20" s="943">
        <f t="shared" ref="BO20" si="110">BN20-BM20</f>
        <v>-0.59368363866327301</v>
      </c>
      <c r="BQ20" s="89">
        <v>12</v>
      </c>
      <c r="BR20" s="839">
        <f t="shared" si="16"/>
        <v>1</v>
      </c>
      <c r="BT20" s="1213">
        <f t="shared" si="17"/>
        <v>12</v>
      </c>
      <c r="BU20" s="1018">
        <f t="shared" si="18"/>
        <v>1</v>
      </c>
      <c r="BV20" s="840"/>
      <c r="BX20" s="1036" t="s">
        <v>159</v>
      </c>
      <c r="BY20" s="847">
        <v>0.5</v>
      </c>
      <c r="BZ20" s="226" t="str">
        <f>IF(BZ16&lt;=BY20,BZ16," ")</f>
        <v xml:space="preserve"> </v>
      </c>
      <c r="CA20" s="271"/>
      <c r="CB20" s="271"/>
      <c r="CC20" s="271"/>
      <c r="CD20" s="271"/>
      <c r="CE20" s="271"/>
      <c r="CF20" s="1032"/>
    </row>
    <row r="21" spans="1:84" s="255" customFormat="1" x14ac:dyDescent="0.2">
      <c r="A21" s="426"/>
      <c r="B21" s="427">
        <v>14</v>
      </c>
      <c r="C21" s="427" t="s">
        <v>131</v>
      </c>
      <c r="D21" s="812"/>
      <c r="E21" s="132">
        <v>10</v>
      </c>
      <c r="F21" s="132">
        <f t="shared" si="84"/>
        <v>1</v>
      </c>
      <c r="G21" s="132">
        <f t="shared" si="85"/>
        <v>0.66666666666666663</v>
      </c>
      <c r="H21" s="132">
        <f t="shared" si="86"/>
        <v>0.5</v>
      </c>
      <c r="I21" s="132">
        <f t="shared" si="87"/>
        <v>0.4</v>
      </c>
      <c r="J21" s="132">
        <f t="shared" si="7"/>
        <v>0.32258064516129031</v>
      </c>
      <c r="K21" s="478">
        <f t="shared" si="8"/>
        <v>8.7715451076707165E-3</v>
      </c>
      <c r="L21" s="411"/>
      <c r="M21" s="40">
        <f t="shared" ref="M21:S21" si="111">$J$21</f>
        <v>0.32258064516129031</v>
      </c>
      <c r="N21" s="40">
        <f t="shared" si="111"/>
        <v>0.32258064516129031</v>
      </c>
      <c r="O21" s="40">
        <f t="shared" si="111"/>
        <v>0.32258064516129031</v>
      </c>
      <c r="P21" s="40">
        <f t="shared" si="111"/>
        <v>0.32258064516129031</v>
      </c>
      <c r="Q21" s="40">
        <f t="shared" si="111"/>
        <v>0.32258064516129031</v>
      </c>
      <c r="R21" s="40">
        <f t="shared" si="111"/>
        <v>0.32258064516129031</v>
      </c>
      <c r="S21" s="40">
        <f t="shared" si="111"/>
        <v>0.32258064516129031</v>
      </c>
      <c r="T21" s="61"/>
      <c r="U21" s="911">
        <f t="shared" si="10"/>
        <v>2.258064516129032</v>
      </c>
      <c r="V21" s="994">
        <f t="shared" si="20"/>
        <v>2.139379851760888</v>
      </c>
      <c r="W21" s="936">
        <f t="shared" si="21"/>
        <v>-0.11868466436814407</v>
      </c>
      <c r="X21" s="782"/>
      <c r="Y21" s="40">
        <f t="shared" ref="Y21:AE21" si="112">$J$21</f>
        <v>0.32258064516129031</v>
      </c>
      <c r="Z21" s="40">
        <f t="shared" si="112"/>
        <v>0.32258064516129031</v>
      </c>
      <c r="AA21" s="40">
        <f t="shared" si="112"/>
        <v>0.32258064516129031</v>
      </c>
      <c r="AB21" s="40">
        <f t="shared" si="112"/>
        <v>0.32258064516129031</v>
      </c>
      <c r="AC21" s="40">
        <f t="shared" si="112"/>
        <v>0.32258064516129031</v>
      </c>
      <c r="AD21" s="40">
        <f t="shared" si="112"/>
        <v>0.32258064516129031</v>
      </c>
      <c r="AE21" s="40">
        <f t="shared" si="112"/>
        <v>0.32258064516129031</v>
      </c>
      <c r="AF21" s="782"/>
      <c r="AG21" s="911">
        <f t="shared" si="23"/>
        <v>2.258064516129032</v>
      </c>
      <c r="AH21" s="994">
        <f t="shared" si="24"/>
        <v>2.1568790842506904</v>
      </c>
      <c r="AI21" s="936">
        <f t="shared" si="25"/>
        <v>-0.10118543187834161</v>
      </c>
      <c r="AJ21" s="782"/>
      <c r="AK21" s="994">
        <f t="shared" ref="AK21:AQ21" si="113">$J$21</f>
        <v>0.32258064516129031</v>
      </c>
      <c r="AL21" s="1041">
        <f t="shared" si="113"/>
        <v>0.32258064516129031</v>
      </c>
      <c r="AM21" s="1045">
        <f t="shared" si="113"/>
        <v>0.32258064516129031</v>
      </c>
      <c r="AN21" s="1045">
        <f t="shared" si="113"/>
        <v>0.32258064516129031</v>
      </c>
      <c r="AO21" s="1048">
        <f t="shared" si="113"/>
        <v>0.32258064516129031</v>
      </c>
      <c r="AP21" s="1048">
        <f t="shared" si="113"/>
        <v>0.32258064516129031</v>
      </c>
      <c r="AQ21" s="1049">
        <f t="shared" si="113"/>
        <v>0.32258064516129031</v>
      </c>
      <c r="AR21" s="782"/>
      <c r="AS21" s="911">
        <f t="shared" si="27"/>
        <v>2.258064516129032</v>
      </c>
      <c r="AT21" s="994">
        <f t="shared" si="28"/>
        <v>3.6919433358186042</v>
      </c>
      <c r="AU21" s="936">
        <f t="shared" si="60"/>
        <v>1.4338788196895722</v>
      </c>
      <c r="AV21" s="782"/>
      <c r="AW21" s="994">
        <f t="shared" ref="AW21:BC21" si="114">$J$21</f>
        <v>0.32258064516129031</v>
      </c>
      <c r="AX21" s="1051">
        <f t="shared" si="114"/>
        <v>0.32258064516129031</v>
      </c>
      <c r="AY21" s="1056">
        <f t="shared" si="114"/>
        <v>0.32258064516129031</v>
      </c>
      <c r="AZ21" s="1061">
        <f t="shared" si="114"/>
        <v>0.32258064516129031</v>
      </c>
      <c r="BA21" s="1064">
        <f t="shared" si="114"/>
        <v>0.32258064516129031</v>
      </c>
      <c r="BB21" s="1144">
        <f t="shared" si="114"/>
        <v>0.32258064516129031</v>
      </c>
      <c r="BC21" s="1148">
        <f t="shared" si="114"/>
        <v>0.32258064516129031</v>
      </c>
      <c r="BD21" s="782"/>
      <c r="BE21" s="911">
        <f t="shared" si="14"/>
        <v>2.258064516129032</v>
      </c>
      <c r="BF21" s="994">
        <f t="shared" si="31"/>
        <v>2.3472654708126837</v>
      </c>
      <c r="BG21" s="936">
        <f t="shared" si="62"/>
        <v>8.9200954683651634E-2</v>
      </c>
      <c r="BH21" s="61"/>
      <c r="BI21" s="40">
        <f t="shared" ref="BI21:BK21" si="115">$J$21</f>
        <v>0.32258064516129031</v>
      </c>
      <c r="BJ21" s="40">
        <f t="shared" si="115"/>
        <v>0.32258064516129031</v>
      </c>
      <c r="BK21" s="40">
        <f t="shared" si="115"/>
        <v>0.32258064516129031</v>
      </c>
      <c r="BL21" s="61"/>
      <c r="BM21" s="911">
        <f t="shared" si="34"/>
        <v>0.967741935483871</v>
      </c>
      <c r="BN21" s="994">
        <f t="shared" si="35"/>
        <v>0.47300556993114334</v>
      </c>
      <c r="BO21" s="936">
        <f t="shared" ref="BO21:BO22" si="116">BN21-BM21</f>
        <v>-0.49473636555272765</v>
      </c>
      <c r="BQ21" s="40">
        <v>10</v>
      </c>
      <c r="BR21" s="51">
        <f t="shared" si="16"/>
        <v>1</v>
      </c>
      <c r="BT21" s="1211">
        <f t="shared" si="17"/>
        <v>10</v>
      </c>
      <c r="BU21" s="1016">
        <f t="shared" si="18"/>
        <v>1</v>
      </c>
      <c r="BV21" s="62"/>
      <c r="BX21" s="1037" t="s">
        <v>160</v>
      </c>
      <c r="BY21" s="411">
        <v>0.75</v>
      </c>
      <c r="BZ21" s="62" t="str">
        <f>IF(AND(BZ16&gt;BY20,BZ16&lt;=BY21),BZ16," ")</f>
        <v xml:space="preserve"> </v>
      </c>
      <c r="CA21" s="81"/>
      <c r="CB21" s="81"/>
      <c r="CC21" s="81"/>
      <c r="CD21" s="81"/>
      <c r="CE21" s="81"/>
      <c r="CF21" s="1029"/>
    </row>
    <row r="22" spans="1:84" s="224" customFormat="1" x14ac:dyDescent="0.2">
      <c r="A22" s="842"/>
      <c r="B22" s="834">
        <v>15</v>
      </c>
      <c r="C22" s="201" t="s">
        <v>162</v>
      </c>
      <c r="D22" s="843"/>
      <c r="E22" s="202">
        <v>10</v>
      </c>
      <c r="F22" s="202">
        <f t="shared" si="84"/>
        <v>1</v>
      </c>
      <c r="G22" s="202">
        <f t="shared" si="85"/>
        <v>0.66666666666666663</v>
      </c>
      <c r="H22" s="202">
        <f t="shared" si="86"/>
        <v>0.5</v>
      </c>
      <c r="I22" s="202">
        <f t="shared" si="87"/>
        <v>0.4</v>
      </c>
      <c r="J22" s="202">
        <f t="shared" si="7"/>
        <v>0.32258064516129031</v>
      </c>
      <c r="K22" s="269">
        <f t="shared" si="8"/>
        <v>8.7715451076707165E-3</v>
      </c>
      <c r="L22" s="877"/>
      <c r="M22" s="202">
        <f t="shared" ref="M22:S22" si="117">$J$22</f>
        <v>0.32258064516129031</v>
      </c>
      <c r="N22" s="202">
        <f t="shared" si="117"/>
        <v>0.32258064516129031</v>
      </c>
      <c r="O22" s="202">
        <f t="shared" si="117"/>
        <v>0.32258064516129031</v>
      </c>
      <c r="P22" s="202">
        <f t="shared" si="117"/>
        <v>0.32258064516129031</v>
      </c>
      <c r="Q22" s="202">
        <f t="shared" si="117"/>
        <v>0.32258064516129031</v>
      </c>
      <c r="R22" s="202">
        <f t="shared" si="117"/>
        <v>0.32258064516129031</v>
      </c>
      <c r="S22" s="202">
        <f t="shared" si="117"/>
        <v>0.32258064516129031</v>
      </c>
      <c r="T22" s="995"/>
      <c r="U22" s="944">
        <f t="shared" si="10"/>
        <v>2.258064516129032</v>
      </c>
      <c r="V22" s="227">
        <f t="shared" si="20"/>
        <v>2.139379851760888</v>
      </c>
      <c r="W22" s="945">
        <f t="shared" si="21"/>
        <v>-0.11868466436814407</v>
      </c>
      <c r="X22" s="844"/>
      <c r="Y22" s="202">
        <f t="shared" ref="Y22:AE22" si="118">$J$22</f>
        <v>0.32258064516129031</v>
      </c>
      <c r="Z22" s="202">
        <f t="shared" si="118"/>
        <v>0.32258064516129031</v>
      </c>
      <c r="AA22" s="202">
        <f t="shared" si="118"/>
        <v>0.32258064516129031</v>
      </c>
      <c r="AB22" s="202">
        <f t="shared" si="118"/>
        <v>0.32258064516129031</v>
      </c>
      <c r="AC22" s="202">
        <f t="shared" si="118"/>
        <v>0.32258064516129031</v>
      </c>
      <c r="AD22" s="202">
        <f t="shared" si="118"/>
        <v>0.32258064516129031</v>
      </c>
      <c r="AE22" s="202">
        <f t="shared" si="118"/>
        <v>0.32258064516129031</v>
      </c>
      <c r="AF22" s="844"/>
      <c r="AG22" s="944">
        <f t="shared" si="23"/>
        <v>2.258064516129032</v>
      </c>
      <c r="AH22" s="227">
        <f t="shared" si="24"/>
        <v>2.1568790842506904</v>
      </c>
      <c r="AI22" s="945">
        <f t="shared" si="25"/>
        <v>-0.10118543187834161</v>
      </c>
      <c r="AJ22" s="844"/>
      <c r="AK22" s="227">
        <f t="shared" ref="AK22:AQ22" si="119">$J$22</f>
        <v>0.32258064516129031</v>
      </c>
      <c r="AL22" s="227">
        <f t="shared" si="119"/>
        <v>0.32258064516129031</v>
      </c>
      <c r="AM22" s="227">
        <f t="shared" si="119"/>
        <v>0.32258064516129031</v>
      </c>
      <c r="AN22" s="227">
        <f t="shared" si="119"/>
        <v>0.32258064516129031</v>
      </c>
      <c r="AO22" s="227">
        <f t="shared" si="119"/>
        <v>0.32258064516129031</v>
      </c>
      <c r="AP22" s="227">
        <f t="shared" si="119"/>
        <v>0.32258064516129031</v>
      </c>
      <c r="AQ22" s="227">
        <f t="shared" si="119"/>
        <v>0.32258064516129031</v>
      </c>
      <c r="AR22" s="844"/>
      <c r="AS22" s="944">
        <f t="shared" si="27"/>
        <v>2.258064516129032</v>
      </c>
      <c r="AT22" s="227">
        <f t="shared" si="28"/>
        <v>3.6919433358186042</v>
      </c>
      <c r="AU22" s="945">
        <f t="shared" si="60"/>
        <v>1.4338788196895722</v>
      </c>
      <c r="AV22" s="844"/>
      <c r="AW22" s="227">
        <f t="shared" ref="AW22:BC22" si="120">$J$22</f>
        <v>0.32258064516129031</v>
      </c>
      <c r="AX22" s="227">
        <f t="shared" si="120"/>
        <v>0.32258064516129031</v>
      </c>
      <c r="AY22" s="227">
        <f t="shared" si="120"/>
        <v>0.32258064516129031</v>
      </c>
      <c r="AZ22" s="227">
        <f t="shared" si="120"/>
        <v>0.32258064516129031</v>
      </c>
      <c r="BA22" s="227">
        <f t="shared" si="120"/>
        <v>0.32258064516129031</v>
      </c>
      <c r="BB22" s="227">
        <f t="shared" si="120"/>
        <v>0.32258064516129031</v>
      </c>
      <c r="BC22" s="227">
        <f t="shared" si="120"/>
        <v>0.32258064516129031</v>
      </c>
      <c r="BD22" s="844"/>
      <c r="BE22" s="944">
        <f t="shared" si="14"/>
        <v>2.258064516129032</v>
      </c>
      <c r="BF22" s="227">
        <f t="shared" si="31"/>
        <v>2.3472654708126837</v>
      </c>
      <c r="BG22" s="945">
        <f t="shared" si="62"/>
        <v>8.9200954683651634E-2</v>
      </c>
      <c r="BH22" s="995"/>
      <c r="BI22" s="202">
        <f t="shared" ref="BI22:BK22" si="121">$J$22</f>
        <v>0.32258064516129031</v>
      </c>
      <c r="BJ22" s="202">
        <f t="shared" si="121"/>
        <v>0.32258064516129031</v>
      </c>
      <c r="BK22" s="202">
        <f t="shared" si="121"/>
        <v>0.32258064516129031</v>
      </c>
      <c r="BL22" s="995"/>
      <c r="BM22" s="944">
        <f t="shared" si="34"/>
        <v>0.967741935483871</v>
      </c>
      <c r="BN22" s="227">
        <f t="shared" si="35"/>
        <v>0.47300556993114334</v>
      </c>
      <c r="BO22" s="945">
        <f t="shared" si="116"/>
        <v>-0.49473636555272765</v>
      </c>
      <c r="BQ22" s="202">
        <v>10</v>
      </c>
      <c r="BR22" s="225">
        <f t="shared" si="16"/>
        <v>1</v>
      </c>
      <c r="BT22" s="1213">
        <f t="shared" si="17"/>
        <v>10</v>
      </c>
      <c r="BU22" s="1019">
        <f t="shared" si="18"/>
        <v>1</v>
      </c>
      <c r="BV22" s="226"/>
      <c r="BX22" s="1038" t="s">
        <v>161</v>
      </c>
      <c r="BY22" s="847">
        <v>1</v>
      </c>
      <c r="BZ22" s="226">
        <f>IF(BZ16&gt;BY21,BZ16," ")</f>
        <v>1</v>
      </c>
      <c r="CA22" s="271"/>
      <c r="CB22" s="271"/>
      <c r="CC22" s="271"/>
      <c r="CD22" s="271"/>
      <c r="CE22" s="271"/>
      <c r="CF22" s="1032"/>
    </row>
    <row r="23" spans="1:84" s="255" customFormat="1" x14ac:dyDescent="0.2">
      <c r="B23" s="43">
        <v>16</v>
      </c>
      <c r="C23" s="1012" t="s">
        <v>119</v>
      </c>
      <c r="D23" s="812"/>
      <c r="E23" s="132">
        <v>4</v>
      </c>
      <c r="F23" s="132">
        <f t="shared" si="84"/>
        <v>0.4</v>
      </c>
      <c r="G23" s="132">
        <f t="shared" si="85"/>
        <v>0.26666666666666666</v>
      </c>
      <c r="H23" s="132">
        <f t="shared" si="86"/>
        <v>0.2</v>
      </c>
      <c r="I23" s="132">
        <f t="shared" si="87"/>
        <v>0.16</v>
      </c>
      <c r="J23" s="132">
        <f t="shared" si="7"/>
        <v>0.12903225806451613</v>
      </c>
      <c r="K23" s="478">
        <f t="shared" si="8"/>
        <v>3.5086180430682866E-3</v>
      </c>
      <c r="L23" s="492"/>
      <c r="M23" s="40">
        <f t="shared" ref="M23:S23" si="122">$J$23</f>
        <v>0.12903225806451613</v>
      </c>
      <c r="N23" s="40">
        <f t="shared" si="122"/>
        <v>0.12903225806451613</v>
      </c>
      <c r="O23" s="40">
        <f t="shared" si="122"/>
        <v>0.12903225806451613</v>
      </c>
      <c r="P23" s="40">
        <f t="shared" si="122"/>
        <v>0.12903225806451613</v>
      </c>
      <c r="Q23" s="40">
        <f t="shared" si="122"/>
        <v>0.12903225806451613</v>
      </c>
      <c r="R23" s="40">
        <f t="shared" si="122"/>
        <v>0.12903225806451613</v>
      </c>
      <c r="S23" s="40">
        <f t="shared" si="122"/>
        <v>0.12903225806451613</v>
      </c>
      <c r="T23" s="61"/>
      <c r="U23" s="911">
        <f t="shared" ref="U23:U24" si="123">SUM(M23:S23)</f>
        <v>0.90322580645161288</v>
      </c>
      <c r="V23" s="1051">
        <f>($U$3*K23)*30%</f>
        <v>0.85575194070435512</v>
      </c>
      <c r="W23" s="936">
        <f t="shared" ref="W23:W24" si="124">V23-U23</f>
        <v>-4.747386574725776E-2</v>
      </c>
      <c r="X23" s="782"/>
      <c r="Y23" s="40">
        <f t="shared" ref="Y23:AE23" si="125">$J$23</f>
        <v>0.12903225806451613</v>
      </c>
      <c r="Z23" s="40">
        <f t="shared" si="125"/>
        <v>0.12903225806451613</v>
      </c>
      <c r="AA23" s="40">
        <f t="shared" si="125"/>
        <v>0.12903225806451613</v>
      </c>
      <c r="AB23" s="40">
        <f t="shared" si="125"/>
        <v>0.12903225806451613</v>
      </c>
      <c r="AC23" s="40">
        <f t="shared" si="125"/>
        <v>0.12903225806451613</v>
      </c>
      <c r="AD23" s="40">
        <f t="shared" si="125"/>
        <v>0.12903225806451613</v>
      </c>
      <c r="AE23" s="40">
        <f t="shared" si="125"/>
        <v>0.12903225806451613</v>
      </c>
      <c r="AF23" s="782"/>
      <c r="AG23" s="911">
        <f t="shared" ref="AG23:AG24" si="126">SUM(Y23:AE23)</f>
        <v>0.90322580645161288</v>
      </c>
      <c r="AH23" s="1051">
        <f>($AG$3*K23)*30%</f>
        <v>0.8627516337002763</v>
      </c>
      <c r="AI23" s="936">
        <f t="shared" ref="AI23" si="127">AH23-AG23</f>
        <v>-4.0474172751336579E-2</v>
      </c>
      <c r="AJ23" s="782"/>
      <c r="AK23" s="1051">
        <f t="shared" ref="AK23:AQ23" si="128">$J$23</f>
        <v>0.12903225806451613</v>
      </c>
      <c r="AL23" s="1051">
        <f t="shared" si="128"/>
        <v>0.12903225806451613</v>
      </c>
      <c r="AM23" s="1051">
        <f t="shared" si="128"/>
        <v>0.12903225806451613</v>
      </c>
      <c r="AN23" s="1051">
        <f t="shared" si="128"/>
        <v>0.12903225806451613</v>
      </c>
      <c r="AO23" s="1051">
        <f t="shared" si="128"/>
        <v>0.12903225806451613</v>
      </c>
      <c r="AP23" s="1051">
        <f t="shared" si="128"/>
        <v>0.12903225806451613</v>
      </c>
      <c r="AQ23" s="1051">
        <f t="shared" si="128"/>
        <v>0.12903225806451613</v>
      </c>
      <c r="AR23" s="782"/>
      <c r="AS23" s="911">
        <f t="shared" ref="AS23" si="129">SUM(AK23:AQ23)</f>
        <v>0.90322580645161288</v>
      </c>
      <c r="AT23" s="1051">
        <f t="shared" ref="AT23" si="130">($AS$3*K23)*30%</f>
        <v>1.4767773343274417</v>
      </c>
      <c r="AU23" s="936">
        <f t="shared" ref="AU23" si="131">AT23-AS23</f>
        <v>0.57355152787582886</v>
      </c>
      <c r="AV23" s="782"/>
      <c r="AW23" s="1051">
        <f t="shared" ref="AW23:BC23" si="132">$J$23</f>
        <v>0.12903225806451613</v>
      </c>
      <c r="AX23" s="1051">
        <f t="shared" si="132"/>
        <v>0.12903225806451613</v>
      </c>
      <c r="AY23" s="1056">
        <f t="shared" si="132"/>
        <v>0.12903225806451613</v>
      </c>
      <c r="AZ23" s="1061">
        <f t="shared" si="132"/>
        <v>0.12903225806451613</v>
      </c>
      <c r="BA23" s="1064">
        <f t="shared" si="132"/>
        <v>0.12903225806451613</v>
      </c>
      <c r="BB23" s="1144">
        <f t="shared" si="132"/>
        <v>0.12903225806451613</v>
      </c>
      <c r="BC23" s="1148">
        <f t="shared" si="132"/>
        <v>0.12903225806451613</v>
      </c>
      <c r="BD23" s="782"/>
      <c r="BE23" s="911">
        <f t="shared" ref="BE23" si="133">SUM(AW23:BC23)</f>
        <v>0.90322580645161288</v>
      </c>
      <c r="BF23" s="1051">
        <f t="shared" ref="BF23" si="134">($BE$3*K23)*30%</f>
        <v>0.93890618832507355</v>
      </c>
      <c r="BG23" s="936">
        <f t="shared" ref="BG23" si="135">BF23-BE23</f>
        <v>3.5680381873460676E-2</v>
      </c>
      <c r="BH23" s="61"/>
      <c r="BI23" s="40">
        <f t="shared" ref="BI23:BK23" si="136">$J$23</f>
        <v>0.12903225806451613</v>
      </c>
      <c r="BJ23" s="40">
        <f t="shared" si="136"/>
        <v>0.12903225806451613</v>
      </c>
      <c r="BK23" s="40">
        <f t="shared" si="136"/>
        <v>0.12903225806451613</v>
      </c>
      <c r="BL23" s="61"/>
      <c r="BM23" s="911">
        <f t="shared" ref="BM23:BM24" si="137">SUM(BI23:BK23)</f>
        <v>0.38709677419354838</v>
      </c>
      <c r="BN23" s="1051">
        <f t="shared" ref="BN23:BN24" si="138">($BM$3*K23)*30%</f>
        <v>0.18920222797245737</v>
      </c>
      <c r="BO23" s="936">
        <f t="shared" ref="BO23:BO24" si="139">BN23-BM23</f>
        <v>-0.19789454622109101</v>
      </c>
      <c r="BQ23" s="40">
        <v>4</v>
      </c>
      <c r="BR23" s="51">
        <f t="shared" ref="BR23" si="140">BQ23/E23</f>
        <v>1</v>
      </c>
      <c r="BT23" s="1211">
        <f>SUM(M23:S23)+SUM(Y23:AE23)+SUM(AK23:AQ23)+SUM(AW23:BC23)+SUM(BI23:BK23)</f>
        <v>4</v>
      </c>
      <c r="BU23" s="1016">
        <f t="shared" ref="BU23" si="141">BT23/E23</f>
        <v>1</v>
      </c>
      <c r="BV23" s="62"/>
      <c r="BX23" s="1028"/>
      <c r="BY23" s="270" t="s">
        <v>158</v>
      </c>
      <c r="BZ23" s="1033">
        <f>MAX(100%,BZ16)-BZ16</f>
        <v>0</v>
      </c>
      <c r="CA23" s="81"/>
      <c r="CB23" s="81"/>
      <c r="CC23" s="81"/>
      <c r="CD23" s="81"/>
      <c r="CE23" s="81"/>
      <c r="CF23" s="1029"/>
    </row>
    <row r="24" spans="1:84" s="1067" customFormat="1" x14ac:dyDescent="0.2">
      <c r="B24" s="3">
        <v>17</v>
      </c>
      <c r="C24" s="433" t="s">
        <v>124</v>
      </c>
      <c r="D24" s="780"/>
      <c r="E24" s="347">
        <v>1</v>
      </c>
      <c r="F24" s="347">
        <f t="shared" si="84"/>
        <v>0.1</v>
      </c>
      <c r="G24" s="347">
        <f t="shared" si="85"/>
        <v>6.6666666666666666E-2</v>
      </c>
      <c r="H24" s="347">
        <f t="shared" si="86"/>
        <v>0.05</v>
      </c>
      <c r="I24" s="347">
        <f t="shared" si="87"/>
        <v>0.04</v>
      </c>
      <c r="J24" s="347">
        <f t="shared" si="7"/>
        <v>3.2258064516129031E-2</v>
      </c>
      <c r="K24" s="531">
        <f t="shared" si="8"/>
        <v>8.7715451076707165E-4</v>
      </c>
      <c r="L24" s="491"/>
      <c r="M24" s="5">
        <f>$J$24</f>
        <v>3.2258064516129031E-2</v>
      </c>
      <c r="N24" s="5">
        <f t="shared" ref="N24:S24" si="142">$J$24</f>
        <v>3.2258064516129031E-2</v>
      </c>
      <c r="O24" s="5">
        <f t="shared" si="142"/>
        <v>3.2258064516129031E-2</v>
      </c>
      <c r="P24" s="5">
        <f t="shared" si="142"/>
        <v>3.2258064516129031E-2</v>
      </c>
      <c r="Q24" s="5">
        <f t="shared" si="142"/>
        <v>3.2258064516129031E-2</v>
      </c>
      <c r="R24" s="5">
        <f t="shared" si="142"/>
        <v>3.2258064516129031E-2</v>
      </c>
      <c r="S24" s="5">
        <f t="shared" si="142"/>
        <v>3.2258064516129031E-2</v>
      </c>
      <c r="T24" s="14"/>
      <c r="U24" s="1075">
        <f t="shared" si="123"/>
        <v>0.22580645161290322</v>
      </c>
      <c r="V24" s="1066">
        <f t="shared" ref="V24" si="143">($U$3*K24)*30%</f>
        <v>0.21393798517608878</v>
      </c>
      <c r="W24" s="1076">
        <f t="shared" si="124"/>
        <v>-1.186846643681444E-2</v>
      </c>
      <c r="X24" s="145"/>
      <c r="Y24" s="1066">
        <f t="shared" ref="Y24:AE24" si="144">$J$24</f>
        <v>3.2258064516129031E-2</v>
      </c>
      <c r="Z24" s="1066">
        <f t="shared" si="144"/>
        <v>3.2258064516129031E-2</v>
      </c>
      <c r="AA24" s="1066">
        <f t="shared" si="144"/>
        <v>3.2258064516129031E-2</v>
      </c>
      <c r="AB24" s="1066">
        <f t="shared" si="144"/>
        <v>3.2258064516129031E-2</v>
      </c>
      <c r="AC24" s="1066">
        <f t="shared" si="144"/>
        <v>3.2258064516129031E-2</v>
      </c>
      <c r="AD24" s="1066">
        <f t="shared" si="144"/>
        <v>3.2258064516129031E-2</v>
      </c>
      <c r="AE24" s="1066">
        <f t="shared" si="144"/>
        <v>3.2258064516129031E-2</v>
      </c>
      <c r="AF24" s="145"/>
      <c r="AG24" s="1075">
        <f t="shared" si="126"/>
        <v>0.22580645161290322</v>
      </c>
      <c r="AH24" s="610">
        <f>($AG$3*K24)*30%</f>
        <v>0.21568790842506907</v>
      </c>
      <c r="AI24" s="1076">
        <f t="shared" ref="AI24" si="145">AH24-AG24</f>
        <v>-1.0118543187834145E-2</v>
      </c>
      <c r="AJ24" s="145"/>
      <c r="AK24" s="1066">
        <f t="shared" ref="AK24:AQ24" si="146">$J$24</f>
        <v>3.2258064516129031E-2</v>
      </c>
      <c r="AL24" s="1066">
        <f t="shared" si="146"/>
        <v>3.2258064516129031E-2</v>
      </c>
      <c r="AM24" s="1066">
        <f t="shared" si="146"/>
        <v>3.2258064516129031E-2</v>
      </c>
      <c r="AN24" s="1066">
        <f t="shared" si="146"/>
        <v>3.2258064516129031E-2</v>
      </c>
      <c r="AO24" s="1066">
        <f t="shared" si="146"/>
        <v>3.2258064516129031E-2</v>
      </c>
      <c r="AP24" s="1066">
        <f t="shared" si="146"/>
        <v>3.2258064516129031E-2</v>
      </c>
      <c r="AQ24" s="1066">
        <f t="shared" si="146"/>
        <v>3.2258064516129031E-2</v>
      </c>
      <c r="AR24" s="145"/>
      <c r="AS24" s="1075">
        <f t="shared" ref="AS24" si="147">SUM(AK24:AQ24)</f>
        <v>0.22580645161290322</v>
      </c>
      <c r="AT24" s="610">
        <f t="shared" ref="AT24" si="148">($AS$3*K24)*30%</f>
        <v>0.36919433358186043</v>
      </c>
      <c r="AU24" s="1076">
        <f t="shared" ref="AU24" si="149">AT24-AS24</f>
        <v>0.14338788196895721</v>
      </c>
      <c r="AV24" s="145"/>
      <c r="AW24" s="1066">
        <f t="shared" ref="AW24:BC24" si="150">$J$24</f>
        <v>3.2258064516129031E-2</v>
      </c>
      <c r="AX24" s="1066">
        <f t="shared" si="150"/>
        <v>3.2258064516129031E-2</v>
      </c>
      <c r="AY24" s="1066">
        <f t="shared" si="150"/>
        <v>3.2258064516129031E-2</v>
      </c>
      <c r="AZ24" s="1066">
        <f t="shared" si="150"/>
        <v>3.2258064516129031E-2</v>
      </c>
      <c r="BA24" s="1066">
        <f t="shared" si="150"/>
        <v>3.2258064516129031E-2</v>
      </c>
      <c r="BB24" s="1145">
        <f t="shared" si="150"/>
        <v>3.2258064516129031E-2</v>
      </c>
      <c r="BC24" s="1147">
        <f t="shared" si="150"/>
        <v>3.2258064516129031E-2</v>
      </c>
      <c r="BD24" s="145"/>
      <c r="BE24" s="1075">
        <f t="shared" ref="BE24" si="151">SUM(AW24:BC24)</f>
        <v>0.22580645161290322</v>
      </c>
      <c r="BF24" s="610">
        <f t="shared" ref="BF24" si="152">($BE$3*K24)*30%</f>
        <v>0.23472654708126839</v>
      </c>
      <c r="BG24" s="1076">
        <f t="shared" ref="BG24" si="153">BF24-BE24</f>
        <v>8.920095468365169E-3</v>
      </c>
      <c r="BH24" s="14"/>
      <c r="BI24" s="5">
        <f t="shared" ref="BI24:BK24" si="154">$J$24</f>
        <v>3.2258064516129031E-2</v>
      </c>
      <c r="BJ24" s="5">
        <f t="shared" si="154"/>
        <v>3.2258064516129031E-2</v>
      </c>
      <c r="BK24" s="5">
        <f t="shared" si="154"/>
        <v>3.2258064516129031E-2</v>
      </c>
      <c r="BL24" s="14"/>
      <c r="BM24" s="1075">
        <f t="shared" si="137"/>
        <v>9.6774193548387094E-2</v>
      </c>
      <c r="BN24" s="610">
        <f t="shared" si="138"/>
        <v>4.7300556993114341E-2</v>
      </c>
      <c r="BO24" s="1076">
        <f t="shared" si="139"/>
        <v>-4.9473636555272753E-2</v>
      </c>
      <c r="BQ24" s="5">
        <v>1</v>
      </c>
      <c r="BR24" s="9">
        <f t="shared" ref="BR24" si="155">BQ24/E24</f>
        <v>1</v>
      </c>
      <c r="BT24" s="1214">
        <f>SUM(M24:S24)+SUM(Y24:AE24)+SUM(AK24:AQ24)+SUM(AW24:BC24)+SUM(BI24:BK24)</f>
        <v>1</v>
      </c>
      <c r="BU24" s="1077">
        <f t="shared" ref="BU24" si="156">BT24/E24</f>
        <v>1</v>
      </c>
      <c r="BV24" s="29"/>
      <c r="BX24" s="1058"/>
      <c r="BY24" s="1073"/>
      <c r="BZ24" s="1059"/>
      <c r="CA24" s="1070"/>
      <c r="CB24" s="1070"/>
      <c r="CC24" s="1070"/>
      <c r="CD24" s="1070"/>
      <c r="CE24" s="1070"/>
      <c r="CF24" s="1060"/>
    </row>
    <row r="25" spans="1:84" s="255" customFormat="1" ht="15.75" thickBot="1" x14ac:dyDescent="0.25">
      <c r="B25" s="43"/>
      <c r="C25" s="43" t="s">
        <v>17</v>
      </c>
      <c r="D25" s="813"/>
      <c r="E25" s="40">
        <f t="shared" ref="E25:J25" si="157">SUM(E8:E24)</f>
        <v>1140.05</v>
      </c>
      <c r="F25" s="40">
        <f t="shared" si="157"/>
        <v>111.50500000000001</v>
      </c>
      <c r="G25" s="40">
        <f t="shared" si="157"/>
        <v>74.336666666666659</v>
      </c>
      <c r="H25" s="40">
        <f t="shared" si="157"/>
        <v>55.752500000000005</v>
      </c>
      <c r="I25" s="40">
        <f t="shared" si="157"/>
        <v>44.60199999999999</v>
      </c>
      <c r="J25" s="40">
        <f t="shared" si="157"/>
        <v>36.775806451612901</v>
      </c>
      <c r="K25" s="193">
        <f>E25/(E25+E36+E41)</f>
        <v>0.38001666666666667</v>
      </c>
      <c r="L25" s="62"/>
      <c r="M25" s="40">
        <f>SUM(M8:M24)</f>
        <v>36.775806451612901</v>
      </c>
      <c r="N25" s="40">
        <f t="shared" ref="N25:S25" si="158">SUM(N8:N24)</f>
        <v>36.775806451612901</v>
      </c>
      <c r="O25" s="40">
        <f t="shared" si="158"/>
        <v>36.775806451612901</v>
      </c>
      <c r="P25" s="40">
        <f t="shared" si="158"/>
        <v>36.775806451612901</v>
      </c>
      <c r="Q25" s="40">
        <f t="shared" si="158"/>
        <v>36.775806451612901</v>
      </c>
      <c r="R25" s="40">
        <f t="shared" si="158"/>
        <v>36.775806451612901</v>
      </c>
      <c r="S25" s="40">
        <f t="shared" si="158"/>
        <v>36.775806451612901</v>
      </c>
      <c r="T25" s="61"/>
      <c r="U25" s="957">
        <f>SUM(M25:S25)</f>
        <v>257.43064516129033</v>
      </c>
      <c r="V25" s="958">
        <f>SUM(V8:V23)</f>
        <v>243.68606201482393</v>
      </c>
      <c r="W25" s="959">
        <f>SUM(W8:W23)</f>
        <v>-13.518776694853512</v>
      </c>
      <c r="X25" s="782"/>
      <c r="Y25" s="1065">
        <f t="shared" ref="Y25" si="159">SUM(Y8:Y24)</f>
        <v>36.775806451612901</v>
      </c>
      <c r="Z25" s="1065">
        <f t="shared" ref="Z25" si="160">SUM(Z8:Z24)</f>
        <v>36.775806451612901</v>
      </c>
      <c r="AA25" s="1065">
        <f t="shared" ref="AA25" si="161">SUM(AA8:AA24)</f>
        <v>36.775806451612901</v>
      </c>
      <c r="AB25" s="1065">
        <f t="shared" ref="AB25" si="162">SUM(AB8:AB24)</f>
        <v>36.775806451612901</v>
      </c>
      <c r="AC25" s="1065">
        <f t="shared" ref="AC25" si="163">SUM(AC8:AC24)</f>
        <v>36.775806451612901</v>
      </c>
      <c r="AD25" s="1065">
        <f t="shared" ref="AD25" si="164">SUM(AD8:AD24)</f>
        <v>36.775806451612901</v>
      </c>
      <c r="AE25" s="1065">
        <f t="shared" ref="AE25" si="165">SUM(AE8:AE24)</f>
        <v>36.775806451612901</v>
      </c>
      <c r="AF25" s="782"/>
      <c r="AG25" s="957">
        <f>SUM(Y25:AE25)</f>
        <v>257.43064516129033</v>
      </c>
      <c r="AH25" s="958">
        <f>SUM(AH8:AH23)</f>
        <v>245.67931209157496</v>
      </c>
      <c r="AI25" s="959">
        <f>SUM(AI8:AI23)</f>
        <v>-11.525526618102514</v>
      </c>
      <c r="AJ25" s="782"/>
      <c r="AK25" s="1065">
        <f t="shared" ref="AK25" si="166">SUM(AK8:AK24)</f>
        <v>36.775806451612901</v>
      </c>
      <c r="AL25" s="1065">
        <f t="shared" ref="AL25" si="167">SUM(AL8:AL24)</f>
        <v>36.775806451612901</v>
      </c>
      <c r="AM25" s="1065">
        <f t="shared" ref="AM25" si="168">SUM(AM8:AM24)</f>
        <v>36.775806451612901</v>
      </c>
      <c r="AN25" s="1065">
        <f t="shared" ref="AN25" si="169">SUM(AN8:AN24)</f>
        <v>36.775806451612901</v>
      </c>
      <c r="AO25" s="1065">
        <f t="shared" ref="AO25" si="170">SUM(AO8:AO24)</f>
        <v>36.775806451612901</v>
      </c>
      <c r="AP25" s="1065">
        <f t="shared" ref="AP25" si="171">SUM(AP8:AP24)</f>
        <v>36.775806451612901</v>
      </c>
      <c r="AQ25" s="1065">
        <f t="shared" ref="AQ25" si="172">SUM(AQ8:AQ24)</f>
        <v>36.775806451612901</v>
      </c>
      <c r="AR25" s="782"/>
      <c r="AS25" s="957">
        <f>SUM(AK25:AQ25)</f>
        <v>257.43064516129033</v>
      </c>
      <c r="AT25" s="958">
        <f>SUM(AT8:AT23)</f>
        <v>420.53080566641813</v>
      </c>
      <c r="AU25" s="959">
        <f>SUM(AU8:AU23)</f>
        <v>163.32596695674076</v>
      </c>
      <c r="AV25" s="782"/>
      <c r="AW25" s="1065">
        <f t="shared" ref="AW25" si="173">SUM(AW8:AW24)</f>
        <v>36.775806451612901</v>
      </c>
      <c r="AX25" s="1065">
        <f t="shared" ref="AX25" si="174">SUM(AX8:AX24)</f>
        <v>36.775806451612901</v>
      </c>
      <c r="AY25" s="1065">
        <f t="shared" ref="AY25" si="175">SUM(AY8:AY24)</f>
        <v>36.775806451612901</v>
      </c>
      <c r="AZ25" s="1065">
        <f t="shared" ref="AZ25" si="176">SUM(AZ8:AZ24)</f>
        <v>36.775806451612901</v>
      </c>
      <c r="BA25" s="1065">
        <f t="shared" ref="BA25" si="177">SUM(BA8:BA24)</f>
        <v>36.775806451612901</v>
      </c>
      <c r="BB25" s="1065">
        <f t="shared" ref="BB25" si="178">SUM(BB8:BB24)</f>
        <v>36.775806451612901</v>
      </c>
      <c r="BC25" s="1065">
        <f t="shared" ref="BC25" si="179">SUM(BC8:BC24)</f>
        <v>36.775806451612901</v>
      </c>
      <c r="BD25" s="782"/>
      <c r="BE25" s="957">
        <f>SUM(AW25:BC25)</f>
        <v>257.43064516129033</v>
      </c>
      <c r="BF25" s="958">
        <f>SUM(BF8:BF22)</f>
        <v>266.42636726459358</v>
      </c>
      <c r="BG25" s="959">
        <f>SUM(BG8:BG22)</f>
        <v>10.124754361367824</v>
      </c>
      <c r="BH25" s="61"/>
      <c r="BI25" s="40">
        <f>SUM(BI8:BI24)</f>
        <v>36.775806451612901</v>
      </c>
      <c r="BJ25" s="40">
        <f t="shared" ref="BJ25:BK25" si="180">SUM(BJ8:BJ24)</f>
        <v>36.775806451612901</v>
      </c>
      <c r="BK25" s="40">
        <f t="shared" si="180"/>
        <v>36.775806451612901</v>
      </c>
      <c r="BL25" s="61"/>
      <c r="BM25" s="957">
        <f>SUM(BI25:BK25)</f>
        <v>110.3274193548387</v>
      </c>
      <c r="BN25" s="958">
        <f>SUM(BN8:BN24)</f>
        <v>53.924999999999997</v>
      </c>
      <c r="BO25" s="959">
        <f>SUM(BO8:BO24)</f>
        <v>-56.402419354838685</v>
      </c>
      <c r="BQ25" s="40">
        <f>SUM(BQ8:BQ24)</f>
        <v>1075.05</v>
      </c>
      <c r="BR25" s="51">
        <f>BQ25/$E$25</f>
        <v>0.94298495680014038</v>
      </c>
      <c r="BT25" s="957">
        <f>SUM(BT8:BT24)</f>
        <v>1140.05</v>
      </c>
      <c r="BU25" s="1078">
        <f>BT25/$E$25</f>
        <v>1</v>
      </c>
      <c r="BV25" s="975">
        <f>BQ25-BT25</f>
        <v>-65</v>
      </c>
      <c r="BX25" s="1028"/>
      <c r="BY25" s="62"/>
      <c r="BZ25" s="81"/>
      <c r="CA25" s="81"/>
      <c r="CB25" s="81"/>
      <c r="CC25" s="81"/>
      <c r="CD25" s="81"/>
      <c r="CE25" s="81"/>
      <c r="CF25" s="1029"/>
    </row>
    <row r="26" spans="1:84" s="81" customFormat="1" ht="4.5" customHeight="1" thickBot="1" x14ac:dyDescent="0.25">
      <c r="E26" s="61"/>
      <c r="F26" s="61"/>
      <c r="G26" s="61"/>
      <c r="H26" s="61"/>
      <c r="I26" s="61"/>
      <c r="J26" s="61"/>
      <c r="K26" s="1079"/>
      <c r="L26" s="62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Q26" s="61"/>
      <c r="BR26" s="93"/>
      <c r="BT26" s="61"/>
      <c r="BU26" s="411"/>
      <c r="BV26" s="411"/>
      <c r="BX26" s="1028"/>
      <c r="BY26" s="62"/>
      <c r="CF26" s="1029"/>
    </row>
    <row r="27" spans="1:84" s="1067" customFormat="1" ht="15.75" thickBot="1" x14ac:dyDescent="0.25">
      <c r="B27" s="1092"/>
      <c r="C27" s="1093" t="s">
        <v>150</v>
      </c>
      <c r="D27" s="1094"/>
      <c r="E27" s="1095">
        <f t="shared" ref="E27:I27" si="181">E25*100/30</f>
        <v>3800.1666666666665</v>
      </c>
      <c r="F27" s="1096">
        <f t="shared" si="181"/>
        <v>371.68333333333339</v>
      </c>
      <c r="G27" s="1096">
        <f t="shared" si="181"/>
        <v>247.78888888888886</v>
      </c>
      <c r="H27" s="1096">
        <f t="shared" si="181"/>
        <v>185.8416666666667</v>
      </c>
      <c r="I27" s="1096">
        <f t="shared" si="181"/>
        <v>148.67333333333329</v>
      </c>
      <c r="J27" s="1096">
        <f>J25*100/30</f>
        <v>122.58602150537634</v>
      </c>
      <c r="K27" s="1167">
        <f>E27/E51</f>
        <v>0.38001666666666667</v>
      </c>
      <c r="L27" s="1098"/>
      <c r="M27" s="1099">
        <f>M4-M25</f>
        <v>-19.150806451612901</v>
      </c>
      <c r="N27" s="1095">
        <f t="shared" ref="N27:S27" si="182">N4-N25</f>
        <v>-4.6458064516129056</v>
      </c>
      <c r="O27" s="1095">
        <f t="shared" si="182"/>
        <v>8.7041935483870958</v>
      </c>
      <c r="P27" s="1095">
        <f t="shared" si="182"/>
        <v>10.639193548387098</v>
      </c>
      <c r="Q27" s="1095">
        <f t="shared" si="182"/>
        <v>-10.525806451612901</v>
      </c>
      <c r="R27" s="1095">
        <f t="shared" si="182"/>
        <v>9.3491935483870989</v>
      </c>
      <c r="S27" s="1100">
        <f t="shared" si="182"/>
        <v>-7.9008064516129011</v>
      </c>
      <c r="T27" s="481"/>
      <c r="U27" s="1099">
        <f>SUM(M27:S27)</f>
        <v>-13.530645161290316</v>
      </c>
      <c r="V27" s="1095"/>
      <c r="W27" s="1100"/>
      <c r="X27" s="481"/>
      <c r="Y27" s="1099">
        <f t="shared" ref="Y27:AE27" si="183">Y4-Y25</f>
        <v>-36.775806451612901</v>
      </c>
      <c r="Z27" s="1095">
        <f t="shared" si="183"/>
        <v>14.959193548387091</v>
      </c>
      <c r="AA27" s="1095">
        <f t="shared" si="183"/>
        <v>-4.9008064516129011</v>
      </c>
      <c r="AB27" s="1095">
        <f t="shared" si="183"/>
        <v>5.2841935483870941</v>
      </c>
      <c r="AC27" s="1095">
        <f t="shared" si="183"/>
        <v>7.7441935483871021</v>
      </c>
      <c r="AD27" s="1095">
        <f t="shared" si="183"/>
        <v>15.169193548387099</v>
      </c>
      <c r="AE27" s="1100">
        <f t="shared" si="183"/>
        <v>-13.0158064516129</v>
      </c>
      <c r="AF27" s="481"/>
      <c r="AG27" s="1099">
        <f>SUM(Y27:AE27)</f>
        <v>-11.535645161290315</v>
      </c>
      <c r="AH27" s="1095"/>
      <c r="AI27" s="1100"/>
      <c r="AJ27" s="781"/>
      <c r="AK27" s="1099">
        <f t="shared" ref="AK27:AQ27" si="184">AK4-AK25</f>
        <v>-17.680806451612902</v>
      </c>
      <c r="AL27" s="1096">
        <f t="shared" si="184"/>
        <v>-17.050806451612903</v>
      </c>
      <c r="AM27" s="1096">
        <f t="shared" si="184"/>
        <v>-4.8258064516129018</v>
      </c>
      <c r="AN27" s="1096">
        <f t="shared" si="184"/>
        <v>35.974193548387099</v>
      </c>
      <c r="AO27" s="1096">
        <f t="shared" si="184"/>
        <v>10.639193548387098</v>
      </c>
      <c r="AP27" s="1096">
        <f t="shared" si="184"/>
        <v>68.824193548387086</v>
      </c>
      <c r="AQ27" s="1100">
        <f t="shared" si="184"/>
        <v>87.589193548387101</v>
      </c>
      <c r="AR27" s="1101"/>
      <c r="AS27" s="1099">
        <f>SUM(AK27:AQ27)</f>
        <v>163.46935483870968</v>
      </c>
      <c r="AT27" s="1095"/>
      <c r="AU27" s="1100"/>
      <c r="AV27" s="481"/>
      <c r="AW27" s="1099">
        <f t="shared" ref="AW27:BC27" si="185">AW4-AW25</f>
        <v>-15.775806451612901</v>
      </c>
      <c r="AX27" s="1096">
        <f t="shared" si="185"/>
        <v>15.844193548387096</v>
      </c>
      <c r="AY27" s="1096">
        <f t="shared" si="185"/>
        <v>17.254193548387093</v>
      </c>
      <c r="AZ27" s="1096">
        <f t="shared" si="185"/>
        <v>-5.7258064516129039</v>
      </c>
      <c r="BA27" s="1096">
        <f t="shared" si="185"/>
        <v>-2.6808064516129022</v>
      </c>
      <c r="BB27" s="1096">
        <f t="shared" si="185"/>
        <v>2.8241935483871003</v>
      </c>
      <c r="BC27" s="1100">
        <f t="shared" si="185"/>
        <v>-1.5708064516129028</v>
      </c>
      <c r="BD27" s="481"/>
      <c r="BE27" s="1099">
        <f>SUM(AW27:BC27)</f>
        <v>10.16935483870968</v>
      </c>
      <c r="BF27" s="1095"/>
      <c r="BG27" s="1100"/>
      <c r="BI27" s="1099">
        <f t="shared" ref="BI27:BK27" si="186">BI4-BI25</f>
        <v>-24.5508064516129</v>
      </c>
      <c r="BJ27" s="1102">
        <f t="shared" si="186"/>
        <v>-7.0758064516129018</v>
      </c>
      <c r="BK27" s="1100">
        <f t="shared" si="186"/>
        <v>-24.775806451612901</v>
      </c>
      <c r="BL27" s="1103"/>
      <c r="BM27" s="1104">
        <f>SUM(BI27:BK27)</f>
        <v>-56.402419354838699</v>
      </c>
      <c r="BN27" s="1102"/>
      <c r="BO27" s="1100"/>
      <c r="BP27" s="14"/>
      <c r="BQ27" s="1104">
        <f>SUM(M27:S27)+SUM(Y27:AE27)+SUM(AK27:AQ27)+SUM(AW27:BC27)+SUM(BI27:BK27)</f>
        <v>92.17</v>
      </c>
      <c r="BR27" s="1105"/>
      <c r="BT27" s="1070"/>
      <c r="BU27" s="1070"/>
      <c r="BX27" s="1058"/>
      <c r="BY27" s="1070"/>
      <c r="BZ27" s="1070"/>
      <c r="CA27" s="1070"/>
      <c r="CB27" s="1070"/>
      <c r="CC27" s="1070"/>
      <c r="CD27" s="1070"/>
      <c r="CE27" s="1070"/>
      <c r="CF27" s="1060"/>
    </row>
    <row r="28" spans="1:84" s="81" customFormat="1" ht="15" customHeight="1" thickBot="1" x14ac:dyDescent="0.25">
      <c r="C28" s="81" t="s">
        <v>143</v>
      </c>
      <c r="E28" s="61"/>
      <c r="F28" s="61"/>
      <c r="G28" s="61"/>
      <c r="H28" s="61"/>
      <c r="I28" s="61"/>
      <c r="J28" s="61"/>
      <c r="K28" s="410"/>
      <c r="L28" s="41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93"/>
      <c r="BT28" s="4520" t="s">
        <v>99</v>
      </c>
      <c r="BU28" s="4520"/>
      <c r="BV28" s="61"/>
      <c r="BX28" s="1028"/>
      <c r="BY28" s="62"/>
      <c r="CF28" s="1029"/>
    </row>
    <row r="29" spans="1:84" s="1067" customFormat="1" ht="15.75" thickBot="1" x14ac:dyDescent="0.25">
      <c r="A29" s="775"/>
      <c r="B29" s="591">
        <v>18</v>
      </c>
      <c r="C29" s="1106" t="s">
        <v>132</v>
      </c>
      <c r="D29" s="1094"/>
      <c r="E29" s="1107">
        <v>470</v>
      </c>
      <c r="F29" s="593">
        <f t="shared" ref="F29" si="187">E29/10</f>
        <v>47</v>
      </c>
      <c r="G29" s="593">
        <f t="shared" ref="G29" si="188">E29/15</f>
        <v>31.333333333333332</v>
      </c>
      <c r="H29" s="593">
        <f t="shared" ref="H29" si="189">E29/20</f>
        <v>23.5</v>
      </c>
      <c r="I29" s="593">
        <f t="shared" ref="I29" si="190">E29/25</f>
        <v>18.8</v>
      </c>
      <c r="J29" s="594">
        <f>E29/31</f>
        <v>15.161290322580646</v>
      </c>
      <c r="K29" s="595">
        <f>E29/$E$36</f>
        <v>0.29765674477517418</v>
      </c>
      <c r="L29" s="491"/>
      <c r="M29" s="599">
        <f>IF(M27&gt;$J$36,$J$29,IF(M27&lt;$J$36,(IF(M27&lt;0,0,M27*$K$29))))</f>
        <v>0</v>
      </c>
      <c r="N29" s="596">
        <f>IF(N27&gt;$J$36,$J$29,IF(N27&lt;$J$36,(IF(N27&lt;0,0,N27*$K$29))))</f>
        <v>0</v>
      </c>
      <c r="O29" s="596">
        <f t="shared" ref="O29:S29" si="191">IF(O27&gt;$J$36,$J$29,IF(O27&lt;$J$36,(IF(O27&lt;0,0,O27*$K$29))))</f>
        <v>2.5908619175059755</v>
      </c>
      <c r="P29" s="596">
        <f t="shared" si="191"/>
        <v>3.1668277186459384</v>
      </c>
      <c r="Q29" s="596">
        <f t="shared" si="191"/>
        <v>0</v>
      </c>
      <c r="R29" s="596">
        <f t="shared" si="191"/>
        <v>2.7828505178859637</v>
      </c>
      <c r="S29" s="1108">
        <f t="shared" si="191"/>
        <v>0</v>
      </c>
      <c r="T29" s="481"/>
      <c r="U29" s="599">
        <f t="shared" si="10"/>
        <v>8.5405401540378776</v>
      </c>
      <c r="V29" s="596">
        <f>$U$27*K29</f>
        <v>-4.0274877934176372</v>
      </c>
      <c r="W29" s="1109">
        <f>U29-V29</f>
        <v>12.568027947455516</v>
      </c>
      <c r="X29" s="481"/>
      <c r="Y29" s="599">
        <f>IF(Y27&gt;$J$36,$J$29,IF(Y27&lt;$J$36,(IF(Y27&lt;0,0,Y27*$K$29))))</f>
        <v>0</v>
      </c>
      <c r="Z29" s="596">
        <f>IF(Z27&gt;$J$36,$J$29,IF(Z27&lt;$J$36,(IF(Z27&lt;0,0,Z27*$K$29))))</f>
        <v>4.4527048560746882</v>
      </c>
      <c r="AA29" s="596">
        <f t="shared" ref="AA29:AE29" si="192">IF(AA27&gt;$J$36,$J$29,IF(AA27&lt;$J$36,(IF(AA27&lt;0,0,AA27*$K$29))))</f>
        <v>0</v>
      </c>
      <c r="AB29" s="596">
        <f t="shared" si="192"/>
        <v>1.5728758503748792</v>
      </c>
      <c r="AC29" s="596">
        <f t="shared" si="192"/>
        <v>2.30511144252181</v>
      </c>
      <c r="AD29" s="596">
        <f t="shared" si="192"/>
        <v>4.5152127724774775</v>
      </c>
      <c r="AE29" s="1108">
        <f t="shared" si="192"/>
        <v>0</v>
      </c>
      <c r="AF29" s="481"/>
      <c r="AG29" s="599">
        <f>SUM(Y29:AE29)</f>
        <v>12.845904921448854</v>
      </c>
      <c r="AH29" s="596">
        <f>$AG$27*K29</f>
        <v>-3.4336625875911642</v>
      </c>
      <c r="AI29" s="1109">
        <f>AG29-AH29</f>
        <v>16.279567509040017</v>
      </c>
      <c r="AJ29" s="481"/>
      <c r="AK29" s="599">
        <f t="shared" ref="AK29:AL29" si="193">IF(AK27&gt;$J$36,$J$29,IF(AK27&lt;$J$36,(IF(AK27&lt;0,0,AK27*$K$29))))</f>
        <v>0</v>
      </c>
      <c r="AL29" s="594">
        <f t="shared" si="193"/>
        <v>0</v>
      </c>
      <c r="AM29" s="594">
        <f t="shared" ref="AM29:AN29" si="194">IF(AM27&gt;$J$36,$J$29,IF(AM27&lt;$J$36,(IF(AM27&lt;0,0,AM27*$K$29))))</f>
        <v>0</v>
      </c>
      <c r="AN29" s="594">
        <f t="shared" si="194"/>
        <v>10.707961347524977</v>
      </c>
      <c r="AO29" s="594">
        <f t="shared" ref="AO29:AP29" si="195">IF(AO27&gt;$J$36,$J$29,IF(AO27&lt;$J$36,(IF(AO27&lt;0,0,AO27*$K$29))))</f>
        <v>3.1668277186459384</v>
      </c>
      <c r="AP29" s="594">
        <f t="shared" si="195"/>
        <v>15.161290322580646</v>
      </c>
      <c r="AQ29" s="594">
        <f t="shared" ref="AQ29" si="196">IF(AQ27&gt;$J$36,$J$29,IF(AQ27&lt;$J$36,(IF(AQ27&lt;0,0,AQ27*$K$29))))</f>
        <v>15.161290322580646</v>
      </c>
      <c r="AR29" s="481"/>
      <c r="AS29" s="599">
        <f t="shared" ref="AS29:AS36" si="197">SUM(AK29:AQ29)</f>
        <v>44.197369711332207</v>
      </c>
      <c r="AT29" s="596">
        <f>$AS$27*K29</f>
        <v>48.657756031788189</v>
      </c>
      <c r="AU29" s="1109">
        <f>AS29-AT29</f>
        <v>-4.4603863204559815</v>
      </c>
      <c r="AV29" s="481"/>
      <c r="AW29" s="1110">
        <f t="shared" ref="AW29:AX29" si="198">IF(AW27&gt;$J$36,$J$29,IF(AW27&lt;$J$36,(IF(AW27&lt;0,0,AW27*$K$29))))</f>
        <v>0</v>
      </c>
      <c r="AX29" s="593">
        <f t="shared" si="198"/>
        <v>4.7161310752007193</v>
      </c>
      <c r="AY29" s="593">
        <f t="shared" ref="AY29:AZ29" si="199">IF(AY27&gt;$J$36,$J$29,IF(AY27&lt;$J$36,(IF(AY27&lt;0,0,AY27*$K$29))))</f>
        <v>5.1358270853337142</v>
      </c>
      <c r="AZ29" s="593">
        <f t="shared" si="199"/>
        <v>0</v>
      </c>
      <c r="BA29" s="593">
        <f t="shared" ref="BA29:BB29" si="200">IF(BA27&gt;$J$36,$J$29,IF(BA27&lt;$J$36,(IF(BA27&lt;0,0,BA27*$K$29))))</f>
        <v>0</v>
      </c>
      <c r="BB29" s="593">
        <f t="shared" si="200"/>
        <v>0.84064025822795263</v>
      </c>
      <c r="BC29" s="593">
        <f t="shared" ref="BC29" si="201">IF(BC27&gt;$J$36,$J$29,IF(BC27&lt;$J$36,(IF(BC27&lt;0,0,BC27*$K$29))))</f>
        <v>0</v>
      </c>
      <c r="BD29" s="481"/>
      <c r="BE29" s="599">
        <f>SUM(AW29:BC29)</f>
        <v>10.692598418762387</v>
      </c>
      <c r="BF29" s="596">
        <f>$BE$27*K29</f>
        <v>3.0269770577539896</v>
      </c>
      <c r="BG29" s="1109">
        <f>BE29-BF29</f>
        <v>7.6656213610083972</v>
      </c>
      <c r="BH29" s="481"/>
      <c r="BI29" s="1111">
        <f t="shared" ref="BI29:BJ29" si="202">IF(BI27&gt;$J$36,$J$29,IF(BI27&lt;$J$36,(IF(BI27&lt;0,0,BI27*$K$29))))</f>
        <v>0</v>
      </c>
      <c r="BJ29" s="593">
        <f t="shared" si="202"/>
        <v>0</v>
      </c>
      <c r="BK29" s="593">
        <f t="shared" ref="BK29" si="203">IF(BK27&gt;$J$36,$J$29,IF(BK27&lt;$J$36,(IF(BK27&lt;0,0,BK27*$K$29))))</f>
        <v>0</v>
      </c>
      <c r="BL29" s="481"/>
      <c r="BM29" s="599">
        <f>SUM(BI29:BK29)</f>
        <v>0</v>
      </c>
      <c r="BN29" s="596">
        <f>$BM$27*K29</f>
        <v>-16.788560542605566</v>
      </c>
      <c r="BO29" s="1109">
        <f>BM29-BN29</f>
        <v>16.788560542605566</v>
      </c>
      <c r="BQ29" s="599"/>
      <c r="BR29" s="600"/>
      <c r="BT29" s="599">
        <f t="shared" ref="BT29:BT34" si="204">SUM(M29:S29)+SUM(Y29:AE29)+SUM(AK29:AQ29)+SUM(AW29:BC29)+SUM(BI29:BK29)</f>
        <v>76.276413205581335</v>
      </c>
      <c r="BU29" s="601">
        <f t="shared" ref="BU29:BU36" si="205">BT29/E29</f>
        <v>0.162290240862939</v>
      </c>
      <c r="BV29" s="4505">
        <f>BU36-BT1</f>
        <v>-0.83770975913706103</v>
      </c>
      <c r="BX29" s="1071"/>
      <c r="BY29" s="1072"/>
      <c r="BZ29" s="1112"/>
      <c r="CA29" s="1112"/>
      <c r="CB29" s="1112"/>
      <c r="CC29" s="1112"/>
      <c r="CD29" s="1112"/>
      <c r="CE29" s="1112"/>
      <c r="CF29" s="1113"/>
    </row>
    <row r="30" spans="1:84" s="255" customFormat="1" x14ac:dyDescent="0.2">
      <c r="B30" s="462">
        <v>19</v>
      </c>
      <c r="C30" s="816" t="s">
        <v>121</v>
      </c>
      <c r="D30" s="819"/>
      <c r="E30" s="445">
        <v>350</v>
      </c>
      <c r="F30" s="451">
        <f>E30/10</f>
        <v>35</v>
      </c>
      <c r="G30" s="451">
        <f>E30/15</f>
        <v>23.333333333333332</v>
      </c>
      <c r="H30" s="451">
        <f>E30/20</f>
        <v>17.5</v>
      </c>
      <c r="I30" s="451">
        <f>E30/25</f>
        <v>14</v>
      </c>
      <c r="J30" s="451">
        <f t="shared" ref="J30:J34" si="206">E30/31</f>
        <v>11.290322580645162</v>
      </c>
      <c r="K30" s="448">
        <f>E30/$E$36</f>
        <v>0.22165927802406588</v>
      </c>
      <c r="L30" s="492"/>
      <c r="M30" s="458">
        <f>IF(M27&gt;$J$36,$J$30,IF(M27&lt;$J$36,(IF(M27&lt;0,0,M27*$K$30))))</f>
        <v>0</v>
      </c>
      <c r="N30" s="445">
        <f>IF(N27&gt;$J$36,$J$30,IF(N27&lt;$J$36,(IF(N27&lt;0,0,N27*$K$30))))</f>
        <v>0</v>
      </c>
      <c r="O30" s="445">
        <f t="shared" ref="O30:S30" si="207">IF(O27&gt;$J$36,$J$30,IF(O27&lt;$J$36,(IF(O27&lt;0,0,O27*$K$30))))</f>
        <v>1.9293652577172158</v>
      </c>
      <c r="P30" s="445">
        <f t="shared" si="207"/>
        <v>2.3582759606937835</v>
      </c>
      <c r="Q30" s="445">
        <f t="shared" si="207"/>
        <v>0</v>
      </c>
      <c r="R30" s="445">
        <f t="shared" si="207"/>
        <v>2.0723354920427388</v>
      </c>
      <c r="S30" s="463">
        <f t="shared" si="207"/>
        <v>0</v>
      </c>
      <c r="T30" s="479"/>
      <c r="U30" s="458">
        <f t="shared" si="10"/>
        <v>6.3599767104537381</v>
      </c>
      <c r="V30" s="445">
        <f t="shared" ref="V30:V35" si="208">$U$27*K30</f>
        <v>-2.9991930376514317</v>
      </c>
      <c r="W30" s="1080">
        <f t="shared" ref="W30:W35" si="209">U30-V30</f>
        <v>9.3591697481051703</v>
      </c>
      <c r="X30" s="479"/>
      <c r="Y30" s="458">
        <f>IF(Y27&gt;$J$36,$J$30,IF(Y27&lt;$J$36,(IF(Y27&lt;0,0,Y27*$K$30))))</f>
        <v>0</v>
      </c>
      <c r="Z30" s="445">
        <f>IF(Z27&gt;$J$36,$J$30,IF(Z27&lt;$J$36,(IF(Z27&lt;0,0,Z27*$K$30))))</f>
        <v>3.3158440417577468</v>
      </c>
      <c r="AA30" s="445">
        <f t="shared" ref="AA30:AE30" si="210">IF(AA27&gt;$J$36,$J$30,IF(AA27&lt;$J$36,(IF(AA27&lt;0,0,AA27*$K$30))))</f>
        <v>0</v>
      </c>
      <c r="AB30" s="445">
        <f t="shared" si="210"/>
        <v>1.1712905268749101</v>
      </c>
      <c r="AC30" s="445">
        <f t="shared" si="210"/>
        <v>1.716572350814114</v>
      </c>
      <c r="AD30" s="445">
        <f t="shared" si="210"/>
        <v>3.3623924901428026</v>
      </c>
      <c r="AE30" s="463">
        <f t="shared" si="210"/>
        <v>0</v>
      </c>
      <c r="AF30" s="479"/>
      <c r="AG30" s="458">
        <f t="shared" ref="AG30:AG35" si="211">SUM(Y30:AE30)</f>
        <v>9.5660994095895724</v>
      </c>
      <c r="AH30" s="445">
        <f t="shared" ref="AH30:AH35" si="212">$AG$27*K30</f>
        <v>-2.55698277799342</v>
      </c>
      <c r="AI30" s="1080">
        <f t="shared" ref="AI30:AI35" si="213">AG30-AH30</f>
        <v>12.123082187582993</v>
      </c>
      <c r="AJ30" s="479"/>
      <c r="AK30" s="458">
        <f t="shared" ref="AK30:AL30" si="214">IF(AK27&gt;$J$36,$J$30,IF(AK27&lt;$J$36,(IF(AK27&lt;0,0,AK27*$K$30))))</f>
        <v>0</v>
      </c>
      <c r="AL30" s="451">
        <f t="shared" si="214"/>
        <v>0</v>
      </c>
      <c r="AM30" s="451">
        <f t="shared" ref="AM30:AN30" si="215">IF(AM27&gt;$J$36,$J$30,IF(AM27&lt;$J$36,(IF(AM27&lt;0,0,AM27*$K$30))))</f>
        <v>0</v>
      </c>
      <c r="AN30" s="451">
        <f t="shared" si="215"/>
        <v>7.9740137694334932</v>
      </c>
      <c r="AO30" s="451">
        <f t="shared" ref="AO30:AP30" si="216">IF(AO27&gt;$J$36,$J$30,IF(AO27&lt;$J$36,(IF(AO27&lt;0,0,AO27*$K$30))))</f>
        <v>2.3582759606937835</v>
      </c>
      <c r="AP30" s="451">
        <f t="shared" si="216"/>
        <v>11.290322580645162</v>
      </c>
      <c r="AQ30" s="451">
        <f t="shared" ref="AQ30" si="217">IF(AQ27&gt;$J$36,$J$30,IF(AQ27&lt;$J$36,(IF(AQ27&lt;0,0,AQ27*$K$30))))</f>
        <v>11.290322580645162</v>
      </c>
      <c r="AR30" s="479"/>
      <c r="AS30" s="458">
        <f t="shared" si="197"/>
        <v>32.912934891417599</v>
      </c>
      <c r="AT30" s="445">
        <f t="shared" ref="AT30:AT35" si="218">$AS$27*K30</f>
        <v>36.234499172608224</v>
      </c>
      <c r="AU30" s="1080">
        <f t="shared" ref="AU30:AU35" si="219">AS30-AT30</f>
        <v>-3.321564281190625</v>
      </c>
      <c r="AV30" s="479"/>
      <c r="AW30" s="1057">
        <f t="shared" ref="AW30:AX30" si="220">IF(AW27&gt;$J$36,$J$30,IF(AW27&lt;$J$36,(IF(AW27&lt;0,0,AW27*$K$30))))</f>
        <v>0</v>
      </c>
      <c r="AX30" s="451">
        <f t="shared" si="220"/>
        <v>3.5120125028090463</v>
      </c>
      <c r="AY30" s="451">
        <f t="shared" ref="AY30:AZ30" si="221">IF(AY27&gt;$J$36,$J$30,IF(AY27&lt;$J$36,(IF(AY27&lt;0,0,AY27*$K$30))))</f>
        <v>3.8245520848229781</v>
      </c>
      <c r="AZ30" s="451">
        <f t="shared" si="221"/>
        <v>0</v>
      </c>
      <c r="BA30" s="451">
        <f t="shared" ref="BA30:BB30" si="222">IF(BA27&gt;$J$36,$J$30,IF(BA27&lt;$J$36,(IF(BA27&lt;0,0,BA27*$K$30))))</f>
        <v>0</v>
      </c>
      <c r="BB30" s="451">
        <f t="shared" si="222"/>
        <v>0.62600870293570943</v>
      </c>
      <c r="BC30" s="451">
        <f t="shared" ref="BC30" si="223">IF(BC27&gt;$J$36,$J$30,IF(BC27&lt;$J$36,(IF(BC27&lt;0,0,BC27*$K$30))))</f>
        <v>0</v>
      </c>
      <c r="BD30" s="479"/>
      <c r="BE30" s="458">
        <f t="shared" ref="BE30:BE36" si="224">SUM(AW30:BC30)</f>
        <v>7.9625732905677333</v>
      </c>
      <c r="BF30" s="445">
        <f t="shared" ref="BF30:BF35" si="225">$BE$27*K30</f>
        <v>2.2541318515189284</v>
      </c>
      <c r="BG30" s="1080">
        <f t="shared" ref="BG30:BG35" si="226">BE30-BF30</f>
        <v>5.708441439048805</v>
      </c>
      <c r="BH30" s="479"/>
      <c r="BI30" s="458">
        <f t="shared" ref="BI30:BJ30" si="227">IF(BI27&gt;$J$36,$J$30,IF(BI27&lt;$J$36,(IF(BI27&lt;0,0,BI27*$K$30))))</f>
        <v>0</v>
      </c>
      <c r="BJ30" s="451">
        <f t="shared" si="227"/>
        <v>0</v>
      </c>
      <c r="BK30" s="451">
        <f t="shared" ref="BK30" si="228">IF(BK27&gt;$J$36,$J$30,IF(BK27&lt;$J$36,(IF(BK27&lt;0,0,BK27*$K$30))))</f>
        <v>0</v>
      </c>
      <c r="BL30" s="479"/>
      <c r="BM30" s="458">
        <f t="shared" ref="BM30:BM35" si="229">SUM(BI30:BK30)</f>
        <v>0</v>
      </c>
      <c r="BN30" s="445">
        <f t="shared" ref="BN30:BN35" si="230">$BM$27*K30</f>
        <v>-12.502119553004146</v>
      </c>
      <c r="BO30" s="1080">
        <f t="shared" ref="BO30:BO35" si="231">BM30-BN30</f>
        <v>12.502119553004146</v>
      </c>
      <c r="BQ30" s="458"/>
      <c r="BR30" s="460"/>
      <c r="BT30" s="458">
        <f t="shared" si="204"/>
        <v>56.801584302028644</v>
      </c>
      <c r="BU30" s="487">
        <f t="shared" si="205"/>
        <v>0.16229024086293897</v>
      </c>
      <c r="BV30" s="4515"/>
    </row>
    <row r="31" spans="1:84" s="1067" customFormat="1" x14ac:dyDescent="0.2">
      <c r="B31" s="464">
        <v>20</v>
      </c>
      <c r="C31" s="1114" t="s">
        <v>120</v>
      </c>
      <c r="D31" s="1094"/>
      <c r="E31" s="453">
        <v>300</v>
      </c>
      <c r="F31" s="424">
        <f t="shared" ref="F31:F34" si="232">E31/10</f>
        <v>30</v>
      </c>
      <c r="G31" s="424">
        <f t="shared" ref="G31:G34" si="233">E31/15</f>
        <v>20</v>
      </c>
      <c r="H31" s="424">
        <f t="shared" ref="H31:H34" si="234">E31/20</f>
        <v>15</v>
      </c>
      <c r="I31" s="424">
        <f t="shared" ref="I31:I34" si="235">E31/25</f>
        <v>12</v>
      </c>
      <c r="J31" s="424">
        <f t="shared" si="206"/>
        <v>9.67741935483871</v>
      </c>
      <c r="K31" s="449">
        <f t="shared" ref="K31:K34" si="236">E31/$E$36</f>
        <v>0.18999366687777075</v>
      </c>
      <c r="L31" s="491"/>
      <c r="M31" s="459">
        <f>IF(M27&gt;$J$36,$J$31,IF(M27&lt;$J$36,(IF(M27&lt;0,0,M27*$K$31))))</f>
        <v>0</v>
      </c>
      <c r="N31" s="453">
        <f>IF(N27&gt;$J$36,$J$31,IF(N27&lt;$J$36,(IF(N27&lt;0,0,N27*$K$31))))</f>
        <v>0</v>
      </c>
      <c r="O31" s="453">
        <f t="shared" ref="O31:S31" si="237">IF(O27&gt;$J$36,$J$31,IF(O27&lt;$J$36,(IF(O27&lt;0,0,O27*$K$31))))</f>
        <v>1.6537416494718993</v>
      </c>
      <c r="P31" s="453">
        <f t="shared" si="237"/>
        <v>2.0213793948803862</v>
      </c>
      <c r="Q31" s="453">
        <f t="shared" si="237"/>
        <v>0</v>
      </c>
      <c r="R31" s="424">
        <f t="shared" si="237"/>
        <v>1.776287564608062</v>
      </c>
      <c r="S31" s="465">
        <f t="shared" si="237"/>
        <v>0</v>
      </c>
      <c r="T31" s="481"/>
      <c r="U31" s="459">
        <f t="shared" si="10"/>
        <v>5.4514086089603477</v>
      </c>
      <c r="V31" s="424">
        <f t="shared" si="208"/>
        <v>-2.5707368894155129</v>
      </c>
      <c r="W31" s="465">
        <f t="shared" si="209"/>
        <v>8.0221454983758598</v>
      </c>
      <c r="X31" s="481"/>
      <c r="Y31" s="459">
        <f>IF(Y27&gt;$J$36,$J$31,IF(Y27&lt;$J$36,(IF(Y27&lt;0,0,Y27*$K$31))))</f>
        <v>0</v>
      </c>
      <c r="Z31" s="424">
        <f>IF(Z27&gt;$J$36,$J$31,IF(Z27&lt;$J$36,(IF(Z27&lt;0,0,Z27*$K$31))))</f>
        <v>2.8421520357923544</v>
      </c>
      <c r="AA31" s="424">
        <f t="shared" ref="AA31:AE31" si="238">IF(AA27&gt;$J$36,$J$31,IF(AA27&lt;$J$36,(IF(AA27&lt;0,0,AA27*$K$31))))</f>
        <v>0</v>
      </c>
      <c r="AB31" s="424">
        <f t="shared" si="238"/>
        <v>1.0039633087499229</v>
      </c>
      <c r="AC31" s="424">
        <f t="shared" si="238"/>
        <v>1.4713477292692405</v>
      </c>
      <c r="AD31" s="424">
        <f t="shared" si="238"/>
        <v>2.8820507058366878</v>
      </c>
      <c r="AE31" s="465">
        <f t="shared" si="238"/>
        <v>0</v>
      </c>
      <c r="AF31" s="481"/>
      <c r="AG31" s="459">
        <f t="shared" si="211"/>
        <v>8.1995137796482052</v>
      </c>
      <c r="AH31" s="424">
        <f t="shared" si="212"/>
        <v>-2.1916995239943602</v>
      </c>
      <c r="AI31" s="465">
        <f t="shared" si="213"/>
        <v>10.391213303642566</v>
      </c>
      <c r="AJ31" s="481"/>
      <c r="AK31" s="459">
        <f t="shared" ref="AK31:AL31" si="239">IF(AK27&gt;$J$36,$J$31,IF(AK27&lt;$J$36,(IF(AK27&lt;0,0,AK27*$K$31))))</f>
        <v>0</v>
      </c>
      <c r="AL31" s="424">
        <f t="shared" si="239"/>
        <v>0</v>
      </c>
      <c r="AM31" s="424">
        <f t="shared" ref="AM31:AN31" si="240">IF(AM27&gt;$J$36,$J$31,IF(AM27&lt;$J$36,(IF(AM27&lt;0,0,AM27*$K$31))))</f>
        <v>0</v>
      </c>
      <c r="AN31" s="424">
        <f t="shared" si="240"/>
        <v>6.8348689452287079</v>
      </c>
      <c r="AO31" s="424">
        <f t="shared" ref="AO31:AP31" si="241">IF(AO27&gt;$J$36,$J$31,IF(AO27&lt;$J$36,(IF(AO27&lt;0,0,AO27*$K$31))))</f>
        <v>2.0213793948803862</v>
      </c>
      <c r="AP31" s="424">
        <f t="shared" si="241"/>
        <v>9.67741935483871</v>
      </c>
      <c r="AQ31" s="424">
        <f t="shared" ref="AQ31" si="242">IF(AQ27&gt;$J$36,$J$31,IF(AQ27&lt;$J$36,(IF(AQ27&lt;0,0,AQ27*$K$31))))</f>
        <v>9.67741935483871</v>
      </c>
      <c r="AR31" s="481"/>
      <c r="AS31" s="459">
        <f t="shared" si="197"/>
        <v>28.211087049786514</v>
      </c>
      <c r="AT31" s="424">
        <f t="shared" si="218"/>
        <v>31.058142147949908</v>
      </c>
      <c r="AU31" s="465">
        <f t="shared" si="219"/>
        <v>-2.8470550981633949</v>
      </c>
      <c r="AV31" s="481"/>
      <c r="AW31" s="1115">
        <f t="shared" ref="AW31:AX31" si="243">IF(AW27&gt;$J$36,$J$31,IF(AW27&lt;$J$36,(IF(AW27&lt;0,0,AW27*$K$31))))</f>
        <v>0</v>
      </c>
      <c r="AX31" s="424">
        <f t="shared" si="243"/>
        <v>3.0102964309791824</v>
      </c>
      <c r="AY31" s="424">
        <f t="shared" ref="AY31:AZ31" si="244">IF(AY27&gt;$J$36,$J$31,IF(AY27&lt;$J$36,(IF(AY27&lt;0,0,AY27*$K$31))))</f>
        <v>3.2781875012768387</v>
      </c>
      <c r="AZ31" s="424">
        <f t="shared" si="244"/>
        <v>0</v>
      </c>
      <c r="BA31" s="424">
        <f t="shared" ref="BA31:BB31" si="245">IF(BA27&gt;$J$36,$J$31,IF(BA27&lt;$J$36,(IF(BA27&lt;0,0,BA27*$K$31))))</f>
        <v>0</v>
      </c>
      <c r="BB31" s="424">
        <f t="shared" si="245"/>
        <v>0.53657888823060806</v>
      </c>
      <c r="BC31" s="424">
        <f t="shared" ref="BC31" si="246">IF(BC27&gt;$J$36,$J$31,IF(BC27&lt;$J$36,(IF(BC27&lt;0,0,BC27*$K$31))))</f>
        <v>0</v>
      </c>
      <c r="BD31" s="481"/>
      <c r="BE31" s="459">
        <f t="shared" si="224"/>
        <v>6.8250628204866288</v>
      </c>
      <c r="BF31" s="424">
        <f t="shared" si="225"/>
        <v>1.9321130155876529</v>
      </c>
      <c r="BG31" s="465">
        <f t="shared" si="226"/>
        <v>4.8929498048989757</v>
      </c>
      <c r="BH31" s="481"/>
      <c r="BI31" s="459">
        <f t="shared" ref="BI31:BJ31" si="247">IF(BI27&gt;$J$36,$J$31,IF(BI27&lt;$J$36,(IF(BI27&lt;0,0,BI27*$K$31))))</f>
        <v>0</v>
      </c>
      <c r="BJ31" s="424">
        <f t="shared" si="247"/>
        <v>0</v>
      </c>
      <c r="BK31" s="424">
        <f t="shared" ref="BK31" si="248">IF(BK27&gt;$J$36,$J$31,IF(BK27&lt;$J$36,(IF(BK27&lt;0,0,BK27*$K$31))))</f>
        <v>0</v>
      </c>
      <c r="BL31" s="481"/>
      <c r="BM31" s="459">
        <f t="shared" si="229"/>
        <v>0</v>
      </c>
      <c r="BN31" s="424">
        <f t="shared" si="230"/>
        <v>-10.716102474003554</v>
      </c>
      <c r="BO31" s="465">
        <f t="shared" si="231"/>
        <v>10.716102474003554</v>
      </c>
      <c r="BQ31" s="729"/>
      <c r="BR31" s="730"/>
      <c r="BT31" s="729">
        <f t="shared" si="204"/>
        <v>48.687072258881692</v>
      </c>
      <c r="BU31" s="731">
        <f t="shared" si="205"/>
        <v>0.16229024086293897</v>
      </c>
      <c r="BV31" s="4515"/>
    </row>
    <row r="32" spans="1:84" s="255" customFormat="1" x14ac:dyDescent="0.2">
      <c r="A32" s="774"/>
      <c r="B32" s="462">
        <v>21</v>
      </c>
      <c r="C32" s="816" t="s">
        <v>133</v>
      </c>
      <c r="D32" s="819"/>
      <c r="E32" s="445">
        <v>209</v>
      </c>
      <c r="F32" s="451">
        <f t="shared" si="232"/>
        <v>20.9</v>
      </c>
      <c r="G32" s="451">
        <f t="shared" si="233"/>
        <v>13.933333333333334</v>
      </c>
      <c r="H32" s="451">
        <f t="shared" si="234"/>
        <v>10.45</v>
      </c>
      <c r="I32" s="451">
        <f t="shared" si="235"/>
        <v>8.36</v>
      </c>
      <c r="J32" s="451">
        <f t="shared" si="206"/>
        <v>6.741935483870968</v>
      </c>
      <c r="K32" s="448">
        <f t="shared" si="236"/>
        <v>0.13236225459151363</v>
      </c>
      <c r="L32" s="492"/>
      <c r="M32" s="458">
        <f>IF(M27&gt;$J$36,$J$32,IF(M27&lt;$J$36,(IF(M27&lt;0,0,M27*$K$32))))</f>
        <v>0</v>
      </c>
      <c r="N32" s="445">
        <f>IF(N27&gt;$J$36,$J$32,IF(N27&lt;$J$36,(IF(N27&lt;0,0,N27*$K$32))))</f>
        <v>0</v>
      </c>
      <c r="O32" s="445">
        <f t="shared" ref="O32:S32" si="249">IF(O27&gt;$J$36,$J$32,IF(O27&lt;$J$36,(IF(O27&lt;0,0,O27*$K$32))))</f>
        <v>1.1521066824654231</v>
      </c>
      <c r="P32" s="445">
        <f t="shared" si="249"/>
        <v>1.4082276451000024</v>
      </c>
      <c r="Q32" s="445">
        <f t="shared" si="249"/>
        <v>0</v>
      </c>
      <c r="R32" s="451">
        <f t="shared" si="249"/>
        <v>1.2374803366769498</v>
      </c>
      <c r="S32" s="463">
        <f t="shared" si="249"/>
        <v>0</v>
      </c>
      <c r="T32" s="479"/>
      <c r="U32" s="458">
        <f t="shared" si="10"/>
        <v>3.7978146642423756</v>
      </c>
      <c r="V32" s="451">
        <f t="shared" si="208"/>
        <v>-1.7909466996261407</v>
      </c>
      <c r="W32" s="463">
        <f t="shared" si="209"/>
        <v>5.5887613638685165</v>
      </c>
      <c r="X32" s="479"/>
      <c r="Y32" s="458">
        <f>IF(Y27&gt;$J$36,$J$32,IF(Y27&lt;$J$36,(IF(Y27&lt;0,0,Y27*$K$32))))</f>
        <v>0</v>
      </c>
      <c r="Z32" s="451">
        <f>IF(Z27&gt;$J$36,$J$32,IF(Z27&lt;$J$36,(IF(Z27&lt;0,0,Z27*$K$32))))</f>
        <v>1.9800325849353404</v>
      </c>
      <c r="AA32" s="451">
        <f t="shared" ref="AA32:AE32" si="250">IF(AA27&gt;$J$36,$J$32,IF(AA27&lt;$J$36,(IF(AA27&lt;0,0,AA27*$K$32))))</f>
        <v>0</v>
      </c>
      <c r="AB32" s="451">
        <f t="shared" si="250"/>
        <v>0.6994277717624463</v>
      </c>
      <c r="AC32" s="451">
        <f t="shared" si="250"/>
        <v>1.025038918057571</v>
      </c>
      <c r="AD32" s="451">
        <f t="shared" si="250"/>
        <v>2.0078286583995593</v>
      </c>
      <c r="AE32" s="463">
        <f t="shared" si="250"/>
        <v>0</v>
      </c>
      <c r="AF32" s="479"/>
      <c r="AG32" s="458">
        <f t="shared" si="211"/>
        <v>5.712327933154917</v>
      </c>
      <c r="AH32" s="451">
        <f t="shared" si="212"/>
        <v>-1.526884001716071</v>
      </c>
      <c r="AI32" s="463">
        <f t="shared" si="213"/>
        <v>7.2392119348709878</v>
      </c>
      <c r="AJ32" s="479"/>
      <c r="AK32" s="458">
        <f t="shared" ref="AK32:AL32" si="251">IF(AK27&gt;$J$36,$J$32,IF(AK27&lt;$J$36,(IF(AK27&lt;0,0,AK27*$K$32))))</f>
        <v>0</v>
      </c>
      <c r="AL32" s="451">
        <f t="shared" si="251"/>
        <v>0</v>
      </c>
      <c r="AM32" s="451">
        <f t="shared" ref="AM32:AN32" si="252">IF(AM27&gt;$J$36,$J$32,IF(AM27&lt;$J$36,(IF(AM27&lt;0,0,AM27*$K$32))))</f>
        <v>0</v>
      </c>
      <c r="AN32" s="451">
        <f t="shared" si="252"/>
        <v>4.7616253651760001</v>
      </c>
      <c r="AO32" s="451">
        <f t="shared" ref="AO32:AP32" si="253">IF(AO27&gt;$J$36,$J$32,IF(AO27&lt;$J$36,(IF(AO27&lt;0,0,AO27*$K$32))))</f>
        <v>1.4082276451000024</v>
      </c>
      <c r="AP32" s="451">
        <f t="shared" si="253"/>
        <v>6.741935483870968</v>
      </c>
      <c r="AQ32" s="451">
        <f t="shared" ref="AQ32" si="254">IF(AQ27&gt;$J$36,$J$32,IF(AQ27&lt;$J$36,(IF(AQ27&lt;0,0,AQ27*$K$32))))</f>
        <v>6.741935483870968</v>
      </c>
      <c r="AR32" s="479"/>
      <c r="AS32" s="458">
        <f t="shared" si="197"/>
        <v>19.653723978017936</v>
      </c>
      <c r="AT32" s="451">
        <f t="shared" si="218"/>
        <v>21.63717236307177</v>
      </c>
      <c r="AU32" s="463">
        <f t="shared" si="219"/>
        <v>-1.9834483850538334</v>
      </c>
      <c r="AV32" s="479"/>
      <c r="AW32" s="1057">
        <f t="shared" ref="AW32:AX32" si="255">IF(AW27&gt;$J$36,$J$32,IF(AW27&lt;$J$36,(IF(AW27&lt;0,0,AW27*$K$32))))</f>
        <v>0</v>
      </c>
      <c r="AX32" s="451">
        <f t="shared" si="255"/>
        <v>2.0971731802488307</v>
      </c>
      <c r="AY32" s="451">
        <f t="shared" ref="AY32:AZ32" si="256">IF(AY27&gt;$J$36,$J$32,IF(AY27&lt;$J$36,(IF(AY27&lt;0,0,AY27*$K$32))))</f>
        <v>2.2838039592228645</v>
      </c>
      <c r="AZ32" s="451">
        <f t="shared" si="256"/>
        <v>0</v>
      </c>
      <c r="BA32" s="451">
        <f t="shared" ref="BA32:BB32" si="257">IF(BA27&gt;$J$36,$J$32,IF(BA27&lt;$J$36,(IF(BA27&lt;0,0,BA27*$K$32))))</f>
        <v>0</v>
      </c>
      <c r="BB32" s="451">
        <f t="shared" si="257"/>
        <v>0.37381662546732364</v>
      </c>
      <c r="BC32" s="451">
        <f t="shared" ref="BC32" si="258">IF(BC27&gt;$J$36,$J$32,IF(BC27&lt;$J$36,(IF(BC27&lt;0,0,BC27*$K$32))))</f>
        <v>0</v>
      </c>
      <c r="BD32" s="479"/>
      <c r="BE32" s="458">
        <f t="shared" si="224"/>
        <v>4.7547937649390191</v>
      </c>
      <c r="BF32" s="451">
        <f t="shared" si="225"/>
        <v>1.3460387341927316</v>
      </c>
      <c r="BG32" s="463">
        <f t="shared" si="226"/>
        <v>3.4087550307462875</v>
      </c>
      <c r="BH32" s="479"/>
      <c r="BI32" s="458">
        <f t="shared" ref="BI32:BJ32" si="259">IF(BI27&gt;$J$36,$J$32,IF(BI27&lt;$J$36,(IF(BI27&lt;0,0,BI27*$K$32))))</f>
        <v>0</v>
      </c>
      <c r="BJ32" s="451">
        <f t="shared" si="259"/>
        <v>0</v>
      </c>
      <c r="BK32" s="451">
        <f t="shared" ref="BK32" si="260">IF(BK27&gt;$J$36,$J$32,IF(BK27&lt;$J$36,(IF(BK27&lt;0,0,BK27*$K$32))))</f>
        <v>0</v>
      </c>
      <c r="BL32" s="479"/>
      <c r="BM32" s="458">
        <f t="shared" si="229"/>
        <v>0</v>
      </c>
      <c r="BN32" s="451">
        <f t="shared" si="230"/>
        <v>-7.4655513902224762</v>
      </c>
      <c r="BO32" s="463">
        <f t="shared" si="231"/>
        <v>7.4655513902224762</v>
      </c>
      <c r="BQ32" s="732"/>
      <c r="BR32" s="733"/>
      <c r="BT32" s="732">
        <f t="shared" si="204"/>
        <v>33.918660340354243</v>
      </c>
      <c r="BU32" s="734">
        <f t="shared" si="205"/>
        <v>0.16229024086293897</v>
      </c>
      <c r="BV32" s="4515"/>
    </row>
    <row r="33" spans="1:75" s="1067" customFormat="1" x14ac:dyDescent="0.2">
      <c r="B33" s="464">
        <v>22</v>
      </c>
      <c r="C33" s="1114" t="s">
        <v>4</v>
      </c>
      <c r="D33" s="1094"/>
      <c r="E33" s="453">
        <v>150</v>
      </c>
      <c r="F33" s="424">
        <f t="shared" si="232"/>
        <v>15</v>
      </c>
      <c r="G33" s="424">
        <f t="shared" si="233"/>
        <v>10</v>
      </c>
      <c r="H33" s="424">
        <f t="shared" si="234"/>
        <v>7.5</v>
      </c>
      <c r="I33" s="424">
        <f t="shared" si="235"/>
        <v>6</v>
      </c>
      <c r="J33" s="424">
        <f t="shared" si="206"/>
        <v>4.838709677419355</v>
      </c>
      <c r="K33" s="449">
        <f t="shared" si="236"/>
        <v>9.4996833438885375E-2</v>
      </c>
      <c r="L33" s="491"/>
      <c r="M33" s="459">
        <f>IF(M27&gt;$J$36,$J$33,IF(M27&lt;$J$36,(IF(M27&lt;0,0,M27*$K$33))))</f>
        <v>0</v>
      </c>
      <c r="N33" s="453">
        <f>IF(N27&gt;$J$36,$J$33,IF(N27&lt;$J$36,(IF(N27&lt;0,0,N27*$K$33))))</f>
        <v>0</v>
      </c>
      <c r="O33" s="453">
        <f t="shared" ref="O33:S33" si="261">IF(O27&gt;$J$36,$J$33,IF(O27&lt;$J$36,(IF(O27&lt;0,0,O27*$K$33))))</f>
        <v>0.82687082473594964</v>
      </c>
      <c r="P33" s="453">
        <f t="shared" si="261"/>
        <v>1.0106896974401931</v>
      </c>
      <c r="Q33" s="453">
        <f t="shared" si="261"/>
        <v>0</v>
      </c>
      <c r="R33" s="424">
        <f t="shared" si="261"/>
        <v>0.88814378230403102</v>
      </c>
      <c r="S33" s="465">
        <f t="shared" si="261"/>
        <v>0</v>
      </c>
      <c r="T33" s="481"/>
      <c r="U33" s="459">
        <f t="shared" si="10"/>
        <v>2.7257043044801739</v>
      </c>
      <c r="V33" s="424">
        <f t="shared" si="208"/>
        <v>-1.2853684447077565</v>
      </c>
      <c r="W33" s="465">
        <f t="shared" si="209"/>
        <v>4.0110727491879299</v>
      </c>
      <c r="X33" s="481"/>
      <c r="Y33" s="459">
        <f>IF(Y27&gt;$J$36,$J$33,IF(Y27&lt;$J$36,(IF(Y27&lt;0,0,Y27*$K$33))))</f>
        <v>0</v>
      </c>
      <c r="Z33" s="424">
        <f>IF(Z27&gt;$J$36,$J$33,IF(Z27&lt;$J$36,(IF(Z27&lt;0,0,Z27*$K$33))))</f>
        <v>1.4210760178961772</v>
      </c>
      <c r="AA33" s="424">
        <f t="shared" ref="AA33:AE33" si="262">IF(AA27&gt;$J$36,$J$33,IF(AA27&lt;$J$36,(IF(AA27&lt;0,0,AA27*$K$33))))</f>
        <v>0</v>
      </c>
      <c r="AB33" s="424">
        <f t="shared" si="262"/>
        <v>0.50198165437496145</v>
      </c>
      <c r="AC33" s="424">
        <f t="shared" si="262"/>
        <v>0.73567386463462026</v>
      </c>
      <c r="AD33" s="424">
        <f t="shared" si="262"/>
        <v>1.4410253529183439</v>
      </c>
      <c r="AE33" s="465">
        <f t="shared" si="262"/>
        <v>0</v>
      </c>
      <c r="AF33" s="481"/>
      <c r="AG33" s="459">
        <f t="shared" si="211"/>
        <v>4.0997568898241026</v>
      </c>
      <c r="AH33" s="424">
        <f t="shared" si="212"/>
        <v>-1.0958497619971801</v>
      </c>
      <c r="AI33" s="465">
        <f t="shared" si="213"/>
        <v>5.1956066518212829</v>
      </c>
      <c r="AJ33" s="481"/>
      <c r="AK33" s="459">
        <f t="shared" ref="AK33:AL33" si="263">IF(AK27&gt;$J$36,$J$33,IF(AK27&lt;$J$36,(IF(AK27&lt;0,0,AK27*$K$33))))</f>
        <v>0</v>
      </c>
      <c r="AL33" s="424">
        <f t="shared" si="263"/>
        <v>0</v>
      </c>
      <c r="AM33" s="424">
        <f t="shared" ref="AM33:AN33" si="264">IF(AM27&gt;$J$36,$J$33,IF(AM27&lt;$J$36,(IF(AM27&lt;0,0,AM27*$K$33))))</f>
        <v>0</v>
      </c>
      <c r="AN33" s="424">
        <f t="shared" si="264"/>
        <v>3.417434472614354</v>
      </c>
      <c r="AO33" s="424">
        <f t="shared" ref="AO33:AP33" si="265">IF(AO27&gt;$J$36,$J$33,IF(AO27&lt;$J$36,(IF(AO27&lt;0,0,AO27*$K$33))))</f>
        <v>1.0106896974401931</v>
      </c>
      <c r="AP33" s="424">
        <f t="shared" si="265"/>
        <v>4.838709677419355</v>
      </c>
      <c r="AQ33" s="424">
        <f t="shared" ref="AQ33" si="266">IF(AQ27&gt;$J$36,$J$33,IF(AQ27&lt;$J$36,(IF(AQ27&lt;0,0,AQ27*$K$33))))</f>
        <v>4.838709677419355</v>
      </c>
      <c r="AR33" s="481"/>
      <c r="AS33" s="459">
        <f t="shared" si="197"/>
        <v>14.105543524893257</v>
      </c>
      <c r="AT33" s="424">
        <f t="shared" si="218"/>
        <v>15.529071073974954</v>
      </c>
      <c r="AU33" s="465">
        <f t="shared" si="219"/>
        <v>-1.4235275490816974</v>
      </c>
      <c r="AV33" s="481"/>
      <c r="AW33" s="1115">
        <f t="shared" ref="AW33:AX33" si="267">IF(AW27&gt;$J$36,$J$33,IF(AW27&lt;$J$36,(IF(AW27&lt;0,0,AW27*$K$33))))</f>
        <v>0</v>
      </c>
      <c r="AX33" s="424">
        <f t="shared" si="267"/>
        <v>1.5051482154895912</v>
      </c>
      <c r="AY33" s="424">
        <f t="shared" ref="AY33:AZ33" si="268">IF(AY27&gt;$J$36,$J$33,IF(AY27&lt;$J$36,(IF(AY27&lt;0,0,AY27*$K$33))))</f>
        <v>1.6390937506384193</v>
      </c>
      <c r="AZ33" s="424">
        <f t="shared" si="268"/>
        <v>0</v>
      </c>
      <c r="BA33" s="424">
        <f t="shared" ref="BA33:BB33" si="269">IF(BA27&gt;$J$36,$J$33,IF(BA27&lt;$J$36,(IF(BA27&lt;0,0,BA27*$K$33))))</f>
        <v>0</v>
      </c>
      <c r="BB33" s="424">
        <f t="shared" si="269"/>
        <v>0.26828944411530403</v>
      </c>
      <c r="BC33" s="424">
        <f t="shared" ref="BC33" si="270">IF(BC27&gt;$J$36,$J$33,IF(BC27&lt;$J$36,(IF(BC27&lt;0,0,BC27*$K$33))))</f>
        <v>0</v>
      </c>
      <c r="BD33" s="481"/>
      <c r="BE33" s="459">
        <f t="shared" si="224"/>
        <v>3.4125314102433144</v>
      </c>
      <c r="BF33" s="424">
        <f t="shared" si="225"/>
        <v>0.96605650779382646</v>
      </c>
      <c r="BG33" s="465">
        <f t="shared" si="226"/>
        <v>2.4464749024494878</v>
      </c>
      <c r="BH33" s="481"/>
      <c r="BI33" s="459">
        <f t="shared" ref="BI33:BJ33" si="271">IF(BI27&gt;$J$36,$J$33,IF(BI27&lt;$J$36,(IF(BI27&lt;0,0,BI27*$K$33))))</f>
        <v>0</v>
      </c>
      <c r="BJ33" s="424">
        <f t="shared" si="271"/>
        <v>0</v>
      </c>
      <c r="BK33" s="424">
        <f t="shared" ref="BK33" si="272">IF(BK27&gt;$J$36,$J$33,IF(BK27&lt;$J$36,(IF(BK27&lt;0,0,BK27*$K$33))))</f>
        <v>0</v>
      </c>
      <c r="BL33" s="481"/>
      <c r="BM33" s="459">
        <f t="shared" si="229"/>
        <v>0</v>
      </c>
      <c r="BN33" s="424">
        <f t="shared" si="230"/>
        <v>-5.358051237001777</v>
      </c>
      <c r="BO33" s="465">
        <f t="shared" si="231"/>
        <v>5.358051237001777</v>
      </c>
      <c r="BQ33" s="729"/>
      <c r="BR33" s="730"/>
      <c r="BT33" s="729">
        <f t="shared" si="204"/>
        <v>24.343536129440846</v>
      </c>
      <c r="BU33" s="731">
        <f t="shared" si="205"/>
        <v>0.16229024086293897</v>
      </c>
      <c r="BV33" s="4515"/>
    </row>
    <row r="34" spans="1:75" s="255" customFormat="1" x14ac:dyDescent="0.2">
      <c r="B34" s="462">
        <v>23</v>
      </c>
      <c r="C34" s="816" t="s">
        <v>122</v>
      </c>
      <c r="D34" s="819"/>
      <c r="E34" s="445">
        <v>100</v>
      </c>
      <c r="F34" s="451">
        <f t="shared" si="232"/>
        <v>10</v>
      </c>
      <c r="G34" s="451">
        <f t="shared" si="233"/>
        <v>6.666666666666667</v>
      </c>
      <c r="H34" s="451">
        <f t="shared" si="234"/>
        <v>5</v>
      </c>
      <c r="I34" s="451">
        <f t="shared" si="235"/>
        <v>4</v>
      </c>
      <c r="J34" s="451">
        <f t="shared" si="206"/>
        <v>3.225806451612903</v>
      </c>
      <c r="K34" s="448">
        <f t="shared" si="236"/>
        <v>6.333122229259025E-2</v>
      </c>
      <c r="L34" s="492"/>
      <c r="M34" s="458">
        <f>IF(M27&gt;$J$36,$J$34,IF(M27&lt;$J$36,(IF(M27&lt;0,0,M27*$K$34))))</f>
        <v>0</v>
      </c>
      <c r="N34" s="445">
        <f>IF(N27&gt;$J$36,$J$34,IF(N27&lt;$J$36,(IF(N27&lt;0,0,N27*$K$34))))</f>
        <v>0</v>
      </c>
      <c r="O34" s="445">
        <f t="shared" ref="O34:S34" si="273">IF(O27&gt;$J$36,$J$34,IF(O27&lt;$J$36,(IF(O27&lt;0,0,O27*$K$34))))</f>
        <v>0.55124721649063302</v>
      </c>
      <c r="P34" s="445">
        <f t="shared" si="273"/>
        <v>0.67379313162679533</v>
      </c>
      <c r="Q34" s="445">
        <f t="shared" si="273"/>
        <v>0</v>
      </c>
      <c r="R34" s="445">
        <f t="shared" si="273"/>
        <v>0.59209585486935401</v>
      </c>
      <c r="S34" s="463">
        <f t="shared" si="273"/>
        <v>0</v>
      </c>
      <c r="T34" s="479"/>
      <c r="U34" s="458">
        <f t="shared" si="10"/>
        <v>1.8171362029867824</v>
      </c>
      <c r="V34" s="445">
        <f t="shared" si="208"/>
        <v>-0.85691229647183764</v>
      </c>
      <c r="W34" s="1080">
        <f t="shared" si="209"/>
        <v>2.6740484994586202</v>
      </c>
      <c r="X34" s="479"/>
      <c r="Y34" s="458">
        <f>IF(Y27&gt;$J$36,$J$34,IF(Y27&lt;$J$36,(IF(Y27&lt;0,0,Y27*$K$34))))</f>
        <v>0</v>
      </c>
      <c r="Z34" s="445">
        <f>IF(Z27&gt;$J$36,$J$34,IF(Z27&lt;$J$36,(IF(Z27&lt;0,0,Z27*$K$34))))</f>
        <v>0.94738401193078481</v>
      </c>
      <c r="AA34" s="445">
        <f t="shared" ref="AA34:AE34" si="274">IF(AA27&gt;$J$36,$J$34,IF(AA27&lt;$J$36,(IF(AA27&lt;0,0,AA27*$K$34))))</f>
        <v>0</v>
      </c>
      <c r="AB34" s="445">
        <f t="shared" si="274"/>
        <v>0.33465443624997432</v>
      </c>
      <c r="AC34" s="445">
        <f t="shared" si="274"/>
        <v>0.49044924308974686</v>
      </c>
      <c r="AD34" s="445">
        <f t="shared" si="274"/>
        <v>0.96068356861222926</v>
      </c>
      <c r="AE34" s="463">
        <f t="shared" si="274"/>
        <v>0</v>
      </c>
      <c r="AF34" s="479"/>
      <c r="AG34" s="458">
        <f t="shared" si="211"/>
        <v>2.7331712598827353</v>
      </c>
      <c r="AH34" s="445">
        <f t="shared" si="212"/>
        <v>-0.73056650799812006</v>
      </c>
      <c r="AI34" s="1080">
        <f t="shared" si="213"/>
        <v>3.4637377678808554</v>
      </c>
      <c r="AJ34" s="479"/>
      <c r="AK34" s="458">
        <f t="shared" ref="AK34:AL34" si="275">IF(AK27&gt;$J$36,$J$34,IF(AK27&lt;$J$36,(IF(AK27&lt;0,0,AK27*$K$34))))</f>
        <v>0</v>
      </c>
      <c r="AL34" s="451">
        <f t="shared" si="275"/>
        <v>0</v>
      </c>
      <c r="AM34" s="451">
        <f t="shared" ref="AM34:AN34" si="276">IF(AM27&gt;$J$36,$J$34,IF(AM27&lt;$J$36,(IF(AM27&lt;0,0,AM27*$K$34))))</f>
        <v>0</v>
      </c>
      <c r="AN34" s="451">
        <f t="shared" si="276"/>
        <v>2.2782896484095696</v>
      </c>
      <c r="AO34" s="451">
        <f t="shared" ref="AO34:AP34" si="277">IF(AO27&gt;$J$36,$J$34,IF(AO27&lt;$J$36,(IF(AO27&lt;0,0,AO27*$K$34))))</f>
        <v>0.67379313162679533</v>
      </c>
      <c r="AP34" s="451">
        <f t="shared" si="277"/>
        <v>3.225806451612903</v>
      </c>
      <c r="AQ34" s="451">
        <f t="shared" ref="AQ34" si="278">IF(AQ27&gt;$J$36,$J$34,IF(AQ27&lt;$J$36,(IF(AQ27&lt;0,0,AQ27*$K$34))))</f>
        <v>3.225806451612903</v>
      </c>
      <c r="AR34" s="479"/>
      <c r="AS34" s="458">
        <f t="shared" si="197"/>
        <v>9.4036956832621712</v>
      </c>
      <c r="AT34" s="445">
        <f t="shared" si="218"/>
        <v>10.352714049316637</v>
      </c>
      <c r="AU34" s="1080">
        <f t="shared" si="219"/>
        <v>-0.94901836605446555</v>
      </c>
      <c r="AV34" s="479"/>
      <c r="AW34" s="1057">
        <f t="shared" ref="AW34:AX34" si="279">IF(AW27&gt;$J$36,$J$34,IF(AW27&lt;$J$36,(IF(AW27&lt;0,0,AW27*$K$34))))</f>
        <v>0</v>
      </c>
      <c r="AX34" s="451">
        <f t="shared" si="279"/>
        <v>1.0034321436597275</v>
      </c>
      <c r="AY34" s="451">
        <f t="shared" ref="AY34:AZ34" si="280">IF(AY27&gt;$J$36,$J$34,IF(AY27&lt;$J$36,(IF(AY27&lt;0,0,AY27*$K$34))))</f>
        <v>1.0927291670922796</v>
      </c>
      <c r="AZ34" s="451">
        <f t="shared" si="280"/>
        <v>0</v>
      </c>
      <c r="BA34" s="451">
        <f t="shared" ref="BA34:BB34" si="281">IF(BA27&gt;$J$36,$J$34,IF(BA27&lt;$J$36,(IF(BA27&lt;0,0,BA27*$K$34))))</f>
        <v>0</v>
      </c>
      <c r="BB34" s="451">
        <f t="shared" si="281"/>
        <v>0.1788596294102027</v>
      </c>
      <c r="BC34" s="451">
        <f t="shared" ref="BC34" si="282">IF(BC27&gt;$J$36,$J$34,IF(BC27&lt;$J$36,(IF(BC27&lt;0,0,BC27*$K$34))))</f>
        <v>0</v>
      </c>
      <c r="BD34" s="479"/>
      <c r="BE34" s="458">
        <f t="shared" si="224"/>
        <v>2.2750209401622099</v>
      </c>
      <c r="BF34" s="445">
        <f t="shared" si="225"/>
        <v>0.64403767186255101</v>
      </c>
      <c r="BG34" s="1080">
        <f t="shared" si="226"/>
        <v>1.630983268299659</v>
      </c>
      <c r="BH34" s="479"/>
      <c r="BI34" s="458">
        <f t="shared" ref="BI34:BJ34" si="283">IF(BI27&gt;$J$36,$J$34,IF(BI27&lt;$J$36,(IF(BI27&lt;0,0,BI27*$K$34))))</f>
        <v>0</v>
      </c>
      <c r="BJ34" s="451">
        <f t="shared" si="283"/>
        <v>0</v>
      </c>
      <c r="BK34" s="451">
        <f t="shared" ref="BK34" si="284">IF(BK27&gt;$J$36,$J$34,IF(BK27&lt;$J$36,(IF(BK27&lt;0,0,BK27*$K$34))))</f>
        <v>0</v>
      </c>
      <c r="BL34" s="479"/>
      <c r="BM34" s="458">
        <f t="shared" si="229"/>
        <v>0</v>
      </c>
      <c r="BN34" s="445">
        <f t="shared" si="230"/>
        <v>-3.5720341580011845</v>
      </c>
      <c r="BO34" s="1080">
        <f t="shared" si="231"/>
        <v>3.5720341580011845</v>
      </c>
      <c r="BQ34" s="732"/>
      <c r="BR34" s="733"/>
      <c r="BT34" s="732">
        <f t="shared" si="204"/>
        <v>16.229024086293901</v>
      </c>
      <c r="BU34" s="734">
        <f>BT34/E34</f>
        <v>0.162290240862939</v>
      </c>
      <c r="BV34" s="4515"/>
    </row>
    <row r="35" spans="1:75" s="1067" customFormat="1" ht="15.75" thickBot="1" x14ac:dyDescent="0.25">
      <c r="B35" s="1116">
        <v>24</v>
      </c>
      <c r="C35" s="1117"/>
      <c r="D35" s="1094"/>
      <c r="E35" s="1118"/>
      <c r="F35" s="1119"/>
      <c r="G35" s="1119"/>
      <c r="H35" s="1119"/>
      <c r="I35" s="1119"/>
      <c r="J35" s="1119"/>
      <c r="K35" s="1120"/>
      <c r="L35" s="491"/>
      <c r="M35" s="1121">
        <f>IF(M27&gt;$J$36,$J$35,IF(M27&lt;$J$36,(IF(M27&lt;0,0,M27*$K$35))))</f>
        <v>0</v>
      </c>
      <c r="N35" s="1118">
        <f>IF(N27&gt;$J$36,$J$35,IF(N27&lt;$J$36,(IF(N27&lt;0,0,N27*$K$35))))</f>
        <v>0</v>
      </c>
      <c r="O35" s="1118">
        <f t="shared" ref="O35:S35" si="285">IF(O27&gt;$J$36,$J$35,IF(O27&lt;$J$36,(IF(O27&lt;0,0,O27*$K$35))))</f>
        <v>0</v>
      </c>
      <c r="P35" s="1118">
        <f t="shared" si="285"/>
        <v>0</v>
      </c>
      <c r="Q35" s="1118">
        <f t="shared" si="285"/>
        <v>0</v>
      </c>
      <c r="R35" s="1118">
        <f t="shared" si="285"/>
        <v>0</v>
      </c>
      <c r="S35" s="1122">
        <f t="shared" si="285"/>
        <v>0</v>
      </c>
      <c r="T35" s="481"/>
      <c r="U35" s="1121">
        <f t="shared" si="10"/>
        <v>0</v>
      </c>
      <c r="V35" s="1118">
        <f t="shared" si="208"/>
        <v>0</v>
      </c>
      <c r="W35" s="1123">
        <f t="shared" si="209"/>
        <v>0</v>
      </c>
      <c r="X35" s="481"/>
      <c r="Y35" s="1121">
        <f>IF(Y27&gt;$J$36,$J$35,IF(Y27&lt;$J$36,(IF(Y27&lt;0,0,Y27*$K$35))))</f>
        <v>0</v>
      </c>
      <c r="Z35" s="1118">
        <f>IF(Z27&gt;$J$36,$J$35,IF(Z27&lt;$J$36,(IF(Z27&lt;0,0,Z27*$K$35))))</f>
        <v>0</v>
      </c>
      <c r="AA35" s="1118">
        <f t="shared" ref="AA35:AE35" si="286">IF(AA27&gt;$J$36,$J$35,IF(AA27&lt;$J$36,(IF(AA27&lt;0,0,AA27*$K$35))))</f>
        <v>0</v>
      </c>
      <c r="AB35" s="1118">
        <f t="shared" si="286"/>
        <v>0</v>
      </c>
      <c r="AC35" s="1118">
        <f t="shared" si="286"/>
        <v>0</v>
      </c>
      <c r="AD35" s="1118">
        <f t="shared" si="286"/>
        <v>0</v>
      </c>
      <c r="AE35" s="1122">
        <f t="shared" si="286"/>
        <v>0</v>
      </c>
      <c r="AF35" s="481"/>
      <c r="AG35" s="1121">
        <f t="shared" si="211"/>
        <v>0</v>
      </c>
      <c r="AH35" s="1118">
        <f t="shared" si="212"/>
        <v>0</v>
      </c>
      <c r="AI35" s="1123">
        <f t="shared" si="213"/>
        <v>0</v>
      </c>
      <c r="AJ35" s="481"/>
      <c r="AK35" s="1124">
        <f t="shared" ref="AK35:AL35" si="287">IF(AK27&gt;$J$36,$J$35,IF(AK27&lt;$J$36,(IF(AK27&lt;0,0,AK27*$K$35))))</f>
        <v>0</v>
      </c>
      <c r="AL35" s="1125">
        <f t="shared" si="287"/>
        <v>0</v>
      </c>
      <c r="AM35" s="1125">
        <f t="shared" ref="AM35:AN35" si="288">IF(AM27&gt;$J$36,$J$35,IF(AM27&lt;$J$36,(IF(AM27&lt;0,0,AM27*$K$35))))</f>
        <v>0</v>
      </c>
      <c r="AN35" s="1125">
        <f t="shared" si="288"/>
        <v>0</v>
      </c>
      <c r="AO35" s="1125">
        <f t="shared" ref="AO35:AP35" si="289">IF(AO27&gt;$J$36,$J$35,IF(AO27&lt;$J$36,(IF(AO27&lt;0,0,AO27*$K$35))))</f>
        <v>0</v>
      </c>
      <c r="AP35" s="1125">
        <f t="shared" si="289"/>
        <v>0</v>
      </c>
      <c r="AQ35" s="1125">
        <f t="shared" ref="AQ35" si="290">IF(AQ27&gt;$J$36,$J$35,IF(AQ27&lt;$J$36,(IF(AQ27&lt;0,0,AQ27*$K$35))))</f>
        <v>0</v>
      </c>
      <c r="AR35" s="481"/>
      <c r="AS35" s="1121">
        <f t="shared" si="197"/>
        <v>0</v>
      </c>
      <c r="AT35" s="1118">
        <f t="shared" si="218"/>
        <v>0</v>
      </c>
      <c r="AU35" s="1123">
        <f t="shared" si="219"/>
        <v>0</v>
      </c>
      <c r="AV35" s="481"/>
      <c r="AW35" s="1126">
        <f t="shared" ref="AW35:AX35" si="291">IF(AW27&gt;$J$36,$J$35,IF(AW27&lt;$J$36,(IF(AW27&lt;0,0,AW27*$K$35))))</f>
        <v>0</v>
      </c>
      <c r="AX35" s="1119">
        <f t="shared" si="291"/>
        <v>0</v>
      </c>
      <c r="AY35" s="1119">
        <f t="shared" ref="AY35:AZ35" si="292">IF(AY27&gt;$J$36,$J$35,IF(AY27&lt;$J$36,(IF(AY27&lt;0,0,AY27*$K$35))))</f>
        <v>0</v>
      </c>
      <c r="AZ35" s="1119">
        <f t="shared" si="292"/>
        <v>0</v>
      </c>
      <c r="BA35" s="1119">
        <f t="shared" ref="BA35:BB35" si="293">IF(BA27&gt;$J$36,$J$35,IF(BA27&lt;$J$36,(IF(BA27&lt;0,0,BA27*$K$35))))</f>
        <v>0</v>
      </c>
      <c r="BB35" s="1119">
        <f t="shared" si="293"/>
        <v>0</v>
      </c>
      <c r="BC35" s="1119">
        <f t="shared" ref="BC35" si="294">IF(BC27&gt;$J$36,$J$35,IF(BC27&lt;$J$36,(IF(BC27&lt;0,0,BC27*$K$35))))</f>
        <v>0</v>
      </c>
      <c r="BD35" s="481"/>
      <c r="BE35" s="1121">
        <f t="shared" si="224"/>
        <v>0</v>
      </c>
      <c r="BF35" s="1118">
        <f t="shared" si="225"/>
        <v>0</v>
      </c>
      <c r="BG35" s="1123">
        <f t="shared" si="226"/>
        <v>0</v>
      </c>
      <c r="BH35" s="481"/>
      <c r="BI35" s="1121">
        <f t="shared" ref="BI35:BJ35" si="295">IF(BI27&gt;$J$36,$J$35,IF(BI27&lt;$J$36,(IF(BI27&lt;0,0,BI27*$K$35))))</f>
        <v>0</v>
      </c>
      <c r="BJ35" s="1119">
        <f t="shared" si="295"/>
        <v>0</v>
      </c>
      <c r="BK35" s="1119">
        <f t="shared" ref="BK35" si="296">IF(BK27&gt;$J$36,$J$35,IF(BK27&lt;$J$36,(IF(BK27&lt;0,0,BK27*$K$35))))</f>
        <v>0</v>
      </c>
      <c r="BL35" s="481"/>
      <c r="BM35" s="1121">
        <f t="shared" si="229"/>
        <v>0</v>
      </c>
      <c r="BN35" s="1118">
        <f t="shared" si="230"/>
        <v>0</v>
      </c>
      <c r="BO35" s="1123">
        <f t="shared" si="231"/>
        <v>0</v>
      </c>
      <c r="BQ35" s="1124"/>
      <c r="BR35" s="1127"/>
      <c r="BT35" s="1124">
        <f t="shared" ref="BT35" si="297">SUM(M35:S35)+SUM(Y35:AE35)+SUM(AK35:AQ35)+SUM(AW35:BC35)+SUM(BI35:BK35)</f>
        <v>0</v>
      </c>
      <c r="BU35" s="1128" t="e">
        <f>BT35/E35</f>
        <v>#DIV/0!</v>
      </c>
      <c r="BV35" s="4506"/>
    </row>
    <row r="36" spans="1:75" s="255" customFormat="1" ht="15.75" thickBot="1" x14ac:dyDescent="0.25">
      <c r="B36" s="1081"/>
      <c r="C36" s="1081" t="s">
        <v>148</v>
      </c>
      <c r="D36" s="813"/>
      <c r="E36" s="1082">
        <f>SUM(E29:E35)</f>
        <v>1579</v>
      </c>
      <c r="F36" s="1082">
        <f t="shared" ref="F36:I36" si="298">SUM(F29:F35)</f>
        <v>157.9</v>
      </c>
      <c r="G36" s="1082">
        <f t="shared" si="298"/>
        <v>105.26666666666667</v>
      </c>
      <c r="H36" s="1082">
        <f t="shared" si="298"/>
        <v>78.95</v>
      </c>
      <c r="I36" s="1082">
        <f t="shared" si="298"/>
        <v>63.16</v>
      </c>
      <c r="J36" s="1082">
        <f>SUM(J29:J35)</f>
        <v>50.935483870967744</v>
      </c>
      <c r="K36" s="1083">
        <f>E36/(E25+E36+E41)</f>
        <v>0.52633333333333332</v>
      </c>
      <c r="L36" s="62"/>
      <c r="M36" s="1084">
        <f>SUM(M29:M35)</f>
        <v>0</v>
      </c>
      <c r="N36" s="1082">
        <f t="shared" ref="N36:BC36" si="299">SUM(N29:N35)</f>
        <v>0</v>
      </c>
      <c r="O36" s="1082">
        <f t="shared" si="299"/>
        <v>8.7041935483870976</v>
      </c>
      <c r="P36" s="1082">
        <f t="shared" si="299"/>
        <v>10.639193548387098</v>
      </c>
      <c r="Q36" s="1082">
        <f t="shared" si="299"/>
        <v>0</v>
      </c>
      <c r="R36" s="1082">
        <f t="shared" si="299"/>
        <v>9.3491935483871007</v>
      </c>
      <c r="S36" s="1082">
        <f t="shared" si="299"/>
        <v>0</v>
      </c>
      <c r="T36" s="946"/>
      <c r="U36" s="742">
        <f>SUM(M36:S36)</f>
        <v>28.692580645161293</v>
      </c>
      <c r="V36" s="947">
        <f>SUM(V29:V35)</f>
        <v>-13.530645161290316</v>
      </c>
      <c r="W36" s="948">
        <f>SUM(W29:W35)</f>
        <v>42.223225806451616</v>
      </c>
      <c r="X36" s="782"/>
      <c r="Y36" s="1082">
        <f t="shared" si="299"/>
        <v>0</v>
      </c>
      <c r="Z36" s="1082">
        <f t="shared" si="299"/>
        <v>14.959193548387093</v>
      </c>
      <c r="AA36" s="1082">
        <f t="shared" si="299"/>
        <v>0</v>
      </c>
      <c r="AB36" s="1082">
        <f t="shared" si="299"/>
        <v>5.2841935483870941</v>
      </c>
      <c r="AC36" s="1082">
        <f t="shared" si="299"/>
        <v>7.7441935483871021</v>
      </c>
      <c r="AD36" s="1082">
        <f t="shared" si="299"/>
        <v>15.169193548387099</v>
      </c>
      <c r="AE36" s="1082">
        <f t="shared" si="299"/>
        <v>0</v>
      </c>
      <c r="AF36" s="783"/>
      <c r="AG36" s="742">
        <f>SUM(Y36:AE36)</f>
        <v>43.156774193548387</v>
      </c>
      <c r="AH36" s="947">
        <f>SUM(AH29:AH35)</f>
        <v>-11.535645161290315</v>
      </c>
      <c r="AI36" s="948">
        <f>SUM(AI29:AI35)</f>
        <v>54.692419354838705</v>
      </c>
      <c r="AJ36" s="783"/>
      <c r="AK36" s="1082">
        <f t="shared" si="299"/>
        <v>0</v>
      </c>
      <c r="AL36" s="1082">
        <f t="shared" si="299"/>
        <v>0</v>
      </c>
      <c r="AM36" s="1082">
        <f t="shared" si="299"/>
        <v>0</v>
      </c>
      <c r="AN36" s="1082">
        <f t="shared" si="299"/>
        <v>35.974193548387099</v>
      </c>
      <c r="AO36" s="1082">
        <f t="shared" si="299"/>
        <v>10.639193548387098</v>
      </c>
      <c r="AP36" s="1082">
        <f t="shared" si="299"/>
        <v>50.935483870967744</v>
      </c>
      <c r="AQ36" s="1082">
        <f t="shared" si="299"/>
        <v>50.935483870967744</v>
      </c>
      <c r="AR36" s="783"/>
      <c r="AS36" s="742">
        <f t="shared" si="197"/>
        <v>148.48435483870969</v>
      </c>
      <c r="AT36" s="947">
        <f>SUM(AT29:AT35)</f>
        <v>163.46935483870968</v>
      </c>
      <c r="AU36" s="948">
        <f>SUM(AU29:AU35)</f>
        <v>-14.984999999999998</v>
      </c>
      <c r="AV36" s="783"/>
      <c r="AW36" s="1082">
        <f t="shared" ref="AW36" si="300">SUM(AW29:AW35)</f>
        <v>0</v>
      </c>
      <c r="AX36" s="1082">
        <f t="shared" si="299"/>
        <v>15.844193548387098</v>
      </c>
      <c r="AY36" s="1082">
        <f t="shared" si="299"/>
        <v>17.254193548387097</v>
      </c>
      <c r="AZ36" s="1082">
        <f t="shared" si="299"/>
        <v>0</v>
      </c>
      <c r="BA36" s="1082">
        <f t="shared" si="299"/>
        <v>0</v>
      </c>
      <c r="BB36" s="1082">
        <f t="shared" si="299"/>
        <v>2.8241935483871008</v>
      </c>
      <c r="BC36" s="1082">
        <f t="shared" si="299"/>
        <v>0</v>
      </c>
      <c r="BD36" s="783"/>
      <c r="BE36" s="742">
        <f t="shared" si="224"/>
        <v>35.922580645161297</v>
      </c>
      <c r="BF36" s="947">
        <f>SUM(BF29:BF35)</f>
        <v>10.16935483870968</v>
      </c>
      <c r="BG36" s="948">
        <f>SUM(BG29:BG35)</f>
        <v>25.753225806451614</v>
      </c>
      <c r="BH36" s="61"/>
      <c r="BI36" s="1082">
        <f t="shared" ref="BI36:BK36" si="301">SUM(BI29:BI35)</f>
        <v>0</v>
      </c>
      <c r="BJ36" s="1082">
        <f t="shared" si="301"/>
        <v>0</v>
      </c>
      <c r="BK36" s="1082">
        <f t="shared" si="301"/>
        <v>0</v>
      </c>
      <c r="BL36" s="61"/>
      <c r="BM36" s="742">
        <f>SUM(BI36:BK36)</f>
        <v>0</v>
      </c>
      <c r="BN36" s="947">
        <f>SUM(BN29:BN35)</f>
        <v>-56.402419354838699</v>
      </c>
      <c r="BO36" s="948">
        <f>SUM(BO29:BO35)</f>
        <v>56.402419354838699</v>
      </c>
      <c r="BQ36" s="1082">
        <f>J36*BX11</f>
        <v>1579</v>
      </c>
      <c r="BR36" s="1085">
        <f>BT36-BQ36</f>
        <v>-1322.7437096774192</v>
      </c>
      <c r="BT36" s="1082">
        <f>SUM(BT29:BT35)</f>
        <v>256.2562903225807</v>
      </c>
      <c r="BU36" s="1086">
        <f t="shared" si="205"/>
        <v>0.162290240862939</v>
      </c>
      <c r="BV36" s="62"/>
    </row>
    <row r="37" spans="1:75" s="81" customFormat="1" ht="4.5" customHeight="1" thickBot="1" x14ac:dyDescent="0.25">
      <c r="B37" s="1069"/>
      <c r="C37" s="1069"/>
      <c r="E37" s="80"/>
      <c r="F37" s="80"/>
      <c r="G37" s="80"/>
      <c r="H37" s="80"/>
      <c r="I37" s="80"/>
      <c r="J37" s="80"/>
      <c r="K37" s="1087"/>
      <c r="L37" s="62"/>
      <c r="M37" s="80"/>
      <c r="N37" s="80"/>
      <c r="O37" s="80"/>
      <c r="P37" s="80"/>
      <c r="Q37" s="80"/>
      <c r="R37" s="80"/>
      <c r="S37" s="80"/>
      <c r="T37" s="61"/>
      <c r="U37" s="61"/>
      <c r="V37" s="61"/>
      <c r="W37" s="61"/>
      <c r="X37" s="61"/>
      <c r="Y37" s="80"/>
      <c r="Z37" s="80"/>
      <c r="AA37" s="80"/>
      <c r="AB37" s="80"/>
      <c r="AC37" s="80"/>
      <c r="AD37" s="80"/>
      <c r="AE37" s="80"/>
      <c r="AF37" s="61"/>
      <c r="AG37" s="61"/>
      <c r="AH37" s="61"/>
      <c r="AI37" s="61"/>
      <c r="AJ37" s="61"/>
      <c r="AK37" s="80"/>
      <c r="AL37" s="80"/>
      <c r="AM37" s="80"/>
      <c r="AN37" s="80"/>
      <c r="AO37" s="80"/>
      <c r="AP37" s="80"/>
      <c r="AQ37" s="80"/>
      <c r="AR37" s="61"/>
      <c r="AS37" s="61"/>
      <c r="AT37" s="61"/>
      <c r="AU37" s="61"/>
      <c r="AV37" s="61"/>
      <c r="AW37" s="80"/>
      <c r="AX37" s="80"/>
      <c r="AY37" s="80"/>
      <c r="AZ37" s="80"/>
      <c r="BA37" s="80"/>
      <c r="BB37" s="80"/>
      <c r="BC37" s="80"/>
      <c r="BD37" s="61"/>
      <c r="BE37" s="61"/>
      <c r="BF37" s="61"/>
      <c r="BG37" s="61"/>
      <c r="BH37" s="61"/>
      <c r="BI37" s="80"/>
      <c r="BJ37" s="80"/>
      <c r="BK37" s="80"/>
      <c r="BL37" s="61"/>
      <c r="BM37" s="61"/>
      <c r="BN37" s="61"/>
      <c r="BO37" s="61"/>
      <c r="BQ37" s="80"/>
      <c r="BR37" s="152"/>
      <c r="BT37" s="80"/>
      <c r="BU37" s="748"/>
      <c r="BV37" s="62"/>
    </row>
    <row r="38" spans="1:75" s="1067" customFormat="1" ht="15.75" thickBot="1" x14ac:dyDescent="0.25">
      <c r="B38" s="3"/>
      <c r="C38" s="3" t="s">
        <v>151</v>
      </c>
      <c r="D38" s="814"/>
      <c r="E38" s="5">
        <f>E36*100/30</f>
        <v>5263.333333333333</v>
      </c>
      <c r="F38" s="5">
        <f t="shared" ref="F38:I38" si="302">F25+F36</f>
        <v>269.40500000000003</v>
      </c>
      <c r="G38" s="5">
        <f t="shared" si="302"/>
        <v>179.60333333333332</v>
      </c>
      <c r="H38" s="5">
        <f t="shared" si="302"/>
        <v>134.70250000000001</v>
      </c>
      <c r="I38" s="5">
        <f t="shared" si="302"/>
        <v>107.76199999999999</v>
      </c>
      <c r="J38" s="5">
        <f>J36*100/30</f>
        <v>169.78494623655916</v>
      </c>
      <c r="K38" s="266">
        <f>E38/E51</f>
        <v>0.52633333333333332</v>
      </c>
      <c r="L38" s="29"/>
      <c r="M38" s="1129">
        <f t="shared" ref="M38:S38" si="303">$J$38*30/100</f>
        <v>50.935483870967744</v>
      </c>
      <c r="N38" s="1066">
        <f t="shared" si="303"/>
        <v>50.935483870967744</v>
      </c>
      <c r="O38" s="1066">
        <f t="shared" si="303"/>
        <v>50.935483870967744</v>
      </c>
      <c r="P38" s="1066">
        <f t="shared" si="303"/>
        <v>50.935483870967744</v>
      </c>
      <c r="Q38" s="1066">
        <f t="shared" si="303"/>
        <v>50.935483870967744</v>
      </c>
      <c r="R38" s="1066">
        <f t="shared" si="303"/>
        <v>50.935483870967744</v>
      </c>
      <c r="S38" s="1066">
        <f t="shared" si="303"/>
        <v>50.935483870967744</v>
      </c>
      <c r="T38" s="14"/>
      <c r="U38" s="623">
        <f t="shared" si="10"/>
        <v>356.54838709677421</v>
      </c>
      <c r="V38" s="1130"/>
      <c r="W38" s="1131"/>
      <c r="X38" s="145"/>
      <c r="Y38" s="1066">
        <f t="shared" ref="Y38:AE38" si="304">$J$38*30/100</f>
        <v>50.935483870967744</v>
      </c>
      <c r="Z38" s="1066">
        <f t="shared" si="304"/>
        <v>50.935483870967744</v>
      </c>
      <c r="AA38" s="1066">
        <f t="shared" si="304"/>
        <v>50.935483870967744</v>
      </c>
      <c r="AB38" s="1066">
        <f t="shared" si="304"/>
        <v>50.935483870967744</v>
      </c>
      <c r="AC38" s="1066">
        <f t="shared" si="304"/>
        <v>50.935483870967744</v>
      </c>
      <c r="AD38" s="1066">
        <f t="shared" si="304"/>
        <v>50.935483870967744</v>
      </c>
      <c r="AE38" s="1066">
        <f t="shared" si="304"/>
        <v>50.935483870967744</v>
      </c>
      <c r="AF38" s="145"/>
      <c r="AG38" s="623">
        <f t="shared" ref="AG38" si="305">SUM(Y38:AE38)</f>
        <v>356.54838709677421</v>
      </c>
      <c r="AH38" s="1130"/>
      <c r="AI38" s="1131"/>
      <c r="AJ38" s="145"/>
      <c r="AK38" s="1066">
        <f t="shared" ref="AK38:AQ38" si="306">$J$38*30/100</f>
        <v>50.935483870967744</v>
      </c>
      <c r="AL38" s="1066">
        <f t="shared" si="306"/>
        <v>50.935483870967744</v>
      </c>
      <c r="AM38" s="1066">
        <f t="shared" si="306"/>
        <v>50.935483870967744</v>
      </c>
      <c r="AN38" s="1066">
        <f t="shared" si="306"/>
        <v>50.935483870967744</v>
      </c>
      <c r="AO38" s="1066">
        <f t="shared" si="306"/>
        <v>50.935483870967744</v>
      </c>
      <c r="AP38" s="1066">
        <f t="shared" si="306"/>
        <v>50.935483870967744</v>
      </c>
      <c r="AQ38" s="1066">
        <f t="shared" si="306"/>
        <v>50.935483870967744</v>
      </c>
      <c r="AR38" s="145"/>
      <c r="AS38" s="623">
        <f t="shared" ref="AS38:AS39" si="307">SUM(AK38:AQ38)</f>
        <v>356.54838709677421</v>
      </c>
      <c r="AT38" s="1130"/>
      <c r="AU38" s="1131"/>
      <c r="AV38" s="145"/>
      <c r="AW38" s="5">
        <f t="shared" ref="AW38:BC38" si="308">$J$38*30/100</f>
        <v>50.935483870967744</v>
      </c>
      <c r="AX38" s="5">
        <f t="shared" si="308"/>
        <v>50.935483870967744</v>
      </c>
      <c r="AY38" s="5">
        <f t="shared" si="308"/>
        <v>50.935483870967744</v>
      </c>
      <c r="AZ38" s="5">
        <f t="shared" si="308"/>
        <v>50.935483870967744</v>
      </c>
      <c r="BA38" s="5">
        <f t="shared" si="308"/>
        <v>50.935483870967744</v>
      </c>
      <c r="BB38" s="5">
        <f t="shared" si="308"/>
        <v>50.935483870967744</v>
      </c>
      <c r="BC38" s="5">
        <f t="shared" si="308"/>
        <v>50.935483870967744</v>
      </c>
      <c r="BD38" s="145"/>
      <c r="BE38" s="623">
        <f t="shared" ref="BE38:BE39" si="309">SUM(AW38:BC38)</f>
        <v>356.54838709677421</v>
      </c>
      <c r="BF38" s="1130"/>
      <c r="BG38" s="1131"/>
      <c r="BH38" s="14"/>
      <c r="BI38" s="5">
        <f t="shared" ref="BI38:BK38" si="310">$J$38*30/100</f>
        <v>50.935483870967744</v>
      </c>
      <c r="BJ38" s="5">
        <f t="shared" si="310"/>
        <v>50.935483870967744</v>
      </c>
      <c r="BK38" s="1204">
        <f t="shared" si="310"/>
        <v>50.935483870967744</v>
      </c>
      <c r="BL38" s="14"/>
      <c r="BM38" s="623">
        <f>SUM(BI38:BK38)</f>
        <v>152.80645161290323</v>
      </c>
      <c r="BN38" s="1130"/>
      <c r="BO38" s="1131"/>
      <c r="BQ38" s="5">
        <f>SUM(M38:S38)+SUM(Y38:AE38)+SUM(AK38:AQ38)+SUM(AW38:BC38)+SUM(BI38:BK38)</f>
        <v>1579</v>
      </c>
      <c r="BR38" s="15"/>
      <c r="BT38" s="5"/>
      <c r="BU38" s="9"/>
      <c r="BV38" s="29"/>
    </row>
    <row r="39" spans="1:75" s="255" customFormat="1" ht="15.75" thickBot="1" x14ac:dyDescent="0.25">
      <c r="B39" s="574"/>
      <c r="C39" s="820" t="s">
        <v>149</v>
      </c>
      <c r="D39" s="819"/>
      <c r="E39" s="578"/>
      <c r="F39" s="576"/>
      <c r="G39" s="576"/>
      <c r="H39" s="576"/>
      <c r="I39" s="576"/>
      <c r="J39" s="576"/>
      <c r="K39" s="963"/>
      <c r="L39" s="987"/>
      <c r="M39" s="579">
        <f t="shared" ref="M39:S39" si="311">IF(M27&gt;$J$36,M27-M36,IF(M27&lt;$J$36,(IF(M27&lt;0,-50.935,M27-M38))))</f>
        <v>-50.935000000000002</v>
      </c>
      <c r="N39" s="578">
        <f t="shared" si="311"/>
        <v>-50.935000000000002</v>
      </c>
      <c r="O39" s="578">
        <f t="shared" si="311"/>
        <v>-42.231290322580648</v>
      </c>
      <c r="P39" s="578">
        <f t="shared" si="311"/>
        <v>-40.296290322580646</v>
      </c>
      <c r="Q39" s="578">
        <f t="shared" si="311"/>
        <v>-50.935000000000002</v>
      </c>
      <c r="R39" s="578">
        <f t="shared" si="311"/>
        <v>-41.586290322580645</v>
      </c>
      <c r="S39" s="578">
        <f t="shared" si="311"/>
        <v>-50.935000000000002</v>
      </c>
      <c r="T39" s="479"/>
      <c r="U39" s="579">
        <f>SUM(M39:S39)</f>
        <v>-327.85387096774195</v>
      </c>
      <c r="V39" s="578"/>
      <c r="W39" s="788"/>
      <c r="X39" s="479"/>
      <c r="Y39" s="579">
        <f t="shared" ref="Y39:Z39" si="312">IF(Y27&gt;$J$36,Y27-Y36,IF(Y27&lt;$J$36,(IF(Y27&lt;0,-50.935,Y27-Y38))))</f>
        <v>-50.935000000000002</v>
      </c>
      <c r="Z39" s="579">
        <f t="shared" si="312"/>
        <v>-35.976290322580653</v>
      </c>
      <c r="AA39" s="579">
        <f t="shared" ref="AA39:AB39" si="313">IF(AA27&gt;$J$36,AA27-AA36,IF(AA27&lt;$J$36,(IF(AA27&lt;0,-50.935,AA27-AA38))))</f>
        <v>-50.935000000000002</v>
      </c>
      <c r="AB39" s="579">
        <f t="shared" si="313"/>
        <v>-45.65129032258065</v>
      </c>
      <c r="AC39" s="579">
        <f t="shared" ref="AC39:AD39" si="314">IF(AC27&gt;$J$36,AC27-AC36,IF(AC27&lt;$J$36,(IF(AC27&lt;0,-50.935,AC27-AC38))))</f>
        <v>-43.191290322580642</v>
      </c>
      <c r="AD39" s="579">
        <f t="shared" si="314"/>
        <v>-35.766290322580645</v>
      </c>
      <c r="AE39" s="579">
        <f t="shared" ref="AE39" si="315">IF(AE27&gt;$J$36,AE27-AE36,IF(AE27&lt;$J$36,(IF(AE27&lt;0,-50.935,AE27-AE38))))</f>
        <v>-50.935000000000002</v>
      </c>
      <c r="AF39" s="479"/>
      <c r="AG39" s="579">
        <f>SUM(Y39:AE39)</f>
        <v>-313.39016129032262</v>
      </c>
      <c r="AH39" s="578"/>
      <c r="AI39" s="788"/>
      <c r="AJ39" s="779"/>
      <c r="AK39" s="579">
        <f t="shared" ref="AK39:AL39" si="316">IF(AK27&gt;$J$36,AK27-AK36,IF(AK27&lt;$J$36,(IF(AK27&lt;0,-50.935,AK27-AK38))))</f>
        <v>-50.935000000000002</v>
      </c>
      <c r="AL39" s="578">
        <f t="shared" si="316"/>
        <v>-50.935000000000002</v>
      </c>
      <c r="AM39" s="578">
        <f t="shared" ref="AM39:AN39" si="317">IF(AM27&gt;$J$36,AM27-AM36,IF(AM27&lt;$J$36,(IF(AM27&lt;0,-50.935,AM27-AM38))))</f>
        <v>-50.935000000000002</v>
      </c>
      <c r="AN39" s="578">
        <f t="shared" si="317"/>
        <v>-14.961290322580645</v>
      </c>
      <c r="AO39" s="578">
        <f t="shared" ref="AO39:AP39" si="318">IF(AO27&gt;$J$36,AO27-AO36,IF(AO27&lt;$J$36,(IF(AO27&lt;0,-50.935,AO27-AO38))))</f>
        <v>-40.296290322580646</v>
      </c>
      <c r="AP39" s="578">
        <f t="shared" si="318"/>
        <v>17.888709677419342</v>
      </c>
      <c r="AQ39" s="578">
        <f t="shared" ref="AQ39" si="319">IF(AQ27&gt;$J$36,AQ27-AQ36,IF(AQ27&lt;$J$36,(IF(AQ27&lt;0,-50.935,AQ27-AQ38))))</f>
        <v>36.653709677419357</v>
      </c>
      <c r="AR39" s="969"/>
      <c r="AS39" s="579">
        <f t="shared" si="307"/>
        <v>-153.52016129032259</v>
      </c>
      <c r="AT39" s="578"/>
      <c r="AU39" s="788"/>
      <c r="AV39" s="479"/>
      <c r="AW39" s="579">
        <f t="shared" ref="AW39:AX39" si="320">IF(AW27&gt;$J$36,AW27-AW36,IF(AW27&lt;$J$36,(IF(AW27&lt;0,-50.935,AW27-AW38))))</f>
        <v>-50.935000000000002</v>
      </c>
      <c r="AX39" s="576">
        <f t="shared" si="320"/>
        <v>-35.091290322580647</v>
      </c>
      <c r="AY39" s="576">
        <f t="shared" ref="AY39:AZ39" si="321">IF(AY27&gt;$J$36,AY27-AY36,IF(AY27&lt;$J$36,(IF(AY27&lt;0,-50.935,AY27-AY38))))</f>
        <v>-33.681290322580651</v>
      </c>
      <c r="AZ39" s="576">
        <f t="shared" si="321"/>
        <v>-50.935000000000002</v>
      </c>
      <c r="BA39" s="576">
        <f t="shared" ref="BA39:BB39" si="322">IF(BA27&gt;$J$36,BA27-BA36,IF(BA27&lt;$J$36,(IF(BA27&lt;0,-50.935,BA27-BA38))))</f>
        <v>-50.935000000000002</v>
      </c>
      <c r="BB39" s="576">
        <f t="shared" si="322"/>
        <v>-48.111290322580643</v>
      </c>
      <c r="BC39" s="576">
        <f t="shared" ref="BC39" si="323">IF(BC27&gt;$J$36,BC27-BC36,IF(BC27&lt;$J$36,(IF(BC27&lt;0,-50.935,BC27-BC38))))</f>
        <v>-50.935000000000002</v>
      </c>
      <c r="BD39" s="479"/>
      <c r="BE39" s="579">
        <f t="shared" si="309"/>
        <v>-320.62387096774194</v>
      </c>
      <c r="BF39" s="578"/>
      <c r="BG39" s="788"/>
      <c r="BI39" s="579">
        <f t="shared" ref="BI39:BJ39" si="324">IF(BI27&gt;$J$36,BI27-BI36,IF(BI27&lt;$J$36,(IF(BI27&lt;0,-50.935,BI27-BI38))))</f>
        <v>-50.935000000000002</v>
      </c>
      <c r="BJ39" s="993">
        <f t="shared" si="324"/>
        <v>-50.935000000000002</v>
      </c>
      <c r="BK39" s="1205">
        <f t="shared" ref="BK39" si="325">IF(BK27&gt;$J$36,BK27-BK36,IF(BK27&lt;$J$36,(IF(BK27&lt;0,-50.935,BK27-BK38))))</f>
        <v>-50.935000000000002</v>
      </c>
      <c r="BL39" s="990"/>
      <c r="BM39" s="992">
        <f>SUM(BI39:BK39)</f>
        <v>-152.80500000000001</v>
      </c>
      <c r="BN39" s="991"/>
      <c r="BO39" s="989"/>
      <c r="BP39" s="61"/>
      <c r="BQ39" s="992">
        <f>SUM(M39:S39)+SUM(Y39:AE39)+SUM(AK39:AQ39)+SUM(AW39:BC39)+SUM(BI39:BK39)</f>
        <v>-1268.1930645161292</v>
      </c>
      <c r="BR39" s="580"/>
    </row>
    <row r="40" spans="1:75" s="426" customFormat="1" ht="15.75" thickBot="1" x14ac:dyDescent="0.25">
      <c r="B40" s="438"/>
      <c r="C40" s="438"/>
      <c r="D40" s="438"/>
      <c r="E40" s="479"/>
      <c r="F40" s="479"/>
      <c r="G40" s="479"/>
      <c r="H40" s="479"/>
      <c r="I40" s="479"/>
      <c r="J40" s="479"/>
      <c r="K40" s="1088"/>
      <c r="L40" s="987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79"/>
      <c r="AM40" s="479"/>
      <c r="AN40" s="479"/>
      <c r="AO40" s="479"/>
      <c r="AP40" s="479"/>
      <c r="AQ40" s="479"/>
      <c r="AR40" s="479"/>
      <c r="AS40" s="479"/>
      <c r="AT40" s="479"/>
      <c r="AU40" s="479"/>
      <c r="AV40" s="479"/>
      <c r="AW40" s="479"/>
      <c r="AX40" s="479"/>
      <c r="AY40" s="479"/>
      <c r="AZ40" s="479"/>
      <c r="BA40" s="479"/>
      <c r="BB40" s="479"/>
      <c r="BC40" s="479"/>
      <c r="BD40" s="479"/>
      <c r="BE40" s="479"/>
      <c r="BF40" s="479"/>
      <c r="BG40" s="479"/>
      <c r="BH40" s="479"/>
      <c r="BI40" s="479"/>
      <c r="BJ40" s="479"/>
      <c r="BK40" s="1206"/>
      <c r="BL40" s="479"/>
      <c r="BM40" s="479"/>
      <c r="BN40" s="479"/>
      <c r="BO40" s="479"/>
      <c r="BP40" s="479"/>
      <c r="BQ40" s="479"/>
      <c r="BR40" s="480"/>
    </row>
    <row r="41" spans="1:75" s="432" customFormat="1" x14ac:dyDescent="0.2">
      <c r="A41" s="669"/>
      <c r="B41" s="433">
        <v>25</v>
      </c>
      <c r="C41" s="433" t="s">
        <v>74</v>
      </c>
      <c r="D41" s="780"/>
      <c r="E41" s="347">
        <f>3000-(E25+E36)</f>
        <v>280.94999999999982</v>
      </c>
      <c r="F41" s="347">
        <f t="shared" ref="F41:F48" si="326">E41/10</f>
        <v>28.094999999999981</v>
      </c>
      <c r="G41" s="347">
        <f t="shared" ref="G41:G42" si="327">E41/15</f>
        <v>18.729999999999986</v>
      </c>
      <c r="H41" s="347">
        <f t="shared" ref="H41:H42" si="328">E41/20</f>
        <v>14.047499999999991</v>
      </c>
      <c r="I41" s="347">
        <f t="shared" ref="I41:I42" si="329">E41/25</f>
        <v>11.237999999999992</v>
      </c>
      <c r="J41" s="347">
        <f>E41/31</f>
        <v>9.0629032258064459</v>
      </c>
      <c r="K41" s="434">
        <f>E41/(E25+E36+E41)</f>
        <v>9.3649999999999942E-2</v>
      </c>
      <c r="L41" s="482"/>
      <c r="M41" s="347">
        <f t="shared" ref="M41:S41" si="330">$J$41</f>
        <v>9.0629032258064459</v>
      </c>
      <c r="N41" s="347">
        <f t="shared" si="330"/>
        <v>9.0629032258064459</v>
      </c>
      <c r="O41" s="347">
        <f t="shared" si="330"/>
        <v>9.0629032258064459</v>
      </c>
      <c r="P41" s="347">
        <f t="shared" si="330"/>
        <v>9.0629032258064459</v>
      </c>
      <c r="Q41" s="347">
        <f t="shared" si="330"/>
        <v>9.0629032258064459</v>
      </c>
      <c r="R41" s="347">
        <f t="shared" si="330"/>
        <v>9.0629032258064459</v>
      </c>
      <c r="S41" s="347">
        <f t="shared" si="330"/>
        <v>9.0629032258064459</v>
      </c>
      <c r="T41" s="481"/>
      <c r="U41" s="933">
        <f t="shared" si="10"/>
        <v>63.440322580645116</v>
      </c>
      <c r="V41" s="934"/>
      <c r="W41" s="935"/>
      <c r="X41" s="781"/>
      <c r="Y41" s="483">
        <f t="shared" ref="Y41:AE41" si="331">$J$41</f>
        <v>9.0629032258064459</v>
      </c>
      <c r="Z41" s="483">
        <f t="shared" si="331"/>
        <v>9.0629032258064459</v>
      </c>
      <c r="AA41" s="483">
        <f t="shared" si="331"/>
        <v>9.0629032258064459</v>
      </c>
      <c r="AB41" s="483">
        <f t="shared" si="331"/>
        <v>9.0629032258064459</v>
      </c>
      <c r="AC41" s="483">
        <f t="shared" si="331"/>
        <v>9.0629032258064459</v>
      </c>
      <c r="AD41" s="483">
        <f t="shared" si="331"/>
        <v>9.0629032258064459</v>
      </c>
      <c r="AE41" s="483">
        <f t="shared" si="331"/>
        <v>9.0629032258064459</v>
      </c>
      <c r="AF41" s="781"/>
      <c r="AG41" s="933">
        <f t="shared" ref="AG41:AG42" si="332">SUM(Y41:AE41)</f>
        <v>63.440322580645116</v>
      </c>
      <c r="AH41" s="934"/>
      <c r="AI41" s="935"/>
      <c r="AJ41" s="781"/>
      <c r="AK41" s="483">
        <f t="shared" ref="AK41:AQ41" si="333">$J$41</f>
        <v>9.0629032258064459</v>
      </c>
      <c r="AL41" s="483">
        <f t="shared" si="333"/>
        <v>9.0629032258064459</v>
      </c>
      <c r="AM41" s="483">
        <f t="shared" si="333"/>
        <v>9.0629032258064459</v>
      </c>
      <c r="AN41" s="483">
        <f t="shared" si="333"/>
        <v>9.0629032258064459</v>
      </c>
      <c r="AO41" s="483">
        <f t="shared" si="333"/>
        <v>9.0629032258064459</v>
      </c>
      <c r="AP41" s="483">
        <f t="shared" si="333"/>
        <v>9.0629032258064459</v>
      </c>
      <c r="AQ41" s="483">
        <f t="shared" si="333"/>
        <v>9.0629032258064459</v>
      </c>
      <c r="AR41" s="781"/>
      <c r="AS41" s="933">
        <f t="shared" ref="AS41:AS44" si="334">SUM(AK41:AQ41)</f>
        <v>63.440322580645116</v>
      </c>
      <c r="AT41" s="934"/>
      <c r="AU41" s="935"/>
      <c r="AV41" s="781"/>
      <c r="AW41" s="483">
        <f t="shared" ref="AW41:BC41" si="335">$J$41</f>
        <v>9.0629032258064459</v>
      </c>
      <c r="AX41" s="483">
        <f t="shared" si="335"/>
        <v>9.0629032258064459</v>
      </c>
      <c r="AY41" s="483">
        <f t="shared" si="335"/>
        <v>9.0629032258064459</v>
      </c>
      <c r="AZ41" s="483">
        <f t="shared" si="335"/>
        <v>9.0629032258064459</v>
      </c>
      <c r="BA41" s="483">
        <f t="shared" si="335"/>
        <v>9.0629032258064459</v>
      </c>
      <c r="BB41" s="483">
        <f t="shared" si="335"/>
        <v>9.0629032258064459</v>
      </c>
      <c r="BC41" s="483">
        <f t="shared" si="335"/>
        <v>9.0629032258064459</v>
      </c>
      <c r="BD41" s="781"/>
      <c r="BE41" s="933">
        <f t="shared" ref="BE41:BE44" si="336">SUM(AW41:BC41)</f>
        <v>63.440322580645116</v>
      </c>
      <c r="BF41" s="934"/>
      <c r="BG41" s="935"/>
      <c r="BH41" s="481"/>
      <c r="BI41" s="347">
        <f t="shared" ref="BI41:BK41" si="337">$J$41</f>
        <v>9.0629032258064459</v>
      </c>
      <c r="BJ41" s="483">
        <f t="shared" si="337"/>
        <v>9.0629032258064459</v>
      </c>
      <c r="BK41" s="1207">
        <f t="shared" si="337"/>
        <v>9.0629032258064459</v>
      </c>
      <c r="BL41" s="481"/>
      <c r="BM41" s="933">
        <f>SUM(BI41:BK41)</f>
        <v>27.18870967741934</v>
      </c>
      <c r="BN41" s="934"/>
      <c r="BO41" s="935"/>
      <c r="BQ41" s="347">
        <f>SUM(M41:S41)+SUM(Y41:AE41)+SUM(AK41:AQ41)+SUM(AW41:BC41)+SUM(BI41:BK41)</f>
        <v>280.94999999999982</v>
      </c>
      <c r="BR41" s="485">
        <f>BQ41/E41</f>
        <v>1</v>
      </c>
      <c r="BT41" s="614"/>
      <c r="BU41" s="615"/>
      <c r="BV41" s="491"/>
    </row>
    <row r="42" spans="1:75" s="81" customFormat="1" ht="15.75" thickBot="1" x14ac:dyDescent="0.25">
      <c r="B42" s="43"/>
      <c r="C42" s="43" t="s">
        <v>153</v>
      </c>
      <c r="D42" s="813"/>
      <c r="E42" s="40">
        <f>E41*100/30</f>
        <v>936.49999999999943</v>
      </c>
      <c r="F42" s="40">
        <f t="shared" si="326"/>
        <v>93.649999999999949</v>
      </c>
      <c r="G42" s="40">
        <f t="shared" si="327"/>
        <v>62.433333333333294</v>
      </c>
      <c r="H42" s="40">
        <f t="shared" si="328"/>
        <v>46.824999999999974</v>
      </c>
      <c r="I42" s="40">
        <f t="shared" si="329"/>
        <v>37.45999999999998</v>
      </c>
      <c r="J42" s="40">
        <f>J41*100/30</f>
        <v>30.209677419354819</v>
      </c>
      <c r="K42" s="193">
        <f>E42/E51</f>
        <v>9.3649999999999942E-2</v>
      </c>
      <c r="L42" s="62"/>
      <c r="M42" s="40">
        <f t="shared" ref="M42:S42" si="338">$J$42</f>
        <v>30.209677419354819</v>
      </c>
      <c r="N42" s="40">
        <f t="shared" si="338"/>
        <v>30.209677419354819</v>
      </c>
      <c r="O42" s="40">
        <f t="shared" si="338"/>
        <v>30.209677419354819</v>
      </c>
      <c r="P42" s="40">
        <f t="shared" si="338"/>
        <v>30.209677419354819</v>
      </c>
      <c r="Q42" s="40">
        <f t="shared" si="338"/>
        <v>30.209677419354819</v>
      </c>
      <c r="R42" s="40">
        <f t="shared" si="338"/>
        <v>30.209677419354819</v>
      </c>
      <c r="S42" s="40">
        <f t="shared" si="338"/>
        <v>30.209677419354819</v>
      </c>
      <c r="T42" s="61"/>
      <c r="U42" s="957">
        <f t="shared" si="10"/>
        <v>211.46774193548373</v>
      </c>
      <c r="V42" s="958"/>
      <c r="W42" s="959"/>
      <c r="X42" s="782"/>
      <c r="Y42" s="1065">
        <f t="shared" ref="Y42:AE42" si="339">$J$42</f>
        <v>30.209677419354819</v>
      </c>
      <c r="Z42" s="1065">
        <f t="shared" si="339"/>
        <v>30.209677419354819</v>
      </c>
      <c r="AA42" s="1065">
        <f t="shared" si="339"/>
        <v>30.209677419354819</v>
      </c>
      <c r="AB42" s="1065">
        <f t="shared" si="339"/>
        <v>30.209677419354819</v>
      </c>
      <c r="AC42" s="1065">
        <f t="shared" si="339"/>
        <v>30.209677419354819</v>
      </c>
      <c r="AD42" s="1065">
        <f t="shared" si="339"/>
        <v>30.209677419354819</v>
      </c>
      <c r="AE42" s="1065">
        <f t="shared" si="339"/>
        <v>30.209677419354819</v>
      </c>
      <c r="AF42" s="782"/>
      <c r="AG42" s="957">
        <f t="shared" si="332"/>
        <v>211.46774193548373</v>
      </c>
      <c r="AH42" s="958"/>
      <c r="AI42" s="959"/>
      <c r="AJ42" s="782"/>
      <c r="AK42" s="1065">
        <f t="shared" ref="AK42:AQ42" si="340">$J$42</f>
        <v>30.209677419354819</v>
      </c>
      <c r="AL42" s="1065">
        <f t="shared" si="340"/>
        <v>30.209677419354819</v>
      </c>
      <c r="AM42" s="1065">
        <f t="shared" si="340"/>
        <v>30.209677419354819</v>
      </c>
      <c r="AN42" s="1065">
        <f t="shared" si="340"/>
        <v>30.209677419354819</v>
      </c>
      <c r="AO42" s="1065">
        <f t="shared" si="340"/>
        <v>30.209677419354819</v>
      </c>
      <c r="AP42" s="1065">
        <f t="shared" si="340"/>
        <v>30.209677419354819</v>
      </c>
      <c r="AQ42" s="1065">
        <f t="shared" si="340"/>
        <v>30.209677419354819</v>
      </c>
      <c r="AR42" s="782"/>
      <c r="AS42" s="957">
        <f t="shared" si="334"/>
        <v>211.46774193548373</v>
      </c>
      <c r="AT42" s="958"/>
      <c r="AU42" s="959"/>
      <c r="AV42" s="782"/>
      <c r="AW42" s="1065">
        <f t="shared" ref="AW42:BC42" si="341">$J$42</f>
        <v>30.209677419354819</v>
      </c>
      <c r="AX42" s="1065">
        <f t="shared" si="341"/>
        <v>30.209677419354819</v>
      </c>
      <c r="AY42" s="1065">
        <f t="shared" si="341"/>
        <v>30.209677419354819</v>
      </c>
      <c r="AZ42" s="1065">
        <f t="shared" si="341"/>
        <v>30.209677419354819</v>
      </c>
      <c r="BA42" s="1065">
        <f t="shared" si="341"/>
        <v>30.209677419354819</v>
      </c>
      <c r="BB42" s="1144">
        <f t="shared" si="341"/>
        <v>30.209677419354819</v>
      </c>
      <c r="BC42" s="1148">
        <f t="shared" si="341"/>
        <v>30.209677419354819</v>
      </c>
      <c r="BD42" s="782"/>
      <c r="BE42" s="957">
        <f t="shared" si="336"/>
        <v>211.46774193548373</v>
      </c>
      <c r="BF42" s="958"/>
      <c r="BG42" s="959"/>
      <c r="BH42" s="61"/>
      <c r="BI42" s="40">
        <f t="shared" ref="BI42" si="342">$J$42</f>
        <v>30.209677419354819</v>
      </c>
      <c r="BJ42" s="1065">
        <f>$J$42</f>
        <v>30.209677419354819</v>
      </c>
      <c r="BK42" s="1208">
        <f>$J$42</f>
        <v>30.209677419354819</v>
      </c>
      <c r="BL42" s="61"/>
      <c r="BM42" s="957">
        <f>SUM(BI42:BK42)</f>
        <v>90.629032258064456</v>
      </c>
      <c r="BN42" s="958"/>
      <c r="BO42" s="959"/>
      <c r="BP42" s="255"/>
      <c r="BQ42" s="40">
        <f t="shared" ref="BQ42" si="343">SUM(M42:S42)+SUM(Y42:AE42)+SUM(AK42:AQ42)+SUM(AW42:BC42)+SUM(BI42:BK42)</f>
        <v>936.49999999999932</v>
      </c>
      <c r="BR42" s="51">
        <f>BQ42/E42</f>
        <v>0.99999999999999989</v>
      </c>
      <c r="BS42" s="255"/>
      <c r="BT42" s="583"/>
      <c r="BU42" s="584"/>
      <c r="BV42" s="411"/>
      <c r="BW42" s="255"/>
    </row>
    <row r="43" spans="1:75" s="81" customFormat="1" ht="4.5" customHeight="1" thickBot="1" x14ac:dyDescent="0.25">
      <c r="B43" s="1074"/>
      <c r="C43" s="1074"/>
      <c r="E43" s="1068"/>
      <c r="F43" s="1068"/>
      <c r="G43" s="1068"/>
      <c r="H43" s="1068"/>
      <c r="I43" s="1068"/>
      <c r="J43" s="1068"/>
      <c r="K43" s="1089"/>
      <c r="L43" s="62"/>
      <c r="M43" s="1068"/>
      <c r="N43" s="1068"/>
      <c r="O43" s="1068"/>
      <c r="P43" s="1068"/>
      <c r="Q43" s="1068"/>
      <c r="R43" s="1068"/>
      <c r="S43" s="1068"/>
      <c r="T43" s="61"/>
      <c r="U43" s="61"/>
      <c r="V43" s="61"/>
      <c r="W43" s="61"/>
      <c r="X43" s="61"/>
      <c r="Y43" s="1068"/>
      <c r="Z43" s="1068"/>
      <c r="AA43" s="1068"/>
      <c r="AB43" s="1068"/>
      <c r="AC43" s="1068"/>
      <c r="AD43" s="1068"/>
      <c r="AE43" s="1068"/>
      <c r="AF43" s="61"/>
      <c r="AG43" s="61"/>
      <c r="AH43" s="61"/>
      <c r="AI43" s="61"/>
      <c r="AJ43" s="61"/>
      <c r="AK43" s="1068"/>
      <c r="AL43" s="1068"/>
      <c r="AM43" s="1068"/>
      <c r="AN43" s="1068"/>
      <c r="AO43" s="1068"/>
      <c r="AP43" s="1068"/>
      <c r="AQ43" s="1068"/>
      <c r="AR43" s="61"/>
      <c r="AS43" s="61"/>
      <c r="AT43" s="61"/>
      <c r="AU43" s="61"/>
      <c r="AV43" s="61"/>
      <c r="AW43" s="1068"/>
      <c r="AX43" s="1068"/>
      <c r="AY43" s="1068"/>
      <c r="AZ43" s="1068"/>
      <c r="BA43" s="1068"/>
      <c r="BB43" s="1146"/>
      <c r="BC43" s="1153"/>
      <c r="BD43" s="61"/>
      <c r="BE43" s="61"/>
      <c r="BF43" s="61"/>
      <c r="BG43" s="61"/>
      <c r="BH43" s="61"/>
      <c r="BI43" s="1068"/>
      <c r="BJ43" s="1068"/>
      <c r="BK43" s="1209"/>
      <c r="BL43" s="61"/>
      <c r="BM43" s="61"/>
      <c r="BN43" s="61"/>
      <c r="BO43" s="61"/>
      <c r="BP43" s="255"/>
      <c r="BQ43" s="1068"/>
      <c r="BR43" s="1090"/>
      <c r="BS43" s="255"/>
      <c r="BT43" s="61"/>
      <c r="BU43" s="411"/>
      <c r="BV43" s="411"/>
      <c r="BW43" s="255"/>
    </row>
    <row r="44" spans="1:75" s="1067" customFormat="1" ht="15.75" thickBot="1" x14ac:dyDescent="0.25">
      <c r="B44" s="1092"/>
      <c r="C44" s="1093" t="s">
        <v>154</v>
      </c>
      <c r="D44" s="1094"/>
      <c r="E44" s="1095"/>
      <c r="F44" s="1096"/>
      <c r="G44" s="1096"/>
      <c r="H44" s="1096"/>
      <c r="I44" s="1096"/>
      <c r="J44" s="1096"/>
      <c r="K44" s="1097"/>
      <c r="L44" s="1098"/>
      <c r="M44" s="1099">
        <f t="shared" ref="M44:R44" si="344">IF(M39&gt;$J$41,M39-M41,IF(M39&lt;$J$41,(IF(M39&lt;0,-9.447,M39-M41))))</f>
        <v>-9.4469999999999992</v>
      </c>
      <c r="N44" s="1095">
        <f t="shared" si="344"/>
        <v>-9.4469999999999992</v>
      </c>
      <c r="O44" s="1095">
        <f t="shared" si="344"/>
        <v>-9.4469999999999992</v>
      </c>
      <c r="P44" s="1095">
        <f t="shared" si="344"/>
        <v>-9.4469999999999992</v>
      </c>
      <c r="Q44" s="1095">
        <f t="shared" si="344"/>
        <v>-9.4469999999999992</v>
      </c>
      <c r="R44" s="1095">
        <f t="shared" si="344"/>
        <v>-9.4469999999999992</v>
      </c>
      <c r="S44" s="1095">
        <f t="shared" ref="S44" si="345">IF(S39&gt;$J$41,S39-S41,IF(S39&lt;$J$41,(IF(S39&lt;0,-9.447,S39-S41))))</f>
        <v>-9.4469999999999992</v>
      </c>
      <c r="T44" s="481"/>
      <c r="U44" s="1099">
        <f>SUM(M44:S44)</f>
        <v>-66.129000000000005</v>
      </c>
      <c r="V44" s="1095"/>
      <c r="W44" s="1100"/>
      <c r="X44" s="481"/>
      <c r="Y44" s="1099">
        <f t="shared" ref="Y44:Z44" si="346">IF(Y39&gt;$J$41,Y39-Y41,IF(Y39&lt;$J$41,(IF(Y39&lt;0,-9.447,Y39-Y41))))</f>
        <v>-9.4469999999999992</v>
      </c>
      <c r="Z44" s="1099">
        <f t="shared" si="346"/>
        <v>-9.4469999999999992</v>
      </c>
      <c r="AA44" s="1099">
        <f t="shared" ref="AA44:AB44" si="347">IF(AA39&gt;$J$41,AA39-AA41,IF(AA39&lt;$J$41,(IF(AA39&lt;0,-9.447,AA39-AA41))))</f>
        <v>-9.4469999999999992</v>
      </c>
      <c r="AB44" s="1099">
        <f t="shared" si="347"/>
        <v>-9.4469999999999992</v>
      </c>
      <c r="AC44" s="1099">
        <f t="shared" ref="AC44:AD44" si="348">IF(AC39&gt;$J$41,AC39-AC41,IF(AC39&lt;$J$41,(IF(AC39&lt;0,-9.447,AC39-AC41))))</f>
        <v>-9.4469999999999992</v>
      </c>
      <c r="AD44" s="1099">
        <f t="shared" si="348"/>
        <v>-9.4469999999999992</v>
      </c>
      <c r="AE44" s="1099">
        <f t="shared" ref="AE44" si="349">IF(AE39&gt;$J$41,AE39-AE41,IF(AE39&lt;$J$41,(IF(AE39&lt;0,-9.447,AE39-AE41))))</f>
        <v>-9.4469999999999992</v>
      </c>
      <c r="AF44" s="481"/>
      <c r="AG44" s="1099">
        <f>SUM(Y44:AE44)</f>
        <v>-66.129000000000005</v>
      </c>
      <c r="AH44" s="1095"/>
      <c r="AI44" s="1100"/>
      <c r="AJ44" s="781"/>
      <c r="AK44" s="1099">
        <f t="shared" ref="AK44:AL44" si="350">IF(AK39&gt;$J$41,AK39-AK41,IF(AK39&lt;$J$41,(IF(AK39&lt;0,-9.447,AK39-AK41))))</f>
        <v>-9.4469999999999992</v>
      </c>
      <c r="AL44" s="1095">
        <f t="shared" si="350"/>
        <v>-9.4469999999999992</v>
      </c>
      <c r="AM44" s="1095">
        <f t="shared" ref="AM44:AN44" si="351">IF(AM39&gt;$J$41,AM39-AM41,IF(AM39&lt;$J$41,(IF(AM39&lt;0,-9.447,AM39-AM41))))</f>
        <v>-9.4469999999999992</v>
      </c>
      <c r="AN44" s="1095">
        <f t="shared" si="351"/>
        <v>-9.4469999999999992</v>
      </c>
      <c r="AO44" s="1095">
        <f t="shared" ref="AO44:AQ44" si="352">IF(AO39&gt;$J$41,AO39-AO41,IF(AO39&lt;$J$41,(IF(AO39&lt;0,-9.447,AO39-AO41))))</f>
        <v>-9.4469999999999992</v>
      </c>
      <c r="AP44" s="1095">
        <f t="shared" si="352"/>
        <v>8.8258064516128965</v>
      </c>
      <c r="AQ44" s="1095">
        <f t="shared" si="352"/>
        <v>27.590806451612913</v>
      </c>
      <c r="AR44" s="1101"/>
      <c r="AS44" s="1099">
        <f t="shared" si="334"/>
        <v>-10.818387096774188</v>
      </c>
      <c r="AT44" s="1095"/>
      <c r="AU44" s="1100"/>
      <c r="AV44" s="481"/>
      <c r="AW44" s="1099">
        <f t="shared" ref="AW44:AY44" si="353">IF(AW39&gt;$J$41,AW39-AW41,IF(AW39&lt;$J$41,(IF(AW39&lt;0,-9.447,AW39-AW41))))</f>
        <v>-9.4469999999999992</v>
      </c>
      <c r="AX44" s="1096">
        <f t="shared" si="353"/>
        <v>-9.4469999999999992</v>
      </c>
      <c r="AY44" s="1096">
        <f t="shared" si="353"/>
        <v>-9.4469999999999992</v>
      </c>
      <c r="AZ44" s="1096">
        <f t="shared" ref="AZ44:BA44" si="354">IF(AZ39&gt;$J$41,AZ39-AZ41,IF(AZ39&lt;$J$41,(IF(AZ39&lt;0,-9.447,AZ39-AZ41))))</f>
        <v>-9.4469999999999992</v>
      </c>
      <c r="BA44" s="1096">
        <f t="shared" si="354"/>
        <v>-9.4469999999999992</v>
      </c>
      <c r="BB44" s="1096">
        <f t="shared" ref="BB44:BC44" si="355">IF(BB39&gt;$J$41,BB39-BB41,IF(BB39&lt;$J$41,(IF(BB39&lt;0,-9.447,BB39-BB41))))</f>
        <v>-9.4469999999999992</v>
      </c>
      <c r="BC44" s="1096">
        <f t="shared" si="355"/>
        <v>-9.4469999999999992</v>
      </c>
      <c r="BD44" s="481"/>
      <c r="BE44" s="1099">
        <f t="shared" si="336"/>
        <v>-66.129000000000005</v>
      </c>
      <c r="BF44" s="1095"/>
      <c r="BG44" s="1100"/>
      <c r="BI44" s="1099">
        <f t="shared" ref="BI44:BJ44" si="356">IF(BI39&gt;$J$41,BI39-BI41,IF(BI39&lt;$J$41,(IF(BI39&lt;0,-9.447,BI39-BI41))))</f>
        <v>-9.4469999999999992</v>
      </c>
      <c r="BJ44" s="1102">
        <f t="shared" si="356"/>
        <v>-9.4469999999999992</v>
      </c>
      <c r="BK44" s="1210">
        <f t="shared" ref="BK44" si="357">IF(BK39&gt;$J$41,BK39-BK41,IF(BK39&lt;$J$41,(IF(BK39&lt;0,-9.447,BK39-BK41))))</f>
        <v>-9.4469999999999992</v>
      </c>
      <c r="BL44" s="1103"/>
      <c r="BM44" s="1164">
        <f>SUM(BI44:BK44)</f>
        <v>-28.340999999999998</v>
      </c>
      <c r="BN44" s="1133"/>
      <c r="BO44" s="1132"/>
      <c r="BP44" s="14"/>
      <c r="BQ44" s="1104">
        <f>SUM(M44:S44)+SUM(Y44:AE44)+SUM(AK44:AQ44)+SUM(AW44:BC44)+SUM(BI44:BK44)</f>
        <v>-237.5463870967742</v>
      </c>
      <c r="BR44" s="1105">
        <f>BQ44/E41</f>
        <v>-0.8455112550161038</v>
      </c>
    </row>
    <row r="45" spans="1:75" s="426" customFormat="1" ht="15.75" thickBot="1" x14ac:dyDescent="0.25">
      <c r="B45" s="438"/>
      <c r="C45" s="438"/>
      <c r="D45" s="438"/>
      <c r="E45" s="479"/>
      <c r="F45" s="479"/>
      <c r="G45" s="479"/>
      <c r="H45" s="479"/>
      <c r="I45" s="479"/>
      <c r="J45" s="479"/>
      <c r="K45" s="1088"/>
      <c r="L45" s="987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479"/>
      <c r="Z45" s="479"/>
      <c r="AA45" s="479"/>
      <c r="AB45" s="479"/>
      <c r="AC45" s="479"/>
      <c r="AD45" s="479"/>
      <c r="AE45" s="479"/>
      <c r="AF45" s="479"/>
      <c r="AG45" s="479"/>
      <c r="AH45" s="479"/>
      <c r="AI45" s="479"/>
      <c r="AJ45" s="479"/>
      <c r="AK45" s="479"/>
      <c r="AL45" s="479"/>
      <c r="AM45" s="479"/>
      <c r="AN45" s="479"/>
      <c r="AO45" s="479"/>
      <c r="AP45" s="479"/>
      <c r="AQ45" s="479"/>
      <c r="AR45" s="479"/>
      <c r="AS45" s="479"/>
      <c r="AT45" s="479"/>
      <c r="AU45" s="479"/>
      <c r="AV45" s="479"/>
      <c r="AW45" s="479"/>
      <c r="AX45" s="479"/>
      <c r="AY45" s="479"/>
      <c r="AZ45" s="479"/>
      <c r="BA45" s="479"/>
      <c r="BB45" s="479"/>
      <c r="BC45" s="479"/>
      <c r="BD45" s="479"/>
      <c r="BE45" s="479"/>
      <c r="BF45" s="479"/>
      <c r="BG45" s="479"/>
      <c r="BH45" s="479"/>
      <c r="BI45" s="479"/>
      <c r="BJ45" s="479"/>
      <c r="BK45" s="479"/>
      <c r="BL45" s="479"/>
      <c r="BM45" s="479"/>
      <c r="BN45" s="479"/>
      <c r="BO45" s="479"/>
      <c r="BP45" s="479"/>
      <c r="BQ45" s="479"/>
      <c r="BR45" s="480"/>
    </row>
    <row r="46" spans="1:75" s="1070" customFormat="1" ht="15.75" thickBot="1" x14ac:dyDescent="0.25">
      <c r="B46" s="616"/>
      <c r="C46" s="1134" t="s">
        <v>97</v>
      </c>
      <c r="E46" s="933">
        <f>E25*100/30</f>
        <v>3800.1666666666665</v>
      </c>
      <c r="F46" s="645">
        <f t="shared" si="326"/>
        <v>380.01666666666665</v>
      </c>
      <c r="G46" s="648">
        <f t="shared" ref="G46:G48" si="358">E46/15</f>
        <v>253.34444444444443</v>
      </c>
      <c r="H46" s="652">
        <f>E46/20</f>
        <v>190.00833333333333</v>
      </c>
      <c r="I46" s="656">
        <f t="shared" ref="I46:I48" si="359">E46/25</f>
        <v>152.00666666666666</v>
      </c>
      <c r="J46" s="660">
        <f>E46/31</f>
        <v>122.58602150537634</v>
      </c>
      <c r="K46" s="1135">
        <f>J46*30%</f>
        <v>36.775806451612901</v>
      </c>
      <c r="L46" s="1098"/>
      <c r="M46" s="623">
        <f t="shared" ref="M46:S46" si="360">IF(M27&gt;0,"0.000",M27)</f>
        <v>-19.150806451612901</v>
      </c>
      <c r="N46" s="1136">
        <f t="shared" si="360"/>
        <v>-4.6458064516129056</v>
      </c>
      <c r="O46" s="1136" t="str">
        <f t="shared" si="360"/>
        <v>0.000</v>
      </c>
      <c r="P46" s="1136" t="str">
        <f t="shared" si="360"/>
        <v>0.000</v>
      </c>
      <c r="Q46" s="1136">
        <f t="shared" si="360"/>
        <v>-10.525806451612901</v>
      </c>
      <c r="R46" s="1136" t="str">
        <f t="shared" si="360"/>
        <v>0.000</v>
      </c>
      <c r="S46" s="622">
        <f t="shared" si="360"/>
        <v>-7.9008064516129011</v>
      </c>
      <c r="T46" s="14"/>
      <c r="U46" s="623">
        <f t="shared" si="10"/>
        <v>-42.223225806451609</v>
      </c>
      <c r="V46" s="1136">
        <f>U36+U46</f>
        <v>-13.530645161290316</v>
      </c>
      <c r="W46" s="622"/>
      <c r="X46" s="14"/>
      <c r="Y46" s="623">
        <f t="shared" ref="Y46:AE46" si="361">IF(Y27&gt;0,"0.000",Y27)</f>
        <v>-36.775806451612901</v>
      </c>
      <c r="Z46" s="1136" t="str">
        <f t="shared" si="361"/>
        <v>0.000</v>
      </c>
      <c r="AA46" s="1136">
        <f t="shared" si="361"/>
        <v>-4.9008064516129011</v>
      </c>
      <c r="AB46" s="1136" t="str">
        <f t="shared" si="361"/>
        <v>0.000</v>
      </c>
      <c r="AC46" s="1136" t="str">
        <f t="shared" si="361"/>
        <v>0.000</v>
      </c>
      <c r="AD46" s="1136" t="str">
        <f t="shared" si="361"/>
        <v>0.000</v>
      </c>
      <c r="AE46" s="622">
        <f t="shared" si="361"/>
        <v>-13.0158064516129</v>
      </c>
      <c r="AF46" s="14"/>
      <c r="AG46" s="623">
        <f t="shared" ref="AG46:AG49" si="362">SUM(Y46:AE46)</f>
        <v>-54.692419354838705</v>
      </c>
      <c r="AH46" s="1136">
        <f>AG36+AG46</f>
        <v>-11.535645161290319</v>
      </c>
      <c r="AI46" s="622"/>
      <c r="AJ46" s="14"/>
      <c r="AK46" s="623">
        <f t="shared" ref="AK46:AQ46" si="363">IF(AK27&gt;0,"0.000",AK27)</f>
        <v>-17.680806451612902</v>
      </c>
      <c r="AL46" s="1136">
        <f t="shared" si="363"/>
        <v>-17.050806451612903</v>
      </c>
      <c r="AM46" s="1136">
        <f t="shared" si="363"/>
        <v>-4.8258064516129018</v>
      </c>
      <c r="AN46" s="1136" t="str">
        <f t="shared" si="363"/>
        <v>0.000</v>
      </c>
      <c r="AO46" s="1136" t="str">
        <f t="shared" si="363"/>
        <v>0.000</v>
      </c>
      <c r="AP46" s="1136" t="str">
        <f t="shared" si="363"/>
        <v>0.000</v>
      </c>
      <c r="AQ46" s="622" t="str">
        <f t="shared" si="363"/>
        <v>0.000</v>
      </c>
      <c r="AR46" s="14"/>
      <c r="AS46" s="623">
        <f t="shared" ref="AS46:AS49" si="364">SUM(AK46:AQ46)</f>
        <v>-39.557419354838714</v>
      </c>
      <c r="AT46" s="1136">
        <f>AS36+AS46</f>
        <v>108.92693548387098</v>
      </c>
      <c r="AU46" s="622"/>
      <c r="AV46" s="14"/>
      <c r="AW46" s="623">
        <f t="shared" ref="AW46:BC46" si="365">IF(AW27&gt;0,"0.000",AW27)</f>
        <v>-15.775806451612901</v>
      </c>
      <c r="AX46" s="1136" t="str">
        <f t="shared" si="365"/>
        <v>0.000</v>
      </c>
      <c r="AY46" s="1136" t="str">
        <f t="shared" si="365"/>
        <v>0.000</v>
      </c>
      <c r="AZ46" s="1136">
        <f t="shared" si="365"/>
        <v>-5.7258064516129039</v>
      </c>
      <c r="BA46" s="1136">
        <f t="shared" si="365"/>
        <v>-2.6808064516129022</v>
      </c>
      <c r="BB46" s="1136" t="str">
        <f t="shared" si="365"/>
        <v>0.000</v>
      </c>
      <c r="BC46" s="622">
        <f t="shared" si="365"/>
        <v>-1.5708064516129028</v>
      </c>
      <c r="BD46" s="14"/>
      <c r="BE46" s="623">
        <f t="shared" ref="BE46:BE49" si="366">SUM(AW46:BC46)</f>
        <v>-25.75322580645161</v>
      </c>
      <c r="BF46" s="1136"/>
      <c r="BG46" s="622"/>
      <c r="BH46" s="14"/>
      <c r="BI46" s="623">
        <f>IF(BI27&gt;0,"0.000",BI27)</f>
        <v>-24.5508064516129</v>
      </c>
      <c r="BJ46" s="1136">
        <f>IF(BJ27&gt;0,"0.000",BJ27)</f>
        <v>-7.0758064516129018</v>
      </c>
      <c r="BK46" s="622">
        <f>IF(BK27&gt;0,"0.000",BK27)</f>
        <v>-24.775806451612901</v>
      </c>
      <c r="BL46" s="14"/>
      <c r="BM46" s="623">
        <f>SUM(BI46:BK46)</f>
        <v>-56.402419354838699</v>
      </c>
      <c r="BN46" s="1136"/>
      <c r="BO46" s="622"/>
      <c r="BP46" s="1067"/>
      <c r="BQ46" s="623">
        <f>SUM(M46:S46)+SUM(Y46:AE46)+SUM(AK46:AQ46)+SUM(AW46:BC46)+SUM(BI46:BK46)</f>
        <v>-218.62870967741935</v>
      </c>
      <c r="BR46" s="622"/>
      <c r="BS46" s="1067"/>
      <c r="BT46" s="511">
        <f>BT36+BQ46</f>
        <v>37.627580645161345</v>
      </c>
      <c r="BU46" s="29"/>
      <c r="BV46" s="29"/>
    </row>
    <row r="47" spans="1:75" s="255" customFormat="1" ht="15.75" thickBot="1" x14ac:dyDescent="0.25">
      <c r="B47" s="585"/>
      <c r="C47" s="985" t="s">
        <v>97</v>
      </c>
      <c r="D47" s="81"/>
      <c r="E47" s="925">
        <f>E38</f>
        <v>5263.333333333333</v>
      </c>
      <c r="F47" s="97">
        <f t="shared" si="326"/>
        <v>526.33333333333326</v>
      </c>
      <c r="G47" s="649">
        <f t="shared" si="358"/>
        <v>350.88888888888886</v>
      </c>
      <c r="H47" s="653">
        <f t="shared" ref="H47:H48" si="367">E47/20</f>
        <v>263.16666666666663</v>
      </c>
      <c r="I47" s="657">
        <f t="shared" si="359"/>
        <v>210.53333333333333</v>
      </c>
      <c r="J47" s="661">
        <f>E47/31</f>
        <v>169.78494623655914</v>
      </c>
      <c r="K47" s="986">
        <f>J47*30%</f>
        <v>50.935483870967737</v>
      </c>
      <c r="L47" s="987"/>
      <c r="M47" s="911">
        <f t="shared" ref="M47:S47" si="368">IF(M39&gt;0,"0.000",M39)</f>
        <v>-50.935000000000002</v>
      </c>
      <c r="N47" s="40">
        <f t="shared" si="368"/>
        <v>-50.935000000000002</v>
      </c>
      <c r="O47" s="40">
        <f t="shared" si="368"/>
        <v>-42.231290322580648</v>
      </c>
      <c r="P47" s="40">
        <f t="shared" si="368"/>
        <v>-40.296290322580646</v>
      </c>
      <c r="Q47" s="40">
        <f t="shared" si="368"/>
        <v>-50.935000000000002</v>
      </c>
      <c r="R47" s="40">
        <f t="shared" si="368"/>
        <v>-41.586290322580645</v>
      </c>
      <c r="S47" s="586">
        <f t="shared" si="368"/>
        <v>-50.935000000000002</v>
      </c>
      <c r="T47" s="61"/>
      <c r="U47" s="911">
        <f t="shared" si="10"/>
        <v>-327.85387096774195</v>
      </c>
      <c r="V47" s="40"/>
      <c r="W47" s="586"/>
      <c r="X47" s="61"/>
      <c r="Y47" s="911">
        <f t="shared" ref="Y47:AE47" si="369">IF(Y39&gt;0,"0.000",Y39)</f>
        <v>-50.935000000000002</v>
      </c>
      <c r="Z47" s="40">
        <f t="shared" si="369"/>
        <v>-35.976290322580653</v>
      </c>
      <c r="AA47" s="40">
        <f t="shared" si="369"/>
        <v>-50.935000000000002</v>
      </c>
      <c r="AB47" s="40">
        <f t="shared" si="369"/>
        <v>-45.65129032258065</v>
      </c>
      <c r="AC47" s="40">
        <f t="shared" si="369"/>
        <v>-43.191290322580642</v>
      </c>
      <c r="AD47" s="40">
        <f t="shared" si="369"/>
        <v>-35.766290322580645</v>
      </c>
      <c r="AE47" s="586">
        <f t="shared" si="369"/>
        <v>-50.935000000000002</v>
      </c>
      <c r="AF47" s="61"/>
      <c r="AG47" s="911">
        <f t="shared" si="362"/>
        <v>-313.39016129032262</v>
      </c>
      <c r="AH47" s="40"/>
      <c r="AI47" s="586"/>
      <c r="AJ47" s="61"/>
      <c r="AK47" s="911">
        <f t="shared" ref="AK47:AQ47" si="370">IF(AK39&gt;0,"0.000",AK39)</f>
        <v>-50.935000000000002</v>
      </c>
      <c r="AL47" s="40">
        <f t="shared" si="370"/>
        <v>-50.935000000000002</v>
      </c>
      <c r="AM47" s="40">
        <f t="shared" si="370"/>
        <v>-50.935000000000002</v>
      </c>
      <c r="AN47" s="40">
        <f t="shared" si="370"/>
        <v>-14.961290322580645</v>
      </c>
      <c r="AO47" s="40">
        <f t="shared" si="370"/>
        <v>-40.296290322580646</v>
      </c>
      <c r="AP47" s="40" t="str">
        <f t="shared" si="370"/>
        <v>0.000</v>
      </c>
      <c r="AQ47" s="586" t="str">
        <f t="shared" si="370"/>
        <v>0.000</v>
      </c>
      <c r="AR47" s="61"/>
      <c r="AS47" s="911">
        <f t="shared" si="364"/>
        <v>-208.06258064516129</v>
      </c>
      <c r="AT47" s="40"/>
      <c r="AU47" s="586"/>
      <c r="AV47" s="61"/>
      <c r="AW47" s="911">
        <f t="shared" ref="AW47:BC47" si="371">IF(AW39&gt;0,"0.000",AW39)</f>
        <v>-50.935000000000002</v>
      </c>
      <c r="AX47" s="40">
        <f t="shared" si="371"/>
        <v>-35.091290322580647</v>
      </c>
      <c r="AY47" s="40">
        <f t="shared" si="371"/>
        <v>-33.681290322580651</v>
      </c>
      <c r="AZ47" s="40">
        <f t="shared" si="371"/>
        <v>-50.935000000000002</v>
      </c>
      <c r="BA47" s="40">
        <f t="shared" si="371"/>
        <v>-50.935000000000002</v>
      </c>
      <c r="BB47" s="40">
        <f t="shared" si="371"/>
        <v>-48.111290322580643</v>
      </c>
      <c r="BC47" s="586">
        <f t="shared" si="371"/>
        <v>-50.935000000000002</v>
      </c>
      <c r="BD47" s="61"/>
      <c r="BE47" s="911">
        <f t="shared" si="366"/>
        <v>-320.62387096774194</v>
      </c>
      <c r="BF47" s="40"/>
      <c r="BG47" s="586"/>
      <c r="BH47" s="61"/>
      <c r="BI47" s="911">
        <f>IF(BI39&gt;0,"0.000",BI39)</f>
        <v>-50.935000000000002</v>
      </c>
      <c r="BJ47" s="40">
        <f>IF(BJ39&gt;0,"0.000",BJ39)</f>
        <v>-50.935000000000002</v>
      </c>
      <c r="BK47" s="586">
        <f>IF(BK39&gt;0,"0.000",BK39)</f>
        <v>-50.935000000000002</v>
      </c>
      <c r="BL47" s="61"/>
      <c r="BM47" s="911">
        <f>SUM(BI47:BK47)</f>
        <v>-152.80500000000001</v>
      </c>
      <c r="BN47" s="40"/>
      <c r="BO47" s="586"/>
      <c r="BQ47" s="587">
        <f>SUM(M47:S47)+SUM(Y47:AE47)+SUM(AK47:AQ47)+SUM(AW47:BC47)+SUM(BI47:BK47)</f>
        <v>-1322.7354838709678</v>
      </c>
      <c r="BR47" s="586"/>
      <c r="BT47" s="742">
        <f>BT3*50%</f>
        <v>2053.6999999999998</v>
      </c>
      <c r="BU47" s="743">
        <f>BT47-E25</f>
        <v>913.64999999999986</v>
      </c>
      <c r="BV47" s="744">
        <f>BU47+BQ47</f>
        <v>-409.08548387096789</v>
      </c>
    </row>
    <row r="48" spans="1:75" s="1067" customFormat="1" x14ac:dyDescent="0.2">
      <c r="B48" s="1137"/>
      <c r="C48" s="1138" t="s">
        <v>75</v>
      </c>
      <c r="D48" s="1070"/>
      <c r="E48" s="927">
        <f>E41*100/30</f>
        <v>936.49999999999943</v>
      </c>
      <c r="F48" s="99">
        <f t="shared" si="326"/>
        <v>93.649999999999949</v>
      </c>
      <c r="G48" s="1139">
        <f t="shared" si="358"/>
        <v>62.433333333333294</v>
      </c>
      <c r="H48" s="1140">
        <f t="shared" si="367"/>
        <v>46.824999999999974</v>
      </c>
      <c r="I48" s="1141">
        <f t="shared" si="359"/>
        <v>37.45999999999998</v>
      </c>
      <c r="J48" s="1142">
        <f>E48/31</f>
        <v>30.209677419354822</v>
      </c>
      <c r="K48" s="497">
        <f>J48*30%</f>
        <v>9.0629032258064459</v>
      </c>
      <c r="L48" s="1098"/>
      <c r="M48" s="937">
        <f t="shared" ref="M48:S48" si="372">IF(M44&gt;0,"0.000",M44)</f>
        <v>-9.4469999999999992</v>
      </c>
      <c r="N48" s="5">
        <f t="shared" si="372"/>
        <v>-9.4469999999999992</v>
      </c>
      <c r="O48" s="5">
        <f t="shared" si="372"/>
        <v>-9.4469999999999992</v>
      </c>
      <c r="P48" s="5">
        <f t="shared" si="372"/>
        <v>-9.4469999999999992</v>
      </c>
      <c r="Q48" s="5">
        <f t="shared" si="372"/>
        <v>-9.4469999999999992</v>
      </c>
      <c r="R48" s="5">
        <f t="shared" si="372"/>
        <v>-9.4469999999999992</v>
      </c>
      <c r="S48" s="1143">
        <f t="shared" si="372"/>
        <v>-9.4469999999999992</v>
      </c>
      <c r="T48" s="14"/>
      <c r="U48" s="937">
        <f t="shared" si="10"/>
        <v>-66.129000000000005</v>
      </c>
      <c r="V48" s="5"/>
      <c r="W48" s="1143"/>
      <c r="X48" s="14"/>
      <c r="Y48" s="937">
        <f t="shared" ref="Y48:AE48" si="373">IF(Y44&gt;0,"0.000",Y44)</f>
        <v>-9.4469999999999992</v>
      </c>
      <c r="Z48" s="5">
        <f t="shared" si="373"/>
        <v>-9.4469999999999992</v>
      </c>
      <c r="AA48" s="5">
        <f t="shared" si="373"/>
        <v>-9.4469999999999992</v>
      </c>
      <c r="AB48" s="5">
        <f t="shared" si="373"/>
        <v>-9.4469999999999992</v>
      </c>
      <c r="AC48" s="5">
        <f t="shared" si="373"/>
        <v>-9.4469999999999992</v>
      </c>
      <c r="AD48" s="5">
        <f t="shared" si="373"/>
        <v>-9.4469999999999992</v>
      </c>
      <c r="AE48" s="1143">
        <f t="shared" si="373"/>
        <v>-9.4469999999999992</v>
      </c>
      <c r="AF48" s="14"/>
      <c r="AG48" s="937">
        <f t="shared" si="362"/>
        <v>-66.129000000000005</v>
      </c>
      <c r="AH48" s="5"/>
      <c r="AI48" s="1143"/>
      <c r="AJ48" s="14"/>
      <c r="AK48" s="937">
        <f t="shared" ref="AK48:AQ48" si="374">IF(AK44&gt;0,"0.000",AK44)</f>
        <v>-9.4469999999999992</v>
      </c>
      <c r="AL48" s="5">
        <f t="shared" si="374"/>
        <v>-9.4469999999999992</v>
      </c>
      <c r="AM48" s="5">
        <f t="shared" si="374"/>
        <v>-9.4469999999999992</v>
      </c>
      <c r="AN48" s="5">
        <f t="shared" si="374"/>
        <v>-9.4469999999999992</v>
      </c>
      <c r="AO48" s="5">
        <f t="shared" si="374"/>
        <v>-9.4469999999999992</v>
      </c>
      <c r="AP48" s="5" t="str">
        <f t="shared" si="374"/>
        <v>0.000</v>
      </c>
      <c r="AQ48" s="1143" t="str">
        <f t="shared" si="374"/>
        <v>0.000</v>
      </c>
      <c r="AR48" s="14"/>
      <c r="AS48" s="937">
        <f t="shared" si="364"/>
        <v>-47.234999999999999</v>
      </c>
      <c r="AT48" s="5"/>
      <c r="AU48" s="1143"/>
      <c r="AV48" s="14"/>
      <c r="AW48" s="937">
        <f t="shared" ref="AW48:BC48" si="375">IF(AW44&gt;0,"0.000",AW44)</f>
        <v>-9.4469999999999992</v>
      </c>
      <c r="AX48" s="5">
        <f t="shared" si="375"/>
        <v>-9.4469999999999992</v>
      </c>
      <c r="AY48" s="5">
        <f t="shared" si="375"/>
        <v>-9.4469999999999992</v>
      </c>
      <c r="AZ48" s="5">
        <f t="shared" si="375"/>
        <v>-9.4469999999999992</v>
      </c>
      <c r="BA48" s="5">
        <f t="shared" si="375"/>
        <v>-9.4469999999999992</v>
      </c>
      <c r="BB48" s="5">
        <f t="shared" si="375"/>
        <v>-9.4469999999999992</v>
      </c>
      <c r="BC48" s="1143">
        <f t="shared" si="375"/>
        <v>-9.4469999999999992</v>
      </c>
      <c r="BD48" s="14"/>
      <c r="BE48" s="937">
        <f t="shared" si="366"/>
        <v>-66.129000000000005</v>
      </c>
      <c r="BF48" s="5"/>
      <c r="BG48" s="1143"/>
      <c r="BH48" s="14"/>
      <c r="BI48" s="937">
        <f>IF(BI44&gt;0,"0.000",BI44)</f>
        <v>-9.4469999999999992</v>
      </c>
      <c r="BJ48" s="5">
        <f>IF(BJ44&gt;0,"0.000",BJ44)</f>
        <v>-9.4469999999999992</v>
      </c>
      <c r="BK48" s="1143">
        <f>IF(BK44&gt;0,"0.000",BK44)</f>
        <v>-9.4469999999999992</v>
      </c>
      <c r="BL48" s="14"/>
      <c r="BM48" s="937">
        <f>SUM(BI48:BK48)</f>
        <v>-28.340999999999998</v>
      </c>
      <c r="BN48" s="5"/>
      <c r="BO48" s="1143"/>
      <c r="BQ48" s="937">
        <f t="shared" ref="BQ48:BQ49" si="376">SUM(M48:S48)+SUM(Y48:AE48)+SUM(AK48:AQ48)+SUM(AW48:BC48)+SUM(BI48:BK48)</f>
        <v>-273.96300000000002</v>
      </c>
      <c r="BR48" s="1143"/>
      <c r="BT48" s="14"/>
      <c r="BU48" s="182"/>
      <c r="BV48" s="182"/>
    </row>
    <row r="49" spans="2:74" s="255" customFormat="1" ht="15.75" thickBot="1" x14ac:dyDescent="0.25">
      <c r="B49" s="1001"/>
      <c r="C49" s="1002" t="s">
        <v>152</v>
      </c>
      <c r="D49" s="81"/>
      <c r="E49" s="468"/>
      <c r="F49" s="1003"/>
      <c r="G49" s="1004"/>
      <c r="H49" s="1005"/>
      <c r="I49" s="1006"/>
      <c r="J49" s="1007"/>
      <c r="K49" s="498"/>
      <c r="L49" s="987"/>
      <c r="M49" s="957" t="str">
        <f t="shared" ref="M49:S49" si="377">IF(M44&lt;0,"0.000",M44)</f>
        <v>0.000</v>
      </c>
      <c r="N49" s="1008" t="str">
        <f t="shared" si="377"/>
        <v>0.000</v>
      </c>
      <c r="O49" s="1008" t="str">
        <f t="shared" si="377"/>
        <v>0.000</v>
      </c>
      <c r="P49" s="1008" t="str">
        <f t="shared" si="377"/>
        <v>0.000</v>
      </c>
      <c r="Q49" s="1008" t="str">
        <f t="shared" si="377"/>
        <v>0.000</v>
      </c>
      <c r="R49" s="1008" t="str">
        <f t="shared" si="377"/>
        <v>0.000</v>
      </c>
      <c r="S49" s="1009" t="str">
        <f t="shared" si="377"/>
        <v>0.000</v>
      </c>
      <c r="T49" s="61"/>
      <c r="U49" s="957">
        <f t="shared" si="10"/>
        <v>0</v>
      </c>
      <c r="V49" s="1008"/>
      <c r="W49" s="1009"/>
      <c r="X49" s="61"/>
      <c r="Y49" s="957" t="str">
        <f t="shared" ref="Y49:AE49" si="378">IF(Y44&lt;0,"0.000",Y44)</f>
        <v>0.000</v>
      </c>
      <c r="Z49" s="1008" t="str">
        <f t="shared" si="378"/>
        <v>0.000</v>
      </c>
      <c r="AA49" s="1008" t="str">
        <f t="shared" si="378"/>
        <v>0.000</v>
      </c>
      <c r="AB49" s="1008" t="str">
        <f t="shared" si="378"/>
        <v>0.000</v>
      </c>
      <c r="AC49" s="1008" t="str">
        <f t="shared" si="378"/>
        <v>0.000</v>
      </c>
      <c r="AD49" s="1008" t="str">
        <f t="shared" si="378"/>
        <v>0.000</v>
      </c>
      <c r="AE49" s="1009" t="str">
        <f t="shared" si="378"/>
        <v>0.000</v>
      </c>
      <c r="AF49" s="61"/>
      <c r="AG49" s="957">
        <f t="shared" si="362"/>
        <v>0</v>
      </c>
      <c r="AH49" s="1008"/>
      <c r="AI49" s="1009"/>
      <c r="AJ49" s="61"/>
      <c r="AK49" s="957" t="str">
        <f t="shared" ref="AK49:AQ49" si="379">IF(AK44&lt;0,"0.000",AK44)</f>
        <v>0.000</v>
      </c>
      <c r="AL49" s="1008" t="str">
        <f t="shared" si="379"/>
        <v>0.000</v>
      </c>
      <c r="AM49" s="1008" t="str">
        <f t="shared" si="379"/>
        <v>0.000</v>
      </c>
      <c r="AN49" s="1008" t="str">
        <f t="shared" si="379"/>
        <v>0.000</v>
      </c>
      <c r="AO49" s="1008" t="str">
        <f t="shared" si="379"/>
        <v>0.000</v>
      </c>
      <c r="AP49" s="1008">
        <f t="shared" si="379"/>
        <v>8.8258064516128965</v>
      </c>
      <c r="AQ49" s="1009">
        <f t="shared" si="379"/>
        <v>27.590806451612913</v>
      </c>
      <c r="AR49" s="61"/>
      <c r="AS49" s="957">
        <f t="shared" si="364"/>
        <v>36.416612903225811</v>
      </c>
      <c r="AT49" s="1008"/>
      <c r="AU49" s="1009"/>
      <c r="AV49" s="61"/>
      <c r="AW49" s="957" t="str">
        <f t="shared" ref="AW49:BC49" si="380">IF(AW44&lt;0,"0.000",AW44)</f>
        <v>0.000</v>
      </c>
      <c r="AX49" s="1008" t="str">
        <f t="shared" si="380"/>
        <v>0.000</v>
      </c>
      <c r="AY49" s="1008" t="str">
        <f t="shared" si="380"/>
        <v>0.000</v>
      </c>
      <c r="AZ49" s="1008" t="str">
        <f t="shared" si="380"/>
        <v>0.000</v>
      </c>
      <c r="BA49" s="1008" t="str">
        <f t="shared" si="380"/>
        <v>0.000</v>
      </c>
      <c r="BB49" s="1008" t="str">
        <f t="shared" si="380"/>
        <v>0.000</v>
      </c>
      <c r="BC49" s="1009" t="str">
        <f t="shared" si="380"/>
        <v>0.000</v>
      </c>
      <c r="BD49" s="61"/>
      <c r="BE49" s="957">
        <f t="shared" si="366"/>
        <v>0</v>
      </c>
      <c r="BF49" s="1008"/>
      <c r="BG49" s="1009"/>
      <c r="BH49" s="61"/>
      <c r="BI49" s="957" t="str">
        <f>IF(BI44&lt;0,"0.000",BI44)</f>
        <v>0.000</v>
      </c>
      <c r="BJ49" s="1008" t="str">
        <f>IF(BJ44&lt;0,"0.000",BJ44)</f>
        <v>0.000</v>
      </c>
      <c r="BK49" s="1009" t="str">
        <f>IF(BK44&lt;0,"0.000",BK44)</f>
        <v>0.000</v>
      </c>
      <c r="BL49" s="61"/>
      <c r="BM49" s="957">
        <f t="shared" ref="BM49" si="381">SUM(BE49:BK49)</f>
        <v>0</v>
      </c>
      <c r="BN49" s="1008"/>
      <c r="BO49" s="1009"/>
      <c r="BQ49" s="957">
        <f t="shared" si="376"/>
        <v>36.416612903225811</v>
      </c>
      <c r="BR49" s="1009"/>
      <c r="BT49" s="61"/>
      <c r="BU49" s="975"/>
      <c r="BV49" s="975"/>
    </row>
    <row r="50" spans="2:74" s="255" customFormat="1" ht="4.5" customHeight="1" thickBot="1" x14ac:dyDescent="0.25">
      <c r="D50" s="81"/>
      <c r="K50" s="1091"/>
      <c r="L50" s="62"/>
      <c r="T50" s="81"/>
      <c r="X50" s="81"/>
      <c r="AF50" s="81"/>
      <c r="AJ50" s="81"/>
      <c r="AR50" s="81"/>
      <c r="AV50" s="81"/>
      <c r="BD50" s="81"/>
    </row>
    <row r="51" spans="2:74" s="1067" customFormat="1" ht="15.75" thickBot="1" x14ac:dyDescent="0.25">
      <c r="B51" s="1092"/>
      <c r="C51" s="1093"/>
      <c r="D51" s="1094"/>
      <c r="E51" s="1095">
        <f>SUM(E46:E49)</f>
        <v>10000</v>
      </c>
      <c r="F51" s="1096"/>
      <c r="G51" s="1096"/>
      <c r="H51" s="1096"/>
      <c r="I51" s="1096"/>
      <c r="J51" s="1096">
        <f>E51/31</f>
        <v>322.58064516129031</v>
      </c>
      <c r="K51" s="1097">
        <f>J51*30%</f>
        <v>96.774193548387089</v>
      </c>
      <c r="L51" s="1098"/>
      <c r="M51" s="1099">
        <f>SUM(M46:M49)</f>
        <v>-79.532806451612913</v>
      </c>
      <c r="N51" s="1095">
        <f t="shared" ref="N51:S51" si="382">SUM(N46:N49)</f>
        <v>-65.027806451612904</v>
      </c>
      <c r="O51" s="1095">
        <f t="shared" si="382"/>
        <v>-51.678290322580651</v>
      </c>
      <c r="P51" s="1095">
        <f t="shared" si="382"/>
        <v>-49.743290322580648</v>
      </c>
      <c r="Q51" s="1095">
        <f t="shared" si="382"/>
        <v>-70.907806451612899</v>
      </c>
      <c r="R51" s="1095">
        <f t="shared" si="382"/>
        <v>-51.03329032258064</v>
      </c>
      <c r="S51" s="1100">
        <f t="shared" si="382"/>
        <v>-68.282806451612899</v>
      </c>
      <c r="T51" s="481"/>
      <c r="U51" s="1099">
        <f>SUM(M51:S51)</f>
        <v>-436.20609677419355</v>
      </c>
      <c r="V51" s="1095"/>
      <c r="W51" s="1100"/>
      <c r="X51" s="481"/>
      <c r="Y51" s="1099">
        <f t="shared" ref="Y51:AE51" si="383">SUM(Y46:Y49)</f>
        <v>-97.157806451612913</v>
      </c>
      <c r="Z51" s="1095">
        <f t="shared" si="383"/>
        <v>-45.423290322580655</v>
      </c>
      <c r="AA51" s="1095">
        <f t="shared" si="383"/>
        <v>-65.282806451612899</v>
      </c>
      <c r="AB51" s="1095">
        <f t="shared" si="383"/>
        <v>-55.098290322580652</v>
      </c>
      <c r="AC51" s="1095">
        <f t="shared" si="383"/>
        <v>-52.638290322580644</v>
      </c>
      <c r="AD51" s="1095">
        <f t="shared" si="383"/>
        <v>-45.213290322580647</v>
      </c>
      <c r="AE51" s="1100">
        <f t="shared" si="383"/>
        <v>-73.397806451612908</v>
      </c>
      <c r="AF51" s="481"/>
      <c r="AG51" s="1099">
        <f>SUM(Y51:AE51)</f>
        <v>-434.21158064516123</v>
      </c>
      <c r="AH51" s="1095"/>
      <c r="AI51" s="1100"/>
      <c r="AJ51" s="781"/>
      <c r="AK51" s="1099">
        <f t="shared" ref="AK51:AQ51" si="384">SUM(AK46:AK49)</f>
        <v>-78.062806451612914</v>
      </c>
      <c r="AL51" s="1096">
        <f t="shared" si="384"/>
        <v>-77.432806451612905</v>
      </c>
      <c r="AM51" s="1096">
        <f t="shared" si="384"/>
        <v>-65.20780645161291</v>
      </c>
      <c r="AN51" s="1096">
        <f t="shared" si="384"/>
        <v>-24.408290322580644</v>
      </c>
      <c r="AO51" s="1096">
        <f t="shared" si="384"/>
        <v>-49.743290322580648</v>
      </c>
      <c r="AP51" s="1096">
        <f t="shared" si="384"/>
        <v>8.8258064516128965</v>
      </c>
      <c r="AQ51" s="1100">
        <f t="shared" si="384"/>
        <v>27.590806451612913</v>
      </c>
      <c r="AR51" s="1101"/>
      <c r="AS51" s="1099">
        <f>SUM(AK51:AQ51)</f>
        <v>-258.43838709677419</v>
      </c>
      <c r="AT51" s="1095"/>
      <c r="AU51" s="1100"/>
      <c r="AV51" s="481"/>
      <c r="AW51" s="1099">
        <f t="shared" ref="AW51:BC51" si="385">SUM(AW46:AW49)</f>
        <v>-76.157806451612913</v>
      </c>
      <c r="AX51" s="1096">
        <f t="shared" si="385"/>
        <v>-44.53829032258065</v>
      </c>
      <c r="AY51" s="1096">
        <f t="shared" si="385"/>
        <v>-43.128290322580654</v>
      </c>
      <c r="AZ51" s="1096">
        <f t="shared" si="385"/>
        <v>-66.107806451612902</v>
      </c>
      <c r="BA51" s="1096">
        <f t="shared" si="385"/>
        <v>-63.0628064516129</v>
      </c>
      <c r="BB51" s="1096">
        <f t="shared" si="385"/>
        <v>-57.558290322580646</v>
      </c>
      <c r="BC51" s="1100">
        <f t="shared" si="385"/>
        <v>-61.952806451612901</v>
      </c>
      <c r="BD51" s="481"/>
      <c r="BE51" s="1099">
        <f>SUM(AW51:BC51)</f>
        <v>-412.50609677419357</v>
      </c>
      <c r="BF51" s="1095"/>
      <c r="BG51" s="1100"/>
      <c r="BI51" s="1099">
        <f t="shared" ref="BI51:BK51" si="386">SUM(BI46:BI49)</f>
        <v>-84.932806451612905</v>
      </c>
      <c r="BJ51" s="1102">
        <f t="shared" si="386"/>
        <v>-67.45780645161291</v>
      </c>
      <c r="BK51" s="1100">
        <f t="shared" si="386"/>
        <v>-85.157806451612913</v>
      </c>
      <c r="BL51" s="1103"/>
      <c r="BM51" s="1104">
        <f>SUM(BI51:BK51)</f>
        <v>-237.54841935483873</v>
      </c>
      <c r="BN51" s="1133"/>
      <c r="BO51" s="1132"/>
      <c r="BP51" s="14"/>
      <c r="BQ51" s="1104">
        <f>SUM(M51:S51)+SUM(Y51:AE51)+SUM(AK51:AQ51)+SUM(AW51:BC51)+SUM(BI51:BK51)</f>
        <v>-1778.9105806451612</v>
      </c>
      <c r="BR51" s="1105"/>
    </row>
    <row r="52" spans="2:74" s="255" customFormat="1" ht="4.5" customHeight="1" thickBot="1" x14ac:dyDescent="0.25">
      <c r="D52" s="81"/>
      <c r="L52" s="438"/>
      <c r="T52" s="81"/>
      <c r="X52" s="81"/>
      <c r="AF52" s="81"/>
      <c r="AJ52" s="81"/>
      <c r="AR52" s="81"/>
      <c r="AV52" s="81"/>
      <c r="BD52" s="81"/>
    </row>
    <row r="53" spans="2:74" s="255" customFormat="1" ht="15.75" thickBot="1" x14ac:dyDescent="0.25">
      <c r="B53" s="574"/>
      <c r="C53" s="820"/>
      <c r="D53" s="819"/>
      <c r="E53" s="578">
        <f>E51*30%</f>
        <v>3000</v>
      </c>
      <c r="F53" s="576"/>
      <c r="G53" s="576"/>
      <c r="H53" s="576"/>
      <c r="I53" s="576"/>
      <c r="J53" s="576"/>
      <c r="K53" s="963"/>
      <c r="L53" s="987"/>
      <c r="M53" s="579">
        <f>M51*100/30</f>
        <v>-265.10935483870969</v>
      </c>
      <c r="N53" s="578">
        <f t="shared" ref="N53:T53" si="387">N51*100/30</f>
        <v>-216.7593548387097</v>
      </c>
      <c r="O53" s="578">
        <f t="shared" si="387"/>
        <v>-172.2609677419355</v>
      </c>
      <c r="P53" s="578">
        <f t="shared" si="387"/>
        <v>-165.81096774193551</v>
      </c>
      <c r="Q53" s="578">
        <f t="shared" si="387"/>
        <v>-236.35935483870966</v>
      </c>
      <c r="R53" s="578">
        <f t="shared" si="387"/>
        <v>-170.11096774193547</v>
      </c>
      <c r="S53" s="1010">
        <f t="shared" si="387"/>
        <v>-227.60935483870966</v>
      </c>
      <c r="T53" s="969">
        <f t="shared" si="387"/>
        <v>0</v>
      </c>
      <c r="U53" s="579">
        <f>SUM(M53:S53)</f>
        <v>-1454.0203225806449</v>
      </c>
      <c r="V53" s="578"/>
      <c r="W53" s="788"/>
      <c r="X53" s="479"/>
      <c r="Y53" s="579">
        <f t="shared" ref="Y53:AE53" si="388">Y51*100/30</f>
        <v>-323.85935483870969</v>
      </c>
      <c r="Z53" s="578">
        <f t="shared" si="388"/>
        <v>-151.41096774193551</v>
      </c>
      <c r="AA53" s="578">
        <f t="shared" si="388"/>
        <v>-217.60935483870966</v>
      </c>
      <c r="AB53" s="578">
        <f t="shared" si="388"/>
        <v>-183.66096774193551</v>
      </c>
      <c r="AC53" s="578">
        <f t="shared" si="388"/>
        <v>-175.46096774193546</v>
      </c>
      <c r="AD53" s="578">
        <f t="shared" si="388"/>
        <v>-150.71096774193549</v>
      </c>
      <c r="AE53" s="788">
        <f t="shared" si="388"/>
        <v>-244.65935483870967</v>
      </c>
      <c r="AF53" s="479"/>
      <c r="AG53" s="579">
        <f>SUM(Y53:AE53)</f>
        <v>-1447.3719354838711</v>
      </c>
      <c r="AH53" s="578"/>
      <c r="AI53" s="788"/>
      <c r="AJ53" s="779"/>
      <c r="AK53" s="579">
        <f t="shared" ref="AK53:AQ53" si="389">AK51*100/30</f>
        <v>-260.20935483870971</v>
      </c>
      <c r="AL53" s="576">
        <f t="shared" si="389"/>
        <v>-258.10935483870969</v>
      </c>
      <c r="AM53" s="576">
        <f t="shared" si="389"/>
        <v>-217.35935483870972</v>
      </c>
      <c r="AN53" s="576">
        <f t="shared" si="389"/>
        <v>-81.360967741935468</v>
      </c>
      <c r="AO53" s="576">
        <f t="shared" si="389"/>
        <v>-165.81096774193551</v>
      </c>
      <c r="AP53" s="576">
        <f t="shared" si="389"/>
        <v>29.419354838709655</v>
      </c>
      <c r="AQ53" s="788">
        <f t="shared" si="389"/>
        <v>91.969354838709705</v>
      </c>
      <c r="AR53" s="969"/>
      <c r="AS53" s="579">
        <f>SUM(AK53:AQ53)</f>
        <v>-861.46129032258079</v>
      </c>
      <c r="AT53" s="578"/>
      <c r="AU53" s="788"/>
      <c r="AV53" s="479"/>
      <c r="AW53" s="579">
        <f t="shared" ref="AW53:BC53" si="390">AW51*100/30</f>
        <v>-253.85935483870972</v>
      </c>
      <c r="AX53" s="576">
        <f t="shared" si="390"/>
        <v>-148.46096774193549</v>
      </c>
      <c r="AY53" s="576">
        <f t="shared" si="390"/>
        <v>-143.7609677419355</v>
      </c>
      <c r="AZ53" s="576">
        <f t="shared" si="390"/>
        <v>-220.35935483870969</v>
      </c>
      <c r="BA53" s="576">
        <f t="shared" si="390"/>
        <v>-210.20935483870966</v>
      </c>
      <c r="BB53" s="576">
        <f t="shared" si="390"/>
        <v>-191.86096774193547</v>
      </c>
      <c r="BC53" s="788">
        <f t="shared" si="390"/>
        <v>-206.5093548387097</v>
      </c>
      <c r="BD53" s="479"/>
      <c r="BE53" s="579">
        <f>SUM(AW53:BC53)</f>
        <v>-1375.0203225806451</v>
      </c>
      <c r="BF53" s="578"/>
      <c r="BG53" s="788"/>
      <c r="BI53" s="579">
        <f t="shared" ref="BI53:BK53" si="391">BI51*100/30</f>
        <v>-283.10935483870969</v>
      </c>
      <c r="BJ53" s="993">
        <f t="shared" si="391"/>
        <v>-224.85935483870972</v>
      </c>
      <c r="BK53" s="788">
        <f t="shared" si="391"/>
        <v>-283.85935483870969</v>
      </c>
      <c r="BL53" s="990"/>
      <c r="BM53" s="992">
        <f>SUM(BI53:BK53)</f>
        <v>-791.82806451612907</v>
      </c>
      <c r="BN53" s="991"/>
      <c r="BO53" s="989"/>
      <c r="BP53" s="61"/>
      <c r="BQ53" s="992">
        <f>SUM(M53:S53)+SUM(Y53:AE53)+SUM(AK53:AQ53)+SUM(AW53:BC53)+SUM(BI53:BK53)</f>
        <v>-5929.7019354838712</v>
      </c>
      <c r="BR53" s="580"/>
    </row>
    <row r="57" spans="2:74" x14ac:dyDescent="0.2">
      <c r="AL57" s="171"/>
    </row>
  </sheetData>
  <sortState xmlns:xlrd2="http://schemas.microsoft.com/office/spreadsheetml/2017/richdata2" ref="C8:K23">
    <sortCondition descending="1" ref="K23"/>
  </sortState>
  <mergeCells count="21">
    <mergeCell ref="BT7:BU7"/>
    <mergeCell ref="BT28:BU28"/>
    <mergeCell ref="BM2:BO2"/>
    <mergeCell ref="BQ2:BQ6"/>
    <mergeCell ref="BR2:BR6"/>
    <mergeCell ref="BV29:BV35"/>
    <mergeCell ref="C1:C2"/>
    <mergeCell ref="E1:K1"/>
    <mergeCell ref="BP1:BQ1"/>
    <mergeCell ref="BR1:BS1"/>
    <mergeCell ref="BT1:BV2"/>
    <mergeCell ref="E2:K2"/>
    <mergeCell ref="M2:S2"/>
    <mergeCell ref="U2:W2"/>
    <mergeCell ref="Y2:AE2"/>
    <mergeCell ref="AG2:AI2"/>
    <mergeCell ref="BI2:BK2"/>
    <mergeCell ref="AK2:AQ2"/>
    <mergeCell ref="AS2:AU2"/>
    <mergeCell ref="AW2:BC2"/>
    <mergeCell ref="BE2:BG2"/>
  </mergeCells>
  <conditionalFormatting sqref="BR47">
    <cfRule type="cellIs" dxfId="382" priority="1" operator="greaterThan">
      <formula>0</formula>
    </cfRule>
    <cfRule type="cellIs" dxfId="381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E00-00001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(3-19)'!BQ27:BQ27</xm:f>
              <xm:sqref>BR27</xm:sqref>
            </x14:sparkline>
          </x14:sparklines>
        </x14:sparklineGroup>
        <x14:sparklineGroup type="stacked" displayEmptyCellsAs="gap" negative="1" xr2:uid="{00000000-0003-0000-0E00-00001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(3-19)'!M44:M44</xm:f>
              <xm:sqref>M45</xm:sqref>
            </x14:sparkline>
            <x14:sparkline>
              <xm:f>'E&amp;M SHOP INCOME (3-19)'!N44:N44</xm:f>
              <xm:sqref>N45</xm:sqref>
            </x14:sparkline>
            <x14:sparkline>
              <xm:f>'E&amp;M SHOP INCOME (3-19)'!O44:O44</xm:f>
              <xm:sqref>O45</xm:sqref>
            </x14:sparkline>
            <x14:sparkline>
              <xm:f>'E&amp;M SHOP INCOME (3-19)'!P44:P44</xm:f>
              <xm:sqref>P45</xm:sqref>
            </x14:sparkline>
            <x14:sparkline>
              <xm:f>'E&amp;M SHOP INCOME (3-19)'!Q44:Q44</xm:f>
              <xm:sqref>Q45</xm:sqref>
            </x14:sparkline>
            <x14:sparkline>
              <xm:f>'E&amp;M SHOP INCOME (3-19)'!R44:R44</xm:f>
              <xm:sqref>R45</xm:sqref>
            </x14:sparkline>
            <x14:sparkline>
              <xm:f>'E&amp;M SHOP INCOME (3-19)'!S44:S44</xm:f>
              <xm:sqref>S45</xm:sqref>
            </x14:sparkline>
            <x14:sparkline>
              <xm:f>'E&amp;M SHOP INCOME (3-19)'!U44:U44</xm:f>
              <xm:sqref>U45</xm:sqref>
            </x14:sparkline>
            <x14:sparkline>
              <xm:f>'E&amp;M SHOP INCOME (3-19)'!V44:V44</xm:f>
              <xm:sqref>V45</xm:sqref>
            </x14:sparkline>
            <x14:sparkline>
              <xm:f>'E&amp;M SHOP INCOME (3-19)'!W44:W44</xm:f>
              <xm:sqref>W45</xm:sqref>
            </x14:sparkline>
            <x14:sparkline>
              <xm:f>'E&amp;M SHOP INCOME (3-19)'!X44:X44</xm:f>
              <xm:sqref>X45</xm:sqref>
            </x14:sparkline>
            <x14:sparkline>
              <xm:f>'E&amp;M SHOP INCOME (3-19)'!Y44:Y44</xm:f>
              <xm:sqref>Y45</xm:sqref>
            </x14:sparkline>
            <x14:sparkline>
              <xm:f>'E&amp;M SHOP INCOME (3-19)'!Z44:Z44</xm:f>
              <xm:sqref>Z45</xm:sqref>
            </x14:sparkline>
            <x14:sparkline>
              <xm:f>'E&amp;M SHOP INCOME (3-19)'!AA44:AA44</xm:f>
              <xm:sqref>AA45</xm:sqref>
            </x14:sparkline>
            <x14:sparkline>
              <xm:f>'E&amp;M SHOP INCOME (3-19)'!AB44:AB44</xm:f>
              <xm:sqref>AB45</xm:sqref>
            </x14:sparkline>
            <x14:sparkline>
              <xm:f>'E&amp;M SHOP INCOME (3-19)'!AC44:AC44</xm:f>
              <xm:sqref>AC45</xm:sqref>
            </x14:sparkline>
            <x14:sparkline>
              <xm:f>'E&amp;M SHOP INCOME (3-19)'!AD44:AD44</xm:f>
              <xm:sqref>AD45</xm:sqref>
            </x14:sparkline>
            <x14:sparkline>
              <xm:f>'E&amp;M SHOP INCOME (3-19)'!AE44:AE44</xm:f>
              <xm:sqref>AE45</xm:sqref>
            </x14:sparkline>
            <x14:sparkline>
              <xm:f>'E&amp;M SHOP INCOME (3-19)'!AF44:AF44</xm:f>
              <xm:sqref>AF45</xm:sqref>
            </x14:sparkline>
            <x14:sparkline>
              <xm:f>'E&amp;M SHOP INCOME (3-19)'!AG44:AG44</xm:f>
              <xm:sqref>AG45</xm:sqref>
            </x14:sparkline>
            <x14:sparkline>
              <xm:f>'E&amp;M SHOP INCOME (3-19)'!AH44:AH44</xm:f>
              <xm:sqref>AH45</xm:sqref>
            </x14:sparkline>
            <x14:sparkline>
              <xm:f>'E&amp;M SHOP INCOME (3-19)'!AI44:AI44</xm:f>
              <xm:sqref>AI45</xm:sqref>
            </x14:sparkline>
            <x14:sparkline>
              <xm:f>'E&amp;M SHOP INCOME (3-19)'!AJ44:AJ44</xm:f>
              <xm:sqref>AJ45</xm:sqref>
            </x14:sparkline>
            <x14:sparkline>
              <xm:f>'E&amp;M SHOP INCOME (3-19)'!AK44:AK44</xm:f>
              <xm:sqref>AK45</xm:sqref>
            </x14:sparkline>
            <x14:sparkline>
              <xm:f>'E&amp;M SHOP INCOME (3-19)'!AL44:AL44</xm:f>
              <xm:sqref>AL45</xm:sqref>
            </x14:sparkline>
            <x14:sparkline>
              <xm:f>'E&amp;M SHOP INCOME (3-19)'!AM44:AM44</xm:f>
              <xm:sqref>AM45</xm:sqref>
            </x14:sparkline>
            <x14:sparkline>
              <xm:f>'E&amp;M SHOP INCOME (3-19)'!AN44:AN44</xm:f>
              <xm:sqref>AN45</xm:sqref>
            </x14:sparkline>
            <x14:sparkline>
              <xm:f>'E&amp;M SHOP INCOME (3-19)'!AO44:AO44</xm:f>
              <xm:sqref>AO45</xm:sqref>
            </x14:sparkline>
            <x14:sparkline>
              <xm:f>'E&amp;M SHOP INCOME (3-19)'!AP44:AP44</xm:f>
              <xm:sqref>AP45</xm:sqref>
            </x14:sparkline>
            <x14:sparkline>
              <xm:f>'E&amp;M SHOP INCOME (3-19)'!AQ44:AQ44</xm:f>
              <xm:sqref>AQ45</xm:sqref>
            </x14:sparkline>
            <x14:sparkline>
              <xm:f>'E&amp;M SHOP INCOME (3-19)'!AR44:AR44</xm:f>
              <xm:sqref>AR45</xm:sqref>
            </x14:sparkline>
            <x14:sparkline>
              <xm:f>'E&amp;M SHOP INCOME (3-19)'!AS44:AS44</xm:f>
              <xm:sqref>AS45</xm:sqref>
            </x14:sparkline>
            <x14:sparkline>
              <xm:f>'E&amp;M SHOP INCOME (3-19)'!AT44:AT44</xm:f>
              <xm:sqref>AT45</xm:sqref>
            </x14:sparkline>
            <x14:sparkline>
              <xm:f>'E&amp;M SHOP INCOME (3-19)'!AU44:AU44</xm:f>
              <xm:sqref>AU45</xm:sqref>
            </x14:sparkline>
            <x14:sparkline>
              <xm:f>'E&amp;M SHOP INCOME (3-19)'!AV44:AV44</xm:f>
              <xm:sqref>AV45</xm:sqref>
            </x14:sparkline>
            <x14:sparkline>
              <xm:f>'E&amp;M SHOP INCOME (3-19)'!AW44:AW44</xm:f>
              <xm:sqref>AW45</xm:sqref>
            </x14:sparkline>
            <x14:sparkline>
              <xm:f>'E&amp;M SHOP INCOME (3-19)'!AX44:AX44</xm:f>
              <xm:sqref>AX45</xm:sqref>
            </x14:sparkline>
            <x14:sparkline>
              <xm:f>'E&amp;M SHOP INCOME (3-19)'!AY44:AY44</xm:f>
              <xm:sqref>AY45</xm:sqref>
            </x14:sparkline>
            <x14:sparkline>
              <xm:f>'E&amp;M SHOP INCOME (3-19)'!AZ44:AZ44</xm:f>
              <xm:sqref>AZ45</xm:sqref>
            </x14:sparkline>
            <x14:sparkline>
              <xm:f>'E&amp;M SHOP INCOME (3-19)'!BA44:BA44</xm:f>
              <xm:sqref>BA45</xm:sqref>
            </x14:sparkline>
            <x14:sparkline>
              <xm:f>'E&amp;M SHOP INCOME (3-19)'!BB44:BB44</xm:f>
              <xm:sqref>BB45</xm:sqref>
            </x14:sparkline>
            <x14:sparkline>
              <xm:f>'E&amp;M SHOP INCOME (3-19)'!BC44:BC44</xm:f>
              <xm:sqref>BC45</xm:sqref>
            </x14:sparkline>
            <x14:sparkline>
              <xm:f>'E&amp;M SHOP INCOME (3-19)'!BD44:BD44</xm:f>
              <xm:sqref>BD45</xm:sqref>
            </x14:sparkline>
            <x14:sparkline>
              <xm:f>'E&amp;M SHOP INCOME (3-19)'!BE44:BE44</xm:f>
              <xm:sqref>BE45</xm:sqref>
            </x14:sparkline>
            <x14:sparkline>
              <xm:f>'E&amp;M SHOP INCOME (3-19)'!BF44:BF44</xm:f>
              <xm:sqref>BF45</xm:sqref>
            </x14:sparkline>
            <x14:sparkline>
              <xm:f>'E&amp;M SHOP INCOME (3-19)'!BG44:BG44</xm:f>
              <xm:sqref>BG45</xm:sqref>
            </x14:sparkline>
            <x14:sparkline>
              <xm:f>'E&amp;M SHOP INCOME (3-19)'!BH44:BH44</xm:f>
              <xm:sqref>BH45</xm:sqref>
            </x14:sparkline>
            <x14:sparkline>
              <xm:f>'E&amp;M SHOP INCOME (3-19)'!BI44:BI44</xm:f>
              <xm:sqref>BI45</xm:sqref>
            </x14:sparkline>
            <x14:sparkline>
              <xm:f>'E&amp;M SHOP INCOME (3-19)'!BJ44:BJ44</xm:f>
              <xm:sqref>BJ45</xm:sqref>
            </x14:sparkline>
            <x14:sparkline>
              <xm:f>'E&amp;M SHOP INCOME (3-19)'!BK44:BK44</xm:f>
              <xm:sqref>BK45</xm:sqref>
            </x14:sparkline>
            <x14:sparkline>
              <xm:f>'E&amp;M SHOP INCOME (3-19)'!BL44:BL44</xm:f>
              <xm:sqref>BL45</xm:sqref>
            </x14:sparkline>
            <x14:sparkline>
              <xm:f>'E&amp;M SHOP INCOME (3-19)'!BM44:BM44</xm:f>
              <xm:sqref>BM45</xm:sqref>
            </x14:sparkline>
            <x14:sparkline>
              <xm:f>'E&amp;M SHOP INCOME (3-19)'!BN44:BN44</xm:f>
              <xm:sqref>BN45</xm:sqref>
            </x14:sparkline>
            <x14:sparkline>
              <xm:f>'E&amp;M SHOP INCOME (3-19)'!BO44:BO44</xm:f>
              <xm:sqref>BO45</xm:sqref>
            </x14:sparkline>
            <x14:sparkline>
              <xm:f>'E&amp;M SHOP INCOME (3-19)'!BQ44:BQ44</xm:f>
              <xm:sqref>BQ45</xm:sqref>
            </x14:sparkline>
          </x14:sparklines>
        </x14:sparklineGroup>
        <x14:sparklineGroup type="stacked" displayEmptyCellsAs="gap" negative="1" xr2:uid="{00000000-0003-0000-0E00-00001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(3-19)'!M39:M39</xm:f>
              <xm:sqref>M40</xm:sqref>
            </x14:sparkline>
            <x14:sparkline>
              <xm:f>'E&amp;M SHOP INCOME (3-19)'!N39:N39</xm:f>
              <xm:sqref>N40</xm:sqref>
            </x14:sparkline>
            <x14:sparkline>
              <xm:f>'E&amp;M SHOP INCOME (3-19)'!O39:O39</xm:f>
              <xm:sqref>O40</xm:sqref>
            </x14:sparkline>
            <x14:sparkline>
              <xm:f>'E&amp;M SHOP INCOME (3-19)'!P39:P39</xm:f>
              <xm:sqref>P40</xm:sqref>
            </x14:sparkline>
            <x14:sparkline>
              <xm:f>'E&amp;M SHOP INCOME (3-19)'!Q39:Q39</xm:f>
              <xm:sqref>Q40</xm:sqref>
            </x14:sparkline>
            <x14:sparkline>
              <xm:f>'E&amp;M SHOP INCOME (3-19)'!R39:R39</xm:f>
              <xm:sqref>R40</xm:sqref>
            </x14:sparkline>
            <x14:sparkline>
              <xm:f>'E&amp;M SHOP INCOME (3-19)'!S39:S39</xm:f>
              <xm:sqref>S40</xm:sqref>
            </x14:sparkline>
            <x14:sparkline>
              <xm:f>'E&amp;M SHOP INCOME (3-19)'!U39:U39</xm:f>
              <xm:sqref>U40</xm:sqref>
            </x14:sparkline>
            <x14:sparkline>
              <xm:f>'E&amp;M SHOP INCOME (3-19)'!V39:V39</xm:f>
              <xm:sqref>V40</xm:sqref>
            </x14:sparkline>
            <x14:sparkline>
              <xm:f>'E&amp;M SHOP INCOME (3-19)'!W39:W39</xm:f>
              <xm:sqref>W40</xm:sqref>
            </x14:sparkline>
            <x14:sparkline>
              <xm:f>'E&amp;M SHOP INCOME (3-19)'!X39:X39</xm:f>
              <xm:sqref>X40</xm:sqref>
            </x14:sparkline>
            <x14:sparkline>
              <xm:f>'E&amp;M SHOP INCOME (3-19)'!Y39:Y39</xm:f>
              <xm:sqref>Y40</xm:sqref>
            </x14:sparkline>
            <x14:sparkline>
              <xm:f>'E&amp;M SHOP INCOME (3-19)'!Z39:Z39</xm:f>
              <xm:sqref>Z40</xm:sqref>
            </x14:sparkline>
            <x14:sparkline>
              <xm:f>'E&amp;M SHOP INCOME (3-19)'!AA39:AA39</xm:f>
              <xm:sqref>AA40</xm:sqref>
            </x14:sparkline>
            <x14:sparkline>
              <xm:f>'E&amp;M SHOP INCOME (3-19)'!AB39:AB39</xm:f>
              <xm:sqref>AB40</xm:sqref>
            </x14:sparkline>
            <x14:sparkline>
              <xm:f>'E&amp;M SHOP INCOME (3-19)'!AC39:AC39</xm:f>
              <xm:sqref>AC40</xm:sqref>
            </x14:sparkline>
            <x14:sparkline>
              <xm:f>'E&amp;M SHOP INCOME (3-19)'!AD39:AD39</xm:f>
              <xm:sqref>AD40</xm:sqref>
            </x14:sparkline>
            <x14:sparkline>
              <xm:f>'E&amp;M SHOP INCOME (3-19)'!AE39:AE39</xm:f>
              <xm:sqref>AE40</xm:sqref>
            </x14:sparkline>
            <x14:sparkline>
              <xm:f>'E&amp;M SHOP INCOME (3-19)'!AF39:AF39</xm:f>
              <xm:sqref>AF40</xm:sqref>
            </x14:sparkline>
            <x14:sparkline>
              <xm:f>'E&amp;M SHOP INCOME (3-19)'!AG39:AG39</xm:f>
              <xm:sqref>AG40</xm:sqref>
            </x14:sparkline>
            <x14:sparkline>
              <xm:f>'E&amp;M SHOP INCOME (3-19)'!AH39:AH39</xm:f>
              <xm:sqref>AH40</xm:sqref>
            </x14:sparkline>
            <x14:sparkline>
              <xm:f>'E&amp;M SHOP INCOME (3-19)'!AI39:AI39</xm:f>
              <xm:sqref>AI40</xm:sqref>
            </x14:sparkline>
            <x14:sparkline>
              <xm:f>'E&amp;M SHOP INCOME (3-19)'!AJ39:AJ39</xm:f>
              <xm:sqref>AJ40</xm:sqref>
            </x14:sparkline>
            <x14:sparkline>
              <xm:f>'E&amp;M SHOP INCOME (3-19)'!AK39:AK39</xm:f>
              <xm:sqref>AK40</xm:sqref>
            </x14:sparkline>
            <x14:sparkline>
              <xm:f>'E&amp;M SHOP INCOME (3-19)'!AR39:AR39</xm:f>
              <xm:sqref>AR40</xm:sqref>
            </x14:sparkline>
            <x14:sparkline>
              <xm:f>'E&amp;M SHOP INCOME (3-19)'!AS39:AS39</xm:f>
              <xm:sqref>AS40</xm:sqref>
            </x14:sparkline>
            <x14:sparkline>
              <xm:f>'E&amp;M SHOP INCOME (3-19)'!AT39:AT39</xm:f>
              <xm:sqref>AT40</xm:sqref>
            </x14:sparkline>
            <x14:sparkline>
              <xm:f>'E&amp;M SHOP INCOME (3-19)'!AU39:AU39</xm:f>
              <xm:sqref>AU40</xm:sqref>
            </x14:sparkline>
            <x14:sparkline>
              <xm:f>'E&amp;M SHOP INCOME (3-19)'!AV39:AV39</xm:f>
              <xm:sqref>AV40</xm:sqref>
            </x14:sparkline>
            <x14:sparkline>
              <xm:f>'E&amp;M SHOP INCOME (3-19)'!AW39:AW39</xm:f>
              <xm:sqref>AW40</xm:sqref>
            </x14:sparkline>
            <x14:sparkline>
              <xm:f>'E&amp;M SHOP INCOME (3-19)'!BD39:BD39</xm:f>
              <xm:sqref>BD40</xm:sqref>
            </x14:sparkline>
            <x14:sparkline>
              <xm:f>'E&amp;M SHOP INCOME (3-19)'!BE39:BE39</xm:f>
              <xm:sqref>BE40</xm:sqref>
            </x14:sparkline>
            <x14:sparkline>
              <xm:f>'E&amp;M SHOP INCOME (3-19)'!BF39:BF39</xm:f>
              <xm:sqref>BF40</xm:sqref>
            </x14:sparkline>
            <x14:sparkline>
              <xm:f>'E&amp;M SHOP INCOME (3-19)'!BG39:BG39</xm:f>
              <xm:sqref>BG40</xm:sqref>
            </x14:sparkline>
            <x14:sparkline>
              <xm:f>'E&amp;M SHOP INCOME (3-19)'!BH39:BH39</xm:f>
              <xm:sqref>BH40</xm:sqref>
            </x14:sparkline>
            <x14:sparkline>
              <xm:f>'E&amp;M SHOP INCOME (3-19)'!BI39:BI39</xm:f>
              <xm:sqref>BI40</xm:sqref>
            </x14:sparkline>
            <x14:sparkline>
              <xm:f>'E&amp;M SHOP INCOME (3-19)'!BJ39:BJ39</xm:f>
              <xm:sqref>BJ40</xm:sqref>
            </x14:sparkline>
            <x14:sparkline>
              <xm:f>'E&amp;M SHOP INCOME (3-19)'!BK39:BK39</xm:f>
              <xm:sqref>BK40</xm:sqref>
            </x14:sparkline>
            <x14:sparkline>
              <xm:f>'E&amp;M SHOP INCOME (3-19)'!BL39:BL39</xm:f>
              <xm:sqref>BL40</xm:sqref>
            </x14:sparkline>
            <x14:sparkline>
              <xm:f>'E&amp;M SHOP INCOME (3-19)'!BM39:BM39</xm:f>
              <xm:sqref>BM40</xm:sqref>
            </x14:sparkline>
            <x14:sparkline>
              <xm:f>'E&amp;M SHOP INCOME (3-19)'!BN39:BN39</xm:f>
              <xm:sqref>BN40</xm:sqref>
            </x14:sparkline>
            <x14:sparkline>
              <xm:f>'E&amp;M SHOP INCOME (3-19)'!BO39:BO39</xm:f>
              <xm:sqref>BO40</xm:sqref>
            </x14:sparkline>
            <x14:sparkline>
              <xm:f>'E&amp;M SHOP INCOME (3-19)'!BQ39:BQ39</xm:f>
              <xm:sqref>BQ40</xm:sqref>
            </x14:sparkline>
            <x14:sparkline>
              <xm:f>'E&amp;M SHOP INCOME (3-19)'!AL39:AL39</xm:f>
              <xm:sqref>AL40</xm:sqref>
            </x14:sparkline>
            <x14:sparkline>
              <xm:f>'E&amp;M SHOP INCOME (3-19)'!AM39:AM39</xm:f>
              <xm:sqref>AM40</xm:sqref>
            </x14:sparkline>
            <x14:sparkline>
              <xm:f>'E&amp;M SHOP INCOME (3-19)'!AN39:AN39</xm:f>
              <xm:sqref>AN40</xm:sqref>
            </x14:sparkline>
            <x14:sparkline>
              <xm:f>'E&amp;M SHOP INCOME (3-19)'!AO39:AO39</xm:f>
              <xm:sqref>AO40</xm:sqref>
            </x14:sparkline>
            <x14:sparkline>
              <xm:f>'E&amp;M SHOP INCOME (3-19)'!AP39:AP39</xm:f>
              <xm:sqref>AP40</xm:sqref>
            </x14:sparkline>
            <x14:sparkline>
              <xm:f>'E&amp;M SHOP INCOME (3-19)'!AQ39:AQ39</xm:f>
              <xm:sqref>AQ40</xm:sqref>
            </x14:sparkline>
            <x14:sparkline>
              <xm:f>'E&amp;M SHOP INCOME (3-19)'!AX39:AX39</xm:f>
              <xm:sqref>AX40</xm:sqref>
            </x14:sparkline>
            <x14:sparkline>
              <xm:f>'E&amp;M SHOP INCOME (3-19)'!AY39:AY39</xm:f>
              <xm:sqref>AY40</xm:sqref>
            </x14:sparkline>
            <x14:sparkline>
              <xm:f>'E&amp;M SHOP INCOME (3-19)'!AZ39:AZ39</xm:f>
              <xm:sqref>AZ40</xm:sqref>
            </x14:sparkline>
            <x14:sparkline>
              <xm:f>'E&amp;M SHOP INCOME (3-19)'!BA39:BA39</xm:f>
              <xm:sqref>BA40</xm:sqref>
            </x14:sparkline>
            <x14:sparkline>
              <xm:f>'E&amp;M SHOP INCOME (3-19)'!BB39:BB39</xm:f>
              <xm:sqref>BB40</xm:sqref>
            </x14:sparkline>
            <x14:sparkline>
              <xm:f>'E&amp;M SHOP INCOME (3-19)'!BC39:BC39</xm:f>
              <xm:sqref>BC40</xm:sqref>
            </x14:sparkline>
          </x14:sparklines>
        </x14:sparklineGroup>
        <x14:sparklineGroup type="stacked" displayEmptyCellsAs="gap" negative="1" xr2:uid="{00000000-0003-0000-0E00-00001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(3-19)'!BP27:BP27</xm:f>
              <xm:sqref>BP28</xm:sqref>
            </x14:sparkline>
          </x14:sparklines>
        </x14:sparklineGroup>
        <x14:sparklineGroup type="stacked" displayEmptyCellsAs="gap" negative="1" xr2:uid="{00000000-0003-0000-0E00-00001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(3-19)'!BP39:BP39</xm:f>
              <xm:sqref>BP40</xm:sqref>
            </x14:sparkline>
          </x14:sparklines>
        </x14:sparklineGroup>
        <x14:sparklineGroup type="stacked" displayEmptyCellsAs="gap" negative="1" xr2:uid="{00000000-0003-0000-0E00-00001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(3-19)'!BP44:BP44</xm:f>
              <xm:sqref>BP45</xm:sqref>
            </x14:sparkline>
          </x14:sparklines>
        </x14:sparklineGroup>
        <x14:sparklineGroup type="stacked" displayEmptyCellsAs="gap" negative="1" xr2:uid="{00000000-0003-0000-0E00-00001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(3-19)'!BQ46:BQ46</xm:f>
              <xm:sqref>BR46</xm:sqref>
            </x14:sparkline>
          </x14:sparklines>
        </x14:sparklineGroup>
        <x14:sparklineGroup type="stacked" displayEmptyCellsAs="gap" negative="1" xr2:uid="{00000000-0003-0000-0E00-00000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(3-19)'!BQ47:BQ47</xm:f>
              <xm:sqref>BR47</xm:sqref>
            </x14:sparkline>
          </x14:sparklines>
        </x14:sparklineGroup>
        <x14:sparklineGroup type="stacked" displayEmptyCellsAs="gap" negative="1" xr2:uid="{00000000-0003-0000-0E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(3-19)'!X27:X27</xm:f>
              <xm:sqref>X28</xm:sqref>
            </x14:sparkline>
            <x14:sparkline>
              <xm:f>'E&amp;M SHOP INCOME (3-19)'!Y27:Y27</xm:f>
              <xm:sqref>Y28</xm:sqref>
            </x14:sparkline>
            <x14:sparkline>
              <xm:f>'E&amp;M SHOP INCOME (3-19)'!Z27:Z27</xm:f>
              <xm:sqref>Z28</xm:sqref>
            </x14:sparkline>
            <x14:sparkline>
              <xm:f>'E&amp;M SHOP INCOME (3-19)'!AA27:AA27</xm:f>
              <xm:sqref>AA28</xm:sqref>
            </x14:sparkline>
            <x14:sparkline>
              <xm:f>'E&amp;M SHOP INCOME (3-19)'!AB27:AB27</xm:f>
              <xm:sqref>AB28</xm:sqref>
            </x14:sparkline>
            <x14:sparkline>
              <xm:f>'E&amp;M SHOP INCOME (3-19)'!AC27:AC27</xm:f>
              <xm:sqref>AC28</xm:sqref>
            </x14:sparkline>
            <x14:sparkline>
              <xm:f>'E&amp;M SHOP INCOME (3-19)'!AD27:AD27</xm:f>
              <xm:sqref>AD28</xm:sqref>
            </x14:sparkline>
            <x14:sparkline>
              <xm:f>'E&amp;M SHOP INCOME (3-19)'!AE27:AE27</xm:f>
              <xm:sqref>AE28</xm:sqref>
            </x14:sparkline>
            <x14:sparkline>
              <xm:f>'E&amp;M SHOP INCOME (3-19)'!AF27:AF27</xm:f>
              <xm:sqref>AF28</xm:sqref>
            </x14:sparkline>
            <x14:sparkline>
              <xm:f>'E&amp;M SHOP INCOME (3-19)'!AG27:AG27</xm:f>
              <xm:sqref>AG28</xm:sqref>
            </x14:sparkline>
            <x14:sparkline>
              <xm:f>'E&amp;M SHOP INCOME (3-19)'!AH27:AH27</xm:f>
              <xm:sqref>AH28</xm:sqref>
            </x14:sparkline>
            <x14:sparkline>
              <xm:f>'E&amp;M SHOP INCOME (3-19)'!AI27:AI27</xm:f>
              <xm:sqref>AI28</xm:sqref>
            </x14:sparkline>
            <x14:sparkline>
              <xm:f>'E&amp;M SHOP INCOME (3-19)'!AJ27:AJ27</xm:f>
              <xm:sqref>AJ28</xm:sqref>
            </x14:sparkline>
            <x14:sparkline>
              <xm:f>'E&amp;M SHOP INCOME (3-19)'!AK27:AK27</xm:f>
              <xm:sqref>AK28</xm:sqref>
            </x14:sparkline>
            <x14:sparkline>
              <xm:f>'E&amp;M SHOP INCOME (3-19)'!AL27:AL27</xm:f>
              <xm:sqref>AL28</xm:sqref>
            </x14:sparkline>
            <x14:sparkline>
              <xm:f>'E&amp;M SHOP INCOME (3-19)'!AM27:AM27</xm:f>
              <xm:sqref>AM28</xm:sqref>
            </x14:sparkline>
            <x14:sparkline>
              <xm:f>'E&amp;M SHOP INCOME (3-19)'!AN27:AN27</xm:f>
              <xm:sqref>AN28</xm:sqref>
            </x14:sparkline>
            <x14:sparkline>
              <xm:f>'E&amp;M SHOP INCOME (3-19)'!AO27:AO27</xm:f>
              <xm:sqref>AO28</xm:sqref>
            </x14:sparkline>
            <x14:sparkline>
              <xm:f>'E&amp;M SHOP INCOME (3-19)'!AP27:AP27</xm:f>
              <xm:sqref>AP28</xm:sqref>
            </x14:sparkline>
            <x14:sparkline>
              <xm:f>'E&amp;M SHOP INCOME (3-19)'!AQ27:AQ27</xm:f>
              <xm:sqref>AQ28</xm:sqref>
            </x14:sparkline>
            <x14:sparkline>
              <xm:f>'E&amp;M SHOP INCOME (3-19)'!AR27:AR27</xm:f>
              <xm:sqref>AR28</xm:sqref>
            </x14:sparkline>
            <x14:sparkline>
              <xm:f>'E&amp;M SHOP INCOME (3-19)'!AS27:AS27</xm:f>
              <xm:sqref>AS28</xm:sqref>
            </x14:sparkline>
            <x14:sparkline>
              <xm:f>'E&amp;M SHOP INCOME (3-19)'!AT27:AT27</xm:f>
              <xm:sqref>AT28</xm:sqref>
            </x14:sparkline>
            <x14:sparkline>
              <xm:f>'E&amp;M SHOP INCOME (3-19)'!AU27:AU27</xm:f>
              <xm:sqref>AU28</xm:sqref>
            </x14:sparkline>
            <x14:sparkline>
              <xm:f>'E&amp;M SHOP INCOME (3-19)'!AV27:AV27</xm:f>
              <xm:sqref>AV28</xm:sqref>
            </x14:sparkline>
            <x14:sparkline>
              <xm:f>'E&amp;M SHOP INCOME (3-19)'!AW27:AW27</xm:f>
              <xm:sqref>AW28</xm:sqref>
            </x14:sparkline>
            <x14:sparkline>
              <xm:f>'E&amp;M SHOP INCOME (3-19)'!AX27:AX27</xm:f>
              <xm:sqref>AX28</xm:sqref>
            </x14:sparkline>
            <x14:sparkline>
              <xm:f>'E&amp;M SHOP INCOME (3-19)'!AY27:AY27</xm:f>
              <xm:sqref>AY28</xm:sqref>
            </x14:sparkline>
            <x14:sparkline>
              <xm:f>'E&amp;M SHOP INCOME (3-19)'!AZ27:AZ27</xm:f>
              <xm:sqref>AZ28</xm:sqref>
            </x14:sparkline>
            <x14:sparkline>
              <xm:f>'E&amp;M SHOP INCOME (3-19)'!BA27:BA27</xm:f>
              <xm:sqref>BA28</xm:sqref>
            </x14:sparkline>
            <x14:sparkline>
              <xm:f>'E&amp;M SHOP INCOME (3-19)'!BB27:BB27</xm:f>
              <xm:sqref>BB28</xm:sqref>
            </x14:sparkline>
            <x14:sparkline>
              <xm:f>'E&amp;M SHOP INCOME (3-19)'!BC27:BC27</xm:f>
              <xm:sqref>BC28</xm:sqref>
            </x14:sparkline>
            <x14:sparkline>
              <xm:f>'E&amp;M SHOP INCOME (3-19)'!BD27:BD27</xm:f>
              <xm:sqref>BD28</xm:sqref>
            </x14:sparkline>
            <x14:sparkline>
              <xm:f>'E&amp;M SHOP INCOME (3-19)'!BE27:BE27</xm:f>
              <xm:sqref>BE28</xm:sqref>
            </x14:sparkline>
            <x14:sparkline>
              <xm:f>'E&amp;M SHOP INCOME (3-19)'!BF27:BF27</xm:f>
              <xm:sqref>BF28</xm:sqref>
            </x14:sparkline>
            <x14:sparkline>
              <xm:f>'E&amp;M SHOP INCOME (3-19)'!BG27:BG27</xm:f>
              <xm:sqref>BG28</xm:sqref>
            </x14:sparkline>
            <x14:sparkline>
              <xm:f>'E&amp;M SHOP INCOME (3-19)'!BH27:BH27</xm:f>
              <xm:sqref>BH28</xm:sqref>
            </x14:sparkline>
            <x14:sparkline>
              <xm:f>'E&amp;M SHOP INCOME (3-19)'!BI27:BI27</xm:f>
              <xm:sqref>BI28</xm:sqref>
            </x14:sparkline>
            <x14:sparkline>
              <xm:f>'E&amp;M SHOP INCOME (3-19)'!BJ27:BJ27</xm:f>
              <xm:sqref>BJ28</xm:sqref>
            </x14:sparkline>
            <x14:sparkline>
              <xm:f>'E&amp;M SHOP INCOME (3-19)'!BK27:BK27</xm:f>
              <xm:sqref>BK28</xm:sqref>
            </x14:sparkline>
            <x14:sparkline>
              <xm:f>'E&amp;M SHOP INCOME (3-19)'!BL27:BL27</xm:f>
              <xm:sqref>BL28</xm:sqref>
            </x14:sparkline>
            <x14:sparkline>
              <xm:f>'E&amp;M SHOP INCOME (3-19)'!BM27:BM27</xm:f>
              <xm:sqref>BM28</xm:sqref>
            </x14:sparkline>
            <x14:sparkline>
              <xm:f>'E&amp;M SHOP INCOME (3-19)'!BN27:BN27</xm:f>
              <xm:sqref>BN28</xm:sqref>
            </x14:sparkline>
            <x14:sparkline>
              <xm:f>'E&amp;M SHOP INCOME (3-19)'!BO27:BO27</xm:f>
              <xm:sqref>BO28</xm:sqref>
            </x14:sparkline>
          </x14:sparklines>
        </x14:sparklineGroup>
        <x14:sparklineGroup type="stacked" displayEmptyCellsAs="gap" negative="1" xr2:uid="{00000000-0003-0000-0E00-00000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(3-19)'!T27:T27</xm:f>
              <xm:sqref>T28</xm:sqref>
            </x14:sparkline>
          </x14:sparklines>
        </x14:sparklineGroup>
        <x14:sparklineGroup type="stacked" displayEmptyCellsAs="gap" negative="1" xr2:uid="{00000000-0003-0000-0E00-00000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(3-19)'!T39:T39</xm:f>
              <xm:sqref>T40</xm:sqref>
            </x14:sparkline>
          </x14:sparklines>
        </x14:sparklineGroup>
        <x14:sparklineGroup type="stacked" displayEmptyCellsAs="gap" negative="1" xr2:uid="{00000000-0003-0000-0E00-00000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(3-19)'!T44:T44</xm:f>
              <xm:sqref>T45</xm:sqref>
            </x14:sparkline>
          </x14:sparklines>
        </x14:sparklineGroup>
        <x14:sparklineGroup type="stacked" displayEmptyCellsAs="gap" negative="1" xr2:uid="{00000000-0003-0000-0E00-00000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(3-19)'!BQ48:BQ48</xm:f>
              <xm:sqref>BR48</xm:sqref>
            </x14:sparkline>
          </x14:sparklines>
        </x14:sparklineGroup>
        <x14:sparklineGroup type="stacked" displayEmptyCellsAs="gap" negative="1" xr2:uid="{00000000-0003-0000-0E00-00000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(3-19)'!BQ49:BQ49</xm:f>
              <xm:sqref>BR49</xm:sqref>
            </x14:sparkline>
          </x14:sparklines>
        </x14:sparklineGroup>
        <x14:sparklineGroup type="stacked" displayEmptyCellsAs="gap" negative="1" xr2:uid="{00000000-0003-0000-0E00-00000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(3-19)'!M27:M27</xm:f>
              <xm:sqref>M28</xm:sqref>
            </x14:sparkline>
            <x14:sparkline>
              <xm:f>'E&amp;M SHOP INCOME (3-19)'!N27:N27</xm:f>
              <xm:sqref>N28</xm:sqref>
            </x14:sparkline>
            <x14:sparkline>
              <xm:f>'E&amp;M SHOP INCOME (3-19)'!O27:O27</xm:f>
              <xm:sqref>O28</xm:sqref>
            </x14:sparkline>
            <x14:sparkline>
              <xm:f>'E&amp;M SHOP INCOME (3-19)'!P27:P27</xm:f>
              <xm:sqref>P28</xm:sqref>
            </x14:sparkline>
            <x14:sparkline>
              <xm:f>'E&amp;M SHOP INCOME (3-19)'!Q27:Q27</xm:f>
              <xm:sqref>Q28</xm:sqref>
            </x14:sparkline>
            <x14:sparkline>
              <xm:f>'E&amp;M SHOP INCOME (3-19)'!R27:R27</xm:f>
              <xm:sqref>R28</xm:sqref>
            </x14:sparkline>
            <x14:sparkline>
              <xm:f>'E&amp;M SHOP INCOME (3-19)'!S27:S27</xm:f>
              <xm:sqref>S28</xm:sqref>
            </x14:sparkline>
            <x14:sparkline>
              <xm:f>'E&amp;M SHOP INCOME (3-19)'!U27:U27</xm:f>
              <xm:sqref>U28</xm:sqref>
            </x14:sparkline>
            <x14:sparkline>
              <xm:f>'E&amp;M SHOP INCOME (3-19)'!V27:V27</xm:f>
              <xm:sqref>V28</xm:sqref>
            </x14:sparkline>
            <x14:sparkline>
              <xm:f>'E&amp;M SHOP INCOME (3-19)'!W27:W27</xm:f>
              <xm:sqref>W28</xm:sqref>
            </x14:sparkline>
          </x14:sparklines>
        </x14:sparklineGroup>
        <x14:sparklineGroup type="stacked" displayEmptyCellsAs="gap" negative="1" xr2:uid="{00000000-0003-0000-0E00-00000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(3-19)'!BQ27:BQ27</xm:f>
              <xm:sqref>BQ28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O63"/>
  <sheetViews>
    <sheetView zoomScale="80" zoomScaleNormal="80" zoomScaleSheetLayoutView="80" workbookViewId="0">
      <pane xSplit="11" ySplit="6" topLeftCell="AS7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1150" customWidth="1"/>
    <col min="2" max="2" width="4.75" style="1150" customWidth="1"/>
    <col min="3" max="3" width="42.875" style="1150" bestFit="1" customWidth="1"/>
    <col min="4" max="4" width="0.875" style="1152" customWidth="1"/>
    <col min="5" max="5" width="10" style="1150" bestFit="1" customWidth="1"/>
    <col min="6" max="9" width="11.625" style="1150" hidden="1" customWidth="1"/>
    <col min="10" max="10" width="11.625" style="1150" bestFit="1" customWidth="1"/>
    <col min="11" max="11" width="8.75" style="1150" bestFit="1" customWidth="1"/>
    <col min="12" max="12" width="0.875" style="1152" customWidth="1"/>
    <col min="13" max="19" width="8.875" style="1150" hidden="1" customWidth="1"/>
    <col min="20" max="20" width="0.875" style="1152" hidden="1" customWidth="1"/>
    <col min="21" max="21" width="10" style="1150" bestFit="1" customWidth="1"/>
    <col min="22" max="22" width="7.875" style="1150" bestFit="1" customWidth="1"/>
    <col min="23" max="23" width="9.25" style="1150" bestFit="1" customWidth="1"/>
    <col min="24" max="24" width="0.875" style="1152" customWidth="1"/>
    <col min="25" max="31" width="8.875" style="1150" hidden="1" customWidth="1"/>
    <col min="32" max="32" width="0.875" style="1152" hidden="1" customWidth="1"/>
    <col min="33" max="33" width="10" style="1150" customWidth="1"/>
    <col min="34" max="34" width="7.875" style="1150" customWidth="1"/>
    <col min="35" max="35" width="8.125" style="1150" customWidth="1"/>
    <col min="36" max="36" width="0.875" style="1152" customWidth="1"/>
    <col min="37" max="37" width="8.875" style="1150" hidden="1" customWidth="1"/>
    <col min="38" max="38" width="8.625" style="1150" hidden="1" customWidth="1"/>
    <col min="39" max="43" width="8.875" style="1150" hidden="1" customWidth="1"/>
    <col min="44" max="44" width="0.875" style="1152" hidden="1" customWidth="1"/>
    <col min="45" max="45" width="10" style="1150" bestFit="1" customWidth="1"/>
    <col min="46" max="46" width="8.125" style="1150" customWidth="1"/>
    <col min="47" max="47" width="8.875" style="1150" customWidth="1"/>
    <col min="48" max="48" width="0.875" style="1152" hidden="1" customWidth="1"/>
    <col min="49" max="55" width="8.875" style="1150" hidden="1" customWidth="1"/>
    <col min="56" max="56" width="0.875" style="1152" customWidth="1"/>
    <col min="57" max="57" width="10" style="1150" customWidth="1"/>
    <col min="58" max="58" width="8.125" style="1150" customWidth="1"/>
    <col min="59" max="59" width="8.875" style="1150" customWidth="1"/>
    <col min="60" max="60" width="0.875" style="1150" hidden="1" customWidth="1"/>
    <col min="61" max="62" width="8.875" style="1150" hidden="1" customWidth="1"/>
    <col min="63" max="63" width="0.875" style="1150" customWidth="1"/>
    <col min="64" max="66" width="8.875" style="1150" customWidth="1"/>
    <col min="67" max="67" width="0.875" style="1150" customWidth="1"/>
    <col min="68" max="68" width="10" style="1150" bestFit="1" customWidth="1"/>
    <col min="69" max="69" width="10.625" style="1150" bestFit="1" customWidth="1"/>
    <col min="70" max="70" width="0.875" style="1150" customWidth="1"/>
    <col min="71" max="71" width="9.25" style="1150" bestFit="1" customWidth="1"/>
    <col min="72" max="73" width="10" style="1150" bestFit="1" customWidth="1"/>
    <col min="74" max="74" width="1.875" style="1150" customWidth="1"/>
    <col min="75" max="76" width="12" style="1150" bestFit="1" customWidth="1"/>
    <col min="77" max="77" width="12.25" style="1150" bestFit="1" customWidth="1"/>
    <col min="78" max="78" width="12.875" style="1150" bestFit="1" customWidth="1"/>
    <col min="79" max="79" width="12" style="1150" customWidth="1"/>
    <col min="80" max="80" width="12" style="1150" bestFit="1" customWidth="1"/>
    <col min="81" max="81" width="10.875" style="1150" customWidth="1"/>
    <col min="82" max="82" width="10" style="1150" bestFit="1" customWidth="1"/>
    <col min="83" max="83" width="13" style="1150" bestFit="1" customWidth="1"/>
    <col min="84" max="84" width="12" style="1150" bestFit="1" customWidth="1"/>
    <col min="85" max="85" width="12.125" style="1150" bestFit="1" customWidth="1"/>
    <col min="86" max="86" width="11" style="1150" bestFit="1" customWidth="1"/>
    <col min="87" max="88" width="9.125" style="1150" customWidth="1"/>
    <col min="89" max="16384" width="9.125" style="1150"/>
  </cols>
  <sheetData>
    <row r="1" spans="1:171" ht="20.25" customHeight="1" thickBot="1" x14ac:dyDescent="0.25">
      <c r="C1" s="4456">
        <v>43556</v>
      </c>
      <c r="D1" s="811"/>
      <c r="E1" s="4466" t="s">
        <v>40</v>
      </c>
      <c r="F1" s="4466"/>
      <c r="G1" s="4466"/>
      <c r="H1" s="4466"/>
      <c r="I1" s="4466"/>
      <c r="J1" s="4466"/>
      <c r="K1" s="4467"/>
      <c r="L1" s="1149"/>
      <c r="M1" s="133"/>
      <c r="N1" s="309"/>
      <c r="O1" s="134"/>
      <c r="Z1" s="309"/>
      <c r="AO1" s="432"/>
      <c r="AP1" s="432"/>
      <c r="AQ1" s="432"/>
      <c r="AW1" s="432"/>
      <c r="AX1" s="1274"/>
      <c r="BA1" s="277"/>
      <c r="BJ1" s="309"/>
      <c r="BO1" s="4483" t="s">
        <v>90</v>
      </c>
      <c r="BP1" s="4483"/>
      <c r="BQ1" s="4483"/>
      <c r="BR1" s="4491"/>
      <c r="BS1" s="4492">
        <f>BX24/30</f>
        <v>1</v>
      </c>
      <c r="BT1" s="4493"/>
      <c r="BU1" s="4494"/>
      <c r="BW1" s="503">
        <f>BW2-BW3</f>
        <v>-179.31666666666615</v>
      </c>
      <c r="BX1" s="504">
        <f>BW1*30%</f>
        <v>-53.794999999999845</v>
      </c>
      <c r="BY1" s="590">
        <f>BW1/BW3</f>
        <v>-4.8116527953560417E-2</v>
      </c>
      <c r="BZ1" s="693"/>
      <c r="CA1" s="703">
        <f>CA2-CA3</f>
        <v>-1715.9333333333329</v>
      </c>
      <c r="CB1" s="704">
        <f>CA1*30%</f>
        <v>-514.77999999999986</v>
      </c>
      <c r="CC1" s="705">
        <f>CA1/CA3</f>
        <v>-0.326016466117796</v>
      </c>
      <c r="CD1" s="694"/>
      <c r="CE1" s="703">
        <f>CE2-CE3</f>
        <v>-6452.6</v>
      </c>
      <c r="CF1" s="704">
        <f>CE1*30%</f>
        <v>-1935.78</v>
      </c>
      <c r="CG1" s="705">
        <f>CE1/CE3</f>
        <v>-0.64526000000000006</v>
      </c>
      <c r="CH1" s="694"/>
    </row>
    <row r="2" spans="1:171" ht="20.25" customHeight="1" thickBot="1" x14ac:dyDescent="0.25">
      <c r="C2" s="4457"/>
      <c r="D2" s="1149"/>
      <c r="E2" s="4466" t="s">
        <v>41</v>
      </c>
      <c r="F2" s="4466"/>
      <c r="G2" s="4466"/>
      <c r="H2" s="4466"/>
      <c r="I2" s="4466"/>
      <c r="J2" s="4466"/>
      <c r="K2" s="4467"/>
      <c r="L2" s="1149"/>
      <c r="M2" s="4511" t="s">
        <v>135</v>
      </c>
      <c r="N2" s="4511"/>
      <c r="O2" s="4511"/>
      <c r="P2" s="4511"/>
      <c r="Q2" s="4511"/>
      <c r="R2" s="4511"/>
      <c r="S2" s="4511"/>
      <c r="T2" s="919"/>
      <c r="U2" s="4512" t="s">
        <v>139</v>
      </c>
      <c r="V2" s="4513"/>
      <c r="W2" s="4514"/>
      <c r="X2" s="923"/>
      <c r="Y2" s="4511" t="s">
        <v>136</v>
      </c>
      <c r="Z2" s="4511"/>
      <c r="AA2" s="4511"/>
      <c r="AB2" s="4511"/>
      <c r="AC2" s="4511"/>
      <c r="AD2" s="4511"/>
      <c r="AE2" s="4511"/>
      <c r="AF2" s="776"/>
      <c r="AG2" s="4512" t="s">
        <v>140</v>
      </c>
      <c r="AH2" s="4513"/>
      <c r="AI2" s="4514"/>
      <c r="AJ2" s="776"/>
      <c r="AK2" s="4511" t="s">
        <v>137</v>
      </c>
      <c r="AL2" s="4511"/>
      <c r="AM2" s="4511"/>
      <c r="AN2" s="4511"/>
      <c r="AO2" s="4511"/>
      <c r="AP2" s="4511"/>
      <c r="AQ2" s="4511"/>
      <c r="AR2" s="776"/>
      <c r="AS2" s="4512" t="s">
        <v>141</v>
      </c>
      <c r="AT2" s="4513"/>
      <c r="AU2" s="4514"/>
      <c r="AV2" s="776"/>
      <c r="AW2" s="4511" t="s">
        <v>138</v>
      </c>
      <c r="AX2" s="4511"/>
      <c r="AY2" s="4511"/>
      <c r="AZ2" s="4511"/>
      <c r="BA2" s="4511"/>
      <c r="BB2" s="4511"/>
      <c r="BC2" s="4511"/>
      <c r="BD2" s="776"/>
      <c r="BE2" s="4512" t="s">
        <v>142</v>
      </c>
      <c r="BF2" s="4513"/>
      <c r="BG2" s="4514"/>
      <c r="BH2" s="1151"/>
      <c r="BI2" s="4516" t="s">
        <v>145</v>
      </c>
      <c r="BJ2" s="4518"/>
      <c r="BK2" s="1151"/>
      <c r="BL2" s="4512" t="s">
        <v>146</v>
      </c>
      <c r="BM2" s="4513"/>
      <c r="BN2" s="4514"/>
      <c r="BP2" s="4473" t="s">
        <v>54</v>
      </c>
      <c r="BQ2" s="4476" t="s">
        <v>61</v>
      </c>
      <c r="BS2" s="4495"/>
      <c r="BT2" s="4496"/>
      <c r="BU2" s="4497"/>
      <c r="BW2" s="505">
        <f>BS3/BX24*30</f>
        <v>3547.4</v>
      </c>
      <c r="BX2" s="506">
        <f>BW2*30%</f>
        <v>1064.22</v>
      </c>
      <c r="BY2" s="507">
        <f>BX2-E31</f>
        <v>-53.794999999999845</v>
      </c>
      <c r="BZ2" s="695"/>
      <c r="CA2" s="756">
        <f>BS3/BX24*30</f>
        <v>3547.4</v>
      </c>
      <c r="CB2" s="757">
        <f>CA2*30%</f>
        <v>1064.22</v>
      </c>
      <c r="CC2" s="761">
        <f>CB2-E44</f>
        <v>-4199.1133333333328</v>
      </c>
      <c r="CD2" s="696"/>
      <c r="CE2" s="756">
        <f>BS3/BX24*30</f>
        <v>3547.4</v>
      </c>
      <c r="CF2" s="757">
        <f>CE2*30%</f>
        <v>1064.22</v>
      </c>
      <c r="CG2" s="702">
        <f>CF2-E48</f>
        <v>54.269999999999527</v>
      </c>
      <c r="CH2" s="696"/>
    </row>
    <row r="3" spans="1:171" s="426" customFormat="1" ht="15" customHeight="1" x14ac:dyDescent="0.2">
      <c r="C3" s="982" t="s">
        <v>130</v>
      </c>
      <c r="D3" s="812"/>
      <c r="E3" s="132"/>
      <c r="F3" s="132"/>
      <c r="G3" s="132"/>
      <c r="H3" s="132"/>
      <c r="I3" s="132"/>
      <c r="J3" s="132"/>
      <c r="K3" s="428"/>
      <c r="L3" s="480"/>
      <c r="M3" s="132">
        <v>97.25</v>
      </c>
      <c r="N3" s="132">
        <v>94.65</v>
      </c>
      <c r="O3" s="132">
        <v>184.95</v>
      </c>
      <c r="P3" s="132">
        <v>234.75</v>
      </c>
      <c r="Q3" s="132">
        <v>36.75</v>
      </c>
      <c r="R3" s="132">
        <v>122.7</v>
      </c>
      <c r="S3" s="132">
        <v>89.85</v>
      </c>
      <c r="T3" s="920"/>
      <c r="U3" s="925">
        <f>SUM(M3:S3)</f>
        <v>860.90000000000009</v>
      </c>
      <c r="V3" s="132">
        <f>J33*7</f>
        <v>869.5672222222222</v>
      </c>
      <c r="W3" s="926">
        <f>U3-V3</f>
        <v>-8.667222222222108</v>
      </c>
      <c r="X3" s="779"/>
      <c r="Y3" s="132">
        <v>191.5</v>
      </c>
      <c r="Z3" s="132">
        <f>68.85+30</f>
        <v>98.85</v>
      </c>
      <c r="AA3" s="132">
        <v>113.35</v>
      </c>
      <c r="AB3" s="132">
        <v>159.65</v>
      </c>
      <c r="AC3" s="132">
        <v>0</v>
      </c>
      <c r="AD3" s="132">
        <v>158.85</v>
      </c>
      <c r="AE3" s="132">
        <v>95.4</v>
      </c>
      <c r="AF3" s="777"/>
      <c r="AG3" s="925">
        <f>SUM(Y3:AE3)</f>
        <v>817.6</v>
      </c>
      <c r="AH3" s="132">
        <f>J33*7</f>
        <v>869.5672222222222</v>
      </c>
      <c r="AI3" s="926">
        <f>AG3-AH3</f>
        <v>-51.967222222222176</v>
      </c>
      <c r="AJ3" s="777"/>
      <c r="AK3" s="132">
        <v>46</v>
      </c>
      <c r="AL3" s="132">
        <v>102.75</v>
      </c>
      <c r="AM3" s="132">
        <v>130.80000000000001</v>
      </c>
      <c r="AN3" s="132">
        <v>56</v>
      </c>
      <c r="AO3" s="132">
        <v>64.8</v>
      </c>
      <c r="AP3" s="132">
        <v>150.80000000000001</v>
      </c>
      <c r="AQ3" s="132">
        <v>74.75</v>
      </c>
      <c r="AR3" s="777"/>
      <c r="AS3" s="925">
        <f>SUM(AK3:AQ3)</f>
        <v>625.90000000000009</v>
      </c>
      <c r="AT3" s="132">
        <f>J33*7</f>
        <v>869.5672222222222</v>
      </c>
      <c r="AU3" s="926">
        <f>AS3-AT3</f>
        <v>-243.66722222222211</v>
      </c>
      <c r="AV3" s="777"/>
      <c r="AW3" s="132">
        <v>74.75</v>
      </c>
      <c r="AX3" s="132">
        <v>137.19999999999999</v>
      </c>
      <c r="AY3" s="132">
        <v>209.5</v>
      </c>
      <c r="AZ3" s="132">
        <v>127.65</v>
      </c>
      <c r="BA3" s="132">
        <v>66</v>
      </c>
      <c r="BB3" s="132">
        <v>163.15</v>
      </c>
      <c r="BC3" s="132">
        <v>116.15</v>
      </c>
      <c r="BD3" s="777"/>
      <c r="BE3" s="925">
        <f>SUM(AW3:BC3)</f>
        <v>894.4</v>
      </c>
      <c r="BF3" s="132">
        <f>J33*7</f>
        <v>869.5672222222222</v>
      </c>
      <c r="BG3" s="926">
        <f>BE3-BF3</f>
        <v>24.832777777777778</v>
      </c>
      <c r="BH3" s="479"/>
      <c r="BI3" s="132">
        <v>133.55000000000001</v>
      </c>
      <c r="BJ3" s="132">
        <v>215.05</v>
      </c>
      <c r="BK3" s="479"/>
      <c r="BL3" s="925">
        <f>SUM(BI3:BJ3)</f>
        <v>348.6</v>
      </c>
      <c r="BM3" s="132">
        <f>J33*2</f>
        <v>248.44777777777779</v>
      </c>
      <c r="BN3" s="926">
        <f>BL3-BM3</f>
        <v>100.15222222222224</v>
      </c>
      <c r="BO3" s="431"/>
      <c r="BP3" s="4474"/>
      <c r="BQ3" s="4477"/>
      <c r="BR3" s="431"/>
      <c r="BS3" s="467">
        <f>SUM(M3:S3)+SUM(Y3:AE3)+SUM(AK3:AQ3)+SUM(AW3:BC3)+SUM(BI3:BJ3)</f>
        <v>3547.4</v>
      </c>
      <c r="BT3" s="493">
        <f>BS3/BW3</f>
        <v>0.95188347204643953</v>
      </c>
      <c r="BU3" s="496">
        <f>BS3/1</f>
        <v>3547.4</v>
      </c>
      <c r="BW3" s="467">
        <f>E52</f>
        <v>3726.7166666666662</v>
      </c>
      <c r="BX3" s="474">
        <f>BW3-BS3</f>
        <v>179.31666666666615</v>
      </c>
      <c r="BY3" s="496">
        <f>BX3/BX27</f>
        <v>179.3125525780444</v>
      </c>
      <c r="BZ3" s="697">
        <f>BY3-J52</f>
        <v>55.088663689155524</v>
      </c>
      <c r="CA3" s="467">
        <f>E53</f>
        <v>5263.333333333333</v>
      </c>
      <c r="CB3" s="690">
        <f>CA3-BS3</f>
        <v>1715.9333333333329</v>
      </c>
      <c r="CC3" s="700">
        <f>CB3/BX27</f>
        <v>1715.8939644228265</v>
      </c>
      <c r="CD3" s="473">
        <f>CC3-J53</f>
        <v>1540.4495199783821</v>
      </c>
      <c r="CE3" s="467">
        <f>E57</f>
        <v>10000</v>
      </c>
      <c r="CF3" s="690">
        <f>CE3-BS3</f>
        <v>6452.6</v>
      </c>
      <c r="CG3" s="700">
        <f>CF3/BX27</f>
        <v>6452.451957050429</v>
      </c>
      <c r="CH3" s="473">
        <f>CG3-J57</f>
        <v>6119.1186237170959</v>
      </c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</row>
    <row r="4" spans="1:171" s="432" customFormat="1" ht="15.75" thickBot="1" x14ac:dyDescent="0.25">
      <c r="C4" s="433" t="s">
        <v>89</v>
      </c>
      <c r="D4" s="780"/>
      <c r="E4" s="347"/>
      <c r="F4" s="347"/>
      <c r="G4" s="347"/>
      <c r="H4" s="347"/>
      <c r="I4" s="347"/>
      <c r="J4" s="347">
        <f>BP33</f>
        <v>-42.795000000000066</v>
      </c>
      <c r="K4" s="434"/>
      <c r="L4" s="482"/>
      <c r="M4" s="347">
        <f>M3*30%</f>
        <v>29.174999999999997</v>
      </c>
      <c r="N4" s="347">
        <f>N3*30%</f>
        <v>28.395</v>
      </c>
      <c r="O4" s="347">
        <f>O3*30%</f>
        <v>55.484999999999992</v>
      </c>
      <c r="P4" s="347">
        <f t="shared" ref="P4:BC4" si="0">P3*30%</f>
        <v>70.424999999999997</v>
      </c>
      <c r="Q4" s="347">
        <f t="shared" si="0"/>
        <v>11.025</v>
      </c>
      <c r="R4" s="347">
        <f t="shared" si="0"/>
        <v>36.81</v>
      </c>
      <c r="S4" s="347">
        <f>S3*30%</f>
        <v>26.954999999999998</v>
      </c>
      <c r="T4" s="921"/>
      <c r="U4" s="927">
        <f t="shared" ref="U4" si="1">U3*30%</f>
        <v>258.27000000000004</v>
      </c>
      <c r="V4" s="347">
        <f>V3*30%</f>
        <v>260.87016666666665</v>
      </c>
      <c r="W4" s="928">
        <f>W3*30%</f>
        <v>-2.6001666666666323</v>
      </c>
      <c r="X4" s="781"/>
      <c r="Y4" s="347">
        <f t="shared" si="0"/>
        <v>57.449999999999996</v>
      </c>
      <c r="Z4" s="347">
        <f>(68.85*30%)+20</f>
        <v>40.655000000000001</v>
      </c>
      <c r="AA4" s="347">
        <f t="shared" si="0"/>
        <v>34.004999999999995</v>
      </c>
      <c r="AB4" s="347">
        <f t="shared" si="0"/>
        <v>47.895000000000003</v>
      </c>
      <c r="AC4" s="347">
        <f t="shared" si="0"/>
        <v>0</v>
      </c>
      <c r="AD4" s="347">
        <f t="shared" si="0"/>
        <v>47.654999999999994</v>
      </c>
      <c r="AE4" s="347">
        <f t="shared" si="0"/>
        <v>28.62</v>
      </c>
      <c r="AF4" s="778"/>
      <c r="AG4" s="927">
        <f>SUM(Y4:AE4)</f>
        <v>256.27999999999997</v>
      </c>
      <c r="AH4" s="347">
        <f>AH3*30%</f>
        <v>260.87016666666665</v>
      </c>
      <c r="AI4" s="928">
        <f>AI3*30%</f>
        <v>-15.590166666666653</v>
      </c>
      <c r="AJ4" s="778"/>
      <c r="AK4" s="347">
        <f t="shared" si="0"/>
        <v>13.799999999999999</v>
      </c>
      <c r="AL4" s="347">
        <f t="shared" si="0"/>
        <v>30.824999999999999</v>
      </c>
      <c r="AM4" s="347">
        <f t="shared" si="0"/>
        <v>39.24</v>
      </c>
      <c r="AN4" s="347">
        <f t="shared" si="0"/>
        <v>16.8</v>
      </c>
      <c r="AO4" s="347">
        <f t="shared" si="0"/>
        <v>19.439999999999998</v>
      </c>
      <c r="AP4" s="347">
        <f t="shared" si="0"/>
        <v>45.24</v>
      </c>
      <c r="AQ4" s="347">
        <f t="shared" si="0"/>
        <v>22.425000000000001</v>
      </c>
      <c r="AR4" s="778"/>
      <c r="AS4" s="927">
        <f>SUM(AK4:AQ4)</f>
        <v>187.77</v>
      </c>
      <c r="AT4" s="347">
        <f>AT3*30%</f>
        <v>260.87016666666665</v>
      </c>
      <c r="AU4" s="928">
        <f>AS4-AT4</f>
        <v>-73.100166666666638</v>
      </c>
      <c r="AV4" s="778"/>
      <c r="AW4" s="347">
        <f t="shared" si="0"/>
        <v>22.425000000000001</v>
      </c>
      <c r="AX4" s="347">
        <f t="shared" si="0"/>
        <v>41.16</v>
      </c>
      <c r="AY4" s="347">
        <f t="shared" si="0"/>
        <v>62.849999999999994</v>
      </c>
      <c r="AZ4" s="347">
        <f t="shared" si="0"/>
        <v>38.295000000000002</v>
      </c>
      <c r="BA4" s="347">
        <f t="shared" si="0"/>
        <v>19.8</v>
      </c>
      <c r="BB4" s="347">
        <f t="shared" si="0"/>
        <v>48.945</v>
      </c>
      <c r="BC4" s="347">
        <f t="shared" si="0"/>
        <v>34.844999999999999</v>
      </c>
      <c r="BD4" s="778"/>
      <c r="BE4" s="927">
        <f>SUM(AW4:BC4)</f>
        <v>268.32</v>
      </c>
      <c r="BF4" s="347">
        <f>BF3*30%</f>
        <v>260.87016666666665</v>
      </c>
      <c r="BG4" s="928">
        <f>BE4-BF4</f>
        <v>7.4498333333333449</v>
      </c>
      <c r="BH4" s="481"/>
      <c r="BI4" s="347">
        <f t="shared" ref="BI4:BJ4" si="2">BI3*30%</f>
        <v>40.065000000000005</v>
      </c>
      <c r="BJ4" s="347">
        <f t="shared" si="2"/>
        <v>64.515000000000001</v>
      </c>
      <c r="BK4" s="481"/>
      <c r="BL4" s="927">
        <f>SUM(BI4:BJ4)</f>
        <v>104.58000000000001</v>
      </c>
      <c r="BM4" s="347">
        <f>BM3*30%</f>
        <v>74.534333333333336</v>
      </c>
      <c r="BN4" s="928">
        <f>BL4-BM4</f>
        <v>30.045666666666676</v>
      </c>
      <c r="BO4" s="437"/>
      <c r="BP4" s="4474"/>
      <c r="BQ4" s="4477"/>
      <c r="BR4" s="437"/>
      <c r="BS4" s="459">
        <f>SUM(M4:S4)+SUM(Y4:AE4)+SUM(AK4:AQ4)+SUM(AW4:BC4)+SUM(BI4:BJ4)</f>
        <v>1075.2199999999998</v>
      </c>
      <c r="BT4" s="494">
        <f>BS4/E31</f>
        <v>0.96172233825127562</v>
      </c>
      <c r="BU4" s="497">
        <f>BS4/1</f>
        <v>1075.2199999999998</v>
      </c>
      <c r="BW4" s="508">
        <f>BS4-E31</f>
        <v>-42.795000000000073</v>
      </c>
      <c r="BX4" s="509">
        <f>BW4/BX27</f>
        <v>-42.794018148029252</v>
      </c>
      <c r="BY4" s="510">
        <f>BX4*100%/30%</f>
        <v>-142.64672716009753</v>
      </c>
      <c r="BZ4" s="698">
        <f>BY4+J52</f>
        <v>-18.422838271208647</v>
      </c>
      <c r="CA4" s="508">
        <f>BS4-E42</f>
        <v>-503.7800000000002</v>
      </c>
      <c r="CB4" s="626">
        <f>CA4/BX27</f>
        <v>-503.76844170146393</v>
      </c>
      <c r="CC4" s="701">
        <f>CB4*100%/30%</f>
        <v>-1679.2281390048797</v>
      </c>
      <c r="CD4" s="469">
        <f>CC4+J53</f>
        <v>-1503.7836945604354</v>
      </c>
      <c r="CE4" s="508">
        <f>BS4-E59</f>
        <v>-1924.7800000000002</v>
      </c>
      <c r="CF4" s="626">
        <f>CE4/BX27</f>
        <v>-1924.7358394897444</v>
      </c>
      <c r="CG4" s="701">
        <f>CF4*100%/30%</f>
        <v>-6415.7861316324816</v>
      </c>
      <c r="CH4" s="469">
        <f>CG4+J57</f>
        <v>-6082.4527982991485</v>
      </c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  <c r="FH4" s="471"/>
      <c r="FI4" s="471"/>
      <c r="FJ4" s="471"/>
      <c r="FK4" s="471"/>
      <c r="FL4" s="471"/>
      <c r="FM4" s="471"/>
      <c r="FN4" s="471"/>
      <c r="FO4" s="471"/>
    </row>
    <row r="5" spans="1:171" s="426" customFormat="1" ht="15" customHeight="1" thickBot="1" x14ac:dyDescent="0.25">
      <c r="C5" s="438"/>
      <c r="D5" s="438"/>
      <c r="K5" s="439"/>
      <c r="L5" s="438"/>
      <c r="M5" s="132" t="s">
        <v>163</v>
      </c>
      <c r="N5" s="132" t="s">
        <v>49</v>
      </c>
      <c r="O5" s="132" t="s">
        <v>50</v>
      </c>
      <c r="P5" s="132" t="s">
        <v>51</v>
      </c>
      <c r="Q5" s="451" t="s">
        <v>45</v>
      </c>
      <c r="R5" s="132" t="s">
        <v>46</v>
      </c>
      <c r="S5" s="132" t="s">
        <v>47</v>
      </c>
      <c r="T5" s="479"/>
      <c r="U5" s="925"/>
      <c r="V5" s="440"/>
      <c r="W5" s="929"/>
      <c r="X5" s="779"/>
      <c r="Y5" s="440" t="s">
        <v>48</v>
      </c>
      <c r="Z5" s="440" t="s">
        <v>49</v>
      </c>
      <c r="AA5" s="440" t="s">
        <v>50</v>
      </c>
      <c r="AB5" s="440" t="s">
        <v>51</v>
      </c>
      <c r="AC5" s="445" t="s">
        <v>45</v>
      </c>
      <c r="AD5" s="440" t="s">
        <v>46</v>
      </c>
      <c r="AE5" s="440" t="s">
        <v>47</v>
      </c>
      <c r="AF5" s="779"/>
      <c r="AG5" s="925"/>
      <c r="AH5" s="440"/>
      <c r="AI5" s="929">
        <f>AG4-AH4</f>
        <v>-4.5901666666666756</v>
      </c>
      <c r="AJ5" s="779"/>
      <c r="AK5" s="440" t="s">
        <v>163</v>
      </c>
      <c r="AL5" s="440" t="s">
        <v>49</v>
      </c>
      <c r="AM5" s="440" t="s">
        <v>50</v>
      </c>
      <c r="AN5" s="440" t="s">
        <v>51</v>
      </c>
      <c r="AO5" s="445" t="s">
        <v>45</v>
      </c>
      <c r="AP5" s="440" t="s">
        <v>46</v>
      </c>
      <c r="AQ5" s="440" t="s">
        <v>47</v>
      </c>
      <c r="AR5" s="779"/>
      <c r="AS5" s="925"/>
      <c r="AT5" s="440"/>
      <c r="AU5" s="929"/>
      <c r="AV5" s="779"/>
      <c r="AW5" s="440" t="s">
        <v>48</v>
      </c>
      <c r="AX5" s="440" t="s">
        <v>49</v>
      </c>
      <c r="AY5" s="440" t="s">
        <v>50</v>
      </c>
      <c r="AZ5" s="440" t="s">
        <v>51</v>
      </c>
      <c r="BA5" s="445" t="s">
        <v>45</v>
      </c>
      <c r="BB5" s="440" t="s">
        <v>46</v>
      </c>
      <c r="BC5" s="440" t="s">
        <v>47</v>
      </c>
      <c r="BD5" s="779"/>
      <c r="BE5" s="925"/>
      <c r="BF5" s="440"/>
      <c r="BG5" s="929"/>
      <c r="BH5" s="479"/>
      <c r="BI5" s="451" t="s">
        <v>48</v>
      </c>
      <c r="BJ5" s="440" t="s">
        <v>49</v>
      </c>
      <c r="BK5" s="479"/>
      <c r="BL5" s="925"/>
      <c r="BM5" s="440"/>
      <c r="BN5" s="929"/>
      <c r="BP5" s="4474"/>
      <c r="BQ5" s="4477"/>
      <c r="BS5" s="468">
        <f>J33*BX24</f>
        <v>3726.7166666666667</v>
      </c>
      <c r="BT5" s="495">
        <f>BS5/E33</f>
        <v>1.0000000000000002</v>
      </c>
      <c r="BU5" s="498">
        <f>BS5/1</f>
        <v>3726.7166666666667</v>
      </c>
      <c r="BZ5" s="470"/>
      <c r="CA5" s="699"/>
      <c r="CB5" s="699"/>
      <c r="CC5" s="1020">
        <f>CC4+BY4</f>
        <v>-1821.8748661649772</v>
      </c>
      <c r="CD5" s="470"/>
      <c r="CE5" s="470"/>
      <c r="CF5" s="470"/>
      <c r="CG5" s="1021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  <c r="FH5" s="470"/>
      <c r="FI5" s="470"/>
      <c r="FJ5" s="470"/>
      <c r="FK5" s="470"/>
      <c r="FL5" s="470"/>
      <c r="FM5" s="470"/>
      <c r="FN5" s="470"/>
      <c r="FO5" s="470"/>
    </row>
    <row r="6" spans="1:171" s="432" customFormat="1" ht="15.75" thickBot="1" x14ac:dyDescent="0.25">
      <c r="B6" s="433" t="s">
        <v>0</v>
      </c>
      <c r="C6" s="433" t="s">
        <v>1</v>
      </c>
      <c r="D6" s="780"/>
      <c r="E6" s="433" t="s">
        <v>24</v>
      </c>
      <c r="F6" s="127" t="s">
        <v>108</v>
      </c>
      <c r="G6" s="647" t="s">
        <v>109</v>
      </c>
      <c r="H6" s="651" t="s">
        <v>110</v>
      </c>
      <c r="I6" s="655" t="s">
        <v>111</v>
      </c>
      <c r="J6" s="659" t="s">
        <v>107</v>
      </c>
      <c r="K6" s="441" t="s">
        <v>2</v>
      </c>
      <c r="L6" s="444"/>
      <c r="M6" s="433">
        <v>1</v>
      </c>
      <c r="N6" s="433">
        <v>2</v>
      </c>
      <c r="O6" s="433">
        <v>3</v>
      </c>
      <c r="P6" s="433">
        <v>4</v>
      </c>
      <c r="Q6" s="433">
        <v>5</v>
      </c>
      <c r="R6" s="433">
        <v>6</v>
      </c>
      <c r="S6" s="433">
        <v>7</v>
      </c>
      <c r="T6" s="922"/>
      <c r="U6" s="930"/>
      <c r="V6" s="931"/>
      <c r="W6" s="932"/>
      <c r="X6" s="924"/>
      <c r="Y6" s="433">
        <v>8</v>
      </c>
      <c r="Z6" s="433">
        <v>9</v>
      </c>
      <c r="AA6" s="433">
        <v>10</v>
      </c>
      <c r="AB6" s="433">
        <v>11</v>
      </c>
      <c r="AC6" s="433">
        <v>12</v>
      </c>
      <c r="AD6" s="433">
        <v>13</v>
      </c>
      <c r="AE6" s="433">
        <v>14</v>
      </c>
      <c r="AF6" s="780"/>
      <c r="AG6" s="930"/>
      <c r="AH6" s="931"/>
      <c r="AI6" s="932"/>
      <c r="AJ6" s="780"/>
      <c r="AK6" s="433">
        <v>15</v>
      </c>
      <c r="AL6" s="433">
        <v>16</v>
      </c>
      <c r="AM6" s="433">
        <v>17</v>
      </c>
      <c r="AN6" s="433">
        <v>18</v>
      </c>
      <c r="AO6" s="433">
        <v>19</v>
      </c>
      <c r="AP6" s="433">
        <v>20</v>
      </c>
      <c r="AQ6" s="433">
        <v>21</v>
      </c>
      <c r="AR6" s="780"/>
      <c r="AS6" s="930"/>
      <c r="AT6" s="931"/>
      <c r="AU6" s="932"/>
      <c r="AV6" s="780"/>
      <c r="AW6" s="433">
        <v>22</v>
      </c>
      <c r="AX6" s="433">
        <v>23</v>
      </c>
      <c r="AY6" s="433">
        <v>24</v>
      </c>
      <c r="AZ6" s="433">
        <v>25</v>
      </c>
      <c r="BA6" s="433">
        <v>26</v>
      </c>
      <c r="BB6" s="433">
        <v>27</v>
      </c>
      <c r="BC6" s="433">
        <v>28</v>
      </c>
      <c r="BD6" s="780"/>
      <c r="BE6" s="930"/>
      <c r="BF6" s="931"/>
      <c r="BG6" s="932"/>
      <c r="BH6" s="444"/>
      <c r="BI6" s="433">
        <v>29</v>
      </c>
      <c r="BJ6" s="433">
        <v>30</v>
      </c>
      <c r="BK6" s="444"/>
      <c r="BL6" s="930"/>
      <c r="BM6" s="931"/>
      <c r="BN6" s="932"/>
      <c r="BP6" s="4475"/>
      <c r="BQ6" s="4478"/>
      <c r="BS6" s="443" t="s">
        <v>7</v>
      </c>
      <c r="BT6" s="443" t="s">
        <v>2</v>
      </c>
      <c r="BU6" s="444"/>
      <c r="BW6" s="512">
        <f>BT4-BS1</f>
        <v>-3.8277661748724379E-2</v>
      </c>
      <c r="BX6" s="444"/>
      <c r="BY6" s="444" t="s">
        <v>101</v>
      </c>
      <c r="BZ6" s="472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</row>
    <row r="7" spans="1:171" s="255" customFormat="1" ht="15" customHeight="1" thickBot="1" x14ac:dyDescent="0.25">
      <c r="B7" s="81"/>
      <c r="C7" s="81" t="s">
        <v>19</v>
      </c>
      <c r="D7" s="81"/>
      <c r="E7" s="81"/>
      <c r="F7" s="81"/>
      <c r="G7" s="81"/>
      <c r="H7" s="81"/>
      <c r="I7" s="81"/>
      <c r="J7" s="81"/>
      <c r="K7" s="33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S7" s="4519" t="s">
        <v>99</v>
      </c>
      <c r="BT7" s="4519"/>
      <c r="BU7" s="1273">
        <f>BS5-BS3</f>
        <v>179.31666666666661</v>
      </c>
      <c r="BW7" s="573">
        <f>BW6*E33</f>
        <v>-142.65000000000026</v>
      </c>
    </row>
    <row r="8" spans="1:171" s="432" customFormat="1" x14ac:dyDescent="0.2">
      <c r="A8" s="775"/>
      <c r="B8" s="433">
        <v>1</v>
      </c>
      <c r="C8" s="433" t="s">
        <v>134</v>
      </c>
      <c r="D8" s="780"/>
      <c r="E8" s="347">
        <v>400</v>
      </c>
      <c r="F8" s="347">
        <f t="shared" ref="F8:F15" si="3">E8/10</f>
        <v>40</v>
      </c>
      <c r="G8" s="347">
        <f t="shared" ref="G8:G15" si="4">E8/15</f>
        <v>26.666666666666668</v>
      </c>
      <c r="H8" s="347">
        <f t="shared" ref="H8:H15" si="5">E8/20</f>
        <v>20</v>
      </c>
      <c r="I8" s="347">
        <f t="shared" ref="I8:I15" si="6">E8/25</f>
        <v>16</v>
      </c>
      <c r="J8" s="347">
        <f t="shared" ref="J8:J17" si="7">E8/30</f>
        <v>13.333333333333334</v>
      </c>
      <c r="K8" s="531">
        <f t="shared" ref="K8:K17" si="8">E8/$E$31</f>
        <v>0.35777695290313638</v>
      </c>
      <c r="L8" s="491"/>
      <c r="M8" s="347">
        <f t="shared" ref="M8:S8" si="9">$J$8</f>
        <v>13.333333333333334</v>
      </c>
      <c r="N8" s="347">
        <f t="shared" si="9"/>
        <v>13.333333333333334</v>
      </c>
      <c r="O8" s="347">
        <f t="shared" si="9"/>
        <v>13.333333333333334</v>
      </c>
      <c r="P8" s="347">
        <f t="shared" si="9"/>
        <v>13.333333333333334</v>
      </c>
      <c r="Q8" s="347">
        <f t="shared" si="9"/>
        <v>13.333333333333334</v>
      </c>
      <c r="R8" s="347">
        <f t="shared" si="9"/>
        <v>13.333333333333334</v>
      </c>
      <c r="S8" s="347">
        <f t="shared" si="9"/>
        <v>13.333333333333334</v>
      </c>
      <c r="T8" s="481"/>
      <c r="U8" s="933">
        <f t="shared" ref="U8:U55" si="10">SUM(M8:S8)</f>
        <v>93.333333333333329</v>
      </c>
      <c r="V8" s="618">
        <f>($U$3*K8)*30%</f>
        <v>92.40305362629303</v>
      </c>
      <c r="W8" s="1180">
        <f>V8-U8</f>
        <v>-0.93027970704029883</v>
      </c>
      <c r="X8" s="781"/>
      <c r="Y8" s="347">
        <f t="shared" ref="Y8:AE8" si="11">$J$8</f>
        <v>13.333333333333334</v>
      </c>
      <c r="Z8" s="347">
        <f t="shared" si="11"/>
        <v>13.333333333333334</v>
      </c>
      <c r="AA8" s="347">
        <f t="shared" si="11"/>
        <v>13.333333333333334</v>
      </c>
      <c r="AB8" s="347">
        <f t="shared" si="11"/>
        <v>13.333333333333334</v>
      </c>
      <c r="AC8" s="347">
        <f t="shared" si="11"/>
        <v>13.333333333333334</v>
      </c>
      <c r="AD8" s="347">
        <f t="shared" si="11"/>
        <v>13.333333333333334</v>
      </c>
      <c r="AE8" s="347">
        <f t="shared" si="11"/>
        <v>13.333333333333334</v>
      </c>
      <c r="AF8" s="781"/>
      <c r="AG8" s="933">
        <f>SUM(Y8:AE8)</f>
        <v>93.333333333333329</v>
      </c>
      <c r="AH8" s="934">
        <f>($AG$3*K8)*30%</f>
        <v>87.755531008081292</v>
      </c>
      <c r="AI8" s="935">
        <f>AH8-AG8</f>
        <v>-5.577802325252037</v>
      </c>
      <c r="AJ8" s="781"/>
      <c r="AK8" s="483">
        <f t="shared" ref="AK8:AQ8" si="12">$J$8</f>
        <v>13.333333333333334</v>
      </c>
      <c r="AL8" s="483">
        <f t="shared" si="12"/>
        <v>13.333333333333334</v>
      </c>
      <c r="AM8" s="483">
        <f t="shared" si="12"/>
        <v>13.333333333333334</v>
      </c>
      <c r="AN8" s="483">
        <f t="shared" si="12"/>
        <v>13.333333333333334</v>
      </c>
      <c r="AO8" s="483">
        <f t="shared" si="12"/>
        <v>13.333333333333334</v>
      </c>
      <c r="AP8" s="483">
        <f t="shared" si="12"/>
        <v>13.333333333333334</v>
      </c>
      <c r="AQ8" s="483">
        <f t="shared" si="12"/>
        <v>13.333333333333334</v>
      </c>
      <c r="AR8" s="781"/>
      <c r="AS8" s="933">
        <f>SUM(AK8:AQ8)</f>
        <v>93.333333333333329</v>
      </c>
      <c r="AT8" s="934">
        <f>($AS$3*K8)*30%</f>
        <v>67.179778446621924</v>
      </c>
      <c r="AU8" s="935">
        <f>AT8-AS8</f>
        <v>-26.153554886711404</v>
      </c>
      <c r="AV8" s="781"/>
      <c r="AW8" s="483">
        <f t="shared" ref="AW8:BC8" si="13">$J$8</f>
        <v>13.333333333333334</v>
      </c>
      <c r="AX8" s="483">
        <f t="shared" si="13"/>
        <v>13.333333333333334</v>
      </c>
      <c r="AY8" s="483">
        <f t="shared" si="13"/>
        <v>13.333333333333334</v>
      </c>
      <c r="AZ8" s="483">
        <f t="shared" si="13"/>
        <v>13.333333333333334</v>
      </c>
      <c r="BA8" s="483">
        <f t="shared" si="13"/>
        <v>13.333333333333334</v>
      </c>
      <c r="BB8" s="483">
        <f t="shared" si="13"/>
        <v>13.333333333333334</v>
      </c>
      <c r="BC8" s="483">
        <f t="shared" si="13"/>
        <v>13.333333333333334</v>
      </c>
      <c r="BD8" s="781"/>
      <c r="BE8" s="933">
        <f t="shared" ref="BE8:BE27" si="14">SUM(AW8:BC8)</f>
        <v>93.333333333333329</v>
      </c>
      <c r="BF8" s="934">
        <f>($BE$3*K8)*30%</f>
        <v>95.998712002969555</v>
      </c>
      <c r="BG8" s="935">
        <f>BF8-BE8</f>
        <v>2.665378669636226</v>
      </c>
      <c r="BH8" s="481"/>
      <c r="BI8" s="347">
        <f t="shared" ref="BI8:BJ8" si="15">$J$8</f>
        <v>13.333333333333334</v>
      </c>
      <c r="BJ8" s="347">
        <f t="shared" si="15"/>
        <v>13.333333333333334</v>
      </c>
      <c r="BK8" s="481"/>
      <c r="BL8" s="933">
        <f t="shared" ref="BL8:BL17" si="16">SUM(BI8:BJ8)</f>
        <v>26.666666666666668</v>
      </c>
      <c r="BM8" s="934">
        <f t="shared" ref="BM8:BM17" si="17">($BL$3*K8)*30%</f>
        <v>37.416313734610007</v>
      </c>
      <c r="BN8" s="935">
        <f>BM8-BL8</f>
        <v>10.749647067943339</v>
      </c>
      <c r="BP8" s="764">
        <v>400</v>
      </c>
      <c r="BQ8" s="485">
        <f t="shared" ref="BQ8:BQ19" si="18">BP8/E8</f>
        <v>1</v>
      </c>
      <c r="BS8" s="933">
        <f t="shared" ref="BS8:BS17" si="19">SUM(M8:S8)+SUM(Y8:AE8)+SUM(AK8:AQ8)+SUM(AW8:BC8)+SUM(BI8:BJ8)</f>
        <v>400</v>
      </c>
      <c r="BT8" s="1013">
        <f t="shared" ref="BT8:BT19" si="20">BS8/E8</f>
        <v>1</v>
      </c>
      <c r="BU8" s="482"/>
      <c r="BW8" s="62"/>
      <c r="BX8" s="62"/>
      <c r="BY8" s="81"/>
      <c r="BZ8" s="81"/>
      <c r="CA8" s="81"/>
      <c r="CB8" s="81"/>
      <c r="CC8" s="81"/>
      <c r="CD8" s="81"/>
      <c r="CE8" s="81"/>
    </row>
    <row r="9" spans="1:171" s="255" customFormat="1" x14ac:dyDescent="0.2">
      <c r="B9" s="43">
        <v>2</v>
      </c>
      <c r="C9" s="43" t="s">
        <v>22</v>
      </c>
      <c r="D9" s="813"/>
      <c r="E9" s="40">
        <v>200</v>
      </c>
      <c r="F9" s="40">
        <f t="shared" si="3"/>
        <v>20</v>
      </c>
      <c r="G9" s="40">
        <f t="shared" si="4"/>
        <v>13.333333333333334</v>
      </c>
      <c r="H9" s="40">
        <f t="shared" si="5"/>
        <v>10</v>
      </c>
      <c r="I9" s="40">
        <f t="shared" si="6"/>
        <v>8</v>
      </c>
      <c r="J9" s="40">
        <f t="shared" si="7"/>
        <v>6.666666666666667</v>
      </c>
      <c r="K9" s="206">
        <f t="shared" si="8"/>
        <v>0.17888847645156819</v>
      </c>
      <c r="L9" s="411"/>
      <c r="M9" s="40">
        <f t="shared" ref="M9:S9" si="21">$J$9</f>
        <v>6.666666666666667</v>
      </c>
      <c r="N9" s="40">
        <f t="shared" si="21"/>
        <v>6.666666666666667</v>
      </c>
      <c r="O9" s="40">
        <f t="shared" si="21"/>
        <v>6.666666666666667</v>
      </c>
      <c r="P9" s="40">
        <f t="shared" si="21"/>
        <v>6.666666666666667</v>
      </c>
      <c r="Q9" s="40">
        <f t="shared" si="21"/>
        <v>6.666666666666667</v>
      </c>
      <c r="R9" s="40">
        <f t="shared" si="21"/>
        <v>6.666666666666667</v>
      </c>
      <c r="S9" s="40">
        <f t="shared" si="21"/>
        <v>6.666666666666667</v>
      </c>
      <c r="T9" s="1163"/>
      <c r="U9" s="911">
        <f t="shared" si="10"/>
        <v>46.666666666666664</v>
      </c>
      <c r="V9" s="40">
        <f t="shared" ref="V9:V25" si="22">($U$3*K9)*30%</f>
        <v>46.201526813146515</v>
      </c>
      <c r="W9" s="586">
        <f t="shared" ref="W9:W27" si="23">V9-U9</f>
        <v>-0.46513985352014942</v>
      </c>
      <c r="X9" s="782"/>
      <c r="Y9" s="40">
        <f t="shared" ref="Y9:AE9" si="24">$J$9</f>
        <v>6.666666666666667</v>
      </c>
      <c r="Z9" s="40">
        <f t="shared" si="24"/>
        <v>6.666666666666667</v>
      </c>
      <c r="AA9" s="40">
        <f t="shared" si="24"/>
        <v>6.666666666666667</v>
      </c>
      <c r="AB9" s="40">
        <f t="shared" si="24"/>
        <v>6.666666666666667</v>
      </c>
      <c r="AC9" s="40">
        <f t="shared" si="24"/>
        <v>6.666666666666667</v>
      </c>
      <c r="AD9" s="40">
        <f t="shared" si="24"/>
        <v>6.666666666666667</v>
      </c>
      <c r="AE9" s="40">
        <f t="shared" si="24"/>
        <v>6.666666666666667</v>
      </c>
      <c r="AF9" s="782"/>
      <c r="AG9" s="911">
        <f t="shared" ref="AG9:AG27" si="25">SUM(Y9:AE9)</f>
        <v>46.666666666666664</v>
      </c>
      <c r="AH9" s="1158">
        <f t="shared" ref="AH9:AH25" si="26">($AG$3*K9)*30%</f>
        <v>43.877765504040646</v>
      </c>
      <c r="AI9" s="936">
        <f t="shared" ref="AI9:AI27" si="27">AH9-AG9</f>
        <v>-2.7889011626260185</v>
      </c>
      <c r="AJ9" s="782"/>
      <c r="AK9" s="1158">
        <f t="shared" ref="AK9:AQ9" si="28">$J$9</f>
        <v>6.666666666666667</v>
      </c>
      <c r="AL9" s="1258">
        <f t="shared" si="28"/>
        <v>6.666666666666667</v>
      </c>
      <c r="AM9" s="1262">
        <f t="shared" si="28"/>
        <v>6.666666666666667</v>
      </c>
      <c r="AN9" s="1262">
        <f t="shared" si="28"/>
        <v>6.666666666666667</v>
      </c>
      <c r="AO9" s="1266">
        <f t="shared" si="28"/>
        <v>6.666666666666667</v>
      </c>
      <c r="AP9" s="1268">
        <f t="shared" si="28"/>
        <v>6.666666666666667</v>
      </c>
      <c r="AQ9" s="1272">
        <f t="shared" si="28"/>
        <v>6.666666666666667</v>
      </c>
      <c r="AR9" s="782"/>
      <c r="AS9" s="911">
        <f t="shared" ref="AS9:AS27" si="29">SUM(AK9:AQ9)</f>
        <v>46.666666666666664</v>
      </c>
      <c r="AT9" s="1158">
        <f t="shared" ref="AT9:AT27" si="30">($AS$3*K9)*30%</f>
        <v>33.589889223310962</v>
      </c>
      <c r="AU9" s="936">
        <f t="shared" ref="AU9:AU10" si="31">AT9-AS9</f>
        <v>-13.076777443355702</v>
      </c>
      <c r="AV9" s="782"/>
      <c r="AW9" s="1158">
        <f t="shared" ref="AW9:BC9" si="32">$J$9</f>
        <v>6.666666666666667</v>
      </c>
      <c r="AX9" s="1276">
        <f t="shared" si="32"/>
        <v>6.666666666666667</v>
      </c>
      <c r="AY9" s="1277">
        <f t="shared" si="32"/>
        <v>6.666666666666667</v>
      </c>
      <c r="AZ9" s="1277">
        <f t="shared" si="32"/>
        <v>6.666666666666667</v>
      </c>
      <c r="BA9" s="1280">
        <f t="shared" si="32"/>
        <v>6.666666666666667</v>
      </c>
      <c r="BB9" s="1284">
        <f t="shared" si="32"/>
        <v>6.666666666666667</v>
      </c>
      <c r="BC9" s="1284">
        <f t="shared" si="32"/>
        <v>6.666666666666667</v>
      </c>
      <c r="BD9" s="782"/>
      <c r="BE9" s="911">
        <f t="shared" si="14"/>
        <v>46.666666666666664</v>
      </c>
      <c r="BF9" s="1158">
        <f t="shared" ref="BF9:BF27" si="33">($BE$3*K9)*30%</f>
        <v>47.999356001484777</v>
      </c>
      <c r="BG9" s="936">
        <f t="shared" ref="BG9:BG10" si="34">BF9-BE9</f>
        <v>1.332689334818113</v>
      </c>
      <c r="BH9" s="1163"/>
      <c r="BI9" s="40">
        <f t="shared" ref="BI9:BJ9" si="35">$J$9</f>
        <v>6.666666666666667</v>
      </c>
      <c r="BJ9" s="40">
        <f t="shared" si="35"/>
        <v>6.666666666666667</v>
      </c>
      <c r="BK9" s="1163"/>
      <c r="BL9" s="911">
        <f t="shared" si="16"/>
        <v>13.333333333333334</v>
      </c>
      <c r="BM9" s="1158">
        <f t="shared" si="17"/>
        <v>18.708156867305004</v>
      </c>
      <c r="BN9" s="936">
        <f t="shared" ref="BN9:BN10" si="36">BM9-BL9</f>
        <v>5.3748235339716697</v>
      </c>
      <c r="BP9" s="187">
        <v>200</v>
      </c>
      <c r="BQ9" s="51">
        <f t="shared" si="18"/>
        <v>1</v>
      </c>
      <c r="BS9" s="925">
        <f t="shared" si="19"/>
        <v>200</v>
      </c>
      <c r="BT9" s="1014">
        <f t="shared" si="20"/>
        <v>1</v>
      </c>
      <c r="BU9" s="62"/>
      <c r="BW9" s="1224"/>
      <c r="BX9" s="482"/>
      <c r="BY9" s="444"/>
      <c r="BZ9" s="438"/>
      <c r="CA9" s="438"/>
      <c r="CB9" s="438"/>
      <c r="CC9" s="438"/>
      <c r="CD9" s="438"/>
      <c r="CE9" s="438"/>
    </row>
    <row r="10" spans="1:171" s="1160" customFormat="1" x14ac:dyDescent="0.2">
      <c r="B10" s="433">
        <v>3</v>
      </c>
      <c r="C10" s="3" t="s">
        <v>23</v>
      </c>
      <c r="D10" s="814"/>
      <c r="E10" s="5">
        <v>60</v>
      </c>
      <c r="F10" s="5">
        <f t="shared" si="3"/>
        <v>6</v>
      </c>
      <c r="G10" s="5">
        <f t="shared" si="4"/>
        <v>4</v>
      </c>
      <c r="H10" s="5">
        <f t="shared" si="5"/>
        <v>3</v>
      </c>
      <c r="I10" s="5">
        <f t="shared" si="6"/>
        <v>2.4</v>
      </c>
      <c r="J10" s="5">
        <f t="shared" si="7"/>
        <v>2</v>
      </c>
      <c r="K10" s="194">
        <f t="shared" si="8"/>
        <v>5.3666542935470463E-2</v>
      </c>
      <c r="L10" s="28"/>
      <c r="M10" s="5">
        <f t="shared" ref="M10:S10" si="37">$J$10</f>
        <v>2</v>
      </c>
      <c r="N10" s="5">
        <f t="shared" si="37"/>
        <v>2</v>
      </c>
      <c r="O10" s="5">
        <f t="shared" si="37"/>
        <v>2</v>
      </c>
      <c r="P10" s="5">
        <f t="shared" si="37"/>
        <v>2</v>
      </c>
      <c r="Q10" s="5">
        <f t="shared" si="37"/>
        <v>2</v>
      </c>
      <c r="R10" s="5">
        <f t="shared" si="37"/>
        <v>2</v>
      </c>
      <c r="S10" s="5">
        <f t="shared" si="37"/>
        <v>2</v>
      </c>
      <c r="T10" s="14"/>
      <c r="U10" s="937">
        <f t="shared" si="10"/>
        <v>14</v>
      </c>
      <c r="V10" s="5">
        <f t="shared" si="22"/>
        <v>13.860458043943959</v>
      </c>
      <c r="W10" s="1143">
        <f t="shared" si="23"/>
        <v>-0.13954195605604092</v>
      </c>
      <c r="X10" s="145"/>
      <c r="Y10" s="5">
        <f t="shared" ref="Y10:AE10" si="38">$J$10</f>
        <v>2</v>
      </c>
      <c r="Z10" s="5">
        <f t="shared" si="38"/>
        <v>2</v>
      </c>
      <c r="AA10" s="5">
        <f t="shared" si="38"/>
        <v>2</v>
      </c>
      <c r="AB10" s="5">
        <f t="shared" si="38"/>
        <v>2</v>
      </c>
      <c r="AC10" s="5">
        <f t="shared" si="38"/>
        <v>2</v>
      </c>
      <c r="AD10" s="5">
        <f t="shared" si="38"/>
        <v>2</v>
      </c>
      <c r="AE10" s="5">
        <f t="shared" si="38"/>
        <v>2</v>
      </c>
      <c r="AF10" s="145"/>
      <c r="AG10" s="937">
        <f t="shared" si="25"/>
        <v>14</v>
      </c>
      <c r="AH10" s="1159">
        <f t="shared" si="26"/>
        <v>13.163329651212196</v>
      </c>
      <c r="AI10" s="938">
        <f t="shared" si="27"/>
        <v>-0.83667034878780377</v>
      </c>
      <c r="AJ10" s="145"/>
      <c r="AK10" s="1159">
        <f t="shared" ref="AK10:AQ10" si="39">$J$10</f>
        <v>2</v>
      </c>
      <c r="AL10" s="1257">
        <f t="shared" si="39"/>
        <v>2</v>
      </c>
      <c r="AM10" s="1263">
        <f t="shared" si="39"/>
        <v>2</v>
      </c>
      <c r="AN10" s="1263">
        <f t="shared" si="39"/>
        <v>2</v>
      </c>
      <c r="AO10" s="1265">
        <f t="shared" si="39"/>
        <v>2</v>
      </c>
      <c r="AP10" s="1269">
        <f t="shared" si="39"/>
        <v>2</v>
      </c>
      <c r="AQ10" s="1271">
        <f t="shared" si="39"/>
        <v>2</v>
      </c>
      <c r="AR10" s="145"/>
      <c r="AS10" s="937">
        <f t="shared" si="29"/>
        <v>14</v>
      </c>
      <c r="AT10" s="1159">
        <f t="shared" si="30"/>
        <v>10.076966766993291</v>
      </c>
      <c r="AU10" s="938">
        <f t="shared" si="31"/>
        <v>-3.9230332330067093</v>
      </c>
      <c r="AV10" s="145"/>
      <c r="AW10" s="1159">
        <f t="shared" ref="AW10:BC10" si="40">$J$10</f>
        <v>2</v>
      </c>
      <c r="AX10" s="1275">
        <f t="shared" si="40"/>
        <v>2</v>
      </c>
      <c r="AY10" s="1278">
        <f t="shared" si="40"/>
        <v>2</v>
      </c>
      <c r="AZ10" s="1278">
        <f t="shared" si="40"/>
        <v>2</v>
      </c>
      <c r="BA10" s="1281">
        <f t="shared" si="40"/>
        <v>2</v>
      </c>
      <c r="BB10" s="1283">
        <f t="shared" si="40"/>
        <v>2</v>
      </c>
      <c r="BC10" s="1283">
        <f t="shared" si="40"/>
        <v>2</v>
      </c>
      <c r="BD10" s="145"/>
      <c r="BE10" s="937">
        <f t="shared" si="14"/>
        <v>14</v>
      </c>
      <c r="BF10" s="1159">
        <f t="shared" si="33"/>
        <v>14.399806800445432</v>
      </c>
      <c r="BG10" s="938">
        <f t="shared" si="34"/>
        <v>0.39980680044543249</v>
      </c>
      <c r="BH10" s="14"/>
      <c r="BI10" s="5">
        <f t="shared" ref="BI10:BJ10" si="41">$J$10</f>
        <v>2</v>
      </c>
      <c r="BJ10" s="5">
        <f t="shared" si="41"/>
        <v>2</v>
      </c>
      <c r="BK10" s="14"/>
      <c r="BL10" s="937">
        <f t="shared" si="16"/>
        <v>4</v>
      </c>
      <c r="BM10" s="1159">
        <f t="shared" si="17"/>
        <v>5.6124470601915011</v>
      </c>
      <c r="BN10" s="938">
        <f t="shared" si="36"/>
        <v>1.6124470601915011</v>
      </c>
      <c r="BP10" s="1142">
        <v>60</v>
      </c>
      <c r="BQ10" s="9">
        <f t="shared" si="18"/>
        <v>1</v>
      </c>
      <c r="BS10" s="937">
        <f t="shared" si="19"/>
        <v>60</v>
      </c>
      <c r="BT10" s="1015">
        <f t="shared" si="20"/>
        <v>1</v>
      </c>
      <c r="BU10" s="182">
        <f>BP10-24.8</f>
        <v>35.200000000000003</v>
      </c>
      <c r="BW10" s="1098">
        <f>BS4-1057.8</f>
        <v>17.419999999999845</v>
      </c>
      <c r="BX10" s="480"/>
      <c r="BY10" s="438"/>
      <c r="BZ10" s="444"/>
      <c r="CA10" s="444"/>
      <c r="CB10" s="444"/>
      <c r="CC10" s="444"/>
      <c r="CD10" s="444"/>
      <c r="CE10" s="444"/>
    </row>
    <row r="11" spans="1:171" s="255" customFormat="1" x14ac:dyDescent="0.2">
      <c r="B11" s="43">
        <v>4</v>
      </c>
      <c r="C11" s="43" t="s">
        <v>127</v>
      </c>
      <c r="D11" s="813"/>
      <c r="E11" s="40">
        <v>54.255000000000003</v>
      </c>
      <c r="F11" s="40">
        <f t="shared" si="3"/>
        <v>5.4255000000000004</v>
      </c>
      <c r="G11" s="40">
        <f t="shared" si="4"/>
        <v>3.617</v>
      </c>
      <c r="H11" s="40">
        <f t="shared" si="5"/>
        <v>2.7127500000000002</v>
      </c>
      <c r="I11" s="40">
        <f t="shared" si="6"/>
        <v>2.1701999999999999</v>
      </c>
      <c r="J11" s="40">
        <f t="shared" si="7"/>
        <v>1.8085</v>
      </c>
      <c r="K11" s="206">
        <f t="shared" si="8"/>
        <v>4.8527971449399167E-2</v>
      </c>
      <c r="L11" s="411"/>
      <c r="M11" s="40">
        <f t="shared" ref="M11:S11" si="42">$J$11</f>
        <v>1.8085</v>
      </c>
      <c r="N11" s="40">
        <f t="shared" si="42"/>
        <v>1.8085</v>
      </c>
      <c r="O11" s="40">
        <f t="shared" si="42"/>
        <v>1.8085</v>
      </c>
      <c r="P11" s="40">
        <f t="shared" si="42"/>
        <v>1.8085</v>
      </c>
      <c r="Q11" s="40">
        <f t="shared" si="42"/>
        <v>1.8085</v>
      </c>
      <c r="R11" s="40">
        <f t="shared" si="42"/>
        <v>1.8085</v>
      </c>
      <c r="S11" s="40">
        <f t="shared" si="42"/>
        <v>1.8085</v>
      </c>
      <c r="T11" s="1163"/>
      <c r="U11" s="911">
        <f t="shared" si="10"/>
        <v>12.659500000000001</v>
      </c>
      <c r="V11" s="40">
        <f t="shared" si="22"/>
        <v>12.533319186236325</v>
      </c>
      <c r="W11" s="586">
        <f>V11-U11</f>
        <v>-0.12618081376367662</v>
      </c>
      <c r="X11" s="782"/>
      <c r="Y11" s="40">
        <f t="shared" ref="Y11:AE11" si="43">$J$11</f>
        <v>1.8085</v>
      </c>
      <c r="Z11" s="40">
        <f t="shared" si="43"/>
        <v>1.8085</v>
      </c>
      <c r="AA11" s="40">
        <f t="shared" si="43"/>
        <v>1.8085</v>
      </c>
      <c r="AB11" s="40">
        <f t="shared" si="43"/>
        <v>1.8085</v>
      </c>
      <c r="AC11" s="40">
        <f t="shared" si="43"/>
        <v>1.8085</v>
      </c>
      <c r="AD11" s="40">
        <f t="shared" si="43"/>
        <v>1.8085</v>
      </c>
      <c r="AE11" s="40">
        <f t="shared" si="43"/>
        <v>1.8085</v>
      </c>
      <c r="AF11" s="782"/>
      <c r="AG11" s="911">
        <f t="shared" si="25"/>
        <v>12.659500000000001</v>
      </c>
      <c r="AH11" s="1158">
        <f t="shared" si="26"/>
        <v>11.902940837108627</v>
      </c>
      <c r="AI11" s="936">
        <f>AH11-AG11</f>
        <v>-0.75655916289137437</v>
      </c>
      <c r="AJ11" s="782"/>
      <c r="AK11" s="1158">
        <f t="shared" ref="AK11:AQ11" si="44">$J$11</f>
        <v>1.8085</v>
      </c>
      <c r="AL11" s="1258">
        <f t="shared" si="44"/>
        <v>1.8085</v>
      </c>
      <c r="AM11" s="1262">
        <f t="shared" si="44"/>
        <v>1.8085</v>
      </c>
      <c r="AN11" s="1262">
        <f t="shared" si="44"/>
        <v>1.8085</v>
      </c>
      <c r="AO11" s="1266">
        <f t="shared" si="44"/>
        <v>1.8085</v>
      </c>
      <c r="AP11" s="1268">
        <f t="shared" si="44"/>
        <v>1.8085</v>
      </c>
      <c r="AQ11" s="1272">
        <f t="shared" si="44"/>
        <v>1.8085</v>
      </c>
      <c r="AR11" s="782"/>
      <c r="AS11" s="911">
        <f t="shared" si="29"/>
        <v>12.659500000000001</v>
      </c>
      <c r="AT11" s="1158">
        <f t="shared" si="30"/>
        <v>9.1120971990536823</v>
      </c>
      <c r="AU11" s="936">
        <f>AT11-AS11</f>
        <v>-3.547402800946319</v>
      </c>
      <c r="AV11" s="782"/>
      <c r="AW11" s="1158">
        <f t="shared" ref="AW11:BC11" si="45">$J$11</f>
        <v>1.8085</v>
      </c>
      <c r="AX11" s="1276">
        <f t="shared" si="45"/>
        <v>1.8085</v>
      </c>
      <c r="AY11" s="1277">
        <f t="shared" si="45"/>
        <v>1.8085</v>
      </c>
      <c r="AZ11" s="1277">
        <f t="shared" si="45"/>
        <v>1.8085</v>
      </c>
      <c r="BA11" s="1280">
        <f t="shared" si="45"/>
        <v>1.8085</v>
      </c>
      <c r="BB11" s="1284">
        <f t="shared" si="45"/>
        <v>1.8085</v>
      </c>
      <c r="BC11" s="1284">
        <f t="shared" si="45"/>
        <v>1.8085</v>
      </c>
      <c r="BD11" s="782"/>
      <c r="BE11" s="911">
        <f t="shared" si="14"/>
        <v>12.659500000000001</v>
      </c>
      <c r="BF11" s="1158">
        <f t="shared" si="33"/>
        <v>13.021025299302783</v>
      </c>
      <c r="BG11" s="936">
        <f>BF11-BE11</f>
        <v>0.36152529930278199</v>
      </c>
      <c r="BH11" s="1163"/>
      <c r="BI11" s="40">
        <f t="shared" ref="BI11:BJ11" si="46">$J$11</f>
        <v>1.8085</v>
      </c>
      <c r="BJ11" s="40">
        <f t="shared" si="46"/>
        <v>1.8085</v>
      </c>
      <c r="BK11" s="1163"/>
      <c r="BL11" s="911">
        <f t="shared" si="16"/>
        <v>3.617</v>
      </c>
      <c r="BM11" s="1158">
        <f t="shared" si="17"/>
        <v>5.0750552541781655</v>
      </c>
      <c r="BN11" s="936">
        <f>BM11-BL11</f>
        <v>1.4580552541781655</v>
      </c>
      <c r="BP11" s="187">
        <v>54.255000000000003</v>
      </c>
      <c r="BQ11" s="51">
        <f t="shared" si="18"/>
        <v>1</v>
      </c>
      <c r="BS11" s="911">
        <f t="shared" si="19"/>
        <v>54.255000000000003</v>
      </c>
      <c r="BT11" s="1016">
        <f t="shared" si="20"/>
        <v>1</v>
      </c>
      <c r="BU11" s="62"/>
      <c r="BW11" s="1226"/>
      <c r="BX11" s="62"/>
      <c r="BY11" s="1033"/>
      <c r="BZ11" s="438"/>
      <c r="CA11" s="438"/>
      <c r="CB11" s="438"/>
      <c r="CC11" s="438"/>
      <c r="CD11" s="438"/>
      <c r="CE11" s="438"/>
    </row>
    <row r="12" spans="1:171" s="1160" customFormat="1" x14ac:dyDescent="0.2">
      <c r="A12" s="432"/>
      <c r="B12" s="433">
        <v>5</v>
      </c>
      <c r="C12" s="3" t="s">
        <v>114</v>
      </c>
      <c r="D12" s="814"/>
      <c r="E12" s="5">
        <v>25.5</v>
      </c>
      <c r="F12" s="5">
        <f t="shared" si="3"/>
        <v>2.5499999999999998</v>
      </c>
      <c r="G12" s="5">
        <f t="shared" si="4"/>
        <v>1.7</v>
      </c>
      <c r="H12" s="5">
        <f t="shared" si="5"/>
        <v>1.2749999999999999</v>
      </c>
      <c r="I12" s="5">
        <f t="shared" si="6"/>
        <v>1.02</v>
      </c>
      <c r="J12" s="5">
        <f t="shared" si="7"/>
        <v>0.85</v>
      </c>
      <c r="K12" s="194">
        <f t="shared" si="8"/>
        <v>2.2808280747574947E-2</v>
      </c>
      <c r="L12" s="28"/>
      <c r="M12" s="5">
        <f t="shared" ref="M12:S12" si="47">$J$12</f>
        <v>0.85</v>
      </c>
      <c r="N12" s="5">
        <f t="shared" si="47"/>
        <v>0.85</v>
      </c>
      <c r="O12" s="5">
        <f t="shared" si="47"/>
        <v>0.85</v>
      </c>
      <c r="P12" s="5">
        <f t="shared" si="47"/>
        <v>0.85</v>
      </c>
      <c r="Q12" s="5">
        <f t="shared" si="47"/>
        <v>0.85</v>
      </c>
      <c r="R12" s="5">
        <f t="shared" si="47"/>
        <v>0.85</v>
      </c>
      <c r="S12" s="5">
        <f t="shared" si="47"/>
        <v>0.85</v>
      </c>
      <c r="T12" s="14"/>
      <c r="U12" s="937">
        <f t="shared" si="10"/>
        <v>5.9499999999999993</v>
      </c>
      <c r="V12" s="5">
        <f t="shared" si="22"/>
        <v>5.8906946686761819</v>
      </c>
      <c r="W12" s="1143">
        <f t="shared" si="23"/>
        <v>-5.9305331323817434E-2</v>
      </c>
      <c r="X12" s="145"/>
      <c r="Y12" s="5">
        <f t="shared" ref="Y12:AE12" si="48">$J$12</f>
        <v>0.85</v>
      </c>
      <c r="Z12" s="5">
        <f t="shared" si="48"/>
        <v>0.85</v>
      </c>
      <c r="AA12" s="5">
        <f t="shared" si="48"/>
        <v>0.85</v>
      </c>
      <c r="AB12" s="5">
        <f t="shared" si="48"/>
        <v>0.85</v>
      </c>
      <c r="AC12" s="5">
        <f t="shared" si="48"/>
        <v>0.85</v>
      </c>
      <c r="AD12" s="5">
        <f t="shared" si="48"/>
        <v>0.85</v>
      </c>
      <c r="AE12" s="5">
        <f t="shared" si="48"/>
        <v>0.85</v>
      </c>
      <c r="AF12" s="145"/>
      <c r="AG12" s="937">
        <f t="shared" si="25"/>
        <v>5.9499999999999993</v>
      </c>
      <c r="AH12" s="1159">
        <f t="shared" si="26"/>
        <v>5.5944151017651835</v>
      </c>
      <c r="AI12" s="938">
        <f t="shared" si="27"/>
        <v>-0.35558489823481576</v>
      </c>
      <c r="AJ12" s="145"/>
      <c r="AK12" s="1159">
        <f t="shared" ref="AK12:AQ12" si="49">$J$12</f>
        <v>0.85</v>
      </c>
      <c r="AL12" s="1257">
        <f t="shared" si="49"/>
        <v>0.85</v>
      </c>
      <c r="AM12" s="1263">
        <f t="shared" si="49"/>
        <v>0.85</v>
      </c>
      <c r="AN12" s="1263">
        <f t="shared" si="49"/>
        <v>0.85</v>
      </c>
      <c r="AO12" s="1265">
        <f t="shared" si="49"/>
        <v>0.85</v>
      </c>
      <c r="AP12" s="1269">
        <f t="shared" si="49"/>
        <v>0.85</v>
      </c>
      <c r="AQ12" s="1271">
        <f t="shared" si="49"/>
        <v>0.85</v>
      </c>
      <c r="AR12" s="145"/>
      <c r="AS12" s="937">
        <f t="shared" si="29"/>
        <v>5.9499999999999993</v>
      </c>
      <c r="AT12" s="1159">
        <f t="shared" si="30"/>
        <v>4.2827108759721479</v>
      </c>
      <c r="AU12" s="938">
        <f t="shared" ref="AU12:AU27" si="50">AT12-AS12</f>
        <v>-1.6672891240278513</v>
      </c>
      <c r="AV12" s="145"/>
      <c r="AW12" s="1159">
        <f t="shared" ref="AW12:BC12" si="51">$J$12</f>
        <v>0.85</v>
      </c>
      <c r="AX12" s="1275">
        <f t="shared" si="51"/>
        <v>0.85</v>
      </c>
      <c r="AY12" s="1278">
        <f t="shared" si="51"/>
        <v>0.85</v>
      </c>
      <c r="AZ12" s="1278">
        <f t="shared" si="51"/>
        <v>0.85</v>
      </c>
      <c r="BA12" s="1281">
        <f t="shared" si="51"/>
        <v>0.85</v>
      </c>
      <c r="BB12" s="1283">
        <f t="shared" si="51"/>
        <v>0.85</v>
      </c>
      <c r="BC12" s="1283">
        <f t="shared" si="51"/>
        <v>0.85</v>
      </c>
      <c r="BD12" s="145"/>
      <c r="BE12" s="937">
        <f t="shared" si="14"/>
        <v>5.9499999999999993</v>
      </c>
      <c r="BF12" s="1159">
        <f t="shared" si="33"/>
        <v>6.119917890189309</v>
      </c>
      <c r="BG12" s="938">
        <f t="shared" ref="BG12:BG27" si="52">BF12-BE12</f>
        <v>0.16991789018930969</v>
      </c>
      <c r="BH12" s="14"/>
      <c r="BI12" s="5">
        <f t="shared" ref="BI12:BJ12" si="53">$J$12</f>
        <v>0.85</v>
      </c>
      <c r="BJ12" s="5">
        <f t="shared" si="53"/>
        <v>0.85</v>
      </c>
      <c r="BK12" s="14"/>
      <c r="BL12" s="937">
        <f t="shared" si="16"/>
        <v>1.7</v>
      </c>
      <c r="BM12" s="1159">
        <f t="shared" si="17"/>
        <v>2.3852900005813882</v>
      </c>
      <c r="BN12" s="938">
        <f t="shared" ref="BN12:BN25" si="54">BM12-BL12</f>
        <v>0.68529000058138823</v>
      </c>
      <c r="BP12" s="764">
        <v>25.5</v>
      </c>
      <c r="BQ12" s="9">
        <f t="shared" si="18"/>
        <v>1</v>
      </c>
      <c r="BS12" s="937">
        <f t="shared" si="19"/>
        <v>25.499999999999996</v>
      </c>
      <c r="BT12" s="1015">
        <f t="shared" si="20"/>
        <v>0.99999999999999989</v>
      </c>
      <c r="BU12" s="29"/>
      <c r="BW12" s="1227"/>
      <c r="BX12" s="482"/>
      <c r="BY12" s="1203"/>
      <c r="BZ12" s="1220"/>
      <c r="CA12" s="1220"/>
      <c r="CB12" s="1220"/>
      <c r="CC12" s="1220"/>
      <c r="CD12" s="1220"/>
      <c r="CE12" s="1220"/>
    </row>
    <row r="13" spans="1:171" s="255" customFormat="1" x14ac:dyDescent="0.2">
      <c r="A13" s="426"/>
      <c r="B13" s="43">
        <v>6</v>
      </c>
      <c r="C13" s="427" t="s">
        <v>43</v>
      </c>
      <c r="D13" s="813"/>
      <c r="E13" s="40">
        <v>20</v>
      </c>
      <c r="F13" s="40">
        <f t="shared" si="3"/>
        <v>2</v>
      </c>
      <c r="G13" s="40">
        <f t="shared" si="4"/>
        <v>1.3333333333333333</v>
      </c>
      <c r="H13" s="40">
        <f t="shared" si="5"/>
        <v>1</v>
      </c>
      <c r="I13" s="40">
        <f t="shared" si="6"/>
        <v>0.8</v>
      </c>
      <c r="J13" s="40">
        <f t="shared" si="7"/>
        <v>0.66666666666666663</v>
      </c>
      <c r="K13" s="206">
        <f t="shared" si="8"/>
        <v>1.788884764515682E-2</v>
      </c>
      <c r="L13" s="492"/>
      <c r="M13" s="40">
        <f t="shared" ref="M13:S13" si="55">$J$13</f>
        <v>0.66666666666666663</v>
      </c>
      <c r="N13" s="40">
        <f t="shared" si="55"/>
        <v>0.66666666666666663</v>
      </c>
      <c r="O13" s="40">
        <f t="shared" si="55"/>
        <v>0.66666666666666663</v>
      </c>
      <c r="P13" s="40">
        <f t="shared" si="55"/>
        <v>0.66666666666666663</v>
      </c>
      <c r="Q13" s="40">
        <f t="shared" si="55"/>
        <v>0.66666666666666663</v>
      </c>
      <c r="R13" s="40">
        <f t="shared" si="55"/>
        <v>0.66666666666666663</v>
      </c>
      <c r="S13" s="40">
        <f t="shared" si="55"/>
        <v>0.66666666666666663</v>
      </c>
      <c r="T13" s="1157"/>
      <c r="U13" s="911">
        <f t="shared" si="10"/>
        <v>4.6666666666666661</v>
      </c>
      <c r="V13" s="40">
        <f t="shared" si="22"/>
        <v>4.6201526813146518</v>
      </c>
      <c r="W13" s="586">
        <f t="shared" si="23"/>
        <v>-4.6513985352014231E-2</v>
      </c>
      <c r="X13" s="782"/>
      <c r="Y13" s="40">
        <f t="shared" ref="Y13:AE13" si="56">$J$13</f>
        <v>0.66666666666666663</v>
      </c>
      <c r="Z13" s="40">
        <f t="shared" si="56"/>
        <v>0.66666666666666663</v>
      </c>
      <c r="AA13" s="40">
        <f t="shared" si="56"/>
        <v>0.66666666666666663</v>
      </c>
      <c r="AB13" s="40">
        <f t="shared" si="56"/>
        <v>0.66666666666666663</v>
      </c>
      <c r="AC13" s="40">
        <f t="shared" si="56"/>
        <v>0.66666666666666663</v>
      </c>
      <c r="AD13" s="40">
        <f t="shared" si="56"/>
        <v>0.66666666666666663</v>
      </c>
      <c r="AE13" s="40">
        <f t="shared" si="56"/>
        <v>0.66666666666666663</v>
      </c>
      <c r="AF13" s="782"/>
      <c r="AG13" s="911">
        <f t="shared" si="25"/>
        <v>4.6666666666666661</v>
      </c>
      <c r="AH13" s="1148">
        <f t="shared" si="26"/>
        <v>4.3877765504040651</v>
      </c>
      <c r="AI13" s="936">
        <f t="shared" si="27"/>
        <v>-0.27889011626260096</v>
      </c>
      <c r="AJ13" s="782"/>
      <c r="AK13" s="1148">
        <f t="shared" ref="AK13:AQ13" si="57">$J$13</f>
        <v>0.66666666666666663</v>
      </c>
      <c r="AL13" s="1258">
        <f t="shared" si="57"/>
        <v>0.66666666666666663</v>
      </c>
      <c r="AM13" s="1262">
        <f t="shared" si="57"/>
        <v>0.66666666666666663</v>
      </c>
      <c r="AN13" s="1262">
        <f t="shared" si="57"/>
        <v>0.66666666666666663</v>
      </c>
      <c r="AO13" s="1266">
        <f t="shared" si="57"/>
        <v>0.66666666666666663</v>
      </c>
      <c r="AP13" s="1268">
        <f t="shared" si="57"/>
        <v>0.66666666666666663</v>
      </c>
      <c r="AQ13" s="1272">
        <f t="shared" si="57"/>
        <v>0.66666666666666663</v>
      </c>
      <c r="AR13" s="782"/>
      <c r="AS13" s="911">
        <f t="shared" si="29"/>
        <v>4.6666666666666661</v>
      </c>
      <c r="AT13" s="1148">
        <f t="shared" si="30"/>
        <v>3.3589889223310965</v>
      </c>
      <c r="AU13" s="936">
        <f t="shared" si="50"/>
        <v>-1.3076777443355696</v>
      </c>
      <c r="AV13" s="782"/>
      <c r="AW13" s="1148">
        <f t="shared" ref="AW13:BC13" si="58">$J$13</f>
        <v>0.66666666666666663</v>
      </c>
      <c r="AX13" s="1276">
        <f t="shared" si="58"/>
        <v>0.66666666666666663</v>
      </c>
      <c r="AY13" s="1277">
        <f t="shared" si="58"/>
        <v>0.66666666666666663</v>
      </c>
      <c r="AZ13" s="1277">
        <f t="shared" si="58"/>
        <v>0.66666666666666663</v>
      </c>
      <c r="BA13" s="1280">
        <f t="shared" si="58"/>
        <v>0.66666666666666663</v>
      </c>
      <c r="BB13" s="1284">
        <f t="shared" si="58"/>
        <v>0.66666666666666663</v>
      </c>
      <c r="BC13" s="1284">
        <f t="shared" si="58"/>
        <v>0.66666666666666663</v>
      </c>
      <c r="BD13" s="782"/>
      <c r="BE13" s="911">
        <f t="shared" si="14"/>
        <v>4.6666666666666661</v>
      </c>
      <c r="BF13" s="1148">
        <f t="shared" si="33"/>
        <v>4.7999356001484772</v>
      </c>
      <c r="BG13" s="936">
        <f t="shared" si="52"/>
        <v>0.13326893348181112</v>
      </c>
      <c r="BH13" s="1157"/>
      <c r="BI13" s="40">
        <f t="shared" ref="BI13:BJ13" si="59">$J$13</f>
        <v>0.66666666666666663</v>
      </c>
      <c r="BJ13" s="40">
        <f t="shared" si="59"/>
        <v>0.66666666666666663</v>
      </c>
      <c r="BK13" s="1157"/>
      <c r="BL13" s="911">
        <f t="shared" si="16"/>
        <v>1.3333333333333333</v>
      </c>
      <c r="BM13" s="1148">
        <f t="shared" si="17"/>
        <v>1.8708156867305004</v>
      </c>
      <c r="BN13" s="936">
        <f t="shared" si="54"/>
        <v>0.5374823533971671</v>
      </c>
      <c r="BP13" s="187">
        <v>20</v>
      </c>
      <c r="BQ13" s="51">
        <f t="shared" si="18"/>
        <v>1</v>
      </c>
      <c r="BS13" s="911">
        <f t="shared" si="19"/>
        <v>19.999999999999996</v>
      </c>
      <c r="BT13" s="1016">
        <f t="shared" si="20"/>
        <v>0.99999999999999978</v>
      </c>
      <c r="BU13" s="62"/>
      <c r="BW13" s="1224"/>
      <c r="BX13" s="29"/>
      <c r="BY13" s="1220"/>
      <c r="BZ13" s="81"/>
      <c r="CA13" s="81"/>
      <c r="CB13" s="81"/>
      <c r="CC13" s="81"/>
      <c r="CD13" s="81"/>
      <c r="CE13" s="81"/>
    </row>
    <row r="14" spans="1:171" s="432" customFormat="1" x14ac:dyDescent="0.2">
      <c r="B14" s="433">
        <v>7</v>
      </c>
      <c r="C14" s="433" t="s">
        <v>144</v>
      </c>
      <c r="D14" s="780"/>
      <c r="E14" s="347">
        <v>12</v>
      </c>
      <c r="F14" s="347">
        <f t="shared" si="3"/>
        <v>1.2</v>
      </c>
      <c r="G14" s="347">
        <f t="shared" si="4"/>
        <v>0.8</v>
      </c>
      <c r="H14" s="347">
        <f t="shared" si="5"/>
        <v>0.6</v>
      </c>
      <c r="I14" s="347">
        <f t="shared" si="6"/>
        <v>0.48</v>
      </c>
      <c r="J14" s="347">
        <f t="shared" si="7"/>
        <v>0.4</v>
      </c>
      <c r="K14" s="531">
        <f t="shared" si="8"/>
        <v>1.0733308587094093E-2</v>
      </c>
      <c r="L14" s="28"/>
      <c r="M14" s="347">
        <f t="shared" ref="M14:S14" si="60">$J$14</f>
        <v>0.4</v>
      </c>
      <c r="N14" s="347">
        <f t="shared" si="60"/>
        <v>0.4</v>
      </c>
      <c r="O14" s="347">
        <f t="shared" si="60"/>
        <v>0.4</v>
      </c>
      <c r="P14" s="347">
        <f t="shared" si="60"/>
        <v>0.4</v>
      </c>
      <c r="Q14" s="347">
        <f t="shared" si="60"/>
        <v>0.4</v>
      </c>
      <c r="R14" s="347">
        <f t="shared" si="60"/>
        <v>0.4</v>
      </c>
      <c r="S14" s="347">
        <f t="shared" si="60"/>
        <v>0.4</v>
      </c>
      <c r="T14" s="481"/>
      <c r="U14" s="927">
        <f t="shared" si="10"/>
        <v>2.8</v>
      </c>
      <c r="V14" s="347">
        <f t="shared" si="22"/>
        <v>2.7720916087887915</v>
      </c>
      <c r="W14" s="928">
        <f t="shared" si="23"/>
        <v>-2.7908391211208361E-2</v>
      </c>
      <c r="X14" s="781"/>
      <c r="Y14" s="347">
        <f t="shared" ref="Y14:AE14" si="61">$J$14</f>
        <v>0.4</v>
      </c>
      <c r="Z14" s="347">
        <f t="shared" si="61"/>
        <v>0.4</v>
      </c>
      <c r="AA14" s="347">
        <f t="shared" si="61"/>
        <v>0.4</v>
      </c>
      <c r="AB14" s="347">
        <f t="shared" si="61"/>
        <v>0.4</v>
      </c>
      <c r="AC14" s="347">
        <f t="shared" si="61"/>
        <v>0.4</v>
      </c>
      <c r="AD14" s="347">
        <f t="shared" si="61"/>
        <v>0.4</v>
      </c>
      <c r="AE14" s="347">
        <f t="shared" si="61"/>
        <v>0.4</v>
      </c>
      <c r="AF14" s="781"/>
      <c r="AG14" s="927">
        <f t="shared" si="25"/>
        <v>2.8</v>
      </c>
      <c r="AH14" s="483">
        <f t="shared" si="26"/>
        <v>2.6326659302424389</v>
      </c>
      <c r="AI14" s="939">
        <f t="shared" si="27"/>
        <v>-0.16733406975756093</v>
      </c>
      <c r="AJ14" s="781"/>
      <c r="AK14" s="483">
        <f t="shared" ref="AK14:AQ14" si="62">$J$14</f>
        <v>0.4</v>
      </c>
      <c r="AL14" s="483">
        <f t="shared" si="62"/>
        <v>0.4</v>
      </c>
      <c r="AM14" s="483">
        <f t="shared" si="62"/>
        <v>0.4</v>
      </c>
      <c r="AN14" s="483">
        <f t="shared" si="62"/>
        <v>0.4</v>
      </c>
      <c r="AO14" s="483">
        <f t="shared" si="62"/>
        <v>0.4</v>
      </c>
      <c r="AP14" s="483">
        <f t="shared" si="62"/>
        <v>0.4</v>
      </c>
      <c r="AQ14" s="483">
        <f t="shared" si="62"/>
        <v>0.4</v>
      </c>
      <c r="AR14" s="781"/>
      <c r="AS14" s="927">
        <f t="shared" si="29"/>
        <v>2.8</v>
      </c>
      <c r="AT14" s="483">
        <f t="shared" si="30"/>
        <v>2.0153933533986579</v>
      </c>
      <c r="AU14" s="939">
        <f t="shared" si="50"/>
        <v>-0.78460664660134194</v>
      </c>
      <c r="AV14" s="781"/>
      <c r="AW14" s="483">
        <f t="shared" ref="AW14:BC14" si="63">$J$14</f>
        <v>0.4</v>
      </c>
      <c r="AX14" s="483">
        <f t="shared" si="63"/>
        <v>0.4</v>
      </c>
      <c r="AY14" s="483">
        <f t="shared" si="63"/>
        <v>0.4</v>
      </c>
      <c r="AZ14" s="483">
        <f t="shared" si="63"/>
        <v>0.4</v>
      </c>
      <c r="BA14" s="483">
        <f t="shared" si="63"/>
        <v>0.4</v>
      </c>
      <c r="BB14" s="483">
        <f t="shared" si="63"/>
        <v>0.4</v>
      </c>
      <c r="BC14" s="483">
        <f t="shared" si="63"/>
        <v>0.4</v>
      </c>
      <c r="BD14" s="781"/>
      <c r="BE14" s="927">
        <f t="shared" si="14"/>
        <v>2.8</v>
      </c>
      <c r="BF14" s="483">
        <f t="shared" si="33"/>
        <v>2.8799613600890868</v>
      </c>
      <c r="BG14" s="939">
        <f t="shared" si="52"/>
        <v>7.9961360089086941E-2</v>
      </c>
      <c r="BH14" s="481"/>
      <c r="BI14" s="347">
        <f t="shared" ref="BI14:BJ14" si="64">$J$14</f>
        <v>0.4</v>
      </c>
      <c r="BJ14" s="347">
        <f t="shared" si="64"/>
        <v>0.4</v>
      </c>
      <c r="BK14" s="481"/>
      <c r="BL14" s="927">
        <f t="shared" si="16"/>
        <v>0.8</v>
      </c>
      <c r="BM14" s="483">
        <f t="shared" si="17"/>
        <v>1.1224894120383002</v>
      </c>
      <c r="BN14" s="939">
        <f t="shared" si="54"/>
        <v>0.32248941203830017</v>
      </c>
      <c r="BP14" s="764">
        <v>12</v>
      </c>
      <c r="BQ14" s="485">
        <f t="shared" si="18"/>
        <v>1</v>
      </c>
      <c r="BS14" s="927">
        <f t="shared" si="19"/>
        <v>12</v>
      </c>
      <c r="BT14" s="1017">
        <f t="shared" si="20"/>
        <v>1</v>
      </c>
      <c r="BU14" s="482"/>
      <c r="BW14" s="1220"/>
      <c r="BX14" s="1170"/>
      <c r="BY14" s="81"/>
      <c r="BZ14" s="1220"/>
      <c r="CA14" s="1220"/>
      <c r="CB14" s="1220"/>
      <c r="CC14" s="1220"/>
      <c r="CD14" s="1220"/>
      <c r="CE14" s="1220"/>
    </row>
    <row r="15" spans="1:171" s="255" customFormat="1" x14ac:dyDescent="0.2">
      <c r="A15" s="426"/>
      <c r="B15" s="43">
        <v>8</v>
      </c>
      <c r="C15" s="427" t="s">
        <v>162</v>
      </c>
      <c r="D15" s="812"/>
      <c r="E15" s="132">
        <v>10</v>
      </c>
      <c r="F15" s="132">
        <f t="shared" si="3"/>
        <v>1</v>
      </c>
      <c r="G15" s="132">
        <f t="shared" si="4"/>
        <v>0.66666666666666663</v>
      </c>
      <c r="H15" s="132">
        <f t="shared" si="5"/>
        <v>0.5</v>
      </c>
      <c r="I15" s="132">
        <f t="shared" si="6"/>
        <v>0.4</v>
      </c>
      <c r="J15" s="132">
        <f t="shared" si="7"/>
        <v>0.33333333333333331</v>
      </c>
      <c r="K15" s="478">
        <f t="shared" si="8"/>
        <v>8.9444238225784099E-3</v>
      </c>
      <c r="L15" s="492"/>
      <c r="M15" s="40">
        <f t="shared" ref="M15:S15" si="65">$J$15</f>
        <v>0.33333333333333331</v>
      </c>
      <c r="N15" s="40">
        <f t="shared" si="65"/>
        <v>0.33333333333333331</v>
      </c>
      <c r="O15" s="40">
        <f t="shared" si="65"/>
        <v>0.33333333333333331</v>
      </c>
      <c r="P15" s="40">
        <f t="shared" si="65"/>
        <v>0.33333333333333331</v>
      </c>
      <c r="Q15" s="40">
        <f t="shared" si="65"/>
        <v>0.33333333333333331</v>
      </c>
      <c r="R15" s="40">
        <f t="shared" si="65"/>
        <v>0.33333333333333331</v>
      </c>
      <c r="S15" s="40">
        <f t="shared" si="65"/>
        <v>0.33333333333333331</v>
      </c>
      <c r="T15" s="1157"/>
      <c r="U15" s="911">
        <f t="shared" si="10"/>
        <v>2.333333333333333</v>
      </c>
      <c r="V15" s="40">
        <f t="shared" si="22"/>
        <v>2.3100763406573259</v>
      </c>
      <c r="W15" s="586">
        <f t="shared" si="23"/>
        <v>-2.3256992676007116E-2</v>
      </c>
      <c r="X15" s="782"/>
      <c r="Y15" s="40">
        <f t="shared" ref="Y15:AE15" si="66">$J$15</f>
        <v>0.33333333333333331</v>
      </c>
      <c r="Z15" s="40">
        <f t="shared" si="66"/>
        <v>0.33333333333333331</v>
      </c>
      <c r="AA15" s="40">
        <f t="shared" si="66"/>
        <v>0.33333333333333331</v>
      </c>
      <c r="AB15" s="40">
        <f t="shared" si="66"/>
        <v>0.33333333333333331</v>
      </c>
      <c r="AC15" s="40">
        <f t="shared" si="66"/>
        <v>0.33333333333333331</v>
      </c>
      <c r="AD15" s="40">
        <f t="shared" si="66"/>
        <v>0.33333333333333331</v>
      </c>
      <c r="AE15" s="40">
        <f t="shared" si="66"/>
        <v>0.33333333333333331</v>
      </c>
      <c r="AF15" s="782"/>
      <c r="AG15" s="911">
        <f t="shared" si="25"/>
        <v>2.333333333333333</v>
      </c>
      <c r="AH15" s="1148">
        <f t="shared" si="26"/>
        <v>2.1938882752020326</v>
      </c>
      <c r="AI15" s="936">
        <f t="shared" si="27"/>
        <v>-0.13944505813130048</v>
      </c>
      <c r="AJ15" s="782"/>
      <c r="AK15" s="1148">
        <f t="shared" ref="AK15:AQ15" si="67">$J$15</f>
        <v>0.33333333333333331</v>
      </c>
      <c r="AL15" s="1258">
        <f t="shared" si="67"/>
        <v>0.33333333333333331</v>
      </c>
      <c r="AM15" s="1262">
        <f t="shared" si="67"/>
        <v>0.33333333333333331</v>
      </c>
      <c r="AN15" s="1262">
        <f t="shared" si="67"/>
        <v>0.33333333333333331</v>
      </c>
      <c r="AO15" s="1266">
        <f t="shared" si="67"/>
        <v>0.33333333333333331</v>
      </c>
      <c r="AP15" s="1268">
        <f t="shared" si="67"/>
        <v>0.33333333333333331</v>
      </c>
      <c r="AQ15" s="1272">
        <f t="shared" si="67"/>
        <v>0.33333333333333331</v>
      </c>
      <c r="AR15" s="782"/>
      <c r="AS15" s="911">
        <f t="shared" si="29"/>
        <v>2.333333333333333</v>
      </c>
      <c r="AT15" s="1148">
        <f t="shared" si="30"/>
        <v>1.6794944611655482</v>
      </c>
      <c r="AU15" s="936">
        <f t="shared" si="50"/>
        <v>-0.6538388721677848</v>
      </c>
      <c r="AV15" s="782"/>
      <c r="AW15" s="1148">
        <f t="shared" ref="AW15:BC15" si="68">$J$15</f>
        <v>0.33333333333333331</v>
      </c>
      <c r="AX15" s="1276">
        <f t="shared" si="68"/>
        <v>0.33333333333333331</v>
      </c>
      <c r="AY15" s="1277">
        <f t="shared" si="68"/>
        <v>0.33333333333333331</v>
      </c>
      <c r="AZ15" s="1277">
        <f t="shared" si="68"/>
        <v>0.33333333333333331</v>
      </c>
      <c r="BA15" s="1280">
        <f t="shared" si="68"/>
        <v>0.33333333333333331</v>
      </c>
      <c r="BB15" s="1284">
        <f t="shared" si="68"/>
        <v>0.33333333333333331</v>
      </c>
      <c r="BC15" s="1284">
        <f t="shared" si="68"/>
        <v>0.33333333333333331</v>
      </c>
      <c r="BD15" s="782"/>
      <c r="BE15" s="911">
        <f t="shared" si="14"/>
        <v>2.333333333333333</v>
      </c>
      <c r="BF15" s="1148">
        <f t="shared" si="33"/>
        <v>2.3999678000742386</v>
      </c>
      <c r="BG15" s="936">
        <f t="shared" si="52"/>
        <v>6.6634466740905562E-2</v>
      </c>
      <c r="BH15" s="1157"/>
      <c r="BI15" s="40">
        <f t="shared" ref="BI15:BJ15" si="69">$J$15</f>
        <v>0.33333333333333331</v>
      </c>
      <c r="BJ15" s="40">
        <f t="shared" si="69"/>
        <v>0.33333333333333331</v>
      </c>
      <c r="BK15" s="1157"/>
      <c r="BL15" s="911">
        <f t="shared" si="16"/>
        <v>0.66666666666666663</v>
      </c>
      <c r="BM15" s="1148">
        <f t="shared" si="17"/>
        <v>0.93540784336525018</v>
      </c>
      <c r="BN15" s="936">
        <f t="shared" si="54"/>
        <v>0.26874117669858355</v>
      </c>
      <c r="BP15" s="187">
        <v>10</v>
      </c>
      <c r="BQ15" s="51">
        <f t="shared" si="18"/>
        <v>1</v>
      </c>
      <c r="BS15" s="911">
        <f t="shared" si="19"/>
        <v>9.9999999999999982</v>
      </c>
      <c r="BT15" s="1016">
        <f t="shared" si="20"/>
        <v>0.99999999999999978</v>
      </c>
      <c r="BU15" s="62"/>
      <c r="BW15" s="1220"/>
      <c r="BX15" s="81"/>
      <c r="BY15" s="81"/>
      <c r="BZ15" s="81"/>
      <c r="CA15" s="81"/>
      <c r="CB15" s="81"/>
      <c r="CC15" s="81"/>
      <c r="CD15" s="81"/>
      <c r="CE15" s="81"/>
    </row>
    <row r="16" spans="1:171" s="432" customFormat="1" x14ac:dyDescent="0.2">
      <c r="B16" s="433">
        <v>9</v>
      </c>
      <c r="C16" s="663" t="s">
        <v>131</v>
      </c>
      <c r="D16" s="780"/>
      <c r="E16" s="664">
        <v>10</v>
      </c>
      <c r="F16" s="664"/>
      <c r="G16" s="664"/>
      <c r="H16" s="664"/>
      <c r="I16" s="664"/>
      <c r="J16" s="664">
        <f t="shared" si="7"/>
        <v>0.33333333333333331</v>
      </c>
      <c r="K16" s="665">
        <f t="shared" si="8"/>
        <v>8.9444238225784099E-3</v>
      </c>
      <c r="L16" s="491"/>
      <c r="M16" s="347">
        <f t="shared" ref="M16:S16" si="70">$J$16</f>
        <v>0.33333333333333331</v>
      </c>
      <c r="N16" s="347">
        <f t="shared" si="70"/>
        <v>0.33333333333333331</v>
      </c>
      <c r="O16" s="347">
        <f t="shared" si="70"/>
        <v>0.33333333333333331</v>
      </c>
      <c r="P16" s="347">
        <f t="shared" si="70"/>
        <v>0.33333333333333331</v>
      </c>
      <c r="Q16" s="347">
        <f t="shared" si="70"/>
        <v>0.33333333333333331</v>
      </c>
      <c r="R16" s="347">
        <f t="shared" si="70"/>
        <v>0.33333333333333331</v>
      </c>
      <c r="S16" s="347">
        <f t="shared" si="70"/>
        <v>0.33333333333333331</v>
      </c>
      <c r="T16" s="481"/>
      <c r="U16" s="927">
        <f t="shared" si="10"/>
        <v>2.333333333333333</v>
      </c>
      <c r="V16" s="347">
        <f t="shared" si="22"/>
        <v>2.3100763406573259</v>
      </c>
      <c r="W16" s="928">
        <f t="shared" si="23"/>
        <v>-2.3256992676007116E-2</v>
      </c>
      <c r="X16" s="781"/>
      <c r="Y16" s="347">
        <f t="shared" ref="Y16:AE16" si="71">$J$16</f>
        <v>0.33333333333333331</v>
      </c>
      <c r="Z16" s="347">
        <f t="shared" si="71"/>
        <v>0.33333333333333331</v>
      </c>
      <c r="AA16" s="347">
        <f t="shared" si="71"/>
        <v>0.33333333333333331</v>
      </c>
      <c r="AB16" s="347">
        <f t="shared" si="71"/>
        <v>0.33333333333333331</v>
      </c>
      <c r="AC16" s="347">
        <f t="shared" si="71"/>
        <v>0.33333333333333331</v>
      </c>
      <c r="AD16" s="347">
        <f t="shared" si="71"/>
        <v>0.33333333333333331</v>
      </c>
      <c r="AE16" s="347">
        <f t="shared" si="71"/>
        <v>0.33333333333333331</v>
      </c>
      <c r="AF16" s="781"/>
      <c r="AG16" s="940">
        <f t="shared" si="25"/>
        <v>2.333333333333333</v>
      </c>
      <c r="AH16" s="667">
        <f t="shared" si="26"/>
        <v>2.1938882752020326</v>
      </c>
      <c r="AI16" s="941">
        <f t="shared" si="27"/>
        <v>-0.13944505813130048</v>
      </c>
      <c r="AJ16" s="781"/>
      <c r="AK16" s="667">
        <f t="shared" ref="AK16:AQ16" si="72">$J$16</f>
        <v>0.33333333333333331</v>
      </c>
      <c r="AL16" s="667">
        <f t="shared" si="72"/>
        <v>0.33333333333333331</v>
      </c>
      <c r="AM16" s="667">
        <f t="shared" si="72"/>
        <v>0.33333333333333331</v>
      </c>
      <c r="AN16" s="667">
        <f t="shared" si="72"/>
        <v>0.33333333333333331</v>
      </c>
      <c r="AO16" s="667">
        <f t="shared" si="72"/>
        <v>0.33333333333333331</v>
      </c>
      <c r="AP16" s="667">
        <f t="shared" si="72"/>
        <v>0.33333333333333331</v>
      </c>
      <c r="AQ16" s="667">
        <f t="shared" si="72"/>
        <v>0.33333333333333331</v>
      </c>
      <c r="AR16" s="781"/>
      <c r="AS16" s="940">
        <f t="shared" si="29"/>
        <v>2.333333333333333</v>
      </c>
      <c r="AT16" s="667">
        <f t="shared" si="30"/>
        <v>1.6794944611655482</v>
      </c>
      <c r="AU16" s="941">
        <f t="shared" si="50"/>
        <v>-0.6538388721677848</v>
      </c>
      <c r="AV16" s="781"/>
      <c r="AW16" s="667">
        <f t="shared" ref="AW16:BC16" si="73">$J$16</f>
        <v>0.33333333333333331</v>
      </c>
      <c r="AX16" s="667">
        <f t="shared" si="73"/>
        <v>0.33333333333333331</v>
      </c>
      <c r="AY16" s="667">
        <f t="shared" si="73"/>
        <v>0.33333333333333331</v>
      </c>
      <c r="AZ16" s="667">
        <f t="shared" si="73"/>
        <v>0.33333333333333331</v>
      </c>
      <c r="BA16" s="667">
        <f t="shared" si="73"/>
        <v>0.33333333333333331</v>
      </c>
      <c r="BB16" s="667">
        <f t="shared" si="73"/>
        <v>0.33333333333333331</v>
      </c>
      <c r="BC16" s="667">
        <f t="shared" si="73"/>
        <v>0.33333333333333331</v>
      </c>
      <c r="BD16" s="781"/>
      <c r="BE16" s="940">
        <f t="shared" si="14"/>
        <v>2.333333333333333</v>
      </c>
      <c r="BF16" s="667">
        <f t="shared" si="33"/>
        <v>2.3999678000742386</v>
      </c>
      <c r="BG16" s="941">
        <f t="shared" si="52"/>
        <v>6.6634466740905562E-2</v>
      </c>
      <c r="BH16" s="481"/>
      <c r="BI16" s="664">
        <f t="shared" ref="BI16:BJ16" si="74">$J$16</f>
        <v>0.33333333333333331</v>
      </c>
      <c r="BJ16" s="664">
        <f t="shared" si="74"/>
        <v>0.33333333333333331</v>
      </c>
      <c r="BK16" s="481"/>
      <c r="BL16" s="940">
        <f t="shared" si="16"/>
        <v>0.66666666666666663</v>
      </c>
      <c r="BM16" s="667">
        <f t="shared" si="17"/>
        <v>0.93540784336525018</v>
      </c>
      <c r="BN16" s="941">
        <f t="shared" si="54"/>
        <v>0.26874117669858355</v>
      </c>
      <c r="BP16" s="764">
        <v>10</v>
      </c>
      <c r="BQ16" s="485">
        <f t="shared" si="18"/>
        <v>1</v>
      </c>
      <c r="BS16" s="927">
        <f t="shared" si="19"/>
        <v>9.9999999999999982</v>
      </c>
      <c r="BT16" s="1017">
        <f t="shared" si="20"/>
        <v>0.99999999999999978</v>
      </c>
      <c r="BU16" s="482"/>
      <c r="BW16" s="81"/>
      <c r="BX16" s="29"/>
      <c r="BY16" s="1220"/>
      <c r="BZ16" s="1220"/>
      <c r="CA16" s="1220"/>
      <c r="CB16" s="1220"/>
      <c r="CC16" s="1220"/>
      <c r="CD16" s="1220"/>
      <c r="CE16" s="1220"/>
    </row>
    <row r="17" spans="1:84" s="426" customFormat="1" ht="15.75" thickBot="1" x14ac:dyDescent="0.25">
      <c r="B17" s="43">
        <v>10</v>
      </c>
      <c r="C17" s="427" t="s">
        <v>124</v>
      </c>
      <c r="D17" s="812"/>
      <c r="E17" s="132">
        <v>1</v>
      </c>
      <c r="F17" s="132">
        <f>E17/10</f>
        <v>0.1</v>
      </c>
      <c r="G17" s="132">
        <f>E17/15</f>
        <v>6.6666666666666666E-2</v>
      </c>
      <c r="H17" s="132">
        <f>E17/20</f>
        <v>0.05</v>
      </c>
      <c r="I17" s="132">
        <f>E17/25</f>
        <v>0.04</v>
      </c>
      <c r="J17" s="132">
        <f t="shared" si="7"/>
        <v>3.3333333333333333E-2</v>
      </c>
      <c r="K17" s="478">
        <f t="shared" si="8"/>
        <v>8.9444238225784101E-4</v>
      </c>
      <c r="L17" s="492"/>
      <c r="M17" s="132">
        <f t="shared" ref="M17:S17" si="75">$J$17</f>
        <v>3.3333333333333333E-2</v>
      </c>
      <c r="N17" s="132">
        <f t="shared" si="75"/>
        <v>3.3333333333333333E-2</v>
      </c>
      <c r="O17" s="132">
        <f t="shared" si="75"/>
        <v>3.3333333333333333E-2</v>
      </c>
      <c r="P17" s="132">
        <f t="shared" si="75"/>
        <v>3.3333333333333333E-2</v>
      </c>
      <c r="Q17" s="132">
        <f t="shared" si="75"/>
        <v>3.3333333333333333E-2</v>
      </c>
      <c r="R17" s="132">
        <f t="shared" si="75"/>
        <v>3.3333333333333333E-2</v>
      </c>
      <c r="S17" s="132">
        <f t="shared" si="75"/>
        <v>3.3333333333333333E-2</v>
      </c>
      <c r="T17" s="479"/>
      <c r="U17" s="468">
        <f t="shared" si="10"/>
        <v>0.23333333333333331</v>
      </c>
      <c r="V17" s="1194">
        <f t="shared" si="22"/>
        <v>0.23100763406573263</v>
      </c>
      <c r="W17" s="1195">
        <f t="shared" si="23"/>
        <v>-2.3256992676006782E-3</v>
      </c>
      <c r="X17" s="779"/>
      <c r="Y17" s="132">
        <f t="shared" ref="Y17:AE17" si="76">$J$17</f>
        <v>3.3333333333333333E-2</v>
      </c>
      <c r="Z17" s="132">
        <f t="shared" si="76"/>
        <v>3.3333333333333333E-2</v>
      </c>
      <c r="AA17" s="132">
        <f t="shared" si="76"/>
        <v>3.3333333333333333E-2</v>
      </c>
      <c r="AB17" s="132">
        <f t="shared" si="76"/>
        <v>3.3333333333333333E-2</v>
      </c>
      <c r="AC17" s="132">
        <f t="shared" si="76"/>
        <v>3.3333333333333333E-2</v>
      </c>
      <c r="AD17" s="132">
        <f t="shared" si="76"/>
        <v>3.3333333333333333E-2</v>
      </c>
      <c r="AE17" s="132">
        <f t="shared" si="76"/>
        <v>3.3333333333333333E-2</v>
      </c>
      <c r="AF17" s="779"/>
      <c r="AG17" s="468">
        <f t="shared" si="25"/>
        <v>0.23333333333333331</v>
      </c>
      <c r="AH17" s="1172">
        <f t="shared" si="26"/>
        <v>0.21938882752020322</v>
      </c>
      <c r="AI17" s="1173">
        <f t="shared" si="27"/>
        <v>-1.3944505813130087E-2</v>
      </c>
      <c r="AJ17" s="779"/>
      <c r="AK17" s="440">
        <f t="shared" ref="AK17:AQ17" si="77">$J$17</f>
        <v>3.3333333333333333E-2</v>
      </c>
      <c r="AL17" s="440">
        <f t="shared" si="77"/>
        <v>3.3333333333333333E-2</v>
      </c>
      <c r="AM17" s="440">
        <f t="shared" si="77"/>
        <v>3.3333333333333333E-2</v>
      </c>
      <c r="AN17" s="440">
        <f t="shared" si="77"/>
        <v>3.3333333333333333E-2</v>
      </c>
      <c r="AO17" s="440">
        <f t="shared" si="77"/>
        <v>3.3333333333333333E-2</v>
      </c>
      <c r="AP17" s="440">
        <f t="shared" si="77"/>
        <v>3.3333333333333333E-2</v>
      </c>
      <c r="AQ17" s="440">
        <f t="shared" si="77"/>
        <v>3.3333333333333333E-2</v>
      </c>
      <c r="AR17" s="779"/>
      <c r="AS17" s="925">
        <f t="shared" si="29"/>
        <v>0.23333333333333331</v>
      </c>
      <c r="AT17" s="440">
        <f t="shared" si="30"/>
        <v>0.16794944611655485</v>
      </c>
      <c r="AU17" s="929">
        <f t="shared" si="50"/>
        <v>-6.5383887216778458E-2</v>
      </c>
      <c r="AV17" s="779"/>
      <c r="AW17" s="440">
        <f t="shared" ref="AW17:BC17" si="78">$J$17</f>
        <v>3.3333333333333333E-2</v>
      </c>
      <c r="AX17" s="440">
        <f t="shared" si="78"/>
        <v>3.3333333333333333E-2</v>
      </c>
      <c r="AY17" s="440">
        <f t="shared" si="78"/>
        <v>3.3333333333333333E-2</v>
      </c>
      <c r="AZ17" s="440">
        <f t="shared" si="78"/>
        <v>3.3333333333333333E-2</v>
      </c>
      <c r="BA17" s="440">
        <f t="shared" si="78"/>
        <v>3.3333333333333333E-2</v>
      </c>
      <c r="BB17" s="440">
        <f t="shared" si="78"/>
        <v>3.3333333333333333E-2</v>
      </c>
      <c r="BC17" s="440">
        <f t="shared" si="78"/>
        <v>3.3333333333333333E-2</v>
      </c>
      <c r="BD17" s="779"/>
      <c r="BE17" s="925">
        <f t="shared" si="14"/>
        <v>0.23333333333333331</v>
      </c>
      <c r="BF17" s="440">
        <f t="shared" si="33"/>
        <v>0.23999678000742389</v>
      </c>
      <c r="BG17" s="929">
        <f t="shared" si="52"/>
        <v>6.6634466740905784E-3</v>
      </c>
      <c r="BH17" s="479"/>
      <c r="BI17" s="132">
        <f t="shared" ref="BI17:BJ17" si="79">$J$17</f>
        <v>3.3333333333333333E-2</v>
      </c>
      <c r="BJ17" s="132">
        <f t="shared" si="79"/>
        <v>3.3333333333333333E-2</v>
      </c>
      <c r="BK17" s="479"/>
      <c r="BL17" s="925">
        <f t="shared" si="16"/>
        <v>6.6666666666666666E-2</v>
      </c>
      <c r="BM17" s="440">
        <f t="shared" si="17"/>
        <v>9.3540784336525018E-2</v>
      </c>
      <c r="BN17" s="929">
        <f t="shared" si="54"/>
        <v>2.6874117669858352E-2</v>
      </c>
      <c r="BP17" s="187">
        <v>1</v>
      </c>
      <c r="BQ17" s="641">
        <f t="shared" si="18"/>
        <v>1</v>
      </c>
      <c r="BS17" s="468">
        <f t="shared" si="19"/>
        <v>0.99999999999999989</v>
      </c>
      <c r="BT17" s="1196">
        <f t="shared" si="20"/>
        <v>0.99999999999999989</v>
      </c>
      <c r="BU17" s="480"/>
      <c r="BW17" s="1228"/>
      <c r="BX17" s="81"/>
      <c r="BY17" s="81"/>
      <c r="BZ17" s="81"/>
      <c r="CA17" s="81"/>
      <c r="CB17" s="81"/>
      <c r="CC17" s="81"/>
      <c r="CD17" s="81"/>
      <c r="CE17" s="81"/>
    </row>
    <row r="18" spans="1:84" s="438" customFormat="1" ht="4.5" customHeight="1" thickBot="1" x14ac:dyDescent="0.25">
      <c r="B18" s="1162"/>
      <c r="C18" s="1168"/>
      <c r="E18" s="429"/>
      <c r="F18" s="429"/>
      <c r="G18" s="429"/>
      <c r="H18" s="429"/>
      <c r="I18" s="429"/>
      <c r="J18" s="429"/>
      <c r="K18" s="1169"/>
      <c r="L18" s="492"/>
      <c r="M18" s="429"/>
      <c r="N18" s="429"/>
      <c r="O18" s="429"/>
      <c r="P18" s="429"/>
      <c r="Q18" s="429"/>
      <c r="R18" s="429"/>
      <c r="S18" s="429"/>
      <c r="T18" s="479"/>
      <c r="U18" s="479"/>
      <c r="V18" s="479"/>
      <c r="W18" s="479"/>
      <c r="X18" s="479"/>
      <c r="Y18" s="429"/>
      <c r="Z18" s="429"/>
      <c r="AA18" s="429"/>
      <c r="AB18" s="429"/>
      <c r="AC18" s="429"/>
      <c r="AD18" s="429"/>
      <c r="AE18" s="429"/>
      <c r="AF18" s="479"/>
      <c r="AG18" s="1193"/>
      <c r="AH18" s="1193"/>
      <c r="AI18" s="1193"/>
      <c r="AJ18" s="479"/>
      <c r="AK18" s="429"/>
      <c r="AL18" s="429"/>
      <c r="AM18" s="429"/>
      <c r="AN18" s="429"/>
      <c r="AO18" s="429"/>
      <c r="AP18" s="429"/>
      <c r="AQ18" s="429"/>
      <c r="AR18" s="479"/>
      <c r="AS18" s="1259"/>
      <c r="AT18" s="1259"/>
      <c r="AU18" s="1259"/>
      <c r="AV18" s="479"/>
      <c r="AW18" s="429"/>
      <c r="AX18" s="429"/>
      <c r="AY18" s="429"/>
      <c r="AZ18" s="429"/>
      <c r="BA18" s="429"/>
      <c r="BB18" s="429"/>
      <c r="BC18" s="429"/>
      <c r="BD18" s="479"/>
      <c r="BE18" s="429"/>
      <c r="BF18" s="429"/>
      <c r="BG18" s="429"/>
      <c r="BH18" s="479"/>
      <c r="BI18" s="429"/>
      <c r="BJ18" s="429"/>
      <c r="BK18" s="479"/>
      <c r="BL18" s="429"/>
      <c r="BM18" s="429"/>
      <c r="BN18" s="429"/>
      <c r="BP18" s="479"/>
      <c r="BQ18" s="480"/>
      <c r="BS18" s="479"/>
      <c r="BT18" s="480"/>
      <c r="BU18" s="480"/>
      <c r="BW18" s="1228"/>
      <c r="BX18" s="271"/>
      <c r="BY18" s="271"/>
      <c r="BZ18" s="81"/>
      <c r="CA18" s="81"/>
      <c r="CB18" s="81"/>
      <c r="CC18" s="81"/>
      <c r="CD18" s="81"/>
      <c r="CE18" s="81"/>
    </row>
    <row r="19" spans="1:84" s="833" customFormat="1" ht="15.75" thickBot="1" x14ac:dyDescent="0.25">
      <c r="B19" s="201"/>
      <c r="C19" s="1216">
        <f>E19*100/30</f>
        <v>2642.5166666666669</v>
      </c>
      <c r="D19" s="835"/>
      <c r="E19" s="89">
        <f>SUM(E8:E17)</f>
        <v>792.755</v>
      </c>
      <c r="F19" s="89">
        <f t="shared" ref="F19:K19" si="80">SUM(F8:F17)</f>
        <v>78.275499999999994</v>
      </c>
      <c r="G19" s="89">
        <f t="shared" si="80"/>
        <v>52.183666666666667</v>
      </c>
      <c r="H19" s="89">
        <f t="shared" si="80"/>
        <v>39.137749999999997</v>
      </c>
      <c r="I19" s="89">
        <f t="shared" si="80"/>
        <v>31.310199999999998</v>
      </c>
      <c r="J19" s="89">
        <f t="shared" si="80"/>
        <v>26.425166666666666</v>
      </c>
      <c r="K19" s="839">
        <f t="shared" si="80"/>
        <v>0.70907367074681482</v>
      </c>
      <c r="L19" s="877"/>
      <c r="M19" s="89">
        <f>SUM(M8:M17)</f>
        <v>26.425166666666666</v>
      </c>
      <c r="N19" s="89">
        <f t="shared" ref="N19:S19" si="81">SUM(N8:N17)</f>
        <v>26.425166666666666</v>
      </c>
      <c r="O19" s="89">
        <f t="shared" si="81"/>
        <v>26.425166666666666</v>
      </c>
      <c r="P19" s="89">
        <f t="shared" si="81"/>
        <v>26.425166666666666</v>
      </c>
      <c r="Q19" s="89">
        <f t="shared" si="81"/>
        <v>26.425166666666666</v>
      </c>
      <c r="R19" s="89">
        <f t="shared" si="81"/>
        <v>26.425166666666666</v>
      </c>
      <c r="S19" s="89">
        <f t="shared" si="81"/>
        <v>26.425166666666666</v>
      </c>
      <c r="T19" s="841"/>
      <c r="U19" s="1181">
        <f>SUM(U8:U17)</f>
        <v>184.97616666666667</v>
      </c>
      <c r="V19" s="1182">
        <f>SUM(V8:V17)</f>
        <v>183.13245694377986</v>
      </c>
      <c r="W19" s="1183">
        <f t="shared" ref="W19" si="82">SUM(W8:W17)</f>
        <v>-1.8437097228868207</v>
      </c>
      <c r="X19" s="838"/>
      <c r="Y19" s="89">
        <f t="shared" ref="Y19:Z19" si="83">SUM(Y8:Y17)</f>
        <v>26.425166666666666</v>
      </c>
      <c r="Z19" s="89">
        <f t="shared" si="83"/>
        <v>26.425166666666666</v>
      </c>
      <c r="AA19" s="89">
        <f t="shared" ref="AA19:AB19" si="84">SUM(AA8:AA17)</f>
        <v>26.425166666666666</v>
      </c>
      <c r="AB19" s="89">
        <f t="shared" si="84"/>
        <v>26.425166666666666</v>
      </c>
      <c r="AC19" s="89">
        <f t="shared" ref="AC19:AD19" si="85">SUM(AC8:AC17)</f>
        <v>26.425166666666666</v>
      </c>
      <c r="AD19" s="89">
        <f t="shared" si="85"/>
        <v>26.425166666666666</v>
      </c>
      <c r="AE19" s="89">
        <f t="shared" ref="AE19" si="86">SUM(AE8:AE17)</f>
        <v>26.425166666666666</v>
      </c>
      <c r="AF19" s="838"/>
      <c r="AG19" s="1176">
        <f>SUM(AG8:AG17)</f>
        <v>184.97616666666667</v>
      </c>
      <c r="AH19" s="901">
        <f>SUM(AH8:AH17)</f>
        <v>173.92158996077868</v>
      </c>
      <c r="AI19" s="962">
        <f>SUM(AI8:AI17)</f>
        <v>-11.054576705887944</v>
      </c>
      <c r="AJ19" s="838"/>
      <c r="AK19" s="837">
        <f t="shared" ref="AK19:AL19" si="87">SUM(AK8:AK17)</f>
        <v>26.425166666666666</v>
      </c>
      <c r="AL19" s="837">
        <f t="shared" si="87"/>
        <v>26.425166666666666</v>
      </c>
      <c r="AM19" s="837">
        <f t="shared" ref="AM19:AN19" si="88">SUM(AM8:AM17)</f>
        <v>26.425166666666666</v>
      </c>
      <c r="AN19" s="837">
        <f t="shared" si="88"/>
        <v>26.425166666666666</v>
      </c>
      <c r="AO19" s="837">
        <f t="shared" ref="AO19:AP19" si="89">SUM(AO8:AO17)</f>
        <v>26.425166666666666</v>
      </c>
      <c r="AP19" s="837">
        <f t="shared" si="89"/>
        <v>26.425166666666666</v>
      </c>
      <c r="AQ19" s="837">
        <f t="shared" ref="AQ19" si="90">SUM(AQ8:AQ17)</f>
        <v>26.425166666666666</v>
      </c>
      <c r="AR19" s="838"/>
      <c r="AS19" s="1181">
        <f>SUM(AS8:AS17)</f>
        <v>184.97616666666667</v>
      </c>
      <c r="AT19" s="1260">
        <f>SUM(AT8:AT17)</f>
        <v>133.1427631561294</v>
      </c>
      <c r="AU19" s="1261">
        <f>SUM(AU8:AU17)</f>
        <v>-51.833403510537238</v>
      </c>
      <c r="AV19" s="838"/>
      <c r="AW19" s="837">
        <f t="shared" ref="AW19:AX19" si="91">SUM(AW8:AW17)</f>
        <v>26.425166666666666</v>
      </c>
      <c r="AX19" s="837">
        <f t="shared" si="91"/>
        <v>26.425166666666666</v>
      </c>
      <c r="AY19" s="837">
        <f t="shared" ref="AY19:AZ19" si="92">SUM(AY8:AY17)</f>
        <v>26.425166666666666</v>
      </c>
      <c r="AZ19" s="837">
        <f t="shared" si="92"/>
        <v>26.425166666666666</v>
      </c>
      <c r="BA19" s="837">
        <f t="shared" ref="BA19:BC19" si="93">SUM(BA8:BA17)</f>
        <v>26.425166666666666</v>
      </c>
      <c r="BB19" s="837">
        <f t="shared" si="93"/>
        <v>26.425166666666666</v>
      </c>
      <c r="BC19" s="837">
        <f t="shared" si="93"/>
        <v>26.425166666666666</v>
      </c>
      <c r="BD19" s="838"/>
      <c r="BE19" s="1181">
        <f>SUM(BE8:BE17)</f>
        <v>184.97616666666667</v>
      </c>
      <c r="BF19" s="1260">
        <f>SUM(BF8:BF17)</f>
        <v>190.25864733478531</v>
      </c>
      <c r="BG19" s="1261">
        <f>SUM(BG8:BG17)</f>
        <v>5.2824806681186631</v>
      </c>
      <c r="BH19" s="841"/>
      <c r="BI19" s="89">
        <f t="shared" ref="BI19:BJ19" si="94">SUM(BI8:BI17)</f>
        <v>26.425166666666666</v>
      </c>
      <c r="BJ19" s="89">
        <f t="shared" si="94"/>
        <v>26.425166666666666</v>
      </c>
      <c r="BK19" s="841"/>
      <c r="BL19" s="1181">
        <f>SUM(BL8:BL17)</f>
        <v>52.850333333333332</v>
      </c>
      <c r="BM19" s="1260">
        <f>SUM(BM8:BM17)</f>
        <v>74.154924486701901</v>
      </c>
      <c r="BN19" s="1261">
        <f>SUM(BN8:BN17)</f>
        <v>21.304591153368555</v>
      </c>
      <c r="BP19" s="1181">
        <f>SUM(BP8:BP17)</f>
        <v>792.755</v>
      </c>
      <c r="BQ19" s="1191">
        <f t="shared" si="18"/>
        <v>1</v>
      </c>
      <c r="BS19" s="1181">
        <f>SUM(BS8:BS17)</f>
        <v>792.755</v>
      </c>
      <c r="BT19" s="1191">
        <f t="shared" si="20"/>
        <v>1</v>
      </c>
      <c r="BU19" s="840"/>
      <c r="BW19" s="29"/>
      <c r="BX19" s="81"/>
      <c r="BY19" s="81"/>
      <c r="BZ19" s="271"/>
      <c r="CA19" s="271"/>
      <c r="CB19" s="271"/>
      <c r="CC19" s="271"/>
      <c r="CD19" s="271"/>
      <c r="CE19" s="271"/>
    </row>
    <row r="20" spans="1:84" s="438" customFormat="1" ht="4.5" customHeight="1" thickBot="1" x14ac:dyDescent="0.25">
      <c r="B20" s="1168"/>
      <c r="C20" s="1168"/>
      <c r="E20" s="429"/>
      <c r="F20" s="429"/>
      <c r="G20" s="429"/>
      <c r="H20" s="429"/>
      <c r="I20" s="429"/>
      <c r="J20" s="429"/>
      <c r="K20" s="1169"/>
      <c r="L20" s="492"/>
      <c r="M20" s="429"/>
      <c r="N20" s="429"/>
      <c r="O20" s="429"/>
      <c r="P20" s="429"/>
      <c r="Q20" s="429"/>
      <c r="R20" s="429"/>
      <c r="S20" s="429"/>
      <c r="T20" s="479"/>
      <c r="U20" s="479"/>
      <c r="V20" s="479"/>
      <c r="W20" s="479"/>
      <c r="X20" s="479"/>
      <c r="Y20" s="429"/>
      <c r="Z20" s="429"/>
      <c r="AA20" s="429"/>
      <c r="AB20" s="429"/>
      <c r="AC20" s="429"/>
      <c r="AD20" s="429"/>
      <c r="AE20" s="429"/>
      <c r="AF20" s="479"/>
      <c r="AG20" s="479"/>
      <c r="AH20" s="479"/>
      <c r="AI20" s="479"/>
      <c r="AJ20" s="479"/>
      <c r="AK20" s="429"/>
      <c r="AL20" s="429"/>
      <c r="AM20" s="429"/>
      <c r="AN20" s="429"/>
      <c r="AO20" s="429"/>
      <c r="AP20" s="429"/>
      <c r="AQ20" s="429"/>
      <c r="AR20" s="479"/>
      <c r="AS20" s="479"/>
      <c r="AT20" s="479"/>
      <c r="AU20" s="479"/>
      <c r="AV20" s="479"/>
      <c r="AW20" s="429"/>
      <c r="AX20" s="429"/>
      <c r="AY20" s="429"/>
      <c r="AZ20" s="429"/>
      <c r="BA20" s="429"/>
      <c r="BB20" s="429"/>
      <c r="BC20" s="429"/>
      <c r="BD20" s="479"/>
      <c r="BE20" s="429"/>
      <c r="BF20" s="429"/>
      <c r="BG20" s="429"/>
      <c r="BH20" s="479"/>
      <c r="BI20" s="429"/>
      <c r="BJ20" s="429"/>
      <c r="BK20" s="479"/>
      <c r="BL20" s="429"/>
      <c r="BM20" s="429"/>
      <c r="BN20" s="429"/>
      <c r="BP20" s="1171"/>
      <c r="BQ20" s="1190"/>
      <c r="BS20" s="479"/>
      <c r="BT20" s="480"/>
      <c r="BU20" s="480"/>
      <c r="BW20" s="81"/>
      <c r="BX20" s="62"/>
      <c r="BY20" s="81"/>
      <c r="BZ20" s="81"/>
      <c r="CA20" s="81"/>
      <c r="CB20" s="81"/>
      <c r="CC20" s="81"/>
      <c r="CD20" s="81"/>
      <c r="CE20" s="81"/>
    </row>
    <row r="21" spans="1:84" s="255" customFormat="1" x14ac:dyDescent="0.2">
      <c r="B21" s="43">
        <v>11</v>
      </c>
      <c r="C21" s="427" t="s">
        <v>38</v>
      </c>
      <c r="D21" s="812"/>
      <c r="E21" s="40">
        <v>130</v>
      </c>
      <c r="F21" s="40">
        <f t="shared" ref="F21:F27" si="95">E21/10</f>
        <v>13</v>
      </c>
      <c r="G21" s="40">
        <f t="shared" ref="G21:G27" si="96">E21/15</f>
        <v>8.6666666666666661</v>
      </c>
      <c r="H21" s="40">
        <f t="shared" ref="H21:H27" si="97">E21/20</f>
        <v>6.5</v>
      </c>
      <c r="I21" s="40">
        <f t="shared" ref="I21:I27" si="98">E21/25</f>
        <v>5.2</v>
      </c>
      <c r="J21" s="40">
        <f t="shared" ref="J21:J27" si="99">E21/30</f>
        <v>4.333333333333333</v>
      </c>
      <c r="K21" s="206">
        <f t="shared" ref="K21:K27" si="100">E21/$E$31</f>
        <v>0.11627750969351933</v>
      </c>
      <c r="L21" s="411"/>
      <c r="M21" s="40">
        <f t="shared" ref="M21:Q21" si="101">$J$21</f>
        <v>4.333333333333333</v>
      </c>
      <c r="N21" s="40">
        <f t="shared" si="101"/>
        <v>4.333333333333333</v>
      </c>
      <c r="O21" s="40">
        <f t="shared" si="101"/>
        <v>4.333333333333333</v>
      </c>
      <c r="P21" s="40">
        <f t="shared" si="101"/>
        <v>4.333333333333333</v>
      </c>
      <c r="Q21" s="40">
        <f t="shared" si="101"/>
        <v>4.333333333333333</v>
      </c>
      <c r="R21" s="40">
        <f>$J$21</f>
        <v>4.333333333333333</v>
      </c>
      <c r="S21" s="40">
        <f>$J$21</f>
        <v>4.333333333333333</v>
      </c>
      <c r="T21" s="1157"/>
      <c r="U21" s="952">
        <f>SUM(M21:S21)</f>
        <v>30.333333333333329</v>
      </c>
      <c r="V21" s="953">
        <f>($U$3*K21)*30%</f>
        <v>30.030992428545236</v>
      </c>
      <c r="W21" s="954">
        <f>V21-U21</f>
        <v>-0.3023409047880925</v>
      </c>
      <c r="X21" s="782"/>
      <c r="Y21" s="40">
        <f t="shared" ref="Y21:AE21" si="102">$J$21</f>
        <v>4.333333333333333</v>
      </c>
      <c r="Z21" s="40">
        <f t="shared" si="102"/>
        <v>4.333333333333333</v>
      </c>
      <c r="AA21" s="40">
        <f t="shared" si="102"/>
        <v>4.333333333333333</v>
      </c>
      <c r="AB21" s="40">
        <f t="shared" si="102"/>
        <v>4.333333333333333</v>
      </c>
      <c r="AC21" s="40">
        <f t="shared" si="102"/>
        <v>4.333333333333333</v>
      </c>
      <c r="AD21" s="40">
        <f t="shared" si="102"/>
        <v>4.333333333333333</v>
      </c>
      <c r="AE21" s="40">
        <f t="shared" si="102"/>
        <v>4.333333333333333</v>
      </c>
      <c r="AF21" s="782"/>
      <c r="AG21" s="952">
        <f>SUM(Y21:AE21)</f>
        <v>30.333333333333329</v>
      </c>
      <c r="AH21" s="953">
        <f>($AG$3*K21)*30%</f>
        <v>28.52054757762642</v>
      </c>
      <c r="AI21" s="954">
        <f>AH21-AG21</f>
        <v>-1.8127857557069085</v>
      </c>
      <c r="AJ21" s="782"/>
      <c r="AK21" s="1148">
        <f t="shared" ref="AK21:AQ21" si="103">$J$21</f>
        <v>4.333333333333333</v>
      </c>
      <c r="AL21" s="1258">
        <f t="shared" si="103"/>
        <v>4.333333333333333</v>
      </c>
      <c r="AM21" s="1262">
        <f t="shared" si="103"/>
        <v>4.333333333333333</v>
      </c>
      <c r="AN21" s="1262">
        <f t="shared" si="103"/>
        <v>4.333333333333333</v>
      </c>
      <c r="AO21" s="1266">
        <f t="shared" si="103"/>
        <v>4.333333333333333</v>
      </c>
      <c r="AP21" s="1268">
        <f t="shared" si="103"/>
        <v>4.333333333333333</v>
      </c>
      <c r="AQ21" s="1272">
        <f t="shared" si="103"/>
        <v>4.333333333333333</v>
      </c>
      <c r="AR21" s="782"/>
      <c r="AS21" s="952">
        <f>SUM(AK21:AQ21)</f>
        <v>30.333333333333329</v>
      </c>
      <c r="AT21" s="953">
        <f>($AS$3*K21)*30%</f>
        <v>21.833427995152125</v>
      </c>
      <c r="AU21" s="954">
        <f>AT21-AS21</f>
        <v>-8.499905338181204</v>
      </c>
      <c r="AV21" s="782"/>
      <c r="AW21" s="1148">
        <f t="shared" ref="AW21:BC21" si="104">$J$21</f>
        <v>4.333333333333333</v>
      </c>
      <c r="AX21" s="1276">
        <f t="shared" si="104"/>
        <v>4.333333333333333</v>
      </c>
      <c r="AY21" s="1277">
        <f t="shared" si="104"/>
        <v>4.333333333333333</v>
      </c>
      <c r="AZ21" s="1277">
        <f t="shared" si="104"/>
        <v>4.333333333333333</v>
      </c>
      <c r="BA21" s="1280">
        <f t="shared" si="104"/>
        <v>4.333333333333333</v>
      </c>
      <c r="BB21" s="1284">
        <f t="shared" si="104"/>
        <v>4.333333333333333</v>
      </c>
      <c r="BC21" s="1284">
        <f t="shared" si="104"/>
        <v>4.333333333333333</v>
      </c>
      <c r="BD21" s="782"/>
      <c r="BE21" s="911">
        <f>SUM(AW21:BC21)</f>
        <v>30.333333333333329</v>
      </c>
      <c r="BF21" s="1148">
        <f>($BE$3*K21)*30%</f>
        <v>31.199581400965101</v>
      </c>
      <c r="BG21" s="936">
        <f>BF21-BE21</f>
        <v>0.86624806763177276</v>
      </c>
      <c r="BH21" s="1157"/>
      <c r="BI21" s="40">
        <f t="shared" ref="BI21:BJ21" si="105">$J$21</f>
        <v>4.333333333333333</v>
      </c>
      <c r="BJ21" s="40">
        <f t="shared" si="105"/>
        <v>4.333333333333333</v>
      </c>
      <c r="BK21" s="1157"/>
      <c r="BL21" s="911">
        <f>SUM(BI21:BJ21)</f>
        <v>8.6666666666666661</v>
      </c>
      <c r="BM21" s="1148">
        <f>($BL$3*K21)*30%</f>
        <v>12.160301963748251</v>
      </c>
      <c r="BN21" s="936">
        <f>BM21-BL21</f>
        <v>3.4936352970815854</v>
      </c>
      <c r="BP21" s="187">
        <v>130</v>
      </c>
      <c r="BQ21" s="51">
        <f t="shared" ref="BQ21:BQ29" si="106">BP21/E21</f>
        <v>1</v>
      </c>
      <c r="BS21" s="952">
        <f t="shared" ref="BS21:BS27" si="107">SUM(M21:S21)+SUM(Y21:AE21)+SUM(AK21:AQ21)+SUM(AW21:BC21)+SUM(BI21:BJ21)</f>
        <v>129.99999999999997</v>
      </c>
      <c r="BT21" s="1197">
        <f t="shared" ref="BT21:BT29" si="108">BS21/E21</f>
        <v>0.99999999999999978</v>
      </c>
      <c r="BU21" s="975">
        <f>E21-BP21</f>
        <v>0</v>
      </c>
      <c r="BW21" s="271"/>
      <c r="BX21" s="1023"/>
      <c r="BY21" s="1024"/>
      <c r="BZ21" s="1025"/>
      <c r="CA21" s="1025"/>
      <c r="CB21" s="1025"/>
      <c r="CC21" s="1025"/>
      <c r="CD21" s="1025"/>
      <c r="CE21" s="1025"/>
      <c r="CF21" s="1026"/>
    </row>
    <row r="22" spans="1:84" x14ac:dyDescent="0.2">
      <c r="B22" s="3">
        <v>12</v>
      </c>
      <c r="C22" s="433" t="s">
        <v>115</v>
      </c>
      <c r="D22" s="780"/>
      <c r="E22" s="5">
        <v>75</v>
      </c>
      <c r="F22" s="5">
        <f t="shared" si="95"/>
        <v>7.5</v>
      </c>
      <c r="G22" s="5">
        <f t="shared" si="96"/>
        <v>5</v>
      </c>
      <c r="H22" s="5">
        <f t="shared" si="97"/>
        <v>3.75</v>
      </c>
      <c r="I22" s="5">
        <f t="shared" si="98"/>
        <v>3</v>
      </c>
      <c r="J22" s="5">
        <f t="shared" si="99"/>
        <v>2.5</v>
      </c>
      <c r="K22" s="194">
        <f t="shared" si="100"/>
        <v>6.7083178669338078E-2</v>
      </c>
      <c r="L22" s="28"/>
      <c r="M22" s="5">
        <f t="shared" ref="M22:S22" si="109">$J$22</f>
        <v>2.5</v>
      </c>
      <c r="N22" s="5">
        <f t="shared" si="109"/>
        <v>2.5</v>
      </c>
      <c r="O22" s="5">
        <f t="shared" si="109"/>
        <v>2.5</v>
      </c>
      <c r="P22" s="5">
        <f t="shared" si="109"/>
        <v>2.5</v>
      </c>
      <c r="Q22" s="5">
        <f t="shared" si="109"/>
        <v>2.5</v>
      </c>
      <c r="R22" s="5">
        <f t="shared" si="109"/>
        <v>2.5</v>
      </c>
      <c r="S22" s="5">
        <f t="shared" si="109"/>
        <v>2.5</v>
      </c>
      <c r="T22" s="14"/>
      <c r="U22" s="937">
        <f>SUM(M22:S22)</f>
        <v>17.5</v>
      </c>
      <c r="V22" s="1159">
        <f>($U$3*K22)*30%</f>
        <v>17.325572554929945</v>
      </c>
      <c r="W22" s="938">
        <f>V22-U22</f>
        <v>-0.17442744507005514</v>
      </c>
      <c r="X22" s="145"/>
      <c r="Y22" s="5">
        <f t="shared" ref="Y22:AE22" si="110">$J$22</f>
        <v>2.5</v>
      </c>
      <c r="Z22" s="5">
        <f t="shared" si="110"/>
        <v>2.5</v>
      </c>
      <c r="AA22" s="5">
        <f t="shared" si="110"/>
        <v>2.5</v>
      </c>
      <c r="AB22" s="5">
        <f t="shared" si="110"/>
        <v>2.5</v>
      </c>
      <c r="AC22" s="5">
        <f t="shared" si="110"/>
        <v>2.5</v>
      </c>
      <c r="AD22" s="5">
        <f t="shared" si="110"/>
        <v>2.5</v>
      </c>
      <c r="AE22" s="5">
        <f t="shared" si="110"/>
        <v>2.5</v>
      </c>
      <c r="AF22" s="145"/>
      <c r="AG22" s="937">
        <f>SUM(Y22:AE22)</f>
        <v>17.5</v>
      </c>
      <c r="AH22" s="1255">
        <f>($AG$3*K22)*30%</f>
        <v>16.454162064015243</v>
      </c>
      <c r="AI22" s="938">
        <f>AH22-AG22</f>
        <v>-1.0458379359847569</v>
      </c>
      <c r="AJ22" s="145"/>
      <c r="AK22" s="1147">
        <f t="shared" ref="AK22:AQ22" si="111">$J$22</f>
        <v>2.5</v>
      </c>
      <c r="AL22" s="1257">
        <f t="shared" si="111"/>
        <v>2.5</v>
      </c>
      <c r="AM22" s="1263">
        <f t="shared" si="111"/>
        <v>2.5</v>
      </c>
      <c r="AN22" s="1263">
        <f t="shared" si="111"/>
        <v>2.5</v>
      </c>
      <c r="AO22" s="1265">
        <f t="shared" si="111"/>
        <v>2.5</v>
      </c>
      <c r="AP22" s="1269">
        <f t="shared" si="111"/>
        <v>2.5</v>
      </c>
      <c r="AQ22" s="1271">
        <f t="shared" si="111"/>
        <v>2.5</v>
      </c>
      <c r="AR22" s="145"/>
      <c r="AS22" s="937">
        <f>SUM(AK22:AQ22)</f>
        <v>17.5</v>
      </c>
      <c r="AT22" s="1255">
        <f>($AS$3*K22)*30%</f>
        <v>12.596208458741613</v>
      </c>
      <c r="AU22" s="938">
        <f>AT22-AS22</f>
        <v>-4.9037915412583875</v>
      </c>
      <c r="AV22" s="145"/>
      <c r="AW22" s="1147">
        <f t="shared" ref="AW22:BC22" si="112">$J$22</f>
        <v>2.5</v>
      </c>
      <c r="AX22" s="1275">
        <f t="shared" si="112"/>
        <v>2.5</v>
      </c>
      <c r="AY22" s="1278">
        <f t="shared" si="112"/>
        <v>2.5</v>
      </c>
      <c r="AZ22" s="1278">
        <f t="shared" si="112"/>
        <v>2.5</v>
      </c>
      <c r="BA22" s="1281">
        <f t="shared" si="112"/>
        <v>2.5</v>
      </c>
      <c r="BB22" s="1283">
        <f t="shared" si="112"/>
        <v>2.5</v>
      </c>
      <c r="BC22" s="1283">
        <f t="shared" si="112"/>
        <v>2.5</v>
      </c>
      <c r="BD22" s="145"/>
      <c r="BE22" s="937">
        <f>SUM(AW22:BC22)</f>
        <v>17.5</v>
      </c>
      <c r="BF22" s="1147">
        <f>($BE$3*K22)*30%</f>
        <v>17.999758500556791</v>
      </c>
      <c r="BG22" s="938">
        <f>BF22-BE22</f>
        <v>0.49975850055679061</v>
      </c>
      <c r="BH22" s="14"/>
      <c r="BI22" s="5">
        <f t="shared" ref="BI22:BJ22" si="113">$J$22</f>
        <v>2.5</v>
      </c>
      <c r="BJ22" s="5">
        <f t="shared" si="113"/>
        <v>2.5</v>
      </c>
      <c r="BK22" s="14"/>
      <c r="BL22" s="937">
        <f>SUM(BI22:BJ22)</f>
        <v>5</v>
      </c>
      <c r="BM22" s="1147">
        <f>($BL$3*K22)*30%</f>
        <v>7.0155588252393768</v>
      </c>
      <c r="BN22" s="938">
        <f>BM22-BL22</f>
        <v>2.0155588252393768</v>
      </c>
      <c r="BP22" s="764">
        <v>75</v>
      </c>
      <c r="BQ22" s="9">
        <f t="shared" si="106"/>
        <v>1</v>
      </c>
      <c r="BS22" s="937">
        <f t="shared" si="107"/>
        <v>75</v>
      </c>
      <c r="BT22" s="1015">
        <f t="shared" si="108"/>
        <v>1</v>
      </c>
      <c r="BU22" s="29"/>
      <c r="BW22" s="81"/>
      <c r="BX22" s="1238">
        <v>43585</v>
      </c>
      <c r="BY22" s="482"/>
      <c r="BZ22" s="444"/>
      <c r="CA22" s="444"/>
      <c r="CB22" s="444"/>
      <c r="CC22" s="444"/>
      <c r="CD22" s="444"/>
      <c r="CE22" s="444"/>
      <c r="CF22" s="1027"/>
    </row>
    <row r="23" spans="1:84" s="426" customFormat="1" x14ac:dyDescent="0.2">
      <c r="B23" s="43">
        <v>13</v>
      </c>
      <c r="C23" s="427" t="s">
        <v>117</v>
      </c>
      <c r="D23" s="812"/>
      <c r="E23" s="132">
        <v>37</v>
      </c>
      <c r="F23" s="132">
        <f t="shared" si="95"/>
        <v>3.7</v>
      </c>
      <c r="G23" s="132">
        <f t="shared" si="96"/>
        <v>2.4666666666666668</v>
      </c>
      <c r="H23" s="132">
        <f t="shared" si="97"/>
        <v>1.85</v>
      </c>
      <c r="I23" s="132">
        <f t="shared" si="98"/>
        <v>1.48</v>
      </c>
      <c r="J23" s="132">
        <f t="shared" si="99"/>
        <v>1.2333333333333334</v>
      </c>
      <c r="K23" s="478">
        <f t="shared" si="100"/>
        <v>3.3094368143540116E-2</v>
      </c>
      <c r="L23" s="492"/>
      <c r="M23" s="132">
        <f t="shared" ref="M23:S23" si="114">$J$23</f>
        <v>1.2333333333333334</v>
      </c>
      <c r="N23" s="132">
        <f t="shared" si="114"/>
        <v>1.2333333333333334</v>
      </c>
      <c r="O23" s="132">
        <f t="shared" si="114"/>
        <v>1.2333333333333334</v>
      </c>
      <c r="P23" s="132">
        <f t="shared" si="114"/>
        <v>1.2333333333333334</v>
      </c>
      <c r="Q23" s="132">
        <f t="shared" si="114"/>
        <v>1.2333333333333334</v>
      </c>
      <c r="R23" s="132">
        <f t="shared" si="114"/>
        <v>1.2333333333333334</v>
      </c>
      <c r="S23" s="132">
        <f t="shared" si="114"/>
        <v>1.2333333333333334</v>
      </c>
      <c r="T23" s="479"/>
      <c r="U23" s="925">
        <f t="shared" si="10"/>
        <v>8.6333333333333329</v>
      </c>
      <c r="V23" s="440">
        <f t="shared" si="22"/>
        <v>8.5472824604321058</v>
      </c>
      <c r="W23" s="929">
        <f t="shared" si="23"/>
        <v>-8.6050872901227038E-2</v>
      </c>
      <c r="X23" s="779"/>
      <c r="Y23" s="132">
        <f t="shared" ref="Y23:AE23" si="115">$J$23</f>
        <v>1.2333333333333334</v>
      </c>
      <c r="Z23" s="132">
        <f t="shared" si="115"/>
        <v>1.2333333333333334</v>
      </c>
      <c r="AA23" s="132">
        <f t="shared" si="115"/>
        <v>1.2333333333333334</v>
      </c>
      <c r="AB23" s="132">
        <f t="shared" si="115"/>
        <v>1.2333333333333334</v>
      </c>
      <c r="AC23" s="132">
        <f t="shared" si="115"/>
        <v>1.2333333333333334</v>
      </c>
      <c r="AD23" s="132">
        <f t="shared" si="115"/>
        <v>1.2333333333333334</v>
      </c>
      <c r="AE23" s="132">
        <f t="shared" si="115"/>
        <v>1.2333333333333334</v>
      </c>
      <c r="AF23" s="779"/>
      <c r="AG23" s="925">
        <f t="shared" si="25"/>
        <v>8.6333333333333329</v>
      </c>
      <c r="AH23" s="440">
        <f t="shared" si="26"/>
        <v>8.1173866182475187</v>
      </c>
      <c r="AI23" s="929">
        <f t="shared" si="27"/>
        <v>-0.51594671508581413</v>
      </c>
      <c r="AJ23" s="779"/>
      <c r="AK23" s="440">
        <f t="shared" ref="AK23:AQ23" si="116">$J$23</f>
        <v>1.2333333333333334</v>
      </c>
      <c r="AL23" s="440">
        <f t="shared" si="116"/>
        <v>1.2333333333333334</v>
      </c>
      <c r="AM23" s="440">
        <f t="shared" si="116"/>
        <v>1.2333333333333334</v>
      </c>
      <c r="AN23" s="440">
        <f t="shared" si="116"/>
        <v>1.2333333333333334</v>
      </c>
      <c r="AO23" s="440">
        <f t="shared" si="116"/>
        <v>1.2333333333333334</v>
      </c>
      <c r="AP23" s="440">
        <f t="shared" si="116"/>
        <v>1.2333333333333334</v>
      </c>
      <c r="AQ23" s="440">
        <f t="shared" si="116"/>
        <v>1.2333333333333334</v>
      </c>
      <c r="AR23" s="779"/>
      <c r="AS23" s="925">
        <f t="shared" si="29"/>
        <v>8.6333333333333329</v>
      </c>
      <c r="AT23" s="440">
        <f t="shared" si="30"/>
        <v>6.2141295063125286</v>
      </c>
      <c r="AU23" s="929">
        <f t="shared" si="50"/>
        <v>-2.4192038270208043</v>
      </c>
      <c r="AV23" s="779"/>
      <c r="AW23" s="440">
        <f t="shared" ref="AW23:BC23" si="117">$J$23</f>
        <v>1.2333333333333334</v>
      </c>
      <c r="AX23" s="440">
        <f t="shared" si="117"/>
        <v>1.2333333333333334</v>
      </c>
      <c r="AY23" s="440">
        <f t="shared" si="117"/>
        <v>1.2333333333333334</v>
      </c>
      <c r="AZ23" s="440">
        <f t="shared" si="117"/>
        <v>1.2333333333333334</v>
      </c>
      <c r="BA23" s="440">
        <f t="shared" si="117"/>
        <v>1.2333333333333334</v>
      </c>
      <c r="BB23" s="440">
        <f t="shared" si="117"/>
        <v>1.2333333333333334</v>
      </c>
      <c r="BC23" s="440">
        <f t="shared" si="117"/>
        <v>1.2333333333333334</v>
      </c>
      <c r="BD23" s="779"/>
      <c r="BE23" s="925">
        <f t="shared" si="14"/>
        <v>8.6333333333333329</v>
      </c>
      <c r="BF23" s="440">
        <f t="shared" si="33"/>
        <v>8.8798808602746835</v>
      </c>
      <c r="BG23" s="929">
        <f t="shared" si="52"/>
        <v>0.24654752694135063</v>
      </c>
      <c r="BH23" s="479"/>
      <c r="BI23" s="132">
        <f t="shared" ref="BI23:BJ23" si="118">$J$23</f>
        <v>1.2333333333333334</v>
      </c>
      <c r="BJ23" s="132">
        <f t="shared" si="118"/>
        <v>1.2333333333333334</v>
      </c>
      <c r="BK23" s="479"/>
      <c r="BL23" s="925">
        <f>SUM(BI23:BJ23)</f>
        <v>2.4666666666666668</v>
      </c>
      <c r="BM23" s="440">
        <f>($BL$3*K23)*30%</f>
        <v>3.4610090204514252</v>
      </c>
      <c r="BN23" s="929">
        <f t="shared" si="54"/>
        <v>0.99434235378475844</v>
      </c>
      <c r="BP23" s="187">
        <v>37</v>
      </c>
      <c r="BQ23" s="641">
        <f t="shared" si="106"/>
        <v>1</v>
      </c>
      <c r="BS23" s="925">
        <f t="shared" si="107"/>
        <v>37</v>
      </c>
      <c r="BT23" s="1014">
        <f t="shared" si="108"/>
        <v>1</v>
      </c>
      <c r="BU23" s="480"/>
      <c r="BW23" s="1199"/>
      <c r="BX23" s="1039">
        <v>43555</v>
      </c>
      <c r="BY23" s="62"/>
      <c r="BZ23" s="81"/>
      <c r="CA23" s="81"/>
      <c r="CB23" s="81"/>
      <c r="CC23" s="81"/>
      <c r="CD23" s="81"/>
      <c r="CE23" s="81"/>
      <c r="CF23" s="1029"/>
    </row>
    <row r="24" spans="1:84" x14ac:dyDescent="0.2">
      <c r="A24" s="432"/>
      <c r="B24" s="433">
        <v>14</v>
      </c>
      <c r="C24" s="433" t="s">
        <v>118</v>
      </c>
      <c r="D24" s="780"/>
      <c r="E24" s="347">
        <v>28.76</v>
      </c>
      <c r="F24" s="347">
        <f t="shared" si="95"/>
        <v>2.8760000000000003</v>
      </c>
      <c r="G24" s="347">
        <f t="shared" si="96"/>
        <v>1.9173333333333333</v>
      </c>
      <c r="H24" s="347">
        <f t="shared" si="97"/>
        <v>1.4380000000000002</v>
      </c>
      <c r="I24" s="347">
        <f t="shared" si="98"/>
        <v>1.1504000000000001</v>
      </c>
      <c r="J24" s="347">
        <f t="shared" si="99"/>
        <v>0.95866666666666667</v>
      </c>
      <c r="K24" s="531">
        <f t="shared" si="100"/>
        <v>2.5724162913735509E-2</v>
      </c>
      <c r="L24" s="28"/>
      <c r="M24" s="5">
        <f t="shared" ref="M24:S24" si="119">$J$24</f>
        <v>0.95866666666666667</v>
      </c>
      <c r="N24" s="5">
        <f t="shared" si="119"/>
        <v>0.95866666666666667</v>
      </c>
      <c r="O24" s="5">
        <f t="shared" si="119"/>
        <v>0.95866666666666667</v>
      </c>
      <c r="P24" s="5">
        <f t="shared" si="119"/>
        <v>0.95866666666666667</v>
      </c>
      <c r="Q24" s="5">
        <f t="shared" si="119"/>
        <v>0.95866666666666667</v>
      </c>
      <c r="R24" s="5">
        <f t="shared" si="119"/>
        <v>0.95866666666666667</v>
      </c>
      <c r="S24" s="5">
        <f t="shared" si="119"/>
        <v>0.95866666666666667</v>
      </c>
      <c r="T24" s="14"/>
      <c r="U24" s="937">
        <f t="shared" si="10"/>
        <v>6.7106666666666666</v>
      </c>
      <c r="V24" s="1159">
        <f t="shared" si="22"/>
        <v>6.6437795557304709</v>
      </c>
      <c r="W24" s="938">
        <f t="shared" si="23"/>
        <v>-6.6887110936195704E-2</v>
      </c>
      <c r="X24" s="145"/>
      <c r="Y24" s="5">
        <f t="shared" ref="Y24:AE24" si="120">$J$24</f>
        <v>0.95866666666666667</v>
      </c>
      <c r="Z24" s="5">
        <f t="shared" si="120"/>
        <v>0.95866666666666667</v>
      </c>
      <c r="AA24" s="5">
        <f t="shared" si="120"/>
        <v>0.95866666666666667</v>
      </c>
      <c r="AB24" s="5">
        <f t="shared" si="120"/>
        <v>0.95866666666666667</v>
      </c>
      <c r="AC24" s="5">
        <f t="shared" si="120"/>
        <v>0.95866666666666667</v>
      </c>
      <c r="AD24" s="5">
        <f t="shared" si="120"/>
        <v>0.95866666666666667</v>
      </c>
      <c r="AE24" s="5">
        <f t="shared" si="120"/>
        <v>0.95866666666666667</v>
      </c>
      <c r="AF24" s="145"/>
      <c r="AG24" s="937">
        <f t="shared" si="25"/>
        <v>6.7106666666666666</v>
      </c>
      <c r="AH24" s="1255">
        <f t="shared" si="26"/>
        <v>6.3096226794810457</v>
      </c>
      <c r="AI24" s="938">
        <f t="shared" si="27"/>
        <v>-0.40104398718562084</v>
      </c>
      <c r="AJ24" s="145"/>
      <c r="AK24" s="1147">
        <f t="shared" ref="AK24:AQ24" si="121">$J$24</f>
        <v>0.95866666666666667</v>
      </c>
      <c r="AL24" s="1257">
        <f t="shared" si="121"/>
        <v>0.95866666666666667</v>
      </c>
      <c r="AM24" s="1263">
        <f t="shared" si="121"/>
        <v>0.95866666666666667</v>
      </c>
      <c r="AN24" s="1263">
        <f t="shared" si="121"/>
        <v>0.95866666666666667</v>
      </c>
      <c r="AO24" s="1265">
        <f t="shared" si="121"/>
        <v>0.95866666666666667</v>
      </c>
      <c r="AP24" s="1269">
        <f t="shared" si="121"/>
        <v>0.95866666666666667</v>
      </c>
      <c r="AQ24" s="1271">
        <f t="shared" si="121"/>
        <v>0.95866666666666667</v>
      </c>
      <c r="AR24" s="145"/>
      <c r="AS24" s="937">
        <f t="shared" si="29"/>
        <v>6.7106666666666666</v>
      </c>
      <c r="AT24" s="1255">
        <f t="shared" si="30"/>
        <v>4.8302260703121176</v>
      </c>
      <c r="AU24" s="938">
        <f t="shared" si="50"/>
        <v>-1.880440596354549</v>
      </c>
      <c r="AV24" s="145"/>
      <c r="AW24" s="1147">
        <f t="shared" ref="AW24:BC24" si="122">$J$24</f>
        <v>0.95866666666666667</v>
      </c>
      <c r="AX24" s="1275">
        <f t="shared" si="122"/>
        <v>0.95866666666666667</v>
      </c>
      <c r="AY24" s="1278">
        <f t="shared" si="122"/>
        <v>0.95866666666666667</v>
      </c>
      <c r="AZ24" s="1278">
        <f t="shared" si="122"/>
        <v>0.95866666666666667</v>
      </c>
      <c r="BA24" s="1281">
        <f t="shared" si="122"/>
        <v>0.95866666666666667</v>
      </c>
      <c r="BB24" s="1283">
        <f t="shared" si="122"/>
        <v>0.95866666666666667</v>
      </c>
      <c r="BC24" s="1283">
        <f t="shared" si="122"/>
        <v>0.95866666666666667</v>
      </c>
      <c r="BD24" s="145"/>
      <c r="BE24" s="937">
        <f t="shared" si="14"/>
        <v>6.7106666666666666</v>
      </c>
      <c r="BF24" s="1147">
        <f t="shared" si="33"/>
        <v>6.9023073930135119</v>
      </c>
      <c r="BG24" s="938">
        <f t="shared" si="52"/>
        <v>0.19164072634684537</v>
      </c>
      <c r="BH24" s="14"/>
      <c r="BI24" s="5">
        <f t="shared" ref="BI24:BJ24" si="123">$J$24</f>
        <v>0.95866666666666667</v>
      </c>
      <c r="BJ24" s="5">
        <f t="shared" si="123"/>
        <v>0.95866666666666667</v>
      </c>
      <c r="BK24" s="14"/>
      <c r="BL24" s="937">
        <f>SUM(BI24:BJ24)</f>
        <v>1.9173333333333333</v>
      </c>
      <c r="BM24" s="1147">
        <f>($BL$3*K24)*30%</f>
        <v>2.6902329575184596</v>
      </c>
      <c r="BN24" s="938">
        <f t="shared" si="54"/>
        <v>0.77289962418512625</v>
      </c>
      <c r="BP24" s="764">
        <v>28.76</v>
      </c>
      <c r="BQ24" s="9">
        <f t="shared" si="106"/>
        <v>1</v>
      </c>
      <c r="BS24" s="937">
        <f t="shared" si="107"/>
        <v>28.759999999999998</v>
      </c>
      <c r="BT24" s="1015">
        <f t="shared" si="108"/>
        <v>0.99999999999999989</v>
      </c>
      <c r="BU24" s="29"/>
      <c r="BW24" s="1253"/>
      <c r="BX24" s="1239">
        <f>BX22-BX23</f>
        <v>30</v>
      </c>
      <c r="BY24" s="840"/>
      <c r="BZ24" s="988"/>
      <c r="CA24" s="988"/>
      <c r="CB24" s="988"/>
      <c r="CC24" s="988"/>
      <c r="CD24" s="988"/>
      <c r="CE24" s="988"/>
      <c r="CF24" s="1030"/>
    </row>
    <row r="25" spans="1:84" s="255" customFormat="1" x14ac:dyDescent="0.2">
      <c r="A25" s="426"/>
      <c r="B25" s="427">
        <v>15</v>
      </c>
      <c r="C25" s="427" t="s">
        <v>116</v>
      </c>
      <c r="D25" s="813"/>
      <c r="E25" s="40">
        <v>25.5</v>
      </c>
      <c r="F25" s="40">
        <f t="shared" si="95"/>
        <v>2.5499999999999998</v>
      </c>
      <c r="G25" s="40">
        <f t="shared" si="96"/>
        <v>1.7</v>
      </c>
      <c r="H25" s="40">
        <f t="shared" si="97"/>
        <v>1.2749999999999999</v>
      </c>
      <c r="I25" s="40">
        <f t="shared" si="98"/>
        <v>1.02</v>
      </c>
      <c r="J25" s="40">
        <f t="shared" si="99"/>
        <v>0.85</v>
      </c>
      <c r="K25" s="206">
        <f t="shared" si="100"/>
        <v>2.2808280747574947E-2</v>
      </c>
      <c r="L25" s="492"/>
      <c r="M25" s="40">
        <f t="shared" ref="M25:S25" si="124">$J$25</f>
        <v>0.85</v>
      </c>
      <c r="N25" s="40">
        <f t="shared" si="124"/>
        <v>0.85</v>
      </c>
      <c r="O25" s="40">
        <f t="shared" si="124"/>
        <v>0.85</v>
      </c>
      <c r="P25" s="40">
        <f t="shared" si="124"/>
        <v>0.85</v>
      </c>
      <c r="Q25" s="40">
        <f t="shared" si="124"/>
        <v>0.85</v>
      </c>
      <c r="R25" s="40">
        <f t="shared" si="124"/>
        <v>0.85</v>
      </c>
      <c r="S25" s="40">
        <f t="shared" si="124"/>
        <v>0.85</v>
      </c>
      <c r="T25" s="1157"/>
      <c r="U25" s="911">
        <f t="shared" si="10"/>
        <v>5.9499999999999993</v>
      </c>
      <c r="V25" s="1158">
        <f t="shared" si="22"/>
        <v>5.8906946686761819</v>
      </c>
      <c r="W25" s="936">
        <f t="shared" si="23"/>
        <v>-5.9305331323817434E-2</v>
      </c>
      <c r="X25" s="782"/>
      <c r="Y25" s="40">
        <f t="shared" ref="Y25:AE25" si="125">$J$25</f>
        <v>0.85</v>
      </c>
      <c r="Z25" s="40">
        <f t="shared" si="125"/>
        <v>0.85</v>
      </c>
      <c r="AA25" s="40">
        <f t="shared" si="125"/>
        <v>0.85</v>
      </c>
      <c r="AB25" s="40">
        <f t="shared" si="125"/>
        <v>0.85</v>
      </c>
      <c r="AC25" s="40">
        <f t="shared" si="125"/>
        <v>0.85</v>
      </c>
      <c r="AD25" s="40">
        <f t="shared" si="125"/>
        <v>0.85</v>
      </c>
      <c r="AE25" s="40">
        <f t="shared" si="125"/>
        <v>0.85</v>
      </c>
      <c r="AF25" s="782"/>
      <c r="AG25" s="911">
        <f t="shared" si="25"/>
        <v>5.9499999999999993</v>
      </c>
      <c r="AH25" s="1254">
        <f t="shared" si="26"/>
        <v>5.5944151017651835</v>
      </c>
      <c r="AI25" s="936">
        <f t="shared" si="27"/>
        <v>-0.35558489823481576</v>
      </c>
      <c r="AJ25" s="782"/>
      <c r="AK25" s="1148">
        <f t="shared" ref="AK25:AQ25" si="126">$J$25</f>
        <v>0.85</v>
      </c>
      <c r="AL25" s="1258">
        <f t="shared" si="126"/>
        <v>0.85</v>
      </c>
      <c r="AM25" s="1262">
        <f t="shared" si="126"/>
        <v>0.85</v>
      </c>
      <c r="AN25" s="1262">
        <f t="shared" si="126"/>
        <v>0.85</v>
      </c>
      <c r="AO25" s="1266">
        <f t="shared" si="126"/>
        <v>0.85</v>
      </c>
      <c r="AP25" s="1268">
        <f t="shared" si="126"/>
        <v>0.85</v>
      </c>
      <c r="AQ25" s="1272">
        <f t="shared" si="126"/>
        <v>0.85</v>
      </c>
      <c r="AR25" s="782"/>
      <c r="AS25" s="911">
        <f t="shared" si="29"/>
        <v>5.9499999999999993</v>
      </c>
      <c r="AT25" s="1254">
        <f t="shared" si="30"/>
        <v>4.2827108759721479</v>
      </c>
      <c r="AU25" s="936">
        <f t="shared" si="50"/>
        <v>-1.6672891240278513</v>
      </c>
      <c r="AV25" s="782"/>
      <c r="AW25" s="1148">
        <f t="shared" ref="AW25:BC25" si="127">$J$25</f>
        <v>0.85</v>
      </c>
      <c r="AX25" s="1276">
        <f t="shared" si="127"/>
        <v>0.85</v>
      </c>
      <c r="AY25" s="1277">
        <f t="shared" si="127"/>
        <v>0.85</v>
      </c>
      <c r="AZ25" s="1277">
        <f t="shared" si="127"/>
        <v>0.85</v>
      </c>
      <c r="BA25" s="1280">
        <f t="shared" si="127"/>
        <v>0.85</v>
      </c>
      <c r="BB25" s="1284">
        <f t="shared" si="127"/>
        <v>0.85</v>
      </c>
      <c r="BC25" s="1284">
        <f t="shared" si="127"/>
        <v>0.85</v>
      </c>
      <c r="BD25" s="782"/>
      <c r="BE25" s="911">
        <f t="shared" si="14"/>
        <v>5.9499999999999993</v>
      </c>
      <c r="BF25" s="1148">
        <f t="shared" si="33"/>
        <v>6.119917890189309</v>
      </c>
      <c r="BG25" s="936">
        <f t="shared" si="52"/>
        <v>0.16991789018930969</v>
      </c>
      <c r="BH25" s="1157"/>
      <c r="BI25" s="40">
        <f t="shared" ref="BI25:BJ25" si="128">$J$25</f>
        <v>0.85</v>
      </c>
      <c r="BJ25" s="40">
        <f t="shared" si="128"/>
        <v>0.85</v>
      </c>
      <c r="BK25" s="1157"/>
      <c r="BL25" s="911">
        <f>SUM(BI25:BJ25)</f>
        <v>1.7</v>
      </c>
      <c r="BM25" s="1148">
        <f>($BL$3*K25)*30%</f>
        <v>2.3852900005813882</v>
      </c>
      <c r="BN25" s="936">
        <f t="shared" si="54"/>
        <v>0.68529000058138823</v>
      </c>
      <c r="BP25" s="187">
        <v>25.5</v>
      </c>
      <c r="BQ25" s="51">
        <f t="shared" si="106"/>
        <v>1</v>
      </c>
      <c r="BS25" s="911">
        <f t="shared" si="107"/>
        <v>25.499999999999996</v>
      </c>
      <c r="BT25" s="1016">
        <f t="shared" si="108"/>
        <v>0.99999999999999989</v>
      </c>
      <c r="BU25" s="62"/>
      <c r="BW25" s="1200"/>
      <c r="BX25" s="1039">
        <v>43585</v>
      </c>
      <c r="BY25" s="482"/>
      <c r="BZ25" s="444"/>
      <c r="CA25" s="444"/>
      <c r="CB25" s="444"/>
      <c r="CC25" s="444"/>
      <c r="CD25" s="444"/>
      <c r="CE25" s="444"/>
      <c r="CF25" s="1027"/>
    </row>
    <row r="26" spans="1:84" x14ac:dyDescent="0.2">
      <c r="B26" s="3">
        <v>16</v>
      </c>
      <c r="C26" s="922" t="s">
        <v>123</v>
      </c>
      <c r="D26" s="780"/>
      <c r="E26" s="347">
        <v>25</v>
      </c>
      <c r="F26" s="347">
        <f t="shared" si="95"/>
        <v>2.5</v>
      </c>
      <c r="G26" s="347">
        <f t="shared" si="96"/>
        <v>1.6666666666666667</v>
      </c>
      <c r="H26" s="347">
        <f t="shared" si="97"/>
        <v>1.25</v>
      </c>
      <c r="I26" s="347">
        <f t="shared" si="98"/>
        <v>1</v>
      </c>
      <c r="J26" s="347">
        <f t="shared" si="99"/>
        <v>0.83333333333333337</v>
      </c>
      <c r="K26" s="531">
        <f t="shared" si="100"/>
        <v>2.2361059556446024E-2</v>
      </c>
      <c r="L26" s="491"/>
      <c r="M26" s="5">
        <f t="shared" ref="M26:S26" si="129">$J$26</f>
        <v>0.83333333333333337</v>
      </c>
      <c r="N26" s="5">
        <f t="shared" si="129"/>
        <v>0.83333333333333337</v>
      </c>
      <c r="O26" s="5">
        <f t="shared" si="129"/>
        <v>0.83333333333333337</v>
      </c>
      <c r="P26" s="5">
        <f t="shared" si="129"/>
        <v>0.83333333333333337</v>
      </c>
      <c r="Q26" s="5">
        <f t="shared" si="129"/>
        <v>0.83333333333333337</v>
      </c>
      <c r="R26" s="5">
        <f t="shared" si="129"/>
        <v>0.83333333333333337</v>
      </c>
      <c r="S26" s="5">
        <f t="shared" si="129"/>
        <v>0.83333333333333337</v>
      </c>
      <c r="T26" s="14"/>
      <c r="U26" s="937">
        <f t="shared" si="10"/>
        <v>5.833333333333333</v>
      </c>
      <c r="V26" s="1159">
        <f>($U$3*K26)*30%</f>
        <v>5.7751908516433144</v>
      </c>
      <c r="W26" s="938">
        <f t="shared" si="23"/>
        <v>-5.8142481690018677E-2</v>
      </c>
      <c r="X26" s="145"/>
      <c r="Y26" s="5">
        <f t="shared" ref="Y26:AE26" si="130">$J$26</f>
        <v>0.83333333333333337</v>
      </c>
      <c r="Z26" s="5">
        <f t="shared" si="130"/>
        <v>0.83333333333333337</v>
      </c>
      <c r="AA26" s="5">
        <f t="shared" si="130"/>
        <v>0.83333333333333337</v>
      </c>
      <c r="AB26" s="5">
        <f t="shared" si="130"/>
        <v>0.83333333333333337</v>
      </c>
      <c r="AC26" s="5">
        <f t="shared" si="130"/>
        <v>0.83333333333333337</v>
      </c>
      <c r="AD26" s="5">
        <f t="shared" si="130"/>
        <v>0.83333333333333337</v>
      </c>
      <c r="AE26" s="5">
        <f t="shared" si="130"/>
        <v>0.83333333333333337</v>
      </c>
      <c r="AF26" s="145"/>
      <c r="AG26" s="937">
        <f t="shared" si="25"/>
        <v>5.833333333333333</v>
      </c>
      <c r="AH26" s="1255">
        <f>($AG$3*K26)*30%</f>
        <v>5.4847206880050807</v>
      </c>
      <c r="AI26" s="938">
        <f t="shared" si="27"/>
        <v>-0.34861264532825231</v>
      </c>
      <c r="AJ26" s="145"/>
      <c r="AK26" s="1147">
        <f t="shared" ref="AK26:AQ26" si="131">$J$26</f>
        <v>0.83333333333333337</v>
      </c>
      <c r="AL26" s="1257">
        <f t="shared" si="131"/>
        <v>0.83333333333333337</v>
      </c>
      <c r="AM26" s="1263">
        <f t="shared" si="131"/>
        <v>0.83333333333333337</v>
      </c>
      <c r="AN26" s="1263">
        <f t="shared" si="131"/>
        <v>0.83333333333333337</v>
      </c>
      <c r="AO26" s="1265">
        <f t="shared" si="131"/>
        <v>0.83333333333333337</v>
      </c>
      <c r="AP26" s="1269">
        <f t="shared" si="131"/>
        <v>0.83333333333333337</v>
      </c>
      <c r="AQ26" s="1271">
        <f t="shared" si="131"/>
        <v>0.83333333333333337</v>
      </c>
      <c r="AR26" s="145"/>
      <c r="AS26" s="937">
        <f t="shared" si="29"/>
        <v>5.833333333333333</v>
      </c>
      <c r="AT26" s="1255">
        <f t="shared" si="30"/>
        <v>4.1987361529138703</v>
      </c>
      <c r="AU26" s="938">
        <f t="shared" si="50"/>
        <v>-1.6345971804194628</v>
      </c>
      <c r="AV26" s="145"/>
      <c r="AW26" s="1147">
        <f t="shared" ref="AW26:BC26" si="132">$J$26</f>
        <v>0.83333333333333337</v>
      </c>
      <c r="AX26" s="1275">
        <f t="shared" si="132"/>
        <v>0.83333333333333337</v>
      </c>
      <c r="AY26" s="1278">
        <f t="shared" si="132"/>
        <v>0.83333333333333337</v>
      </c>
      <c r="AZ26" s="1278">
        <f t="shared" si="132"/>
        <v>0.83333333333333337</v>
      </c>
      <c r="BA26" s="1281">
        <f t="shared" si="132"/>
        <v>0.83333333333333337</v>
      </c>
      <c r="BB26" s="1283">
        <f t="shared" si="132"/>
        <v>0.83333333333333337</v>
      </c>
      <c r="BC26" s="1283">
        <f t="shared" si="132"/>
        <v>0.83333333333333337</v>
      </c>
      <c r="BD26" s="145"/>
      <c r="BE26" s="937">
        <f t="shared" si="14"/>
        <v>5.833333333333333</v>
      </c>
      <c r="BF26" s="1147">
        <f t="shared" si="33"/>
        <v>5.9999195001855972</v>
      </c>
      <c r="BG26" s="938">
        <f t="shared" si="52"/>
        <v>0.16658616685226413</v>
      </c>
      <c r="BH26" s="14"/>
      <c r="BI26" s="5">
        <f t="shared" ref="BI26:BJ26" si="133">$J$26</f>
        <v>0.83333333333333337</v>
      </c>
      <c r="BJ26" s="5">
        <f t="shared" si="133"/>
        <v>0.83333333333333337</v>
      </c>
      <c r="BK26" s="14"/>
      <c r="BL26" s="937">
        <f t="shared" ref="BL26:BL27" si="134">SUM(BI26:BJ26)</f>
        <v>1.6666666666666667</v>
      </c>
      <c r="BM26" s="1147">
        <f t="shared" ref="BM26:BM27" si="135">($BL$3*K26)*30%</f>
        <v>2.3385196084131255</v>
      </c>
      <c r="BN26" s="938">
        <f t="shared" ref="BN26:BN27" si="136">BM26-BL26</f>
        <v>0.67185294174645871</v>
      </c>
      <c r="BP26" s="764">
        <v>25</v>
      </c>
      <c r="BQ26" s="9">
        <f t="shared" si="106"/>
        <v>1</v>
      </c>
      <c r="BS26" s="937">
        <f t="shared" si="107"/>
        <v>25</v>
      </c>
      <c r="BT26" s="1015">
        <f t="shared" si="108"/>
        <v>1</v>
      </c>
      <c r="BU26" s="29"/>
      <c r="BW26" s="29"/>
      <c r="BX26" s="1240">
        <v>43586</v>
      </c>
      <c r="BY26" s="840"/>
      <c r="BZ26" s="988"/>
      <c r="CA26" s="988"/>
      <c r="CB26" s="988"/>
      <c r="CC26" s="988"/>
      <c r="CD26" s="988"/>
      <c r="CE26" s="988"/>
      <c r="CF26" s="1030"/>
    </row>
    <row r="27" spans="1:84" s="255" customFormat="1" ht="15.75" thickBot="1" x14ac:dyDescent="0.25">
      <c r="B27" s="43">
        <v>17</v>
      </c>
      <c r="C27" s="427" t="s">
        <v>119</v>
      </c>
      <c r="D27" s="812"/>
      <c r="E27" s="132">
        <v>4</v>
      </c>
      <c r="F27" s="132">
        <f t="shared" si="95"/>
        <v>0.4</v>
      </c>
      <c r="G27" s="132">
        <f t="shared" si="96"/>
        <v>0.26666666666666666</v>
      </c>
      <c r="H27" s="132">
        <f t="shared" si="97"/>
        <v>0.2</v>
      </c>
      <c r="I27" s="132">
        <f t="shared" si="98"/>
        <v>0.16</v>
      </c>
      <c r="J27" s="132">
        <f t="shared" si="99"/>
        <v>0.13333333333333333</v>
      </c>
      <c r="K27" s="478">
        <f t="shared" si="100"/>
        <v>3.577769529031364E-3</v>
      </c>
      <c r="L27" s="492"/>
      <c r="M27" s="40">
        <f t="shared" ref="M27:S27" si="137">$J$27</f>
        <v>0.13333333333333333</v>
      </c>
      <c r="N27" s="40">
        <f t="shared" si="137"/>
        <v>0.13333333333333333</v>
      </c>
      <c r="O27" s="40">
        <f t="shared" si="137"/>
        <v>0.13333333333333333</v>
      </c>
      <c r="P27" s="40">
        <f t="shared" si="137"/>
        <v>0.13333333333333333</v>
      </c>
      <c r="Q27" s="40">
        <f t="shared" si="137"/>
        <v>0.13333333333333333</v>
      </c>
      <c r="R27" s="40">
        <f t="shared" si="137"/>
        <v>0.13333333333333333</v>
      </c>
      <c r="S27" s="40">
        <f t="shared" si="137"/>
        <v>0.13333333333333333</v>
      </c>
      <c r="T27" s="1157"/>
      <c r="U27" s="957">
        <f>SUM(M27:S27)</f>
        <v>0.93333333333333324</v>
      </c>
      <c r="V27" s="958">
        <f t="shared" ref="V27" si="138">($U$3*K27)*30%</f>
        <v>0.92403053626293052</v>
      </c>
      <c r="W27" s="959">
        <f t="shared" si="23"/>
        <v>-9.302797070402713E-3</v>
      </c>
      <c r="X27" s="782"/>
      <c r="Y27" s="1148">
        <f t="shared" ref="Y27:AE27" si="139">$J$27</f>
        <v>0.13333333333333333</v>
      </c>
      <c r="Z27" s="1242">
        <f t="shared" si="139"/>
        <v>0.13333333333333333</v>
      </c>
      <c r="AA27" s="1245">
        <f t="shared" si="139"/>
        <v>0.13333333333333333</v>
      </c>
      <c r="AB27" s="1247">
        <f t="shared" si="139"/>
        <v>0.13333333333333333</v>
      </c>
      <c r="AC27" s="1247">
        <f t="shared" si="139"/>
        <v>0.13333333333333333</v>
      </c>
      <c r="AD27" s="1251">
        <f t="shared" si="139"/>
        <v>0.13333333333333333</v>
      </c>
      <c r="AE27" s="1254">
        <f t="shared" si="139"/>
        <v>0.13333333333333333</v>
      </c>
      <c r="AF27" s="782"/>
      <c r="AG27" s="957">
        <f t="shared" si="25"/>
        <v>0.93333333333333324</v>
      </c>
      <c r="AH27" s="958">
        <f>($AG$3*K27)*30%</f>
        <v>0.87755531008081289</v>
      </c>
      <c r="AI27" s="959">
        <f t="shared" si="27"/>
        <v>-5.5778023252520348E-2</v>
      </c>
      <c r="AJ27" s="782"/>
      <c r="AK27" s="1148">
        <f t="shared" ref="AK27:AQ27" si="140">$J$27</f>
        <v>0.13333333333333333</v>
      </c>
      <c r="AL27" s="1258">
        <f t="shared" si="140"/>
        <v>0.13333333333333333</v>
      </c>
      <c r="AM27" s="1262">
        <f t="shared" si="140"/>
        <v>0.13333333333333333</v>
      </c>
      <c r="AN27" s="1262">
        <f t="shared" si="140"/>
        <v>0.13333333333333333</v>
      </c>
      <c r="AO27" s="1266">
        <f t="shared" si="140"/>
        <v>0.13333333333333333</v>
      </c>
      <c r="AP27" s="1268">
        <f t="shared" si="140"/>
        <v>0.13333333333333333</v>
      </c>
      <c r="AQ27" s="1272">
        <f t="shared" si="140"/>
        <v>0.13333333333333333</v>
      </c>
      <c r="AR27" s="782"/>
      <c r="AS27" s="957">
        <f t="shared" si="29"/>
        <v>0.93333333333333324</v>
      </c>
      <c r="AT27" s="958">
        <f t="shared" si="30"/>
        <v>0.67179778446621941</v>
      </c>
      <c r="AU27" s="959">
        <f t="shared" si="50"/>
        <v>-0.26153554886711383</v>
      </c>
      <c r="AV27" s="782"/>
      <c r="AW27" s="1148">
        <f t="shared" ref="AW27:BC27" si="141">$J$27</f>
        <v>0.13333333333333333</v>
      </c>
      <c r="AX27" s="1276">
        <f t="shared" si="141"/>
        <v>0.13333333333333333</v>
      </c>
      <c r="AY27" s="1277">
        <f t="shared" si="141"/>
        <v>0.13333333333333333</v>
      </c>
      <c r="AZ27" s="1277">
        <f t="shared" si="141"/>
        <v>0.13333333333333333</v>
      </c>
      <c r="BA27" s="1280">
        <f t="shared" si="141"/>
        <v>0.13333333333333333</v>
      </c>
      <c r="BB27" s="1284">
        <f t="shared" si="141"/>
        <v>0.13333333333333333</v>
      </c>
      <c r="BC27" s="1284">
        <f t="shared" si="141"/>
        <v>0.13333333333333333</v>
      </c>
      <c r="BD27" s="782"/>
      <c r="BE27" s="1177">
        <f t="shared" si="14"/>
        <v>0.93333333333333324</v>
      </c>
      <c r="BF27" s="1179">
        <f t="shared" si="33"/>
        <v>0.95998712002969555</v>
      </c>
      <c r="BG27" s="1178">
        <f t="shared" si="52"/>
        <v>2.6653786696362314E-2</v>
      </c>
      <c r="BH27" s="1157"/>
      <c r="BI27" s="40">
        <f t="shared" ref="BI27:BJ27" si="142">$J$27</f>
        <v>0.13333333333333333</v>
      </c>
      <c r="BJ27" s="40">
        <f t="shared" si="142"/>
        <v>0.13333333333333333</v>
      </c>
      <c r="BK27" s="1157"/>
      <c r="BL27" s="1177">
        <f t="shared" si="134"/>
        <v>0.26666666666666666</v>
      </c>
      <c r="BM27" s="1179">
        <f t="shared" si="135"/>
        <v>0.37416313734610007</v>
      </c>
      <c r="BN27" s="1178">
        <f t="shared" si="136"/>
        <v>0.10749647067943341</v>
      </c>
      <c r="BP27" s="187">
        <v>4</v>
      </c>
      <c r="BQ27" s="51">
        <f t="shared" si="106"/>
        <v>1</v>
      </c>
      <c r="BS27" s="957">
        <f t="shared" si="107"/>
        <v>3.9999999999999996</v>
      </c>
      <c r="BT27" s="1078">
        <f t="shared" si="108"/>
        <v>0.99999999999999989</v>
      </c>
      <c r="BU27" s="62"/>
      <c r="BW27" s="62"/>
      <c r="BX27" s="1241">
        <f>BX26/BX25</f>
        <v>1.0000229436732821</v>
      </c>
      <c r="BY27" s="62"/>
      <c r="BZ27" s="81"/>
      <c r="CA27" s="81"/>
      <c r="CB27" s="81"/>
      <c r="CC27" s="81"/>
      <c r="CD27" s="81"/>
      <c r="CE27" s="81"/>
      <c r="CF27" s="1029"/>
    </row>
    <row r="28" spans="1:84" s="81" customFormat="1" ht="4.5" customHeight="1" thickBot="1" x14ac:dyDescent="0.25">
      <c r="B28" s="1162"/>
      <c r="C28" s="1168"/>
      <c r="D28" s="438"/>
      <c r="E28" s="429"/>
      <c r="F28" s="429"/>
      <c r="G28" s="429"/>
      <c r="H28" s="429"/>
      <c r="I28" s="429"/>
      <c r="J28" s="429"/>
      <c r="K28" s="1169"/>
      <c r="L28" s="492"/>
      <c r="M28" s="80"/>
      <c r="N28" s="80"/>
      <c r="O28" s="80"/>
      <c r="P28" s="80"/>
      <c r="Q28" s="80"/>
      <c r="R28" s="80"/>
      <c r="S28" s="80"/>
      <c r="T28" s="1163"/>
      <c r="U28" s="1163"/>
      <c r="V28" s="1163"/>
      <c r="W28" s="1163"/>
      <c r="X28" s="1163"/>
      <c r="Y28" s="80"/>
      <c r="Z28" s="80"/>
      <c r="AA28" s="80"/>
      <c r="AB28" s="80"/>
      <c r="AC28" s="80"/>
      <c r="AD28" s="80"/>
      <c r="AE28" s="80"/>
      <c r="AF28" s="1163"/>
      <c r="AG28" s="1163"/>
      <c r="AH28" s="1163"/>
      <c r="AI28" s="1163"/>
      <c r="AJ28" s="1163"/>
      <c r="AK28" s="80"/>
      <c r="AL28" s="80"/>
      <c r="AM28" s="80"/>
      <c r="AN28" s="80"/>
      <c r="AO28" s="80"/>
      <c r="AP28" s="80"/>
      <c r="AQ28" s="80"/>
      <c r="AR28" s="1163"/>
      <c r="AS28" s="1256"/>
      <c r="AT28" s="1256"/>
      <c r="AU28" s="1256"/>
      <c r="AV28" s="1163"/>
      <c r="AW28" s="80"/>
      <c r="AX28" s="80"/>
      <c r="AY28" s="80"/>
      <c r="AZ28" s="80"/>
      <c r="BA28" s="80"/>
      <c r="BB28" s="80"/>
      <c r="BC28" s="80"/>
      <c r="BD28" s="1163"/>
      <c r="BE28" s="1161"/>
      <c r="BF28" s="1161"/>
      <c r="BG28" s="1161"/>
      <c r="BH28" s="1163"/>
      <c r="BI28" s="80"/>
      <c r="BJ28" s="80"/>
      <c r="BK28" s="1163"/>
      <c r="BL28" s="1161"/>
      <c r="BM28" s="1161"/>
      <c r="BN28" s="1161"/>
      <c r="BP28" s="1163"/>
      <c r="BQ28" s="62"/>
      <c r="BS28" s="1201"/>
      <c r="BT28" s="1202"/>
      <c r="BU28" s="62"/>
      <c r="BW28" s="62"/>
      <c r="BX28" s="1031"/>
      <c r="BY28" s="1022"/>
      <c r="BZ28" s="271"/>
      <c r="CA28" s="271"/>
      <c r="CB28" s="271"/>
      <c r="CC28" s="271"/>
      <c r="CD28" s="271"/>
      <c r="CE28" s="271"/>
      <c r="CF28" s="1032"/>
    </row>
    <row r="29" spans="1:84" ht="15.75" thickBot="1" x14ac:dyDescent="0.25">
      <c r="B29" s="3"/>
      <c r="C29" s="1217">
        <f>E29*100/30</f>
        <v>1084.2</v>
      </c>
      <c r="D29" s="780"/>
      <c r="E29" s="347">
        <f>SUM(E21:E27)</f>
        <v>325.26</v>
      </c>
      <c r="F29" s="347">
        <f t="shared" ref="F29:K29" si="143">SUM(F21:F27)</f>
        <v>32.526000000000003</v>
      </c>
      <c r="G29" s="347">
        <f t="shared" si="143"/>
        <v>21.683999999999997</v>
      </c>
      <c r="H29" s="347">
        <f t="shared" si="143"/>
        <v>16.263000000000002</v>
      </c>
      <c r="I29" s="347">
        <f t="shared" si="143"/>
        <v>13.010399999999999</v>
      </c>
      <c r="J29" s="347">
        <f t="shared" si="143"/>
        <v>10.841999999999999</v>
      </c>
      <c r="K29" s="485">
        <f t="shared" si="143"/>
        <v>0.29092632925318535</v>
      </c>
      <c r="L29" s="491"/>
      <c r="M29" s="5">
        <f>SUM(M21:M27)</f>
        <v>10.841999999999999</v>
      </c>
      <c r="N29" s="5">
        <f t="shared" ref="N29:S29" si="144">SUM(N21:N27)</f>
        <v>10.841999999999999</v>
      </c>
      <c r="O29" s="5">
        <f t="shared" si="144"/>
        <v>10.841999999999999</v>
      </c>
      <c r="P29" s="5">
        <f t="shared" si="144"/>
        <v>10.841999999999999</v>
      </c>
      <c r="Q29" s="5">
        <f t="shared" si="144"/>
        <v>10.841999999999999</v>
      </c>
      <c r="R29" s="5">
        <f t="shared" si="144"/>
        <v>10.841999999999999</v>
      </c>
      <c r="S29" s="5">
        <f t="shared" si="144"/>
        <v>10.841999999999999</v>
      </c>
      <c r="T29" s="14"/>
      <c r="U29" s="1184">
        <f t="shared" ref="U29" si="145">SUM(U21:U27)</f>
        <v>75.893999999999991</v>
      </c>
      <c r="V29" s="1185">
        <f t="shared" ref="V29" si="146">SUM(V21:V27)</f>
        <v>75.137543056220181</v>
      </c>
      <c r="W29" s="1186">
        <f t="shared" ref="W29" si="147">SUM(W21:W27)</f>
        <v>-0.75645694377980921</v>
      </c>
      <c r="X29" s="145"/>
      <c r="Y29" s="1147">
        <f t="shared" ref="Y29:Z29" si="148">SUM(Y21:Y27)</f>
        <v>10.841999999999999</v>
      </c>
      <c r="Z29" s="1243">
        <f t="shared" si="148"/>
        <v>10.841999999999999</v>
      </c>
      <c r="AA29" s="1244">
        <f t="shared" ref="AA29:AB29" si="149">SUM(AA21:AA27)</f>
        <v>10.841999999999999</v>
      </c>
      <c r="AB29" s="1248">
        <f t="shared" si="149"/>
        <v>10.841999999999999</v>
      </c>
      <c r="AC29" s="1248">
        <f t="shared" ref="AC29:AD29" si="150">SUM(AC21:AC27)</f>
        <v>10.841999999999999</v>
      </c>
      <c r="AD29" s="1250">
        <f t="shared" si="150"/>
        <v>10.841999999999999</v>
      </c>
      <c r="AE29" s="1255">
        <f t="shared" ref="AE29" si="151">SUM(AE21:AE27)</f>
        <v>10.841999999999999</v>
      </c>
      <c r="AF29" s="145"/>
      <c r="AG29" s="1184">
        <f>SUM(AG21:AG27)</f>
        <v>75.893999999999991</v>
      </c>
      <c r="AH29" s="1185">
        <f>SUM(AH21:AH27)</f>
        <v>71.358410039221312</v>
      </c>
      <c r="AI29" s="1186">
        <f>SUM(AI21:AI27)</f>
        <v>-4.5355899607786885</v>
      </c>
      <c r="AJ29" s="145"/>
      <c r="AK29" s="1147">
        <f t="shared" ref="AK29:AL29" si="152">SUM(AK21:AK27)</f>
        <v>10.841999999999999</v>
      </c>
      <c r="AL29" s="1257">
        <f t="shared" si="152"/>
        <v>10.841999999999999</v>
      </c>
      <c r="AM29" s="1263">
        <f t="shared" ref="AM29:AN29" si="153">SUM(AM21:AM27)</f>
        <v>10.841999999999999</v>
      </c>
      <c r="AN29" s="1263">
        <f t="shared" si="153"/>
        <v>10.841999999999999</v>
      </c>
      <c r="AO29" s="1265">
        <f t="shared" ref="AO29:AP29" si="154">SUM(AO21:AO27)</f>
        <v>10.841999999999999</v>
      </c>
      <c r="AP29" s="1269">
        <f t="shared" si="154"/>
        <v>10.841999999999999</v>
      </c>
      <c r="AQ29" s="1271">
        <f t="shared" ref="AQ29" si="155">SUM(AQ21:AQ27)</f>
        <v>10.841999999999999</v>
      </c>
      <c r="AR29" s="145"/>
      <c r="AS29" s="1184">
        <f>SUM(AS21:AS27)</f>
        <v>75.893999999999991</v>
      </c>
      <c r="AT29" s="1185">
        <f>SUM(AT21:AT27)</f>
        <v>54.62723684387062</v>
      </c>
      <c r="AU29" s="1186">
        <f>SUM(AU21:AU27)</f>
        <v>-21.266763156129372</v>
      </c>
      <c r="AV29" s="145"/>
      <c r="AW29" s="1147">
        <f t="shared" ref="AW29:AX29" si="156">SUM(AW21:AW27)</f>
        <v>10.841999999999999</v>
      </c>
      <c r="AX29" s="1275">
        <f t="shared" si="156"/>
        <v>10.841999999999999</v>
      </c>
      <c r="AY29" s="1278">
        <f t="shared" ref="AY29:AZ29" si="157">SUM(AY21:AY27)</f>
        <v>10.841999999999999</v>
      </c>
      <c r="AZ29" s="1278">
        <f t="shared" si="157"/>
        <v>10.841999999999999</v>
      </c>
      <c r="BA29" s="1281">
        <f t="shared" ref="BA29:BC29" si="158">SUM(BA21:BA27)</f>
        <v>10.841999999999999</v>
      </c>
      <c r="BB29" s="1283">
        <f t="shared" si="158"/>
        <v>10.841999999999999</v>
      </c>
      <c r="BC29" s="1283">
        <f t="shared" si="158"/>
        <v>10.841999999999999</v>
      </c>
      <c r="BD29" s="145"/>
      <c r="BE29" s="1184">
        <f>SUM(BE21:BE27)</f>
        <v>75.893999999999991</v>
      </c>
      <c r="BF29" s="1185">
        <f>SUM(BF21:BF27)</f>
        <v>78.061352665214699</v>
      </c>
      <c r="BG29" s="1186">
        <f>SUM(BG21:BG27)</f>
        <v>2.1673526652146955</v>
      </c>
      <c r="BH29" s="14"/>
      <c r="BI29" s="5">
        <f t="shared" ref="BI29:BJ29" si="159">SUM(BI21:BI27)</f>
        <v>10.841999999999999</v>
      </c>
      <c r="BJ29" s="5">
        <f t="shared" si="159"/>
        <v>10.841999999999999</v>
      </c>
      <c r="BK29" s="14"/>
      <c r="BL29" s="1184">
        <f>SUM(BL21:BL27)</f>
        <v>21.683999999999997</v>
      </c>
      <c r="BM29" s="1185">
        <f>SUM(BM21:BM27)</f>
        <v>30.425075513298125</v>
      </c>
      <c r="BN29" s="1186">
        <f>SUM(BN21:BN27)</f>
        <v>8.7410755132981262</v>
      </c>
      <c r="BP29" s="1184">
        <f>SUM(BP21:BP27)</f>
        <v>325.26</v>
      </c>
      <c r="BQ29" s="1189">
        <f t="shared" si="106"/>
        <v>1</v>
      </c>
      <c r="BS29" s="1184">
        <f t="shared" ref="BS29" si="160">SUM(BS21:BS27)</f>
        <v>325.26</v>
      </c>
      <c r="BT29" s="1189">
        <f t="shared" si="108"/>
        <v>1</v>
      </c>
      <c r="BU29" s="29"/>
      <c r="BW29" s="29"/>
      <c r="BX29" s="1058"/>
      <c r="BY29" s="29" t="s">
        <v>157</v>
      </c>
      <c r="BZ29" s="1059">
        <f>BS1</f>
        <v>1</v>
      </c>
      <c r="CA29" s="1220"/>
      <c r="CB29" s="1220"/>
      <c r="CC29" s="1220"/>
      <c r="CD29" s="1220"/>
      <c r="CE29" s="1220"/>
      <c r="CF29" s="1060"/>
    </row>
    <row r="30" spans="1:84" s="1152" customFormat="1" ht="4.5" customHeight="1" thickBot="1" x14ac:dyDescent="0.25">
      <c r="B30" s="150"/>
      <c r="C30" s="1174"/>
      <c r="D30" s="444"/>
      <c r="E30" s="435"/>
      <c r="F30" s="435"/>
      <c r="G30" s="435"/>
      <c r="H30" s="435"/>
      <c r="I30" s="435"/>
      <c r="J30" s="435"/>
      <c r="K30" s="1175"/>
      <c r="L30" s="491"/>
      <c r="M30" s="37"/>
      <c r="N30" s="37"/>
      <c r="O30" s="37"/>
      <c r="P30" s="37"/>
      <c r="Q30" s="37"/>
      <c r="R30" s="37"/>
      <c r="S30" s="37"/>
      <c r="T30" s="14"/>
      <c r="U30" s="14"/>
      <c r="V30" s="14"/>
      <c r="W30" s="14"/>
      <c r="X30" s="14"/>
      <c r="Y30" s="37"/>
      <c r="Z30" s="37"/>
      <c r="AA30" s="37"/>
      <c r="AB30" s="37"/>
      <c r="AC30" s="37"/>
      <c r="AD30" s="37"/>
      <c r="AE30" s="37"/>
      <c r="AF30" s="14"/>
      <c r="AG30" s="14"/>
      <c r="AH30" s="14"/>
      <c r="AI30" s="14"/>
      <c r="AJ30" s="14"/>
      <c r="AK30" s="37"/>
      <c r="AL30" s="37"/>
      <c r="AM30" s="37"/>
      <c r="AN30" s="37"/>
      <c r="AO30" s="37"/>
      <c r="AP30" s="37"/>
      <c r="AQ30" s="37"/>
      <c r="AR30" s="14"/>
      <c r="AS30" s="14"/>
      <c r="AT30" s="14"/>
      <c r="AU30" s="14"/>
      <c r="AV30" s="14"/>
      <c r="AW30" s="37"/>
      <c r="AX30" s="37"/>
      <c r="AY30" s="37"/>
      <c r="AZ30" s="37"/>
      <c r="BA30" s="37"/>
      <c r="BB30" s="37"/>
      <c r="BC30" s="37"/>
      <c r="BD30" s="14"/>
      <c r="BE30" s="1155"/>
      <c r="BF30" s="1155"/>
      <c r="BG30" s="1155"/>
      <c r="BH30" s="14"/>
      <c r="BI30" s="37"/>
      <c r="BJ30" s="37"/>
      <c r="BK30" s="14"/>
      <c r="BL30" s="1155"/>
      <c r="BM30" s="1155"/>
      <c r="BN30" s="1155"/>
      <c r="BP30" s="14"/>
      <c r="BQ30" s="29"/>
      <c r="BS30" s="14"/>
      <c r="BT30" s="29"/>
      <c r="BU30" s="29"/>
      <c r="BW30" s="29"/>
      <c r="BX30" s="1034"/>
      <c r="BY30" s="271"/>
      <c r="BZ30" s="271"/>
      <c r="CA30" s="271"/>
      <c r="CB30" s="271"/>
      <c r="CC30" s="271"/>
      <c r="CD30" s="271"/>
      <c r="CE30" s="271"/>
      <c r="CF30" s="1032"/>
    </row>
    <row r="31" spans="1:84" s="255" customFormat="1" ht="15.75" thickBot="1" x14ac:dyDescent="0.25">
      <c r="B31" s="43"/>
      <c r="C31" s="43" t="s">
        <v>17</v>
      </c>
      <c r="D31" s="813"/>
      <c r="E31" s="40">
        <f>SUM(E8:E17)+SUM(E21:E27)</f>
        <v>1118.0149999999999</v>
      </c>
      <c r="F31" s="40">
        <f t="shared" ref="F31:J31" si="161">SUM(F8:F17)+SUM(F21:F27)</f>
        <v>110.8015</v>
      </c>
      <c r="G31" s="40">
        <f t="shared" si="161"/>
        <v>73.867666666666665</v>
      </c>
      <c r="H31" s="40">
        <f t="shared" si="161"/>
        <v>55.400750000000002</v>
      </c>
      <c r="I31" s="40">
        <f t="shared" si="161"/>
        <v>44.320599999999999</v>
      </c>
      <c r="J31" s="40">
        <f t="shared" si="161"/>
        <v>37.267166666666668</v>
      </c>
      <c r="K31" s="193">
        <f>E31/(E31+E42+E47)</f>
        <v>0.37267166666666662</v>
      </c>
      <c r="L31" s="62"/>
      <c r="M31" s="40">
        <f>SUM(M8:M17)+SUM(M21:M27)</f>
        <v>37.267166666666668</v>
      </c>
      <c r="N31" s="40">
        <f t="shared" ref="N31:S31" si="162">SUM(N8:N17)+SUM(N21:N27)</f>
        <v>37.267166666666668</v>
      </c>
      <c r="O31" s="40">
        <f t="shared" si="162"/>
        <v>37.267166666666668</v>
      </c>
      <c r="P31" s="40">
        <f t="shared" si="162"/>
        <v>37.267166666666668</v>
      </c>
      <c r="Q31" s="40">
        <f t="shared" si="162"/>
        <v>37.267166666666668</v>
      </c>
      <c r="R31" s="40">
        <f t="shared" si="162"/>
        <v>37.267166666666668</v>
      </c>
      <c r="S31" s="40">
        <f t="shared" si="162"/>
        <v>37.267166666666668</v>
      </c>
      <c r="T31" s="1157"/>
      <c r="U31" s="742">
        <f>SUM(U8:U17)+SUM(U21:U27)</f>
        <v>260.87016666666665</v>
      </c>
      <c r="V31" s="1187">
        <f>SUM(V8:V17)+SUM(V21:V27)</f>
        <v>258.27000000000004</v>
      </c>
      <c r="W31" s="1188">
        <f>SUM(W8:W17)+SUM(W21:W27)</f>
        <v>-2.6001666666666301</v>
      </c>
      <c r="X31" s="782"/>
      <c r="Y31" s="1148">
        <f t="shared" ref="Y31:AA31" si="163">SUM(Y8:Y17)+SUM(Y21:Y27)</f>
        <v>37.267166666666668</v>
      </c>
      <c r="Z31" s="1242">
        <f t="shared" si="163"/>
        <v>37.267166666666668</v>
      </c>
      <c r="AA31" s="1245">
        <f t="shared" si="163"/>
        <v>37.267166666666668</v>
      </c>
      <c r="AB31" s="1247">
        <f t="shared" ref="AB31:AC31" si="164">SUM(AB8:AB17)+SUM(AB21:AB27)</f>
        <v>37.267166666666668</v>
      </c>
      <c r="AC31" s="1247">
        <f t="shared" si="164"/>
        <v>37.267166666666668</v>
      </c>
      <c r="AD31" s="1251">
        <f t="shared" ref="AD31:AE31" si="165">SUM(AD8:AD17)+SUM(AD21:AD27)</f>
        <v>37.267166666666668</v>
      </c>
      <c r="AE31" s="1254">
        <f t="shared" si="165"/>
        <v>37.267166666666668</v>
      </c>
      <c r="AF31" s="782"/>
      <c r="AG31" s="742">
        <f>SUM(Y31:AE31)</f>
        <v>260.87016666666671</v>
      </c>
      <c r="AH31" s="1187">
        <f>SUM(AH8:AH17)+SUM(AH21:AH27)</f>
        <v>245.27999999999997</v>
      </c>
      <c r="AI31" s="1188">
        <f>SUM(AI8:AI17)+SUM(AI21:AI27)</f>
        <v>-15.590166666666633</v>
      </c>
      <c r="AJ31" s="782"/>
      <c r="AK31" s="1148">
        <f t="shared" ref="AK31:AL31" si="166">SUM(AK8:AK17)+SUM(AK21:AK27)</f>
        <v>37.267166666666668</v>
      </c>
      <c r="AL31" s="1258">
        <f t="shared" si="166"/>
        <v>37.267166666666668</v>
      </c>
      <c r="AM31" s="1262">
        <f t="shared" ref="AM31:AN31" si="167">SUM(AM8:AM17)+SUM(AM21:AM27)</f>
        <v>37.267166666666668</v>
      </c>
      <c r="AN31" s="1262">
        <f t="shared" si="167"/>
        <v>37.267166666666668</v>
      </c>
      <c r="AO31" s="1266">
        <f t="shared" ref="AO31:AP31" si="168">SUM(AO8:AO17)+SUM(AO21:AO27)</f>
        <v>37.267166666666668</v>
      </c>
      <c r="AP31" s="1268">
        <f t="shared" si="168"/>
        <v>37.267166666666668</v>
      </c>
      <c r="AQ31" s="1272">
        <f t="shared" ref="AQ31" si="169">SUM(AQ8:AQ17)+SUM(AQ21:AQ27)</f>
        <v>37.267166666666668</v>
      </c>
      <c r="AR31" s="782"/>
      <c r="AS31" s="742">
        <f>SUM(AK31:AQ31)</f>
        <v>260.87016666666671</v>
      </c>
      <c r="AT31" s="1187">
        <f>SUM(AT8:AT17)+SUM(AT21:AT27)</f>
        <v>187.77000000000004</v>
      </c>
      <c r="AU31" s="1188">
        <f>SUM(AU8:AU17)+SUM(AU21:AU27)</f>
        <v>-73.10016666666661</v>
      </c>
      <c r="AV31" s="782"/>
      <c r="AW31" s="1148">
        <f t="shared" ref="AW31:AX31" si="170">SUM(AW8:AW17)+SUM(AW21:AW27)</f>
        <v>37.267166666666668</v>
      </c>
      <c r="AX31" s="1276">
        <f t="shared" si="170"/>
        <v>37.267166666666668</v>
      </c>
      <c r="AY31" s="1277">
        <f t="shared" ref="AY31:AZ31" si="171">SUM(AY8:AY17)+SUM(AY21:AY27)</f>
        <v>37.267166666666668</v>
      </c>
      <c r="AZ31" s="1277">
        <f t="shared" si="171"/>
        <v>37.267166666666668</v>
      </c>
      <c r="BA31" s="1280">
        <f t="shared" ref="BA31:BC31" si="172">SUM(BA8:BA17)+SUM(BA21:BA27)</f>
        <v>37.267166666666668</v>
      </c>
      <c r="BB31" s="1284">
        <f t="shared" si="172"/>
        <v>37.267166666666668</v>
      </c>
      <c r="BC31" s="1284">
        <f t="shared" si="172"/>
        <v>37.267166666666668</v>
      </c>
      <c r="BD31" s="782"/>
      <c r="BE31" s="742">
        <f>SUM(AW31:BC31)</f>
        <v>260.87016666666671</v>
      </c>
      <c r="BF31" s="1187">
        <f>SUM(BF8:BF17)+SUM(BF21:BF27)</f>
        <v>268.32</v>
      </c>
      <c r="BG31" s="1188">
        <f>SUM(BG8:BG17)+SUM(BG21:BG27)</f>
        <v>7.4498333333333591</v>
      </c>
      <c r="BH31" s="1157"/>
      <c r="BI31" s="40">
        <f t="shared" ref="BI31" si="173">SUM(BI8:BI17)+SUM(BI21:BI27)</f>
        <v>37.267166666666668</v>
      </c>
      <c r="BJ31" s="40">
        <f t="shared" ref="BJ31" si="174">SUM(BJ8:BJ17)+SUM(BJ21:BJ27)</f>
        <v>37.267166666666668</v>
      </c>
      <c r="BK31" s="1157"/>
      <c r="BL31" s="742">
        <f>SUM(BI31:BJ31)</f>
        <v>74.534333333333336</v>
      </c>
      <c r="BM31" s="1187">
        <f>SUM(BM8:BM17)+SUM(BM21:BM27)</f>
        <v>104.58000000000003</v>
      </c>
      <c r="BN31" s="1188">
        <f>SUM(BN8:BN17)+SUM(BN21:BN27)</f>
        <v>30.045666666666683</v>
      </c>
      <c r="BP31" s="742">
        <f>SUM(BP8:BP17)+SUM(BP21:BP27)</f>
        <v>1118.0149999999999</v>
      </c>
      <c r="BQ31" s="1192">
        <f>BP31/$E$31</f>
        <v>1</v>
      </c>
      <c r="BS31" s="742">
        <f>SUM(BS8:BS17)+SUM(BS21:BS27)</f>
        <v>1118.0149999999999</v>
      </c>
      <c r="BT31" s="1192">
        <f>BS31/$E$31</f>
        <v>1</v>
      </c>
      <c r="BU31" s="62"/>
      <c r="BW31" s="62"/>
      <c r="BX31" s="1031"/>
      <c r="BY31" s="81"/>
      <c r="BZ31" s="81"/>
      <c r="CA31" s="271"/>
      <c r="CB31" s="271"/>
      <c r="CC31" s="271"/>
      <c r="CD31" s="271"/>
      <c r="CE31" s="271"/>
      <c r="CF31" s="1032"/>
    </row>
    <row r="32" spans="1:84" s="81" customFormat="1" ht="4.5" customHeight="1" thickBot="1" x14ac:dyDescent="0.25">
      <c r="E32" s="1157"/>
      <c r="F32" s="1157"/>
      <c r="G32" s="1157"/>
      <c r="H32" s="1157"/>
      <c r="I32" s="1157"/>
      <c r="J32" s="1157"/>
      <c r="K32" s="1079"/>
      <c r="L32" s="62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  <c r="AG32" s="1157"/>
      <c r="AH32" s="1157"/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1157"/>
      <c r="AS32" s="1157"/>
      <c r="AT32" s="1157"/>
      <c r="AU32" s="1157"/>
      <c r="AV32" s="1157"/>
      <c r="AW32" s="1157"/>
      <c r="AX32" s="1157"/>
      <c r="AY32" s="1157"/>
      <c r="AZ32" s="1157"/>
      <c r="BA32" s="1157"/>
      <c r="BB32" s="1157"/>
      <c r="BC32" s="1157"/>
      <c r="BD32" s="1157"/>
      <c r="BE32" s="1157"/>
      <c r="BF32" s="1157"/>
      <c r="BG32" s="1157"/>
      <c r="BH32" s="1157"/>
      <c r="BI32" s="1157"/>
      <c r="BJ32" s="1157"/>
      <c r="BK32" s="1157"/>
      <c r="BL32" s="1157"/>
      <c r="BM32" s="1157"/>
      <c r="BN32" s="1157"/>
      <c r="BP32" s="1157"/>
      <c r="BQ32" s="93"/>
      <c r="BS32" s="1157"/>
      <c r="BT32" s="411"/>
      <c r="BU32" s="411"/>
      <c r="BW32" s="62"/>
      <c r="BX32" s="1035"/>
      <c r="BY32" s="226"/>
      <c r="BZ32" s="271"/>
      <c r="CF32" s="1029"/>
    </row>
    <row r="33" spans="1:84" ht="15.75" thickBot="1" x14ac:dyDescent="0.25">
      <c r="B33" s="1092"/>
      <c r="C33" s="1093" t="s">
        <v>150</v>
      </c>
      <c r="D33" s="1094"/>
      <c r="E33" s="1095">
        <f t="shared" ref="E33:I33" si="175">E31*100/30</f>
        <v>3726.7166666666662</v>
      </c>
      <c r="F33" s="1096">
        <f t="shared" si="175"/>
        <v>369.33833333333331</v>
      </c>
      <c r="G33" s="1096">
        <f t="shared" si="175"/>
        <v>246.22555555555556</v>
      </c>
      <c r="H33" s="1096">
        <f t="shared" si="175"/>
        <v>184.66916666666665</v>
      </c>
      <c r="I33" s="1096">
        <f t="shared" si="175"/>
        <v>147.73533333333333</v>
      </c>
      <c r="J33" s="1096">
        <f>J31*100/30</f>
        <v>124.22388888888889</v>
      </c>
      <c r="K33" s="1167">
        <f>E33/E57</f>
        <v>0.37267166666666662</v>
      </c>
      <c r="L33" s="1098"/>
      <c r="M33" s="1099">
        <f t="shared" ref="M33:S33" si="176">M4-M31</f>
        <v>-8.0921666666666709</v>
      </c>
      <c r="N33" s="1095">
        <f t="shared" si="176"/>
        <v>-8.8721666666666685</v>
      </c>
      <c r="O33" s="1095">
        <f t="shared" si="176"/>
        <v>18.217833333333324</v>
      </c>
      <c r="P33" s="1095">
        <f t="shared" si="176"/>
        <v>33.157833333333329</v>
      </c>
      <c r="Q33" s="1095">
        <f t="shared" si="176"/>
        <v>-26.24216666666667</v>
      </c>
      <c r="R33" s="1095">
        <f t="shared" si="176"/>
        <v>-0.45716666666666583</v>
      </c>
      <c r="S33" s="1100">
        <f t="shared" si="176"/>
        <v>-10.31216666666667</v>
      </c>
      <c r="T33" s="481"/>
      <c r="U33" s="1099">
        <f>SUM(M33:S33)</f>
        <v>-2.6001666666666878</v>
      </c>
      <c r="V33" s="1095"/>
      <c r="W33" s="1100"/>
      <c r="X33" s="481"/>
      <c r="Y33" s="1099">
        <f t="shared" ref="Y33" si="177">Y4-Y31</f>
        <v>20.182833333333328</v>
      </c>
      <c r="Z33" s="1095">
        <f t="shared" ref="Z33:AE33" si="178">Z4-Z31</f>
        <v>3.387833333333333</v>
      </c>
      <c r="AA33" s="1095">
        <f t="shared" si="178"/>
        <v>-3.2621666666666727</v>
      </c>
      <c r="AB33" s="1095">
        <f t="shared" si="178"/>
        <v>10.627833333333335</v>
      </c>
      <c r="AC33" s="1095">
        <f t="shared" si="178"/>
        <v>-37.267166666666668</v>
      </c>
      <c r="AD33" s="1095">
        <f t="shared" si="178"/>
        <v>10.387833333333326</v>
      </c>
      <c r="AE33" s="1100">
        <f t="shared" si="178"/>
        <v>-8.6471666666666671</v>
      </c>
      <c r="AF33" s="481"/>
      <c r="AG33" s="1099">
        <f>SUM(Y33:AE33)</f>
        <v>-4.5901666666666863</v>
      </c>
      <c r="AH33" s="1095"/>
      <c r="AI33" s="1100"/>
      <c r="AJ33" s="781"/>
      <c r="AK33" s="1099">
        <f t="shared" ref="AK33:AQ33" si="179">AK4-AK31</f>
        <v>-23.467166666666671</v>
      </c>
      <c r="AL33" s="1096">
        <f t="shared" si="179"/>
        <v>-6.4421666666666688</v>
      </c>
      <c r="AM33" s="1096">
        <f t="shared" si="179"/>
        <v>1.9728333333333339</v>
      </c>
      <c r="AN33" s="1096">
        <f t="shared" si="179"/>
        <v>-20.467166666666667</v>
      </c>
      <c r="AO33" s="1096">
        <f t="shared" si="179"/>
        <v>-17.82716666666667</v>
      </c>
      <c r="AP33" s="1096">
        <f t="shared" si="179"/>
        <v>7.9728333333333339</v>
      </c>
      <c r="AQ33" s="1100">
        <f t="shared" si="179"/>
        <v>-14.842166666666667</v>
      </c>
      <c r="AR33" s="1101"/>
      <c r="AS33" s="1099">
        <f>SUM(AK33:AQ33)</f>
        <v>-73.100166666666681</v>
      </c>
      <c r="AT33" s="1095"/>
      <c r="AU33" s="1100"/>
      <c r="AV33" s="481"/>
      <c r="AW33" s="1099">
        <f t="shared" ref="AW33" si="180">AW4-AW31</f>
        <v>-14.842166666666667</v>
      </c>
      <c r="AX33" s="1096">
        <f t="shared" ref="AX33:BC33" si="181">AX4-AX31</f>
        <v>3.8928333333333285</v>
      </c>
      <c r="AY33" s="1096">
        <f t="shared" si="181"/>
        <v>25.582833333333326</v>
      </c>
      <c r="AZ33" s="1096">
        <f t="shared" si="181"/>
        <v>1.0278333333333336</v>
      </c>
      <c r="BA33" s="1096">
        <f t="shared" si="181"/>
        <v>-17.467166666666667</v>
      </c>
      <c r="BB33" s="1096">
        <f t="shared" si="181"/>
        <v>11.677833333333332</v>
      </c>
      <c r="BC33" s="1100">
        <f t="shared" si="181"/>
        <v>-2.4221666666666692</v>
      </c>
      <c r="BD33" s="481"/>
      <c r="BE33" s="1099">
        <f>SUM(AW33:BC33)</f>
        <v>7.4498333333333164</v>
      </c>
      <c r="BF33" s="1095"/>
      <c r="BG33" s="1100"/>
      <c r="BI33" s="1099">
        <f t="shared" ref="BI33" si="182">BI4-BI31</f>
        <v>2.7978333333333367</v>
      </c>
      <c r="BJ33" s="1165">
        <f>BJ4-BJ31</f>
        <v>27.247833333333332</v>
      </c>
      <c r="BK33" s="1103"/>
      <c r="BL33" s="1104">
        <f>SUM(BI33:BJ33)</f>
        <v>30.045666666666669</v>
      </c>
      <c r="BM33" s="1102"/>
      <c r="BN33" s="1100"/>
      <c r="BO33" s="14"/>
      <c r="BP33" s="1104">
        <f>SUM(M33:S33)+SUM(Y33:AE33)+SUM(AK33:AQ33)+SUM(AW33:BC33)+SUM(BI33:BJ33)</f>
        <v>-42.795000000000066</v>
      </c>
      <c r="BQ33" s="1105"/>
      <c r="BS33" s="1152"/>
      <c r="BT33" s="1152"/>
      <c r="BW33" s="29"/>
      <c r="BX33" s="1036"/>
      <c r="BY33" s="847" t="s">
        <v>155</v>
      </c>
      <c r="BZ33" s="226" t="s">
        <v>156</v>
      </c>
      <c r="CA33" s="271"/>
      <c r="CB33" s="271"/>
      <c r="CC33" s="271"/>
      <c r="CD33" s="271"/>
      <c r="CE33" s="271"/>
      <c r="CF33" s="1032"/>
    </row>
    <row r="34" spans="1:84" s="81" customFormat="1" ht="15" customHeight="1" thickBot="1" x14ac:dyDescent="0.25">
      <c r="C34" s="81" t="s">
        <v>143</v>
      </c>
      <c r="E34" s="1157"/>
      <c r="F34" s="1157"/>
      <c r="G34" s="1157"/>
      <c r="H34" s="1157"/>
      <c r="I34" s="1157"/>
      <c r="J34" s="1157"/>
      <c r="K34" s="410"/>
      <c r="L34" s="411"/>
      <c r="M34" s="1157"/>
      <c r="N34" s="1157"/>
      <c r="O34" s="1157"/>
      <c r="P34" s="1157"/>
      <c r="Q34" s="1157"/>
      <c r="R34" s="1157"/>
      <c r="S34" s="1157"/>
      <c r="T34" s="1157"/>
      <c r="U34" s="1157"/>
      <c r="V34" s="1157"/>
      <c r="W34" s="1157"/>
      <c r="X34" s="1157"/>
      <c r="Y34" s="1157"/>
      <c r="Z34" s="1157"/>
      <c r="AA34" s="1157"/>
      <c r="AB34" s="1157"/>
      <c r="AC34" s="1157"/>
      <c r="AD34" s="1157"/>
      <c r="AE34" s="1157"/>
      <c r="AF34" s="1157"/>
      <c r="AG34" s="1157"/>
      <c r="AH34" s="1157"/>
      <c r="AI34" s="1157"/>
      <c r="AJ34" s="1157"/>
      <c r="AK34" s="1157"/>
      <c r="AL34" s="1157"/>
      <c r="AM34" s="1157"/>
      <c r="AN34" s="1157"/>
      <c r="AO34" s="1157"/>
      <c r="AP34" s="1157"/>
      <c r="AQ34" s="1157"/>
      <c r="AR34" s="1157"/>
      <c r="AS34" s="1157"/>
      <c r="AT34" s="1157"/>
      <c r="AU34" s="1157"/>
      <c r="AV34" s="1157"/>
      <c r="AW34" s="1157"/>
      <c r="AX34" s="1157"/>
      <c r="AY34" s="1157"/>
      <c r="AZ34" s="1157"/>
      <c r="BA34" s="1157"/>
      <c r="BB34" s="1157"/>
      <c r="BC34" s="1157"/>
      <c r="BD34" s="1157"/>
      <c r="BE34" s="1157"/>
      <c r="BF34" s="1157"/>
      <c r="BG34" s="1157"/>
      <c r="BH34" s="1157"/>
      <c r="BI34" s="1157"/>
      <c r="BJ34" s="1157"/>
      <c r="BK34" s="1157"/>
      <c r="BL34" s="1157"/>
      <c r="BM34" s="1157"/>
      <c r="BN34" s="1157"/>
      <c r="BO34" s="1157"/>
      <c r="BP34" s="1157"/>
      <c r="BQ34" s="93"/>
      <c r="BS34" s="4520" t="s">
        <v>99</v>
      </c>
      <c r="BT34" s="4520"/>
      <c r="BU34" s="1157"/>
      <c r="BW34" s="62"/>
      <c r="BX34" s="1036" t="s">
        <v>159</v>
      </c>
      <c r="BY34" s="1198">
        <v>0.5</v>
      </c>
      <c r="BZ34" s="1199" t="str">
        <f>IF(BZ29&lt;=BY34,BZ29," ")</f>
        <v xml:space="preserve"> </v>
      </c>
      <c r="CF34" s="1029"/>
    </row>
    <row r="35" spans="1:84" x14ac:dyDescent="0.2">
      <c r="A35" s="775"/>
      <c r="B35" s="591">
        <v>18</v>
      </c>
      <c r="C35" s="1106" t="s">
        <v>132</v>
      </c>
      <c r="D35" s="1094"/>
      <c r="E35" s="1107">
        <v>470</v>
      </c>
      <c r="F35" s="593">
        <f t="shared" ref="F35" si="183">E35/10</f>
        <v>47</v>
      </c>
      <c r="G35" s="593">
        <f t="shared" ref="G35" si="184">E35/15</f>
        <v>31.333333333333332</v>
      </c>
      <c r="H35" s="593">
        <f t="shared" ref="H35" si="185">E35/20</f>
        <v>23.5</v>
      </c>
      <c r="I35" s="593">
        <f t="shared" ref="I35" si="186">E35/25</f>
        <v>18.8</v>
      </c>
      <c r="J35" s="594">
        <f>E35/30</f>
        <v>15.666666666666666</v>
      </c>
      <c r="K35" s="595">
        <f>E35/$E$42</f>
        <v>0.29765674477517418</v>
      </c>
      <c r="L35" s="491"/>
      <c r="M35" s="599">
        <f>IF(M33&gt;$J$42,$J$35,IF(M33&lt;$J$42,(IF(M33&lt;0,0,M33*$K$35))))</f>
        <v>0</v>
      </c>
      <c r="N35" s="596">
        <f>IF(N33&gt;$J$42,$J$35,IF(N33&lt;$J$42,(IF(N33&lt;0,0,N33*$K$35))))</f>
        <v>0</v>
      </c>
      <c r="O35" s="596">
        <f t="shared" ref="O35:S35" si="187">IF(O33&gt;$J$42,$J$35,IF(O33&lt;$J$42,(IF(O33&lt;0,0,O33*$K$35))))</f>
        <v>5.4226609668566583</v>
      </c>
      <c r="P35" s="596">
        <f t="shared" si="187"/>
        <v>9.8696527337977606</v>
      </c>
      <c r="Q35" s="596">
        <f t="shared" si="187"/>
        <v>0</v>
      </c>
      <c r="R35" s="596">
        <f t="shared" si="187"/>
        <v>0</v>
      </c>
      <c r="S35" s="1108">
        <f t="shared" si="187"/>
        <v>0</v>
      </c>
      <c r="T35" s="481"/>
      <c r="U35" s="599">
        <f t="shared" si="10"/>
        <v>15.292313700654418</v>
      </c>
      <c r="V35" s="596">
        <f>$U$33*K35</f>
        <v>-0.77395714587292164</v>
      </c>
      <c r="W35" s="1109">
        <f>U35-V35</f>
        <v>16.066270846527338</v>
      </c>
      <c r="X35" s="481"/>
      <c r="Y35" s="599">
        <f t="shared" ref="Y35" si="188">IF(Y33&gt;$J$42,$J$35,IF(Y33&lt;$J$42,(IF(Y33&lt;0,0,Y33*$K$35))))</f>
        <v>6.0075564703398765</v>
      </c>
      <c r="Z35" s="596">
        <f>IF(Z33&gt;$J$42,$J$35,IF(Z33&lt;$J$42,(IF(Z33&lt;0,0,Z33*$K$35))))</f>
        <v>1.0084114418408274</v>
      </c>
      <c r="AA35" s="596">
        <f t="shared" ref="AA35:AE35" si="189">IF(AA33&gt;$J$42,$J$35,IF(AA33&lt;$J$42,(IF(AA33&lt;0,0,AA33*$K$35))))</f>
        <v>0</v>
      </c>
      <c r="AB35" s="596">
        <f t="shared" si="189"/>
        <v>3.1634462740130891</v>
      </c>
      <c r="AC35" s="596">
        <f t="shared" si="189"/>
        <v>0</v>
      </c>
      <c r="AD35" s="596">
        <f t="shared" si="189"/>
        <v>3.0920086552670445</v>
      </c>
      <c r="AE35" s="1108">
        <f t="shared" si="189"/>
        <v>0</v>
      </c>
      <c r="AF35" s="481"/>
      <c r="AG35" s="599">
        <f>SUM(Y35:AE35)</f>
        <v>13.271422841460836</v>
      </c>
      <c r="AH35" s="596">
        <f>$AG$33*K35</f>
        <v>-1.3662940679755178</v>
      </c>
      <c r="AI35" s="1109">
        <f>AG35-AH35</f>
        <v>14.637716909436355</v>
      </c>
      <c r="AJ35" s="481"/>
      <c r="AK35" s="599">
        <f t="shared" ref="AK35" si="190">IF(AK33&gt;$J$42,$J$35,IF(AK33&lt;$J$42,(IF(AK33&lt;0,0,AK33*$K$35))))</f>
        <v>0</v>
      </c>
      <c r="AL35" s="594">
        <f t="shared" ref="AL35" si="191">IF(AL33&gt;$J$42,$J$35,IF(AL33&lt;$J$42,(IF(AL33&lt;0,0,AL33*$K$35))))</f>
        <v>0</v>
      </c>
      <c r="AM35" s="594">
        <f t="shared" ref="AM35:AQ35" si="192">IF(AM33&gt;$J$42,$J$35,IF(AM33&lt;$J$42,(IF(AM33&lt;0,0,AM33*$K$35))))</f>
        <v>0.58722714798395625</v>
      </c>
      <c r="AN35" s="594">
        <f t="shared" si="192"/>
        <v>0</v>
      </c>
      <c r="AO35" s="594">
        <f t="shared" si="192"/>
        <v>0</v>
      </c>
      <c r="AP35" s="594">
        <f t="shared" si="192"/>
        <v>2.3731676166350013</v>
      </c>
      <c r="AQ35" s="594">
        <f t="shared" si="192"/>
        <v>0</v>
      </c>
      <c r="AR35" s="481"/>
      <c r="AS35" s="599">
        <f t="shared" ref="AS35:AS42" si="193">SUM(AK35:AQ35)</f>
        <v>2.9603947646189575</v>
      </c>
      <c r="AT35" s="596">
        <f>$AS$33*K35</f>
        <v>-21.7587576525227</v>
      </c>
      <c r="AU35" s="1109">
        <f>AS35-AT35</f>
        <v>24.719152417141657</v>
      </c>
      <c r="AV35" s="481"/>
      <c r="AW35" s="1110">
        <f t="shared" ref="AW35" si="194">IF(AW33&gt;$J$42,$J$35,IF(AW33&lt;$J$42,(IF(AW33&lt;0,0,AW33*$K$35))))</f>
        <v>0</v>
      </c>
      <c r="AX35" s="593">
        <f t="shared" ref="AX35:AY35" si="195">IF(AX33&gt;$J$42,$J$35,IF(AX33&lt;$J$42,(IF(AX33&lt;0,0,AX33*$K$35))))</f>
        <v>1.1587280979522891</v>
      </c>
      <c r="AY35" s="593">
        <f t="shared" si="195"/>
        <v>7.6149028921258166</v>
      </c>
      <c r="AZ35" s="593">
        <f t="shared" ref="AZ35:BA35" si="196">IF(AZ33&gt;$J$42,$J$35,IF(AZ33&lt;$J$42,(IF(AZ33&lt;0,0,AZ33*$K$35))))</f>
        <v>0.30594152417141662</v>
      </c>
      <c r="BA35" s="593">
        <f t="shared" si="196"/>
        <v>0</v>
      </c>
      <c r="BB35" s="593">
        <f t="shared" ref="BB35:BC35" si="197">IF(BB33&gt;$J$42,$J$35,IF(BB33&lt;$J$42,(IF(BB33&lt;0,0,BB33*$K$35))))</f>
        <v>3.4759858560270214</v>
      </c>
      <c r="BC35" s="593">
        <f t="shared" si="197"/>
        <v>0</v>
      </c>
      <c r="BD35" s="481"/>
      <c r="BE35" s="599">
        <f>SUM(AW35:BC35)</f>
        <v>12.555558370276543</v>
      </c>
      <c r="BF35" s="596">
        <f>$BE$33*K35</f>
        <v>2.2174931391175798</v>
      </c>
      <c r="BG35" s="1109">
        <f>BE35-BF35</f>
        <v>10.338065231158964</v>
      </c>
      <c r="BH35" s="481"/>
      <c r="BI35" s="1111">
        <f t="shared" ref="BI35" si="198">IF(BI33&gt;$J$42,$J$35,IF(BI33&lt;$J$42,(IF(BI33&lt;0,0,BI33*$K$35))))</f>
        <v>0.83279396242347581</v>
      </c>
      <c r="BJ35" s="598">
        <f t="shared" ref="BJ35" si="199">IF(BJ33&gt;$J$42,$J$35,IF(BJ33&lt;$J$42,(IF(BJ33&lt;0,0,BJ33*$K$35))))</f>
        <v>8.1105013721764827</v>
      </c>
      <c r="BK35" s="481"/>
      <c r="BL35" s="599">
        <f t="shared" ref="BL35:BL41" si="200">SUM(BI35:BJ35)</f>
        <v>8.9432953345999593</v>
      </c>
      <c r="BM35" s="596">
        <f t="shared" ref="BM35:BM41" si="201">$BL$33*K35</f>
        <v>8.9432953345999593</v>
      </c>
      <c r="BN35" s="1109">
        <f>BL35-BM35</f>
        <v>0</v>
      </c>
      <c r="BP35" s="599"/>
      <c r="BQ35" s="600"/>
      <c r="BS35" s="599">
        <f t="shared" ref="BS35:BS41" si="202">SUM(M35:S35)+SUM(Y35:AE35)+SUM(AK35:AQ35)+SUM(AW35:BC35)+SUM(BI35:BJ35)</f>
        <v>53.022985011610714</v>
      </c>
      <c r="BT35" s="601">
        <f t="shared" ref="BT35:BT42" si="203">BS35/E35</f>
        <v>0.11281486172683131</v>
      </c>
      <c r="BU35" s="4505">
        <f>BT42-BS1</f>
        <v>-0.88718513827316869</v>
      </c>
      <c r="BW35" s="29"/>
      <c r="BX35" s="1229" t="s">
        <v>160</v>
      </c>
      <c r="BY35" s="1230">
        <v>0.75</v>
      </c>
      <c r="BZ35" s="1231" t="str">
        <f>IF(AND(BZ29&gt;BY34,BZ29&lt;=BY35),BZ29," ")</f>
        <v xml:space="preserve"> </v>
      </c>
      <c r="CA35" s="271"/>
      <c r="CB35" s="271"/>
      <c r="CC35" s="271"/>
      <c r="CD35" s="271"/>
      <c r="CE35" s="271"/>
      <c r="CF35" s="1032"/>
    </row>
    <row r="36" spans="1:84" s="255" customFormat="1" x14ac:dyDescent="0.2">
      <c r="B36" s="462">
        <v>19</v>
      </c>
      <c r="C36" s="816" t="s">
        <v>121</v>
      </c>
      <c r="D36" s="819"/>
      <c r="E36" s="445">
        <v>350</v>
      </c>
      <c r="F36" s="451">
        <f>E36/10</f>
        <v>35</v>
      </c>
      <c r="G36" s="451">
        <f>E36/15</f>
        <v>23.333333333333332</v>
      </c>
      <c r="H36" s="451">
        <f>E36/20</f>
        <v>17.5</v>
      </c>
      <c r="I36" s="451">
        <f>E36/25</f>
        <v>14</v>
      </c>
      <c r="J36" s="451">
        <f t="shared" ref="J36:J40" si="204">E36/30</f>
        <v>11.666666666666666</v>
      </c>
      <c r="K36" s="448">
        <f>E36/$E$42</f>
        <v>0.22165927802406588</v>
      </c>
      <c r="L36" s="492"/>
      <c r="M36" s="458">
        <f>IF(M33&gt;$J$42,$J$36,IF(M33&lt;$J$42,(IF(M33&lt;0,0,M33*$K$36))))</f>
        <v>0</v>
      </c>
      <c r="N36" s="445">
        <f>IF(N33&gt;$J$42,$J$36,IF(N33&lt;$J$42,(IF(N33&lt;0,0,N33*$K$36))))</f>
        <v>0</v>
      </c>
      <c r="O36" s="445">
        <f t="shared" ref="O36:S36" si="205">IF(O33&gt;$J$42,$J$36,IF(O33&lt;$J$42,(IF(O33&lt;0,0,O33*$K$36))))</f>
        <v>4.0381517838294263</v>
      </c>
      <c r="P36" s="445">
        <f t="shared" si="205"/>
        <v>7.3497413975089714</v>
      </c>
      <c r="Q36" s="445">
        <f t="shared" si="205"/>
        <v>0</v>
      </c>
      <c r="R36" s="445">
        <f t="shared" si="205"/>
        <v>0</v>
      </c>
      <c r="S36" s="463">
        <f t="shared" si="205"/>
        <v>0</v>
      </c>
      <c r="T36" s="479"/>
      <c r="U36" s="458">
        <f t="shared" si="10"/>
        <v>11.387893181338399</v>
      </c>
      <c r="V36" s="445">
        <f t="shared" ref="V36:V41" si="206">$U$33*K36</f>
        <v>-0.57635106607557995</v>
      </c>
      <c r="W36" s="1080">
        <f t="shared" ref="W36:W41" si="207">U36-V36</f>
        <v>11.964244247413978</v>
      </c>
      <c r="X36" s="479"/>
      <c r="Y36" s="458">
        <f t="shared" ref="Y36" si="208">IF(Y33&gt;$J$42,$J$36,IF(Y33&lt;$J$42,(IF(Y33&lt;0,0,Y33*$K$36))))</f>
        <v>4.473712265146716</v>
      </c>
      <c r="Z36" s="445">
        <f>IF(Z33&gt;$J$42,$J$36,IF(Z33&lt;$J$42,(IF(Z33&lt;0,0,Z33*$K$36))))</f>
        <v>0.75094469073253112</v>
      </c>
      <c r="AA36" s="445">
        <f t="shared" ref="AA36:AE36" si="209">IF(AA33&gt;$J$42,$J$36,IF(AA33&lt;$J$42,(IF(AA33&lt;0,0,AA33*$K$36))))</f>
        <v>0</v>
      </c>
      <c r="AB36" s="445">
        <f t="shared" si="209"/>
        <v>2.3557578636267684</v>
      </c>
      <c r="AC36" s="445">
        <f t="shared" si="209"/>
        <v>0</v>
      </c>
      <c r="AD36" s="445">
        <f t="shared" si="209"/>
        <v>2.3025596369009906</v>
      </c>
      <c r="AE36" s="463">
        <f t="shared" si="209"/>
        <v>0</v>
      </c>
      <c r="AF36" s="479"/>
      <c r="AG36" s="458">
        <f t="shared" ref="AG36:AG41" si="210">SUM(Y36:AE36)</f>
        <v>9.8829744564070072</v>
      </c>
      <c r="AH36" s="445">
        <f t="shared" ref="AH36:AH41" si="211">$AG$33*K36</f>
        <v>-1.0174530293434707</v>
      </c>
      <c r="AI36" s="1080">
        <f t="shared" ref="AI36:AI41" si="212">AG36-AH36</f>
        <v>10.900427485750479</v>
      </c>
      <c r="AJ36" s="479"/>
      <c r="AK36" s="458">
        <f t="shared" ref="AK36" si="213">IF(AK33&gt;$J$42,$J$36,IF(AK33&lt;$J$42,(IF(AK33&lt;0,0,AK33*$K$36))))</f>
        <v>0</v>
      </c>
      <c r="AL36" s="451">
        <f t="shared" ref="AL36" si="214">IF(AL33&gt;$J$42,$J$36,IF(AL33&lt;$J$42,(IF(AL33&lt;0,0,AL33*$K$36))))</f>
        <v>0</v>
      </c>
      <c r="AM36" s="451">
        <f t="shared" ref="AM36:AQ36" si="215">IF(AM33&gt;$J$42,$J$36,IF(AM33&lt;$J$42,(IF(AM33&lt;0,0,AM33*$K$36))))</f>
        <v>0.43729681232847806</v>
      </c>
      <c r="AN36" s="451">
        <f t="shared" si="215"/>
        <v>0</v>
      </c>
      <c r="AO36" s="451">
        <f t="shared" si="215"/>
        <v>0</v>
      </c>
      <c r="AP36" s="451">
        <f t="shared" si="215"/>
        <v>1.7672524804728733</v>
      </c>
      <c r="AQ36" s="451">
        <f t="shared" si="215"/>
        <v>0</v>
      </c>
      <c r="AR36" s="479"/>
      <c r="AS36" s="458">
        <f t="shared" si="193"/>
        <v>2.2045492928013513</v>
      </c>
      <c r="AT36" s="445">
        <f t="shared" ref="AT36:AT41" si="216">$AS$33*K36</f>
        <v>-16.203330166772222</v>
      </c>
      <c r="AU36" s="1080">
        <f t="shared" ref="AU36:AU41" si="217">AS36-AT36</f>
        <v>18.407879459573572</v>
      </c>
      <c r="AV36" s="479"/>
      <c r="AW36" s="1057">
        <f t="shared" ref="AW36" si="218">IF(AW33&gt;$J$42,$J$36,IF(AW33&lt;$J$42,(IF(AW33&lt;0,0,AW33*$K$36))))</f>
        <v>0</v>
      </c>
      <c r="AX36" s="451">
        <f t="shared" ref="AX36:AY36" si="219">IF(AX33&gt;$J$42,$J$36,IF(AX33&lt;$J$42,(IF(AX33&lt;0,0,AX33*$K$36))))</f>
        <v>0.86288262613468336</v>
      </c>
      <c r="AY36" s="451">
        <f t="shared" si="219"/>
        <v>5.6706723664766718</v>
      </c>
      <c r="AZ36" s="451">
        <f t="shared" ref="AZ36:BA36" si="220">IF(AZ33&gt;$J$42,$J$36,IF(AZ33&lt;$J$42,(IF(AZ33&lt;0,0,AZ33*$K$36))))</f>
        <v>0.22782879459573577</v>
      </c>
      <c r="BA36" s="451">
        <f t="shared" si="220"/>
        <v>0</v>
      </c>
      <c r="BB36" s="451">
        <f t="shared" ref="BB36:BC36" si="221">IF(BB33&gt;$J$42,$J$36,IF(BB33&lt;$J$42,(IF(BB33&lt;0,0,BB33*$K$36))))</f>
        <v>2.5885001055520371</v>
      </c>
      <c r="BC36" s="451">
        <f t="shared" si="221"/>
        <v>0</v>
      </c>
      <c r="BD36" s="479"/>
      <c r="BE36" s="458">
        <f t="shared" ref="BE36:BE42" si="222">SUM(AW36:BC36)</f>
        <v>9.3498838927591272</v>
      </c>
      <c r="BF36" s="445">
        <f t="shared" ref="BF36:BF41" si="223">$BE$33*K36</f>
        <v>1.6513246780662829</v>
      </c>
      <c r="BG36" s="1080">
        <f t="shared" ref="BG36:BG41" si="224">BE36-BF36</f>
        <v>7.6985592146928443</v>
      </c>
      <c r="BH36" s="479"/>
      <c r="BI36" s="458">
        <f t="shared" ref="BI36" si="225">IF(BI33&gt;$J$42,$J$36,IF(BI33&lt;$J$42,(IF(BI33&lt;0,0,BI33*$K$36))))</f>
        <v>0.62016571669833309</v>
      </c>
      <c r="BJ36" s="463">
        <f t="shared" ref="BJ36" si="226">IF(BJ33&gt;$J$42,$J$36,IF(BJ33&lt;$J$42,(IF(BJ33&lt;0,0,BJ33*$K$36))))</f>
        <v>6.0397350643867425</v>
      </c>
      <c r="BK36" s="479"/>
      <c r="BL36" s="458">
        <f t="shared" si="200"/>
        <v>6.6599007810850752</v>
      </c>
      <c r="BM36" s="445">
        <f t="shared" si="201"/>
        <v>6.6599007810850761</v>
      </c>
      <c r="BN36" s="1080">
        <f t="shared" ref="BN36:BN41" si="227">BL36-BM36</f>
        <v>0</v>
      </c>
      <c r="BP36" s="458"/>
      <c r="BQ36" s="460"/>
      <c r="BS36" s="458">
        <f t="shared" si="202"/>
        <v>39.485201604390959</v>
      </c>
      <c r="BT36" s="487">
        <f t="shared" si="203"/>
        <v>0.11281486172683131</v>
      </c>
      <c r="BU36" s="4515"/>
      <c r="BX36" s="1038" t="s">
        <v>161</v>
      </c>
      <c r="BY36" s="1232">
        <v>1</v>
      </c>
      <c r="BZ36" s="1233">
        <f>IF(BZ29&gt;BY35,BZ29," ")</f>
        <v>1</v>
      </c>
      <c r="CA36" s="81"/>
      <c r="CB36" s="81"/>
      <c r="CC36" s="81"/>
      <c r="CD36" s="81"/>
      <c r="CE36" s="81"/>
      <c r="CF36" s="1029"/>
    </row>
    <row r="37" spans="1:84" x14ac:dyDescent="0.2">
      <c r="B37" s="464">
        <v>20</v>
      </c>
      <c r="C37" s="1114" t="s">
        <v>120</v>
      </c>
      <c r="D37" s="1094"/>
      <c r="E37" s="453">
        <v>300</v>
      </c>
      <c r="F37" s="424">
        <f t="shared" ref="F37:F40" si="228">E37/10</f>
        <v>30</v>
      </c>
      <c r="G37" s="424">
        <f t="shared" ref="G37:G40" si="229">E37/15</f>
        <v>20</v>
      </c>
      <c r="H37" s="424">
        <f t="shared" ref="H37:H40" si="230">E37/20</f>
        <v>15</v>
      </c>
      <c r="I37" s="424">
        <f t="shared" ref="I37:I40" si="231">E37/25</f>
        <v>12</v>
      </c>
      <c r="J37" s="424">
        <f t="shared" si="204"/>
        <v>10</v>
      </c>
      <c r="K37" s="449">
        <f t="shared" ref="K37:K40" si="232">E37/$E$42</f>
        <v>0.18999366687777075</v>
      </c>
      <c r="L37" s="491"/>
      <c r="M37" s="459">
        <f>IF(M33&gt;$J$42,$J$37,IF(M33&lt;$J$42,(IF(M33&lt;0,0,M33*$K$37))))</f>
        <v>0</v>
      </c>
      <c r="N37" s="453">
        <f>IF(N33&gt;$J$42,$J$37,IF(N33&lt;$J$42,(IF(N33&lt;0,0,N33*$K$37))))</f>
        <v>0</v>
      </c>
      <c r="O37" s="453">
        <f t="shared" ref="O37:S37" si="233">IF(O33&gt;$J$42,$J$37,IF(O33&lt;$J$42,(IF(O33&lt;0,0,O33*$K$37))))</f>
        <v>3.4612729575680796</v>
      </c>
      <c r="P37" s="453">
        <f t="shared" si="233"/>
        <v>6.2997783407219758</v>
      </c>
      <c r="Q37" s="453">
        <f t="shared" si="233"/>
        <v>0</v>
      </c>
      <c r="R37" s="424">
        <f t="shared" si="233"/>
        <v>0</v>
      </c>
      <c r="S37" s="465">
        <f t="shared" si="233"/>
        <v>0</v>
      </c>
      <c r="T37" s="481"/>
      <c r="U37" s="459">
        <f t="shared" si="10"/>
        <v>9.7610512982900559</v>
      </c>
      <c r="V37" s="424">
        <f t="shared" si="206"/>
        <v>-0.49401519949335426</v>
      </c>
      <c r="W37" s="465">
        <f t="shared" si="207"/>
        <v>10.25506649778341</v>
      </c>
      <c r="X37" s="481"/>
      <c r="Y37" s="459">
        <f t="shared" ref="Y37" si="234">IF(Y33&gt;$J$42,$J$37,IF(Y33&lt;$J$42,(IF(Y33&lt;0,0,Y33*$K$37))))</f>
        <v>3.8346105129828998</v>
      </c>
      <c r="Z37" s="424">
        <f>IF(Z33&gt;$J$42,$J$37,IF(Z33&lt;$J$42,(IF(Z33&lt;0,0,Z33*$K$37))))</f>
        <v>0.64366687777074094</v>
      </c>
      <c r="AA37" s="424">
        <f t="shared" ref="AA37:AE37" si="235">IF(AA33&gt;$J$42,$J$37,IF(AA33&lt;$J$42,(IF(AA33&lt;0,0,AA33*$K$37))))</f>
        <v>0</v>
      </c>
      <c r="AB37" s="424">
        <f t="shared" si="235"/>
        <v>2.0192210259658014</v>
      </c>
      <c r="AC37" s="424">
        <f t="shared" si="235"/>
        <v>0</v>
      </c>
      <c r="AD37" s="424">
        <f t="shared" si="235"/>
        <v>1.9736225459151349</v>
      </c>
      <c r="AE37" s="465">
        <f t="shared" si="235"/>
        <v>0</v>
      </c>
      <c r="AF37" s="481"/>
      <c r="AG37" s="459">
        <f t="shared" si="210"/>
        <v>8.4711209626345756</v>
      </c>
      <c r="AH37" s="424">
        <f t="shared" si="211"/>
        <v>-0.87210259658011779</v>
      </c>
      <c r="AI37" s="465">
        <f t="shared" si="212"/>
        <v>9.3432235592146942</v>
      </c>
      <c r="AJ37" s="481"/>
      <c r="AK37" s="459">
        <f t="shared" ref="AK37" si="236">IF(AK33&gt;$J$42,$J$37,IF(AK33&lt;$J$42,(IF(AK33&lt;0,0,AK33*$K$37))))</f>
        <v>0</v>
      </c>
      <c r="AL37" s="424">
        <f t="shared" ref="AL37" si="237">IF(AL33&gt;$J$42,$J$37,IF(AL33&lt;$J$42,(IF(AL33&lt;0,0,AL33*$K$37))))</f>
        <v>0</v>
      </c>
      <c r="AM37" s="424">
        <f t="shared" ref="AM37:AQ37" si="238">IF(AM33&gt;$J$42,$J$37,IF(AM33&lt;$J$42,(IF(AM33&lt;0,0,AM33*$K$37))))</f>
        <v>0.37482583913869549</v>
      </c>
      <c r="AN37" s="424">
        <f t="shared" si="238"/>
        <v>0</v>
      </c>
      <c r="AO37" s="424">
        <f t="shared" si="238"/>
        <v>0</v>
      </c>
      <c r="AP37" s="424">
        <f t="shared" si="238"/>
        <v>1.5147878404053201</v>
      </c>
      <c r="AQ37" s="424">
        <f t="shared" si="238"/>
        <v>0</v>
      </c>
      <c r="AR37" s="481"/>
      <c r="AS37" s="459">
        <f t="shared" si="193"/>
        <v>1.8896136795440155</v>
      </c>
      <c r="AT37" s="424">
        <f t="shared" si="216"/>
        <v>-13.888568714376191</v>
      </c>
      <c r="AU37" s="465">
        <f t="shared" si="217"/>
        <v>15.778182393920208</v>
      </c>
      <c r="AV37" s="481"/>
      <c r="AW37" s="1115">
        <f t="shared" ref="AW37" si="239">IF(AW33&gt;$J$42,$J$37,IF(AW33&lt;$J$42,(IF(AW33&lt;0,0,AW33*$K$37))))</f>
        <v>0</v>
      </c>
      <c r="AX37" s="424">
        <f t="shared" ref="AX37:AY37" si="240">IF(AX33&gt;$J$42,$J$37,IF(AX33&lt;$J$42,(IF(AX33&lt;0,0,AX33*$K$37))))</f>
        <v>0.73961367954401436</v>
      </c>
      <c r="AY37" s="424">
        <f t="shared" si="240"/>
        <v>4.8605763141228611</v>
      </c>
      <c r="AZ37" s="424">
        <f t="shared" ref="AZ37:BA37" si="241">IF(AZ33&gt;$J$42,$J$37,IF(AZ33&lt;$J$42,(IF(AZ33&lt;0,0,AZ33*$K$37))))</f>
        <v>0.1952818239392021</v>
      </c>
      <c r="BA37" s="424">
        <f t="shared" si="241"/>
        <v>0</v>
      </c>
      <c r="BB37" s="424">
        <f t="shared" ref="BB37:BC37" si="242">IF(BB33&gt;$J$42,$J$37,IF(BB33&lt;$J$42,(IF(BB33&lt;0,0,BB33*$K$37))))</f>
        <v>2.2187143761874601</v>
      </c>
      <c r="BC37" s="424">
        <f t="shared" si="242"/>
        <v>0</v>
      </c>
      <c r="BD37" s="481"/>
      <c r="BE37" s="459">
        <f t="shared" si="222"/>
        <v>8.0141861937935381</v>
      </c>
      <c r="BF37" s="424">
        <f t="shared" si="223"/>
        <v>1.4154211526282425</v>
      </c>
      <c r="BG37" s="465">
        <f t="shared" si="224"/>
        <v>6.5987650411652954</v>
      </c>
      <c r="BH37" s="481"/>
      <c r="BI37" s="459">
        <f t="shared" ref="BI37" si="243">IF(BI33&gt;$J$42,$J$37,IF(BI33&lt;$J$42,(IF(BI33&lt;0,0,BI33*$K$37))))</f>
        <v>0.5315706143128569</v>
      </c>
      <c r="BJ37" s="465">
        <f t="shared" ref="BJ37" si="244">IF(BJ33&gt;$J$42,$J$37,IF(BJ33&lt;$J$42,(IF(BJ33&lt;0,0,BJ33*$K$37))))</f>
        <v>5.1769157694743511</v>
      </c>
      <c r="BK37" s="481"/>
      <c r="BL37" s="459">
        <f t="shared" si="200"/>
        <v>5.708486383787208</v>
      </c>
      <c r="BM37" s="424">
        <f t="shared" si="201"/>
        <v>5.708486383787208</v>
      </c>
      <c r="BN37" s="465">
        <f t="shared" si="227"/>
        <v>0</v>
      </c>
      <c r="BP37" s="729"/>
      <c r="BQ37" s="730"/>
      <c r="BS37" s="729">
        <f t="shared" si="202"/>
        <v>33.844458518049393</v>
      </c>
      <c r="BT37" s="731">
        <f t="shared" si="203"/>
        <v>0.11281486172683131</v>
      </c>
      <c r="BU37" s="4515"/>
      <c r="BX37" s="1058"/>
      <c r="BY37" s="1223" t="s">
        <v>158</v>
      </c>
      <c r="BZ37" s="1059">
        <f>MAX(100%,BZ29)-BZ29</f>
        <v>0</v>
      </c>
      <c r="CA37" s="1220"/>
      <c r="CB37" s="1220"/>
      <c r="CC37" s="1220"/>
      <c r="CD37" s="1220"/>
      <c r="CE37" s="1220"/>
      <c r="CF37" s="1060"/>
    </row>
    <row r="38" spans="1:84" s="255" customFormat="1" x14ac:dyDescent="0.2">
      <c r="A38" s="774"/>
      <c r="B38" s="462">
        <v>21</v>
      </c>
      <c r="C38" s="816" t="s">
        <v>133</v>
      </c>
      <c r="D38" s="819"/>
      <c r="E38" s="445">
        <v>209</v>
      </c>
      <c r="F38" s="451">
        <f t="shared" si="228"/>
        <v>20.9</v>
      </c>
      <c r="G38" s="451">
        <f t="shared" si="229"/>
        <v>13.933333333333334</v>
      </c>
      <c r="H38" s="451">
        <f t="shared" si="230"/>
        <v>10.45</v>
      </c>
      <c r="I38" s="451">
        <f t="shared" si="231"/>
        <v>8.36</v>
      </c>
      <c r="J38" s="451">
        <f t="shared" si="204"/>
        <v>6.9666666666666668</v>
      </c>
      <c r="K38" s="448">
        <f t="shared" si="232"/>
        <v>0.13236225459151363</v>
      </c>
      <c r="L38" s="492"/>
      <c r="M38" s="458">
        <f>IF(M33&gt;$J$42,$J$38,IF(M33&lt;$J$42,(IF(M33&lt;0,0,M33*$K$38))))</f>
        <v>0</v>
      </c>
      <c r="N38" s="445">
        <f>IF(N33&gt;$J$42,$J$38,IF(N33&lt;$J$42,(IF(N33&lt;0,0,N33*$K$38))))</f>
        <v>0</v>
      </c>
      <c r="O38" s="445">
        <f t="shared" ref="O38:S38" si="245">IF(O33&gt;$J$42,$J$38,IF(O33&lt;$J$42,(IF(O33&lt;0,0,O33*$K$38))))</f>
        <v>2.4113534937724288</v>
      </c>
      <c r="P38" s="445">
        <f t="shared" si="245"/>
        <v>4.3888455773696426</v>
      </c>
      <c r="Q38" s="445">
        <f t="shared" si="245"/>
        <v>0</v>
      </c>
      <c r="R38" s="451">
        <f t="shared" si="245"/>
        <v>0</v>
      </c>
      <c r="S38" s="463">
        <f t="shared" si="245"/>
        <v>0</v>
      </c>
      <c r="T38" s="479"/>
      <c r="U38" s="458">
        <f t="shared" si="10"/>
        <v>6.800199071142071</v>
      </c>
      <c r="V38" s="451">
        <f t="shared" si="206"/>
        <v>-0.34416392231370346</v>
      </c>
      <c r="W38" s="463">
        <f t="shared" si="207"/>
        <v>7.1443629934557746</v>
      </c>
      <c r="X38" s="479"/>
      <c r="Y38" s="458">
        <f t="shared" ref="Y38" si="246">IF(Y33&gt;$J$42,$J$38,IF(Y33&lt;$J$42,(IF(Y33&lt;0,0,Y33*$K$38))))</f>
        <v>2.6714453240447535</v>
      </c>
      <c r="Z38" s="451">
        <f>IF(Z33&gt;$J$42,$J$38,IF(Z33&lt;$J$42,(IF(Z33&lt;0,0,Z33*$K$38))))</f>
        <v>0.44842125818028289</v>
      </c>
      <c r="AA38" s="451">
        <f t="shared" ref="AA38:AE38" si="247">IF(AA33&gt;$J$42,$J$38,IF(AA33&lt;$J$42,(IF(AA33&lt;0,0,AA33*$K$38))))</f>
        <v>0</v>
      </c>
      <c r="AB38" s="451">
        <f t="shared" si="247"/>
        <v>1.4067239814228418</v>
      </c>
      <c r="AC38" s="451">
        <f t="shared" si="247"/>
        <v>0</v>
      </c>
      <c r="AD38" s="451">
        <f t="shared" si="247"/>
        <v>1.3749570403208773</v>
      </c>
      <c r="AE38" s="463">
        <f t="shared" si="247"/>
        <v>0</v>
      </c>
      <c r="AF38" s="479"/>
      <c r="AG38" s="458">
        <f t="shared" si="210"/>
        <v>5.9015476039687558</v>
      </c>
      <c r="AH38" s="451">
        <f t="shared" si="211"/>
        <v>-0.60756480895081544</v>
      </c>
      <c r="AI38" s="463">
        <f t="shared" si="212"/>
        <v>6.5091124129195714</v>
      </c>
      <c r="AJ38" s="479"/>
      <c r="AK38" s="458">
        <f t="shared" ref="AK38" si="248">IF(AK33&gt;$J$42,$J$38,IF(AK33&lt;$J$42,(IF(AK33&lt;0,0,AK33*$K$38))))</f>
        <v>0</v>
      </c>
      <c r="AL38" s="451">
        <f t="shared" ref="AL38" si="249">IF(AL33&gt;$J$42,$J$38,IF(AL33&lt;$J$42,(IF(AL33&lt;0,0,AL33*$K$38))))</f>
        <v>0</v>
      </c>
      <c r="AM38" s="451">
        <f t="shared" ref="AM38:AQ38" si="250">IF(AM33&gt;$J$42,$J$38,IF(AM33&lt;$J$42,(IF(AM33&lt;0,0,AM33*$K$38))))</f>
        <v>0.2611286679332912</v>
      </c>
      <c r="AN38" s="451">
        <f t="shared" si="250"/>
        <v>0</v>
      </c>
      <c r="AO38" s="451">
        <f t="shared" si="250"/>
        <v>0</v>
      </c>
      <c r="AP38" s="451">
        <f t="shared" si="250"/>
        <v>1.0553021954823729</v>
      </c>
      <c r="AQ38" s="451">
        <f t="shared" si="250"/>
        <v>0</v>
      </c>
      <c r="AR38" s="479"/>
      <c r="AS38" s="458">
        <f t="shared" si="193"/>
        <v>1.3164308634156641</v>
      </c>
      <c r="AT38" s="451">
        <f t="shared" si="216"/>
        <v>-9.6757028710154138</v>
      </c>
      <c r="AU38" s="463">
        <f t="shared" si="217"/>
        <v>10.992133734431079</v>
      </c>
      <c r="AV38" s="479"/>
      <c r="AW38" s="1057">
        <f t="shared" ref="AW38" si="251">IF(AW33&gt;$J$42,$J$38,IF(AW33&lt;$J$42,(IF(AW33&lt;0,0,AW33*$K$38))))</f>
        <v>0</v>
      </c>
      <c r="AX38" s="451">
        <f t="shared" ref="AX38:AY38" si="252">IF(AX33&gt;$J$42,$J$38,IF(AX33&lt;$J$42,(IF(AX33&lt;0,0,AX33*$K$38))))</f>
        <v>0.51526419674899671</v>
      </c>
      <c r="AY38" s="451">
        <f t="shared" si="252"/>
        <v>3.3862014988389268</v>
      </c>
      <c r="AZ38" s="451">
        <f t="shared" ref="AZ38:BA38" si="253">IF(AZ33&gt;$J$42,$J$38,IF(AZ33&lt;$J$42,(IF(AZ33&lt;0,0,AZ33*$K$38))))</f>
        <v>0.13604633734431079</v>
      </c>
      <c r="BA38" s="451">
        <f t="shared" si="253"/>
        <v>0</v>
      </c>
      <c r="BB38" s="451">
        <f t="shared" ref="BB38:BC38" si="254">IF(BB33&gt;$J$42,$J$38,IF(BB33&lt;$J$42,(IF(BB33&lt;0,0,BB33*$K$38))))</f>
        <v>1.5457043487439308</v>
      </c>
      <c r="BC38" s="451">
        <f t="shared" si="254"/>
        <v>0</v>
      </c>
      <c r="BD38" s="479"/>
      <c r="BE38" s="458">
        <f t="shared" si="222"/>
        <v>5.5832163816761646</v>
      </c>
      <c r="BF38" s="451">
        <f t="shared" si="223"/>
        <v>0.98607673633100901</v>
      </c>
      <c r="BG38" s="463">
        <f t="shared" si="224"/>
        <v>4.5971396453451554</v>
      </c>
      <c r="BH38" s="479"/>
      <c r="BI38" s="458">
        <f t="shared" ref="BI38" si="255">IF(BI33&gt;$J$42,$J$38,IF(BI33&lt;$J$42,(IF(BI33&lt;0,0,BI33*$K$38))))</f>
        <v>0.37032752797129032</v>
      </c>
      <c r="BJ38" s="463">
        <f t="shared" ref="BJ38" si="256">IF(BJ33&gt;$J$42,$J$38,IF(BJ33&lt;$J$42,(IF(BJ33&lt;0,0,BJ33*$K$38))))</f>
        <v>3.6065846527337979</v>
      </c>
      <c r="BK38" s="479"/>
      <c r="BL38" s="458">
        <f t="shared" si="200"/>
        <v>3.9769121807050882</v>
      </c>
      <c r="BM38" s="451">
        <f t="shared" si="201"/>
        <v>3.9769121807050882</v>
      </c>
      <c r="BN38" s="463">
        <f t="shared" si="227"/>
        <v>0</v>
      </c>
      <c r="BP38" s="732"/>
      <c r="BQ38" s="733"/>
      <c r="BS38" s="732">
        <f t="shared" si="202"/>
        <v>23.578306100907742</v>
      </c>
      <c r="BT38" s="734">
        <f t="shared" si="203"/>
        <v>0.11281486172683131</v>
      </c>
      <c r="BU38" s="4515"/>
      <c r="BX38" s="1028"/>
      <c r="BY38" s="62"/>
      <c r="BZ38" s="81"/>
      <c r="CA38" s="81"/>
      <c r="CB38" s="81"/>
      <c r="CC38" s="81"/>
      <c r="CD38" s="81"/>
      <c r="CE38" s="81"/>
      <c r="CF38" s="1029"/>
    </row>
    <row r="39" spans="1:84" x14ac:dyDescent="0.2">
      <c r="B39" s="464">
        <v>22</v>
      </c>
      <c r="C39" s="1114" t="s">
        <v>4</v>
      </c>
      <c r="D39" s="1094"/>
      <c r="E39" s="453">
        <v>150</v>
      </c>
      <c r="F39" s="424">
        <f t="shared" si="228"/>
        <v>15</v>
      </c>
      <c r="G39" s="424">
        <f t="shared" si="229"/>
        <v>10</v>
      </c>
      <c r="H39" s="424">
        <f t="shared" si="230"/>
        <v>7.5</v>
      </c>
      <c r="I39" s="424">
        <f t="shared" si="231"/>
        <v>6</v>
      </c>
      <c r="J39" s="424">
        <f t="shared" si="204"/>
        <v>5</v>
      </c>
      <c r="K39" s="449">
        <f t="shared" si="232"/>
        <v>9.4996833438885375E-2</v>
      </c>
      <c r="L39" s="491"/>
      <c r="M39" s="459">
        <f>IF(M33&gt;$J$42,$J$39,IF(M33&lt;$J$42,(IF(M33&lt;0,0,M33*$K$39))))</f>
        <v>0</v>
      </c>
      <c r="N39" s="453">
        <f>IF(N33&gt;$J$42,$J$39,IF(N33&lt;$J$42,(IF(N33&lt;0,0,N33*$K$39))))</f>
        <v>0</v>
      </c>
      <c r="O39" s="453">
        <f t="shared" ref="O39:S39" si="257">IF(O33&gt;$J$42,$J$39,IF(O33&lt;$J$42,(IF(O33&lt;0,0,O33*$K$39))))</f>
        <v>1.7306364787840398</v>
      </c>
      <c r="P39" s="453">
        <f t="shared" si="257"/>
        <v>3.1498891703609879</v>
      </c>
      <c r="Q39" s="453">
        <f t="shared" si="257"/>
        <v>0</v>
      </c>
      <c r="R39" s="424">
        <f t="shared" si="257"/>
        <v>0</v>
      </c>
      <c r="S39" s="465">
        <f t="shared" si="257"/>
        <v>0</v>
      </c>
      <c r="T39" s="481"/>
      <c r="U39" s="459">
        <f t="shared" si="10"/>
        <v>4.880525649145028</v>
      </c>
      <c r="V39" s="424">
        <f t="shared" si="206"/>
        <v>-0.24700759974667713</v>
      </c>
      <c r="W39" s="465">
        <f t="shared" si="207"/>
        <v>5.1275332488917051</v>
      </c>
      <c r="X39" s="481"/>
      <c r="Y39" s="459">
        <f t="shared" ref="Y39" si="258">IF(Y33&gt;$J$42,$J$39,IF(Y33&lt;$J$42,(IF(Y33&lt;0,0,Y33*$K$39))))</f>
        <v>1.9173052564914499</v>
      </c>
      <c r="Z39" s="424">
        <f>IF(Z33&gt;$J$42,$J$39,IF(Z33&lt;$J$42,(IF(Z33&lt;0,0,Z33*$K$39))))</f>
        <v>0.32183343888537047</v>
      </c>
      <c r="AA39" s="424">
        <f t="shared" ref="AA39:AE39" si="259">IF(AA33&gt;$J$42,$J$39,IF(AA33&lt;$J$42,(IF(AA33&lt;0,0,AA33*$K$39))))</f>
        <v>0</v>
      </c>
      <c r="AB39" s="424">
        <f t="shared" si="259"/>
        <v>1.0096105129829007</v>
      </c>
      <c r="AC39" s="424">
        <f t="shared" si="259"/>
        <v>0</v>
      </c>
      <c r="AD39" s="424">
        <f t="shared" si="259"/>
        <v>0.98681127295756743</v>
      </c>
      <c r="AE39" s="465">
        <f t="shared" si="259"/>
        <v>0</v>
      </c>
      <c r="AF39" s="481"/>
      <c r="AG39" s="459">
        <f t="shared" si="210"/>
        <v>4.2355604813172878</v>
      </c>
      <c r="AH39" s="424">
        <f t="shared" si="211"/>
        <v>-0.4360512982900589</v>
      </c>
      <c r="AI39" s="465">
        <f t="shared" si="212"/>
        <v>4.6716117796073471</v>
      </c>
      <c r="AJ39" s="481"/>
      <c r="AK39" s="459">
        <f t="shared" ref="AK39" si="260">IF(AK33&gt;$J$42,$J$39,IF(AK33&lt;$J$42,(IF(AK33&lt;0,0,AK33*$K$39))))</f>
        <v>0</v>
      </c>
      <c r="AL39" s="424">
        <f t="shared" ref="AL39" si="261">IF(AL33&gt;$J$42,$J$39,IF(AL33&lt;$J$42,(IF(AL33&lt;0,0,AL33*$K$39))))</f>
        <v>0</v>
      </c>
      <c r="AM39" s="424">
        <f t="shared" ref="AM39:AQ39" si="262">IF(AM33&gt;$J$42,$J$39,IF(AM33&lt;$J$42,(IF(AM33&lt;0,0,AM33*$K$39))))</f>
        <v>0.18741291956934775</v>
      </c>
      <c r="AN39" s="424">
        <f t="shared" si="262"/>
        <v>0</v>
      </c>
      <c r="AO39" s="424">
        <f t="shared" si="262"/>
        <v>0</v>
      </c>
      <c r="AP39" s="424">
        <f t="shared" si="262"/>
        <v>0.75739392020266005</v>
      </c>
      <c r="AQ39" s="424">
        <f t="shared" si="262"/>
        <v>0</v>
      </c>
      <c r="AR39" s="481"/>
      <c r="AS39" s="459">
        <f t="shared" si="193"/>
        <v>0.94480683977200774</v>
      </c>
      <c r="AT39" s="424">
        <f t="shared" si="216"/>
        <v>-6.9442843571880957</v>
      </c>
      <c r="AU39" s="465">
        <f t="shared" si="217"/>
        <v>7.8890911969601039</v>
      </c>
      <c r="AV39" s="481"/>
      <c r="AW39" s="1115">
        <f t="shared" ref="AW39" si="263">IF(AW33&gt;$J$42,$J$39,IF(AW33&lt;$J$42,(IF(AW33&lt;0,0,AW33*$K$39))))</f>
        <v>0</v>
      </c>
      <c r="AX39" s="424">
        <f t="shared" ref="AX39:AY39" si="264">IF(AX33&gt;$J$42,$J$39,IF(AX33&lt;$J$42,(IF(AX33&lt;0,0,AX33*$K$39))))</f>
        <v>0.36980683977200718</v>
      </c>
      <c r="AY39" s="424">
        <f t="shared" si="264"/>
        <v>2.4302881570614305</v>
      </c>
      <c r="AZ39" s="424">
        <f t="shared" ref="AZ39:BA39" si="265">IF(AZ33&gt;$J$42,$J$39,IF(AZ33&lt;$J$42,(IF(AZ33&lt;0,0,AZ33*$K$39))))</f>
        <v>9.7640911969601049E-2</v>
      </c>
      <c r="BA39" s="424">
        <f t="shared" si="265"/>
        <v>0</v>
      </c>
      <c r="BB39" s="424">
        <f t="shared" ref="BB39:BC39" si="266">IF(BB33&gt;$J$42,$J$39,IF(BB33&lt;$J$42,(IF(BB33&lt;0,0,BB33*$K$39))))</f>
        <v>1.1093571880937301</v>
      </c>
      <c r="BC39" s="424">
        <f t="shared" si="266"/>
        <v>0</v>
      </c>
      <c r="BD39" s="481"/>
      <c r="BE39" s="459">
        <f t="shared" si="222"/>
        <v>4.0070930968967691</v>
      </c>
      <c r="BF39" s="424">
        <f t="shared" si="223"/>
        <v>0.70771057631412126</v>
      </c>
      <c r="BG39" s="465">
        <f t="shared" si="224"/>
        <v>3.2993825205826477</v>
      </c>
      <c r="BH39" s="481"/>
      <c r="BI39" s="459">
        <f t="shared" ref="BI39" si="267">IF(BI33&gt;$J$42,$J$39,IF(BI33&lt;$J$42,(IF(BI33&lt;0,0,BI33*$K$39))))</f>
        <v>0.26578530715642845</v>
      </c>
      <c r="BJ39" s="465">
        <f t="shared" ref="BJ39" si="268">IF(BJ33&gt;$J$42,$J$39,IF(BJ33&lt;$J$42,(IF(BJ33&lt;0,0,BJ33*$K$39))))</f>
        <v>2.5884578847371755</v>
      </c>
      <c r="BK39" s="481"/>
      <c r="BL39" s="459">
        <f t="shared" si="200"/>
        <v>2.854243191893604</v>
      </c>
      <c r="BM39" s="424">
        <f t="shared" si="201"/>
        <v>2.854243191893604</v>
      </c>
      <c r="BN39" s="465">
        <f t="shared" si="227"/>
        <v>0</v>
      </c>
      <c r="BP39" s="729"/>
      <c r="BQ39" s="730"/>
      <c r="BS39" s="729">
        <f t="shared" si="202"/>
        <v>16.922229259024697</v>
      </c>
      <c r="BT39" s="731">
        <f t="shared" si="203"/>
        <v>0.11281486172683131</v>
      </c>
      <c r="BU39" s="4515"/>
      <c r="BX39" s="1028"/>
      <c r="BY39" s="62"/>
      <c r="BZ39" s="81"/>
      <c r="CA39" s="81"/>
      <c r="CB39" s="81"/>
      <c r="CC39" s="81"/>
      <c r="CD39" s="81"/>
      <c r="CE39" s="81"/>
      <c r="CF39" s="1029"/>
    </row>
    <row r="40" spans="1:84" s="255" customFormat="1" x14ac:dyDescent="0.2">
      <c r="B40" s="462">
        <v>23</v>
      </c>
      <c r="C40" s="816" t="s">
        <v>122</v>
      </c>
      <c r="D40" s="819"/>
      <c r="E40" s="445">
        <v>100</v>
      </c>
      <c r="F40" s="451">
        <f t="shared" si="228"/>
        <v>10</v>
      </c>
      <c r="G40" s="451">
        <f t="shared" si="229"/>
        <v>6.666666666666667</v>
      </c>
      <c r="H40" s="451">
        <f t="shared" si="230"/>
        <v>5</v>
      </c>
      <c r="I40" s="451">
        <f t="shared" si="231"/>
        <v>4</v>
      </c>
      <c r="J40" s="451">
        <f t="shared" si="204"/>
        <v>3.3333333333333335</v>
      </c>
      <c r="K40" s="448">
        <f t="shared" si="232"/>
        <v>6.333122229259025E-2</v>
      </c>
      <c r="L40" s="492"/>
      <c r="M40" s="458">
        <f>IF(M33&gt;$J$42,$J$40,IF(M33&lt;$J$42,(IF(M33&lt;0,0,M33*$K$40))))</f>
        <v>0</v>
      </c>
      <c r="N40" s="445">
        <f>IF(N33&gt;$J$42,$J$40,IF(N33&lt;$J$42,(IF(N33&lt;0,0,N33*$K$40))))</f>
        <v>0</v>
      </c>
      <c r="O40" s="445">
        <f t="shared" ref="O40:S40" si="269">IF(O33&gt;$J$42,$J$40,IF(O33&lt;$J$42,(IF(O33&lt;0,0,O33*$K$40))))</f>
        <v>1.1537576525226931</v>
      </c>
      <c r="P40" s="445">
        <f t="shared" si="269"/>
        <v>2.0999261135739919</v>
      </c>
      <c r="Q40" s="445">
        <f t="shared" si="269"/>
        <v>0</v>
      </c>
      <c r="R40" s="445">
        <f t="shared" si="269"/>
        <v>0</v>
      </c>
      <c r="S40" s="463">
        <f t="shared" si="269"/>
        <v>0</v>
      </c>
      <c r="T40" s="479"/>
      <c r="U40" s="458">
        <f t="shared" si="10"/>
        <v>3.2536837660966853</v>
      </c>
      <c r="V40" s="445">
        <f t="shared" si="206"/>
        <v>-0.16467173316445141</v>
      </c>
      <c r="W40" s="1080">
        <f t="shared" si="207"/>
        <v>3.4183554992611369</v>
      </c>
      <c r="X40" s="479"/>
      <c r="Y40" s="458">
        <f t="shared" ref="Y40" si="270">IF(Y33&gt;$J$42,$J$40,IF(Y33&lt;$J$42,(IF(Y33&lt;0,0,Y33*$K$40))))</f>
        <v>1.2782035043276332</v>
      </c>
      <c r="Z40" s="445">
        <f>IF(Z33&gt;$J$42,$J$40,IF(Z33&lt;$J$42,(IF(Z33&lt;0,0,Z33*$K$40))))</f>
        <v>0.21455562592358032</v>
      </c>
      <c r="AA40" s="445">
        <f t="shared" ref="AA40:AE40" si="271">IF(AA33&gt;$J$42,$J$40,IF(AA33&lt;$J$42,(IF(AA33&lt;0,0,AA33*$K$40))))</f>
        <v>0</v>
      </c>
      <c r="AB40" s="445">
        <f t="shared" si="271"/>
        <v>0.67307367532193385</v>
      </c>
      <c r="AC40" s="445">
        <f t="shared" si="271"/>
        <v>0</v>
      </c>
      <c r="AD40" s="445">
        <f t="shared" si="271"/>
        <v>0.65787418197171166</v>
      </c>
      <c r="AE40" s="463">
        <f t="shared" si="271"/>
        <v>0</v>
      </c>
      <c r="AF40" s="479"/>
      <c r="AG40" s="458">
        <f t="shared" si="210"/>
        <v>2.8237069875448588</v>
      </c>
      <c r="AH40" s="445">
        <f t="shared" si="211"/>
        <v>-0.29070086552670593</v>
      </c>
      <c r="AI40" s="1080">
        <f t="shared" si="212"/>
        <v>3.1144078530715649</v>
      </c>
      <c r="AJ40" s="479"/>
      <c r="AK40" s="458">
        <f t="shared" ref="AK40" si="272">IF(AK33&gt;$J$42,$J$40,IF(AK33&lt;$J$42,(IF(AK33&lt;0,0,AK33*$K$40))))</f>
        <v>0</v>
      </c>
      <c r="AL40" s="451">
        <f t="shared" ref="AL40" si="273">IF(AL33&gt;$J$42,$J$40,IF(AL33&lt;$J$42,(IF(AL33&lt;0,0,AL33*$K$40))))</f>
        <v>0</v>
      </c>
      <c r="AM40" s="451">
        <f t="shared" ref="AM40:AQ40" si="274">IF(AM33&gt;$J$42,$J$40,IF(AM33&lt;$J$42,(IF(AM33&lt;0,0,AM33*$K$40))))</f>
        <v>0.12494194637956517</v>
      </c>
      <c r="AN40" s="451">
        <f t="shared" si="274"/>
        <v>0</v>
      </c>
      <c r="AO40" s="451">
        <f t="shared" si="274"/>
        <v>0</v>
      </c>
      <c r="AP40" s="451">
        <f t="shared" si="274"/>
        <v>0.50492928013510663</v>
      </c>
      <c r="AQ40" s="451">
        <f t="shared" si="274"/>
        <v>0</v>
      </c>
      <c r="AR40" s="479"/>
      <c r="AS40" s="458">
        <f t="shared" si="193"/>
        <v>0.62987122651467176</v>
      </c>
      <c r="AT40" s="445">
        <f t="shared" si="216"/>
        <v>-4.6295229047920632</v>
      </c>
      <c r="AU40" s="1080">
        <f t="shared" si="217"/>
        <v>5.2593941313067347</v>
      </c>
      <c r="AV40" s="479"/>
      <c r="AW40" s="1057">
        <f t="shared" ref="AW40" si="275">IF(AW33&gt;$J$42,$J$40,IF(AW33&lt;$J$42,(IF(AW33&lt;0,0,AW33*$K$40))))</f>
        <v>0</v>
      </c>
      <c r="AX40" s="451">
        <f t="shared" ref="AX40:AY40" si="276">IF(AX33&gt;$J$42,$J$40,IF(AX33&lt;$J$42,(IF(AX33&lt;0,0,AX33*$K$40))))</f>
        <v>0.24653789318133809</v>
      </c>
      <c r="AY40" s="451">
        <f t="shared" si="276"/>
        <v>1.6201921047076204</v>
      </c>
      <c r="AZ40" s="451">
        <f t="shared" ref="AZ40:BA40" si="277">IF(AZ33&gt;$J$42,$J$40,IF(AZ33&lt;$J$42,(IF(AZ33&lt;0,0,AZ33*$K$40))))</f>
        <v>6.5093941313067366E-2</v>
      </c>
      <c r="BA40" s="451">
        <f t="shared" si="277"/>
        <v>0</v>
      </c>
      <c r="BB40" s="451">
        <f t="shared" ref="BB40:BC40" si="278">IF(BB33&gt;$J$42,$J$40,IF(BB33&lt;$J$42,(IF(BB33&lt;0,0,BB33*$K$40))))</f>
        <v>0.73957145872915342</v>
      </c>
      <c r="BC40" s="451">
        <f t="shared" si="278"/>
        <v>0</v>
      </c>
      <c r="BD40" s="479"/>
      <c r="BE40" s="458">
        <f t="shared" si="222"/>
        <v>2.6713953979311791</v>
      </c>
      <c r="BF40" s="445">
        <f t="shared" si="223"/>
        <v>0.47180705087608088</v>
      </c>
      <c r="BG40" s="1080">
        <f t="shared" si="224"/>
        <v>2.1995883470550983</v>
      </c>
      <c r="BH40" s="479"/>
      <c r="BI40" s="458">
        <f t="shared" ref="BI40" si="279">IF(BI33&gt;$J$42,$J$40,IF(BI33&lt;$J$42,(IF(BI33&lt;0,0,BI33*$K$40))))</f>
        <v>0.17719020477095229</v>
      </c>
      <c r="BJ40" s="463">
        <f t="shared" ref="BJ40" si="280">IF(BJ33&gt;$J$42,$J$40,IF(BJ33&lt;$J$42,(IF(BJ33&lt;0,0,BJ33*$K$40))))</f>
        <v>1.7256385898247837</v>
      </c>
      <c r="BK40" s="479"/>
      <c r="BL40" s="458">
        <f t="shared" si="200"/>
        <v>1.9028287945957361</v>
      </c>
      <c r="BM40" s="445">
        <f t="shared" si="201"/>
        <v>1.9028287945957361</v>
      </c>
      <c r="BN40" s="1080">
        <f t="shared" si="227"/>
        <v>0</v>
      </c>
      <c r="BP40" s="732"/>
      <c r="BQ40" s="733"/>
      <c r="BS40" s="732">
        <f t="shared" si="202"/>
        <v>11.281486172683131</v>
      </c>
      <c r="BT40" s="734">
        <f t="shared" si="203"/>
        <v>0.11281486172683131</v>
      </c>
      <c r="BU40" s="4515"/>
      <c r="BX40" s="1058"/>
      <c r="BY40" s="1220"/>
      <c r="BZ40" s="1220"/>
      <c r="CA40" s="1220"/>
      <c r="CB40" s="1220"/>
      <c r="CC40" s="1220"/>
      <c r="CD40" s="1220"/>
      <c r="CE40" s="1220"/>
      <c r="CF40" s="1060"/>
    </row>
    <row r="41" spans="1:84" ht="15.75" thickBot="1" x14ac:dyDescent="0.25">
      <c r="B41" s="1116">
        <v>24</v>
      </c>
      <c r="C41" s="1117"/>
      <c r="D41" s="1094"/>
      <c r="E41" s="1118"/>
      <c r="F41" s="1119"/>
      <c r="G41" s="1119"/>
      <c r="H41" s="1119"/>
      <c r="I41" s="1119"/>
      <c r="J41" s="1119"/>
      <c r="K41" s="1120"/>
      <c r="L41" s="491"/>
      <c r="M41" s="1121">
        <f>IF(M33&gt;$J$42,$J$41,IF(M33&lt;$J$42,(IF(M33&lt;0,0,M33*$K$41))))</f>
        <v>0</v>
      </c>
      <c r="N41" s="1118">
        <f>IF(N33&gt;$J$42,$J$41,IF(N33&lt;$J$42,(IF(N33&lt;0,0,N33*$K$41))))</f>
        <v>0</v>
      </c>
      <c r="O41" s="1118">
        <f t="shared" ref="O41:S41" si="281">IF(O33&gt;$J$42,$J$41,IF(O33&lt;$J$42,(IF(O33&lt;0,0,O33*$K$41))))</f>
        <v>0</v>
      </c>
      <c r="P41" s="1118">
        <f t="shared" si="281"/>
        <v>0</v>
      </c>
      <c r="Q41" s="1118">
        <f t="shared" si="281"/>
        <v>0</v>
      </c>
      <c r="R41" s="1118">
        <f t="shared" si="281"/>
        <v>0</v>
      </c>
      <c r="S41" s="1122">
        <f t="shared" si="281"/>
        <v>0</v>
      </c>
      <c r="T41" s="481"/>
      <c r="U41" s="1121">
        <f t="shared" si="10"/>
        <v>0</v>
      </c>
      <c r="V41" s="1118">
        <f t="shared" si="206"/>
        <v>0</v>
      </c>
      <c r="W41" s="1123">
        <f t="shared" si="207"/>
        <v>0</v>
      </c>
      <c r="X41" s="481"/>
      <c r="Y41" s="1121">
        <f t="shared" ref="Y41" si="282">IF(Y33&gt;$J$42,$J$41,IF(Y33&lt;$J$42,(IF(Y33&lt;0,0,Y33*$K$41))))</f>
        <v>0</v>
      </c>
      <c r="Z41" s="1118">
        <f>IF(Z33&gt;$J$42,$J$41,IF(Z33&lt;$J$42,(IF(Z33&lt;0,0,Z33*$K$41))))</f>
        <v>0</v>
      </c>
      <c r="AA41" s="1118">
        <f t="shared" ref="AA41:AE41" si="283">IF(AA33&gt;$J$42,$J$41,IF(AA33&lt;$J$42,(IF(AA33&lt;0,0,AA33*$K$41))))</f>
        <v>0</v>
      </c>
      <c r="AB41" s="1118">
        <f t="shared" si="283"/>
        <v>0</v>
      </c>
      <c r="AC41" s="1118">
        <f t="shared" si="283"/>
        <v>0</v>
      </c>
      <c r="AD41" s="1118">
        <f t="shared" si="283"/>
        <v>0</v>
      </c>
      <c r="AE41" s="1122">
        <f t="shared" si="283"/>
        <v>0</v>
      </c>
      <c r="AF41" s="481"/>
      <c r="AG41" s="1121">
        <f t="shared" si="210"/>
        <v>0</v>
      </c>
      <c r="AH41" s="1118">
        <f t="shared" si="211"/>
        <v>0</v>
      </c>
      <c r="AI41" s="1123">
        <f t="shared" si="212"/>
        <v>0</v>
      </c>
      <c r="AJ41" s="481"/>
      <c r="AK41" s="1124">
        <f t="shared" ref="AK41" si="284">IF(AK33&gt;$J$42,$J$41,IF(AK33&lt;$J$42,(IF(AK33&lt;0,0,AK33*$K$41))))</f>
        <v>0</v>
      </c>
      <c r="AL41" s="1125">
        <f t="shared" ref="AL41" si="285">IF(AL33&gt;$J$42,$J$41,IF(AL33&lt;$J$42,(IF(AL33&lt;0,0,AL33*$K$41))))</f>
        <v>0</v>
      </c>
      <c r="AM41" s="1125">
        <f t="shared" ref="AM41:AQ41" si="286">IF(AM33&gt;$J$42,$J$41,IF(AM33&lt;$J$42,(IF(AM33&lt;0,0,AM33*$K$41))))</f>
        <v>0</v>
      </c>
      <c r="AN41" s="1125">
        <f t="shared" si="286"/>
        <v>0</v>
      </c>
      <c r="AO41" s="1125">
        <f t="shared" si="286"/>
        <v>0</v>
      </c>
      <c r="AP41" s="1125">
        <f t="shared" si="286"/>
        <v>0</v>
      </c>
      <c r="AQ41" s="1125">
        <f t="shared" si="286"/>
        <v>0</v>
      </c>
      <c r="AR41" s="481"/>
      <c r="AS41" s="1121">
        <f t="shared" si="193"/>
        <v>0</v>
      </c>
      <c r="AT41" s="1118">
        <f t="shared" si="216"/>
        <v>0</v>
      </c>
      <c r="AU41" s="1123">
        <f t="shared" si="217"/>
        <v>0</v>
      </c>
      <c r="AV41" s="481"/>
      <c r="AW41" s="1126">
        <f t="shared" ref="AW41" si="287">IF(AW33&gt;$J$42,$J$41,IF(AW33&lt;$J$42,(IF(AW33&lt;0,0,AW33*$K$41))))</f>
        <v>0</v>
      </c>
      <c r="AX41" s="1119">
        <f t="shared" ref="AX41:AY41" si="288">IF(AX33&gt;$J$42,$J$41,IF(AX33&lt;$J$42,(IF(AX33&lt;0,0,AX33*$K$41))))</f>
        <v>0</v>
      </c>
      <c r="AY41" s="1119">
        <f t="shared" si="288"/>
        <v>0</v>
      </c>
      <c r="AZ41" s="1119">
        <f t="shared" ref="AZ41:BA41" si="289">IF(AZ33&gt;$J$42,$J$41,IF(AZ33&lt;$J$42,(IF(AZ33&lt;0,0,AZ33*$K$41))))</f>
        <v>0</v>
      </c>
      <c r="BA41" s="1119">
        <f t="shared" si="289"/>
        <v>0</v>
      </c>
      <c r="BB41" s="1119">
        <f t="shared" ref="BB41:BC41" si="290">IF(BB33&gt;$J$42,$J$41,IF(BB33&lt;$J$42,(IF(BB33&lt;0,0,BB33*$K$41))))</f>
        <v>0</v>
      </c>
      <c r="BC41" s="1119">
        <f t="shared" si="290"/>
        <v>0</v>
      </c>
      <c r="BD41" s="481"/>
      <c r="BE41" s="1121">
        <f t="shared" si="222"/>
        <v>0</v>
      </c>
      <c r="BF41" s="1118">
        <f t="shared" si="223"/>
        <v>0</v>
      </c>
      <c r="BG41" s="1123">
        <f t="shared" si="224"/>
        <v>0</v>
      </c>
      <c r="BH41" s="481"/>
      <c r="BI41" s="1121">
        <f t="shared" ref="BI41" si="291">IF(BI33&gt;$J$42,$J$41,IF(BI33&lt;$J$42,(IF(BI33&lt;0,0,BI33*$K$41))))</f>
        <v>0</v>
      </c>
      <c r="BJ41" s="1122">
        <f t="shared" ref="BJ41" si="292">IF(BJ33&gt;$J$42,$J$41,IF(BJ33&lt;$J$42,(IF(BJ33&lt;0,0,BJ33*$K$41))))</f>
        <v>0</v>
      </c>
      <c r="BK41" s="481"/>
      <c r="BL41" s="1121">
        <f t="shared" si="200"/>
        <v>0</v>
      </c>
      <c r="BM41" s="1118">
        <f t="shared" si="201"/>
        <v>0</v>
      </c>
      <c r="BN41" s="1123">
        <f t="shared" si="227"/>
        <v>0</v>
      </c>
      <c r="BP41" s="1124"/>
      <c r="BQ41" s="1127"/>
      <c r="BS41" s="1124">
        <f t="shared" si="202"/>
        <v>0</v>
      </c>
      <c r="BT41" s="1128" t="e">
        <f t="shared" si="203"/>
        <v>#DIV/0!</v>
      </c>
      <c r="BU41" s="4506"/>
      <c r="BX41" s="1028"/>
      <c r="BY41" s="62"/>
      <c r="BZ41" s="81"/>
      <c r="CA41" s="81"/>
      <c r="CB41" s="81"/>
      <c r="CC41" s="81"/>
      <c r="CD41" s="81"/>
      <c r="CE41" s="81"/>
      <c r="CF41" s="1029"/>
    </row>
    <row r="42" spans="1:84" s="255" customFormat="1" ht="15.75" thickBot="1" x14ac:dyDescent="0.25">
      <c r="B42" s="1081"/>
      <c r="C42" s="1081" t="s">
        <v>148</v>
      </c>
      <c r="D42" s="813"/>
      <c r="E42" s="1082">
        <f>SUM(E35:E41)</f>
        <v>1579</v>
      </c>
      <c r="F42" s="1082">
        <f t="shared" ref="F42:I42" si="293">SUM(F35:F41)</f>
        <v>157.9</v>
      </c>
      <c r="G42" s="1082">
        <f t="shared" si="293"/>
        <v>105.26666666666667</v>
      </c>
      <c r="H42" s="1082">
        <f t="shared" si="293"/>
        <v>78.95</v>
      </c>
      <c r="I42" s="1082">
        <f t="shared" si="293"/>
        <v>63.16</v>
      </c>
      <c r="J42" s="1082">
        <f>SUM(J35:J41)</f>
        <v>52.633333333333333</v>
      </c>
      <c r="K42" s="1083">
        <f>E42/(E31+E42+E47)</f>
        <v>0.52633333333333332</v>
      </c>
      <c r="L42" s="62"/>
      <c r="M42" s="1084">
        <f>SUM(M35:M41)</f>
        <v>0</v>
      </c>
      <c r="N42" s="1082">
        <f t="shared" ref="N42:BC42" si="294">SUM(N35:N41)</f>
        <v>0</v>
      </c>
      <c r="O42" s="1082">
        <f t="shared" si="294"/>
        <v>18.217833333333324</v>
      </c>
      <c r="P42" s="1082">
        <f t="shared" si="294"/>
        <v>33.157833333333329</v>
      </c>
      <c r="Q42" s="1082">
        <f t="shared" si="294"/>
        <v>0</v>
      </c>
      <c r="R42" s="1082">
        <f t="shared" si="294"/>
        <v>0</v>
      </c>
      <c r="S42" s="1082">
        <f t="shared" si="294"/>
        <v>0</v>
      </c>
      <c r="T42" s="946"/>
      <c r="U42" s="742">
        <f>SUM(M42:S42)</f>
        <v>51.375666666666653</v>
      </c>
      <c r="V42" s="947">
        <f>SUM(V35:V41)</f>
        <v>-2.6001666666666883</v>
      </c>
      <c r="W42" s="948">
        <f>SUM(W35:W41)</f>
        <v>53.975833333333341</v>
      </c>
      <c r="X42" s="782"/>
      <c r="Y42" s="1082">
        <f t="shared" ref="Y42" si="295">SUM(Y35:Y41)</f>
        <v>20.182833333333328</v>
      </c>
      <c r="Z42" s="1082">
        <f t="shared" si="294"/>
        <v>3.387833333333333</v>
      </c>
      <c r="AA42" s="1082">
        <f t="shared" si="294"/>
        <v>0</v>
      </c>
      <c r="AB42" s="1082">
        <f t="shared" si="294"/>
        <v>10.627833333333335</v>
      </c>
      <c r="AC42" s="1082">
        <f t="shared" si="294"/>
        <v>0</v>
      </c>
      <c r="AD42" s="1082">
        <f t="shared" si="294"/>
        <v>10.387833333333326</v>
      </c>
      <c r="AE42" s="1082">
        <f t="shared" si="294"/>
        <v>0</v>
      </c>
      <c r="AF42" s="783"/>
      <c r="AG42" s="742">
        <f>SUM(Y42:AE42)</f>
        <v>44.586333333333322</v>
      </c>
      <c r="AH42" s="947">
        <f>SUM(AH35:AH41)</f>
        <v>-4.5901666666666863</v>
      </c>
      <c r="AI42" s="948">
        <f>SUM(AI35:AI41)</f>
        <v>49.176500000000004</v>
      </c>
      <c r="AJ42" s="783"/>
      <c r="AK42" s="1082">
        <f t="shared" ref="AK42" si="296">SUM(AK35:AK41)</f>
        <v>0</v>
      </c>
      <c r="AL42" s="1082">
        <f t="shared" ref="AL42" si="297">SUM(AL35:AL41)</f>
        <v>0</v>
      </c>
      <c r="AM42" s="1082">
        <f t="shared" si="294"/>
        <v>1.9728333333333337</v>
      </c>
      <c r="AN42" s="1082">
        <f t="shared" si="294"/>
        <v>0</v>
      </c>
      <c r="AO42" s="1082">
        <f t="shared" si="294"/>
        <v>0</v>
      </c>
      <c r="AP42" s="1082">
        <f t="shared" si="294"/>
        <v>7.9728333333333348</v>
      </c>
      <c r="AQ42" s="1082">
        <f t="shared" si="294"/>
        <v>0</v>
      </c>
      <c r="AR42" s="783"/>
      <c r="AS42" s="742">
        <f t="shared" si="193"/>
        <v>9.9456666666666678</v>
      </c>
      <c r="AT42" s="947">
        <f>SUM(AT35:AT41)</f>
        <v>-73.100166666666695</v>
      </c>
      <c r="AU42" s="948">
        <f>SUM(AU35:AU41)</f>
        <v>83.045833333333363</v>
      </c>
      <c r="AV42" s="783"/>
      <c r="AW42" s="1082">
        <f t="shared" ref="AW42" si="298">SUM(AW35:AW41)</f>
        <v>0</v>
      </c>
      <c r="AX42" s="1082">
        <f t="shared" si="294"/>
        <v>3.8928333333333289</v>
      </c>
      <c r="AY42" s="1082">
        <f t="shared" ref="AY42:AZ42" si="299">SUM(AY35:AY41)</f>
        <v>25.582833333333326</v>
      </c>
      <c r="AZ42" s="1082">
        <f t="shared" si="299"/>
        <v>1.0278333333333338</v>
      </c>
      <c r="BA42" s="1082">
        <f t="shared" ref="BA42" si="300">SUM(BA35:BA41)</f>
        <v>0</v>
      </c>
      <c r="BB42" s="1082">
        <f t="shared" si="294"/>
        <v>11.677833333333334</v>
      </c>
      <c r="BC42" s="1082">
        <f t="shared" si="294"/>
        <v>0</v>
      </c>
      <c r="BD42" s="783"/>
      <c r="BE42" s="742">
        <f t="shared" si="222"/>
        <v>42.18133333333332</v>
      </c>
      <c r="BF42" s="947">
        <f>SUM(BF35:BF41)</f>
        <v>7.4498333333333173</v>
      </c>
      <c r="BG42" s="948">
        <f>SUM(BG35:BG41)</f>
        <v>34.731500000000004</v>
      </c>
      <c r="BH42" s="1157"/>
      <c r="BI42" s="1082">
        <f t="shared" ref="BI42" si="301">SUM(BI35:BI41)</f>
        <v>2.7978333333333367</v>
      </c>
      <c r="BJ42" s="1082">
        <f t="shared" ref="BJ42" si="302">SUM(BJ35:BJ41)</f>
        <v>27.247833333333332</v>
      </c>
      <c r="BK42" s="1157"/>
      <c r="BL42" s="742">
        <f>SUM(BI42:BJ42)</f>
        <v>30.045666666666669</v>
      </c>
      <c r="BM42" s="947">
        <f>SUM(BM35:BM41)</f>
        <v>30.045666666666673</v>
      </c>
      <c r="BN42" s="948">
        <f>SUM(BN35:BN41)</f>
        <v>0</v>
      </c>
      <c r="BP42" s="1082">
        <f>J42*BX24</f>
        <v>1579</v>
      </c>
      <c r="BQ42" s="1085">
        <f>BS42-BP42</f>
        <v>-1400.8653333333334</v>
      </c>
      <c r="BS42" s="1082">
        <f>SUM(BS35:BS41)</f>
        <v>178.13466666666665</v>
      </c>
      <c r="BT42" s="1086">
        <f t="shared" si="203"/>
        <v>0.11281486172683132</v>
      </c>
      <c r="BU42" s="62"/>
      <c r="BX42" s="1221"/>
      <c r="BY42" s="1222"/>
      <c r="BZ42" s="1112"/>
      <c r="CA42" s="1112"/>
      <c r="CB42" s="1112"/>
      <c r="CC42" s="1112"/>
      <c r="CD42" s="1112"/>
      <c r="CE42" s="1112"/>
      <c r="CF42" s="1113"/>
    </row>
    <row r="43" spans="1:84" s="81" customFormat="1" ht="4.5" customHeight="1" thickBot="1" x14ac:dyDescent="0.25">
      <c r="B43" s="1154"/>
      <c r="C43" s="1154"/>
      <c r="E43" s="80"/>
      <c r="F43" s="80"/>
      <c r="G43" s="80"/>
      <c r="H43" s="80"/>
      <c r="I43" s="80"/>
      <c r="J43" s="80"/>
      <c r="K43" s="1087"/>
      <c r="L43" s="62"/>
      <c r="M43" s="80"/>
      <c r="N43" s="80"/>
      <c r="O43" s="80"/>
      <c r="P43" s="80"/>
      <c r="Q43" s="80"/>
      <c r="R43" s="80"/>
      <c r="S43" s="80"/>
      <c r="T43" s="1157"/>
      <c r="U43" s="1157"/>
      <c r="V43" s="1157"/>
      <c r="W43" s="1157"/>
      <c r="X43" s="1157"/>
      <c r="Y43" s="80"/>
      <c r="Z43" s="80"/>
      <c r="AA43" s="80"/>
      <c r="AB43" s="80"/>
      <c r="AC43" s="80"/>
      <c r="AD43" s="80"/>
      <c r="AE43" s="80"/>
      <c r="AF43" s="1157"/>
      <c r="AG43" s="1157"/>
      <c r="AH43" s="1157"/>
      <c r="AI43" s="1157"/>
      <c r="AJ43" s="1157"/>
      <c r="AK43" s="80"/>
      <c r="AL43" s="80"/>
      <c r="AM43" s="80"/>
      <c r="AN43" s="80"/>
      <c r="AO43" s="80"/>
      <c r="AP43" s="80"/>
      <c r="AQ43" s="80"/>
      <c r="AR43" s="1157"/>
      <c r="AS43" s="1157"/>
      <c r="AT43" s="1157"/>
      <c r="AU43" s="1157"/>
      <c r="AV43" s="1157"/>
      <c r="AW43" s="80"/>
      <c r="AX43" s="80"/>
      <c r="AY43" s="80"/>
      <c r="AZ43" s="80"/>
      <c r="BA43" s="80"/>
      <c r="BB43" s="80"/>
      <c r="BC43" s="80"/>
      <c r="BD43" s="1157"/>
      <c r="BE43" s="1157"/>
      <c r="BF43" s="1157"/>
      <c r="BG43" s="1157"/>
      <c r="BH43" s="1157"/>
      <c r="BI43" s="80"/>
      <c r="BJ43" s="80"/>
      <c r="BK43" s="1157"/>
      <c r="BL43" s="1157"/>
      <c r="BM43" s="1157"/>
      <c r="BN43" s="1157"/>
      <c r="BP43" s="80"/>
      <c r="BQ43" s="152"/>
      <c r="BS43" s="80"/>
      <c r="BT43" s="748"/>
      <c r="BU43" s="62"/>
    </row>
    <row r="44" spans="1:84" ht="15.75" thickBot="1" x14ac:dyDescent="0.25">
      <c r="B44" s="3"/>
      <c r="C44" s="3" t="s">
        <v>151</v>
      </c>
      <c r="D44" s="814"/>
      <c r="E44" s="5">
        <f>E42*100/30</f>
        <v>5263.333333333333</v>
      </c>
      <c r="F44" s="5">
        <f t="shared" ref="F44:I44" si="303">F31+F42</f>
        <v>268.70150000000001</v>
      </c>
      <c r="G44" s="5">
        <f t="shared" si="303"/>
        <v>179.13433333333333</v>
      </c>
      <c r="H44" s="5">
        <f t="shared" si="303"/>
        <v>134.35075000000001</v>
      </c>
      <c r="I44" s="5">
        <f t="shared" si="303"/>
        <v>107.4806</v>
      </c>
      <c r="J44" s="5">
        <f>J42*100/30</f>
        <v>175.44444444444443</v>
      </c>
      <c r="K44" s="266">
        <f>E44/E57</f>
        <v>0.52633333333333332</v>
      </c>
      <c r="L44" s="29"/>
      <c r="M44" s="1129">
        <f t="shared" ref="M44:S44" si="304">$J$44*30/100</f>
        <v>52.633333333333333</v>
      </c>
      <c r="N44" s="1147">
        <f t="shared" si="304"/>
        <v>52.633333333333333</v>
      </c>
      <c r="O44" s="1147">
        <f t="shared" si="304"/>
        <v>52.633333333333333</v>
      </c>
      <c r="P44" s="1218">
        <f t="shared" si="304"/>
        <v>52.633333333333333</v>
      </c>
      <c r="Q44" s="1234">
        <f t="shared" si="304"/>
        <v>52.633333333333333</v>
      </c>
      <c r="R44" s="1234">
        <f t="shared" si="304"/>
        <v>52.633333333333333</v>
      </c>
      <c r="S44" s="1236">
        <f t="shared" si="304"/>
        <v>52.633333333333333</v>
      </c>
      <c r="T44" s="14"/>
      <c r="U44" s="623">
        <f t="shared" si="10"/>
        <v>368.43333333333334</v>
      </c>
      <c r="V44" s="1130"/>
      <c r="W44" s="1131"/>
      <c r="X44" s="145"/>
      <c r="Y44" s="1147">
        <f t="shared" ref="Y44:AE44" si="305">$J$44*30/100</f>
        <v>52.633333333333333</v>
      </c>
      <c r="Z44" s="1147">
        <f t="shared" si="305"/>
        <v>52.633333333333333</v>
      </c>
      <c r="AA44" s="1244">
        <f t="shared" si="305"/>
        <v>52.633333333333333</v>
      </c>
      <c r="AB44" s="1248">
        <f t="shared" si="305"/>
        <v>52.633333333333333</v>
      </c>
      <c r="AC44" s="1248">
        <f t="shared" si="305"/>
        <v>52.633333333333333</v>
      </c>
      <c r="AD44" s="1250">
        <f t="shared" si="305"/>
        <v>52.633333333333333</v>
      </c>
      <c r="AE44" s="1147">
        <f t="shared" si="305"/>
        <v>52.633333333333333</v>
      </c>
      <c r="AF44" s="145"/>
      <c r="AG44" s="623">
        <f t="shared" ref="AG44" si="306">SUM(Y44:AE44)</f>
        <v>368.43333333333334</v>
      </c>
      <c r="AH44" s="1130"/>
      <c r="AI44" s="1131"/>
      <c r="AJ44" s="145"/>
      <c r="AK44" s="1147">
        <f t="shared" ref="AK44:AQ44" si="307">$J$44*30/100</f>
        <v>52.633333333333333</v>
      </c>
      <c r="AL44" s="1147">
        <f t="shared" si="307"/>
        <v>52.633333333333333</v>
      </c>
      <c r="AM44" s="1263">
        <f t="shared" si="307"/>
        <v>52.633333333333333</v>
      </c>
      <c r="AN44" s="1263">
        <f t="shared" si="307"/>
        <v>52.633333333333333</v>
      </c>
      <c r="AO44" s="1265">
        <f t="shared" si="307"/>
        <v>52.633333333333333</v>
      </c>
      <c r="AP44" s="1269">
        <f t="shared" si="307"/>
        <v>52.633333333333333</v>
      </c>
      <c r="AQ44" s="1147">
        <f t="shared" si="307"/>
        <v>52.633333333333333</v>
      </c>
      <c r="AR44" s="145"/>
      <c r="AS44" s="623">
        <f t="shared" ref="AS44:AS45" si="308">SUM(AK44:AQ44)</f>
        <v>368.43333333333334</v>
      </c>
      <c r="AT44" s="1130"/>
      <c r="AU44" s="1131"/>
      <c r="AV44" s="145"/>
      <c r="AW44" s="5">
        <f t="shared" ref="AW44:BC44" si="309">$J$44*30/100</f>
        <v>52.633333333333333</v>
      </c>
      <c r="AX44" s="5">
        <f t="shared" si="309"/>
        <v>52.633333333333333</v>
      </c>
      <c r="AY44" s="5">
        <f t="shared" si="309"/>
        <v>52.633333333333333</v>
      </c>
      <c r="AZ44" s="5">
        <f t="shared" si="309"/>
        <v>52.633333333333333</v>
      </c>
      <c r="BA44" s="5">
        <f t="shared" si="309"/>
        <v>52.633333333333333</v>
      </c>
      <c r="BB44" s="5">
        <f t="shared" si="309"/>
        <v>52.633333333333333</v>
      </c>
      <c r="BC44" s="5">
        <f t="shared" si="309"/>
        <v>52.633333333333333</v>
      </c>
      <c r="BD44" s="145"/>
      <c r="BE44" s="623">
        <f t="shared" ref="BE44:BE45" si="310">SUM(AW44:BC44)</f>
        <v>368.43333333333334</v>
      </c>
      <c r="BF44" s="1130"/>
      <c r="BG44" s="1131"/>
      <c r="BH44" s="14"/>
      <c r="BI44" s="5">
        <f t="shared" ref="BI44:BJ44" si="311">$J$44*30/100</f>
        <v>52.633333333333333</v>
      </c>
      <c r="BJ44" s="5">
        <f t="shared" si="311"/>
        <v>52.633333333333333</v>
      </c>
      <c r="BK44" s="14"/>
      <c r="BL44" s="623">
        <f>SUM(BI44:BJ44)</f>
        <v>105.26666666666667</v>
      </c>
      <c r="BM44" s="1130"/>
      <c r="BN44" s="1131"/>
      <c r="BP44" s="5">
        <f>SUM(M44:S44)+SUM(Y44:AE44)+SUM(AK44:AQ44)+SUM(AW44:BC44)+SUM(BI44:BJ44)</f>
        <v>1579</v>
      </c>
      <c r="BQ44" s="15"/>
      <c r="BS44" s="5"/>
      <c r="BT44" s="9"/>
      <c r="BU44" s="29"/>
    </row>
    <row r="45" spans="1:84" s="255" customFormat="1" ht="15.75" thickBot="1" x14ac:dyDescent="0.25">
      <c r="B45" s="574"/>
      <c r="C45" s="820" t="s">
        <v>149</v>
      </c>
      <c r="D45" s="819"/>
      <c r="E45" s="578"/>
      <c r="F45" s="576"/>
      <c r="G45" s="576"/>
      <c r="H45" s="576"/>
      <c r="I45" s="576"/>
      <c r="J45" s="576"/>
      <c r="K45" s="963"/>
      <c r="L45" s="987"/>
      <c r="M45" s="579">
        <f>IF(M33&gt;$J$42,M33-M42,IF(M33&lt;$J$42,(IF(M33&lt;0,-52.633,M33-M44))))</f>
        <v>-52.633000000000003</v>
      </c>
      <c r="N45" s="578">
        <f t="shared" ref="N45:O45" si="312">IF(N33&gt;$J$42,N33-N42,IF(N33&lt;$J$42,(IF(N33&lt;0,-52.633,N33-N44))))</f>
        <v>-52.633000000000003</v>
      </c>
      <c r="O45" s="578">
        <f t="shared" si="312"/>
        <v>-34.415500000000009</v>
      </c>
      <c r="P45" s="578">
        <f t="shared" ref="P45:Q45" si="313">IF(P33&gt;$J$42,P33-P42,IF(P33&lt;$J$42,(IF(P33&lt;0,-52.633,P33-P44))))</f>
        <v>-19.475500000000004</v>
      </c>
      <c r="Q45" s="578">
        <f t="shared" si="313"/>
        <v>-52.633000000000003</v>
      </c>
      <c r="R45" s="578">
        <f t="shared" ref="R45:S45" si="314">IF(R33&gt;$J$42,R33-R42,IF(R33&lt;$J$42,(IF(R33&lt;0,-52.633,R33-R44))))</f>
        <v>-52.633000000000003</v>
      </c>
      <c r="S45" s="788">
        <f t="shared" si="314"/>
        <v>-52.633000000000003</v>
      </c>
      <c r="T45" s="479"/>
      <c r="U45" s="579">
        <f>SUM(M45:S45)</f>
        <v>-317.05600000000004</v>
      </c>
      <c r="V45" s="578"/>
      <c r="W45" s="788"/>
      <c r="X45" s="479"/>
      <c r="Y45" s="579">
        <f t="shared" ref="Y45" si="315">IF(Y33&gt;$J$42,Y33-Y42,IF(Y33&lt;$J$42,(IF(Y33&lt;0,-52.633,Y33-Y44))))</f>
        <v>-32.450500000000005</v>
      </c>
      <c r="Z45" s="576">
        <f t="shared" ref="Z45:AA45" si="316">IF(Z33&gt;$J$42,Z33-Z42,IF(Z33&lt;$J$42,(IF(Z33&lt;0,-52.633,Z33-Z44))))</f>
        <v>-49.2455</v>
      </c>
      <c r="AA45" s="576">
        <f t="shared" si="316"/>
        <v>-52.633000000000003</v>
      </c>
      <c r="AB45" s="576">
        <f t="shared" ref="AB45:AC45" si="317">IF(AB33&gt;$J$42,AB33-AB42,IF(AB33&lt;$J$42,(IF(AB33&lt;0,-52.633,AB33-AB44))))</f>
        <v>-42.005499999999998</v>
      </c>
      <c r="AC45" s="576">
        <f t="shared" si="317"/>
        <v>-52.633000000000003</v>
      </c>
      <c r="AD45" s="576">
        <f t="shared" ref="AD45" si="318">IF(AD33&gt;$J$42,AD33-AD42,IF(AD33&lt;$J$42,(IF(AD33&lt;0,-52.633,AD33-AD44))))</f>
        <v>-42.245500000000007</v>
      </c>
      <c r="AE45" s="788">
        <f t="shared" ref="AE45" si="319">IF(AE33&gt;$J$42,AE33-AE42,IF(AE33&lt;$J$42,(IF(AE33&lt;0,-52.633,AE33-AE44))))</f>
        <v>-52.633000000000003</v>
      </c>
      <c r="AF45" s="479"/>
      <c r="AG45" s="579">
        <f>SUM(Y45:AE45)</f>
        <v>-323.846</v>
      </c>
      <c r="AH45" s="578"/>
      <c r="AI45" s="788"/>
      <c r="AJ45" s="779"/>
      <c r="AK45" s="579">
        <f t="shared" ref="AK45" si="320">IF(AK33&gt;$J$42,AK33-AK42,IF(AK33&lt;$J$42,(IF(AK33&lt;0,-52.633,AK33-AK44))))</f>
        <v>-52.633000000000003</v>
      </c>
      <c r="AL45" s="578">
        <f t="shared" ref="AL45:AN45" si="321">IF(AL33&gt;$J$42,AL33-AL42,IF(AL33&lt;$J$42,(IF(AL33&lt;0,-52.633,AL33-AL44))))</f>
        <v>-52.633000000000003</v>
      </c>
      <c r="AM45" s="578">
        <f t="shared" si="321"/>
        <v>-50.660499999999999</v>
      </c>
      <c r="AN45" s="578">
        <f t="shared" si="321"/>
        <v>-52.633000000000003</v>
      </c>
      <c r="AO45" s="578">
        <f t="shared" ref="AO45:AP45" si="322">IF(AO33&gt;$J$42,AO33-AO42,IF(AO33&lt;$J$42,(IF(AO33&lt;0,-52.633,AO33-AO44))))</f>
        <v>-52.633000000000003</v>
      </c>
      <c r="AP45" s="578">
        <f t="shared" si="322"/>
        <v>-44.660499999999999</v>
      </c>
      <c r="AQ45" s="578">
        <f t="shared" ref="AQ45" si="323">IF(AQ33&gt;$J$42,AQ33-AQ42,IF(AQ33&lt;$J$42,(IF(AQ33&lt;0,-52.633,AQ33-AQ44))))</f>
        <v>-52.633000000000003</v>
      </c>
      <c r="AR45" s="969"/>
      <c r="AS45" s="579">
        <f t="shared" si="308"/>
        <v>-358.48599999999999</v>
      </c>
      <c r="AT45" s="578"/>
      <c r="AU45" s="788"/>
      <c r="AV45" s="479"/>
      <c r="AW45" s="579">
        <f t="shared" ref="AW45:AX45" si="324">IF(AW33&gt;$J$42,AW33-AW42,IF(AW33&lt;$J$42,(IF(AW33&lt;0,-52.633,AW33-AW44))))</f>
        <v>-52.633000000000003</v>
      </c>
      <c r="AX45" s="576">
        <f t="shared" si="324"/>
        <v>-48.740500000000004</v>
      </c>
      <c r="AY45" s="576">
        <f t="shared" ref="AY45:AZ45" si="325">IF(AY33&gt;$J$42,AY33-AY42,IF(AY33&lt;$J$42,(IF(AY33&lt;0,-52.633,AY33-AY44))))</f>
        <v>-27.050500000000007</v>
      </c>
      <c r="AZ45" s="576">
        <f t="shared" si="325"/>
        <v>-51.605499999999999</v>
      </c>
      <c r="BA45" s="576">
        <f t="shared" ref="BA45" si="326">IF(BA33&gt;$J$42,BA33-BA42,IF(BA33&lt;$J$42,(IF(BA33&lt;0,-52.633,BA33-BA44))))</f>
        <v>-52.633000000000003</v>
      </c>
      <c r="BB45" s="576">
        <f t="shared" ref="BB45:BC45" si="327">IF(BB33&gt;$J$42,BB33-BB42,IF(BB33&lt;$J$42,(IF(BB33&lt;0,-52.633,BB33-BB44))))</f>
        <v>-40.955500000000001</v>
      </c>
      <c r="BC45" s="576">
        <f t="shared" si="327"/>
        <v>-52.633000000000003</v>
      </c>
      <c r="BD45" s="479"/>
      <c r="BE45" s="579">
        <f t="shared" si="310"/>
        <v>-326.25100000000003</v>
      </c>
      <c r="BF45" s="578"/>
      <c r="BG45" s="788"/>
      <c r="BI45" s="579">
        <f t="shared" ref="BI45" si="328">IF(BI33&gt;$J$42,BI33-BI42,IF(BI33&lt;$J$42,(IF(BI33&lt;0,-52.633,BI33-BI44))))</f>
        <v>-49.835499999999996</v>
      </c>
      <c r="BJ45" s="1166">
        <f t="shared" ref="BJ45" si="329">IF(BJ33&gt;$J$42,BJ33-BJ42,IF(BJ33&lt;$J$42,(IF(BJ33&lt;0,-52.633,BJ33-BJ44))))</f>
        <v>-25.3855</v>
      </c>
      <c r="BK45" s="990"/>
      <c r="BL45" s="992">
        <f>SUM(BI45:BJ45)</f>
        <v>-75.221000000000004</v>
      </c>
      <c r="BM45" s="991"/>
      <c r="BN45" s="989"/>
      <c r="BO45" s="1157"/>
      <c r="BP45" s="992">
        <f>SUM(M45:S45)+SUM(Y45:AE45)+SUM(AK45:AQ45)+SUM(AW45:BC45)+SUM(BI45:BJ45)</f>
        <v>-1400.8600000000001</v>
      </c>
      <c r="BQ45" s="580"/>
    </row>
    <row r="46" spans="1:84" s="426" customFormat="1" ht="15.75" thickBot="1" x14ac:dyDescent="0.25">
      <c r="B46" s="438"/>
      <c r="C46" s="438"/>
      <c r="D46" s="438"/>
      <c r="E46" s="479"/>
      <c r="F46" s="479"/>
      <c r="G46" s="479"/>
      <c r="H46" s="479"/>
      <c r="I46" s="479"/>
      <c r="J46" s="479"/>
      <c r="K46" s="1088"/>
      <c r="L46" s="987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79"/>
      <c r="AM46" s="479"/>
      <c r="AN46" s="479"/>
      <c r="AO46" s="479"/>
      <c r="AP46" s="479"/>
      <c r="AQ46" s="479"/>
      <c r="AR46" s="479"/>
      <c r="AS46" s="479"/>
      <c r="AT46" s="479"/>
      <c r="AU46" s="479"/>
      <c r="AV46" s="479"/>
      <c r="AW46" s="479"/>
      <c r="AX46" s="479"/>
      <c r="AY46" s="479"/>
      <c r="AZ46" s="479"/>
      <c r="BA46" s="479"/>
      <c r="BB46" s="479"/>
      <c r="BC46" s="479"/>
      <c r="BD46" s="479"/>
      <c r="BE46" s="479"/>
      <c r="BF46" s="479"/>
      <c r="BG46" s="479"/>
      <c r="BH46" s="479"/>
      <c r="BI46" s="479"/>
      <c r="BJ46" s="479"/>
      <c r="BK46" s="479"/>
      <c r="BL46" s="479"/>
      <c r="BM46" s="479"/>
      <c r="BN46" s="479"/>
      <c r="BO46" s="479"/>
      <c r="BP46" s="479"/>
      <c r="BQ46" s="480"/>
    </row>
    <row r="47" spans="1:84" s="432" customFormat="1" x14ac:dyDescent="0.2">
      <c r="A47" s="669"/>
      <c r="B47" s="433">
        <v>25</v>
      </c>
      <c r="C47" s="433" t="s">
        <v>74</v>
      </c>
      <c r="D47" s="780"/>
      <c r="E47" s="347">
        <f>3000-(E31+E42)</f>
        <v>302.98500000000013</v>
      </c>
      <c r="F47" s="347">
        <f t="shared" ref="F47:F54" si="330">E47/10</f>
        <v>30.298500000000011</v>
      </c>
      <c r="G47" s="347">
        <f t="shared" ref="G47:G48" si="331">E47/15</f>
        <v>20.199000000000009</v>
      </c>
      <c r="H47" s="347">
        <f t="shared" ref="H47:H48" si="332">E47/20</f>
        <v>15.149250000000006</v>
      </c>
      <c r="I47" s="347">
        <f t="shared" ref="I47:I48" si="333">E47/25</f>
        <v>12.119400000000006</v>
      </c>
      <c r="J47" s="347">
        <f>E47/30</f>
        <v>10.099500000000004</v>
      </c>
      <c r="K47" s="434">
        <f>E47/(E31+E42+E47)</f>
        <v>0.10099500000000004</v>
      </c>
      <c r="L47" s="482"/>
      <c r="M47" s="347">
        <f t="shared" ref="M47:S47" si="334">$J$47</f>
        <v>10.099500000000004</v>
      </c>
      <c r="N47" s="347">
        <f t="shared" si="334"/>
        <v>10.099500000000004</v>
      </c>
      <c r="O47" s="347">
        <f t="shared" si="334"/>
        <v>10.099500000000004</v>
      </c>
      <c r="P47" s="347">
        <f t="shared" si="334"/>
        <v>10.099500000000004</v>
      </c>
      <c r="Q47" s="347">
        <f t="shared" si="334"/>
        <v>10.099500000000004</v>
      </c>
      <c r="R47" s="347">
        <f t="shared" si="334"/>
        <v>10.099500000000004</v>
      </c>
      <c r="S47" s="347">
        <f t="shared" si="334"/>
        <v>10.099500000000004</v>
      </c>
      <c r="T47" s="481"/>
      <c r="U47" s="933">
        <f t="shared" si="10"/>
        <v>70.696500000000029</v>
      </c>
      <c r="V47" s="934"/>
      <c r="W47" s="935"/>
      <c r="X47" s="781"/>
      <c r="Y47" s="483">
        <f t="shared" ref="Y47:AE47" si="335">$J$47</f>
        <v>10.099500000000004</v>
      </c>
      <c r="Z47" s="483">
        <f t="shared" si="335"/>
        <v>10.099500000000004</v>
      </c>
      <c r="AA47" s="483">
        <f t="shared" si="335"/>
        <v>10.099500000000004</v>
      </c>
      <c r="AB47" s="483">
        <f t="shared" si="335"/>
        <v>10.099500000000004</v>
      </c>
      <c r="AC47" s="483">
        <f t="shared" si="335"/>
        <v>10.099500000000004</v>
      </c>
      <c r="AD47" s="483">
        <f t="shared" si="335"/>
        <v>10.099500000000004</v>
      </c>
      <c r="AE47" s="483">
        <f t="shared" si="335"/>
        <v>10.099500000000004</v>
      </c>
      <c r="AF47" s="781"/>
      <c r="AG47" s="933">
        <f t="shared" ref="AG47:AG48" si="336">SUM(Y47:AE47)</f>
        <v>70.696500000000029</v>
      </c>
      <c r="AH47" s="934"/>
      <c r="AI47" s="935"/>
      <c r="AJ47" s="781"/>
      <c r="AK47" s="483">
        <f t="shared" ref="AK47:AQ47" si="337">$J$47</f>
        <v>10.099500000000004</v>
      </c>
      <c r="AL47" s="483">
        <f t="shared" si="337"/>
        <v>10.099500000000004</v>
      </c>
      <c r="AM47" s="483">
        <f t="shared" si="337"/>
        <v>10.099500000000004</v>
      </c>
      <c r="AN47" s="483">
        <f t="shared" si="337"/>
        <v>10.099500000000004</v>
      </c>
      <c r="AO47" s="483">
        <f t="shared" si="337"/>
        <v>10.099500000000004</v>
      </c>
      <c r="AP47" s="483">
        <f t="shared" si="337"/>
        <v>10.099500000000004</v>
      </c>
      <c r="AQ47" s="483">
        <f t="shared" si="337"/>
        <v>10.099500000000004</v>
      </c>
      <c r="AR47" s="781"/>
      <c r="AS47" s="933">
        <f t="shared" ref="AS47:AS50" si="338">SUM(AK47:AQ47)</f>
        <v>70.696500000000029</v>
      </c>
      <c r="AT47" s="934"/>
      <c r="AU47" s="935"/>
      <c r="AV47" s="781"/>
      <c r="AW47" s="483">
        <f t="shared" ref="AW47:BC47" si="339">$J$47</f>
        <v>10.099500000000004</v>
      </c>
      <c r="AX47" s="483">
        <f t="shared" si="339"/>
        <v>10.099500000000004</v>
      </c>
      <c r="AY47" s="483">
        <f t="shared" si="339"/>
        <v>10.099500000000004</v>
      </c>
      <c r="AZ47" s="483">
        <f t="shared" si="339"/>
        <v>10.099500000000004</v>
      </c>
      <c r="BA47" s="483">
        <f t="shared" si="339"/>
        <v>10.099500000000004</v>
      </c>
      <c r="BB47" s="483">
        <f t="shared" si="339"/>
        <v>10.099500000000004</v>
      </c>
      <c r="BC47" s="483">
        <f t="shared" si="339"/>
        <v>10.099500000000004</v>
      </c>
      <c r="BD47" s="781"/>
      <c r="BE47" s="933">
        <f t="shared" ref="BE47:BE50" si="340">SUM(AW47:BC47)</f>
        <v>70.696500000000029</v>
      </c>
      <c r="BF47" s="934"/>
      <c r="BG47" s="935"/>
      <c r="BH47" s="481"/>
      <c r="BI47" s="347">
        <f t="shared" ref="BI47:BJ47" si="341">$J$47</f>
        <v>10.099500000000004</v>
      </c>
      <c r="BJ47" s="483">
        <f t="shared" si="341"/>
        <v>10.099500000000004</v>
      </c>
      <c r="BK47" s="481"/>
      <c r="BL47" s="933">
        <f t="shared" ref="BL47:BL48" si="342">SUM(BI47:BJ47)</f>
        <v>20.199000000000009</v>
      </c>
      <c r="BM47" s="934"/>
      <c r="BN47" s="935"/>
      <c r="BP47" s="347">
        <f>SUM(M47:S47)+SUM(Y47:AE47)+SUM(AK47:AQ47)+SUM(AW47:BC47)+SUM(BI47:BJ47)</f>
        <v>302.98500000000013</v>
      </c>
      <c r="BQ47" s="485">
        <f>BP47/E47</f>
        <v>1</v>
      </c>
      <c r="BS47" s="614"/>
      <c r="BT47" s="615"/>
      <c r="BU47" s="491"/>
    </row>
    <row r="48" spans="1:84" s="81" customFormat="1" ht="15.75" thickBot="1" x14ac:dyDescent="0.25">
      <c r="B48" s="43"/>
      <c r="C48" s="43" t="s">
        <v>153</v>
      </c>
      <c r="D48" s="813"/>
      <c r="E48" s="40">
        <f>E47*100/30</f>
        <v>1009.9500000000005</v>
      </c>
      <c r="F48" s="40">
        <f t="shared" si="330"/>
        <v>100.99500000000005</v>
      </c>
      <c r="G48" s="40">
        <f t="shared" si="331"/>
        <v>67.330000000000027</v>
      </c>
      <c r="H48" s="40">
        <f t="shared" si="332"/>
        <v>50.497500000000024</v>
      </c>
      <c r="I48" s="40">
        <f t="shared" si="333"/>
        <v>40.398000000000017</v>
      </c>
      <c r="J48" s="40">
        <f>J47*100/30</f>
        <v>33.665000000000013</v>
      </c>
      <c r="K48" s="193">
        <f>E48/E57</f>
        <v>0.10099500000000006</v>
      </c>
      <c r="L48" s="62"/>
      <c r="M48" s="40">
        <f t="shared" ref="M48:S48" si="343">$J$48</f>
        <v>33.665000000000013</v>
      </c>
      <c r="N48" s="40">
        <f t="shared" si="343"/>
        <v>33.665000000000013</v>
      </c>
      <c r="O48" s="40">
        <f t="shared" si="343"/>
        <v>33.665000000000013</v>
      </c>
      <c r="P48" s="40">
        <f t="shared" si="343"/>
        <v>33.665000000000013</v>
      </c>
      <c r="Q48" s="40">
        <f t="shared" si="343"/>
        <v>33.665000000000013</v>
      </c>
      <c r="R48" s="40">
        <f t="shared" si="343"/>
        <v>33.665000000000013</v>
      </c>
      <c r="S48" s="40">
        <f t="shared" si="343"/>
        <v>33.665000000000013</v>
      </c>
      <c r="T48" s="1157"/>
      <c r="U48" s="957">
        <f t="shared" si="10"/>
        <v>235.65500000000011</v>
      </c>
      <c r="V48" s="958"/>
      <c r="W48" s="959"/>
      <c r="X48" s="782"/>
      <c r="Y48" s="1148">
        <f t="shared" ref="Y48:AE48" si="344">$J$48</f>
        <v>33.665000000000013</v>
      </c>
      <c r="Z48" s="1148">
        <f t="shared" si="344"/>
        <v>33.665000000000013</v>
      </c>
      <c r="AA48" s="1245">
        <f t="shared" si="344"/>
        <v>33.665000000000013</v>
      </c>
      <c r="AB48" s="1247">
        <f t="shared" si="344"/>
        <v>33.665000000000013</v>
      </c>
      <c r="AC48" s="1247">
        <f t="shared" si="344"/>
        <v>33.665000000000013</v>
      </c>
      <c r="AD48" s="1251">
        <f t="shared" si="344"/>
        <v>33.665000000000013</v>
      </c>
      <c r="AE48" s="1148">
        <f t="shared" si="344"/>
        <v>33.665000000000013</v>
      </c>
      <c r="AF48" s="782"/>
      <c r="AG48" s="957">
        <f t="shared" si="336"/>
        <v>235.65500000000011</v>
      </c>
      <c r="AH48" s="958"/>
      <c r="AI48" s="959"/>
      <c r="AJ48" s="782"/>
      <c r="AK48" s="1148">
        <f t="shared" ref="AK48:AQ48" si="345">$J$48</f>
        <v>33.665000000000013</v>
      </c>
      <c r="AL48" s="1148">
        <f t="shared" si="345"/>
        <v>33.665000000000013</v>
      </c>
      <c r="AM48" s="1262">
        <f t="shared" si="345"/>
        <v>33.665000000000013</v>
      </c>
      <c r="AN48" s="1262">
        <f t="shared" si="345"/>
        <v>33.665000000000013</v>
      </c>
      <c r="AO48" s="1266">
        <f t="shared" si="345"/>
        <v>33.665000000000013</v>
      </c>
      <c r="AP48" s="1268">
        <f t="shared" si="345"/>
        <v>33.665000000000013</v>
      </c>
      <c r="AQ48" s="1148">
        <f t="shared" si="345"/>
        <v>33.665000000000013</v>
      </c>
      <c r="AR48" s="782"/>
      <c r="AS48" s="957">
        <f t="shared" si="338"/>
        <v>235.65500000000011</v>
      </c>
      <c r="AT48" s="958"/>
      <c r="AU48" s="959"/>
      <c r="AV48" s="782"/>
      <c r="AW48" s="1148">
        <f t="shared" ref="AW48:BC48" si="346">$J$48</f>
        <v>33.665000000000013</v>
      </c>
      <c r="AX48" s="1276">
        <f t="shared" si="346"/>
        <v>33.665000000000013</v>
      </c>
      <c r="AY48" s="1277">
        <f t="shared" si="346"/>
        <v>33.665000000000013</v>
      </c>
      <c r="AZ48" s="1277">
        <f t="shared" si="346"/>
        <v>33.665000000000013</v>
      </c>
      <c r="BA48" s="1280">
        <f t="shared" si="346"/>
        <v>33.665000000000013</v>
      </c>
      <c r="BB48" s="1148">
        <f t="shared" si="346"/>
        <v>33.665000000000013</v>
      </c>
      <c r="BC48" s="1148">
        <f t="shared" si="346"/>
        <v>33.665000000000013</v>
      </c>
      <c r="BD48" s="782"/>
      <c r="BE48" s="957">
        <f t="shared" si="340"/>
        <v>235.65500000000011</v>
      </c>
      <c r="BF48" s="958"/>
      <c r="BG48" s="959"/>
      <c r="BH48" s="1157"/>
      <c r="BI48" s="40">
        <f t="shared" ref="BI48:BJ48" si="347">$J$48</f>
        <v>33.665000000000013</v>
      </c>
      <c r="BJ48" s="1148">
        <f t="shared" si="347"/>
        <v>33.665000000000013</v>
      </c>
      <c r="BK48" s="1157"/>
      <c r="BL48" s="957">
        <f t="shared" si="342"/>
        <v>67.330000000000027</v>
      </c>
      <c r="BM48" s="958"/>
      <c r="BN48" s="959"/>
      <c r="BO48" s="255"/>
      <c r="BP48" s="40">
        <f>SUM(M48:S48)+SUM(Y48:AE48)+SUM(AK48:AQ48)+SUM(AW48:BC48)+SUM(BI48:BJ48)</f>
        <v>1009.9500000000005</v>
      </c>
      <c r="BQ48" s="51">
        <f>BP48/E48</f>
        <v>1</v>
      </c>
      <c r="BR48" s="255"/>
      <c r="BS48" s="583"/>
      <c r="BT48" s="584"/>
      <c r="BU48" s="411"/>
      <c r="BV48" s="255"/>
    </row>
    <row r="49" spans="2:74" s="81" customFormat="1" ht="4.5" customHeight="1" thickBot="1" x14ac:dyDescent="0.25">
      <c r="B49" s="1156"/>
      <c r="C49" s="1156"/>
      <c r="E49" s="1153"/>
      <c r="F49" s="1153"/>
      <c r="G49" s="1153"/>
      <c r="H49" s="1153"/>
      <c r="I49" s="1153"/>
      <c r="J49" s="1153"/>
      <c r="K49" s="1089"/>
      <c r="L49" s="62"/>
      <c r="M49" s="1153"/>
      <c r="N49" s="1153"/>
      <c r="O49" s="1153"/>
      <c r="P49" s="1219"/>
      <c r="Q49" s="1235"/>
      <c r="R49" s="1235"/>
      <c r="S49" s="1237"/>
      <c r="T49" s="1157"/>
      <c r="U49" s="1157"/>
      <c r="V49" s="1157"/>
      <c r="W49" s="1157"/>
      <c r="X49" s="1157"/>
      <c r="Y49" s="1153"/>
      <c r="Z49" s="1153"/>
      <c r="AA49" s="1246"/>
      <c r="AB49" s="1249"/>
      <c r="AC49" s="1249"/>
      <c r="AD49" s="1252"/>
      <c r="AE49" s="1153"/>
      <c r="AF49" s="1157"/>
      <c r="AG49" s="1157"/>
      <c r="AH49" s="1157"/>
      <c r="AI49" s="1157"/>
      <c r="AJ49" s="1157"/>
      <c r="AK49" s="1153"/>
      <c r="AL49" s="1153"/>
      <c r="AM49" s="1264"/>
      <c r="AN49" s="1264"/>
      <c r="AO49" s="1267"/>
      <c r="AP49" s="1270"/>
      <c r="AQ49" s="1153"/>
      <c r="AR49" s="1157"/>
      <c r="AS49" s="1157"/>
      <c r="AT49" s="1157"/>
      <c r="AU49" s="1157"/>
      <c r="AV49" s="1157"/>
      <c r="AW49" s="1153"/>
      <c r="AX49" s="1153"/>
      <c r="AY49" s="1279"/>
      <c r="AZ49" s="1279"/>
      <c r="BA49" s="1282"/>
      <c r="BB49" s="1153"/>
      <c r="BC49" s="1153"/>
      <c r="BD49" s="1157"/>
      <c r="BE49" s="1157"/>
      <c r="BF49" s="1157"/>
      <c r="BG49" s="1157"/>
      <c r="BH49" s="1157"/>
      <c r="BI49" s="1153"/>
      <c r="BJ49" s="1153"/>
      <c r="BK49" s="1157"/>
      <c r="BL49" s="1157"/>
      <c r="BM49" s="1157"/>
      <c r="BN49" s="1157"/>
      <c r="BO49" s="255"/>
      <c r="BP49" s="1153"/>
      <c r="BQ49" s="1090"/>
      <c r="BR49" s="255"/>
      <c r="BS49" s="1157"/>
      <c r="BT49" s="411"/>
      <c r="BU49" s="411"/>
      <c r="BV49" s="255"/>
    </row>
    <row r="50" spans="2:74" ht="15.75" thickBot="1" x14ac:dyDescent="0.25">
      <c r="B50" s="1092"/>
      <c r="C50" s="1093" t="s">
        <v>154</v>
      </c>
      <c r="D50" s="1094"/>
      <c r="E50" s="1095"/>
      <c r="F50" s="1096"/>
      <c r="G50" s="1096"/>
      <c r="H50" s="1096"/>
      <c r="I50" s="1096"/>
      <c r="J50" s="1096"/>
      <c r="K50" s="1097"/>
      <c r="L50" s="1098"/>
      <c r="M50" s="1099">
        <f>IF(M45&gt;$J$47,M45-M47,IF(M45&lt;$J$47,(IF(M45&lt;0,-10.1,M45-M47))))</f>
        <v>-10.1</v>
      </c>
      <c r="N50" s="1095">
        <f>IF(N45&gt;$J$47,N45-N47,IF(N45&lt;$J$47,(IF(N45&lt;0,-10.1,N45-N47))))</f>
        <v>-10.1</v>
      </c>
      <c r="O50" s="1095">
        <f t="shared" ref="O50:R50" si="348">IF(O45&gt;$J$47,O45-O47,IF(O45&lt;$J$47,(IF(O45&lt;0,-10.1,O45-O47))))</f>
        <v>-10.1</v>
      </c>
      <c r="P50" s="1095">
        <f t="shared" si="348"/>
        <v>-10.1</v>
      </c>
      <c r="Q50" s="1095">
        <f t="shared" si="348"/>
        <v>-10.1</v>
      </c>
      <c r="R50" s="1095">
        <f t="shared" si="348"/>
        <v>-10.1</v>
      </c>
      <c r="S50" s="1100">
        <f t="shared" ref="S50" si="349">IF(S45&gt;$J$47,S45-S47,IF(S45&lt;$J$47,(IF(S45&lt;0,-10.1,S45-S47))))</f>
        <v>-10.1</v>
      </c>
      <c r="T50" s="481"/>
      <c r="U50" s="1099">
        <f>SUM(M50:S50)</f>
        <v>-70.7</v>
      </c>
      <c r="V50" s="1095"/>
      <c r="W50" s="1100"/>
      <c r="X50" s="481"/>
      <c r="Y50" s="1099">
        <f t="shared" ref="Y50" si="350">IF(Y45&gt;$J$47,Y45-Y47,IF(Y45&lt;$J$47,(IF(Y45&lt;0,-10.1,Y45-Y47))))</f>
        <v>-10.1</v>
      </c>
      <c r="Z50" s="1096">
        <f t="shared" ref="Z50:AA50" si="351">IF(Z45&gt;$J$47,Z45-Z47,IF(Z45&lt;$J$47,(IF(Z45&lt;0,-10.1,Z45-Z47))))</f>
        <v>-10.1</v>
      </c>
      <c r="AA50" s="1096">
        <f t="shared" si="351"/>
        <v>-10.1</v>
      </c>
      <c r="AB50" s="1096">
        <f t="shared" ref="AB50:AC50" si="352">IF(AB45&gt;$J$47,AB45-AB47,IF(AB45&lt;$J$47,(IF(AB45&lt;0,-10.1,AB45-AB47))))</f>
        <v>-10.1</v>
      </c>
      <c r="AC50" s="1096">
        <f t="shared" si="352"/>
        <v>-10.1</v>
      </c>
      <c r="AD50" s="1096">
        <f t="shared" ref="AD50" si="353">IF(AD45&gt;$J$47,AD45-AD47,IF(AD45&lt;$J$47,(IF(AD45&lt;0,-10.1,AD45-AD47))))</f>
        <v>-10.1</v>
      </c>
      <c r="AE50" s="1100">
        <f t="shared" ref="AE50" si="354">IF(AE45&gt;$J$47,AE45-AE47,IF(AE45&lt;$J$47,(IF(AE45&lt;0,-10.1,AE45-AE47))))</f>
        <v>-10.1</v>
      </c>
      <c r="AF50" s="481"/>
      <c r="AG50" s="1099">
        <f>SUM(Y50:AE50)</f>
        <v>-70.7</v>
      </c>
      <c r="AH50" s="1095"/>
      <c r="AI50" s="1100"/>
      <c r="AJ50" s="781"/>
      <c r="AK50" s="1099">
        <f t="shared" ref="AK50" si="355">IF(AK45&gt;$J$47,AK45-AK47,IF(AK45&lt;$J$47,(IF(AK45&lt;0,-10.1,AK45-AK47))))</f>
        <v>-10.1</v>
      </c>
      <c r="AL50" s="1095">
        <f t="shared" ref="AL50:AN50" si="356">IF(AL45&gt;$J$47,AL45-AL47,IF(AL45&lt;$J$47,(IF(AL45&lt;0,-10.1,AL45-AL47))))</f>
        <v>-10.1</v>
      </c>
      <c r="AM50" s="1095">
        <f t="shared" si="356"/>
        <v>-10.1</v>
      </c>
      <c r="AN50" s="1095">
        <f t="shared" si="356"/>
        <v>-10.1</v>
      </c>
      <c r="AO50" s="1095">
        <f t="shared" ref="AO50:AP50" si="357">IF(AO45&gt;$J$47,AO45-AO47,IF(AO45&lt;$J$47,(IF(AO45&lt;0,-10.1,AO45-AO47))))</f>
        <v>-10.1</v>
      </c>
      <c r="AP50" s="1095">
        <f t="shared" si="357"/>
        <v>-10.1</v>
      </c>
      <c r="AQ50" s="1095">
        <f t="shared" ref="AQ50" si="358">IF(AQ45&gt;$J$47,AQ45-AQ47,IF(AQ45&lt;$J$47,(IF(AQ45&lt;0,-10.1,AQ45-AQ47))))</f>
        <v>-10.1</v>
      </c>
      <c r="AR50" s="1101"/>
      <c r="AS50" s="1099">
        <f t="shared" si="338"/>
        <v>-70.7</v>
      </c>
      <c r="AT50" s="1095"/>
      <c r="AU50" s="1100"/>
      <c r="AV50" s="481"/>
      <c r="AW50" s="1099">
        <f t="shared" ref="AW50:AX50" si="359">IF(AW45&gt;$J$47,AW45-AW47,IF(AW45&lt;$J$47,(IF(AW45&lt;0,-10.1,AW45-AW47))))</f>
        <v>-10.1</v>
      </c>
      <c r="AX50" s="1096">
        <f t="shared" si="359"/>
        <v>-10.1</v>
      </c>
      <c r="AY50" s="1096">
        <f t="shared" ref="AY50:AZ50" si="360">IF(AY45&gt;$J$47,AY45-AY47,IF(AY45&lt;$J$47,(IF(AY45&lt;0,-10.1,AY45-AY47))))</f>
        <v>-10.1</v>
      </c>
      <c r="AZ50" s="1096">
        <f t="shared" si="360"/>
        <v>-10.1</v>
      </c>
      <c r="BA50" s="1096">
        <f t="shared" ref="BA50" si="361">IF(BA45&gt;$J$47,BA45-BA47,IF(BA45&lt;$J$47,(IF(BA45&lt;0,-10.1,BA45-BA47))))</f>
        <v>-10.1</v>
      </c>
      <c r="BB50" s="1096">
        <f t="shared" ref="BB50:BC50" si="362">IF(BB45&gt;$J$47,BB45-BB47,IF(BB45&lt;$J$47,(IF(BB45&lt;0,-10.1,BB45-BB47))))</f>
        <v>-10.1</v>
      </c>
      <c r="BC50" s="1096">
        <f t="shared" si="362"/>
        <v>-10.1</v>
      </c>
      <c r="BD50" s="481"/>
      <c r="BE50" s="1099">
        <f t="shared" si="340"/>
        <v>-70.7</v>
      </c>
      <c r="BF50" s="1095"/>
      <c r="BG50" s="1100"/>
      <c r="BI50" s="1099">
        <f t="shared" ref="BI50" si="363">IF(BI45&gt;$J$47,BI45-BI47,IF(BI45&lt;$J$47,(IF(BI45&lt;0,-10.1,BI45-BI47))))</f>
        <v>-10.1</v>
      </c>
      <c r="BJ50" s="1102">
        <f t="shared" ref="BJ50" si="364">IF(BJ45&gt;$J$47,BJ45-BJ47,IF(BJ45&lt;$J$47,(IF(BJ45&lt;0,-10.1,BJ45-BJ47))))</f>
        <v>-10.1</v>
      </c>
      <c r="BK50" s="1103"/>
      <c r="BL50" s="1104">
        <f>SUM(BI50:BJ50)</f>
        <v>-20.2</v>
      </c>
      <c r="BM50" s="1133"/>
      <c r="BN50" s="1132"/>
      <c r="BO50" s="14"/>
      <c r="BP50" s="1104">
        <f>SUM(M50:S50)+SUM(Y50:AE50)+SUM(AK50:AQ50)+SUM(AW50:BC50)+SUM(BI50:BJ50)</f>
        <v>-303</v>
      </c>
      <c r="BQ50" s="1105">
        <f>BP50/E47</f>
        <v>-1.000049507401356</v>
      </c>
    </row>
    <row r="51" spans="2:74" s="426" customFormat="1" ht="15.75" thickBot="1" x14ac:dyDescent="0.25">
      <c r="B51" s="438"/>
      <c r="C51" s="438"/>
      <c r="D51" s="438"/>
      <c r="E51" s="479"/>
      <c r="F51" s="479"/>
      <c r="G51" s="479"/>
      <c r="H51" s="479"/>
      <c r="I51" s="479"/>
      <c r="J51" s="479"/>
      <c r="K51" s="1088"/>
      <c r="L51" s="987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79"/>
      <c r="AI51" s="479"/>
      <c r="AJ51" s="479"/>
      <c r="AK51" s="479"/>
      <c r="AL51" s="479"/>
      <c r="AM51" s="479"/>
      <c r="AN51" s="479"/>
      <c r="AO51" s="479"/>
      <c r="AP51" s="479"/>
      <c r="AQ51" s="479"/>
      <c r="AR51" s="479"/>
      <c r="AS51" s="479"/>
      <c r="AT51" s="479"/>
      <c r="AU51" s="479"/>
      <c r="AV51" s="479"/>
      <c r="AW51" s="479"/>
      <c r="AX51" s="479"/>
      <c r="AY51" s="479"/>
      <c r="AZ51" s="479"/>
      <c r="BA51" s="479"/>
      <c r="BB51" s="479"/>
      <c r="BC51" s="479"/>
      <c r="BD51" s="479"/>
      <c r="BE51" s="479"/>
      <c r="BF51" s="479"/>
      <c r="BG51" s="479"/>
      <c r="BH51" s="479"/>
      <c r="BI51" s="479"/>
      <c r="BJ51" s="479"/>
      <c r="BK51" s="479"/>
      <c r="BL51" s="479"/>
      <c r="BM51" s="479"/>
      <c r="BN51" s="479"/>
      <c r="BO51" s="479"/>
      <c r="BP51" s="479"/>
      <c r="BQ51" s="480"/>
    </row>
    <row r="52" spans="2:74" s="1152" customFormat="1" ht="15.75" thickBot="1" x14ac:dyDescent="0.25">
      <c r="B52" s="616"/>
      <c r="C52" s="1134" t="s">
        <v>97</v>
      </c>
      <c r="E52" s="933">
        <f>E31*100/30</f>
        <v>3726.7166666666662</v>
      </c>
      <c r="F52" s="645">
        <f t="shared" si="330"/>
        <v>372.67166666666662</v>
      </c>
      <c r="G52" s="648">
        <f t="shared" ref="G52:G54" si="365">E52/15</f>
        <v>248.44777777777776</v>
      </c>
      <c r="H52" s="652">
        <f>E52/20</f>
        <v>186.33583333333331</v>
      </c>
      <c r="I52" s="656">
        <f t="shared" ref="I52:I54" si="366">E52/25</f>
        <v>149.06866666666664</v>
      </c>
      <c r="J52" s="660">
        <f>E52/30</f>
        <v>124.22388888888888</v>
      </c>
      <c r="K52" s="1135">
        <f>J52*30%</f>
        <v>37.267166666666661</v>
      </c>
      <c r="L52" s="1098"/>
      <c r="M52" s="623">
        <f t="shared" ref="M52:S52" si="367">IF(M33&gt;0,"0.000",M33)</f>
        <v>-8.0921666666666709</v>
      </c>
      <c r="N52" s="1136">
        <f t="shared" si="367"/>
        <v>-8.8721666666666685</v>
      </c>
      <c r="O52" s="1136" t="str">
        <f t="shared" si="367"/>
        <v>0.000</v>
      </c>
      <c r="P52" s="1136" t="str">
        <f t="shared" si="367"/>
        <v>0.000</v>
      </c>
      <c r="Q52" s="1136">
        <f t="shared" si="367"/>
        <v>-26.24216666666667</v>
      </c>
      <c r="R52" s="1136">
        <f t="shared" si="367"/>
        <v>-0.45716666666666583</v>
      </c>
      <c r="S52" s="622">
        <f t="shared" si="367"/>
        <v>-10.31216666666667</v>
      </c>
      <c r="T52" s="14"/>
      <c r="U52" s="623">
        <f t="shared" si="10"/>
        <v>-53.975833333333341</v>
      </c>
      <c r="V52" s="1136">
        <f>U42+U52</f>
        <v>-2.6001666666666878</v>
      </c>
      <c r="W52" s="622"/>
      <c r="X52" s="14"/>
      <c r="Y52" s="623" t="str">
        <f t="shared" ref="Y52:AE52" si="368">IF(Y33&gt;0,"0.000",Y33)</f>
        <v>0.000</v>
      </c>
      <c r="Z52" s="1136" t="str">
        <f t="shared" si="368"/>
        <v>0.000</v>
      </c>
      <c r="AA52" s="1136">
        <f t="shared" si="368"/>
        <v>-3.2621666666666727</v>
      </c>
      <c r="AB52" s="1136" t="str">
        <f t="shared" si="368"/>
        <v>0.000</v>
      </c>
      <c r="AC52" s="1136">
        <f t="shared" si="368"/>
        <v>-37.267166666666668</v>
      </c>
      <c r="AD52" s="1136" t="str">
        <f t="shared" si="368"/>
        <v>0.000</v>
      </c>
      <c r="AE52" s="622">
        <f t="shared" si="368"/>
        <v>-8.6471666666666671</v>
      </c>
      <c r="AF52" s="14"/>
      <c r="AG52" s="623">
        <f t="shared" ref="AG52:AG55" si="369">SUM(Y52:AE52)</f>
        <v>-49.176500000000004</v>
      </c>
      <c r="AH52" s="1136">
        <f>AG42+AG52</f>
        <v>-4.5901666666666827</v>
      </c>
      <c r="AI52" s="622"/>
      <c r="AJ52" s="14"/>
      <c r="AK52" s="623">
        <f t="shared" ref="AK52:AQ52" si="370">IF(AK33&gt;0,"0.000",AK33)</f>
        <v>-23.467166666666671</v>
      </c>
      <c r="AL52" s="1136">
        <f t="shared" si="370"/>
        <v>-6.4421666666666688</v>
      </c>
      <c r="AM52" s="1136" t="str">
        <f t="shared" si="370"/>
        <v>0.000</v>
      </c>
      <c r="AN52" s="1136">
        <f t="shared" si="370"/>
        <v>-20.467166666666667</v>
      </c>
      <c r="AO52" s="1136">
        <f t="shared" si="370"/>
        <v>-17.82716666666667</v>
      </c>
      <c r="AP52" s="1136" t="str">
        <f t="shared" si="370"/>
        <v>0.000</v>
      </c>
      <c r="AQ52" s="622">
        <f t="shared" si="370"/>
        <v>-14.842166666666667</v>
      </c>
      <c r="AR52" s="14"/>
      <c r="AS52" s="623">
        <f t="shared" ref="AS52:AS55" si="371">SUM(AK52:AQ52)</f>
        <v>-83.045833333333348</v>
      </c>
      <c r="AT52" s="1136">
        <f>AS42+AS52</f>
        <v>-73.100166666666681</v>
      </c>
      <c r="AU52" s="622"/>
      <c r="AV52" s="14"/>
      <c r="AW52" s="623">
        <f t="shared" ref="AW52:BC52" si="372">IF(AW33&gt;0,"0.000",AW33)</f>
        <v>-14.842166666666667</v>
      </c>
      <c r="AX52" s="1136" t="str">
        <f t="shared" si="372"/>
        <v>0.000</v>
      </c>
      <c r="AY52" s="1136" t="str">
        <f t="shared" si="372"/>
        <v>0.000</v>
      </c>
      <c r="AZ52" s="1136" t="str">
        <f t="shared" si="372"/>
        <v>0.000</v>
      </c>
      <c r="BA52" s="1136">
        <f t="shared" si="372"/>
        <v>-17.467166666666667</v>
      </c>
      <c r="BB52" s="1136" t="str">
        <f t="shared" si="372"/>
        <v>0.000</v>
      </c>
      <c r="BC52" s="622">
        <f t="shared" si="372"/>
        <v>-2.4221666666666692</v>
      </c>
      <c r="BD52" s="14"/>
      <c r="BE52" s="623">
        <f t="shared" ref="BE52:BE55" si="373">SUM(AW52:BC52)</f>
        <v>-34.731500000000004</v>
      </c>
      <c r="BF52" s="1136"/>
      <c r="BG52" s="622"/>
      <c r="BH52" s="14"/>
      <c r="BI52" s="623" t="str">
        <f>IF(BI33&gt;0,"0.000",BI33)</f>
        <v>0.000</v>
      </c>
      <c r="BJ52" s="1136" t="str">
        <f>IF(BJ33&gt;0,"0.000",BJ33)</f>
        <v>0.000</v>
      </c>
      <c r="BK52" s="14"/>
      <c r="BL52" s="623">
        <f t="shared" ref="BL52:BL55" si="374">SUM(BI52:BJ52)</f>
        <v>0</v>
      </c>
      <c r="BM52" s="1136"/>
      <c r="BN52" s="622"/>
      <c r="BO52" s="1150"/>
      <c r="BP52" s="623">
        <f>SUM(M52:S52)+SUM(Y52:AE52)+SUM(AK52:AQ52)+SUM(AW52:BC52)+SUM(BI52:BJ52)</f>
        <v>-220.92966666666669</v>
      </c>
      <c r="BQ52" s="622"/>
      <c r="BR52" s="1150"/>
      <c r="BS52" s="511">
        <f>BS42+BP52</f>
        <v>-42.795000000000044</v>
      </c>
      <c r="BT52" s="29"/>
      <c r="BU52" s="29"/>
    </row>
    <row r="53" spans="2:74" s="255" customFormat="1" ht="15.75" thickBot="1" x14ac:dyDescent="0.25">
      <c r="B53" s="585"/>
      <c r="C53" s="985" t="s">
        <v>97</v>
      </c>
      <c r="D53" s="81"/>
      <c r="E53" s="925">
        <f>E44</f>
        <v>5263.333333333333</v>
      </c>
      <c r="F53" s="97">
        <f t="shared" si="330"/>
        <v>526.33333333333326</v>
      </c>
      <c r="G53" s="649">
        <f t="shared" si="365"/>
        <v>350.88888888888886</v>
      </c>
      <c r="H53" s="653">
        <f t="shared" ref="H53:H54" si="375">E53/20</f>
        <v>263.16666666666663</v>
      </c>
      <c r="I53" s="657">
        <f t="shared" si="366"/>
        <v>210.53333333333333</v>
      </c>
      <c r="J53" s="661">
        <f>E53/30</f>
        <v>175.44444444444443</v>
      </c>
      <c r="K53" s="986">
        <f>J53*30%</f>
        <v>52.633333333333326</v>
      </c>
      <c r="L53" s="987"/>
      <c r="M53" s="911">
        <f t="shared" ref="M53:S53" si="376">IF(M45&gt;0,"0.000",M45)</f>
        <v>-52.633000000000003</v>
      </c>
      <c r="N53" s="40">
        <f t="shared" si="376"/>
        <v>-52.633000000000003</v>
      </c>
      <c r="O53" s="40">
        <f t="shared" si="376"/>
        <v>-34.415500000000009</v>
      </c>
      <c r="P53" s="40">
        <f t="shared" si="376"/>
        <v>-19.475500000000004</v>
      </c>
      <c r="Q53" s="40">
        <f t="shared" si="376"/>
        <v>-52.633000000000003</v>
      </c>
      <c r="R53" s="40">
        <f t="shared" si="376"/>
        <v>-52.633000000000003</v>
      </c>
      <c r="S53" s="586">
        <f t="shared" si="376"/>
        <v>-52.633000000000003</v>
      </c>
      <c r="T53" s="1157"/>
      <c r="U53" s="911">
        <f t="shared" si="10"/>
        <v>-317.05600000000004</v>
      </c>
      <c r="V53" s="40"/>
      <c r="W53" s="586"/>
      <c r="X53" s="1157"/>
      <c r="Y53" s="911">
        <f t="shared" ref="Y53:AE53" si="377">IF(Y45&gt;0,"0.000",Y45)</f>
        <v>-32.450500000000005</v>
      </c>
      <c r="Z53" s="40">
        <f t="shared" si="377"/>
        <v>-49.2455</v>
      </c>
      <c r="AA53" s="40">
        <f t="shared" si="377"/>
        <v>-52.633000000000003</v>
      </c>
      <c r="AB53" s="40">
        <f t="shared" si="377"/>
        <v>-42.005499999999998</v>
      </c>
      <c r="AC53" s="40">
        <f t="shared" si="377"/>
        <v>-52.633000000000003</v>
      </c>
      <c r="AD53" s="40">
        <f t="shared" si="377"/>
        <v>-42.245500000000007</v>
      </c>
      <c r="AE53" s="586">
        <f t="shared" si="377"/>
        <v>-52.633000000000003</v>
      </c>
      <c r="AF53" s="1157"/>
      <c r="AG53" s="911">
        <f t="shared" si="369"/>
        <v>-323.846</v>
      </c>
      <c r="AH53" s="40"/>
      <c r="AI53" s="586"/>
      <c r="AJ53" s="1157"/>
      <c r="AK53" s="911">
        <f t="shared" ref="AK53:AQ53" si="378">IF(AK45&gt;0,"0.000",AK45)</f>
        <v>-52.633000000000003</v>
      </c>
      <c r="AL53" s="40">
        <f t="shared" si="378"/>
        <v>-52.633000000000003</v>
      </c>
      <c r="AM53" s="40">
        <f t="shared" si="378"/>
        <v>-50.660499999999999</v>
      </c>
      <c r="AN53" s="40">
        <f t="shared" si="378"/>
        <v>-52.633000000000003</v>
      </c>
      <c r="AO53" s="40">
        <f t="shared" si="378"/>
        <v>-52.633000000000003</v>
      </c>
      <c r="AP53" s="40">
        <f t="shared" si="378"/>
        <v>-44.660499999999999</v>
      </c>
      <c r="AQ53" s="586">
        <f t="shared" si="378"/>
        <v>-52.633000000000003</v>
      </c>
      <c r="AR53" s="1157"/>
      <c r="AS53" s="911">
        <f t="shared" si="371"/>
        <v>-358.48599999999999</v>
      </c>
      <c r="AT53" s="40"/>
      <c r="AU53" s="586"/>
      <c r="AV53" s="1157"/>
      <c r="AW53" s="911">
        <f t="shared" ref="AW53:BC53" si="379">IF(AW45&gt;0,"0.000",AW45)</f>
        <v>-52.633000000000003</v>
      </c>
      <c r="AX53" s="40">
        <f t="shared" si="379"/>
        <v>-48.740500000000004</v>
      </c>
      <c r="AY53" s="40">
        <f t="shared" si="379"/>
        <v>-27.050500000000007</v>
      </c>
      <c r="AZ53" s="40">
        <f t="shared" si="379"/>
        <v>-51.605499999999999</v>
      </c>
      <c r="BA53" s="40">
        <f t="shared" si="379"/>
        <v>-52.633000000000003</v>
      </c>
      <c r="BB53" s="40">
        <f t="shared" si="379"/>
        <v>-40.955500000000001</v>
      </c>
      <c r="BC53" s="586">
        <f t="shared" si="379"/>
        <v>-52.633000000000003</v>
      </c>
      <c r="BD53" s="1157"/>
      <c r="BE53" s="911">
        <f t="shared" si="373"/>
        <v>-326.25100000000003</v>
      </c>
      <c r="BF53" s="40"/>
      <c r="BG53" s="586"/>
      <c r="BH53" s="1157"/>
      <c r="BI53" s="911">
        <f>IF(BI45&gt;0,"0.000",BI45)</f>
        <v>-49.835499999999996</v>
      </c>
      <c r="BJ53" s="40">
        <f>IF(BJ45&gt;0,"0.000",BJ45)</f>
        <v>-25.3855</v>
      </c>
      <c r="BK53" s="1157"/>
      <c r="BL53" s="911">
        <f t="shared" si="374"/>
        <v>-75.221000000000004</v>
      </c>
      <c r="BM53" s="40"/>
      <c r="BN53" s="586"/>
      <c r="BP53" s="587">
        <f>SUM(M53:S53)+SUM(Y53:AE53)+SUM(AK53:AQ53)+SUM(AW53:BC53)+SUM(BI53:BJ53)</f>
        <v>-1400.8600000000001</v>
      </c>
      <c r="BQ53" s="586"/>
      <c r="BS53" s="742">
        <f>BS3*50%</f>
        <v>1773.7</v>
      </c>
      <c r="BT53" s="743">
        <f>BS53-E31</f>
        <v>655.68500000000017</v>
      </c>
      <c r="BU53" s="744">
        <f>BT53+BP53</f>
        <v>-745.17499999999995</v>
      </c>
    </row>
    <row r="54" spans="2:74" x14ac:dyDescent="0.2">
      <c r="B54" s="1137"/>
      <c r="C54" s="1138" t="s">
        <v>75</v>
      </c>
      <c r="E54" s="927">
        <f>E47*100/30</f>
        <v>1009.9500000000005</v>
      </c>
      <c r="F54" s="99">
        <f t="shared" si="330"/>
        <v>100.99500000000005</v>
      </c>
      <c r="G54" s="1139">
        <f t="shared" si="365"/>
        <v>67.330000000000027</v>
      </c>
      <c r="H54" s="1140">
        <f t="shared" si="375"/>
        <v>50.497500000000024</v>
      </c>
      <c r="I54" s="1141">
        <f t="shared" si="366"/>
        <v>40.398000000000017</v>
      </c>
      <c r="J54" s="1142">
        <f>E54/30</f>
        <v>33.665000000000013</v>
      </c>
      <c r="K54" s="497">
        <f>J54*30%</f>
        <v>10.099500000000004</v>
      </c>
      <c r="L54" s="1098"/>
      <c r="M54" s="937">
        <f t="shared" ref="M54:S54" si="380">IF(M50&gt;0,"0.000",M50)</f>
        <v>-10.1</v>
      </c>
      <c r="N54" s="5">
        <f t="shared" si="380"/>
        <v>-10.1</v>
      </c>
      <c r="O54" s="5">
        <f t="shared" si="380"/>
        <v>-10.1</v>
      </c>
      <c r="P54" s="5">
        <f t="shared" si="380"/>
        <v>-10.1</v>
      </c>
      <c r="Q54" s="5">
        <f t="shared" si="380"/>
        <v>-10.1</v>
      </c>
      <c r="R54" s="5">
        <f t="shared" si="380"/>
        <v>-10.1</v>
      </c>
      <c r="S54" s="1143">
        <f t="shared" si="380"/>
        <v>-10.1</v>
      </c>
      <c r="T54" s="14"/>
      <c r="U54" s="937">
        <f t="shared" si="10"/>
        <v>-70.7</v>
      </c>
      <c r="V54" s="5"/>
      <c r="W54" s="1143"/>
      <c r="X54" s="14"/>
      <c r="Y54" s="937">
        <f t="shared" ref="Y54:AE54" si="381">IF(Y50&gt;0,"0.000",Y50)</f>
        <v>-10.1</v>
      </c>
      <c r="Z54" s="5">
        <f t="shared" si="381"/>
        <v>-10.1</v>
      </c>
      <c r="AA54" s="5">
        <f t="shared" si="381"/>
        <v>-10.1</v>
      </c>
      <c r="AB54" s="5">
        <f t="shared" si="381"/>
        <v>-10.1</v>
      </c>
      <c r="AC54" s="5">
        <f t="shared" si="381"/>
        <v>-10.1</v>
      </c>
      <c r="AD54" s="5">
        <f t="shared" si="381"/>
        <v>-10.1</v>
      </c>
      <c r="AE54" s="1143">
        <f t="shared" si="381"/>
        <v>-10.1</v>
      </c>
      <c r="AF54" s="14"/>
      <c r="AG54" s="937">
        <f t="shared" si="369"/>
        <v>-70.7</v>
      </c>
      <c r="AH54" s="5"/>
      <c r="AI54" s="1143"/>
      <c r="AJ54" s="14"/>
      <c r="AK54" s="937">
        <f t="shared" ref="AK54:AQ54" si="382">IF(AK50&gt;0,"0.000",AK50)</f>
        <v>-10.1</v>
      </c>
      <c r="AL54" s="5">
        <f t="shared" si="382"/>
        <v>-10.1</v>
      </c>
      <c r="AM54" s="5">
        <f t="shared" si="382"/>
        <v>-10.1</v>
      </c>
      <c r="AN54" s="5">
        <f t="shared" si="382"/>
        <v>-10.1</v>
      </c>
      <c r="AO54" s="5">
        <f t="shared" si="382"/>
        <v>-10.1</v>
      </c>
      <c r="AP54" s="5">
        <f t="shared" si="382"/>
        <v>-10.1</v>
      </c>
      <c r="AQ54" s="1143">
        <f t="shared" si="382"/>
        <v>-10.1</v>
      </c>
      <c r="AR54" s="14"/>
      <c r="AS54" s="937">
        <f t="shared" si="371"/>
        <v>-70.7</v>
      </c>
      <c r="AT54" s="5"/>
      <c r="AU54" s="1143"/>
      <c r="AV54" s="14"/>
      <c r="AW54" s="937">
        <f t="shared" ref="AW54:BC54" si="383">IF(AW50&gt;0,"0.000",AW50)</f>
        <v>-10.1</v>
      </c>
      <c r="AX54" s="5">
        <f t="shared" si="383"/>
        <v>-10.1</v>
      </c>
      <c r="AY54" s="5">
        <f t="shared" si="383"/>
        <v>-10.1</v>
      </c>
      <c r="AZ54" s="5">
        <f t="shared" si="383"/>
        <v>-10.1</v>
      </c>
      <c r="BA54" s="5">
        <f t="shared" si="383"/>
        <v>-10.1</v>
      </c>
      <c r="BB54" s="5">
        <f t="shared" si="383"/>
        <v>-10.1</v>
      </c>
      <c r="BC54" s="1143">
        <f t="shared" si="383"/>
        <v>-10.1</v>
      </c>
      <c r="BD54" s="14"/>
      <c r="BE54" s="937">
        <f t="shared" si="373"/>
        <v>-70.7</v>
      </c>
      <c r="BF54" s="5"/>
      <c r="BG54" s="1143"/>
      <c r="BH54" s="14"/>
      <c r="BI54" s="937">
        <f>IF(BI50&gt;0,"0.000",BI50)</f>
        <v>-10.1</v>
      </c>
      <c r="BJ54" s="5">
        <f>IF(BJ50&gt;0,"0.000",BJ50)</f>
        <v>-10.1</v>
      </c>
      <c r="BK54" s="14"/>
      <c r="BL54" s="937">
        <f>SUM(BI54:BJ54)</f>
        <v>-20.2</v>
      </c>
      <c r="BM54" s="5"/>
      <c r="BN54" s="1143"/>
      <c r="BP54" s="937">
        <f>SUM(M54:S54)+SUM(Y54:AE54)+SUM(AK54:AQ54)+SUM(AW54:BC54)+SUM(BI54:BJ54)</f>
        <v>-303</v>
      </c>
      <c r="BQ54" s="1143"/>
      <c r="BS54" s="14"/>
      <c r="BT54" s="182"/>
      <c r="BU54" s="182"/>
    </row>
    <row r="55" spans="2:74" s="255" customFormat="1" ht="15.75" thickBot="1" x14ac:dyDescent="0.25">
      <c r="B55" s="1001"/>
      <c r="C55" s="1002" t="s">
        <v>152</v>
      </c>
      <c r="D55" s="81"/>
      <c r="E55" s="468"/>
      <c r="F55" s="1003"/>
      <c r="G55" s="1004"/>
      <c r="H55" s="1005"/>
      <c r="I55" s="1006"/>
      <c r="J55" s="1007"/>
      <c r="K55" s="498"/>
      <c r="L55" s="987"/>
      <c r="M55" s="957" t="str">
        <f t="shared" ref="M55:S55" si="384">IF(M50&lt;0,"0.000",M50)</f>
        <v>0.000</v>
      </c>
      <c r="N55" s="1008" t="str">
        <f t="shared" si="384"/>
        <v>0.000</v>
      </c>
      <c r="O55" s="1008" t="str">
        <f t="shared" si="384"/>
        <v>0.000</v>
      </c>
      <c r="P55" s="1008" t="str">
        <f t="shared" si="384"/>
        <v>0.000</v>
      </c>
      <c r="Q55" s="1008" t="str">
        <f t="shared" si="384"/>
        <v>0.000</v>
      </c>
      <c r="R55" s="1008" t="str">
        <f t="shared" si="384"/>
        <v>0.000</v>
      </c>
      <c r="S55" s="1009" t="str">
        <f t="shared" si="384"/>
        <v>0.000</v>
      </c>
      <c r="T55" s="1157"/>
      <c r="U55" s="957">
        <f t="shared" si="10"/>
        <v>0</v>
      </c>
      <c r="V55" s="1008"/>
      <c r="W55" s="1009"/>
      <c r="X55" s="1157"/>
      <c r="Y55" s="957" t="str">
        <f t="shared" ref="Y55:AE55" si="385">IF(Y50&lt;0,"0.000",Y50)</f>
        <v>0.000</v>
      </c>
      <c r="Z55" s="1008" t="str">
        <f t="shared" si="385"/>
        <v>0.000</v>
      </c>
      <c r="AA55" s="1008" t="str">
        <f t="shared" si="385"/>
        <v>0.000</v>
      </c>
      <c r="AB55" s="1008" t="str">
        <f t="shared" si="385"/>
        <v>0.000</v>
      </c>
      <c r="AC55" s="1008" t="str">
        <f t="shared" si="385"/>
        <v>0.000</v>
      </c>
      <c r="AD55" s="1008" t="str">
        <f t="shared" si="385"/>
        <v>0.000</v>
      </c>
      <c r="AE55" s="1009" t="str">
        <f t="shared" si="385"/>
        <v>0.000</v>
      </c>
      <c r="AF55" s="1157"/>
      <c r="AG55" s="957">
        <f t="shared" si="369"/>
        <v>0</v>
      </c>
      <c r="AH55" s="1008"/>
      <c r="AI55" s="1009"/>
      <c r="AJ55" s="1157"/>
      <c r="AK55" s="957" t="str">
        <f t="shared" ref="AK55:AQ55" si="386">IF(AK50&lt;0,"0.000",AK50)</f>
        <v>0.000</v>
      </c>
      <c r="AL55" s="1008" t="str">
        <f t="shared" si="386"/>
        <v>0.000</v>
      </c>
      <c r="AM55" s="1008" t="str">
        <f t="shared" si="386"/>
        <v>0.000</v>
      </c>
      <c r="AN55" s="1008" t="str">
        <f t="shared" si="386"/>
        <v>0.000</v>
      </c>
      <c r="AO55" s="1008" t="str">
        <f t="shared" si="386"/>
        <v>0.000</v>
      </c>
      <c r="AP55" s="1008" t="str">
        <f t="shared" si="386"/>
        <v>0.000</v>
      </c>
      <c r="AQ55" s="1009" t="str">
        <f t="shared" si="386"/>
        <v>0.000</v>
      </c>
      <c r="AR55" s="1157"/>
      <c r="AS55" s="957">
        <f t="shared" si="371"/>
        <v>0</v>
      </c>
      <c r="AT55" s="1008"/>
      <c r="AU55" s="1009"/>
      <c r="AV55" s="1157"/>
      <c r="AW55" s="957" t="str">
        <f t="shared" ref="AW55:BC55" si="387">IF(AW50&lt;0,"0.000",AW50)</f>
        <v>0.000</v>
      </c>
      <c r="AX55" s="1008" t="str">
        <f t="shared" si="387"/>
        <v>0.000</v>
      </c>
      <c r="AY55" s="1008" t="str">
        <f t="shared" si="387"/>
        <v>0.000</v>
      </c>
      <c r="AZ55" s="1008" t="str">
        <f t="shared" si="387"/>
        <v>0.000</v>
      </c>
      <c r="BA55" s="1008" t="str">
        <f t="shared" si="387"/>
        <v>0.000</v>
      </c>
      <c r="BB55" s="1008" t="str">
        <f t="shared" si="387"/>
        <v>0.000</v>
      </c>
      <c r="BC55" s="1009" t="str">
        <f t="shared" si="387"/>
        <v>0.000</v>
      </c>
      <c r="BD55" s="1157"/>
      <c r="BE55" s="957">
        <f t="shared" si="373"/>
        <v>0</v>
      </c>
      <c r="BF55" s="1008"/>
      <c r="BG55" s="1009"/>
      <c r="BH55" s="1157"/>
      <c r="BI55" s="957" t="str">
        <f>IF(BI50&lt;0,"0.000",BI50)</f>
        <v>0.000</v>
      </c>
      <c r="BJ55" s="1008" t="str">
        <f>IF(BJ50&lt;0,"0.000",BJ50)</f>
        <v>0.000</v>
      </c>
      <c r="BK55" s="1157"/>
      <c r="BL55" s="957">
        <f t="shared" si="374"/>
        <v>0</v>
      </c>
      <c r="BM55" s="1008"/>
      <c r="BN55" s="1009"/>
      <c r="BP55" s="957">
        <f>SUM(M55:S55)+SUM(Y55:AE55)+SUM(AK55:AQ55)+SUM(AW55:BC55)+SUM(BI55:BJ55)</f>
        <v>0</v>
      </c>
      <c r="BQ55" s="1009"/>
      <c r="BS55" s="1157"/>
      <c r="BT55" s="975"/>
      <c r="BU55" s="975"/>
    </row>
    <row r="56" spans="2:74" s="255" customFormat="1" ht="4.5" customHeight="1" thickBot="1" x14ac:dyDescent="0.25">
      <c r="D56" s="81"/>
      <c r="K56" s="1091"/>
      <c r="L56" s="62"/>
      <c r="T56" s="81"/>
      <c r="X56" s="81"/>
      <c r="AF56" s="81"/>
      <c r="AJ56" s="81"/>
      <c r="AR56" s="81"/>
      <c r="AV56" s="81"/>
      <c r="BD56" s="81"/>
    </row>
    <row r="57" spans="2:74" ht="15.75" thickBot="1" x14ac:dyDescent="0.25">
      <c r="B57" s="1092"/>
      <c r="C57" s="1093"/>
      <c r="D57" s="1094"/>
      <c r="E57" s="1095">
        <f>SUM(E52:E55)</f>
        <v>10000</v>
      </c>
      <c r="F57" s="1096"/>
      <c r="G57" s="1096"/>
      <c r="H57" s="1096"/>
      <c r="I57" s="1096"/>
      <c r="J57" s="1096">
        <f>E57/30</f>
        <v>333.33333333333331</v>
      </c>
      <c r="K57" s="1097">
        <f>J57*30%</f>
        <v>99.999999999999986</v>
      </c>
      <c r="L57" s="1098"/>
      <c r="M57" s="1099">
        <f>SUM(M52:M55)</f>
        <v>-70.825166666666675</v>
      </c>
      <c r="N57" s="1095">
        <f t="shared" ref="N57:S57" si="388">SUM(N52:N55)</f>
        <v>-71.605166666666662</v>
      </c>
      <c r="O57" s="1095">
        <f t="shared" si="388"/>
        <v>-44.51550000000001</v>
      </c>
      <c r="P57" s="1095">
        <f t="shared" si="388"/>
        <v>-29.575500000000005</v>
      </c>
      <c r="Q57" s="1095">
        <f t="shared" si="388"/>
        <v>-88.975166666666667</v>
      </c>
      <c r="R57" s="1095">
        <f t="shared" si="388"/>
        <v>-63.19016666666667</v>
      </c>
      <c r="S57" s="1100">
        <f t="shared" si="388"/>
        <v>-73.045166666666674</v>
      </c>
      <c r="T57" s="481"/>
      <c r="U57" s="1099">
        <f>SUM(M57:S57)</f>
        <v>-441.73183333333338</v>
      </c>
      <c r="V57" s="1095"/>
      <c r="W57" s="1100"/>
      <c r="X57" s="481"/>
      <c r="Y57" s="1099">
        <f t="shared" ref="Y57:AE57" si="389">SUM(Y52:Y55)</f>
        <v>-42.550500000000007</v>
      </c>
      <c r="Z57" s="1095">
        <f t="shared" si="389"/>
        <v>-59.345500000000001</v>
      </c>
      <c r="AA57" s="1095">
        <f t="shared" si="389"/>
        <v>-65.995166666666677</v>
      </c>
      <c r="AB57" s="1095">
        <f t="shared" si="389"/>
        <v>-52.105499999999999</v>
      </c>
      <c r="AC57" s="1095">
        <f t="shared" si="389"/>
        <v>-100.00016666666667</v>
      </c>
      <c r="AD57" s="1095">
        <f t="shared" si="389"/>
        <v>-52.345500000000008</v>
      </c>
      <c r="AE57" s="1100">
        <f t="shared" si="389"/>
        <v>-71.380166666666668</v>
      </c>
      <c r="AF57" s="481"/>
      <c r="AG57" s="1099">
        <f>SUM(Y57:AE57)</f>
        <v>-443.72250000000008</v>
      </c>
      <c r="AH57" s="1095"/>
      <c r="AI57" s="1100"/>
      <c r="AJ57" s="781"/>
      <c r="AK57" s="1099">
        <f t="shared" ref="AK57:AQ57" si="390">SUM(AK52:AK55)</f>
        <v>-86.200166666666661</v>
      </c>
      <c r="AL57" s="1096">
        <f t="shared" si="390"/>
        <v>-69.175166666666669</v>
      </c>
      <c r="AM57" s="1096">
        <f t="shared" si="390"/>
        <v>-60.7605</v>
      </c>
      <c r="AN57" s="1096">
        <f t="shared" si="390"/>
        <v>-83.200166666666661</v>
      </c>
      <c r="AO57" s="1096">
        <f t="shared" si="390"/>
        <v>-80.560166666666674</v>
      </c>
      <c r="AP57" s="1096">
        <f t="shared" si="390"/>
        <v>-54.7605</v>
      </c>
      <c r="AQ57" s="1100">
        <f t="shared" si="390"/>
        <v>-77.575166666666661</v>
      </c>
      <c r="AR57" s="1101"/>
      <c r="AS57" s="1099">
        <f>SUM(AK57:AQ57)</f>
        <v>-512.23183333333327</v>
      </c>
      <c r="AT57" s="1095"/>
      <c r="AU57" s="1100"/>
      <c r="AV57" s="481"/>
      <c r="AW57" s="1099">
        <f t="shared" ref="AW57:BC57" si="391">SUM(AW52:AW55)</f>
        <v>-77.575166666666661</v>
      </c>
      <c r="AX57" s="1096">
        <f t="shared" si="391"/>
        <v>-58.840500000000006</v>
      </c>
      <c r="AY57" s="1096">
        <f t="shared" si="391"/>
        <v>-37.150500000000008</v>
      </c>
      <c r="AZ57" s="1096">
        <f t="shared" si="391"/>
        <v>-61.705500000000001</v>
      </c>
      <c r="BA57" s="1096">
        <f t="shared" si="391"/>
        <v>-80.200166666666661</v>
      </c>
      <c r="BB57" s="1096">
        <f t="shared" si="391"/>
        <v>-51.055500000000002</v>
      </c>
      <c r="BC57" s="1100">
        <f t="shared" si="391"/>
        <v>-65.155166666666673</v>
      </c>
      <c r="BD57" s="481"/>
      <c r="BE57" s="1099">
        <f>SUM(AW57:BC57)</f>
        <v>-431.6825</v>
      </c>
      <c r="BF57" s="1095"/>
      <c r="BG57" s="1100"/>
      <c r="BI57" s="1099">
        <f t="shared" ref="BI57:BJ57" si="392">SUM(BI52:BI55)</f>
        <v>-59.935499999999998</v>
      </c>
      <c r="BJ57" s="1102">
        <f t="shared" si="392"/>
        <v>-35.485500000000002</v>
      </c>
      <c r="BK57" s="1103"/>
      <c r="BL57" s="1104">
        <f>SUM(BI57:BJ57)</f>
        <v>-95.420999999999992</v>
      </c>
      <c r="BM57" s="1133"/>
      <c r="BN57" s="1132"/>
      <c r="BO57" s="14"/>
      <c r="BP57" s="1104">
        <f>SUM(M57:S57)+SUM(Y57:AE57)+SUM(AK57:AQ57)+SUM(AW57:BC57)+SUM(BI57:BJ57)</f>
        <v>-1924.7896666666668</v>
      </c>
      <c r="BQ57" s="1105"/>
    </row>
    <row r="58" spans="2:74" s="255" customFormat="1" ht="4.5" customHeight="1" thickBot="1" x14ac:dyDescent="0.25">
      <c r="D58" s="81"/>
      <c r="L58" s="438"/>
      <c r="T58" s="81"/>
      <c r="X58" s="81"/>
      <c r="AF58" s="81"/>
      <c r="AJ58" s="81"/>
      <c r="AR58" s="81"/>
      <c r="AV58" s="81"/>
      <c r="BD58" s="81"/>
    </row>
    <row r="59" spans="2:74" s="255" customFormat="1" ht="15.75" thickBot="1" x14ac:dyDescent="0.25">
      <c r="B59" s="574"/>
      <c r="C59" s="820"/>
      <c r="D59" s="819"/>
      <c r="E59" s="578">
        <f>E57*30%</f>
        <v>3000</v>
      </c>
      <c r="F59" s="576"/>
      <c r="G59" s="576"/>
      <c r="H59" s="576"/>
      <c r="I59" s="576"/>
      <c r="J59" s="576"/>
      <c r="K59" s="963"/>
      <c r="L59" s="987"/>
      <c r="M59" s="579">
        <f>M57*100/30</f>
        <v>-236.08388888888891</v>
      </c>
      <c r="N59" s="578">
        <f t="shared" ref="N59:T59" si="393">N57*100/30</f>
        <v>-238.68388888888887</v>
      </c>
      <c r="O59" s="578">
        <f t="shared" si="393"/>
        <v>-148.38500000000005</v>
      </c>
      <c r="P59" s="578">
        <f t="shared" si="393"/>
        <v>-98.585000000000022</v>
      </c>
      <c r="Q59" s="578">
        <f t="shared" si="393"/>
        <v>-296.58388888888891</v>
      </c>
      <c r="R59" s="578">
        <f t="shared" si="393"/>
        <v>-210.63388888888892</v>
      </c>
      <c r="S59" s="1010">
        <f t="shared" si="393"/>
        <v>-243.48388888888891</v>
      </c>
      <c r="T59" s="969">
        <f t="shared" si="393"/>
        <v>0</v>
      </c>
      <c r="U59" s="579">
        <f>SUM(M59:S59)</f>
        <v>-1472.4394444444447</v>
      </c>
      <c r="V59" s="578"/>
      <c r="W59" s="788"/>
      <c r="X59" s="479"/>
      <c r="Y59" s="579">
        <f t="shared" ref="Y59:AE59" si="394">Y57*100/30</f>
        <v>-141.83500000000004</v>
      </c>
      <c r="Z59" s="578">
        <f t="shared" si="394"/>
        <v>-197.81833333333333</v>
      </c>
      <c r="AA59" s="578">
        <f t="shared" si="394"/>
        <v>-219.98388888888891</v>
      </c>
      <c r="AB59" s="578">
        <f t="shared" si="394"/>
        <v>-173.685</v>
      </c>
      <c r="AC59" s="578">
        <f t="shared" si="394"/>
        <v>-333.33388888888891</v>
      </c>
      <c r="AD59" s="578">
        <f t="shared" si="394"/>
        <v>-174.48500000000004</v>
      </c>
      <c r="AE59" s="788">
        <f t="shared" si="394"/>
        <v>-237.93388888888887</v>
      </c>
      <c r="AF59" s="479"/>
      <c r="AG59" s="579">
        <f>SUM(Y59:AE59)</f>
        <v>-1479.0750000000003</v>
      </c>
      <c r="AH59" s="578"/>
      <c r="AI59" s="788"/>
      <c r="AJ59" s="779"/>
      <c r="AK59" s="579">
        <f t="shared" ref="AK59:AQ59" si="395">AK57*100/30</f>
        <v>-287.33388888888891</v>
      </c>
      <c r="AL59" s="576">
        <f t="shared" si="395"/>
        <v>-230.58388888888891</v>
      </c>
      <c r="AM59" s="576">
        <f t="shared" si="395"/>
        <v>-202.535</v>
      </c>
      <c r="AN59" s="576">
        <f t="shared" si="395"/>
        <v>-277.33388888888891</v>
      </c>
      <c r="AO59" s="576">
        <f t="shared" si="395"/>
        <v>-268.5338888888889</v>
      </c>
      <c r="AP59" s="576">
        <f t="shared" si="395"/>
        <v>-182.535</v>
      </c>
      <c r="AQ59" s="788">
        <f t="shared" si="395"/>
        <v>-258.58388888888891</v>
      </c>
      <c r="AR59" s="969"/>
      <c r="AS59" s="579">
        <f>SUM(AK59:AQ59)</f>
        <v>-1707.4394444444445</v>
      </c>
      <c r="AT59" s="578"/>
      <c r="AU59" s="788"/>
      <c r="AV59" s="479"/>
      <c r="AW59" s="579">
        <f t="shared" ref="AW59:BC59" si="396">AW57*100/30</f>
        <v>-258.58388888888891</v>
      </c>
      <c r="AX59" s="576">
        <f t="shared" si="396"/>
        <v>-196.13500000000002</v>
      </c>
      <c r="AY59" s="576">
        <f t="shared" si="396"/>
        <v>-123.83500000000002</v>
      </c>
      <c r="AZ59" s="576">
        <f t="shared" si="396"/>
        <v>-205.685</v>
      </c>
      <c r="BA59" s="576">
        <f t="shared" si="396"/>
        <v>-267.33388888888891</v>
      </c>
      <c r="BB59" s="576">
        <f t="shared" si="396"/>
        <v>-170.185</v>
      </c>
      <c r="BC59" s="788">
        <f t="shared" si="396"/>
        <v>-217.1838888888889</v>
      </c>
      <c r="BD59" s="479"/>
      <c r="BE59" s="579">
        <f>SUM(AW59:BC59)</f>
        <v>-1438.9416666666668</v>
      </c>
      <c r="BF59" s="578"/>
      <c r="BG59" s="788"/>
      <c r="BI59" s="579">
        <f t="shared" ref="BI59:BJ59" si="397">BI57*100/30</f>
        <v>-199.785</v>
      </c>
      <c r="BJ59" s="993">
        <f t="shared" si="397"/>
        <v>-118.28500000000001</v>
      </c>
      <c r="BK59" s="990"/>
      <c r="BL59" s="992">
        <f>SUM(BI59:BJ59)</f>
        <v>-318.07</v>
      </c>
      <c r="BM59" s="991"/>
      <c r="BN59" s="989"/>
      <c r="BO59" s="1157"/>
      <c r="BP59" s="992">
        <f>SUM(M59:S59)+SUM(Y59:AE59)+SUM(AK59:AQ59)+SUM(AW59:BC59)+SUM(BI59:BJ59)</f>
        <v>-6415.9655555555555</v>
      </c>
      <c r="BQ59" s="580"/>
    </row>
    <row r="63" spans="2:74" x14ac:dyDescent="0.2">
      <c r="AL63" s="171"/>
    </row>
  </sheetData>
  <sortState xmlns:xlrd2="http://schemas.microsoft.com/office/spreadsheetml/2017/richdata2" ref="C21:K25">
    <sortCondition descending="1" ref="K25"/>
  </sortState>
  <mergeCells count="21">
    <mergeCell ref="BL2:BN2"/>
    <mergeCell ref="C1:C2"/>
    <mergeCell ref="E1:K1"/>
    <mergeCell ref="BO1:BP1"/>
    <mergeCell ref="BQ1:BR1"/>
    <mergeCell ref="E2:K2"/>
    <mergeCell ref="M2:S2"/>
    <mergeCell ref="U2:W2"/>
    <mergeCell ref="Y2:AE2"/>
    <mergeCell ref="AG2:AI2"/>
    <mergeCell ref="AK2:AQ2"/>
    <mergeCell ref="AS2:AU2"/>
    <mergeCell ref="AW2:BC2"/>
    <mergeCell ref="BE2:BG2"/>
    <mergeCell ref="BI2:BJ2"/>
    <mergeCell ref="BP2:BP6"/>
    <mergeCell ref="BQ2:BQ6"/>
    <mergeCell ref="BS7:BT7"/>
    <mergeCell ref="BS34:BT34"/>
    <mergeCell ref="BU35:BU41"/>
    <mergeCell ref="BS1:BU2"/>
  </mergeCells>
  <conditionalFormatting sqref="BQ53">
    <cfRule type="cellIs" dxfId="380" priority="1" operator="greaterThan">
      <formula>0</formula>
    </cfRule>
    <cfRule type="cellIs" dxfId="379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0F00-00002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(4-19)'!BP33:BP33</xm:f>
              <xm:sqref>BP34</xm:sqref>
            </x14:sparkline>
          </x14:sparklines>
        </x14:sparklineGroup>
        <x14:sparklineGroup type="stacked" displayEmptyCellsAs="gap" negative="1" xr2:uid="{00000000-0003-0000-0F00-00002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(4-19)'!M33:M33</xm:f>
              <xm:sqref>M34</xm:sqref>
            </x14:sparkline>
            <x14:sparkline>
              <xm:f>'E&amp;M SHOP INCOME (4-19)'!N33:N33</xm:f>
              <xm:sqref>N34</xm:sqref>
            </x14:sparkline>
            <x14:sparkline>
              <xm:f>'E&amp;M SHOP INCOME (4-19)'!O33:O33</xm:f>
              <xm:sqref>O34</xm:sqref>
            </x14:sparkline>
            <x14:sparkline>
              <xm:f>'E&amp;M SHOP INCOME (4-19)'!P33:P33</xm:f>
              <xm:sqref>P34</xm:sqref>
            </x14:sparkline>
            <x14:sparkline>
              <xm:f>'E&amp;M SHOP INCOME (4-19)'!Q33:Q33</xm:f>
              <xm:sqref>Q34</xm:sqref>
            </x14:sparkline>
            <x14:sparkline>
              <xm:f>'E&amp;M SHOP INCOME (4-19)'!R33:R33</xm:f>
              <xm:sqref>R34</xm:sqref>
            </x14:sparkline>
            <x14:sparkline>
              <xm:f>'E&amp;M SHOP INCOME (4-19)'!S33:S33</xm:f>
              <xm:sqref>S34</xm:sqref>
            </x14:sparkline>
            <x14:sparkline>
              <xm:f>'E&amp;M SHOP INCOME (4-19)'!U33:U33</xm:f>
              <xm:sqref>U34</xm:sqref>
            </x14:sparkline>
            <x14:sparkline>
              <xm:f>'E&amp;M SHOP INCOME (4-19)'!V33:V33</xm:f>
              <xm:sqref>V34</xm:sqref>
            </x14:sparkline>
            <x14:sparkline>
              <xm:f>'E&amp;M SHOP INCOME (4-19)'!W33:W33</xm:f>
              <xm:sqref>W34</xm:sqref>
            </x14:sparkline>
          </x14:sparklines>
        </x14:sparklineGroup>
        <x14:sparklineGroup type="stacked" displayEmptyCellsAs="gap" negative="1" xr2:uid="{00000000-0003-0000-0F00-00002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(4-19)'!BP55:BP55</xm:f>
              <xm:sqref>BQ55</xm:sqref>
            </x14:sparkline>
          </x14:sparklines>
        </x14:sparklineGroup>
        <x14:sparklineGroup type="stacked" displayEmptyCellsAs="gap" negative="1" xr2:uid="{00000000-0003-0000-0F00-00002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(4-19)'!BP54:BP54</xm:f>
              <xm:sqref>BQ54</xm:sqref>
            </x14:sparkline>
          </x14:sparklines>
        </x14:sparklineGroup>
        <x14:sparklineGroup type="stacked" displayEmptyCellsAs="gap" negative="1" xr2:uid="{00000000-0003-0000-0F00-00002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(4-19)'!T50:T50</xm:f>
              <xm:sqref>T51</xm:sqref>
            </x14:sparkline>
          </x14:sparklines>
        </x14:sparklineGroup>
        <x14:sparklineGroup type="stacked" displayEmptyCellsAs="gap" negative="1" xr2:uid="{00000000-0003-0000-0F00-00002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(4-19)'!T45:T45</xm:f>
              <xm:sqref>T46</xm:sqref>
            </x14:sparkline>
          </x14:sparklines>
        </x14:sparklineGroup>
        <x14:sparklineGroup type="stacked" displayEmptyCellsAs="gap" negative="1" xr2:uid="{00000000-0003-0000-0F00-00002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(4-19)'!T33:T33</xm:f>
              <xm:sqref>T34</xm:sqref>
            </x14:sparkline>
          </x14:sparklines>
        </x14:sparklineGroup>
        <x14:sparklineGroup type="stacked" displayEmptyCellsAs="gap" negative="1" xr2:uid="{00000000-0003-0000-0F00-00001F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(4-19)'!X33:X33</xm:f>
              <xm:sqref>X34</xm:sqref>
            </x14:sparkline>
            <x14:sparkline>
              <xm:f>'E&amp;M SHOP INCOME (4-19)'!Y33:Y33</xm:f>
              <xm:sqref>Y34</xm:sqref>
            </x14:sparkline>
            <x14:sparkline>
              <xm:f>'E&amp;M SHOP INCOME (4-19)'!Z33:Z33</xm:f>
              <xm:sqref>Z34</xm:sqref>
            </x14:sparkline>
            <x14:sparkline>
              <xm:f>'E&amp;M SHOP INCOME (4-19)'!AA33:AA33</xm:f>
              <xm:sqref>AA34</xm:sqref>
            </x14:sparkline>
            <x14:sparkline>
              <xm:f>'E&amp;M SHOP INCOME (4-19)'!AB33:AB33</xm:f>
              <xm:sqref>AB34</xm:sqref>
            </x14:sparkline>
            <x14:sparkline>
              <xm:f>'E&amp;M SHOP INCOME (4-19)'!AC33:AC33</xm:f>
              <xm:sqref>AC34</xm:sqref>
            </x14:sparkline>
            <x14:sparkline>
              <xm:f>'E&amp;M SHOP INCOME (4-19)'!AD33:AD33</xm:f>
              <xm:sqref>AD34</xm:sqref>
            </x14:sparkline>
            <x14:sparkline>
              <xm:f>'E&amp;M SHOP INCOME (4-19)'!AE33:AE33</xm:f>
              <xm:sqref>AE34</xm:sqref>
            </x14:sparkline>
            <x14:sparkline>
              <xm:f>'E&amp;M SHOP INCOME (4-19)'!AF33:AF33</xm:f>
              <xm:sqref>AF34</xm:sqref>
            </x14:sparkline>
            <x14:sparkline>
              <xm:f>'E&amp;M SHOP INCOME (4-19)'!AG33:AG33</xm:f>
              <xm:sqref>AG34</xm:sqref>
            </x14:sparkline>
            <x14:sparkline>
              <xm:f>'E&amp;M SHOP INCOME (4-19)'!AH33:AH33</xm:f>
              <xm:sqref>AH34</xm:sqref>
            </x14:sparkline>
            <x14:sparkline>
              <xm:f>'E&amp;M SHOP INCOME (4-19)'!AI33:AI33</xm:f>
              <xm:sqref>AI34</xm:sqref>
            </x14:sparkline>
            <x14:sparkline>
              <xm:f>'E&amp;M SHOP INCOME (4-19)'!AJ33:AJ33</xm:f>
              <xm:sqref>AJ34</xm:sqref>
            </x14:sparkline>
            <x14:sparkline>
              <xm:f>'E&amp;M SHOP INCOME (4-19)'!AK33:AK33</xm:f>
              <xm:sqref>AK34</xm:sqref>
            </x14:sparkline>
            <x14:sparkline>
              <xm:f>'E&amp;M SHOP INCOME (4-19)'!AL33:AL33</xm:f>
              <xm:sqref>AL34</xm:sqref>
            </x14:sparkline>
            <x14:sparkline>
              <xm:f>'E&amp;M SHOP INCOME (4-19)'!AM33:AM33</xm:f>
              <xm:sqref>AM34</xm:sqref>
            </x14:sparkline>
            <x14:sparkline>
              <xm:f>'E&amp;M SHOP INCOME (4-19)'!AN33:AN33</xm:f>
              <xm:sqref>AN34</xm:sqref>
            </x14:sparkline>
            <x14:sparkline>
              <xm:f>'E&amp;M SHOP INCOME (4-19)'!AO33:AO33</xm:f>
              <xm:sqref>AO34</xm:sqref>
            </x14:sparkline>
            <x14:sparkline>
              <xm:f>'E&amp;M SHOP INCOME (4-19)'!AP33:AP33</xm:f>
              <xm:sqref>AP34</xm:sqref>
            </x14:sparkline>
            <x14:sparkline>
              <xm:f>'E&amp;M SHOP INCOME (4-19)'!AQ33:AQ33</xm:f>
              <xm:sqref>AQ34</xm:sqref>
            </x14:sparkline>
            <x14:sparkline>
              <xm:f>'E&amp;M SHOP INCOME (4-19)'!AR33:AR33</xm:f>
              <xm:sqref>AR34</xm:sqref>
            </x14:sparkline>
            <x14:sparkline>
              <xm:f>'E&amp;M SHOP INCOME (4-19)'!AS33:AS33</xm:f>
              <xm:sqref>AS34</xm:sqref>
            </x14:sparkline>
            <x14:sparkline>
              <xm:f>'E&amp;M SHOP INCOME (4-19)'!AT33:AT33</xm:f>
              <xm:sqref>AT34</xm:sqref>
            </x14:sparkline>
            <x14:sparkline>
              <xm:f>'E&amp;M SHOP INCOME (4-19)'!AU33:AU33</xm:f>
              <xm:sqref>AU34</xm:sqref>
            </x14:sparkline>
            <x14:sparkline>
              <xm:f>'E&amp;M SHOP INCOME (4-19)'!AV33:AV33</xm:f>
              <xm:sqref>AV34</xm:sqref>
            </x14:sparkline>
            <x14:sparkline>
              <xm:f>'E&amp;M SHOP INCOME (4-19)'!AW33:AW33</xm:f>
              <xm:sqref>AW34</xm:sqref>
            </x14:sparkline>
            <x14:sparkline>
              <xm:f>'E&amp;M SHOP INCOME (4-19)'!AX33:AX33</xm:f>
              <xm:sqref>AX34</xm:sqref>
            </x14:sparkline>
            <x14:sparkline>
              <xm:f>'E&amp;M SHOP INCOME (4-19)'!AY33:AY33</xm:f>
              <xm:sqref>AY34</xm:sqref>
            </x14:sparkline>
            <x14:sparkline>
              <xm:f>'E&amp;M SHOP INCOME (4-19)'!AZ33:AZ33</xm:f>
              <xm:sqref>AZ34</xm:sqref>
            </x14:sparkline>
            <x14:sparkline>
              <xm:f>'E&amp;M SHOP INCOME (4-19)'!BA33:BA33</xm:f>
              <xm:sqref>BA34</xm:sqref>
            </x14:sparkline>
            <x14:sparkline>
              <xm:f>'E&amp;M SHOP INCOME (4-19)'!BB33:BB33</xm:f>
              <xm:sqref>BB34</xm:sqref>
            </x14:sparkline>
            <x14:sparkline>
              <xm:f>'E&amp;M SHOP INCOME (4-19)'!BC33:BC33</xm:f>
              <xm:sqref>BC34</xm:sqref>
            </x14:sparkline>
            <x14:sparkline>
              <xm:f>'E&amp;M SHOP INCOME (4-19)'!BD33:BD33</xm:f>
              <xm:sqref>BD34</xm:sqref>
            </x14:sparkline>
            <x14:sparkline>
              <xm:f>'E&amp;M SHOP INCOME (4-19)'!BE33:BE33</xm:f>
              <xm:sqref>BE34</xm:sqref>
            </x14:sparkline>
            <x14:sparkline>
              <xm:f>'E&amp;M SHOP INCOME (4-19)'!BF33:BF33</xm:f>
              <xm:sqref>BF34</xm:sqref>
            </x14:sparkline>
            <x14:sparkline>
              <xm:f>'E&amp;M SHOP INCOME (4-19)'!BG33:BG33</xm:f>
              <xm:sqref>BG34</xm:sqref>
            </x14:sparkline>
            <x14:sparkline>
              <xm:f>'E&amp;M SHOP INCOME (4-19)'!BH33:BH33</xm:f>
              <xm:sqref>BH34</xm:sqref>
            </x14:sparkline>
            <x14:sparkline>
              <xm:f>'E&amp;M SHOP INCOME (4-19)'!BI33:BI33</xm:f>
              <xm:sqref>BI34</xm:sqref>
            </x14:sparkline>
            <x14:sparkline>
              <xm:f>'E&amp;M SHOP INCOME (4-19)'!BJ33:BJ33</xm:f>
              <xm:sqref>BJ34</xm:sqref>
            </x14:sparkline>
            <x14:sparkline>
              <xm:f>'E&amp;M SHOP INCOME (4-19)'!BK33:BK33</xm:f>
              <xm:sqref>BK34</xm:sqref>
            </x14:sparkline>
            <x14:sparkline>
              <xm:f>'E&amp;M SHOP INCOME (4-19)'!BL33:BL33</xm:f>
              <xm:sqref>BL34</xm:sqref>
            </x14:sparkline>
            <x14:sparkline>
              <xm:f>'E&amp;M SHOP INCOME (4-19)'!BM33:BM33</xm:f>
              <xm:sqref>BM34</xm:sqref>
            </x14:sparkline>
            <x14:sparkline>
              <xm:f>'E&amp;M SHOP INCOME (4-19)'!BN33:BN33</xm:f>
              <xm:sqref>BN34</xm:sqref>
            </x14:sparkline>
          </x14:sparklines>
        </x14:sparklineGroup>
        <x14:sparklineGroup type="stacked" displayEmptyCellsAs="gap" negative="1" xr2:uid="{00000000-0003-0000-0F00-00001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(4-19)'!BP53:BP53</xm:f>
              <xm:sqref>BQ53</xm:sqref>
            </x14:sparkline>
          </x14:sparklines>
        </x14:sparklineGroup>
        <x14:sparklineGroup type="stacked" displayEmptyCellsAs="gap" negative="1" xr2:uid="{00000000-0003-0000-0F00-00001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(4-19)'!BP52:BP52</xm:f>
              <xm:sqref>BQ52</xm:sqref>
            </x14:sparkline>
          </x14:sparklines>
        </x14:sparklineGroup>
        <x14:sparklineGroup type="stacked" displayEmptyCellsAs="gap" negative="1" xr2:uid="{00000000-0003-0000-0F00-00001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(4-19)'!BO50:BO50</xm:f>
              <xm:sqref>BO51</xm:sqref>
            </x14:sparkline>
          </x14:sparklines>
        </x14:sparklineGroup>
        <x14:sparklineGroup type="stacked" displayEmptyCellsAs="gap" negative="1" xr2:uid="{00000000-0003-0000-0F00-00001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(4-19)'!BO45:BO45</xm:f>
              <xm:sqref>BO46</xm:sqref>
            </x14:sparkline>
          </x14:sparklines>
        </x14:sparklineGroup>
        <x14:sparklineGroup type="stacked" displayEmptyCellsAs="gap" negative="1" xr2:uid="{00000000-0003-0000-0F00-00001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(4-19)'!BO33:BO33</xm:f>
              <xm:sqref>BO34</xm:sqref>
            </x14:sparkline>
          </x14:sparklines>
        </x14:sparklineGroup>
        <x14:sparklineGroup type="stacked" displayEmptyCellsAs="gap" negative="1" xr2:uid="{00000000-0003-0000-0F00-00001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(4-19)'!M45:M45</xm:f>
              <xm:sqref>M46</xm:sqref>
            </x14:sparkline>
            <x14:sparkline>
              <xm:f>'E&amp;M SHOP INCOME (4-19)'!N45:N45</xm:f>
              <xm:sqref>N46</xm:sqref>
            </x14:sparkline>
            <x14:sparkline>
              <xm:f>'E&amp;M SHOP INCOME (4-19)'!O45:O45</xm:f>
              <xm:sqref>O46</xm:sqref>
            </x14:sparkline>
            <x14:sparkline>
              <xm:f>'E&amp;M SHOP INCOME (4-19)'!U45:U45</xm:f>
              <xm:sqref>U46</xm:sqref>
            </x14:sparkline>
            <x14:sparkline>
              <xm:f>'E&amp;M SHOP INCOME (4-19)'!V45:V45</xm:f>
              <xm:sqref>V46</xm:sqref>
            </x14:sparkline>
            <x14:sparkline>
              <xm:f>'E&amp;M SHOP INCOME (4-19)'!W45:W45</xm:f>
              <xm:sqref>W46</xm:sqref>
            </x14:sparkline>
            <x14:sparkline>
              <xm:f>'E&amp;M SHOP INCOME (4-19)'!X45:X45</xm:f>
              <xm:sqref>X46</xm:sqref>
            </x14:sparkline>
            <x14:sparkline>
              <xm:f>'E&amp;M SHOP INCOME (4-19)'!Y45:Y45</xm:f>
              <xm:sqref>Y46</xm:sqref>
            </x14:sparkline>
            <x14:sparkline>
              <xm:f>'E&amp;M SHOP INCOME (4-19)'!Z45:Z45</xm:f>
              <xm:sqref>Z46</xm:sqref>
            </x14:sparkline>
            <x14:sparkline>
              <xm:f>'E&amp;M SHOP INCOME (4-19)'!AE45:AE45</xm:f>
              <xm:sqref>AE46</xm:sqref>
            </x14:sparkline>
            <x14:sparkline>
              <xm:f>'E&amp;M SHOP INCOME (4-19)'!AF45:AF45</xm:f>
              <xm:sqref>AF46</xm:sqref>
            </x14:sparkline>
            <x14:sparkline>
              <xm:f>'E&amp;M SHOP INCOME (4-19)'!AG45:AG45</xm:f>
              <xm:sqref>AG46</xm:sqref>
            </x14:sparkline>
            <x14:sparkline>
              <xm:f>'E&amp;M SHOP INCOME (4-19)'!AH45:AH45</xm:f>
              <xm:sqref>AH46</xm:sqref>
            </x14:sparkline>
            <x14:sparkline>
              <xm:f>'E&amp;M SHOP INCOME (4-19)'!AI45:AI45</xm:f>
              <xm:sqref>AI46</xm:sqref>
            </x14:sparkline>
            <x14:sparkline>
              <xm:f>'E&amp;M SHOP INCOME (4-19)'!AJ45:AJ45</xm:f>
              <xm:sqref>AJ46</xm:sqref>
            </x14:sparkline>
            <x14:sparkline>
              <xm:f>'E&amp;M SHOP INCOME (4-19)'!AK45:AK45</xm:f>
              <xm:sqref>AK46</xm:sqref>
            </x14:sparkline>
            <x14:sparkline>
              <xm:f>'E&amp;M SHOP INCOME (4-19)'!AR45:AR45</xm:f>
              <xm:sqref>AR46</xm:sqref>
            </x14:sparkline>
            <x14:sparkline>
              <xm:f>'E&amp;M SHOP INCOME (4-19)'!AS45:AS45</xm:f>
              <xm:sqref>AS46</xm:sqref>
            </x14:sparkline>
            <x14:sparkline>
              <xm:f>'E&amp;M SHOP INCOME (4-19)'!AT45:AT45</xm:f>
              <xm:sqref>AT46</xm:sqref>
            </x14:sparkline>
            <x14:sparkline>
              <xm:f>'E&amp;M SHOP INCOME (4-19)'!AU45:AU45</xm:f>
              <xm:sqref>AU46</xm:sqref>
            </x14:sparkline>
            <x14:sparkline>
              <xm:f>'E&amp;M SHOP INCOME (4-19)'!AV45:AV45</xm:f>
              <xm:sqref>AV46</xm:sqref>
            </x14:sparkline>
            <x14:sparkline>
              <xm:f>'E&amp;M SHOP INCOME (4-19)'!AW45:AW45</xm:f>
              <xm:sqref>AW46</xm:sqref>
            </x14:sparkline>
            <x14:sparkline>
              <xm:f>'E&amp;M SHOP INCOME (4-19)'!BD45:BD45</xm:f>
              <xm:sqref>BD46</xm:sqref>
            </x14:sparkline>
            <x14:sparkline>
              <xm:f>'E&amp;M SHOP INCOME (4-19)'!BE45:BE45</xm:f>
              <xm:sqref>BE46</xm:sqref>
            </x14:sparkline>
            <x14:sparkline>
              <xm:f>'E&amp;M SHOP INCOME (4-19)'!BF45:BF45</xm:f>
              <xm:sqref>BF46</xm:sqref>
            </x14:sparkline>
            <x14:sparkline>
              <xm:f>'E&amp;M SHOP INCOME (4-19)'!BG45:BG45</xm:f>
              <xm:sqref>BG46</xm:sqref>
            </x14:sparkline>
            <x14:sparkline>
              <xm:f>'E&amp;M SHOP INCOME (4-19)'!BH45:BH45</xm:f>
              <xm:sqref>BH46</xm:sqref>
            </x14:sparkline>
            <x14:sparkline>
              <xm:f>'E&amp;M SHOP INCOME (4-19)'!BI45:BI45</xm:f>
              <xm:sqref>BI46</xm:sqref>
            </x14:sparkline>
            <x14:sparkline>
              <xm:f>'E&amp;M SHOP INCOME (4-19)'!BJ45:BJ45</xm:f>
              <xm:sqref>BJ46</xm:sqref>
            </x14:sparkline>
            <x14:sparkline>
              <xm:f>'E&amp;M SHOP INCOME (4-19)'!BK45:BK45</xm:f>
              <xm:sqref>BK46</xm:sqref>
            </x14:sparkline>
            <x14:sparkline>
              <xm:f>'E&amp;M SHOP INCOME (4-19)'!BL45:BL45</xm:f>
              <xm:sqref>BL46</xm:sqref>
            </x14:sparkline>
            <x14:sparkline>
              <xm:f>'E&amp;M SHOP INCOME (4-19)'!BM45:BM45</xm:f>
              <xm:sqref>BM46</xm:sqref>
            </x14:sparkline>
            <x14:sparkline>
              <xm:f>'E&amp;M SHOP INCOME (4-19)'!BN45:BN45</xm:f>
              <xm:sqref>BN46</xm:sqref>
            </x14:sparkline>
            <x14:sparkline>
              <xm:f>'E&amp;M SHOP INCOME (4-19)'!BP45:BP45</xm:f>
              <xm:sqref>BP46</xm:sqref>
            </x14:sparkline>
            <x14:sparkline>
              <xm:f>'E&amp;M SHOP INCOME (4-19)'!AL45:AL45</xm:f>
              <xm:sqref>AL46</xm:sqref>
            </x14:sparkline>
            <x14:sparkline>
              <xm:f>'E&amp;M SHOP INCOME (4-19)'!AQ45:AQ45</xm:f>
              <xm:sqref>AQ46</xm:sqref>
            </x14:sparkline>
            <x14:sparkline>
              <xm:f>'E&amp;M SHOP INCOME (4-19)'!AX45:AX45</xm:f>
              <xm:sqref>AX46</xm:sqref>
            </x14:sparkline>
            <x14:sparkline>
              <xm:f>'E&amp;M SHOP INCOME (4-19)'!BB45:BB45</xm:f>
              <xm:sqref>BB46</xm:sqref>
            </x14:sparkline>
            <x14:sparkline>
              <xm:f>'E&amp;M SHOP INCOME (4-19)'!BC45:BC45</xm:f>
              <xm:sqref>BC46</xm:sqref>
            </x14:sparkline>
            <x14:sparkline>
              <xm:f>'E&amp;M SHOP INCOME (4-19)'!P45:P45</xm:f>
              <xm:sqref>P46</xm:sqref>
            </x14:sparkline>
            <x14:sparkline>
              <xm:f>'E&amp;M SHOP INCOME (4-19)'!Q45:Q45</xm:f>
              <xm:sqref>Q46</xm:sqref>
            </x14:sparkline>
            <x14:sparkline>
              <xm:f>'E&amp;M SHOP INCOME (4-19)'!R45:R45</xm:f>
              <xm:sqref>R46</xm:sqref>
            </x14:sparkline>
            <x14:sparkline>
              <xm:f>'E&amp;M SHOP INCOME (4-19)'!S45:S45</xm:f>
              <xm:sqref>S46</xm:sqref>
            </x14:sparkline>
            <x14:sparkline>
              <xm:f>'E&amp;M SHOP INCOME (4-19)'!AA45:AA45</xm:f>
              <xm:sqref>AA46</xm:sqref>
            </x14:sparkline>
            <x14:sparkline>
              <xm:f>'E&amp;M SHOP INCOME (4-19)'!AB45:AB45</xm:f>
              <xm:sqref>AB46</xm:sqref>
            </x14:sparkline>
            <x14:sparkline>
              <xm:f>'E&amp;M SHOP INCOME (4-19)'!AC45:AC45</xm:f>
              <xm:sqref>AC46</xm:sqref>
            </x14:sparkline>
            <x14:sparkline>
              <xm:f>'E&amp;M SHOP INCOME (4-19)'!AD45:AD45</xm:f>
              <xm:sqref>AD46</xm:sqref>
            </x14:sparkline>
            <x14:sparkline>
              <xm:f>'E&amp;M SHOP INCOME (4-19)'!AM45:AM45</xm:f>
              <xm:sqref>AM46</xm:sqref>
            </x14:sparkline>
            <x14:sparkline>
              <xm:f>'E&amp;M SHOP INCOME (4-19)'!AN45:AN45</xm:f>
              <xm:sqref>AN46</xm:sqref>
            </x14:sparkline>
            <x14:sparkline>
              <xm:f>'E&amp;M SHOP INCOME (4-19)'!AO45:AO45</xm:f>
              <xm:sqref>AO46</xm:sqref>
            </x14:sparkline>
            <x14:sparkline>
              <xm:f>'E&amp;M SHOP INCOME (4-19)'!AP45:AP45</xm:f>
              <xm:sqref>AP46</xm:sqref>
            </x14:sparkline>
            <x14:sparkline>
              <xm:f>'E&amp;M SHOP INCOME (4-19)'!AY45:AY45</xm:f>
              <xm:sqref>AY46</xm:sqref>
            </x14:sparkline>
            <x14:sparkline>
              <xm:f>'E&amp;M SHOP INCOME (4-19)'!AZ45:AZ45</xm:f>
              <xm:sqref>AZ46</xm:sqref>
            </x14:sparkline>
            <x14:sparkline>
              <xm:f>'E&amp;M SHOP INCOME (4-19)'!BA45:BA45</xm:f>
              <xm:sqref>BA46</xm:sqref>
            </x14:sparkline>
          </x14:sparklines>
        </x14:sparklineGroup>
        <x14:sparklineGroup type="stacked" displayEmptyCellsAs="gap" negative="1" xr2:uid="{00000000-0003-0000-0F00-00001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(4-19)'!M50:M50</xm:f>
              <xm:sqref>M51</xm:sqref>
            </x14:sparkline>
            <x14:sparkline>
              <xm:f>'E&amp;M SHOP INCOME (4-19)'!N50:N50</xm:f>
              <xm:sqref>N51</xm:sqref>
            </x14:sparkline>
            <x14:sparkline>
              <xm:f>'E&amp;M SHOP INCOME (4-19)'!O50:O50</xm:f>
              <xm:sqref>O51</xm:sqref>
            </x14:sparkline>
            <x14:sparkline>
              <xm:f>'E&amp;M SHOP INCOME (4-19)'!P50:P50</xm:f>
              <xm:sqref>P51</xm:sqref>
            </x14:sparkline>
            <x14:sparkline>
              <xm:f>'E&amp;M SHOP INCOME (4-19)'!Q50:Q50</xm:f>
              <xm:sqref>Q51</xm:sqref>
            </x14:sparkline>
            <x14:sparkline>
              <xm:f>'E&amp;M SHOP INCOME (4-19)'!R50:R50</xm:f>
              <xm:sqref>R51</xm:sqref>
            </x14:sparkline>
            <x14:sparkline>
              <xm:f>'E&amp;M SHOP INCOME (4-19)'!S50:S50</xm:f>
              <xm:sqref>S51</xm:sqref>
            </x14:sparkline>
            <x14:sparkline>
              <xm:f>'E&amp;M SHOP INCOME (4-19)'!U50:U50</xm:f>
              <xm:sqref>U51</xm:sqref>
            </x14:sparkline>
            <x14:sparkline>
              <xm:f>'E&amp;M SHOP INCOME (4-19)'!V50:V50</xm:f>
              <xm:sqref>V51</xm:sqref>
            </x14:sparkline>
            <x14:sparkline>
              <xm:f>'E&amp;M SHOP INCOME (4-19)'!W50:W50</xm:f>
              <xm:sqref>W51</xm:sqref>
            </x14:sparkline>
            <x14:sparkline>
              <xm:f>'E&amp;M SHOP INCOME (4-19)'!X50:X50</xm:f>
              <xm:sqref>X51</xm:sqref>
            </x14:sparkline>
            <x14:sparkline>
              <xm:f>'E&amp;M SHOP INCOME (4-19)'!Y50:Y50</xm:f>
              <xm:sqref>Y51</xm:sqref>
            </x14:sparkline>
            <x14:sparkline>
              <xm:f>'E&amp;M SHOP INCOME (4-19)'!Z50:Z50</xm:f>
              <xm:sqref>Z51</xm:sqref>
            </x14:sparkline>
            <x14:sparkline>
              <xm:f>'E&amp;M SHOP INCOME (4-19)'!AA50:AA50</xm:f>
              <xm:sqref>AA51</xm:sqref>
            </x14:sparkline>
            <x14:sparkline>
              <xm:f>'E&amp;M SHOP INCOME (4-19)'!AB50:AB50</xm:f>
              <xm:sqref>AB51</xm:sqref>
            </x14:sparkline>
            <x14:sparkline>
              <xm:f>'E&amp;M SHOP INCOME (4-19)'!AC50:AC50</xm:f>
              <xm:sqref>AC51</xm:sqref>
            </x14:sparkline>
            <x14:sparkline>
              <xm:f>'E&amp;M SHOP INCOME (4-19)'!AD50:AD50</xm:f>
              <xm:sqref>AD51</xm:sqref>
            </x14:sparkline>
            <x14:sparkline>
              <xm:f>'E&amp;M SHOP INCOME (4-19)'!AE50:AE50</xm:f>
              <xm:sqref>AE51</xm:sqref>
            </x14:sparkline>
            <x14:sparkline>
              <xm:f>'E&amp;M SHOP INCOME (4-19)'!AF50:AF50</xm:f>
              <xm:sqref>AF51</xm:sqref>
            </x14:sparkline>
            <x14:sparkline>
              <xm:f>'E&amp;M SHOP INCOME (4-19)'!AG50:AG50</xm:f>
              <xm:sqref>AG51</xm:sqref>
            </x14:sparkline>
            <x14:sparkline>
              <xm:f>'E&amp;M SHOP INCOME (4-19)'!AH50:AH50</xm:f>
              <xm:sqref>AH51</xm:sqref>
            </x14:sparkline>
            <x14:sparkline>
              <xm:f>'E&amp;M SHOP INCOME (4-19)'!AI50:AI50</xm:f>
              <xm:sqref>AI51</xm:sqref>
            </x14:sparkline>
            <x14:sparkline>
              <xm:f>'E&amp;M SHOP INCOME (4-19)'!AJ50:AJ50</xm:f>
              <xm:sqref>AJ51</xm:sqref>
            </x14:sparkline>
            <x14:sparkline>
              <xm:f>'E&amp;M SHOP INCOME (4-19)'!AK50:AK50</xm:f>
              <xm:sqref>AK51</xm:sqref>
            </x14:sparkline>
            <x14:sparkline>
              <xm:f>'E&amp;M SHOP INCOME (4-19)'!AL50:AL50</xm:f>
              <xm:sqref>AL51</xm:sqref>
            </x14:sparkline>
            <x14:sparkline>
              <xm:f>'E&amp;M SHOP INCOME (4-19)'!AM50:AM50</xm:f>
              <xm:sqref>AM51</xm:sqref>
            </x14:sparkline>
            <x14:sparkline>
              <xm:f>'E&amp;M SHOP INCOME (4-19)'!AN50:AN50</xm:f>
              <xm:sqref>AN51</xm:sqref>
            </x14:sparkline>
            <x14:sparkline>
              <xm:f>'E&amp;M SHOP INCOME (4-19)'!AO50:AO50</xm:f>
              <xm:sqref>AO51</xm:sqref>
            </x14:sparkline>
            <x14:sparkline>
              <xm:f>'E&amp;M SHOP INCOME (4-19)'!AP50:AP50</xm:f>
              <xm:sqref>AP51</xm:sqref>
            </x14:sparkline>
            <x14:sparkline>
              <xm:f>'E&amp;M SHOP INCOME (4-19)'!AQ50:AQ50</xm:f>
              <xm:sqref>AQ51</xm:sqref>
            </x14:sparkline>
            <x14:sparkline>
              <xm:f>'E&amp;M SHOP INCOME (4-19)'!AR50:AR50</xm:f>
              <xm:sqref>AR51</xm:sqref>
            </x14:sparkline>
            <x14:sparkline>
              <xm:f>'E&amp;M SHOP INCOME (4-19)'!AS50:AS50</xm:f>
              <xm:sqref>AS51</xm:sqref>
            </x14:sparkline>
            <x14:sparkline>
              <xm:f>'E&amp;M SHOP INCOME (4-19)'!AT50:AT50</xm:f>
              <xm:sqref>AT51</xm:sqref>
            </x14:sparkline>
            <x14:sparkline>
              <xm:f>'E&amp;M SHOP INCOME (4-19)'!AU50:AU50</xm:f>
              <xm:sqref>AU51</xm:sqref>
            </x14:sparkline>
            <x14:sparkline>
              <xm:f>'E&amp;M SHOP INCOME (4-19)'!AV50:AV50</xm:f>
              <xm:sqref>AV51</xm:sqref>
            </x14:sparkline>
            <x14:sparkline>
              <xm:f>'E&amp;M SHOP INCOME (4-19)'!AW50:AW50</xm:f>
              <xm:sqref>AW51</xm:sqref>
            </x14:sparkline>
            <x14:sparkline>
              <xm:f>'E&amp;M SHOP INCOME (4-19)'!AX50:AX50</xm:f>
              <xm:sqref>AX51</xm:sqref>
            </x14:sparkline>
            <x14:sparkline>
              <xm:f>'E&amp;M SHOP INCOME (4-19)'!AY50:AY50</xm:f>
              <xm:sqref>AY51</xm:sqref>
            </x14:sparkline>
            <x14:sparkline>
              <xm:f>'E&amp;M SHOP INCOME (4-19)'!AZ50:AZ50</xm:f>
              <xm:sqref>AZ51</xm:sqref>
            </x14:sparkline>
            <x14:sparkline>
              <xm:f>'E&amp;M SHOP INCOME (4-19)'!BA50:BA50</xm:f>
              <xm:sqref>BA51</xm:sqref>
            </x14:sparkline>
            <x14:sparkline>
              <xm:f>'E&amp;M SHOP INCOME (4-19)'!BB50:BB50</xm:f>
              <xm:sqref>BB51</xm:sqref>
            </x14:sparkline>
            <x14:sparkline>
              <xm:f>'E&amp;M SHOP INCOME (4-19)'!BC50:BC50</xm:f>
              <xm:sqref>BC51</xm:sqref>
            </x14:sparkline>
            <x14:sparkline>
              <xm:f>'E&amp;M SHOP INCOME (4-19)'!BD50:BD50</xm:f>
              <xm:sqref>BD51</xm:sqref>
            </x14:sparkline>
            <x14:sparkline>
              <xm:f>'E&amp;M SHOP INCOME (4-19)'!BE50:BE50</xm:f>
              <xm:sqref>BE51</xm:sqref>
            </x14:sparkline>
            <x14:sparkline>
              <xm:f>'E&amp;M SHOP INCOME (4-19)'!BF50:BF50</xm:f>
              <xm:sqref>BF51</xm:sqref>
            </x14:sparkline>
            <x14:sparkline>
              <xm:f>'E&amp;M SHOP INCOME (4-19)'!BG50:BG50</xm:f>
              <xm:sqref>BG51</xm:sqref>
            </x14:sparkline>
            <x14:sparkline>
              <xm:f>'E&amp;M SHOP INCOME (4-19)'!BH50:BH50</xm:f>
              <xm:sqref>BH51</xm:sqref>
            </x14:sparkline>
            <x14:sparkline>
              <xm:f>'E&amp;M SHOP INCOME (4-19)'!BI50:BI50</xm:f>
              <xm:sqref>BI51</xm:sqref>
            </x14:sparkline>
            <x14:sparkline>
              <xm:f>'E&amp;M SHOP INCOME (4-19)'!BJ50:BJ50</xm:f>
              <xm:sqref>BJ51</xm:sqref>
            </x14:sparkline>
            <x14:sparkline>
              <xm:f>'E&amp;M SHOP INCOME (4-19)'!BK50:BK50</xm:f>
              <xm:sqref>BK51</xm:sqref>
            </x14:sparkline>
            <x14:sparkline>
              <xm:f>'E&amp;M SHOP INCOME (4-19)'!BL50:BL50</xm:f>
              <xm:sqref>BL51</xm:sqref>
            </x14:sparkline>
            <x14:sparkline>
              <xm:f>'E&amp;M SHOP INCOME (4-19)'!BM50:BM50</xm:f>
              <xm:sqref>BM51</xm:sqref>
            </x14:sparkline>
            <x14:sparkline>
              <xm:f>'E&amp;M SHOP INCOME (4-19)'!BN50:BN50</xm:f>
              <xm:sqref>BN51</xm:sqref>
            </x14:sparkline>
            <x14:sparkline>
              <xm:f>'E&amp;M SHOP INCOME (4-19)'!BP50:BP50</xm:f>
              <xm:sqref>BP51</xm:sqref>
            </x14:sparkline>
          </x14:sparklines>
        </x14:sparklineGroup>
        <x14:sparklineGroup type="stacked" displayEmptyCellsAs="gap" negative="1" xr2:uid="{00000000-0003-0000-0F00-00001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(4-19)'!BP33:BP33</xm:f>
              <xm:sqref>BQ33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FP63"/>
  <sheetViews>
    <sheetView zoomScale="80" zoomScaleNormal="80" zoomScaleSheetLayoutView="80" workbookViewId="0">
      <pane xSplit="11" ySplit="6" topLeftCell="BQ7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1286" customWidth="1"/>
    <col min="2" max="2" width="4.75" style="1286" customWidth="1"/>
    <col min="3" max="3" width="42.875" style="1286" bestFit="1" customWidth="1"/>
    <col min="4" max="4" width="0.875" style="1288" customWidth="1"/>
    <col min="5" max="5" width="10" style="1286" bestFit="1" customWidth="1"/>
    <col min="6" max="9" width="11.625" style="1286" hidden="1" customWidth="1"/>
    <col min="10" max="10" width="11.625" style="1286" bestFit="1" customWidth="1"/>
    <col min="11" max="11" width="8.75" style="1286" bestFit="1" customWidth="1"/>
    <col min="12" max="12" width="0.875" style="1288" hidden="1" customWidth="1"/>
    <col min="13" max="19" width="8.875" style="1286" hidden="1" customWidth="1"/>
    <col min="20" max="20" width="0.875" style="1288" customWidth="1"/>
    <col min="21" max="21" width="10" style="1286" bestFit="1" customWidth="1"/>
    <col min="22" max="22" width="7.875" style="1286" bestFit="1" customWidth="1"/>
    <col min="23" max="23" width="9.25" style="1286" bestFit="1" customWidth="1"/>
    <col min="24" max="24" width="0.875" style="1288" hidden="1" customWidth="1"/>
    <col min="25" max="31" width="8.875" style="1286" hidden="1" customWidth="1"/>
    <col min="32" max="32" width="0.875" style="1288" customWidth="1"/>
    <col min="33" max="33" width="10" style="1286" customWidth="1"/>
    <col min="34" max="34" width="7.875" style="1286" customWidth="1"/>
    <col min="35" max="35" width="8.875" style="1286" bestFit="1" customWidth="1"/>
    <col min="36" max="36" width="0.875" style="1288" hidden="1" customWidth="1"/>
    <col min="37" max="37" width="8.875" style="1286" hidden="1" customWidth="1"/>
    <col min="38" max="38" width="8.625" style="1286" hidden="1" customWidth="1"/>
    <col min="39" max="43" width="8.875" style="1286" hidden="1" customWidth="1"/>
    <col min="44" max="44" width="0.875" style="1288" customWidth="1"/>
    <col min="45" max="45" width="10" style="1286" customWidth="1"/>
    <col min="46" max="46" width="8.125" style="1286" customWidth="1"/>
    <col min="47" max="47" width="8.875" style="1286" customWidth="1"/>
    <col min="48" max="48" width="0.875" style="1288" hidden="1" customWidth="1"/>
    <col min="49" max="55" width="8.875" style="1286" hidden="1" customWidth="1"/>
    <col min="56" max="56" width="0.875" style="1288" customWidth="1"/>
    <col min="57" max="57" width="10" style="1286" customWidth="1"/>
    <col min="58" max="58" width="8.125" style="1286" customWidth="1"/>
    <col min="59" max="59" width="8.875" style="1286" customWidth="1"/>
    <col min="60" max="60" width="0.875" style="1286" customWidth="1"/>
    <col min="61" max="62" width="8.875" style="1286" bestFit="1" customWidth="1"/>
    <col min="63" max="63" width="8.125" style="1286" bestFit="1" customWidth="1"/>
    <col min="64" max="64" width="0.875" style="1286" customWidth="1"/>
    <col min="65" max="67" width="8.875" style="1286" customWidth="1"/>
    <col min="68" max="68" width="0.875" style="1286" customWidth="1"/>
    <col min="69" max="69" width="10" style="1286" bestFit="1" customWidth="1"/>
    <col min="70" max="70" width="9.875" style="1286" bestFit="1" customWidth="1"/>
    <col min="71" max="71" width="0.875" style="1286" customWidth="1"/>
    <col min="72" max="72" width="9.25" style="1286" bestFit="1" customWidth="1"/>
    <col min="73" max="74" width="10" style="1286" bestFit="1" customWidth="1"/>
    <col min="75" max="75" width="1.875" style="1286" customWidth="1"/>
    <col min="76" max="77" width="12" style="1286" bestFit="1" customWidth="1"/>
    <col min="78" max="78" width="12.25" style="1286" bestFit="1" customWidth="1"/>
    <col min="79" max="79" width="12.875" style="1286" bestFit="1" customWidth="1"/>
    <col min="80" max="80" width="12" style="1286" customWidth="1"/>
    <col min="81" max="81" width="12" style="1286" bestFit="1" customWidth="1"/>
    <col min="82" max="82" width="10.875" style="1286" customWidth="1"/>
    <col min="83" max="83" width="10" style="1286" bestFit="1" customWidth="1"/>
    <col min="84" max="84" width="13" style="1286" bestFit="1" customWidth="1"/>
    <col min="85" max="85" width="12" style="1286" bestFit="1" customWidth="1"/>
    <col min="86" max="86" width="12.125" style="1286" bestFit="1" customWidth="1"/>
    <col min="87" max="87" width="11" style="1286" bestFit="1" customWidth="1"/>
    <col min="88" max="89" width="9.125" style="1286" customWidth="1"/>
    <col min="90" max="16384" width="9.125" style="1286"/>
  </cols>
  <sheetData>
    <row r="1" spans="1:172" ht="20.25" customHeight="1" thickBot="1" x14ac:dyDescent="0.25">
      <c r="C1" s="4456">
        <v>43586</v>
      </c>
      <c r="D1" s="811"/>
      <c r="E1" s="4466" t="s">
        <v>40</v>
      </c>
      <c r="F1" s="4466"/>
      <c r="G1" s="4466"/>
      <c r="H1" s="4466"/>
      <c r="I1" s="4466"/>
      <c r="J1" s="4466"/>
      <c r="K1" s="4467"/>
      <c r="L1" s="1285"/>
      <c r="M1" s="133"/>
      <c r="N1" s="309"/>
      <c r="O1" s="134"/>
      <c r="Z1" s="309"/>
      <c r="AO1" s="432"/>
      <c r="AP1" s="432"/>
      <c r="AQ1" s="432"/>
      <c r="AW1" s="432"/>
      <c r="AX1" s="1274"/>
      <c r="BA1" s="277"/>
      <c r="BK1" s="309"/>
      <c r="BP1" s="4483" t="s">
        <v>90</v>
      </c>
      <c r="BQ1" s="4483"/>
      <c r="BR1" s="4483"/>
      <c r="BS1" s="4491"/>
      <c r="BT1" s="4492">
        <f>BY24/31</f>
        <v>1</v>
      </c>
      <c r="BU1" s="4493"/>
      <c r="BV1" s="4494"/>
      <c r="BX1" s="503">
        <f>BX2-BX3</f>
        <v>-238.82698924731176</v>
      </c>
      <c r="BY1" s="504">
        <f>BX1*30%</f>
        <v>-71.648096774193519</v>
      </c>
      <c r="BZ1" s="590">
        <f>BX1/BX3</f>
        <v>-6.4251986371037087E-2</v>
      </c>
      <c r="CA1" s="693"/>
      <c r="CB1" s="703">
        <f>CB2-CB3</f>
        <v>-2118.4569892473123</v>
      </c>
      <c r="CC1" s="704">
        <f>CB1*30%</f>
        <v>-635.53709677419363</v>
      </c>
      <c r="CD1" s="705">
        <f>CB1/CB3</f>
        <v>-0.37852120117581517</v>
      </c>
      <c r="CE1" s="694"/>
      <c r="CF1" s="703">
        <f>CF2-CF3</f>
        <v>-6521.7903225806458</v>
      </c>
      <c r="CG1" s="704">
        <f>CF1*30%</f>
        <v>-1956.5370967741937</v>
      </c>
      <c r="CH1" s="705">
        <f>CF1/CF3</f>
        <v>-0.65217903225806462</v>
      </c>
      <c r="CI1" s="694"/>
    </row>
    <row r="2" spans="1:172" ht="20.25" customHeight="1" thickBot="1" x14ac:dyDescent="0.25">
      <c r="C2" s="4457"/>
      <c r="D2" s="1285"/>
      <c r="E2" s="4466" t="s">
        <v>41</v>
      </c>
      <c r="F2" s="4466"/>
      <c r="G2" s="4466"/>
      <c r="H2" s="4466"/>
      <c r="I2" s="4466"/>
      <c r="J2" s="4466"/>
      <c r="K2" s="4467"/>
      <c r="L2" s="1285"/>
      <c r="M2" s="4511" t="s">
        <v>135</v>
      </c>
      <c r="N2" s="4511"/>
      <c r="O2" s="4511"/>
      <c r="P2" s="4511"/>
      <c r="Q2" s="4511"/>
      <c r="R2" s="4511"/>
      <c r="S2" s="4511"/>
      <c r="T2" s="919"/>
      <c r="U2" s="4512" t="s">
        <v>139</v>
      </c>
      <c r="V2" s="4513"/>
      <c r="W2" s="4514"/>
      <c r="X2" s="923"/>
      <c r="Y2" s="4511" t="s">
        <v>136</v>
      </c>
      <c r="Z2" s="4511"/>
      <c r="AA2" s="4511"/>
      <c r="AB2" s="4511"/>
      <c r="AC2" s="4511"/>
      <c r="AD2" s="4511"/>
      <c r="AE2" s="4511"/>
      <c r="AF2" s="776"/>
      <c r="AG2" s="4512" t="s">
        <v>140</v>
      </c>
      <c r="AH2" s="4513"/>
      <c r="AI2" s="4514"/>
      <c r="AJ2" s="776"/>
      <c r="AK2" s="4511" t="s">
        <v>137</v>
      </c>
      <c r="AL2" s="4511"/>
      <c r="AM2" s="4511"/>
      <c r="AN2" s="4511"/>
      <c r="AO2" s="4511"/>
      <c r="AP2" s="4511"/>
      <c r="AQ2" s="4511"/>
      <c r="AR2" s="776"/>
      <c r="AS2" s="4512" t="s">
        <v>141</v>
      </c>
      <c r="AT2" s="4513"/>
      <c r="AU2" s="4514"/>
      <c r="AV2" s="776"/>
      <c r="AW2" s="4511" t="s">
        <v>138</v>
      </c>
      <c r="AX2" s="4511"/>
      <c r="AY2" s="4511"/>
      <c r="AZ2" s="4511"/>
      <c r="BA2" s="4511"/>
      <c r="BB2" s="4511"/>
      <c r="BC2" s="4511"/>
      <c r="BD2" s="776"/>
      <c r="BE2" s="4512" t="s">
        <v>142</v>
      </c>
      <c r="BF2" s="4513"/>
      <c r="BG2" s="4514"/>
      <c r="BH2" s="1287"/>
      <c r="BI2" s="4516" t="s">
        <v>145</v>
      </c>
      <c r="BJ2" s="4517"/>
      <c r="BK2" s="4518"/>
      <c r="BL2" s="1287"/>
      <c r="BM2" s="4512" t="s">
        <v>146</v>
      </c>
      <c r="BN2" s="4513"/>
      <c r="BO2" s="4514"/>
      <c r="BQ2" s="4473" t="s">
        <v>54</v>
      </c>
      <c r="BR2" s="4476" t="s">
        <v>61</v>
      </c>
      <c r="BT2" s="4495"/>
      <c r="BU2" s="4496"/>
      <c r="BV2" s="4497"/>
      <c r="BX2" s="505">
        <f>BT3/BY24*30</f>
        <v>3478.2096774193546</v>
      </c>
      <c r="BY2" s="506">
        <f>BX2*30%</f>
        <v>1043.4629032258063</v>
      </c>
      <c r="BZ2" s="507">
        <f>BY2-E31</f>
        <v>-71.648096774193618</v>
      </c>
      <c r="CA2" s="695"/>
      <c r="CB2" s="756">
        <f>BT3/BY24*30</f>
        <v>3478.2096774193546</v>
      </c>
      <c r="CC2" s="757">
        <f>CB2*30%</f>
        <v>1043.4629032258063</v>
      </c>
      <c r="CD2" s="761">
        <f>CC2-E44</f>
        <v>-4553.2037634408607</v>
      </c>
      <c r="CE2" s="696"/>
      <c r="CF2" s="756">
        <f>BT3/BY24*30</f>
        <v>3478.2096774193546</v>
      </c>
      <c r="CG2" s="757">
        <f>CF2*30%</f>
        <v>1043.4629032258063</v>
      </c>
      <c r="CH2" s="702">
        <f>CG2-E48</f>
        <v>357.16623655913918</v>
      </c>
      <c r="CI2" s="696"/>
    </row>
    <row r="3" spans="1:172" s="426" customFormat="1" ht="15" customHeight="1" x14ac:dyDescent="0.2">
      <c r="C3" s="982" t="s">
        <v>130</v>
      </c>
      <c r="D3" s="812"/>
      <c r="E3" s="132"/>
      <c r="F3" s="132"/>
      <c r="G3" s="132"/>
      <c r="H3" s="132"/>
      <c r="I3" s="132"/>
      <c r="J3" s="132">
        <f>BT3</f>
        <v>3594.15</v>
      </c>
      <c r="K3" s="428"/>
      <c r="L3" s="480"/>
      <c r="M3" s="132">
        <v>175.4</v>
      </c>
      <c r="N3" s="132">
        <v>118.25</v>
      </c>
      <c r="O3" s="132">
        <v>84.15</v>
      </c>
      <c r="P3" s="132">
        <v>193.15</v>
      </c>
      <c r="Q3" s="132">
        <v>155.30000000000001</v>
      </c>
      <c r="R3" s="132">
        <v>119.7</v>
      </c>
      <c r="S3" s="132">
        <v>77.900000000000006</v>
      </c>
      <c r="T3" s="920"/>
      <c r="U3" s="925">
        <f>SUM(M3:S3)</f>
        <v>923.85</v>
      </c>
      <c r="V3" s="132">
        <f>J33*7</f>
        <v>839.33086021505392</v>
      </c>
      <c r="W3" s="926">
        <f>U3-V3</f>
        <v>84.519139784946105</v>
      </c>
      <c r="X3" s="779"/>
      <c r="Y3" s="132">
        <v>101.45</v>
      </c>
      <c r="Z3" s="132">
        <v>62.5</v>
      </c>
      <c r="AA3" s="132">
        <v>36.5</v>
      </c>
      <c r="AB3" s="132">
        <v>125</v>
      </c>
      <c r="AC3" s="132">
        <v>79.400000000000006</v>
      </c>
      <c r="AD3" s="132">
        <v>136.75</v>
      </c>
      <c r="AE3" s="132">
        <v>102.25</v>
      </c>
      <c r="AF3" s="777"/>
      <c r="AG3" s="925">
        <f>SUM(Y3:AE3)</f>
        <v>643.85</v>
      </c>
      <c r="AH3" s="132">
        <f>J33*7</f>
        <v>839.33086021505392</v>
      </c>
      <c r="AI3" s="926">
        <f>AG3-AH3</f>
        <v>-195.48086021505389</v>
      </c>
      <c r="AJ3" s="777"/>
      <c r="AK3" s="132">
        <v>85.9</v>
      </c>
      <c r="AL3" s="132">
        <v>50.75</v>
      </c>
      <c r="AM3" s="132">
        <v>0</v>
      </c>
      <c r="AN3" s="132">
        <v>161.05000000000001</v>
      </c>
      <c r="AO3" s="132">
        <v>118.05</v>
      </c>
      <c r="AP3" s="132">
        <v>87.25</v>
      </c>
      <c r="AQ3" s="132">
        <v>189.8</v>
      </c>
      <c r="AR3" s="777"/>
      <c r="AS3" s="925">
        <f>SUM(AK3:AQ3)</f>
        <v>692.80000000000007</v>
      </c>
      <c r="AT3" s="132">
        <f>J33*7</f>
        <v>839.33086021505392</v>
      </c>
      <c r="AU3" s="926">
        <f>AS3-AT3</f>
        <v>-146.53086021505385</v>
      </c>
      <c r="AV3" s="777"/>
      <c r="AW3" s="132">
        <v>147.4</v>
      </c>
      <c r="AX3" s="132">
        <v>114.25</v>
      </c>
      <c r="AY3" s="132">
        <v>65.5</v>
      </c>
      <c r="AZ3" s="132">
        <v>103.25</v>
      </c>
      <c r="BA3" s="132">
        <v>104.7</v>
      </c>
      <c r="BB3" s="132">
        <v>196.5</v>
      </c>
      <c r="BC3" s="132">
        <v>190.45</v>
      </c>
      <c r="BD3" s="777"/>
      <c r="BE3" s="925">
        <f>SUM(AW3:BC3)</f>
        <v>922.05</v>
      </c>
      <c r="BF3" s="132">
        <f>J33*7</f>
        <v>839.33086021505392</v>
      </c>
      <c r="BG3" s="926">
        <f>BE3-BF3</f>
        <v>82.719139784946037</v>
      </c>
      <c r="BH3" s="479"/>
      <c r="BI3" s="132">
        <v>118.75</v>
      </c>
      <c r="BJ3" s="132">
        <v>209</v>
      </c>
      <c r="BK3" s="132">
        <v>83.85</v>
      </c>
      <c r="BL3" s="479"/>
      <c r="BM3" s="925">
        <f>SUM(BI3:BK3)</f>
        <v>411.6</v>
      </c>
      <c r="BN3" s="132">
        <f>J33*3</f>
        <v>359.71322580645165</v>
      </c>
      <c r="BO3" s="926">
        <f>BM3-BN3</f>
        <v>51.886774193548376</v>
      </c>
      <c r="BP3" s="431"/>
      <c r="BQ3" s="4474"/>
      <c r="BR3" s="4477"/>
      <c r="BS3" s="431"/>
      <c r="BT3" s="467">
        <f>SUM(M3:S3)+SUM(Y3:AE3)+SUM(AK3:AQ3)+SUM(AW3:BC3)+SUM(BI3:BK3)</f>
        <v>3594.15</v>
      </c>
      <c r="BU3" s="493">
        <f>BT3/BX3</f>
        <v>0.96693961408326179</v>
      </c>
      <c r="BV3" s="496">
        <f>BT3/1</f>
        <v>3594.15</v>
      </c>
      <c r="BX3" s="467">
        <f>E52</f>
        <v>3717.0366666666664</v>
      </c>
      <c r="BY3" s="474">
        <f>BX3-BT3</f>
        <v>122.88666666666631</v>
      </c>
      <c r="BZ3" s="496">
        <f>BY3/BY27</f>
        <v>122.88666666666631</v>
      </c>
      <c r="CA3" s="697">
        <f>BZ3-J52</f>
        <v>2.9822580645157899</v>
      </c>
      <c r="CB3" s="467">
        <f>E53</f>
        <v>5596.666666666667</v>
      </c>
      <c r="CC3" s="690">
        <f>CB3-BT3</f>
        <v>2002.5166666666669</v>
      </c>
      <c r="CD3" s="700">
        <f>CC3/BY27</f>
        <v>2002.5166666666669</v>
      </c>
      <c r="CE3" s="473">
        <f>CD3-J53</f>
        <v>1821.9790322580648</v>
      </c>
      <c r="CF3" s="467">
        <f>E57</f>
        <v>10000</v>
      </c>
      <c r="CG3" s="690">
        <f>CF3-BT3</f>
        <v>6405.85</v>
      </c>
      <c r="CH3" s="700">
        <f>CG3/BY27</f>
        <v>6405.85</v>
      </c>
      <c r="CI3" s="473">
        <f>CH3-J57</f>
        <v>6083.2693548387097</v>
      </c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  <c r="FP3" s="470"/>
    </row>
    <row r="4" spans="1:172" s="432" customFormat="1" ht="15.75" thickBot="1" x14ac:dyDescent="0.25">
      <c r="C4" s="433" t="s">
        <v>89</v>
      </c>
      <c r="D4" s="780"/>
      <c r="E4" s="347"/>
      <c r="F4" s="347"/>
      <c r="G4" s="347"/>
      <c r="H4" s="347"/>
      <c r="I4" s="347"/>
      <c r="J4" s="347">
        <f>BQ33</f>
        <v>-36.866000000000113</v>
      </c>
      <c r="K4" s="434"/>
      <c r="L4" s="482"/>
      <c r="M4" s="347">
        <f>M3*30%</f>
        <v>52.62</v>
      </c>
      <c r="N4" s="347">
        <f>N3*30%</f>
        <v>35.475000000000001</v>
      </c>
      <c r="O4" s="347">
        <f>O3*30%</f>
        <v>25.245000000000001</v>
      </c>
      <c r="P4" s="347">
        <f t="shared" ref="P4:BC4" si="0">P3*30%</f>
        <v>57.945</v>
      </c>
      <c r="Q4" s="347">
        <f t="shared" si="0"/>
        <v>46.59</v>
      </c>
      <c r="R4" s="347">
        <f t="shared" si="0"/>
        <v>35.909999999999997</v>
      </c>
      <c r="S4" s="347">
        <f>S3*30%</f>
        <v>23.37</v>
      </c>
      <c r="T4" s="921"/>
      <c r="U4" s="927">
        <f t="shared" ref="U4" si="1">U3*30%</f>
        <v>277.15499999999997</v>
      </c>
      <c r="V4" s="347">
        <f>V3*30%</f>
        <v>251.79925806451615</v>
      </c>
      <c r="W4" s="928">
        <f>W3*30%</f>
        <v>25.355741935483831</v>
      </c>
      <c r="X4" s="781"/>
      <c r="Y4" s="347">
        <f t="shared" si="0"/>
        <v>30.434999999999999</v>
      </c>
      <c r="Z4" s="347">
        <f t="shared" si="0"/>
        <v>18.75</v>
      </c>
      <c r="AA4" s="347">
        <f t="shared" si="0"/>
        <v>10.95</v>
      </c>
      <c r="AB4" s="347">
        <f t="shared" si="0"/>
        <v>37.5</v>
      </c>
      <c r="AC4" s="347">
        <f t="shared" si="0"/>
        <v>23.82</v>
      </c>
      <c r="AD4" s="347">
        <f t="shared" si="0"/>
        <v>41.024999999999999</v>
      </c>
      <c r="AE4" s="347">
        <f t="shared" si="0"/>
        <v>30.674999999999997</v>
      </c>
      <c r="AF4" s="778"/>
      <c r="AG4" s="927">
        <f>SUM(Y4:AE4)</f>
        <v>193.15500000000003</v>
      </c>
      <c r="AH4" s="347">
        <f>AH3*30%</f>
        <v>251.79925806451615</v>
      </c>
      <c r="AI4" s="928">
        <f>AI3*30%</f>
        <v>-58.644258064516166</v>
      </c>
      <c r="AJ4" s="778"/>
      <c r="AK4" s="347">
        <f t="shared" si="0"/>
        <v>25.77</v>
      </c>
      <c r="AL4" s="347">
        <f t="shared" si="0"/>
        <v>15.225</v>
      </c>
      <c r="AM4" s="347">
        <f t="shared" si="0"/>
        <v>0</v>
      </c>
      <c r="AN4" s="347">
        <f t="shared" si="0"/>
        <v>48.315000000000005</v>
      </c>
      <c r="AO4" s="347">
        <f t="shared" si="0"/>
        <v>35.414999999999999</v>
      </c>
      <c r="AP4" s="347">
        <f t="shared" si="0"/>
        <v>26.175000000000001</v>
      </c>
      <c r="AQ4" s="347">
        <f t="shared" si="0"/>
        <v>56.940000000000005</v>
      </c>
      <c r="AR4" s="778"/>
      <c r="AS4" s="927">
        <f>SUM(AK4:AQ4)</f>
        <v>207.84</v>
      </c>
      <c r="AT4" s="347">
        <f>AT3*30%</f>
        <v>251.79925806451615</v>
      </c>
      <c r="AU4" s="928">
        <f>AS4-AT4</f>
        <v>-43.959258064516149</v>
      </c>
      <c r="AV4" s="778"/>
      <c r="AW4" s="347">
        <f t="shared" si="0"/>
        <v>44.22</v>
      </c>
      <c r="AX4" s="347">
        <f t="shared" si="0"/>
        <v>34.274999999999999</v>
      </c>
      <c r="AY4" s="347">
        <f t="shared" si="0"/>
        <v>19.649999999999999</v>
      </c>
      <c r="AZ4" s="347">
        <f t="shared" si="0"/>
        <v>30.974999999999998</v>
      </c>
      <c r="BA4" s="347">
        <f t="shared" si="0"/>
        <v>31.41</v>
      </c>
      <c r="BB4" s="347">
        <f t="shared" si="0"/>
        <v>58.949999999999996</v>
      </c>
      <c r="BC4" s="347">
        <f t="shared" si="0"/>
        <v>57.134999999999998</v>
      </c>
      <c r="BD4" s="778"/>
      <c r="BE4" s="927">
        <f>SUM(AW4:BC4)</f>
        <v>276.61500000000001</v>
      </c>
      <c r="BF4" s="347">
        <f>BF3*30%</f>
        <v>251.79925806451615</v>
      </c>
      <c r="BG4" s="928">
        <f>BE4-BF4</f>
        <v>24.815741935483857</v>
      </c>
      <c r="BH4" s="481"/>
      <c r="BI4" s="347">
        <f t="shared" ref="BI4:BK4" si="2">BI3*30%</f>
        <v>35.625</v>
      </c>
      <c r="BJ4" s="347">
        <f t="shared" si="2"/>
        <v>62.699999999999996</v>
      </c>
      <c r="BK4" s="347">
        <f t="shared" si="2"/>
        <v>25.154999999999998</v>
      </c>
      <c r="BL4" s="481"/>
      <c r="BM4" s="927">
        <f>SUM(BI4:BK4)</f>
        <v>123.47999999999999</v>
      </c>
      <c r="BN4" s="347">
        <f>BN3*30%</f>
        <v>107.91396774193549</v>
      </c>
      <c r="BO4" s="928">
        <f>BM4-BN4</f>
        <v>15.566032258064496</v>
      </c>
      <c r="BP4" s="437"/>
      <c r="BQ4" s="4474"/>
      <c r="BR4" s="4477"/>
      <c r="BS4" s="437"/>
      <c r="BT4" s="459">
        <f>SUM(M4:S4)+SUM(Y4:AE4)+SUM(AK4:AQ4)+SUM(AW4:BC4)+SUM(BI4:BK4)</f>
        <v>1078.2449999999999</v>
      </c>
      <c r="BU4" s="494">
        <f>BT4/E31</f>
        <v>0.96693961408326168</v>
      </c>
      <c r="BV4" s="497">
        <f>BT4/1</f>
        <v>1078.2449999999999</v>
      </c>
      <c r="BX4" s="508">
        <f>BT4-E31</f>
        <v>-36.865999999999985</v>
      </c>
      <c r="BY4" s="509">
        <f>BX4/BY27</f>
        <v>-36.865999999999985</v>
      </c>
      <c r="BZ4" s="510">
        <f>BY4*100%/30%</f>
        <v>-122.88666666666663</v>
      </c>
      <c r="CA4" s="698">
        <f>BZ4+J52</f>
        <v>-2.9822580645161025</v>
      </c>
      <c r="CB4" s="508">
        <f>BT4-E42</f>
        <v>-600.75500000000011</v>
      </c>
      <c r="CC4" s="626">
        <f>CB4/BY27</f>
        <v>-600.75500000000011</v>
      </c>
      <c r="CD4" s="701">
        <f>CC4*100%/30%</f>
        <v>-2002.5166666666671</v>
      </c>
      <c r="CE4" s="469">
        <f>CD4+J53</f>
        <v>-1821.979032258065</v>
      </c>
      <c r="CF4" s="508">
        <f>BT4-E59</f>
        <v>-1921.7550000000001</v>
      </c>
      <c r="CG4" s="626">
        <f>CF4/BY27</f>
        <v>-1921.7550000000001</v>
      </c>
      <c r="CH4" s="701">
        <f>CG4*100%/30%</f>
        <v>-6405.85</v>
      </c>
      <c r="CI4" s="469">
        <f>CH4+J57</f>
        <v>-6083.2693548387097</v>
      </c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  <c r="FH4" s="471"/>
      <c r="FI4" s="471"/>
      <c r="FJ4" s="471"/>
      <c r="FK4" s="471"/>
      <c r="FL4" s="471"/>
      <c r="FM4" s="471"/>
      <c r="FN4" s="471"/>
      <c r="FO4" s="471"/>
      <c r="FP4" s="471"/>
    </row>
    <row r="5" spans="1:172" s="426" customFormat="1" ht="15" customHeight="1" thickBot="1" x14ac:dyDescent="0.25">
      <c r="C5" s="438"/>
      <c r="D5" s="438"/>
      <c r="K5" s="439"/>
      <c r="L5" s="438"/>
      <c r="M5" s="132" t="s">
        <v>50</v>
      </c>
      <c r="N5" s="132" t="s">
        <v>51</v>
      </c>
      <c r="O5" s="451" t="s">
        <v>45</v>
      </c>
      <c r="P5" s="132" t="s">
        <v>46</v>
      </c>
      <c r="Q5" s="132" t="s">
        <v>47</v>
      </c>
      <c r="R5" s="132" t="s">
        <v>48</v>
      </c>
      <c r="S5" s="132" t="s">
        <v>49</v>
      </c>
      <c r="T5" s="479"/>
      <c r="U5" s="925"/>
      <c r="V5" s="440"/>
      <c r="W5" s="929"/>
      <c r="X5" s="779"/>
      <c r="Y5" s="132" t="s">
        <v>50</v>
      </c>
      <c r="Z5" s="132" t="s">
        <v>51</v>
      </c>
      <c r="AA5" s="451" t="s">
        <v>45</v>
      </c>
      <c r="AB5" s="132" t="s">
        <v>46</v>
      </c>
      <c r="AC5" s="132" t="s">
        <v>47</v>
      </c>
      <c r="AD5" s="132" t="s">
        <v>48</v>
      </c>
      <c r="AE5" s="132" t="s">
        <v>49</v>
      </c>
      <c r="AF5" s="779"/>
      <c r="AG5" s="925"/>
      <c r="AH5" s="440"/>
      <c r="AI5" s="929">
        <f>AG4-AH4</f>
        <v>-58.644258064516123</v>
      </c>
      <c r="AJ5" s="779"/>
      <c r="AK5" s="132" t="s">
        <v>50</v>
      </c>
      <c r="AL5" s="132" t="s">
        <v>51</v>
      </c>
      <c r="AM5" s="451" t="s">
        <v>45</v>
      </c>
      <c r="AN5" s="132" t="s">
        <v>46</v>
      </c>
      <c r="AO5" s="132" t="s">
        <v>47</v>
      </c>
      <c r="AP5" s="132" t="s">
        <v>48</v>
      </c>
      <c r="AQ5" s="132" t="s">
        <v>49</v>
      </c>
      <c r="AR5" s="779"/>
      <c r="AS5" s="925"/>
      <c r="AT5" s="440"/>
      <c r="AU5" s="929"/>
      <c r="AV5" s="779"/>
      <c r="AW5" s="132" t="s">
        <v>50</v>
      </c>
      <c r="AX5" s="132" t="s">
        <v>51</v>
      </c>
      <c r="AY5" s="451" t="s">
        <v>45</v>
      </c>
      <c r="AZ5" s="132" t="s">
        <v>46</v>
      </c>
      <c r="BA5" s="132" t="s">
        <v>47</v>
      </c>
      <c r="BB5" s="132" t="s">
        <v>48</v>
      </c>
      <c r="BC5" s="132" t="s">
        <v>49</v>
      </c>
      <c r="BD5" s="779"/>
      <c r="BE5" s="925"/>
      <c r="BF5" s="440"/>
      <c r="BG5" s="929"/>
      <c r="BH5" s="479"/>
      <c r="BI5" s="132" t="s">
        <v>50</v>
      </c>
      <c r="BJ5" s="132" t="s">
        <v>51</v>
      </c>
      <c r="BK5" s="451" t="s">
        <v>45</v>
      </c>
      <c r="BL5" s="479"/>
      <c r="BM5" s="925"/>
      <c r="BN5" s="440"/>
      <c r="BO5" s="929"/>
      <c r="BQ5" s="4474"/>
      <c r="BR5" s="4477"/>
      <c r="BT5" s="468">
        <f>J33*BY24</f>
        <v>3717.0366666666673</v>
      </c>
      <c r="BU5" s="495">
        <f>BT5/E33</f>
        <v>1.0000000000000002</v>
      </c>
      <c r="BV5" s="498">
        <f>BT5/1</f>
        <v>3717.0366666666673</v>
      </c>
      <c r="CA5" s="470"/>
      <c r="CB5" s="699"/>
      <c r="CC5" s="699"/>
      <c r="CD5" s="1020">
        <f>CD4+BZ4</f>
        <v>-2125.4033333333336</v>
      </c>
      <c r="CE5" s="470"/>
      <c r="CF5" s="470"/>
      <c r="CG5" s="470"/>
      <c r="CH5" s="1021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  <c r="FH5" s="470"/>
      <c r="FI5" s="470"/>
      <c r="FJ5" s="470"/>
      <c r="FK5" s="470"/>
      <c r="FL5" s="470"/>
      <c r="FM5" s="470"/>
      <c r="FN5" s="470"/>
      <c r="FO5" s="470"/>
      <c r="FP5" s="470"/>
    </row>
    <row r="6" spans="1:172" s="432" customFormat="1" ht="15.75" thickBot="1" x14ac:dyDescent="0.25">
      <c r="B6" s="433" t="s">
        <v>0</v>
      </c>
      <c r="C6" s="433" t="s">
        <v>1</v>
      </c>
      <c r="D6" s="780"/>
      <c r="E6" s="433" t="s">
        <v>24</v>
      </c>
      <c r="F6" s="127" t="s">
        <v>108</v>
      </c>
      <c r="G6" s="647" t="s">
        <v>109</v>
      </c>
      <c r="H6" s="651" t="s">
        <v>110</v>
      </c>
      <c r="I6" s="655" t="s">
        <v>111</v>
      </c>
      <c r="J6" s="659" t="s">
        <v>113</v>
      </c>
      <c r="K6" s="441" t="s">
        <v>2</v>
      </c>
      <c r="L6" s="444"/>
      <c r="M6" s="433">
        <v>1</v>
      </c>
      <c r="N6" s="433">
        <v>2</v>
      </c>
      <c r="O6" s="433">
        <v>3</v>
      </c>
      <c r="P6" s="433">
        <v>4</v>
      </c>
      <c r="Q6" s="433">
        <v>5</v>
      </c>
      <c r="R6" s="433">
        <v>6</v>
      </c>
      <c r="S6" s="433">
        <v>7</v>
      </c>
      <c r="T6" s="922"/>
      <c r="U6" s="930"/>
      <c r="V6" s="931"/>
      <c r="W6" s="932"/>
      <c r="X6" s="924"/>
      <c r="Y6" s="433">
        <v>8</v>
      </c>
      <c r="Z6" s="433">
        <v>9</v>
      </c>
      <c r="AA6" s="433">
        <v>10</v>
      </c>
      <c r="AB6" s="433">
        <v>11</v>
      </c>
      <c r="AC6" s="433">
        <v>12</v>
      </c>
      <c r="AD6" s="433">
        <v>13</v>
      </c>
      <c r="AE6" s="433">
        <v>14</v>
      </c>
      <c r="AF6" s="780"/>
      <c r="AG6" s="930"/>
      <c r="AH6" s="931"/>
      <c r="AI6" s="932"/>
      <c r="AJ6" s="780"/>
      <c r="AK6" s="433">
        <v>15</v>
      </c>
      <c r="AL6" s="433">
        <v>16</v>
      </c>
      <c r="AM6" s="433">
        <v>17</v>
      </c>
      <c r="AN6" s="433">
        <v>18</v>
      </c>
      <c r="AO6" s="433">
        <v>19</v>
      </c>
      <c r="AP6" s="433">
        <v>20</v>
      </c>
      <c r="AQ6" s="433">
        <v>21</v>
      </c>
      <c r="AR6" s="780"/>
      <c r="AS6" s="930"/>
      <c r="AT6" s="931"/>
      <c r="AU6" s="932"/>
      <c r="AV6" s="780"/>
      <c r="AW6" s="433">
        <v>22</v>
      </c>
      <c r="AX6" s="433">
        <v>23</v>
      </c>
      <c r="AY6" s="433">
        <v>24</v>
      </c>
      <c r="AZ6" s="433">
        <v>25</v>
      </c>
      <c r="BA6" s="433">
        <v>26</v>
      </c>
      <c r="BB6" s="433">
        <v>27</v>
      </c>
      <c r="BC6" s="433">
        <v>28</v>
      </c>
      <c r="BD6" s="780"/>
      <c r="BE6" s="930"/>
      <c r="BF6" s="931"/>
      <c r="BG6" s="932"/>
      <c r="BH6" s="444"/>
      <c r="BI6" s="433">
        <v>29</v>
      </c>
      <c r="BJ6" s="433">
        <v>30</v>
      </c>
      <c r="BK6" s="433">
        <v>31</v>
      </c>
      <c r="BL6" s="444"/>
      <c r="BM6" s="930"/>
      <c r="BN6" s="931"/>
      <c r="BO6" s="932"/>
      <c r="BQ6" s="4475"/>
      <c r="BR6" s="4478"/>
      <c r="BT6" s="443" t="s">
        <v>7</v>
      </c>
      <c r="BU6" s="443" t="s">
        <v>2</v>
      </c>
      <c r="BV6" s="444"/>
      <c r="BX6" s="512">
        <f>BU4-BT1</f>
        <v>-3.3060385916738322E-2</v>
      </c>
      <c r="BY6" s="444"/>
      <c r="BZ6" s="444" t="s">
        <v>101</v>
      </c>
      <c r="CA6" s="472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  <c r="FP6" s="471"/>
    </row>
    <row r="7" spans="1:172" s="255" customFormat="1" ht="15" customHeight="1" thickBot="1" x14ac:dyDescent="0.25">
      <c r="B7" s="81"/>
      <c r="C7" s="81" t="s">
        <v>19</v>
      </c>
      <c r="D7" s="81"/>
      <c r="E7" s="81"/>
      <c r="F7" s="81"/>
      <c r="G7" s="81"/>
      <c r="H7" s="81"/>
      <c r="I7" s="81"/>
      <c r="J7" s="81"/>
      <c r="K7" s="33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T7" s="4519" t="s">
        <v>99</v>
      </c>
      <c r="BU7" s="4519"/>
      <c r="BV7" s="1296">
        <f>BT5-BT3</f>
        <v>122.88666666666722</v>
      </c>
      <c r="BX7" s="573">
        <f>BX6*E33</f>
        <v>-122.88666666666661</v>
      </c>
    </row>
    <row r="8" spans="1:172" s="432" customFormat="1" x14ac:dyDescent="0.2">
      <c r="A8" s="775"/>
      <c r="B8" s="433">
        <v>1</v>
      </c>
      <c r="C8" s="433" t="s">
        <v>134</v>
      </c>
      <c r="D8" s="780"/>
      <c r="E8" s="347">
        <v>400</v>
      </c>
      <c r="F8" s="347">
        <f t="shared" ref="F8:F15" si="3">E8/10</f>
        <v>40</v>
      </c>
      <c r="G8" s="347">
        <f t="shared" ref="G8:G15" si="4">E8/15</f>
        <v>26.666666666666668</v>
      </c>
      <c r="H8" s="347">
        <f t="shared" ref="H8:H15" si="5">E8/20</f>
        <v>20</v>
      </c>
      <c r="I8" s="347">
        <f t="shared" ref="I8:I15" si="6">E8/25</f>
        <v>16</v>
      </c>
      <c r="J8" s="347">
        <f>E8/31</f>
        <v>12.903225806451612</v>
      </c>
      <c r="K8" s="531">
        <f t="shared" ref="K8:K17" si="7">E8/$E$31</f>
        <v>0.35870868460628585</v>
      </c>
      <c r="L8" s="491"/>
      <c r="M8" s="347">
        <f t="shared" ref="M8:S8" si="8">$J$8</f>
        <v>12.903225806451612</v>
      </c>
      <c r="N8" s="347">
        <f t="shared" si="8"/>
        <v>12.903225806451612</v>
      </c>
      <c r="O8" s="347">
        <f t="shared" si="8"/>
        <v>12.903225806451612</v>
      </c>
      <c r="P8" s="347">
        <f t="shared" si="8"/>
        <v>12.903225806451612</v>
      </c>
      <c r="Q8" s="347">
        <f t="shared" si="8"/>
        <v>12.903225806451612</v>
      </c>
      <c r="R8" s="347">
        <f t="shared" si="8"/>
        <v>12.903225806451612</v>
      </c>
      <c r="S8" s="347">
        <f t="shared" si="8"/>
        <v>12.903225806451612</v>
      </c>
      <c r="T8" s="481"/>
      <c r="U8" s="933">
        <f t="shared" ref="U8:U55" si="9">SUM(M8:S8)</f>
        <v>90.322580645161295</v>
      </c>
      <c r="V8" s="618">
        <f>($U$3*K8)*30%</f>
        <v>99.417905482055161</v>
      </c>
      <c r="W8" s="1180">
        <f>V8-U8</f>
        <v>9.0953248368938659</v>
      </c>
      <c r="X8" s="781"/>
      <c r="Y8" s="347">
        <f t="shared" ref="Y8:AE8" si="10">$J$8</f>
        <v>12.903225806451612</v>
      </c>
      <c r="Z8" s="347">
        <f t="shared" si="10"/>
        <v>12.903225806451612</v>
      </c>
      <c r="AA8" s="347">
        <f t="shared" si="10"/>
        <v>12.903225806451612</v>
      </c>
      <c r="AB8" s="347">
        <f t="shared" si="10"/>
        <v>12.903225806451612</v>
      </c>
      <c r="AC8" s="347">
        <f t="shared" si="10"/>
        <v>12.903225806451612</v>
      </c>
      <c r="AD8" s="347">
        <f t="shared" si="10"/>
        <v>12.903225806451612</v>
      </c>
      <c r="AE8" s="347">
        <f t="shared" si="10"/>
        <v>12.903225806451612</v>
      </c>
      <c r="AF8" s="781"/>
      <c r="AG8" s="933">
        <f>SUM(Y8:AE8)</f>
        <v>90.322580645161295</v>
      </c>
      <c r="AH8" s="934">
        <f>($AG$3*K8)*30%</f>
        <v>69.286375975127143</v>
      </c>
      <c r="AI8" s="935">
        <f>AH8-AG8</f>
        <v>-21.036204670034152</v>
      </c>
      <c r="AJ8" s="781"/>
      <c r="AK8" s="483">
        <f t="shared" ref="AK8:AQ8" si="11">$J$8</f>
        <v>12.903225806451612</v>
      </c>
      <c r="AL8" s="483">
        <f t="shared" si="11"/>
        <v>12.903225806451612</v>
      </c>
      <c r="AM8" s="483">
        <f t="shared" si="11"/>
        <v>12.903225806451612</v>
      </c>
      <c r="AN8" s="483">
        <f t="shared" si="11"/>
        <v>12.903225806451612</v>
      </c>
      <c r="AO8" s="483">
        <f t="shared" si="11"/>
        <v>12.903225806451612</v>
      </c>
      <c r="AP8" s="483">
        <f t="shared" si="11"/>
        <v>12.903225806451612</v>
      </c>
      <c r="AQ8" s="483">
        <f t="shared" si="11"/>
        <v>12.903225806451612</v>
      </c>
      <c r="AR8" s="781"/>
      <c r="AS8" s="933">
        <f>SUM(AK8:AQ8)</f>
        <v>90.322580645161295</v>
      </c>
      <c r="AT8" s="934">
        <f>($AS$3*K8)*30%</f>
        <v>74.55401300857045</v>
      </c>
      <c r="AU8" s="935">
        <f>AT8-AS8</f>
        <v>-15.768567636590845</v>
      </c>
      <c r="AV8" s="781"/>
      <c r="AW8" s="483">
        <f t="shared" ref="AW8:BC8" si="12">$J$8</f>
        <v>12.903225806451612</v>
      </c>
      <c r="AX8" s="483">
        <f t="shared" si="12"/>
        <v>12.903225806451612</v>
      </c>
      <c r="AY8" s="483">
        <f t="shared" si="12"/>
        <v>12.903225806451612</v>
      </c>
      <c r="AZ8" s="483">
        <f t="shared" si="12"/>
        <v>12.903225806451612</v>
      </c>
      <c r="BA8" s="483">
        <f t="shared" si="12"/>
        <v>12.903225806451612</v>
      </c>
      <c r="BB8" s="483">
        <f t="shared" si="12"/>
        <v>12.903225806451612</v>
      </c>
      <c r="BC8" s="483">
        <f t="shared" si="12"/>
        <v>12.903225806451612</v>
      </c>
      <c r="BD8" s="781"/>
      <c r="BE8" s="933">
        <f t="shared" ref="BE8:BE27" si="13">SUM(AW8:BC8)</f>
        <v>90.322580645161295</v>
      </c>
      <c r="BF8" s="934">
        <f>($BE$3*K8)*30%</f>
        <v>99.224202792367748</v>
      </c>
      <c r="BG8" s="935">
        <f>BF8-BE8</f>
        <v>8.901622147206453</v>
      </c>
      <c r="BH8" s="481"/>
      <c r="BI8" s="347">
        <f t="shared" ref="BI8:BK8" si="14">$J$8</f>
        <v>12.903225806451612</v>
      </c>
      <c r="BJ8" s="483">
        <f t="shared" si="14"/>
        <v>12.903225806451612</v>
      </c>
      <c r="BK8" s="483">
        <f t="shared" si="14"/>
        <v>12.903225806451612</v>
      </c>
      <c r="BL8" s="481"/>
      <c r="BM8" s="933">
        <f>SUM(BI8:BK8)</f>
        <v>38.709677419354833</v>
      </c>
      <c r="BN8" s="934">
        <f t="shared" ref="BN8:BN17" si="15">($BM$3*K8)*30%</f>
        <v>44.293348375184181</v>
      </c>
      <c r="BO8" s="935">
        <f>BN8-BM8</f>
        <v>5.5836709558293478</v>
      </c>
      <c r="BQ8" s="347">
        <v>400</v>
      </c>
      <c r="BR8" s="485">
        <f t="shared" ref="BR8:BR19" si="16">BQ8/E8</f>
        <v>1</v>
      </c>
      <c r="BT8" s="933">
        <f t="shared" ref="BT8:BT17" si="17">SUM(M8:S8)+SUM(Y8:AE8)+SUM(AK8:AQ8)+SUM(AW8:BC8)+SUM(BI8:BK8)</f>
        <v>400</v>
      </c>
      <c r="BU8" s="1013">
        <f t="shared" ref="BU8:BU19" si="18">BT8/E8</f>
        <v>1</v>
      </c>
      <c r="BV8" s="482"/>
      <c r="BX8" s="62"/>
      <c r="BY8" s="62"/>
      <c r="BZ8" s="81"/>
      <c r="CA8" s="81"/>
      <c r="CB8" s="81"/>
      <c r="CC8" s="81"/>
      <c r="CD8" s="81"/>
      <c r="CE8" s="81"/>
      <c r="CF8" s="81"/>
    </row>
    <row r="9" spans="1:172" s="255" customFormat="1" x14ac:dyDescent="0.2">
      <c r="B9" s="43">
        <v>2</v>
      </c>
      <c r="C9" s="43" t="s">
        <v>22</v>
      </c>
      <c r="D9" s="813"/>
      <c r="E9" s="40">
        <v>200</v>
      </c>
      <c r="F9" s="40">
        <f t="shared" si="3"/>
        <v>20</v>
      </c>
      <c r="G9" s="40">
        <f t="shared" si="4"/>
        <v>13.333333333333334</v>
      </c>
      <c r="H9" s="40">
        <f t="shared" si="5"/>
        <v>10</v>
      </c>
      <c r="I9" s="40">
        <f t="shared" si="6"/>
        <v>8</v>
      </c>
      <c r="J9" s="40">
        <f t="shared" ref="J9:J17" si="19">E9/31</f>
        <v>6.4516129032258061</v>
      </c>
      <c r="K9" s="206">
        <f t="shared" si="7"/>
        <v>0.17935434230314293</v>
      </c>
      <c r="L9" s="411"/>
      <c r="M9" s="40">
        <f t="shared" ref="M9:S9" si="20">$J$9</f>
        <v>6.4516129032258061</v>
      </c>
      <c r="N9" s="40">
        <f t="shared" si="20"/>
        <v>6.4516129032258061</v>
      </c>
      <c r="O9" s="40">
        <f t="shared" si="20"/>
        <v>6.4516129032258061</v>
      </c>
      <c r="P9" s="40">
        <f t="shared" si="20"/>
        <v>6.4516129032258061</v>
      </c>
      <c r="Q9" s="40">
        <f t="shared" si="20"/>
        <v>6.4516129032258061</v>
      </c>
      <c r="R9" s="40">
        <f t="shared" si="20"/>
        <v>6.4516129032258061</v>
      </c>
      <c r="S9" s="40">
        <f t="shared" si="20"/>
        <v>6.4516129032258061</v>
      </c>
      <c r="T9" s="1296"/>
      <c r="U9" s="911">
        <f t="shared" si="9"/>
        <v>45.161290322580648</v>
      </c>
      <c r="V9" s="40">
        <f t="shared" ref="V9:V25" si="21">($U$3*K9)*30%</f>
        <v>49.708952741027581</v>
      </c>
      <c r="W9" s="586">
        <f t="shared" ref="W9:W27" si="22">V9-U9</f>
        <v>4.547662418446933</v>
      </c>
      <c r="X9" s="782"/>
      <c r="Y9" s="40">
        <f t="shared" ref="Y9:AE9" si="23">$J$9</f>
        <v>6.4516129032258061</v>
      </c>
      <c r="Z9" s="40">
        <f t="shared" si="23"/>
        <v>6.4516129032258061</v>
      </c>
      <c r="AA9" s="40">
        <f t="shared" si="23"/>
        <v>6.4516129032258061</v>
      </c>
      <c r="AB9" s="40">
        <f t="shared" si="23"/>
        <v>6.4516129032258061</v>
      </c>
      <c r="AC9" s="40">
        <f t="shared" si="23"/>
        <v>6.4516129032258061</v>
      </c>
      <c r="AD9" s="40">
        <f t="shared" si="23"/>
        <v>6.4516129032258061</v>
      </c>
      <c r="AE9" s="40">
        <f t="shared" si="23"/>
        <v>6.4516129032258061</v>
      </c>
      <c r="AF9" s="782"/>
      <c r="AG9" s="911">
        <f t="shared" ref="AG9:AG27" si="24">SUM(Y9:AE9)</f>
        <v>45.161290322580648</v>
      </c>
      <c r="AH9" s="1284">
        <f t="shared" ref="AH9:AH25" si="25">($AG$3*K9)*30%</f>
        <v>34.643187987563572</v>
      </c>
      <c r="AI9" s="936">
        <f t="shared" ref="AI9:AI27" si="26">AH9-AG9</f>
        <v>-10.518102335017076</v>
      </c>
      <c r="AJ9" s="782"/>
      <c r="AK9" s="1284">
        <f t="shared" ref="AK9:AQ9" si="27">$J$9</f>
        <v>6.4516129032258061</v>
      </c>
      <c r="AL9" s="1284">
        <f t="shared" si="27"/>
        <v>6.4516129032258061</v>
      </c>
      <c r="AM9" s="1325">
        <f t="shared" si="27"/>
        <v>6.4516129032258061</v>
      </c>
      <c r="AN9" s="1325">
        <f t="shared" si="27"/>
        <v>6.4516129032258061</v>
      </c>
      <c r="AO9" s="1330">
        <f t="shared" si="27"/>
        <v>6.4516129032258061</v>
      </c>
      <c r="AP9" s="1333">
        <f t="shared" si="27"/>
        <v>6.4516129032258061</v>
      </c>
      <c r="AQ9" s="1284">
        <f t="shared" si="27"/>
        <v>6.4516129032258061</v>
      </c>
      <c r="AR9" s="782"/>
      <c r="AS9" s="911">
        <f t="shared" ref="AS9:AS27" si="28">SUM(AK9:AQ9)</f>
        <v>45.161290322580648</v>
      </c>
      <c r="AT9" s="1284">
        <f t="shared" ref="AT9:AT27" si="29">($AS$3*K9)*30%</f>
        <v>37.277006504285225</v>
      </c>
      <c r="AU9" s="936">
        <f t="shared" ref="AU9:AU10" si="30">AT9-AS9</f>
        <v>-7.8842838182954225</v>
      </c>
      <c r="AV9" s="782"/>
      <c r="AW9" s="1284">
        <f t="shared" ref="AW9:BC9" si="31">$J$9</f>
        <v>6.4516129032258061</v>
      </c>
      <c r="AX9" s="1284">
        <f t="shared" si="31"/>
        <v>6.4516129032258061</v>
      </c>
      <c r="AY9" s="1336">
        <f t="shared" si="31"/>
        <v>6.4516129032258061</v>
      </c>
      <c r="AZ9" s="1336">
        <f t="shared" si="31"/>
        <v>6.4516129032258061</v>
      </c>
      <c r="BA9" s="1341">
        <f t="shared" si="31"/>
        <v>6.4516129032258061</v>
      </c>
      <c r="BB9" s="1345">
        <f t="shared" si="31"/>
        <v>6.4516129032258061</v>
      </c>
      <c r="BC9" s="1284">
        <f t="shared" si="31"/>
        <v>6.4516129032258061</v>
      </c>
      <c r="BD9" s="782"/>
      <c r="BE9" s="911">
        <f t="shared" si="13"/>
        <v>45.161290322580648</v>
      </c>
      <c r="BF9" s="1284">
        <f t="shared" ref="BF9:BF27" si="32">($BE$3*K9)*30%</f>
        <v>49.612101396183874</v>
      </c>
      <c r="BG9" s="936">
        <f t="shared" ref="BG9:BG10" si="33">BF9-BE9</f>
        <v>4.4508110736032265</v>
      </c>
      <c r="BH9" s="1296"/>
      <c r="BI9" s="40">
        <f t="shared" ref="BI9:BK9" si="34">$J$9</f>
        <v>6.4516129032258061</v>
      </c>
      <c r="BJ9" s="1284">
        <f t="shared" si="34"/>
        <v>6.4516129032258061</v>
      </c>
      <c r="BK9" s="1284">
        <f t="shared" si="34"/>
        <v>6.4516129032258061</v>
      </c>
      <c r="BL9" s="1296"/>
      <c r="BM9" s="911">
        <f t="shared" ref="BM9:BM17" si="35">SUM(BI9:BK9)</f>
        <v>19.354838709677416</v>
      </c>
      <c r="BN9" s="1284">
        <f t="shared" si="15"/>
        <v>22.14667418759209</v>
      </c>
      <c r="BO9" s="936">
        <f t="shared" ref="BO9:BO10" si="36">BN9-BM9</f>
        <v>2.7918354779146739</v>
      </c>
      <c r="BQ9" s="40">
        <v>200</v>
      </c>
      <c r="BR9" s="51">
        <f t="shared" si="16"/>
        <v>1</v>
      </c>
      <c r="BT9" s="925">
        <f t="shared" si="17"/>
        <v>200</v>
      </c>
      <c r="BU9" s="1014">
        <f t="shared" si="18"/>
        <v>1</v>
      </c>
      <c r="BV9" s="62"/>
      <c r="BX9" s="1224"/>
      <c r="BY9" s="482"/>
      <c r="BZ9" s="444"/>
      <c r="CA9" s="438"/>
      <c r="CB9" s="438"/>
      <c r="CC9" s="438"/>
      <c r="CD9" s="438"/>
      <c r="CE9" s="438"/>
      <c r="CF9" s="438"/>
    </row>
    <row r="10" spans="1:172" x14ac:dyDescent="0.2">
      <c r="B10" s="433">
        <v>3</v>
      </c>
      <c r="C10" s="3" t="s">
        <v>23</v>
      </c>
      <c r="D10" s="814"/>
      <c r="E10" s="5">
        <v>62</v>
      </c>
      <c r="F10" s="5">
        <f t="shared" si="3"/>
        <v>6.2</v>
      </c>
      <c r="G10" s="5">
        <f t="shared" si="4"/>
        <v>4.1333333333333337</v>
      </c>
      <c r="H10" s="5">
        <f t="shared" si="5"/>
        <v>3.1</v>
      </c>
      <c r="I10" s="5">
        <f t="shared" si="6"/>
        <v>2.48</v>
      </c>
      <c r="J10" s="5">
        <f t="shared" si="19"/>
        <v>2</v>
      </c>
      <c r="K10" s="194">
        <f t="shared" si="7"/>
        <v>5.5599846113974311E-2</v>
      </c>
      <c r="L10" s="28"/>
      <c r="M10" s="5">
        <f t="shared" ref="M10:S10" si="37">$J$10</f>
        <v>2</v>
      </c>
      <c r="N10" s="5">
        <f t="shared" si="37"/>
        <v>2</v>
      </c>
      <c r="O10" s="5">
        <f t="shared" si="37"/>
        <v>2</v>
      </c>
      <c r="P10" s="5">
        <f t="shared" si="37"/>
        <v>2</v>
      </c>
      <c r="Q10" s="5">
        <f t="shared" si="37"/>
        <v>2</v>
      </c>
      <c r="R10" s="5">
        <f t="shared" si="37"/>
        <v>2</v>
      </c>
      <c r="S10" s="5">
        <f t="shared" si="37"/>
        <v>2</v>
      </c>
      <c r="T10" s="14"/>
      <c r="U10" s="937">
        <f t="shared" si="9"/>
        <v>14</v>
      </c>
      <c r="V10" s="5">
        <f t="shared" si="21"/>
        <v>15.409775349718551</v>
      </c>
      <c r="W10" s="1143">
        <f t="shared" si="22"/>
        <v>1.4097753497185508</v>
      </c>
      <c r="X10" s="145"/>
      <c r="Y10" s="5">
        <f t="shared" ref="Y10:AE10" si="38">$J$10</f>
        <v>2</v>
      </c>
      <c r="Z10" s="5">
        <f t="shared" si="38"/>
        <v>2</v>
      </c>
      <c r="AA10" s="5">
        <f t="shared" si="38"/>
        <v>2</v>
      </c>
      <c r="AB10" s="5">
        <f t="shared" si="38"/>
        <v>2</v>
      </c>
      <c r="AC10" s="5">
        <f t="shared" si="38"/>
        <v>2</v>
      </c>
      <c r="AD10" s="5">
        <f t="shared" si="38"/>
        <v>2</v>
      </c>
      <c r="AE10" s="5">
        <f t="shared" si="38"/>
        <v>2</v>
      </c>
      <c r="AF10" s="145"/>
      <c r="AG10" s="937">
        <f t="shared" si="24"/>
        <v>14</v>
      </c>
      <c r="AH10" s="1283">
        <f t="shared" si="25"/>
        <v>10.739388276144707</v>
      </c>
      <c r="AI10" s="938">
        <f t="shared" si="26"/>
        <v>-3.260611723855293</v>
      </c>
      <c r="AJ10" s="145"/>
      <c r="AK10" s="1283">
        <f t="shared" ref="AK10:AQ10" si="39">$J$10</f>
        <v>2</v>
      </c>
      <c r="AL10" s="1283">
        <f t="shared" si="39"/>
        <v>2</v>
      </c>
      <c r="AM10" s="1326">
        <f t="shared" si="39"/>
        <v>2</v>
      </c>
      <c r="AN10" s="1326">
        <f t="shared" si="39"/>
        <v>2</v>
      </c>
      <c r="AO10" s="1329">
        <f t="shared" si="39"/>
        <v>2</v>
      </c>
      <c r="AP10" s="1332">
        <f t="shared" si="39"/>
        <v>2</v>
      </c>
      <c r="AQ10" s="1283">
        <f t="shared" si="39"/>
        <v>2</v>
      </c>
      <c r="AR10" s="145"/>
      <c r="AS10" s="937">
        <f t="shared" si="28"/>
        <v>14</v>
      </c>
      <c r="AT10" s="1283">
        <f t="shared" si="29"/>
        <v>11.55587201632842</v>
      </c>
      <c r="AU10" s="938">
        <f t="shared" si="30"/>
        <v>-2.4441279836715797</v>
      </c>
      <c r="AV10" s="145"/>
      <c r="AW10" s="1283">
        <f t="shared" ref="AW10:BC10" si="40">$J$10</f>
        <v>2</v>
      </c>
      <c r="AX10" s="1283">
        <f t="shared" si="40"/>
        <v>2</v>
      </c>
      <c r="AY10" s="1337">
        <f t="shared" si="40"/>
        <v>2</v>
      </c>
      <c r="AZ10" s="1337">
        <f t="shared" si="40"/>
        <v>2</v>
      </c>
      <c r="BA10" s="1340">
        <f t="shared" si="40"/>
        <v>2</v>
      </c>
      <c r="BB10" s="1344">
        <f t="shared" si="40"/>
        <v>2</v>
      </c>
      <c r="BC10" s="1283">
        <f t="shared" si="40"/>
        <v>2</v>
      </c>
      <c r="BD10" s="145"/>
      <c r="BE10" s="937">
        <f t="shared" si="13"/>
        <v>14</v>
      </c>
      <c r="BF10" s="1283">
        <f t="shared" si="32"/>
        <v>15.379751432817002</v>
      </c>
      <c r="BG10" s="938">
        <f t="shared" si="33"/>
        <v>1.3797514328170024</v>
      </c>
      <c r="BH10" s="14"/>
      <c r="BI10" s="5">
        <f t="shared" ref="BI10:BK10" si="41">$J$10</f>
        <v>2</v>
      </c>
      <c r="BJ10" s="1283">
        <f t="shared" si="41"/>
        <v>2</v>
      </c>
      <c r="BK10" s="1283">
        <f t="shared" si="41"/>
        <v>2</v>
      </c>
      <c r="BL10" s="14"/>
      <c r="BM10" s="937">
        <f t="shared" si="35"/>
        <v>6</v>
      </c>
      <c r="BN10" s="1283">
        <f t="shared" si="15"/>
        <v>6.8654689981535482</v>
      </c>
      <c r="BO10" s="938">
        <f t="shared" si="36"/>
        <v>0.86546899815354816</v>
      </c>
      <c r="BQ10" s="5">
        <v>60</v>
      </c>
      <c r="BR10" s="9">
        <f t="shared" si="16"/>
        <v>0.967741935483871</v>
      </c>
      <c r="BT10" s="937">
        <f t="shared" si="17"/>
        <v>62</v>
      </c>
      <c r="BU10" s="1015">
        <f t="shared" si="18"/>
        <v>1</v>
      </c>
      <c r="BV10" s="29"/>
      <c r="BX10" s="1225"/>
      <c r="BY10" s="480"/>
      <c r="BZ10" s="438"/>
      <c r="CA10" s="444"/>
      <c r="CB10" s="444"/>
      <c r="CC10" s="444"/>
      <c r="CD10" s="444"/>
      <c r="CE10" s="444"/>
      <c r="CF10" s="444"/>
    </row>
    <row r="11" spans="1:172" s="255" customFormat="1" x14ac:dyDescent="0.2">
      <c r="B11" s="43">
        <v>4</v>
      </c>
      <c r="C11" s="43" t="s">
        <v>127</v>
      </c>
      <c r="D11" s="813"/>
      <c r="E11" s="40">
        <v>46.395000000000003</v>
      </c>
      <c r="F11" s="40">
        <f t="shared" si="3"/>
        <v>4.6395</v>
      </c>
      <c r="G11" s="40">
        <f t="shared" si="4"/>
        <v>3.0930000000000004</v>
      </c>
      <c r="H11" s="40">
        <f t="shared" si="5"/>
        <v>2.31975</v>
      </c>
      <c r="I11" s="40">
        <f t="shared" si="6"/>
        <v>1.8558000000000001</v>
      </c>
      <c r="J11" s="40">
        <f t="shared" si="19"/>
        <v>1.4966129032258066</v>
      </c>
      <c r="K11" s="206">
        <f t="shared" si="7"/>
        <v>4.1605723555771586E-2</v>
      </c>
      <c r="L11" s="411"/>
      <c r="M11" s="40">
        <f t="shared" ref="M11:S11" si="42">$J$11</f>
        <v>1.4966129032258066</v>
      </c>
      <c r="N11" s="40">
        <f t="shared" si="42"/>
        <v>1.4966129032258066</v>
      </c>
      <c r="O11" s="40">
        <f t="shared" si="42"/>
        <v>1.4966129032258066</v>
      </c>
      <c r="P11" s="40">
        <f t="shared" si="42"/>
        <v>1.4966129032258066</v>
      </c>
      <c r="Q11" s="40">
        <f t="shared" si="42"/>
        <v>1.4966129032258066</v>
      </c>
      <c r="R11" s="40">
        <f t="shared" si="42"/>
        <v>1.4966129032258066</v>
      </c>
      <c r="S11" s="40">
        <f t="shared" si="42"/>
        <v>1.4966129032258066</v>
      </c>
      <c r="T11" s="1296"/>
      <c r="U11" s="911">
        <f t="shared" si="9"/>
        <v>10.476290322580645</v>
      </c>
      <c r="V11" s="40">
        <f t="shared" si="21"/>
        <v>11.531234312099873</v>
      </c>
      <c r="W11" s="586">
        <f>V11-U11</f>
        <v>1.0549439895192272</v>
      </c>
      <c r="X11" s="782"/>
      <c r="Y11" s="40">
        <f t="shared" ref="Y11:AE11" si="43">$J$11</f>
        <v>1.4966129032258066</v>
      </c>
      <c r="Z11" s="40">
        <f t="shared" si="43"/>
        <v>1.4966129032258066</v>
      </c>
      <c r="AA11" s="40">
        <f t="shared" si="43"/>
        <v>1.4966129032258066</v>
      </c>
      <c r="AB11" s="40">
        <f t="shared" si="43"/>
        <v>1.4966129032258066</v>
      </c>
      <c r="AC11" s="40">
        <f t="shared" si="43"/>
        <v>1.4966129032258066</v>
      </c>
      <c r="AD11" s="40">
        <f t="shared" si="43"/>
        <v>1.4966129032258066</v>
      </c>
      <c r="AE11" s="40">
        <f t="shared" si="43"/>
        <v>1.4966129032258066</v>
      </c>
      <c r="AF11" s="782"/>
      <c r="AG11" s="911">
        <f t="shared" si="24"/>
        <v>10.476290322580645</v>
      </c>
      <c r="AH11" s="1284">
        <f t="shared" si="25"/>
        <v>8.0363535334150598</v>
      </c>
      <c r="AI11" s="936">
        <f>AH11-AG11</f>
        <v>-2.4399367891655857</v>
      </c>
      <c r="AJ11" s="782"/>
      <c r="AK11" s="1284">
        <f t="shared" ref="AK11:AQ11" si="44">$J$11</f>
        <v>1.4966129032258066</v>
      </c>
      <c r="AL11" s="1284">
        <f t="shared" si="44"/>
        <v>1.4966129032258066</v>
      </c>
      <c r="AM11" s="1325">
        <f t="shared" si="44"/>
        <v>1.4966129032258066</v>
      </c>
      <c r="AN11" s="1325">
        <f t="shared" si="44"/>
        <v>1.4966129032258066</v>
      </c>
      <c r="AO11" s="1330">
        <f t="shared" si="44"/>
        <v>1.4966129032258066</v>
      </c>
      <c r="AP11" s="1333">
        <f t="shared" si="44"/>
        <v>1.4966129032258066</v>
      </c>
      <c r="AQ11" s="1284">
        <f t="shared" si="44"/>
        <v>1.4966129032258066</v>
      </c>
      <c r="AR11" s="782"/>
      <c r="AS11" s="911">
        <f t="shared" si="28"/>
        <v>10.476290322580645</v>
      </c>
      <c r="AT11" s="1284">
        <f t="shared" si="29"/>
        <v>8.6473335838315659</v>
      </c>
      <c r="AU11" s="936">
        <f>AT11-AS11</f>
        <v>-1.8289567387490795</v>
      </c>
      <c r="AV11" s="782"/>
      <c r="AW11" s="1284">
        <f t="shared" ref="AW11:BC11" si="45">$J$11</f>
        <v>1.4966129032258066</v>
      </c>
      <c r="AX11" s="1284">
        <f t="shared" si="45"/>
        <v>1.4966129032258066</v>
      </c>
      <c r="AY11" s="1336">
        <f t="shared" si="45"/>
        <v>1.4966129032258066</v>
      </c>
      <c r="AZ11" s="1336">
        <f t="shared" si="45"/>
        <v>1.4966129032258066</v>
      </c>
      <c r="BA11" s="1341">
        <f t="shared" si="45"/>
        <v>1.4966129032258066</v>
      </c>
      <c r="BB11" s="1345">
        <f t="shared" si="45"/>
        <v>1.4966129032258066</v>
      </c>
      <c r="BC11" s="1284">
        <f t="shared" si="45"/>
        <v>1.4966129032258066</v>
      </c>
      <c r="BD11" s="782"/>
      <c r="BE11" s="911">
        <f t="shared" si="13"/>
        <v>10.476290322580645</v>
      </c>
      <c r="BF11" s="1284">
        <f t="shared" si="32"/>
        <v>11.508767221379756</v>
      </c>
      <c r="BG11" s="936">
        <f>BF11-BE11</f>
        <v>1.0324768987991106</v>
      </c>
      <c r="BH11" s="1296"/>
      <c r="BI11" s="40">
        <f t="shared" ref="BI11:BK11" si="46">$J$11</f>
        <v>1.4966129032258066</v>
      </c>
      <c r="BJ11" s="1284">
        <f t="shared" si="46"/>
        <v>1.4966129032258066</v>
      </c>
      <c r="BK11" s="1284">
        <f t="shared" si="46"/>
        <v>1.4966129032258066</v>
      </c>
      <c r="BL11" s="1296"/>
      <c r="BM11" s="911">
        <f t="shared" si="35"/>
        <v>4.4898387096774197</v>
      </c>
      <c r="BN11" s="1284">
        <f t="shared" si="15"/>
        <v>5.1374747446666751</v>
      </c>
      <c r="BO11" s="936">
        <f>BN11-BM11</f>
        <v>0.64763603498925537</v>
      </c>
      <c r="BQ11" s="40">
        <v>46.395000000000003</v>
      </c>
      <c r="BR11" s="51">
        <f t="shared" si="16"/>
        <v>1</v>
      </c>
      <c r="BT11" s="911">
        <f t="shared" si="17"/>
        <v>46.395000000000003</v>
      </c>
      <c r="BU11" s="1016">
        <f t="shared" si="18"/>
        <v>1</v>
      </c>
      <c r="BV11" s="62"/>
      <c r="BX11" s="1226"/>
      <c r="BY11" s="62"/>
      <c r="BZ11" s="1033"/>
      <c r="CA11" s="438"/>
      <c r="CB11" s="438"/>
      <c r="CC11" s="438"/>
      <c r="CD11" s="438"/>
      <c r="CE11" s="438"/>
      <c r="CF11" s="438"/>
    </row>
    <row r="12" spans="1:172" x14ac:dyDescent="0.2">
      <c r="A12" s="432"/>
      <c r="B12" s="433">
        <v>5</v>
      </c>
      <c r="C12" s="3" t="s">
        <v>165</v>
      </c>
      <c r="D12" s="814"/>
      <c r="E12" s="5">
        <v>25.5</v>
      </c>
      <c r="F12" s="5">
        <f t="shared" si="3"/>
        <v>2.5499999999999998</v>
      </c>
      <c r="G12" s="5">
        <f t="shared" si="4"/>
        <v>1.7</v>
      </c>
      <c r="H12" s="5">
        <f t="shared" si="5"/>
        <v>1.2749999999999999</v>
      </c>
      <c r="I12" s="5">
        <f t="shared" si="6"/>
        <v>1.02</v>
      </c>
      <c r="J12" s="5">
        <f t="shared" si="19"/>
        <v>0.82258064516129037</v>
      </c>
      <c r="K12" s="194">
        <f t="shared" si="7"/>
        <v>2.2867678643650725E-2</v>
      </c>
      <c r="L12" s="28"/>
      <c r="M12" s="5">
        <f t="shared" ref="M12:S12" si="47">$J$12</f>
        <v>0.82258064516129037</v>
      </c>
      <c r="N12" s="5">
        <f t="shared" si="47"/>
        <v>0.82258064516129037</v>
      </c>
      <c r="O12" s="5">
        <f t="shared" si="47"/>
        <v>0.82258064516129037</v>
      </c>
      <c r="P12" s="5">
        <f t="shared" si="47"/>
        <v>0.82258064516129037</v>
      </c>
      <c r="Q12" s="5">
        <f t="shared" si="47"/>
        <v>0.82258064516129037</v>
      </c>
      <c r="R12" s="5">
        <f t="shared" si="47"/>
        <v>0.82258064516129037</v>
      </c>
      <c r="S12" s="5">
        <f t="shared" si="47"/>
        <v>0.82258064516129037</v>
      </c>
      <c r="T12" s="14"/>
      <c r="U12" s="937">
        <f t="shared" si="9"/>
        <v>5.758064516129032</v>
      </c>
      <c r="V12" s="5">
        <f t="shared" si="21"/>
        <v>6.3378914744810171</v>
      </c>
      <c r="W12" s="1143">
        <f t="shared" si="22"/>
        <v>0.57982695835198506</v>
      </c>
      <c r="X12" s="145"/>
      <c r="Y12" s="5">
        <f t="shared" ref="Y12:AE12" si="48">$J$12</f>
        <v>0.82258064516129037</v>
      </c>
      <c r="Z12" s="5">
        <f t="shared" si="48"/>
        <v>0.82258064516129037</v>
      </c>
      <c r="AA12" s="5">
        <f t="shared" si="48"/>
        <v>0.82258064516129037</v>
      </c>
      <c r="AB12" s="5">
        <f t="shared" si="48"/>
        <v>0.82258064516129037</v>
      </c>
      <c r="AC12" s="5">
        <f t="shared" si="48"/>
        <v>0.82258064516129037</v>
      </c>
      <c r="AD12" s="5">
        <f t="shared" si="48"/>
        <v>0.82258064516129037</v>
      </c>
      <c r="AE12" s="5">
        <f t="shared" si="48"/>
        <v>0.82258064516129037</v>
      </c>
      <c r="AF12" s="145"/>
      <c r="AG12" s="937">
        <f t="shared" si="24"/>
        <v>5.758064516129032</v>
      </c>
      <c r="AH12" s="1283">
        <f t="shared" si="25"/>
        <v>4.417006468414356</v>
      </c>
      <c r="AI12" s="938">
        <f t="shared" si="26"/>
        <v>-1.3410580477146761</v>
      </c>
      <c r="AJ12" s="145"/>
      <c r="AK12" s="1283">
        <f t="shared" ref="AK12:AQ12" si="49">$J$12</f>
        <v>0.82258064516129037</v>
      </c>
      <c r="AL12" s="1283">
        <f t="shared" si="49"/>
        <v>0.82258064516129037</v>
      </c>
      <c r="AM12" s="1326">
        <f t="shared" si="49"/>
        <v>0.82258064516129037</v>
      </c>
      <c r="AN12" s="1326">
        <f t="shared" si="49"/>
        <v>0.82258064516129037</v>
      </c>
      <c r="AO12" s="1329">
        <f t="shared" si="49"/>
        <v>0.82258064516129037</v>
      </c>
      <c r="AP12" s="1332">
        <f t="shared" si="49"/>
        <v>0.82258064516129037</v>
      </c>
      <c r="AQ12" s="1283">
        <f t="shared" si="49"/>
        <v>0.82258064516129037</v>
      </c>
      <c r="AR12" s="145"/>
      <c r="AS12" s="937">
        <f t="shared" si="28"/>
        <v>5.758064516129032</v>
      </c>
      <c r="AT12" s="1283">
        <f t="shared" si="29"/>
        <v>4.7528183292963675</v>
      </c>
      <c r="AU12" s="938">
        <f t="shared" ref="AU12:AU27" si="50">AT12-AS12</f>
        <v>-1.0052461868326645</v>
      </c>
      <c r="AV12" s="145"/>
      <c r="AW12" s="1283">
        <f t="shared" ref="AW12:BC12" si="51">$J$12</f>
        <v>0.82258064516129037</v>
      </c>
      <c r="AX12" s="1283">
        <f t="shared" si="51"/>
        <v>0.82258064516129037</v>
      </c>
      <c r="AY12" s="1337">
        <f t="shared" si="51"/>
        <v>0.82258064516129037</v>
      </c>
      <c r="AZ12" s="1337">
        <f t="shared" si="51"/>
        <v>0.82258064516129037</v>
      </c>
      <c r="BA12" s="1340">
        <f t="shared" si="51"/>
        <v>0.82258064516129037</v>
      </c>
      <c r="BB12" s="1344">
        <f t="shared" si="51"/>
        <v>0.82258064516129037</v>
      </c>
      <c r="BC12" s="1283">
        <f t="shared" si="51"/>
        <v>0.82258064516129037</v>
      </c>
      <c r="BD12" s="145"/>
      <c r="BE12" s="937">
        <f t="shared" si="13"/>
        <v>5.758064516129032</v>
      </c>
      <c r="BF12" s="1283">
        <f t="shared" si="32"/>
        <v>6.3255429280134452</v>
      </c>
      <c r="BG12" s="938">
        <f t="shared" ref="BG12:BG27" si="52">BF12-BE12</f>
        <v>0.56747841188441317</v>
      </c>
      <c r="BH12" s="14"/>
      <c r="BI12" s="5">
        <f t="shared" ref="BI12:BK12" si="53">$J$12</f>
        <v>0.82258064516129037</v>
      </c>
      <c r="BJ12" s="1283">
        <f t="shared" si="53"/>
        <v>0.82258064516129037</v>
      </c>
      <c r="BK12" s="1283">
        <f t="shared" si="53"/>
        <v>0.82258064516129037</v>
      </c>
      <c r="BL12" s="14"/>
      <c r="BM12" s="937">
        <f t="shared" si="35"/>
        <v>2.467741935483871</v>
      </c>
      <c r="BN12" s="1283">
        <f t="shared" si="15"/>
        <v>2.8237009589179918</v>
      </c>
      <c r="BO12" s="938">
        <f t="shared" ref="BO12:BO27" si="54">BN12-BM12</f>
        <v>0.35595902343412078</v>
      </c>
      <c r="BQ12" s="5">
        <v>25.5</v>
      </c>
      <c r="BR12" s="9">
        <f t="shared" si="16"/>
        <v>1</v>
      </c>
      <c r="BT12" s="937">
        <f t="shared" si="17"/>
        <v>25.5</v>
      </c>
      <c r="BU12" s="1015">
        <f t="shared" si="18"/>
        <v>1</v>
      </c>
      <c r="BV12" s="29"/>
      <c r="BX12" s="1319"/>
      <c r="BY12" s="482"/>
      <c r="BZ12" s="1203"/>
      <c r="CA12" s="1288"/>
      <c r="CB12" s="1288"/>
      <c r="CC12" s="1288"/>
      <c r="CD12" s="1288"/>
      <c r="CE12" s="1288"/>
      <c r="CF12" s="1288"/>
    </row>
    <row r="13" spans="1:172" s="255" customFormat="1" x14ac:dyDescent="0.2">
      <c r="A13" s="426"/>
      <c r="B13" s="43">
        <v>6</v>
      </c>
      <c r="C13" s="427" t="s">
        <v>43</v>
      </c>
      <c r="D13" s="813"/>
      <c r="E13" s="40">
        <v>20</v>
      </c>
      <c r="F13" s="40">
        <f t="shared" si="3"/>
        <v>2</v>
      </c>
      <c r="G13" s="40">
        <f t="shared" si="4"/>
        <v>1.3333333333333333</v>
      </c>
      <c r="H13" s="40">
        <f t="shared" si="5"/>
        <v>1</v>
      </c>
      <c r="I13" s="40">
        <f t="shared" si="6"/>
        <v>0.8</v>
      </c>
      <c r="J13" s="40">
        <f t="shared" si="19"/>
        <v>0.64516129032258063</v>
      </c>
      <c r="K13" s="206">
        <f t="shared" si="7"/>
        <v>1.7935434230314292E-2</v>
      </c>
      <c r="L13" s="492"/>
      <c r="M13" s="40">
        <f t="shared" ref="M13:S13" si="55">$J$13</f>
        <v>0.64516129032258063</v>
      </c>
      <c r="N13" s="40">
        <f t="shared" si="55"/>
        <v>0.64516129032258063</v>
      </c>
      <c r="O13" s="40">
        <f t="shared" si="55"/>
        <v>0.64516129032258063</v>
      </c>
      <c r="P13" s="40">
        <f t="shared" si="55"/>
        <v>0.64516129032258063</v>
      </c>
      <c r="Q13" s="40">
        <f t="shared" si="55"/>
        <v>0.64516129032258063</v>
      </c>
      <c r="R13" s="40">
        <f t="shared" si="55"/>
        <v>0.64516129032258063</v>
      </c>
      <c r="S13" s="40">
        <f t="shared" si="55"/>
        <v>0.64516129032258063</v>
      </c>
      <c r="T13" s="1296"/>
      <c r="U13" s="911">
        <f t="shared" si="9"/>
        <v>4.5161290322580641</v>
      </c>
      <c r="V13" s="40">
        <f t="shared" si="21"/>
        <v>4.970895274102757</v>
      </c>
      <c r="W13" s="586">
        <f t="shared" si="22"/>
        <v>0.45476624184469294</v>
      </c>
      <c r="X13" s="782"/>
      <c r="Y13" s="40">
        <f t="shared" ref="Y13:AE13" si="56">$J$13</f>
        <v>0.64516129032258063</v>
      </c>
      <c r="Z13" s="40">
        <f t="shared" si="56"/>
        <v>0.64516129032258063</v>
      </c>
      <c r="AA13" s="40">
        <f t="shared" si="56"/>
        <v>0.64516129032258063</v>
      </c>
      <c r="AB13" s="40">
        <f t="shared" si="56"/>
        <v>0.64516129032258063</v>
      </c>
      <c r="AC13" s="40">
        <f t="shared" si="56"/>
        <v>0.64516129032258063</v>
      </c>
      <c r="AD13" s="40">
        <f t="shared" si="56"/>
        <v>0.64516129032258063</v>
      </c>
      <c r="AE13" s="40">
        <f t="shared" si="56"/>
        <v>0.64516129032258063</v>
      </c>
      <c r="AF13" s="782"/>
      <c r="AG13" s="911">
        <f t="shared" si="24"/>
        <v>4.5161290322580641</v>
      </c>
      <c r="AH13" s="1284">
        <f t="shared" si="25"/>
        <v>3.4643187987563571</v>
      </c>
      <c r="AI13" s="936">
        <f t="shared" si="26"/>
        <v>-1.051810233501707</v>
      </c>
      <c r="AJ13" s="782"/>
      <c r="AK13" s="1284">
        <f t="shared" ref="AK13:AQ13" si="57">$J$13</f>
        <v>0.64516129032258063</v>
      </c>
      <c r="AL13" s="1284">
        <f t="shared" si="57"/>
        <v>0.64516129032258063</v>
      </c>
      <c r="AM13" s="1325">
        <f t="shared" si="57"/>
        <v>0.64516129032258063</v>
      </c>
      <c r="AN13" s="1325">
        <f t="shared" si="57"/>
        <v>0.64516129032258063</v>
      </c>
      <c r="AO13" s="1330">
        <f t="shared" si="57"/>
        <v>0.64516129032258063</v>
      </c>
      <c r="AP13" s="1333">
        <f t="shared" si="57"/>
        <v>0.64516129032258063</v>
      </c>
      <c r="AQ13" s="1284">
        <f t="shared" si="57"/>
        <v>0.64516129032258063</v>
      </c>
      <c r="AR13" s="782"/>
      <c r="AS13" s="911">
        <f t="shared" si="28"/>
        <v>4.5161290322580641</v>
      </c>
      <c r="AT13" s="1284">
        <f t="shared" si="29"/>
        <v>3.7277006504285226</v>
      </c>
      <c r="AU13" s="936">
        <f t="shared" si="50"/>
        <v>-0.78842838182954145</v>
      </c>
      <c r="AV13" s="782"/>
      <c r="AW13" s="1284">
        <f t="shared" ref="AW13:BC13" si="58">$J$13</f>
        <v>0.64516129032258063</v>
      </c>
      <c r="AX13" s="1284">
        <f t="shared" si="58"/>
        <v>0.64516129032258063</v>
      </c>
      <c r="AY13" s="1336">
        <f t="shared" si="58"/>
        <v>0.64516129032258063</v>
      </c>
      <c r="AZ13" s="1336">
        <f t="shared" si="58"/>
        <v>0.64516129032258063</v>
      </c>
      <c r="BA13" s="1341">
        <f t="shared" si="58"/>
        <v>0.64516129032258063</v>
      </c>
      <c r="BB13" s="1345">
        <f t="shared" si="58"/>
        <v>0.64516129032258063</v>
      </c>
      <c r="BC13" s="1284">
        <f t="shared" si="58"/>
        <v>0.64516129032258063</v>
      </c>
      <c r="BD13" s="782"/>
      <c r="BE13" s="911">
        <f t="shared" si="13"/>
        <v>4.5161290322580641</v>
      </c>
      <c r="BF13" s="1284">
        <f t="shared" si="32"/>
        <v>4.9612101396183874</v>
      </c>
      <c r="BG13" s="936">
        <f t="shared" si="52"/>
        <v>0.44508110736032336</v>
      </c>
      <c r="BH13" s="1296"/>
      <c r="BI13" s="40">
        <f t="shared" ref="BI13:BK13" si="59">$J$13</f>
        <v>0.64516129032258063</v>
      </c>
      <c r="BJ13" s="1284">
        <f t="shared" si="59"/>
        <v>0.64516129032258063</v>
      </c>
      <c r="BK13" s="1284">
        <f t="shared" si="59"/>
        <v>0.64516129032258063</v>
      </c>
      <c r="BL13" s="1296"/>
      <c r="BM13" s="911">
        <f t="shared" si="35"/>
        <v>1.935483870967742</v>
      </c>
      <c r="BN13" s="1284">
        <f t="shared" si="15"/>
        <v>2.2146674187592086</v>
      </c>
      <c r="BO13" s="936">
        <f t="shared" si="54"/>
        <v>0.27918354779146659</v>
      </c>
      <c r="BQ13" s="40">
        <v>20</v>
      </c>
      <c r="BR13" s="51">
        <f t="shared" si="16"/>
        <v>1</v>
      </c>
      <c r="BT13" s="911">
        <f t="shared" si="17"/>
        <v>20</v>
      </c>
      <c r="BU13" s="1016">
        <f t="shared" si="18"/>
        <v>1</v>
      </c>
      <c r="BV13" s="62"/>
      <c r="BX13" s="1320"/>
      <c r="BY13" s="29"/>
      <c r="BZ13" s="1288"/>
      <c r="CA13" s="81"/>
      <c r="CB13" s="81"/>
      <c r="CC13" s="81"/>
      <c r="CD13" s="81"/>
      <c r="CE13" s="81"/>
      <c r="CF13" s="81"/>
    </row>
    <row r="14" spans="1:172" s="432" customFormat="1" x14ac:dyDescent="0.2">
      <c r="B14" s="433">
        <v>7</v>
      </c>
      <c r="C14" s="433" t="s">
        <v>144</v>
      </c>
      <c r="D14" s="780"/>
      <c r="E14" s="347">
        <v>12</v>
      </c>
      <c r="F14" s="347">
        <f t="shared" si="3"/>
        <v>1.2</v>
      </c>
      <c r="G14" s="347">
        <f t="shared" si="4"/>
        <v>0.8</v>
      </c>
      <c r="H14" s="347">
        <f t="shared" si="5"/>
        <v>0.6</v>
      </c>
      <c r="I14" s="347">
        <f t="shared" si="6"/>
        <v>0.48</v>
      </c>
      <c r="J14" s="347">
        <f t="shared" si="19"/>
        <v>0.38709677419354838</v>
      </c>
      <c r="K14" s="531">
        <f t="shared" si="7"/>
        <v>1.0761260538188577E-2</v>
      </c>
      <c r="L14" s="28"/>
      <c r="M14" s="347">
        <f t="shared" ref="M14:S14" si="60">$J$14</f>
        <v>0.38709677419354838</v>
      </c>
      <c r="N14" s="347">
        <f t="shared" si="60"/>
        <v>0.38709677419354838</v>
      </c>
      <c r="O14" s="347">
        <f t="shared" si="60"/>
        <v>0.38709677419354838</v>
      </c>
      <c r="P14" s="347">
        <f t="shared" si="60"/>
        <v>0.38709677419354838</v>
      </c>
      <c r="Q14" s="347">
        <f t="shared" si="60"/>
        <v>0.38709677419354838</v>
      </c>
      <c r="R14" s="347">
        <f t="shared" si="60"/>
        <v>0.38709677419354838</v>
      </c>
      <c r="S14" s="347">
        <f t="shared" si="60"/>
        <v>0.38709677419354838</v>
      </c>
      <c r="T14" s="481"/>
      <c r="U14" s="927">
        <f t="shared" si="9"/>
        <v>2.709677419354839</v>
      </c>
      <c r="V14" s="347">
        <f t="shared" si="21"/>
        <v>2.9825371644616552</v>
      </c>
      <c r="W14" s="928">
        <f t="shared" si="22"/>
        <v>0.27285974510681621</v>
      </c>
      <c r="X14" s="781"/>
      <c r="Y14" s="347">
        <f t="shared" ref="Y14:AE14" si="61">$J$14</f>
        <v>0.38709677419354838</v>
      </c>
      <c r="Z14" s="347">
        <f t="shared" si="61"/>
        <v>0.38709677419354838</v>
      </c>
      <c r="AA14" s="347">
        <f t="shared" si="61"/>
        <v>0.38709677419354838</v>
      </c>
      <c r="AB14" s="347">
        <f t="shared" si="61"/>
        <v>0.38709677419354838</v>
      </c>
      <c r="AC14" s="347">
        <f t="shared" si="61"/>
        <v>0.38709677419354838</v>
      </c>
      <c r="AD14" s="347">
        <f t="shared" si="61"/>
        <v>0.38709677419354838</v>
      </c>
      <c r="AE14" s="347">
        <f t="shared" si="61"/>
        <v>0.38709677419354838</v>
      </c>
      <c r="AF14" s="781"/>
      <c r="AG14" s="927">
        <f t="shared" si="24"/>
        <v>2.709677419354839</v>
      </c>
      <c r="AH14" s="483">
        <f t="shared" si="25"/>
        <v>2.0785912792538146</v>
      </c>
      <c r="AI14" s="939">
        <f t="shared" si="26"/>
        <v>-0.63108614010102437</v>
      </c>
      <c r="AJ14" s="781"/>
      <c r="AK14" s="483">
        <f t="shared" ref="AK14:AQ14" si="62">$J$14</f>
        <v>0.38709677419354838</v>
      </c>
      <c r="AL14" s="483">
        <f t="shared" si="62"/>
        <v>0.38709677419354838</v>
      </c>
      <c r="AM14" s="483">
        <f t="shared" si="62"/>
        <v>0.38709677419354838</v>
      </c>
      <c r="AN14" s="483">
        <f t="shared" si="62"/>
        <v>0.38709677419354838</v>
      </c>
      <c r="AO14" s="483">
        <f t="shared" si="62"/>
        <v>0.38709677419354838</v>
      </c>
      <c r="AP14" s="483">
        <f t="shared" si="62"/>
        <v>0.38709677419354838</v>
      </c>
      <c r="AQ14" s="483">
        <f t="shared" si="62"/>
        <v>0.38709677419354838</v>
      </c>
      <c r="AR14" s="781"/>
      <c r="AS14" s="927">
        <f t="shared" si="28"/>
        <v>2.709677419354839</v>
      </c>
      <c r="AT14" s="483">
        <f t="shared" si="29"/>
        <v>2.236620390257114</v>
      </c>
      <c r="AU14" s="939">
        <f t="shared" si="50"/>
        <v>-0.47305702909772496</v>
      </c>
      <c r="AV14" s="781"/>
      <c r="AW14" s="483">
        <f t="shared" ref="AW14:BC14" si="63">$J$14</f>
        <v>0.38709677419354838</v>
      </c>
      <c r="AX14" s="483">
        <f t="shared" si="63"/>
        <v>0.38709677419354838</v>
      </c>
      <c r="AY14" s="483">
        <f t="shared" si="63"/>
        <v>0.38709677419354838</v>
      </c>
      <c r="AZ14" s="483">
        <f t="shared" si="63"/>
        <v>0.38709677419354838</v>
      </c>
      <c r="BA14" s="483">
        <f t="shared" si="63"/>
        <v>0.38709677419354838</v>
      </c>
      <c r="BB14" s="483">
        <f t="shared" si="63"/>
        <v>0.38709677419354838</v>
      </c>
      <c r="BC14" s="483">
        <f t="shared" si="63"/>
        <v>0.38709677419354838</v>
      </c>
      <c r="BD14" s="781"/>
      <c r="BE14" s="927">
        <f t="shared" si="13"/>
        <v>2.709677419354839</v>
      </c>
      <c r="BF14" s="483">
        <f t="shared" si="32"/>
        <v>2.976726083771033</v>
      </c>
      <c r="BG14" s="939">
        <f t="shared" si="52"/>
        <v>0.26704866441619401</v>
      </c>
      <c r="BH14" s="481"/>
      <c r="BI14" s="347">
        <f t="shared" ref="BI14:BK14" si="64">$J$14</f>
        <v>0.38709677419354838</v>
      </c>
      <c r="BJ14" s="483">
        <f t="shared" si="64"/>
        <v>0.38709677419354838</v>
      </c>
      <c r="BK14" s="483">
        <f t="shared" si="64"/>
        <v>0.38709677419354838</v>
      </c>
      <c r="BL14" s="481"/>
      <c r="BM14" s="927">
        <f t="shared" si="35"/>
        <v>1.161290322580645</v>
      </c>
      <c r="BN14" s="483">
        <f t="shared" si="15"/>
        <v>1.3288004512555256</v>
      </c>
      <c r="BO14" s="939">
        <f t="shared" si="54"/>
        <v>0.16751012867488058</v>
      </c>
      <c r="BQ14" s="347">
        <v>12</v>
      </c>
      <c r="BR14" s="485">
        <f t="shared" si="16"/>
        <v>1</v>
      </c>
      <c r="BT14" s="927">
        <f t="shared" si="17"/>
        <v>12</v>
      </c>
      <c r="BU14" s="1017">
        <f t="shared" si="18"/>
        <v>1</v>
      </c>
      <c r="BV14" s="482"/>
      <c r="BX14" s="1288"/>
      <c r="BY14" s="1170"/>
      <c r="BZ14" s="81"/>
      <c r="CA14" s="1288"/>
      <c r="CB14" s="1288"/>
      <c r="CC14" s="1288"/>
      <c r="CD14" s="1288"/>
      <c r="CE14" s="1288"/>
      <c r="CF14" s="1288"/>
    </row>
    <row r="15" spans="1:172" s="255" customFormat="1" x14ac:dyDescent="0.2">
      <c r="A15" s="426"/>
      <c r="B15" s="43">
        <v>8</v>
      </c>
      <c r="C15" s="427" t="s">
        <v>162</v>
      </c>
      <c r="D15" s="812"/>
      <c r="E15" s="132">
        <v>10</v>
      </c>
      <c r="F15" s="132">
        <f t="shared" si="3"/>
        <v>1</v>
      </c>
      <c r="G15" s="132">
        <f t="shared" si="4"/>
        <v>0.66666666666666663</v>
      </c>
      <c r="H15" s="132">
        <f t="shared" si="5"/>
        <v>0.5</v>
      </c>
      <c r="I15" s="132">
        <f t="shared" si="6"/>
        <v>0.4</v>
      </c>
      <c r="J15" s="132">
        <f t="shared" si="19"/>
        <v>0.32258064516129031</v>
      </c>
      <c r="K15" s="478">
        <f t="shared" si="7"/>
        <v>8.967717115157146E-3</v>
      </c>
      <c r="L15" s="492"/>
      <c r="M15" s="40">
        <f t="shared" ref="M15:S15" si="65">$J$15</f>
        <v>0.32258064516129031</v>
      </c>
      <c r="N15" s="40">
        <f t="shared" si="65"/>
        <v>0.32258064516129031</v>
      </c>
      <c r="O15" s="40">
        <f t="shared" si="65"/>
        <v>0.32258064516129031</v>
      </c>
      <c r="P15" s="40">
        <f t="shared" si="65"/>
        <v>0.32258064516129031</v>
      </c>
      <c r="Q15" s="40">
        <f t="shared" si="65"/>
        <v>0.32258064516129031</v>
      </c>
      <c r="R15" s="40">
        <f t="shared" si="65"/>
        <v>0.32258064516129031</v>
      </c>
      <c r="S15" s="40">
        <f t="shared" si="65"/>
        <v>0.32258064516129031</v>
      </c>
      <c r="T15" s="1296"/>
      <c r="U15" s="911">
        <f t="shared" si="9"/>
        <v>2.258064516129032</v>
      </c>
      <c r="V15" s="40">
        <f t="shared" si="21"/>
        <v>2.4854476370513785</v>
      </c>
      <c r="W15" s="586">
        <f t="shared" si="22"/>
        <v>0.22738312092234647</v>
      </c>
      <c r="X15" s="782"/>
      <c r="Y15" s="40">
        <f t="shared" ref="Y15:AE15" si="66">$J$15</f>
        <v>0.32258064516129031</v>
      </c>
      <c r="Z15" s="40">
        <f t="shared" si="66"/>
        <v>0.32258064516129031</v>
      </c>
      <c r="AA15" s="40">
        <f t="shared" si="66"/>
        <v>0.32258064516129031</v>
      </c>
      <c r="AB15" s="40">
        <f t="shared" si="66"/>
        <v>0.32258064516129031</v>
      </c>
      <c r="AC15" s="40">
        <f t="shared" si="66"/>
        <v>0.32258064516129031</v>
      </c>
      <c r="AD15" s="40">
        <f t="shared" si="66"/>
        <v>0.32258064516129031</v>
      </c>
      <c r="AE15" s="40">
        <f t="shared" si="66"/>
        <v>0.32258064516129031</v>
      </c>
      <c r="AF15" s="782"/>
      <c r="AG15" s="911">
        <f t="shared" si="24"/>
        <v>2.258064516129032</v>
      </c>
      <c r="AH15" s="1284">
        <f t="shared" si="25"/>
        <v>1.7321593993781785</v>
      </c>
      <c r="AI15" s="936">
        <f t="shared" si="26"/>
        <v>-0.5259051167508535</v>
      </c>
      <c r="AJ15" s="782"/>
      <c r="AK15" s="1284">
        <f t="shared" ref="AK15:AQ15" si="67">$J$15</f>
        <v>0.32258064516129031</v>
      </c>
      <c r="AL15" s="1284">
        <f t="shared" si="67"/>
        <v>0.32258064516129031</v>
      </c>
      <c r="AM15" s="1325">
        <f t="shared" si="67"/>
        <v>0.32258064516129031</v>
      </c>
      <c r="AN15" s="1325">
        <f t="shared" si="67"/>
        <v>0.32258064516129031</v>
      </c>
      <c r="AO15" s="1330">
        <f t="shared" si="67"/>
        <v>0.32258064516129031</v>
      </c>
      <c r="AP15" s="1333">
        <f t="shared" si="67"/>
        <v>0.32258064516129031</v>
      </c>
      <c r="AQ15" s="1284">
        <f t="shared" si="67"/>
        <v>0.32258064516129031</v>
      </c>
      <c r="AR15" s="782"/>
      <c r="AS15" s="911">
        <f t="shared" si="28"/>
        <v>2.258064516129032</v>
      </c>
      <c r="AT15" s="1284">
        <f t="shared" si="29"/>
        <v>1.8638503252142613</v>
      </c>
      <c r="AU15" s="936">
        <f t="shared" si="50"/>
        <v>-0.39421419091477072</v>
      </c>
      <c r="AV15" s="782"/>
      <c r="AW15" s="1284">
        <f t="shared" ref="AW15:BC15" si="68">$J$15</f>
        <v>0.32258064516129031</v>
      </c>
      <c r="AX15" s="1284">
        <f t="shared" si="68"/>
        <v>0.32258064516129031</v>
      </c>
      <c r="AY15" s="1336">
        <f t="shared" si="68"/>
        <v>0.32258064516129031</v>
      </c>
      <c r="AZ15" s="1336">
        <f t="shared" si="68"/>
        <v>0.32258064516129031</v>
      </c>
      <c r="BA15" s="1341">
        <f t="shared" si="68"/>
        <v>0.32258064516129031</v>
      </c>
      <c r="BB15" s="1345">
        <f t="shared" si="68"/>
        <v>0.32258064516129031</v>
      </c>
      <c r="BC15" s="1284">
        <f t="shared" si="68"/>
        <v>0.32258064516129031</v>
      </c>
      <c r="BD15" s="782"/>
      <c r="BE15" s="911">
        <f t="shared" si="13"/>
        <v>2.258064516129032</v>
      </c>
      <c r="BF15" s="1284">
        <f t="shared" si="32"/>
        <v>2.4806050698091937</v>
      </c>
      <c r="BG15" s="936">
        <f t="shared" si="52"/>
        <v>0.22254055368016168</v>
      </c>
      <c r="BH15" s="1296"/>
      <c r="BI15" s="40">
        <f t="shared" ref="BI15:BK15" si="69">$J$15</f>
        <v>0.32258064516129031</v>
      </c>
      <c r="BJ15" s="1284">
        <f t="shared" si="69"/>
        <v>0.32258064516129031</v>
      </c>
      <c r="BK15" s="1284">
        <f t="shared" si="69"/>
        <v>0.32258064516129031</v>
      </c>
      <c r="BL15" s="1296"/>
      <c r="BM15" s="911">
        <f t="shared" si="35"/>
        <v>0.967741935483871</v>
      </c>
      <c r="BN15" s="1284">
        <f t="shared" si="15"/>
        <v>1.1073337093796043</v>
      </c>
      <c r="BO15" s="936">
        <f t="shared" si="54"/>
        <v>0.1395917738957333</v>
      </c>
      <c r="BQ15" s="40">
        <v>10</v>
      </c>
      <c r="BR15" s="51">
        <f t="shared" si="16"/>
        <v>1</v>
      </c>
      <c r="BT15" s="911">
        <f t="shared" si="17"/>
        <v>10</v>
      </c>
      <c r="BU15" s="1016">
        <f t="shared" si="18"/>
        <v>1</v>
      </c>
      <c r="BV15" s="62"/>
      <c r="BX15" s="1288"/>
      <c r="BY15" s="81"/>
      <c r="BZ15" s="81"/>
      <c r="CA15" s="81"/>
      <c r="CB15" s="81"/>
      <c r="CC15" s="81"/>
      <c r="CD15" s="81"/>
      <c r="CE15" s="81"/>
      <c r="CF15" s="81"/>
    </row>
    <row r="16" spans="1:172" s="432" customFormat="1" x14ac:dyDescent="0.2">
      <c r="B16" s="433">
        <v>9</v>
      </c>
      <c r="C16" s="663" t="s">
        <v>131</v>
      </c>
      <c r="D16" s="780"/>
      <c r="E16" s="664">
        <v>10</v>
      </c>
      <c r="F16" s="664"/>
      <c r="G16" s="664"/>
      <c r="H16" s="664"/>
      <c r="I16" s="664"/>
      <c r="J16" s="664">
        <f t="shared" si="19"/>
        <v>0.32258064516129031</v>
      </c>
      <c r="K16" s="665">
        <f t="shared" si="7"/>
        <v>8.967717115157146E-3</v>
      </c>
      <c r="L16" s="491"/>
      <c r="M16" s="347">
        <f t="shared" ref="M16:S16" si="70">$J$16</f>
        <v>0.32258064516129031</v>
      </c>
      <c r="N16" s="347">
        <f t="shared" si="70"/>
        <v>0.32258064516129031</v>
      </c>
      <c r="O16" s="347">
        <f t="shared" si="70"/>
        <v>0.32258064516129031</v>
      </c>
      <c r="P16" s="347">
        <f t="shared" si="70"/>
        <v>0.32258064516129031</v>
      </c>
      <c r="Q16" s="347">
        <f t="shared" si="70"/>
        <v>0.32258064516129031</v>
      </c>
      <c r="R16" s="347">
        <f t="shared" si="70"/>
        <v>0.32258064516129031</v>
      </c>
      <c r="S16" s="347">
        <f t="shared" si="70"/>
        <v>0.32258064516129031</v>
      </c>
      <c r="T16" s="481"/>
      <c r="U16" s="927">
        <f t="shared" si="9"/>
        <v>2.258064516129032</v>
      </c>
      <c r="V16" s="347">
        <f t="shared" si="21"/>
        <v>2.4854476370513785</v>
      </c>
      <c r="W16" s="928">
        <f t="shared" si="22"/>
        <v>0.22738312092234647</v>
      </c>
      <c r="X16" s="781"/>
      <c r="Y16" s="347">
        <f t="shared" ref="Y16:AE16" si="71">$J$16</f>
        <v>0.32258064516129031</v>
      </c>
      <c r="Z16" s="347">
        <f t="shared" si="71"/>
        <v>0.32258064516129031</v>
      </c>
      <c r="AA16" s="347">
        <f t="shared" si="71"/>
        <v>0.32258064516129031</v>
      </c>
      <c r="AB16" s="347">
        <f t="shared" si="71"/>
        <v>0.32258064516129031</v>
      </c>
      <c r="AC16" s="347">
        <f t="shared" si="71"/>
        <v>0.32258064516129031</v>
      </c>
      <c r="AD16" s="347">
        <f t="shared" si="71"/>
        <v>0.32258064516129031</v>
      </c>
      <c r="AE16" s="347">
        <f t="shared" si="71"/>
        <v>0.32258064516129031</v>
      </c>
      <c r="AF16" s="781"/>
      <c r="AG16" s="940">
        <f t="shared" si="24"/>
        <v>2.258064516129032</v>
      </c>
      <c r="AH16" s="667">
        <f t="shared" si="25"/>
        <v>1.7321593993781785</v>
      </c>
      <c r="AI16" s="941">
        <f t="shared" si="26"/>
        <v>-0.5259051167508535</v>
      </c>
      <c r="AJ16" s="781"/>
      <c r="AK16" s="667">
        <f t="shared" ref="AK16:AQ16" si="72">$J$16</f>
        <v>0.32258064516129031</v>
      </c>
      <c r="AL16" s="667">
        <f t="shared" si="72"/>
        <v>0.32258064516129031</v>
      </c>
      <c r="AM16" s="667">
        <f t="shared" si="72"/>
        <v>0.32258064516129031</v>
      </c>
      <c r="AN16" s="667">
        <f t="shared" si="72"/>
        <v>0.32258064516129031</v>
      </c>
      <c r="AO16" s="667">
        <f t="shared" si="72"/>
        <v>0.32258064516129031</v>
      </c>
      <c r="AP16" s="667">
        <f t="shared" si="72"/>
        <v>0.32258064516129031</v>
      </c>
      <c r="AQ16" s="667">
        <f t="shared" si="72"/>
        <v>0.32258064516129031</v>
      </c>
      <c r="AR16" s="781"/>
      <c r="AS16" s="940">
        <f t="shared" si="28"/>
        <v>2.258064516129032</v>
      </c>
      <c r="AT16" s="667">
        <f t="shared" si="29"/>
        <v>1.8638503252142613</v>
      </c>
      <c r="AU16" s="941">
        <f t="shared" si="50"/>
        <v>-0.39421419091477072</v>
      </c>
      <c r="AV16" s="781"/>
      <c r="AW16" s="667">
        <f t="shared" ref="AW16:BC16" si="73">$J$16</f>
        <v>0.32258064516129031</v>
      </c>
      <c r="AX16" s="667">
        <f t="shared" si="73"/>
        <v>0.32258064516129031</v>
      </c>
      <c r="AY16" s="667">
        <f t="shared" si="73"/>
        <v>0.32258064516129031</v>
      </c>
      <c r="AZ16" s="667">
        <f t="shared" si="73"/>
        <v>0.32258064516129031</v>
      </c>
      <c r="BA16" s="667">
        <f t="shared" si="73"/>
        <v>0.32258064516129031</v>
      </c>
      <c r="BB16" s="667">
        <f t="shared" si="73"/>
        <v>0.32258064516129031</v>
      </c>
      <c r="BC16" s="667">
        <f t="shared" si="73"/>
        <v>0.32258064516129031</v>
      </c>
      <c r="BD16" s="781"/>
      <c r="BE16" s="940">
        <f t="shared" si="13"/>
        <v>2.258064516129032</v>
      </c>
      <c r="BF16" s="667">
        <f t="shared" si="32"/>
        <v>2.4806050698091937</v>
      </c>
      <c r="BG16" s="941">
        <f t="shared" si="52"/>
        <v>0.22254055368016168</v>
      </c>
      <c r="BH16" s="481"/>
      <c r="BI16" s="664">
        <f t="shared" ref="BI16:BK16" si="74">$J$16</f>
        <v>0.32258064516129031</v>
      </c>
      <c r="BJ16" s="667">
        <f t="shared" si="74"/>
        <v>0.32258064516129031</v>
      </c>
      <c r="BK16" s="667">
        <f t="shared" si="74"/>
        <v>0.32258064516129031</v>
      </c>
      <c r="BL16" s="481"/>
      <c r="BM16" s="940">
        <f t="shared" si="35"/>
        <v>0.967741935483871</v>
      </c>
      <c r="BN16" s="667">
        <f t="shared" si="15"/>
        <v>1.1073337093796043</v>
      </c>
      <c r="BO16" s="941">
        <f t="shared" si="54"/>
        <v>0.1395917738957333</v>
      </c>
      <c r="BQ16" s="347">
        <v>10</v>
      </c>
      <c r="BR16" s="485">
        <f t="shared" si="16"/>
        <v>1</v>
      </c>
      <c r="BT16" s="927">
        <f t="shared" si="17"/>
        <v>10</v>
      </c>
      <c r="BU16" s="1017">
        <f t="shared" si="18"/>
        <v>1</v>
      </c>
      <c r="BV16" s="482"/>
      <c r="BX16" s="81"/>
      <c r="BY16" s="29"/>
      <c r="BZ16" s="1288"/>
      <c r="CA16" s="1288"/>
      <c r="CB16" s="1288"/>
      <c r="CC16" s="1288"/>
      <c r="CD16" s="1288"/>
      <c r="CE16" s="1288"/>
      <c r="CF16" s="1288"/>
    </row>
    <row r="17" spans="1:85" s="426" customFormat="1" ht="15.75" thickBot="1" x14ac:dyDescent="0.25">
      <c r="B17" s="43">
        <v>10</v>
      </c>
      <c r="C17" s="427" t="s">
        <v>124</v>
      </c>
      <c r="D17" s="812"/>
      <c r="E17" s="132">
        <v>1</v>
      </c>
      <c r="F17" s="132">
        <f>E17/10</f>
        <v>0.1</v>
      </c>
      <c r="G17" s="132">
        <f>E17/15</f>
        <v>6.6666666666666666E-2</v>
      </c>
      <c r="H17" s="132">
        <f>E17/20</f>
        <v>0.05</v>
      </c>
      <c r="I17" s="132">
        <f>E17/25</f>
        <v>0.04</v>
      </c>
      <c r="J17" s="132">
        <f t="shared" si="19"/>
        <v>3.2258064516129031E-2</v>
      </c>
      <c r="K17" s="478">
        <f t="shared" si="7"/>
        <v>8.9677171151571471E-4</v>
      </c>
      <c r="L17" s="492"/>
      <c r="M17" s="132">
        <f t="shared" ref="M17:S17" si="75">$J$17</f>
        <v>3.2258064516129031E-2</v>
      </c>
      <c r="N17" s="132">
        <f t="shared" si="75"/>
        <v>3.2258064516129031E-2</v>
      </c>
      <c r="O17" s="132">
        <f t="shared" si="75"/>
        <v>3.2258064516129031E-2</v>
      </c>
      <c r="P17" s="132">
        <f t="shared" si="75"/>
        <v>3.2258064516129031E-2</v>
      </c>
      <c r="Q17" s="132">
        <f t="shared" si="75"/>
        <v>3.2258064516129031E-2</v>
      </c>
      <c r="R17" s="132">
        <f t="shared" si="75"/>
        <v>3.2258064516129031E-2</v>
      </c>
      <c r="S17" s="132">
        <f t="shared" si="75"/>
        <v>3.2258064516129031E-2</v>
      </c>
      <c r="T17" s="479"/>
      <c r="U17" s="468">
        <f t="shared" si="9"/>
        <v>0.22580645161290322</v>
      </c>
      <c r="V17" s="1194">
        <f t="shared" si="21"/>
        <v>0.24854476370513792</v>
      </c>
      <c r="W17" s="1195">
        <f t="shared" si="22"/>
        <v>2.2738312092234703E-2</v>
      </c>
      <c r="X17" s="779"/>
      <c r="Y17" s="132">
        <f t="shared" ref="Y17:AE17" si="76">$J$17</f>
        <v>3.2258064516129031E-2</v>
      </c>
      <c r="Z17" s="132">
        <f t="shared" si="76"/>
        <v>3.2258064516129031E-2</v>
      </c>
      <c r="AA17" s="132">
        <f t="shared" si="76"/>
        <v>3.2258064516129031E-2</v>
      </c>
      <c r="AB17" s="132">
        <f t="shared" si="76"/>
        <v>3.2258064516129031E-2</v>
      </c>
      <c r="AC17" s="132">
        <f t="shared" si="76"/>
        <v>3.2258064516129031E-2</v>
      </c>
      <c r="AD17" s="132">
        <f t="shared" si="76"/>
        <v>3.2258064516129031E-2</v>
      </c>
      <c r="AE17" s="132">
        <f t="shared" si="76"/>
        <v>3.2258064516129031E-2</v>
      </c>
      <c r="AF17" s="779"/>
      <c r="AG17" s="468">
        <f t="shared" si="24"/>
        <v>0.22580645161290322</v>
      </c>
      <c r="AH17" s="1172">
        <f t="shared" si="25"/>
        <v>0.17321593993781789</v>
      </c>
      <c r="AI17" s="1173">
        <f t="shared" si="26"/>
        <v>-5.2590511675085327E-2</v>
      </c>
      <c r="AJ17" s="779"/>
      <c r="AK17" s="440">
        <f t="shared" ref="AK17:AQ17" si="77">$J$17</f>
        <v>3.2258064516129031E-2</v>
      </c>
      <c r="AL17" s="440">
        <f t="shared" si="77"/>
        <v>3.2258064516129031E-2</v>
      </c>
      <c r="AM17" s="440">
        <f t="shared" si="77"/>
        <v>3.2258064516129031E-2</v>
      </c>
      <c r="AN17" s="440">
        <f t="shared" si="77"/>
        <v>3.2258064516129031E-2</v>
      </c>
      <c r="AO17" s="440">
        <f t="shared" si="77"/>
        <v>3.2258064516129031E-2</v>
      </c>
      <c r="AP17" s="440">
        <f t="shared" si="77"/>
        <v>3.2258064516129031E-2</v>
      </c>
      <c r="AQ17" s="440">
        <f t="shared" si="77"/>
        <v>3.2258064516129031E-2</v>
      </c>
      <c r="AR17" s="779"/>
      <c r="AS17" s="925">
        <f t="shared" si="28"/>
        <v>0.22580645161290322</v>
      </c>
      <c r="AT17" s="440">
        <f t="shared" si="29"/>
        <v>0.18638503252142616</v>
      </c>
      <c r="AU17" s="929">
        <f t="shared" si="50"/>
        <v>-3.9421419091477061E-2</v>
      </c>
      <c r="AV17" s="779"/>
      <c r="AW17" s="440">
        <f t="shared" ref="AW17:BC17" si="78">$J$17</f>
        <v>3.2258064516129031E-2</v>
      </c>
      <c r="AX17" s="440">
        <f t="shared" si="78"/>
        <v>3.2258064516129031E-2</v>
      </c>
      <c r="AY17" s="440">
        <f t="shared" si="78"/>
        <v>3.2258064516129031E-2</v>
      </c>
      <c r="AZ17" s="440">
        <f t="shared" si="78"/>
        <v>3.2258064516129031E-2</v>
      </c>
      <c r="BA17" s="440">
        <f t="shared" si="78"/>
        <v>3.2258064516129031E-2</v>
      </c>
      <c r="BB17" s="440">
        <f t="shared" si="78"/>
        <v>3.2258064516129031E-2</v>
      </c>
      <c r="BC17" s="440">
        <f t="shared" si="78"/>
        <v>3.2258064516129031E-2</v>
      </c>
      <c r="BD17" s="779"/>
      <c r="BE17" s="925">
        <f t="shared" si="13"/>
        <v>0.22580645161290322</v>
      </c>
      <c r="BF17" s="440">
        <f t="shared" si="32"/>
        <v>0.24806050698091939</v>
      </c>
      <c r="BG17" s="929">
        <f t="shared" si="52"/>
        <v>2.2254055368016168E-2</v>
      </c>
      <c r="BH17" s="479"/>
      <c r="BI17" s="132">
        <f t="shared" ref="BI17:BK17" si="79">$J$17</f>
        <v>3.2258064516129031E-2</v>
      </c>
      <c r="BJ17" s="440">
        <f t="shared" si="79"/>
        <v>3.2258064516129031E-2</v>
      </c>
      <c r="BK17" s="440">
        <f t="shared" si="79"/>
        <v>3.2258064516129031E-2</v>
      </c>
      <c r="BL17" s="479"/>
      <c r="BM17" s="925">
        <f t="shared" si="35"/>
        <v>9.6774193548387094E-2</v>
      </c>
      <c r="BN17" s="440">
        <f t="shared" si="15"/>
        <v>0.11073337093796046</v>
      </c>
      <c r="BO17" s="929">
        <f t="shared" si="54"/>
        <v>1.3959177389573363E-2</v>
      </c>
      <c r="BQ17" s="132">
        <v>1</v>
      </c>
      <c r="BR17" s="641">
        <f t="shared" si="16"/>
        <v>1</v>
      </c>
      <c r="BT17" s="468">
        <f t="shared" si="17"/>
        <v>1</v>
      </c>
      <c r="BU17" s="1196">
        <f t="shared" si="18"/>
        <v>1</v>
      </c>
      <c r="BV17" s="480"/>
      <c r="BX17" s="1228"/>
      <c r="BY17" s="81"/>
      <c r="BZ17" s="81"/>
      <c r="CA17" s="81"/>
      <c r="CB17" s="81"/>
      <c r="CC17" s="81"/>
      <c r="CD17" s="81"/>
      <c r="CE17" s="81"/>
      <c r="CF17" s="81"/>
    </row>
    <row r="18" spans="1:85" s="438" customFormat="1" ht="4.5" customHeight="1" thickBot="1" x14ac:dyDescent="0.25">
      <c r="B18" s="1292"/>
      <c r="C18" s="1168"/>
      <c r="E18" s="429"/>
      <c r="F18" s="429"/>
      <c r="G18" s="429"/>
      <c r="H18" s="429"/>
      <c r="I18" s="429"/>
      <c r="J18" s="429"/>
      <c r="K18" s="1169"/>
      <c r="L18" s="492"/>
      <c r="M18" s="429"/>
      <c r="N18" s="429"/>
      <c r="O18" s="429"/>
      <c r="P18" s="429"/>
      <c r="Q18" s="429"/>
      <c r="R18" s="429"/>
      <c r="S18" s="429"/>
      <c r="T18" s="479"/>
      <c r="U18" s="479"/>
      <c r="V18" s="479"/>
      <c r="W18" s="479"/>
      <c r="X18" s="479"/>
      <c r="Y18" s="429"/>
      <c r="Z18" s="429"/>
      <c r="AA18" s="429"/>
      <c r="AB18" s="429"/>
      <c r="AC18" s="429"/>
      <c r="AD18" s="429"/>
      <c r="AE18" s="429"/>
      <c r="AF18" s="479"/>
      <c r="AG18" s="1193"/>
      <c r="AH18" s="1193"/>
      <c r="AI18" s="1193"/>
      <c r="AJ18" s="479"/>
      <c r="AK18" s="429"/>
      <c r="AL18" s="429"/>
      <c r="AM18" s="429"/>
      <c r="AN18" s="429"/>
      <c r="AO18" s="429"/>
      <c r="AP18" s="429"/>
      <c r="AQ18" s="429"/>
      <c r="AR18" s="479"/>
      <c r="AS18" s="1259"/>
      <c r="AT18" s="1259"/>
      <c r="AU18" s="1259"/>
      <c r="AV18" s="479"/>
      <c r="AW18" s="429"/>
      <c r="AX18" s="429"/>
      <c r="AY18" s="429"/>
      <c r="AZ18" s="429"/>
      <c r="BA18" s="429"/>
      <c r="BB18" s="429"/>
      <c r="BC18" s="429"/>
      <c r="BD18" s="479"/>
      <c r="BE18" s="429"/>
      <c r="BF18" s="429"/>
      <c r="BG18" s="429"/>
      <c r="BH18" s="479"/>
      <c r="BI18" s="429"/>
      <c r="BJ18" s="429"/>
      <c r="BK18" s="429"/>
      <c r="BL18" s="479"/>
      <c r="BM18" s="429"/>
      <c r="BN18" s="429"/>
      <c r="BO18" s="429"/>
      <c r="BQ18" s="479"/>
      <c r="BR18" s="480"/>
      <c r="BT18" s="479"/>
      <c r="BU18" s="480"/>
      <c r="BV18" s="480"/>
      <c r="BX18" s="1228"/>
      <c r="BY18" s="271"/>
      <c r="BZ18" s="271"/>
      <c r="CA18" s="81"/>
      <c r="CB18" s="81"/>
      <c r="CC18" s="81"/>
      <c r="CD18" s="81"/>
      <c r="CE18" s="81"/>
      <c r="CF18" s="81"/>
    </row>
    <row r="19" spans="1:85" s="833" customFormat="1" ht="15.75" thickBot="1" x14ac:dyDescent="0.25">
      <c r="B19" s="201"/>
      <c r="C19" s="1216">
        <f>E19*100/30</f>
        <v>2622.9833333333331</v>
      </c>
      <c r="D19" s="835"/>
      <c r="E19" s="89">
        <f>SUM(E8:E17)</f>
        <v>786.89499999999998</v>
      </c>
      <c r="F19" s="89">
        <f t="shared" ref="F19:K19" si="80">SUM(F8:F17)</f>
        <v>77.689499999999995</v>
      </c>
      <c r="G19" s="89">
        <f t="shared" si="80"/>
        <v>51.793000000000006</v>
      </c>
      <c r="H19" s="89">
        <f t="shared" si="80"/>
        <v>38.844749999999998</v>
      </c>
      <c r="I19" s="89">
        <f t="shared" si="80"/>
        <v>31.075799999999997</v>
      </c>
      <c r="J19" s="89">
        <f t="shared" si="80"/>
        <v>25.383709677419354</v>
      </c>
      <c r="K19" s="839">
        <f t="shared" si="80"/>
        <v>0.70566517593315814</v>
      </c>
      <c r="L19" s="877"/>
      <c r="M19" s="89">
        <f t="shared" ref="M19:R19" si="81">SUM(M8:M17)</f>
        <v>25.383709677419354</v>
      </c>
      <c r="N19" s="89">
        <f t="shared" si="81"/>
        <v>25.383709677419354</v>
      </c>
      <c r="O19" s="89">
        <f t="shared" si="81"/>
        <v>25.383709677419354</v>
      </c>
      <c r="P19" s="89">
        <f t="shared" si="81"/>
        <v>25.383709677419354</v>
      </c>
      <c r="Q19" s="89">
        <f t="shared" si="81"/>
        <v>25.383709677419354</v>
      </c>
      <c r="R19" s="89">
        <f t="shared" si="81"/>
        <v>25.383709677419354</v>
      </c>
      <c r="S19" s="89">
        <f t="shared" ref="S19" si="82">SUM(S8:S17)</f>
        <v>25.383709677419354</v>
      </c>
      <c r="T19" s="841"/>
      <c r="U19" s="1181">
        <f>SUM(U8:U17)</f>
        <v>177.68596774193549</v>
      </c>
      <c r="V19" s="1182">
        <f>SUM(V8:V17)</f>
        <v>195.57863183575449</v>
      </c>
      <c r="W19" s="1183">
        <f t="shared" ref="W19" si="83">SUM(W8:W17)</f>
        <v>17.892664093819</v>
      </c>
      <c r="X19" s="838"/>
      <c r="Y19" s="89">
        <f t="shared" ref="Y19:Z19" si="84">SUM(Y8:Y17)</f>
        <v>25.383709677419354</v>
      </c>
      <c r="Z19" s="89">
        <f t="shared" si="84"/>
        <v>25.383709677419354</v>
      </c>
      <c r="AA19" s="89">
        <f t="shared" ref="AA19:AB19" si="85">SUM(AA8:AA17)</f>
        <v>25.383709677419354</v>
      </c>
      <c r="AB19" s="89">
        <f t="shared" si="85"/>
        <v>25.383709677419354</v>
      </c>
      <c r="AC19" s="89">
        <f t="shared" ref="AC19:AD19" si="86">SUM(AC8:AC17)</f>
        <v>25.383709677419354</v>
      </c>
      <c r="AD19" s="89">
        <f t="shared" si="86"/>
        <v>25.383709677419354</v>
      </c>
      <c r="AE19" s="89">
        <f t="shared" ref="AE19" si="87">SUM(AE8:AE17)</f>
        <v>25.383709677419354</v>
      </c>
      <c r="AF19" s="838"/>
      <c r="AG19" s="1176">
        <f>SUM(AG8:AG17)</f>
        <v>177.68596774193549</v>
      </c>
      <c r="AH19" s="901">
        <f>SUM(AH8:AH17)</f>
        <v>136.30275705736923</v>
      </c>
      <c r="AI19" s="962">
        <f>SUM(AI8:AI17)</f>
        <v>-41.383210684566308</v>
      </c>
      <c r="AJ19" s="838"/>
      <c r="AK19" s="837">
        <f t="shared" ref="AK19:AL19" si="88">SUM(AK8:AK17)</f>
        <v>25.383709677419354</v>
      </c>
      <c r="AL19" s="837">
        <f t="shared" si="88"/>
        <v>25.383709677419354</v>
      </c>
      <c r="AM19" s="837">
        <f t="shared" ref="AM19:AN19" si="89">SUM(AM8:AM17)</f>
        <v>25.383709677419354</v>
      </c>
      <c r="AN19" s="837">
        <f t="shared" si="89"/>
        <v>25.383709677419354</v>
      </c>
      <c r="AO19" s="837">
        <f t="shared" ref="AO19:AP19" si="90">SUM(AO8:AO17)</f>
        <v>25.383709677419354</v>
      </c>
      <c r="AP19" s="837">
        <f t="shared" si="90"/>
        <v>25.383709677419354</v>
      </c>
      <c r="AQ19" s="837">
        <f t="shared" ref="AQ19" si="91">SUM(AQ8:AQ17)</f>
        <v>25.383709677419354</v>
      </c>
      <c r="AR19" s="838"/>
      <c r="AS19" s="1181">
        <f>SUM(AS8:AS17)</f>
        <v>177.68596774193549</v>
      </c>
      <c r="AT19" s="1260">
        <f>SUM(AT8:AT17)</f>
        <v>146.66545016594759</v>
      </c>
      <c r="AU19" s="1261">
        <f>SUM(AU8:AU17)</f>
        <v>-31.020517575987871</v>
      </c>
      <c r="AV19" s="838"/>
      <c r="AW19" s="837">
        <f t="shared" ref="AW19:AX19" si="92">SUM(AW8:AW17)</f>
        <v>25.383709677419354</v>
      </c>
      <c r="AX19" s="837">
        <f t="shared" si="92"/>
        <v>25.383709677419354</v>
      </c>
      <c r="AY19" s="837">
        <f t="shared" ref="AY19:AZ19" si="93">SUM(AY8:AY17)</f>
        <v>25.383709677419354</v>
      </c>
      <c r="AZ19" s="837">
        <f t="shared" si="93"/>
        <v>25.383709677419354</v>
      </c>
      <c r="BA19" s="837">
        <f t="shared" ref="BA19:BB19" si="94">SUM(BA8:BA17)</f>
        <v>25.383709677419354</v>
      </c>
      <c r="BB19" s="837">
        <f t="shared" si="94"/>
        <v>25.383709677419354</v>
      </c>
      <c r="BC19" s="837">
        <f t="shared" ref="BC19" si="95">SUM(BC8:BC17)</f>
        <v>25.383709677419354</v>
      </c>
      <c r="BD19" s="838"/>
      <c r="BE19" s="1181">
        <f>SUM(BE8:BE17)</f>
        <v>177.68596774193549</v>
      </c>
      <c r="BF19" s="1260">
        <f>SUM(BF8:BF17)</f>
        <v>195.19757264075056</v>
      </c>
      <c r="BG19" s="1261">
        <f>SUM(BG8:BG17)</f>
        <v>17.511604898815062</v>
      </c>
      <c r="BH19" s="841"/>
      <c r="BI19" s="89">
        <f t="shared" ref="BI19" si="96">SUM(BI8:BI17)</f>
        <v>25.383709677419354</v>
      </c>
      <c r="BJ19" s="89">
        <f t="shared" ref="BJ19:BK19" si="97">SUM(BJ8:BJ17)</f>
        <v>25.383709677419354</v>
      </c>
      <c r="BK19" s="89">
        <f t="shared" si="97"/>
        <v>25.383709677419354</v>
      </c>
      <c r="BL19" s="841"/>
      <c r="BM19" s="1181">
        <f>SUM(BM8:BM17)</f>
        <v>76.151129032258055</v>
      </c>
      <c r="BN19" s="1260">
        <f>SUM(BN8:BN17)</f>
        <v>87.135535924226403</v>
      </c>
      <c r="BO19" s="1261">
        <f>SUM(BO8:BO17)</f>
        <v>10.984406891968332</v>
      </c>
      <c r="BQ19" s="1181">
        <f>SUM(BQ8:BQ17)</f>
        <v>784.89499999999998</v>
      </c>
      <c r="BR19" s="1191">
        <f t="shared" si="16"/>
        <v>0.99745836483901917</v>
      </c>
      <c r="BT19" s="1181">
        <f>SUM(BT8:BT17)</f>
        <v>786.89499999999998</v>
      </c>
      <c r="BU19" s="1191">
        <f t="shared" si="18"/>
        <v>1</v>
      </c>
      <c r="BV19" s="840"/>
      <c r="BX19" s="29"/>
      <c r="BY19" s="81"/>
      <c r="BZ19" s="81"/>
      <c r="CA19" s="271"/>
      <c r="CB19" s="271"/>
      <c r="CC19" s="271"/>
      <c r="CD19" s="271"/>
      <c r="CE19" s="271"/>
      <c r="CF19" s="271"/>
    </row>
    <row r="20" spans="1:85" s="438" customFormat="1" ht="4.5" customHeight="1" thickBot="1" x14ac:dyDescent="0.25">
      <c r="B20" s="1168"/>
      <c r="C20" s="1168"/>
      <c r="E20" s="429"/>
      <c r="F20" s="429"/>
      <c r="G20" s="429"/>
      <c r="H20" s="429"/>
      <c r="I20" s="429"/>
      <c r="J20" s="429"/>
      <c r="K20" s="1169"/>
      <c r="L20" s="492"/>
      <c r="M20" s="429"/>
      <c r="N20" s="429"/>
      <c r="O20" s="429"/>
      <c r="P20" s="429"/>
      <c r="Q20" s="429"/>
      <c r="R20" s="429"/>
      <c r="S20" s="429"/>
      <c r="T20" s="479"/>
      <c r="U20" s="479"/>
      <c r="V20" s="479"/>
      <c r="W20" s="479"/>
      <c r="X20" s="479"/>
      <c r="Y20" s="429"/>
      <c r="Z20" s="429"/>
      <c r="AA20" s="429"/>
      <c r="AB20" s="429"/>
      <c r="AC20" s="429"/>
      <c r="AD20" s="429"/>
      <c r="AE20" s="429"/>
      <c r="AF20" s="479"/>
      <c r="AG20" s="479"/>
      <c r="AH20" s="479"/>
      <c r="AI20" s="479"/>
      <c r="AJ20" s="479"/>
      <c r="AK20" s="429"/>
      <c r="AL20" s="429"/>
      <c r="AM20" s="429"/>
      <c r="AN20" s="429"/>
      <c r="AO20" s="429"/>
      <c r="AP20" s="429"/>
      <c r="AQ20" s="429"/>
      <c r="AR20" s="479"/>
      <c r="AS20" s="479"/>
      <c r="AT20" s="479"/>
      <c r="AU20" s="479"/>
      <c r="AV20" s="479"/>
      <c r="AW20" s="429"/>
      <c r="AX20" s="429"/>
      <c r="AY20" s="429"/>
      <c r="AZ20" s="429"/>
      <c r="BA20" s="429"/>
      <c r="BB20" s="429"/>
      <c r="BC20" s="429"/>
      <c r="BD20" s="479"/>
      <c r="BE20" s="429"/>
      <c r="BF20" s="429"/>
      <c r="BG20" s="429"/>
      <c r="BH20" s="479"/>
      <c r="BI20" s="429"/>
      <c r="BJ20" s="429"/>
      <c r="BK20" s="429"/>
      <c r="BL20" s="479"/>
      <c r="BM20" s="429"/>
      <c r="BN20" s="429"/>
      <c r="BO20" s="429"/>
      <c r="BQ20" s="1171"/>
      <c r="BR20" s="1190"/>
      <c r="BT20" s="479"/>
      <c r="BU20" s="480"/>
      <c r="BV20" s="480"/>
      <c r="BX20" s="81"/>
      <c r="BY20" s="62"/>
      <c r="BZ20" s="81"/>
      <c r="CA20" s="81"/>
      <c r="CB20" s="81"/>
      <c r="CC20" s="81"/>
      <c r="CD20" s="81"/>
      <c r="CE20" s="81"/>
      <c r="CF20" s="81"/>
    </row>
    <row r="21" spans="1:85" s="255" customFormat="1" x14ac:dyDescent="0.2">
      <c r="B21" s="43">
        <v>11</v>
      </c>
      <c r="C21" s="427" t="s">
        <v>38</v>
      </c>
      <c r="D21" s="812"/>
      <c r="E21" s="40">
        <v>130</v>
      </c>
      <c r="F21" s="40">
        <f t="shared" ref="F21:F27" si="98">E21/10</f>
        <v>13</v>
      </c>
      <c r="G21" s="40">
        <f t="shared" ref="G21:G27" si="99">E21/15</f>
        <v>8.6666666666666661</v>
      </c>
      <c r="H21" s="40">
        <f t="shared" ref="H21:H27" si="100">E21/20</f>
        <v>6.5</v>
      </c>
      <c r="I21" s="40">
        <f t="shared" ref="I21:I27" si="101">E21/25</f>
        <v>5.2</v>
      </c>
      <c r="J21" s="40">
        <f>E21/31</f>
        <v>4.193548387096774</v>
      </c>
      <c r="K21" s="206">
        <f t="shared" ref="K21:K27" si="102">E21/$E$31</f>
        <v>0.11658032249704291</v>
      </c>
      <c r="L21" s="411"/>
      <c r="M21" s="40">
        <f t="shared" ref="M21:S21" si="103">$J$21</f>
        <v>4.193548387096774</v>
      </c>
      <c r="N21" s="40">
        <f t="shared" si="103"/>
        <v>4.193548387096774</v>
      </c>
      <c r="O21" s="40">
        <f t="shared" si="103"/>
        <v>4.193548387096774</v>
      </c>
      <c r="P21" s="40">
        <f t="shared" si="103"/>
        <v>4.193548387096774</v>
      </c>
      <c r="Q21" s="40">
        <f t="shared" si="103"/>
        <v>4.193548387096774</v>
      </c>
      <c r="R21" s="40">
        <f t="shared" si="103"/>
        <v>4.193548387096774</v>
      </c>
      <c r="S21" s="40">
        <f t="shared" si="103"/>
        <v>4.193548387096774</v>
      </c>
      <c r="T21" s="1296"/>
      <c r="U21" s="952">
        <f>SUM(M21:S21)</f>
        <v>29.354838709677423</v>
      </c>
      <c r="V21" s="953">
        <f>($U$3*K21)*30%</f>
        <v>32.310819281667925</v>
      </c>
      <c r="W21" s="954">
        <f>V21-U21</f>
        <v>2.9559805719905015</v>
      </c>
      <c r="X21" s="782"/>
      <c r="Y21" s="40">
        <f t="shared" ref="Y21:AE21" si="104">$J$21</f>
        <v>4.193548387096774</v>
      </c>
      <c r="Z21" s="40">
        <f t="shared" si="104"/>
        <v>4.193548387096774</v>
      </c>
      <c r="AA21" s="40">
        <f t="shared" si="104"/>
        <v>4.193548387096774</v>
      </c>
      <c r="AB21" s="40">
        <f t="shared" si="104"/>
        <v>4.193548387096774</v>
      </c>
      <c r="AC21" s="40">
        <f t="shared" si="104"/>
        <v>4.193548387096774</v>
      </c>
      <c r="AD21" s="40">
        <f t="shared" si="104"/>
        <v>4.193548387096774</v>
      </c>
      <c r="AE21" s="40">
        <f t="shared" si="104"/>
        <v>4.193548387096774</v>
      </c>
      <c r="AF21" s="782"/>
      <c r="AG21" s="952">
        <f>SUM(Y21:AE21)</f>
        <v>29.354838709677423</v>
      </c>
      <c r="AH21" s="953">
        <f>($AG$3*K21)*30%</f>
        <v>22.518072191916321</v>
      </c>
      <c r="AI21" s="954">
        <f>AH21-AG21</f>
        <v>-6.8367665177611023</v>
      </c>
      <c r="AJ21" s="782"/>
      <c r="AK21" s="1284">
        <f t="shared" ref="AK21:AQ21" si="105">$J$21</f>
        <v>4.193548387096774</v>
      </c>
      <c r="AL21" s="1284">
        <f t="shared" si="105"/>
        <v>4.193548387096774</v>
      </c>
      <c r="AM21" s="1325">
        <f t="shared" si="105"/>
        <v>4.193548387096774</v>
      </c>
      <c r="AN21" s="1325">
        <f t="shared" si="105"/>
        <v>4.193548387096774</v>
      </c>
      <c r="AO21" s="1330">
        <f t="shared" si="105"/>
        <v>4.193548387096774</v>
      </c>
      <c r="AP21" s="1333">
        <f t="shared" si="105"/>
        <v>4.193548387096774</v>
      </c>
      <c r="AQ21" s="1284">
        <f t="shared" si="105"/>
        <v>4.193548387096774</v>
      </c>
      <c r="AR21" s="782"/>
      <c r="AS21" s="952">
        <f>SUM(AK21:AQ21)</f>
        <v>29.354838709677423</v>
      </c>
      <c r="AT21" s="953">
        <f>($AS$3*K21)*30%</f>
        <v>24.230054227785402</v>
      </c>
      <c r="AU21" s="954">
        <f>AT21-AS21</f>
        <v>-5.1247844818920214</v>
      </c>
      <c r="AV21" s="782"/>
      <c r="AW21" s="1284">
        <f t="shared" ref="AW21:BC21" si="106">$J$21</f>
        <v>4.193548387096774</v>
      </c>
      <c r="AX21" s="1284">
        <f t="shared" si="106"/>
        <v>4.193548387096774</v>
      </c>
      <c r="AY21" s="1336">
        <f t="shared" si="106"/>
        <v>4.193548387096774</v>
      </c>
      <c r="AZ21" s="1336">
        <f t="shared" si="106"/>
        <v>4.193548387096774</v>
      </c>
      <c r="BA21" s="1341">
        <f t="shared" si="106"/>
        <v>4.193548387096774</v>
      </c>
      <c r="BB21" s="1345">
        <f t="shared" si="106"/>
        <v>4.193548387096774</v>
      </c>
      <c r="BC21" s="1284">
        <f t="shared" si="106"/>
        <v>4.193548387096774</v>
      </c>
      <c r="BD21" s="782"/>
      <c r="BE21" s="911">
        <f>SUM(AW21:BC21)</f>
        <v>29.354838709677423</v>
      </c>
      <c r="BF21" s="1284">
        <f>($BE$3*K21)*30%</f>
        <v>32.247865907519518</v>
      </c>
      <c r="BG21" s="936">
        <f>BF21-BE21</f>
        <v>2.8930271978420947</v>
      </c>
      <c r="BH21" s="1296"/>
      <c r="BI21" s="40">
        <f t="shared" ref="BI21:BK21" si="107">$J$21</f>
        <v>4.193548387096774</v>
      </c>
      <c r="BJ21" s="1284">
        <f t="shared" si="107"/>
        <v>4.193548387096774</v>
      </c>
      <c r="BK21" s="1284">
        <f t="shared" si="107"/>
        <v>4.193548387096774</v>
      </c>
      <c r="BL21" s="1296"/>
      <c r="BM21" s="911">
        <f>SUM(BI21:BK21)</f>
        <v>12.580645161290322</v>
      </c>
      <c r="BN21" s="1284">
        <f>($BM$3*K21)*30%</f>
        <v>14.395338221934857</v>
      </c>
      <c r="BO21" s="936">
        <f>BN21-BM21</f>
        <v>1.8146930606445348</v>
      </c>
      <c r="BQ21" s="40">
        <v>130</v>
      </c>
      <c r="BR21" s="51">
        <f t="shared" ref="BR21:BR29" si="108">BQ21/E21</f>
        <v>1</v>
      </c>
      <c r="BT21" s="952">
        <f t="shared" ref="BT21:BT27" si="109">SUM(M21:S21)+SUM(Y21:AE21)+SUM(AK21:AQ21)+SUM(AW21:BC21)+SUM(BI21:BK21)</f>
        <v>130.00000000000003</v>
      </c>
      <c r="BU21" s="1197">
        <f t="shared" ref="BU21:BU29" si="110">BT21/E21</f>
        <v>1.0000000000000002</v>
      </c>
      <c r="BV21" s="975">
        <f>E21-BQ21</f>
        <v>0</v>
      </c>
      <c r="BX21" s="271"/>
      <c r="BY21" s="1023"/>
      <c r="BZ21" s="1024"/>
      <c r="CA21" s="1025"/>
      <c r="CB21" s="1025"/>
      <c r="CC21" s="1025"/>
      <c r="CD21" s="1025"/>
      <c r="CE21" s="1025"/>
      <c r="CF21" s="1025"/>
      <c r="CG21" s="1026"/>
    </row>
    <row r="22" spans="1:85" x14ac:dyDescent="0.2">
      <c r="B22" s="3">
        <v>12</v>
      </c>
      <c r="C22" s="433" t="s">
        <v>115</v>
      </c>
      <c r="D22" s="780"/>
      <c r="E22" s="5">
        <v>75</v>
      </c>
      <c r="F22" s="5">
        <f t="shared" si="98"/>
        <v>7.5</v>
      </c>
      <c r="G22" s="5">
        <f t="shared" si="99"/>
        <v>5</v>
      </c>
      <c r="H22" s="5">
        <f t="shared" si="100"/>
        <v>3.75</v>
      </c>
      <c r="I22" s="5">
        <f t="shared" si="101"/>
        <v>3</v>
      </c>
      <c r="J22" s="5">
        <f t="shared" ref="J22:J27" si="111">E22/31</f>
        <v>2.4193548387096775</v>
      </c>
      <c r="K22" s="194">
        <f t="shared" si="102"/>
        <v>6.7257878363678594E-2</v>
      </c>
      <c r="L22" s="28"/>
      <c r="M22" s="5">
        <f t="shared" ref="M22:S22" si="112">$J$22</f>
        <v>2.4193548387096775</v>
      </c>
      <c r="N22" s="5">
        <f t="shared" si="112"/>
        <v>2.4193548387096775</v>
      </c>
      <c r="O22" s="5">
        <f t="shared" si="112"/>
        <v>2.4193548387096775</v>
      </c>
      <c r="P22" s="5">
        <f t="shared" si="112"/>
        <v>2.4193548387096775</v>
      </c>
      <c r="Q22" s="5">
        <f t="shared" si="112"/>
        <v>2.4193548387096775</v>
      </c>
      <c r="R22" s="5">
        <f t="shared" si="112"/>
        <v>2.4193548387096775</v>
      </c>
      <c r="S22" s="5">
        <f t="shared" si="112"/>
        <v>2.4193548387096775</v>
      </c>
      <c r="T22" s="14"/>
      <c r="U22" s="937">
        <f>SUM(M22:S22)</f>
        <v>16.935483870967744</v>
      </c>
      <c r="V22" s="1283">
        <f>($U$3*K22)*30%</f>
        <v>18.640857277885342</v>
      </c>
      <c r="W22" s="938">
        <f>V22-U22</f>
        <v>1.7053734069175981</v>
      </c>
      <c r="X22" s="145"/>
      <c r="Y22" s="5">
        <f t="shared" ref="Y22:AE22" si="113">$J$22</f>
        <v>2.4193548387096775</v>
      </c>
      <c r="Z22" s="5">
        <f t="shared" si="113"/>
        <v>2.4193548387096775</v>
      </c>
      <c r="AA22" s="5">
        <f t="shared" si="113"/>
        <v>2.4193548387096775</v>
      </c>
      <c r="AB22" s="5">
        <f t="shared" si="113"/>
        <v>2.4193548387096775</v>
      </c>
      <c r="AC22" s="5">
        <f t="shared" si="113"/>
        <v>2.4193548387096775</v>
      </c>
      <c r="AD22" s="5">
        <f t="shared" si="113"/>
        <v>2.4193548387096775</v>
      </c>
      <c r="AE22" s="5">
        <f t="shared" si="113"/>
        <v>2.4193548387096775</v>
      </c>
      <c r="AF22" s="145"/>
      <c r="AG22" s="937">
        <f>SUM(Y22:AE22)</f>
        <v>16.935483870967744</v>
      </c>
      <c r="AH22" s="1283">
        <f>($AG$3*K22)*30%</f>
        <v>12.99119549533634</v>
      </c>
      <c r="AI22" s="938">
        <f>AH22-AG22</f>
        <v>-3.9442883756314036</v>
      </c>
      <c r="AJ22" s="145"/>
      <c r="AK22" s="1283">
        <f t="shared" ref="AK22:AQ22" si="114">$J$22</f>
        <v>2.4193548387096775</v>
      </c>
      <c r="AL22" s="1283">
        <f t="shared" si="114"/>
        <v>2.4193548387096775</v>
      </c>
      <c r="AM22" s="1326">
        <f t="shared" si="114"/>
        <v>2.4193548387096775</v>
      </c>
      <c r="AN22" s="1326">
        <f t="shared" si="114"/>
        <v>2.4193548387096775</v>
      </c>
      <c r="AO22" s="1329">
        <f t="shared" si="114"/>
        <v>2.4193548387096775</v>
      </c>
      <c r="AP22" s="1332">
        <f t="shared" si="114"/>
        <v>2.4193548387096775</v>
      </c>
      <c r="AQ22" s="1283">
        <f t="shared" si="114"/>
        <v>2.4193548387096775</v>
      </c>
      <c r="AR22" s="145"/>
      <c r="AS22" s="937">
        <f>SUM(AK22:AQ22)</f>
        <v>16.935483870967744</v>
      </c>
      <c r="AT22" s="1283">
        <f>($AS$3*K22)*30%</f>
        <v>13.978877439106959</v>
      </c>
      <c r="AU22" s="938">
        <f>AT22-AS22</f>
        <v>-2.9566064318607843</v>
      </c>
      <c r="AV22" s="145"/>
      <c r="AW22" s="1283">
        <f t="shared" ref="AW22:BC22" si="115">$J$22</f>
        <v>2.4193548387096775</v>
      </c>
      <c r="AX22" s="1283">
        <f t="shared" si="115"/>
        <v>2.4193548387096775</v>
      </c>
      <c r="AY22" s="1337">
        <f t="shared" si="115"/>
        <v>2.4193548387096775</v>
      </c>
      <c r="AZ22" s="1337">
        <f t="shared" si="115"/>
        <v>2.4193548387096775</v>
      </c>
      <c r="BA22" s="1340">
        <f t="shared" si="115"/>
        <v>2.4193548387096775</v>
      </c>
      <c r="BB22" s="1344">
        <f t="shared" si="115"/>
        <v>2.4193548387096775</v>
      </c>
      <c r="BC22" s="1283">
        <f t="shared" si="115"/>
        <v>2.4193548387096775</v>
      </c>
      <c r="BD22" s="145"/>
      <c r="BE22" s="937">
        <f>SUM(AW22:BC22)</f>
        <v>16.935483870967744</v>
      </c>
      <c r="BF22" s="1283">
        <f>($BE$3*K22)*30%</f>
        <v>18.604538023568953</v>
      </c>
      <c r="BG22" s="938">
        <f>BF22-BE22</f>
        <v>1.669054152601209</v>
      </c>
      <c r="BH22" s="14"/>
      <c r="BI22" s="5">
        <f t="shared" ref="BI22:BK22" si="116">$J$22</f>
        <v>2.4193548387096775</v>
      </c>
      <c r="BJ22" s="1283">
        <f t="shared" si="116"/>
        <v>2.4193548387096775</v>
      </c>
      <c r="BK22" s="1283">
        <f t="shared" si="116"/>
        <v>2.4193548387096775</v>
      </c>
      <c r="BL22" s="14"/>
      <c r="BM22" s="937">
        <f>SUM(BI22:BK22)</f>
        <v>7.258064516129032</v>
      </c>
      <c r="BN22" s="1283">
        <f>($BM$3*K22)*30%</f>
        <v>8.305002820347033</v>
      </c>
      <c r="BO22" s="938">
        <f>BN22-BM22</f>
        <v>1.0469383042180009</v>
      </c>
      <c r="BQ22" s="5">
        <v>75</v>
      </c>
      <c r="BR22" s="9">
        <f t="shared" si="108"/>
        <v>1</v>
      </c>
      <c r="BT22" s="937">
        <f t="shared" si="109"/>
        <v>75</v>
      </c>
      <c r="BU22" s="1015">
        <f t="shared" si="110"/>
        <v>1</v>
      </c>
      <c r="BV22" s="29"/>
      <c r="BX22" s="81"/>
      <c r="BY22" s="1238">
        <v>43616</v>
      </c>
      <c r="BZ22" s="482"/>
      <c r="CA22" s="444"/>
      <c r="CB22" s="444"/>
      <c r="CC22" s="444"/>
      <c r="CD22" s="444"/>
      <c r="CE22" s="444"/>
      <c r="CF22" s="444"/>
      <c r="CG22" s="1027"/>
    </row>
    <row r="23" spans="1:85" s="426" customFormat="1" x14ac:dyDescent="0.2">
      <c r="B23" s="43">
        <v>13</v>
      </c>
      <c r="C23" s="427" t="s">
        <v>117</v>
      </c>
      <c r="D23" s="812"/>
      <c r="E23" s="132">
        <v>37</v>
      </c>
      <c r="F23" s="132">
        <f t="shared" si="98"/>
        <v>3.7</v>
      </c>
      <c r="G23" s="132">
        <f t="shared" si="99"/>
        <v>2.4666666666666668</v>
      </c>
      <c r="H23" s="132">
        <f t="shared" si="100"/>
        <v>1.85</v>
      </c>
      <c r="I23" s="132">
        <f t="shared" si="101"/>
        <v>1.48</v>
      </c>
      <c r="J23" s="132">
        <f t="shared" si="111"/>
        <v>1.1935483870967742</v>
      </c>
      <c r="K23" s="478">
        <f t="shared" si="102"/>
        <v>3.3180553326081441E-2</v>
      </c>
      <c r="L23" s="492"/>
      <c r="M23" s="132">
        <f t="shared" ref="M23:S23" si="117">$J$23</f>
        <v>1.1935483870967742</v>
      </c>
      <c r="N23" s="132">
        <f t="shared" si="117"/>
        <v>1.1935483870967742</v>
      </c>
      <c r="O23" s="132">
        <f t="shared" si="117"/>
        <v>1.1935483870967742</v>
      </c>
      <c r="P23" s="132">
        <f t="shared" si="117"/>
        <v>1.1935483870967742</v>
      </c>
      <c r="Q23" s="132">
        <f t="shared" si="117"/>
        <v>1.1935483870967742</v>
      </c>
      <c r="R23" s="132">
        <f t="shared" si="117"/>
        <v>1.1935483870967742</v>
      </c>
      <c r="S23" s="132">
        <f t="shared" si="117"/>
        <v>1.1935483870967742</v>
      </c>
      <c r="T23" s="479"/>
      <c r="U23" s="925">
        <f t="shared" si="9"/>
        <v>8.3548387096774199</v>
      </c>
      <c r="V23" s="440">
        <f t="shared" si="21"/>
        <v>9.1961562570901023</v>
      </c>
      <c r="W23" s="929">
        <f t="shared" si="22"/>
        <v>0.84131754741268239</v>
      </c>
      <c r="X23" s="779"/>
      <c r="Y23" s="132">
        <f t="shared" ref="Y23:AE23" si="118">$J$23</f>
        <v>1.1935483870967742</v>
      </c>
      <c r="Z23" s="132">
        <f t="shared" si="118"/>
        <v>1.1935483870967742</v>
      </c>
      <c r="AA23" s="132">
        <f t="shared" si="118"/>
        <v>1.1935483870967742</v>
      </c>
      <c r="AB23" s="132">
        <f t="shared" si="118"/>
        <v>1.1935483870967742</v>
      </c>
      <c r="AC23" s="132">
        <f t="shared" si="118"/>
        <v>1.1935483870967742</v>
      </c>
      <c r="AD23" s="132">
        <f t="shared" si="118"/>
        <v>1.1935483870967742</v>
      </c>
      <c r="AE23" s="132">
        <f t="shared" si="118"/>
        <v>1.1935483870967742</v>
      </c>
      <c r="AF23" s="779"/>
      <c r="AG23" s="925">
        <f t="shared" si="24"/>
        <v>8.3548387096774199</v>
      </c>
      <c r="AH23" s="440">
        <f t="shared" si="25"/>
        <v>6.4089897776992606</v>
      </c>
      <c r="AI23" s="929">
        <f t="shared" si="26"/>
        <v>-1.9458489319781593</v>
      </c>
      <c r="AJ23" s="779"/>
      <c r="AK23" s="440">
        <f t="shared" ref="AK23:AQ23" si="119">$J$23</f>
        <v>1.1935483870967742</v>
      </c>
      <c r="AL23" s="440">
        <f t="shared" si="119"/>
        <v>1.1935483870967742</v>
      </c>
      <c r="AM23" s="440">
        <f t="shared" si="119"/>
        <v>1.1935483870967742</v>
      </c>
      <c r="AN23" s="440">
        <f t="shared" si="119"/>
        <v>1.1935483870967742</v>
      </c>
      <c r="AO23" s="440">
        <f t="shared" si="119"/>
        <v>1.1935483870967742</v>
      </c>
      <c r="AP23" s="440">
        <f t="shared" si="119"/>
        <v>1.1935483870967742</v>
      </c>
      <c r="AQ23" s="440">
        <f t="shared" si="119"/>
        <v>1.1935483870967742</v>
      </c>
      <c r="AR23" s="779"/>
      <c r="AS23" s="925">
        <f t="shared" si="28"/>
        <v>8.3548387096774199</v>
      </c>
      <c r="AT23" s="440">
        <f t="shared" si="29"/>
        <v>6.8962462032927681</v>
      </c>
      <c r="AU23" s="929">
        <f t="shared" si="50"/>
        <v>-1.4585925063846519</v>
      </c>
      <c r="AV23" s="779"/>
      <c r="AW23" s="440">
        <f t="shared" ref="AW23:BC23" si="120">$J$23</f>
        <v>1.1935483870967742</v>
      </c>
      <c r="AX23" s="440">
        <f t="shared" si="120"/>
        <v>1.1935483870967742</v>
      </c>
      <c r="AY23" s="440">
        <f t="shared" si="120"/>
        <v>1.1935483870967742</v>
      </c>
      <c r="AZ23" s="440">
        <f t="shared" si="120"/>
        <v>1.1935483870967742</v>
      </c>
      <c r="BA23" s="440">
        <f t="shared" si="120"/>
        <v>1.1935483870967742</v>
      </c>
      <c r="BB23" s="440">
        <f t="shared" si="120"/>
        <v>1.1935483870967742</v>
      </c>
      <c r="BC23" s="440">
        <f t="shared" si="120"/>
        <v>1.1935483870967742</v>
      </c>
      <c r="BD23" s="779"/>
      <c r="BE23" s="925">
        <f t="shared" si="13"/>
        <v>8.3548387096774199</v>
      </c>
      <c r="BF23" s="440">
        <f t="shared" si="32"/>
        <v>9.1782387582940181</v>
      </c>
      <c r="BG23" s="929">
        <f t="shared" si="52"/>
        <v>0.82340004861659821</v>
      </c>
      <c r="BH23" s="479"/>
      <c r="BI23" s="132">
        <f t="shared" ref="BI23:BK23" si="121">$J$23</f>
        <v>1.1935483870967742</v>
      </c>
      <c r="BJ23" s="440">
        <f t="shared" si="121"/>
        <v>1.1935483870967742</v>
      </c>
      <c r="BK23" s="440">
        <f t="shared" si="121"/>
        <v>1.1935483870967742</v>
      </c>
      <c r="BL23" s="479"/>
      <c r="BM23" s="925">
        <f>SUM(BI23:BK23)</f>
        <v>3.580645161290323</v>
      </c>
      <c r="BN23" s="440">
        <f>($BM$3*K23)*30%</f>
        <v>4.097134724704536</v>
      </c>
      <c r="BO23" s="929">
        <f t="shared" si="54"/>
        <v>0.51648956341421304</v>
      </c>
      <c r="BQ23" s="132">
        <v>37</v>
      </c>
      <c r="BR23" s="641">
        <f t="shared" si="108"/>
        <v>1</v>
      </c>
      <c r="BT23" s="925">
        <f t="shared" si="109"/>
        <v>37</v>
      </c>
      <c r="BU23" s="1014">
        <f t="shared" si="110"/>
        <v>1</v>
      </c>
      <c r="BV23" s="480"/>
      <c r="BX23" s="1199"/>
      <c r="BY23" s="1039">
        <v>43585</v>
      </c>
      <c r="BZ23" s="62"/>
      <c r="CA23" s="81"/>
      <c r="CB23" s="81"/>
      <c r="CC23" s="81"/>
      <c r="CD23" s="81"/>
      <c r="CE23" s="81"/>
      <c r="CF23" s="81"/>
      <c r="CG23" s="1029"/>
    </row>
    <row r="24" spans="1:85" x14ac:dyDescent="0.2">
      <c r="A24" s="432"/>
      <c r="B24" s="433">
        <v>14</v>
      </c>
      <c r="C24" s="433" t="s">
        <v>118</v>
      </c>
      <c r="D24" s="780"/>
      <c r="E24" s="347">
        <v>31.716000000000001</v>
      </c>
      <c r="F24" s="347">
        <f t="shared" si="98"/>
        <v>3.1716000000000002</v>
      </c>
      <c r="G24" s="347">
        <f t="shared" si="99"/>
        <v>2.1144000000000003</v>
      </c>
      <c r="H24" s="347">
        <f t="shared" si="100"/>
        <v>1.5858000000000001</v>
      </c>
      <c r="I24" s="347">
        <f t="shared" si="101"/>
        <v>1.26864</v>
      </c>
      <c r="J24" s="347">
        <f t="shared" si="111"/>
        <v>1.0230967741935484</v>
      </c>
      <c r="K24" s="531">
        <f t="shared" si="102"/>
        <v>2.8442011602432409E-2</v>
      </c>
      <c r="L24" s="28"/>
      <c r="M24" s="5">
        <f t="shared" ref="M24:S24" si="122">$J$24</f>
        <v>1.0230967741935484</v>
      </c>
      <c r="N24" s="5">
        <f t="shared" si="122"/>
        <v>1.0230967741935484</v>
      </c>
      <c r="O24" s="5">
        <f t="shared" si="122"/>
        <v>1.0230967741935484</v>
      </c>
      <c r="P24" s="5">
        <f t="shared" si="122"/>
        <v>1.0230967741935484</v>
      </c>
      <c r="Q24" s="5">
        <f t="shared" si="122"/>
        <v>1.0230967741935484</v>
      </c>
      <c r="R24" s="5">
        <f t="shared" si="122"/>
        <v>1.0230967741935484</v>
      </c>
      <c r="S24" s="5">
        <f t="shared" si="122"/>
        <v>1.0230967741935484</v>
      </c>
      <c r="T24" s="14"/>
      <c r="U24" s="937">
        <f t="shared" si="9"/>
        <v>7.161677419354838</v>
      </c>
      <c r="V24" s="1283">
        <f t="shared" si="21"/>
        <v>7.882845725672154</v>
      </c>
      <c r="W24" s="938">
        <f t="shared" si="22"/>
        <v>0.72116830631731599</v>
      </c>
      <c r="X24" s="145"/>
      <c r="Y24" s="5">
        <f t="shared" ref="Y24:AE24" si="123">$J$24</f>
        <v>1.0230967741935484</v>
      </c>
      <c r="Z24" s="5">
        <f t="shared" si="123"/>
        <v>1.0230967741935484</v>
      </c>
      <c r="AA24" s="5">
        <f t="shared" si="123"/>
        <v>1.0230967741935484</v>
      </c>
      <c r="AB24" s="5">
        <f t="shared" si="123"/>
        <v>1.0230967741935484</v>
      </c>
      <c r="AC24" s="5">
        <f t="shared" si="123"/>
        <v>1.0230967741935484</v>
      </c>
      <c r="AD24" s="5">
        <f t="shared" si="123"/>
        <v>1.0230967741935484</v>
      </c>
      <c r="AE24" s="5">
        <f t="shared" si="123"/>
        <v>1.0230967741935484</v>
      </c>
      <c r="AF24" s="145"/>
      <c r="AG24" s="937">
        <f t="shared" si="24"/>
        <v>7.161677419354838</v>
      </c>
      <c r="AH24" s="1283">
        <f t="shared" si="25"/>
        <v>5.493716751067832</v>
      </c>
      <c r="AI24" s="938">
        <f t="shared" si="26"/>
        <v>-1.6679606682870061</v>
      </c>
      <c r="AJ24" s="145"/>
      <c r="AK24" s="1283">
        <f t="shared" ref="AK24:AQ24" si="124">$J$24</f>
        <v>1.0230967741935484</v>
      </c>
      <c r="AL24" s="1283">
        <f t="shared" si="124"/>
        <v>1.0230967741935484</v>
      </c>
      <c r="AM24" s="1326">
        <f t="shared" si="124"/>
        <v>1.0230967741935484</v>
      </c>
      <c r="AN24" s="1326">
        <f t="shared" si="124"/>
        <v>1.0230967741935484</v>
      </c>
      <c r="AO24" s="1329">
        <f t="shared" si="124"/>
        <v>1.0230967741935484</v>
      </c>
      <c r="AP24" s="1332">
        <f t="shared" si="124"/>
        <v>1.0230967741935484</v>
      </c>
      <c r="AQ24" s="1283">
        <f t="shared" si="124"/>
        <v>1.0230967741935484</v>
      </c>
      <c r="AR24" s="145"/>
      <c r="AS24" s="937">
        <f t="shared" si="28"/>
        <v>7.161677419354838</v>
      </c>
      <c r="AT24" s="1283">
        <f t="shared" si="29"/>
        <v>5.9113876914495522</v>
      </c>
      <c r="AU24" s="938">
        <f t="shared" si="50"/>
        <v>-1.2502897279052858</v>
      </c>
      <c r="AV24" s="145"/>
      <c r="AW24" s="1283">
        <f t="shared" ref="AW24:BC24" si="125">$J$24</f>
        <v>1.0230967741935484</v>
      </c>
      <c r="AX24" s="1283">
        <f t="shared" si="125"/>
        <v>1.0230967741935484</v>
      </c>
      <c r="AY24" s="1337">
        <f t="shared" si="125"/>
        <v>1.0230967741935484</v>
      </c>
      <c r="AZ24" s="1337">
        <f t="shared" si="125"/>
        <v>1.0230967741935484</v>
      </c>
      <c r="BA24" s="1340">
        <f t="shared" si="125"/>
        <v>1.0230967741935484</v>
      </c>
      <c r="BB24" s="1344">
        <f t="shared" si="125"/>
        <v>1.0230967741935484</v>
      </c>
      <c r="BC24" s="1283">
        <f t="shared" si="125"/>
        <v>1.0230967741935484</v>
      </c>
      <c r="BD24" s="145"/>
      <c r="BE24" s="937">
        <f t="shared" si="13"/>
        <v>7.161677419354838</v>
      </c>
      <c r="BF24" s="1283">
        <f t="shared" si="32"/>
        <v>7.8674870394068401</v>
      </c>
      <c r="BG24" s="938">
        <f t="shared" si="52"/>
        <v>0.7058096200520021</v>
      </c>
      <c r="BH24" s="14"/>
      <c r="BI24" s="5">
        <f t="shared" ref="BI24:BK24" si="126">$J$24</f>
        <v>1.0230967741935484</v>
      </c>
      <c r="BJ24" s="1283">
        <f t="shared" si="126"/>
        <v>1.0230967741935484</v>
      </c>
      <c r="BK24" s="1283">
        <f t="shared" si="126"/>
        <v>1.0230967741935484</v>
      </c>
      <c r="BL24" s="14"/>
      <c r="BM24" s="937">
        <f>SUM(BI24:BK24)</f>
        <v>3.0692903225806454</v>
      </c>
      <c r="BN24" s="1283">
        <f>($BM$3*K24)*30%</f>
        <v>3.512019592668354</v>
      </c>
      <c r="BO24" s="938">
        <f t="shared" si="54"/>
        <v>0.44272927008770857</v>
      </c>
      <c r="BQ24" s="5">
        <v>31.716000000000001</v>
      </c>
      <c r="BR24" s="9">
        <f t="shared" si="108"/>
        <v>1</v>
      </c>
      <c r="BT24" s="937">
        <f t="shared" si="109"/>
        <v>31.715999999999998</v>
      </c>
      <c r="BU24" s="1015">
        <f t="shared" si="110"/>
        <v>0.99999999999999989</v>
      </c>
      <c r="BV24" s="29"/>
      <c r="BX24" s="1253"/>
      <c r="BY24" s="1239">
        <f>BY22-BY23</f>
        <v>31</v>
      </c>
      <c r="BZ24" s="840"/>
      <c r="CA24" s="988"/>
      <c r="CB24" s="988"/>
      <c r="CC24" s="988"/>
      <c r="CD24" s="988"/>
      <c r="CE24" s="988"/>
      <c r="CF24" s="988"/>
      <c r="CG24" s="1030"/>
    </row>
    <row r="25" spans="1:85" s="255" customFormat="1" x14ac:dyDescent="0.2">
      <c r="A25" s="426"/>
      <c r="B25" s="427">
        <v>15</v>
      </c>
      <c r="C25" s="427" t="s">
        <v>166</v>
      </c>
      <c r="D25" s="813"/>
      <c r="E25" s="40">
        <v>25.5</v>
      </c>
      <c r="F25" s="40">
        <f t="shared" si="98"/>
        <v>2.5499999999999998</v>
      </c>
      <c r="G25" s="40">
        <f t="shared" si="99"/>
        <v>1.7</v>
      </c>
      <c r="H25" s="40">
        <f t="shared" si="100"/>
        <v>1.2749999999999999</v>
      </c>
      <c r="I25" s="40">
        <f t="shared" si="101"/>
        <v>1.02</v>
      </c>
      <c r="J25" s="40">
        <f t="shared" si="111"/>
        <v>0.82258064516129037</v>
      </c>
      <c r="K25" s="206">
        <f t="shared" si="102"/>
        <v>2.2867678643650725E-2</v>
      </c>
      <c r="L25" s="492"/>
      <c r="M25" s="40">
        <f t="shared" ref="M25:S25" si="127">$J$25</f>
        <v>0.82258064516129037</v>
      </c>
      <c r="N25" s="40">
        <f t="shared" si="127"/>
        <v>0.82258064516129037</v>
      </c>
      <c r="O25" s="40">
        <f t="shared" si="127"/>
        <v>0.82258064516129037</v>
      </c>
      <c r="P25" s="40">
        <f t="shared" si="127"/>
        <v>0.82258064516129037</v>
      </c>
      <c r="Q25" s="40">
        <f t="shared" si="127"/>
        <v>0.82258064516129037</v>
      </c>
      <c r="R25" s="40">
        <f t="shared" si="127"/>
        <v>0.82258064516129037</v>
      </c>
      <c r="S25" s="40">
        <f t="shared" si="127"/>
        <v>0.82258064516129037</v>
      </c>
      <c r="T25" s="1296"/>
      <c r="U25" s="911">
        <f t="shared" si="9"/>
        <v>5.758064516129032</v>
      </c>
      <c r="V25" s="1284">
        <f t="shared" si="21"/>
        <v>6.3378914744810171</v>
      </c>
      <c r="W25" s="936">
        <f t="shared" si="22"/>
        <v>0.57982695835198506</v>
      </c>
      <c r="X25" s="782"/>
      <c r="Y25" s="40">
        <f t="shared" ref="Y25:AE25" si="128">$J$25</f>
        <v>0.82258064516129037</v>
      </c>
      <c r="Z25" s="40">
        <f t="shared" si="128"/>
        <v>0.82258064516129037</v>
      </c>
      <c r="AA25" s="40">
        <f t="shared" si="128"/>
        <v>0.82258064516129037</v>
      </c>
      <c r="AB25" s="40">
        <f t="shared" si="128"/>
        <v>0.82258064516129037</v>
      </c>
      <c r="AC25" s="40">
        <f t="shared" si="128"/>
        <v>0.82258064516129037</v>
      </c>
      <c r="AD25" s="40">
        <f t="shared" si="128"/>
        <v>0.82258064516129037</v>
      </c>
      <c r="AE25" s="40">
        <f t="shared" si="128"/>
        <v>0.82258064516129037</v>
      </c>
      <c r="AF25" s="782"/>
      <c r="AG25" s="911">
        <f t="shared" si="24"/>
        <v>5.758064516129032</v>
      </c>
      <c r="AH25" s="1284">
        <f t="shared" si="25"/>
        <v>4.417006468414356</v>
      </c>
      <c r="AI25" s="936">
        <f t="shared" si="26"/>
        <v>-1.3410580477146761</v>
      </c>
      <c r="AJ25" s="782"/>
      <c r="AK25" s="1284">
        <f t="shared" ref="AK25:AQ25" si="129">$J$25</f>
        <v>0.82258064516129037</v>
      </c>
      <c r="AL25" s="1284">
        <f t="shared" si="129"/>
        <v>0.82258064516129037</v>
      </c>
      <c r="AM25" s="1325">
        <f t="shared" si="129"/>
        <v>0.82258064516129037</v>
      </c>
      <c r="AN25" s="1325">
        <f t="shared" si="129"/>
        <v>0.82258064516129037</v>
      </c>
      <c r="AO25" s="1330">
        <f t="shared" si="129"/>
        <v>0.82258064516129037</v>
      </c>
      <c r="AP25" s="1333">
        <f t="shared" si="129"/>
        <v>0.82258064516129037</v>
      </c>
      <c r="AQ25" s="1284">
        <f t="shared" si="129"/>
        <v>0.82258064516129037</v>
      </c>
      <c r="AR25" s="782"/>
      <c r="AS25" s="911">
        <f t="shared" si="28"/>
        <v>5.758064516129032</v>
      </c>
      <c r="AT25" s="1284">
        <f t="shared" si="29"/>
        <v>4.7528183292963675</v>
      </c>
      <c r="AU25" s="936">
        <f t="shared" si="50"/>
        <v>-1.0052461868326645</v>
      </c>
      <c r="AV25" s="782"/>
      <c r="AW25" s="1284">
        <f t="shared" ref="AW25:BC25" si="130">$J$25</f>
        <v>0.82258064516129037</v>
      </c>
      <c r="AX25" s="1284">
        <f t="shared" si="130"/>
        <v>0.82258064516129037</v>
      </c>
      <c r="AY25" s="1336">
        <f t="shared" si="130"/>
        <v>0.82258064516129037</v>
      </c>
      <c r="AZ25" s="1336">
        <f t="shared" si="130"/>
        <v>0.82258064516129037</v>
      </c>
      <c r="BA25" s="1341">
        <f t="shared" si="130"/>
        <v>0.82258064516129037</v>
      </c>
      <c r="BB25" s="1345">
        <f t="shared" si="130"/>
        <v>0.82258064516129037</v>
      </c>
      <c r="BC25" s="1284">
        <f t="shared" si="130"/>
        <v>0.82258064516129037</v>
      </c>
      <c r="BD25" s="782"/>
      <c r="BE25" s="911">
        <f t="shared" si="13"/>
        <v>5.758064516129032</v>
      </c>
      <c r="BF25" s="1284">
        <f t="shared" si="32"/>
        <v>6.3255429280134452</v>
      </c>
      <c r="BG25" s="936">
        <f t="shared" si="52"/>
        <v>0.56747841188441317</v>
      </c>
      <c r="BH25" s="1296"/>
      <c r="BI25" s="40">
        <f t="shared" ref="BI25:BK25" si="131">$J$25</f>
        <v>0.82258064516129037</v>
      </c>
      <c r="BJ25" s="1284">
        <f t="shared" si="131"/>
        <v>0.82258064516129037</v>
      </c>
      <c r="BK25" s="1284">
        <f t="shared" si="131"/>
        <v>0.82258064516129037</v>
      </c>
      <c r="BL25" s="1296"/>
      <c r="BM25" s="911">
        <f>SUM(BI25:BK25)</f>
        <v>2.467741935483871</v>
      </c>
      <c r="BN25" s="1284">
        <f>($BM$3*K25)*30%</f>
        <v>2.8237009589179918</v>
      </c>
      <c r="BO25" s="936">
        <f t="shared" si="54"/>
        <v>0.35595902343412078</v>
      </c>
      <c r="BQ25" s="40">
        <v>25.5</v>
      </c>
      <c r="BR25" s="51">
        <f t="shared" si="108"/>
        <v>1</v>
      </c>
      <c r="BT25" s="911">
        <f t="shared" si="109"/>
        <v>25.5</v>
      </c>
      <c r="BU25" s="1016">
        <f t="shared" si="110"/>
        <v>1</v>
      </c>
      <c r="BV25" s="62"/>
      <c r="BX25" s="1200"/>
      <c r="BY25" s="1039">
        <v>43616</v>
      </c>
      <c r="BZ25" s="482"/>
      <c r="CA25" s="444"/>
      <c r="CB25" s="444"/>
      <c r="CC25" s="444"/>
      <c r="CD25" s="444"/>
      <c r="CE25" s="444"/>
      <c r="CF25" s="444"/>
      <c r="CG25" s="1027"/>
    </row>
    <row r="26" spans="1:85" x14ac:dyDescent="0.2">
      <c r="B26" s="3">
        <v>16</v>
      </c>
      <c r="C26" s="922" t="s">
        <v>123</v>
      </c>
      <c r="D26" s="780"/>
      <c r="E26" s="347">
        <v>25</v>
      </c>
      <c r="F26" s="347">
        <f t="shared" si="98"/>
        <v>2.5</v>
      </c>
      <c r="G26" s="347">
        <f t="shared" si="99"/>
        <v>1.6666666666666667</v>
      </c>
      <c r="H26" s="347">
        <f t="shared" si="100"/>
        <v>1.25</v>
      </c>
      <c r="I26" s="347">
        <f t="shared" si="101"/>
        <v>1</v>
      </c>
      <c r="J26" s="347">
        <f t="shared" si="111"/>
        <v>0.80645161290322576</v>
      </c>
      <c r="K26" s="531">
        <f t="shared" si="102"/>
        <v>2.2419292787892866E-2</v>
      </c>
      <c r="L26" s="491"/>
      <c r="M26" s="5">
        <f t="shared" ref="M26:S26" si="132">$J$26</f>
        <v>0.80645161290322576</v>
      </c>
      <c r="N26" s="5">
        <f t="shared" si="132"/>
        <v>0.80645161290322576</v>
      </c>
      <c r="O26" s="5">
        <f t="shared" si="132"/>
        <v>0.80645161290322576</v>
      </c>
      <c r="P26" s="5">
        <f t="shared" si="132"/>
        <v>0.80645161290322576</v>
      </c>
      <c r="Q26" s="5">
        <f t="shared" si="132"/>
        <v>0.80645161290322576</v>
      </c>
      <c r="R26" s="5">
        <f t="shared" si="132"/>
        <v>0.80645161290322576</v>
      </c>
      <c r="S26" s="5">
        <f t="shared" si="132"/>
        <v>0.80645161290322576</v>
      </c>
      <c r="T26" s="14"/>
      <c r="U26" s="937">
        <f t="shared" si="9"/>
        <v>5.645161290322581</v>
      </c>
      <c r="V26" s="1283">
        <f>($U$3*K26)*30%</f>
        <v>6.2136190926284476</v>
      </c>
      <c r="W26" s="938">
        <f t="shared" si="22"/>
        <v>0.56845780230586662</v>
      </c>
      <c r="X26" s="145"/>
      <c r="Y26" s="5">
        <f t="shared" ref="Y26:AE26" si="133">$J$26</f>
        <v>0.80645161290322576</v>
      </c>
      <c r="Z26" s="5">
        <f t="shared" si="133"/>
        <v>0.80645161290322576</v>
      </c>
      <c r="AA26" s="5">
        <f t="shared" si="133"/>
        <v>0.80645161290322576</v>
      </c>
      <c r="AB26" s="5">
        <f t="shared" si="133"/>
        <v>0.80645161290322576</v>
      </c>
      <c r="AC26" s="5">
        <f t="shared" si="133"/>
        <v>0.80645161290322576</v>
      </c>
      <c r="AD26" s="5">
        <f t="shared" si="133"/>
        <v>0.80645161290322576</v>
      </c>
      <c r="AE26" s="5">
        <f t="shared" si="133"/>
        <v>0.80645161290322576</v>
      </c>
      <c r="AF26" s="145"/>
      <c r="AG26" s="937">
        <f t="shared" si="24"/>
        <v>5.645161290322581</v>
      </c>
      <c r="AH26" s="1283">
        <f>($AG$3*K26)*30%</f>
        <v>4.3303984984454464</v>
      </c>
      <c r="AI26" s="938">
        <f t="shared" si="26"/>
        <v>-1.3147627918771345</v>
      </c>
      <c r="AJ26" s="145"/>
      <c r="AK26" s="1283">
        <f t="shared" ref="AK26:AQ26" si="134">$J$26</f>
        <v>0.80645161290322576</v>
      </c>
      <c r="AL26" s="1283">
        <f t="shared" si="134"/>
        <v>0.80645161290322576</v>
      </c>
      <c r="AM26" s="1326">
        <f t="shared" si="134"/>
        <v>0.80645161290322576</v>
      </c>
      <c r="AN26" s="1326">
        <f t="shared" si="134"/>
        <v>0.80645161290322576</v>
      </c>
      <c r="AO26" s="1329">
        <f t="shared" si="134"/>
        <v>0.80645161290322576</v>
      </c>
      <c r="AP26" s="1332">
        <f t="shared" si="134"/>
        <v>0.80645161290322576</v>
      </c>
      <c r="AQ26" s="1283">
        <f t="shared" si="134"/>
        <v>0.80645161290322576</v>
      </c>
      <c r="AR26" s="145"/>
      <c r="AS26" s="937">
        <f t="shared" si="28"/>
        <v>5.645161290322581</v>
      </c>
      <c r="AT26" s="1283">
        <f t="shared" si="29"/>
        <v>4.6596258130356532</v>
      </c>
      <c r="AU26" s="938">
        <f t="shared" si="50"/>
        <v>-0.98553547728692781</v>
      </c>
      <c r="AV26" s="145"/>
      <c r="AW26" s="1283">
        <f t="shared" ref="AW26:BC26" si="135">$J$26</f>
        <v>0.80645161290322576</v>
      </c>
      <c r="AX26" s="1283">
        <f t="shared" si="135"/>
        <v>0.80645161290322576</v>
      </c>
      <c r="AY26" s="1337">
        <f t="shared" si="135"/>
        <v>0.80645161290322576</v>
      </c>
      <c r="AZ26" s="1337">
        <f t="shared" si="135"/>
        <v>0.80645161290322576</v>
      </c>
      <c r="BA26" s="1340">
        <f t="shared" si="135"/>
        <v>0.80645161290322576</v>
      </c>
      <c r="BB26" s="1344">
        <f t="shared" si="135"/>
        <v>0.80645161290322576</v>
      </c>
      <c r="BC26" s="1283">
        <f t="shared" si="135"/>
        <v>0.80645161290322576</v>
      </c>
      <c r="BD26" s="145"/>
      <c r="BE26" s="937">
        <f t="shared" si="13"/>
        <v>5.645161290322581</v>
      </c>
      <c r="BF26" s="1283">
        <f t="shared" si="32"/>
        <v>6.2015126745229843</v>
      </c>
      <c r="BG26" s="938">
        <f t="shared" si="52"/>
        <v>0.55635138420040331</v>
      </c>
      <c r="BH26" s="14"/>
      <c r="BI26" s="5">
        <f t="shared" ref="BI26:BK26" si="136">$J$26</f>
        <v>0.80645161290322576</v>
      </c>
      <c r="BJ26" s="1283">
        <f t="shared" si="136"/>
        <v>0.80645161290322576</v>
      </c>
      <c r="BK26" s="1283">
        <f t="shared" si="136"/>
        <v>0.80645161290322576</v>
      </c>
      <c r="BL26" s="14"/>
      <c r="BM26" s="937">
        <f t="shared" ref="BM26" si="137">SUM(BI26:BK26)</f>
        <v>2.419354838709677</v>
      </c>
      <c r="BN26" s="1283">
        <f t="shared" ref="BN26:BN27" si="138">($BM$3*K26)*30%</f>
        <v>2.7683342734490113</v>
      </c>
      <c r="BO26" s="938">
        <f t="shared" si="54"/>
        <v>0.34897943473933424</v>
      </c>
      <c r="BQ26" s="5">
        <v>25</v>
      </c>
      <c r="BR26" s="9">
        <f t="shared" si="108"/>
        <v>1</v>
      </c>
      <c r="BT26" s="937">
        <f t="shared" si="109"/>
        <v>25</v>
      </c>
      <c r="BU26" s="1015">
        <f t="shared" si="110"/>
        <v>1</v>
      </c>
      <c r="BV26" s="29"/>
      <c r="BX26" s="29"/>
      <c r="BY26" s="1240">
        <v>43617</v>
      </c>
      <c r="BZ26" s="840"/>
      <c r="CA26" s="988"/>
      <c r="CB26" s="988"/>
      <c r="CC26" s="988"/>
      <c r="CD26" s="988"/>
      <c r="CE26" s="988"/>
      <c r="CF26" s="988"/>
      <c r="CG26" s="1030"/>
    </row>
    <row r="27" spans="1:85" s="255" customFormat="1" ht="15.75" thickBot="1" x14ac:dyDescent="0.25">
      <c r="B27" s="43">
        <v>17</v>
      </c>
      <c r="C27" s="427" t="s">
        <v>119</v>
      </c>
      <c r="D27" s="812"/>
      <c r="E27" s="132">
        <v>4</v>
      </c>
      <c r="F27" s="132">
        <f t="shared" si="98"/>
        <v>0.4</v>
      </c>
      <c r="G27" s="132">
        <f t="shared" si="99"/>
        <v>0.26666666666666666</v>
      </c>
      <c r="H27" s="132">
        <f t="shared" si="100"/>
        <v>0.2</v>
      </c>
      <c r="I27" s="132">
        <f t="shared" si="101"/>
        <v>0.16</v>
      </c>
      <c r="J27" s="132">
        <f t="shared" si="111"/>
        <v>0.12903225806451613</v>
      </c>
      <c r="K27" s="478">
        <f t="shared" si="102"/>
        <v>3.5870868460628588E-3</v>
      </c>
      <c r="L27" s="492"/>
      <c r="M27" s="40">
        <f t="shared" ref="M27:S27" si="139">$J$27</f>
        <v>0.12903225806451613</v>
      </c>
      <c r="N27" s="40">
        <f t="shared" si="139"/>
        <v>0.12903225806451613</v>
      </c>
      <c r="O27" s="40">
        <f t="shared" si="139"/>
        <v>0.12903225806451613</v>
      </c>
      <c r="P27" s="40">
        <f t="shared" si="139"/>
        <v>0.12903225806451613</v>
      </c>
      <c r="Q27" s="40">
        <f t="shared" si="139"/>
        <v>0.12903225806451613</v>
      </c>
      <c r="R27" s="40">
        <f t="shared" si="139"/>
        <v>0.12903225806451613</v>
      </c>
      <c r="S27" s="40">
        <f t="shared" si="139"/>
        <v>0.12903225806451613</v>
      </c>
      <c r="T27" s="1296"/>
      <c r="U27" s="957">
        <f>SUM(M27:S27)</f>
        <v>0.90322580645161288</v>
      </c>
      <c r="V27" s="958">
        <f t="shared" ref="V27" si="140">($U$3*K27)*30%</f>
        <v>0.99417905482055169</v>
      </c>
      <c r="W27" s="959">
        <f t="shared" si="22"/>
        <v>9.095324836893881E-2</v>
      </c>
      <c r="X27" s="782"/>
      <c r="Y27" s="1284">
        <f t="shared" ref="Y27:AE27" si="141">$J$27</f>
        <v>0.12903225806451613</v>
      </c>
      <c r="Z27" s="1284">
        <f t="shared" si="141"/>
        <v>0.12903225806451613</v>
      </c>
      <c r="AA27" s="1309">
        <f t="shared" si="141"/>
        <v>0.12903225806451613</v>
      </c>
      <c r="AB27" s="1313">
        <f t="shared" si="141"/>
        <v>0.12903225806451613</v>
      </c>
      <c r="AC27" s="1315">
        <f t="shared" si="141"/>
        <v>0.12903225806451613</v>
      </c>
      <c r="AD27" s="1322">
        <f t="shared" si="141"/>
        <v>0.12903225806451613</v>
      </c>
      <c r="AE27" s="1284">
        <f t="shared" si="141"/>
        <v>0.12903225806451613</v>
      </c>
      <c r="AF27" s="782"/>
      <c r="AG27" s="957">
        <f t="shared" si="24"/>
        <v>0.90322580645161288</v>
      </c>
      <c r="AH27" s="958">
        <f>($AG$3*K27)*30%</f>
        <v>0.69286375975127157</v>
      </c>
      <c r="AI27" s="959">
        <f t="shared" si="26"/>
        <v>-0.21036204670034131</v>
      </c>
      <c r="AJ27" s="782"/>
      <c r="AK27" s="1284">
        <f t="shared" ref="AK27:AQ27" si="142">$J$27</f>
        <v>0.12903225806451613</v>
      </c>
      <c r="AL27" s="1284">
        <f t="shared" si="142"/>
        <v>0.12903225806451613</v>
      </c>
      <c r="AM27" s="1325">
        <f t="shared" si="142"/>
        <v>0.12903225806451613</v>
      </c>
      <c r="AN27" s="1325">
        <f t="shared" si="142"/>
        <v>0.12903225806451613</v>
      </c>
      <c r="AO27" s="1330">
        <f t="shared" si="142"/>
        <v>0.12903225806451613</v>
      </c>
      <c r="AP27" s="1333">
        <f t="shared" si="142"/>
        <v>0.12903225806451613</v>
      </c>
      <c r="AQ27" s="1284">
        <f t="shared" si="142"/>
        <v>0.12903225806451613</v>
      </c>
      <c r="AR27" s="782"/>
      <c r="AS27" s="957">
        <f t="shared" si="28"/>
        <v>0.90322580645161288</v>
      </c>
      <c r="AT27" s="958">
        <f t="shared" si="29"/>
        <v>0.74554013008570463</v>
      </c>
      <c r="AU27" s="959">
        <f t="shared" si="50"/>
        <v>-0.15768567636590824</v>
      </c>
      <c r="AV27" s="782"/>
      <c r="AW27" s="1284">
        <f t="shared" ref="AW27:BC27" si="143">$J$27</f>
        <v>0.12903225806451613</v>
      </c>
      <c r="AX27" s="1284">
        <f t="shared" si="143"/>
        <v>0.12903225806451613</v>
      </c>
      <c r="AY27" s="1336">
        <f t="shared" si="143"/>
        <v>0.12903225806451613</v>
      </c>
      <c r="AZ27" s="1336">
        <f t="shared" si="143"/>
        <v>0.12903225806451613</v>
      </c>
      <c r="BA27" s="1341">
        <f t="shared" si="143"/>
        <v>0.12903225806451613</v>
      </c>
      <c r="BB27" s="1345">
        <f t="shared" si="143"/>
        <v>0.12903225806451613</v>
      </c>
      <c r="BC27" s="1284">
        <f t="shared" si="143"/>
        <v>0.12903225806451613</v>
      </c>
      <c r="BD27" s="782"/>
      <c r="BE27" s="1177">
        <f t="shared" si="13"/>
        <v>0.90322580645161288</v>
      </c>
      <c r="BF27" s="1179">
        <f t="shared" si="32"/>
        <v>0.99224202792367755</v>
      </c>
      <c r="BG27" s="1178">
        <f t="shared" si="52"/>
        <v>8.9016221472064672E-2</v>
      </c>
      <c r="BH27" s="1296"/>
      <c r="BI27" s="40">
        <f t="shared" ref="BI27:BK27" si="144">$J$27</f>
        <v>0.12903225806451613</v>
      </c>
      <c r="BJ27" s="1284">
        <f t="shared" si="144"/>
        <v>0.12903225806451613</v>
      </c>
      <c r="BK27" s="1284">
        <f t="shared" si="144"/>
        <v>0.12903225806451613</v>
      </c>
      <c r="BL27" s="1296"/>
      <c r="BM27" s="1177">
        <f>SUM(BI27:BK27)</f>
        <v>0.38709677419354838</v>
      </c>
      <c r="BN27" s="1179">
        <f t="shared" si="138"/>
        <v>0.44293348375184183</v>
      </c>
      <c r="BO27" s="1178">
        <f t="shared" si="54"/>
        <v>5.5836709558293451E-2</v>
      </c>
      <c r="BQ27" s="40">
        <v>4</v>
      </c>
      <c r="BR27" s="51">
        <f t="shared" si="108"/>
        <v>1</v>
      </c>
      <c r="BT27" s="957">
        <f t="shared" si="109"/>
        <v>4</v>
      </c>
      <c r="BU27" s="1078">
        <f t="shared" si="110"/>
        <v>1</v>
      </c>
      <c r="BV27" s="62"/>
      <c r="BX27" s="62"/>
      <c r="BY27" s="1241">
        <f>BY26-BY25</f>
        <v>1</v>
      </c>
      <c r="BZ27" s="62"/>
      <c r="CA27" s="81"/>
      <c r="CB27" s="81"/>
      <c r="CC27" s="81"/>
      <c r="CD27" s="81"/>
      <c r="CE27" s="81"/>
      <c r="CF27" s="81"/>
      <c r="CG27" s="1029"/>
    </row>
    <row r="28" spans="1:85" s="81" customFormat="1" ht="4.5" customHeight="1" thickBot="1" x14ac:dyDescent="0.25">
      <c r="B28" s="1292"/>
      <c r="C28" s="1168"/>
      <c r="D28" s="438"/>
      <c r="E28" s="429"/>
      <c r="F28" s="429"/>
      <c r="G28" s="429"/>
      <c r="H28" s="429"/>
      <c r="I28" s="429"/>
      <c r="J28" s="429"/>
      <c r="K28" s="1169"/>
      <c r="L28" s="492"/>
      <c r="M28" s="80"/>
      <c r="N28" s="80"/>
      <c r="O28" s="80"/>
      <c r="P28" s="80"/>
      <c r="Q28" s="80"/>
      <c r="R28" s="80"/>
      <c r="S28" s="80"/>
      <c r="T28" s="1296"/>
      <c r="U28" s="1296"/>
      <c r="V28" s="1296"/>
      <c r="W28" s="1296"/>
      <c r="X28" s="1296"/>
      <c r="Y28" s="80"/>
      <c r="Z28" s="80"/>
      <c r="AA28" s="80"/>
      <c r="AB28" s="80"/>
      <c r="AC28" s="80"/>
      <c r="AD28" s="80"/>
      <c r="AE28" s="80"/>
      <c r="AF28" s="1296"/>
      <c r="AG28" s="1296"/>
      <c r="AH28" s="1296"/>
      <c r="AI28" s="1296"/>
      <c r="AJ28" s="1296"/>
      <c r="AK28" s="80"/>
      <c r="AL28" s="80"/>
      <c r="AM28" s="80"/>
      <c r="AN28" s="80"/>
      <c r="AO28" s="80"/>
      <c r="AP28" s="80"/>
      <c r="AQ28" s="80"/>
      <c r="AR28" s="1296"/>
      <c r="AS28" s="1296"/>
      <c r="AT28" s="1296"/>
      <c r="AU28" s="1296"/>
      <c r="AV28" s="1296"/>
      <c r="AW28" s="80"/>
      <c r="AX28" s="80"/>
      <c r="AY28" s="80"/>
      <c r="AZ28" s="80"/>
      <c r="BA28" s="80"/>
      <c r="BB28" s="80"/>
      <c r="BC28" s="80"/>
      <c r="BD28" s="1296"/>
      <c r="BE28" s="1291"/>
      <c r="BF28" s="1291"/>
      <c r="BG28" s="1291"/>
      <c r="BH28" s="1296"/>
      <c r="BI28" s="80"/>
      <c r="BJ28" s="80"/>
      <c r="BK28" s="80"/>
      <c r="BL28" s="1296"/>
      <c r="BM28" s="1291"/>
      <c r="BN28" s="1291"/>
      <c r="BO28" s="1291"/>
      <c r="BQ28" s="1296"/>
      <c r="BR28" s="62"/>
      <c r="BT28" s="1201"/>
      <c r="BU28" s="1202"/>
      <c r="BV28" s="62"/>
      <c r="BX28" s="62"/>
      <c r="BY28" s="1031"/>
      <c r="BZ28" s="1022"/>
      <c r="CA28" s="271"/>
      <c r="CB28" s="271"/>
      <c r="CC28" s="271"/>
      <c r="CD28" s="271"/>
      <c r="CE28" s="271"/>
      <c r="CF28" s="271"/>
      <c r="CG28" s="1032"/>
    </row>
    <row r="29" spans="1:85" ht="15.75" thickBot="1" x14ac:dyDescent="0.25">
      <c r="B29" s="3"/>
      <c r="C29" s="1217">
        <f>E29*100/30</f>
        <v>1094.0533333333333</v>
      </c>
      <c r="D29" s="780"/>
      <c r="E29" s="347">
        <f>SUM(E21:E27)</f>
        <v>328.21600000000001</v>
      </c>
      <c r="F29" s="347">
        <f t="shared" ref="F29:K29" si="145">SUM(F21:F27)</f>
        <v>32.821599999999997</v>
      </c>
      <c r="G29" s="347">
        <f t="shared" si="145"/>
        <v>21.881066666666666</v>
      </c>
      <c r="H29" s="347">
        <f t="shared" si="145"/>
        <v>16.410799999999998</v>
      </c>
      <c r="I29" s="347">
        <f t="shared" si="145"/>
        <v>13.128639999999999</v>
      </c>
      <c r="J29" s="347">
        <f t="shared" si="145"/>
        <v>10.587612903225807</v>
      </c>
      <c r="K29" s="485">
        <f t="shared" si="145"/>
        <v>0.29433482406684175</v>
      </c>
      <c r="L29" s="491"/>
      <c r="M29" s="5">
        <f t="shared" ref="M29:R29" si="146">SUM(M21:M27)</f>
        <v>10.587612903225807</v>
      </c>
      <c r="N29" s="5">
        <f t="shared" si="146"/>
        <v>10.587612903225807</v>
      </c>
      <c r="O29" s="5">
        <f t="shared" si="146"/>
        <v>10.587612903225807</v>
      </c>
      <c r="P29" s="5">
        <f t="shared" si="146"/>
        <v>10.587612903225807</v>
      </c>
      <c r="Q29" s="5">
        <f t="shared" si="146"/>
        <v>10.587612903225807</v>
      </c>
      <c r="R29" s="5">
        <f t="shared" si="146"/>
        <v>10.587612903225807</v>
      </c>
      <c r="S29" s="5">
        <f t="shared" ref="S29" si="147">SUM(S21:S27)</f>
        <v>10.587612903225807</v>
      </c>
      <c r="T29" s="14"/>
      <c r="U29" s="1184">
        <f t="shared" ref="U29:W29" si="148">SUM(U21:U27)</f>
        <v>74.113290322580653</v>
      </c>
      <c r="V29" s="1185">
        <f t="shared" si="148"/>
        <v>81.576368164245523</v>
      </c>
      <c r="W29" s="1186">
        <f t="shared" si="148"/>
        <v>7.4630778416648882</v>
      </c>
      <c r="X29" s="145"/>
      <c r="Y29" s="1283">
        <f t="shared" ref="Y29:Z29" si="149">SUM(Y21:Y27)</f>
        <v>10.587612903225807</v>
      </c>
      <c r="Z29" s="1283">
        <f t="shared" si="149"/>
        <v>10.587612903225807</v>
      </c>
      <c r="AA29" s="1310">
        <f t="shared" ref="AA29:AB29" si="150">SUM(AA21:AA27)</f>
        <v>10.587612903225807</v>
      </c>
      <c r="AB29" s="1312">
        <f t="shared" si="150"/>
        <v>10.587612903225807</v>
      </c>
      <c r="AC29" s="1316">
        <f t="shared" ref="AC29:AD29" si="151">SUM(AC21:AC27)</f>
        <v>10.587612903225807</v>
      </c>
      <c r="AD29" s="1321">
        <f t="shared" si="151"/>
        <v>10.587612903225807</v>
      </c>
      <c r="AE29" s="1283">
        <f t="shared" ref="AE29" si="152">SUM(AE21:AE27)</f>
        <v>10.587612903225807</v>
      </c>
      <c r="AF29" s="145"/>
      <c r="AG29" s="1184">
        <f>SUM(AG21:AG27)</f>
        <v>74.113290322580653</v>
      </c>
      <c r="AH29" s="1185">
        <f>SUM(AH21:AH27)</f>
        <v>56.852242942630824</v>
      </c>
      <c r="AI29" s="1186">
        <f>SUM(AI21:AI27)</f>
        <v>-17.261047379949822</v>
      </c>
      <c r="AJ29" s="145"/>
      <c r="AK29" s="1283">
        <f t="shared" ref="AK29:AL29" si="153">SUM(AK21:AK27)</f>
        <v>10.587612903225807</v>
      </c>
      <c r="AL29" s="1283">
        <f t="shared" si="153"/>
        <v>10.587612903225807</v>
      </c>
      <c r="AM29" s="1326">
        <f t="shared" ref="AM29:AN29" si="154">SUM(AM21:AM27)</f>
        <v>10.587612903225807</v>
      </c>
      <c r="AN29" s="1326">
        <f t="shared" si="154"/>
        <v>10.587612903225807</v>
      </c>
      <c r="AO29" s="1329">
        <f t="shared" ref="AO29:AP29" si="155">SUM(AO21:AO27)</f>
        <v>10.587612903225807</v>
      </c>
      <c r="AP29" s="1332">
        <f t="shared" si="155"/>
        <v>10.587612903225807</v>
      </c>
      <c r="AQ29" s="1283">
        <f t="shared" ref="AQ29" si="156">SUM(AQ21:AQ27)</f>
        <v>10.587612903225807</v>
      </c>
      <c r="AR29" s="145"/>
      <c r="AS29" s="1184">
        <f>SUM(AS21:AS27)</f>
        <v>74.113290322580653</v>
      </c>
      <c r="AT29" s="1185">
        <f>SUM(AT21:AT27)</f>
        <v>61.174549834052414</v>
      </c>
      <c r="AU29" s="1186">
        <f>SUM(AU21:AU27)</f>
        <v>-12.938740488528243</v>
      </c>
      <c r="AV29" s="145"/>
      <c r="AW29" s="1283">
        <f t="shared" ref="AW29:AX29" si="157">SUM(AW21:AW27)</f>
        <v>10.587612903225807</v>
      </c>
      <c r="AX29" s="1283">
        <f t="shared" si="157"/>
        <v>10.587612903225807</v>
      </c>
      <c r="AY29" s="1337">
        <f t="shared" ref="AY29:AZ29" si="158">SUM(AY21:AY27)</f>
        <v>10.587612903225807</v>
      </c>
      <c r="AZ29" s="1337">
        <f t="shared" si="158"/>
        <v>10.587612903225807</v>
      </c>
      <c r="BA29" s="1340">
        <f t="shared" ref="BA29:BB29" si="159">SUM(BA21:BA27)</f>
        <v>10.587612903225807</v>
      </c>
      <c r="BB29" s="1344">
        <f t="shared" si="159"/>
        <v>10.587612903225807</v>
      </c>
      <c r="BC29" s="1283">
        <f t="shared" ref="BC29" si="160">SUM(BC21:BC27)</f>
        <v>10.587612903225807</v>
      </c>
      <c r="BD29" s="145"/>
      <c r="BE29" s="1184">
        <f>SUM(BE21:BE27)</f>
        <v>74.113290322580653</v>
      </c>
      <c r="BF29" s="1185">
        <f>SUM(BF21:BF27)</f>
        <v>81.417427359249444</v>
      </c>
      <c r="BG29" s="1186">
        <f>SUM(BG21:BG27)</f>
        <v>7.3041370366687852</v>
      </c>
      <c r="BH29" s="14"/>
      <c r="BI29" s="5">
        <f t="shared" ref="BI29" si="161">SUM(BI21:BI27)</f>
        <v>10.587612903225807</v>
      </c>
      <c r="BJ29" s="5">
        <f t="shared" ref="BJ29:BK29" si="162">SUM(BJ21:BJ27)</f>
        <v>10.587612903225807</v>
      </c>
      <c r="BK29" s="5">
        <f t="shared" si="162"/>
        <v>10.587612903225807</v>
      </c>
      <c r="BL29" s="14"/>
      <c r="BM29" s="1184">
        <f>SUM(BM21:BM27)</f>
        <v>31.762838709677418</v>
      </c>
      <c r="BN29" s="1185">
        <f>SUM(BN21:BN27)</f>
        <v>36.344464075773629</v>
      </c>
      <c r="BO29" s="1186">
        <f>SUM(BO21:BO27)</f>
        <v>4.5816253660962056</v>
      </c>
      <c r="BQ29" s="1184">
        <f>SUM(BQ21:BQ27)</f>
        <v>328.21600000000001</v>
      </c>
      <c r="BR29" s="1189">
        <f t="shared" si="108"/>
        <v>1</v>
      </c>
      <c r="BT29" s="1184">
        <f t="shared" ref="BT29" si="163">SUM(BT21:BT27)</f>
        <v>328.21600000000001</v>
      </c>
      <c r="BU29" s="1189">
        <f t="shared" si="110"/>
        <v>1</v>
      </c>
      <c r="BV29" s="29"/>
      <c r="BX29" s="29"/>
      <c r="BY29" s="1058"/>
      <c r="BZ29" s="29" t="s">
        <v>157</v>
      </c>
      <c r="CA29" s="1059">
        <f>BT1</f>
        <v>1</v>
      </c>
      <c r="CB29" s="1288"/>
      <c r="CC29" s="1288"/>
      <c r="CD29" s="1288"/>
      <c r="CE29" s="1288"/>
      <c r="CF29" s="1288"/>
      <c r="CG29" s="1060"/>
    </row>
    <row r="30" spans="1:85" s="1288" customFormat="1" ht="4.5" customHeight="1" thickBot="1" x14ac:dyDescent="0.25">
      <c r="B30" s="150"/>
      <c r="C30" s="1174"/>
      <c r="D30" s="444"/>
      <c r="E30" s="435"/>
      <c r="F30" s="435"/>
      <c r="G30" s="435"/>
      <c r="H30" s="435"/>
      <c r="I30" s="435"/>
      <c r="J30" s="435"/>
      <c r="K30" s="1175"/>
      <c r="L30" s="491"/>
      <c r="M30" s="37"/>
      <c r="N30" s="37"/>
      <c r="O30" s="37"/>
      <c r="P30" s="37"/>
      <c r="Q30" s="37"/>
      <c r="R30" s="37"/>
      <c r="S30" s="37"/>
      <c r="T30" s="14"/>
      <c r="U30" s="14"/>
      <c r="V30" s="14"/>
      <c r="W30" s="14"/>
      <c r="X30" s="14"/>
      <c r="Y30" s="37"/>
      <c r="Z30" s="37"/>
      <c r="AA30" s="37"/>
      <c r="AB30" s="37"/>
      <c r="AC30" s="37"/>
      <c r="AD30" s="37"/>
      <c r="AE30" s="37"/>
      <c r="AF30" s="14"/>
      <c r="AG30" s="14"/>
      <c r="AH30" s="14"/>
      <c r="AI30" s="14"/>
      <c r="AJ30" s="14"/>
      <c r="AK30" s="37"/>
      <c r="AL30" s="37"/>
      <c r="AM30" s="37"/>
      <c r="AN30" s="37"/>
      <c r="AO30" s="37"/>
      <c r="AP30" s="37"/>
      <c r="AQ30" s="37"/>
      <c r="AR30" s="14"/>
      <c r="AS30" s="14"/>
      <c r="AT30" s="14"/>
      <c r="AU30" s="14"/>
      <c r="AV30" s="14"/>
      <c r="AW30" s="37"/>
      <c r="AX30" s="37"/>
      <c r="AY30" s="37"/>
      <c r="AZ30" s="37"/>
      <c r="BA30" s="37"/>
      <c r="BB30" s="37"/>
      <c r="BC30" s="37"/>
      <c r="BD30" s="14"/>
      <c r="BE30" s="1294"/>
      <c r="BF30" s="1294"/>
      <c r="BG30" s="1294"/>
      <c r="BH30" s="14"/>
      <c r="BI30" s="37"/>
      <c r="BJ30" s="37"/>
      <c r="BK30" s="37"/>
      <c r="BL30" s="14"/>
      <c r="BM30" s="1294"/>
      <c r="BN30" s="1294"/>
      <c r="BO30" s="1294"/>
      <c r="BQ30" s="14"/>
      <c r="BR30" s="29"/>
      <c r="BT30" s="14"/>
      <c r="BU30" s="29"/>
      <c r="BV30" s="29"/>
      <c r="BX30" s="29"/>
      <c r="BY30" s="1034"/>
      <c r="BZ30" s="271"/>
      <c r="CA30" s="271"/>
      <c r="CB30" s="271"/>
      <c r="CC30" s="271"/>
      <c r="CD30" s="271"/>
      <c r="CE30" s="271"/>
      <c r="CF30" s="271"/>
      <c r="CG30" s="1032"/>
    </row>
    <row r="31" spans="1:85" s="255" customFormat="1" ht="15.75" thickBot="1" x14ac:dyDescent="0.25">
      <c r="B31" s="43"/>
      <c r="C31" s="43" t="s">
        <v>17</v>
      </c>
      <c r="D31" s="813"/>
      <c r="E31" s="40">
        <f>SUM(E8:E17)+SUM(E21:E27)</f>
        <v>1115.1109999999999</v>
      </c>
      <c r="F31" s="40">
        <f t="shared" ref="F31:I31" si="164">SUM(F8:F17)+SUM(F21:F27)</f>
        <v>110.5111</v>
      </c>
      <c r="G31" s="40">
        <f t="shared" si="164"/>
        <v>73.674066666666675</v>
      </c>
      <c r="H31" s="40">
        <f t="shared" si="164"/>
        <v>55.255549999999999</v>
      </c>
      <c r="I31" s="40">
        <f t="shared" si="164"/>
        <v>44.204439999999998</v>
      </c>
      <c r="J31" s="40">
        <f>SUM(J8:J17)+SUM(J21:J27)</f>
        <v>35.971322580645165</v>
      </c>
      <c r="K31" s="193">
        <f>E31/(E31+E42+E47)</f>
        <v>0.3717036666666666</v>
      </c>
      <c r="L31" s="62"/>
      <c r="M31" s="40">
        <f t="shared" ref="M31:R31" si="165">SUM(M8:M17)+SUM(M21:M27)</f>
        <v>35.971322580645165</v>
      </c>
      <c r="N31" s="40">
        <f t="shared" si="165"/>
        <v>35.971322580645165</v>
      </c>
      <c r="O31" s="40">
        <f t="shared" si="165"/>
        <v>35.971322580645165</v>
      </c>
      <c r="P31" s="40">
        <f t="shared" si="165"/>
        <v>35.971322580645165</v>
      </c>
      <c r="Q31" s="40">
        <f t="shared" si="165"/>
        <v>35.971322580645165</v>
      </c>
      <c r="R31" s="40">
        <f t="shared" si="165"/>
        <v>35.971322580645165</v>
      </c>
      <c r="S31" s="40">
        <f t="shared" ref="S31" si="166">SUM(S8:S17)+SUM(S21:S27)</f>
        <v>35.971322580645165</v>
      </c>
      <c r="T31" s="1296"/>
      <c r="U31" s="742">
        <f>SUM(U8:U17)+SUM(U21:U27)</f>
        <v>251.79925806451615</v>
      </c>
      <c r="V31" s="1187">
        <f>SUM(V8:V17)+SUM(V21:V27)</f>
        <v>277.15500000000003</v>
      </c>
      <c r="W31" s="1188">
        <f>SUM(W8:W17)+SUM(W21:W27)</f>
        <v>25.355741935483888</v>
      </c>
      <c r="X31" s="782"/>
      <c r="Y31" s="1284">
        <f t="shared" ref="Y31:Z31" si="167">SUM(Y8:Y17)+SUM(Y21:Y27)</f>
        <v>35.971322580645165</v>
      </c>
      <c r="Z31" s="1284">
        <f t="shared" si="167"/>
        <v>35.971322580645165</v>
      </c>
      <c r="AA31" s="1309">
        <f t="shared" ref="AA31:AB31" si="168">SUM(AA8:AA17)+SUM(AA21:AA27)</f>
        <v>35.971322580645165</v>
      </c>
      <c r="AB31" s="1313">
        <f t="shared" si="168"/>
        <v>35.971322580645165</v>
      </c>
      <c r="AC31" s="1315">
        <f t="shared" ref="AC31:AD31" si="169">SUM(AC8:AC17)+SUM(AC21:AC27)</f>
        <v>35.971322580645165</v>
      </c>
      <c r="AD31" s="1322">
        <f t="shared" si="169"/>
        <v>35.971322580645165</v>
      </c>
      <c r="AE31" s="1284">
        <f t="shared" ref="AE31" si="170">SUM(AE8:AE17)+SUM(AE21:AE27)</f>
        <v>35.971322580645165</v>
      </c>
      <c r="AF31" s="782"/>
      <c r="AG31" s="742">
        <f>SUM(Y31:AE31)</f>
        <v>251.79925806451615</v>
      </c>
      <c r="AH31" s="1187">
        <f>SUM(AH8:AH17)+SUM(AH21:AH27)</f>
        <v>193.15500000000006</v>
      </c>
      <c r="AI31" s="1188">
        <f>SUM(AI8:AI17)+SUM(AI21:AI27)</f>
        <v>-58.64425806451613</v>
      </c>
      <c r="AJ31" s="782"/>
      <c r="AK31" s="1284">
        <f t="shared" ref="AK31:AL31" si="171">SUM(AK8:AK17)+SUM(AK21:AK27)</f>
        <v>35.971322580645165</v>
      </c>
      <c r="AL31" s="1284">
        <f t="shared" si="171"/>
        <v>35.971322580645165</v>
      </c>
      <c r="AM31" s="1325">
        <f t="shared" ref="AM31:AN31" si="172">SUM(AM8:AM17)+SUM(AM21:AM27)</f>
        <v>35.971322580645165</v>
      </c>
      <c r="AN31" s="1325">
        <f t="shared" si="172"/>
        <v>35.971322580645165</v>
      </c>
      <c r="AO31" s="1330">
        <f t="shared" ref="AO31:AP31" si="173">SUM(AO8:AO17)+SUM(AO21:AO27)</f>
        <v>35.971322580645165</v>
      </c>
      <c r="AP31" s="1333">
        <f t="shared" si="173"/>
        <v>35.971322580645165</v>
      </c>
      <c r="AQ31" s="1284">
        <f t="shared" ref="AQ31" si="174">SUM(AQ8:AQ17)+SUM(AQ21:AQ27)</f>
        <v>35.971322580645165</v>
      </c>
      <c r="AR31" s="782"/>
      <c r="AS31" s="742">
        <f>SUM(AK31:AQ31)</f>
        <v>251.79925806451615</v>
      </c>
      <c r="AT31" s="1187">
        <f>SUM(AT8:AT17)+SUM(AT21:AT27)</f>
        <v>207.84</v>
      </c>
      <c r="AU31" s="1188">
        <f>SUM(AU8:AU17)+SUM(AU21:AU27)</f>
        <v>-43.959258064516114</v>
      </c>
      <c r="AV31" s="782"/>
      <c r="AW31" s="1284">
        <f t="shared" ref="AW31:AX31" si="175">SUM(AW8:AW17)+SUM(AW21:AW27)</f>
        <v>35.971322580645165</v>
      </c>
      <c r="AX31" s="1284">
        <f t="shared" si="175"/>
        <v>35.971322580645165</v>
      </c>
      <c r="AY31" s="1336">
        <f t="shared" ref="AY31:AZ31" si="176">SUM(AY8:AY17)+SUM(AY21:AY27)</f>
        <v>35.971322580645165</v>
      </c>
      <c r="AZ31" s="1336">
        <f t="shared" si="176"/>
        <v>35.971322580645165</v>
      </c>
      <c r="BA31" s="1341">
        <f t="shared" ref="BA31:BB31" si="177">SUM(BA8:BA17)+SUM(BA21:BA27)</f>
        <v>35.971322580645165</v>
      </c>
      <c r="BB31" s="1345">
        <f t="shared" si="177"/>
        <v>35.971322580645165</v>
      </c>
      <c r="BC31" s="1284">
        <f t="shared" ref="BC31" si="178">SUM(BC8:BC17)+SUM(BC21:BC27)</f>
        <v>35.971322580645165</v>
      </c>
      <c r="BD31" s="782"/>
      <c r="BE31" s="742">
        <f>SUM(AW31:BC31)</f>
        <v>251.79925806451615</v>
      </c>
      <c r="BF31" s="1187">
        <f>SUM(BF8:BF17)+SUM(BF21:BF27)</f>
        <v>276.61500000000001</v>
      </c>
      <c r="BG31" s="1188">
        <f>SUM(BG8:BG17)+SUM(BG21:BG27)</f>
        <v>24.815741935483846</v>
      </c>
      <c r="BH31" s="1296"/>
      <c r="BI31" s="40">
        <f t="shared" ref="BI31" si="179">SUM(BI8:BI17)+SUM(BI21:BI27)</f>
        <v>35.971322580645165</v>
      </c>
      <c r="BJ31" s="40">
        <f t="shared" ref="BJ31:BK31" si="180">SUM(BJ8:BJ17)+SUM(BJ21:BJ27)</f>
        <v>35.971322580645165</v>
      </c>
      <c r="BK31" s="40">
        <f t="shared" si="180"/>
        <v>35.971322580645165</v>
      </c>
      <c r="BL31" s="1296"/>
      <c r="BM31" s="742">
        <f>SUM(BI31:BK31)</f>
        <v>107.91396774193549</v>
      </c>
      <c r="BN31" s="1187">
        <f>SUM(BN8:BN17)+SUM(BN21:BN27)</f>
        <v>123.48000000000003</v>
      </c>
      <c r="BO31" s="1188">
        <f>SUM(BO8:BO17)+SUM(BO21:BO27)</f>
        <v>15.566032258064538</v>
      </c>
      <c r="BQ31" s="742">
        <f>SUM(BQ8:BQ17)+SUM(BQ21:BQ27)</f>
        <v>1113.1109999999999</v>
      </c>
      <c r="BR31" s="1192">
        <f>BQ31/$E$31</f>
        <v>0.9982064565769686</v>
      </c>
      <c r="BT31" s="742">
        <f>SUM(BT8:BT17)+SUM(BT21:BT27)</f>
        <v>1115.1109999999999</v>
      </c>
      <c r="BU31" s="1192">
        <f>BT31/$E$31</f>
        <v>1</v>
      </c>
      <c r="BV31" s="62"/>
      <c r="BX31" s="62"/>
      <c r="BY31" s="1031"/>
      <c r="BZ31" s="81"/>
      <c r="CA31" s="81"/>
      <c r="CB31" s="271"/>
      <c r="CC31" s="271"/>
      <c r="CD31" s="271"/>
      <c r="CE31" s="271"/>
      <c r="CF31" s="271"/>
      <c r="CG31" s="1032"/>
    </row>
    <row r="32" spans="1:85" s="81" customFormat="1" ht="4.5" customHeight="1" thickBot="1" x14ac:dyDescent="0.25">
      <c r="E32" s="1296"/>
      <c r="F32" s="1296"/>
      <c r="G32" s="1296"/>
      <c r="H32" s="1296"/>
      <c r="I32" s="1296"/>
      <c r="J32" s="1296"/>
      <c r="K32" s="1079"/>
      <c r="L32" s="62"/>
      <c r="M32" s="1296"/>
      <c r="N32" s="1296"/>
      <c r="O32" s="1296"/>
      <c r="P32" s="1296"/>
      <c r="Q32" s="1296"/>
      <c r="R32" s="1296"/>
      <c r="S32" s="1296"/>
      <c r="T32" s="1296"/>
      <c r="U32" s="1296"/>
      <c r="V32" s="1296"/>
      <c r="W32" s="1296"/>
      <c r="X32" s="1296"/>
      <c r="Y32" s="1296"/>
      <c r="Z32" s="1296"/>
      <c r="AA32" s="1296"/>
      <c r="AB32" s="1296"/>
      <c r="AC32" s="1318"/>
      <c r="AD32" s="1324"/>
      <c r="AE32" s="1296"/>
      <c r="AF32" s="1296"/>
      <c r="AG32" s="1296"/>
      <c r="AH32" s="1296"/>
      <c r="AI32" s="1296"/>
      <c r="AJ32" s="1296"/>
      <c r="AK32" s="1296"/>
      <c r="AL32" s="1296"/>
      <c r="AM32" s="1328"/>
      <c r="AN32" s="1328"/>
      <c r="AO32" s="1331"/>
      <c r="AP32" s="1335"/>
      <c r="AQ32" s="1296"/>
      <c r="AR32" s="1296"/>
      <c r="AS32" s="1296"/>
      <c r="AT32" s="1296"/>
      <c r="AU32" s="1296"/>
      <c r="AV32" s="1296"/>
      <c r="AW32" s="1296"/>
      <c r="AX32" s="1296"/>
      <c r="AY32" s="1339"/>
      <c r="AZ32" s="1339"/>
      <c r="BA32" s="1343"/>
      <c r="BB32" s="1347"/>
      <c r="BC32" s="1296"/>
      <c r="BD32" s="1296"/>
      <c r="BE32" s="1296"/>
      <c r="BF32" s="1296"/>
      <c r="BG32" s="1296"/>
      <c r="BH32" s="1296"/>
      <c r="BI32" s="1296"/>
      <c r="BJ32" s="1296"/>
      <c r="BK32" s="1296"/>
      <c r="BL32" s="1296"/>
      <c r="BM32" s="1296"/>
      <c r="BN32" s="1296"/>
      <c r="BO32" s="1296"/>
      <c r="BQ32" s="1296"/>
      <c r="BR32" s="93"/>
      <c r="BT32" s="1296"/>
      <c r="BU32" s="411"/>
      <c r="BV32" s="411"/>
      <c r="BX32" s="62"/>
      <c r="BY32" s="1035"/>
      <c r="BZ32" s="226"/>
      <c r="CA32" s="271"/>
      <c r="CG32" s="1029"/>
    </row>
    <row r="33" spans="1:85" ht="15.75" thickBot="1" x14ac:dyDescent="0.25">
      <c r="B33" s="1092"/>
      <c r="C33" s="1093" t="s">
        <v>150</v>
      </c>
      <c r="D33" s="1094"/>
      <c r="E33" s="1095">
        <f>E31*100/30</f>
        <v>3717.0366666666664</v>
      </c>
      <c r="F33" s="1096">
        <f t="shared" ref="F33:I33" si="181">F31*100/30</f>
        <v>368.37033333333335</v>
      </c>
      <c r="G33" s="1096">
        <f t="shared" si="181"/>
        <v>245.58022222222226</v>
      </c>
      <c r="H33" s="1096">
        <f t="shared" si="181"/>
        <v>184.18516666666667</v>
      </c>
      <c r="I33" s="1096">
        <f t="shared" si="181"/>
        <v>147.34813333333332</v>
      </c>
      <c r="J33" s="1096">
        <f>J31*100/30</f>
        <v>119.90440860215055</v>
      </c>
      <c r="K33" s="1167">
        <f>E33/E57</f>
        <v>0.37170366666666665</v>
      </c>
      <c r="L33" s="1098"/>
      <c r="M33" s="1099">
        <f t="shared" ref="M33:S33" si="182">M4-M31</f>
        <v>16.648677419354833</v>
      </c>
      <c r="N33" s="1095">
        <f t="shared" si="182"/>
        <v>-0.49632258064516321</v>
      </c>
      <c r="O33" s="1095">
        <f t="shared" si="182"/>
        <v>-10.726322580645164</v>
      </c>
      <c r="P33" s="1095">
        <f t="shared" si="182"/>
        <v>21.973677419354836</v>
      </c>
      <c r="Q33" s="1095">
        <f t="shared" si="182"/>
        <v>10.618677419354839</v>
      </c>
      <c r="R33" s="1095">
        <f t="shared" si="182"/>
        <v>-6.1322580645168046E-2</v>
      </c>
      <c r="S33" s="1100">
        <f t="shared" si="182"/>
        <v>-12.601322580645164</v>
      </c>
      <c r="T33" s="481"/>
      <c r="U33" s="1099">
        <f>SUM(M33:S33)</f>
        <v>25.355741935483845</v>
      </c>
      <c r="V33" s="1095"/>
      <c r="W33" s="1100"/>
      <c r="X33" s="481"/>
      <c r="Y33" s="1099">
        <f t="shared" ref="Y33:Z33" si="183">Y4-Y31</f>
        <v>-5.5363225806451659</v>
      </c>
      <c r="Z33" s="1095">
        <f t="shared" si="183"/>
        <v>-17.221322580645165</v>
      </c>
      <c r="AA33" s="1095">
        <f t="shared" ref="AA33:AB33" si="184">AA4-AA31</f>
        <v>-25.021322580645165</v>
      </c>
      <c r="AB33" s="1095">
        <f t="shared" si="184"/>
        <v>1.5286774193548354</v>
      </c>
      <c r="AC33" s="1095">
        <f t="shared" ref="AC33:AD33" si="185">AC4-AC31</f>
        <v>-12.151322580645164</v>
      </c>
      <c r="AD33" s="1095">
        <f t="shared" si="185"/>
        <v>5.0536774193548339</v>
      </c>
      <c r="AE33" s="1100">
        <f t="shared" ref="AE33" si="186">AE4-AE31</f>
        <v>-5.2963225806451675</v>
      </c>
      <c r="AF33" s="481"/>
      <c r="AG33" s="1099">
        <f>SUM(Y33:AE33)</f>
        <v>-58.644258064516158</v>
      </c>
      <c r="AH33" s="1095"/>
      <c r="AI33" s="1100"/>
      <c r="AJ33" s="781"/>
      <c r="AK33" s="1099">
        <f t="shared" ref="AK33:AL33" si="187">AK4-AK31</f>
        <v>-10.201322580645165</v>
      </c>
      <c r="AL33" s="1096">
        <f t="shared" si="187"/>
        <v>-20.746322580645163</v>
      </c>
      <c r="AM33" s="1096">
        <f t="shared" ref="AM33:AN33" si="188">AM4-AM31</f>
        <v>-35.971322580645165</v>
      </c>
      <c r="AN33" s="1096">
        <f t="shared" si="188"/>
        <v>12.34367741935484</v>
      </c>
      <c r="AO33" s="1096">
        <f t="shared" ref="AO33:AP33" si="189">AO4-AO31</f>
        <v>-0.55632258064516549</v>
      </c>
      <c r="AP33" s="1096">
        <f t="shared" si="189"/>
        <v>-9.7963225806451639</v>
      </c>
      <c r="AQ33" s="1100">
        <f t="shared" ref="AQ33" si="190">AQ4-AQ31</f>
        <v>20.96867741935484</v>
      </c>
      <c r="AR33" s="1101"/>
      <c r="AS33" s="1099">
        <f>SUM(AK33:AQ33)</f>
        <v>-43.959258064516142</v>
      </c>
      <c r="AT33" s="1095"/>
      <c r="AU33" s="1100"/>
      <c r="AV33" s="481"/>
      <c r="AW33" s="1099">
        <f t="shared" ref="AW33:AX33" si="191">AW4-AW31</f>
        <v>8.2486774193548342</v>
      </c>
      <c r="AX33" s="1096">
        <f t="shared" si="191"/>
        <v>-1.6963225806451661</v>
      </c>
      <c r="AY33" s="1096">
        <f t="shared" ref="AY33:AZ33" si="192">AY4-AY31</f>
        <v>-16.321322580645166</v>
      </c>
      <c r="AZ33" s="1096">
        <f t="shared" si="192"/>
        <v>-4.9963225806451668</v>
      </c>
      <c r="BA33" s="1096">
        <f t="shared" ref="BA33:BB33" si="193">BA4-BA31</f>
        <v>-4.5613225806451645</v>
      </c>
      <c r="BB33" s="1096">
        <f t="shared" si="193"/>
        <v>22.978677419354831</v>
      </c>
      <c r="BC33" s="1100">
        <f t="shared" ref="BC33" si="194">BC4-BC31</f>
        <v>21.163677419354833</v>
      </c>
      <c r="BD33" s="481"/>
      <c r="BE33" s="1099">
        <f>SUM(AW33:BC33)</f>
        <v>24.815741935483835</v>
      </c>
      <c r="BF33" s="1095"/>
      <c r="BG33" s="1100"/>
      <c r="BI33" s="1099">
        <f t="shared" ref="BI33" si="195">BI4-BI31</f>
        <v>-0.34632258064516463</v>
      </c>
      <c r="BJ33" s="1096">
        <f t="shared" ref="BJ33:BK33" si="196">BJ4-BJ31</f>
        <v>26.728677419354831</v>
      </c>
      <c r="BK33" s="1165">
        <f t="shared" si="196"/>
        <v>-10.816322580645167</v>
      </c>
      <c r="BL33" s="1103"/>
      <c r="BM33" s="1104">
        <f>SUM(BI33:BK33)</f>
        <v>15.566032258064499</v>
      </c>
      <c r="BN33" s="1102"/>
      <c r="BO33" s="1100"/>
      <c r="BP33" s="14"/>
      <c r="BQ33" s="1104">
        <f>SUM(M33:S33)+SUM(Y33:AE33)+SUM(AK33:AQ33)+SUM(AW33:BC33)+SUM(BI33:BK33)</f>
        <v>-36.866000000000113</v>
      </c>
      <c r="BR33" s="1105"/>
      <c r="BT33" s="1288"/>
      <c r="BU33" s="1288"/>
      <c r="BX33" s="29"/>
      <c r="BY33" s="1036"/>
      <c r="BZ33" s="847" t="s">
        <v>155</v>
      </c>
      <c r="CA33" s="226" t="s">
        <v>156</v>
      </c>
      <c r="CB33" s="271"/>
      <c r="CC33" s="271"/>
      <c r="CD33" s="271"/>
      <c r="CE33" s="271"/>
      <c r="CF33" s="271"/>
      <c r="CG33" s="1032"/>
    </row>
    <row r="34" spans="1:85" s="81" customFormat="1" ht="15" customHeight="1" thickBot="1" x14ac:dyDescent="0.25">
      <c r="C34" s="81" t="s">
        <v>143</v>
      </c>
      <c r="E34" s="1296"/>
      <c r="F34" s="1296"/>
      <c r="G34" s="1296"/>
      <c r="H34" s="1296"/>
      <c r="I34" s="1296"/>
      <c r="J34" s="1296"/>
      <c r="K34" s="410"/>
      <c r="L34" s="411"/>
      <c r="M34" s="1296"/>
      <c r="N34" s="1296"/>
      <c r="O34" s="1296"/>
      <c r="P34" s="1296"/>
      <c r="Q34" s="1296"/>
      <c r="R34" s="1296"/>
      <c r="S34" s="1296"/>
      <c r="T34" s="1296"/>
      <c r="U34" s="1296"/>
      <c r="V34" s="1296"/>
      <c r="W34" s="1296"/>
      <c r="X34" s="1296"/>
      <c r="Y34" s="1296"/>
      <c r="Z34" s="1296"/>
      <c r="AA34" s="1296"/>
      <c r="AB34" s="1296"/>
      <c r="AC34" s="1318"/>
      <c r="AD34" s="1324"/>
      <c r="AE34" s="1296"/>
      <c r="AF34" s="1296"/>
      <c r="AG34" s="1296"/>
      <c r="AH34" s="1296"/>
      <c r="AI34" s="1296"/>
      <c r="AJ34" s="1296"/>
      <c r="AK34" s="1296"/>
      <c r="AL34" s="1296"/>
      <c r="AM34" s="1328"/>
      <c r="AN34" s="1328"/>
      <c r="AO34" s="1331"/>
      <c r="AP34" s="1335"/>
      <c r="AQ34" s="1296"/>
      <c r="AR34" s="1296"/>
      <c r="AS34" s="1296"/>
      <c r="AT34" s="1296"/>
      <c r="AU34" s="1296"/>
      <c r="AV34" s="1296"/>
      <c r="AW34" s="1296"/>
      <c r="AX34" s="1296"/>
      <c r="AY34" s="1339"/>
      <c r="AZ34" s="1339"/>
      <c r="BA34" s="1343"/>
      <c r="BB34" s="1347"/>
      <c r="BC34" s="1296"/>
      <c r="BD34" s="1296"/>
      <c r="BE34" s="1296"/>
      <c r="BF34" s="1296"/>
      <c r="BG34" s="1296"/>
      <c r="BH34" s="1296"/>
      <c r="BI34" s="1296"/>
      <c r="BJ34" s="1296"/>
      <c r="BK34" s="1296"/>
      <c r="BL34" s="1296"/>
      <c r="BM34" s="1296"/>
      <c r="BN34" s="1296"/>
      <c r="BO34" s="1296"/>
      <c r="BP34" s="1296"/>
      <c r="BQ34" s="1296"/>
      <c r="BR34" s="93"/>
      <c r="BT34" s="4520" t="s">
        <v>99</v>
      </c>
      <c r="BU34" s="4520"/>
      <c r="BV34" s="1296"/>
      <c r="BX34" s="62"/>
      <c r="BY34" s="1036" t="s">
        <v>159</v>
      </c>
      <c r="BZ34" s="1198">
        <v>0.5</v>
      </c>
      <c r="CA34" s="1199" t="str">
        <f>IF(CA29&lt;=BZ34,CA29," ")</f>
        <v xml:space="preserve"> </v>
      </c>
      <c r="CG34" s="1029"/>
    </row>
    <row r="35" spans="1:85" x14ac:dyDescent="0.2">
      <c r="A35" s="775"/>
      <c r="B35" s="591">
        <v>18</v>
      </c>
      <c r="C35" s="1106" t="s">
        <v>132</v>
      </c>
      <c r="D35" s="1094"/>
      <c r="E35" s="1107">
        <v>470</v>
      </c>
      <c r="F35" s="593">
        <f t="shared" ref="F35" si="197">E35/10</f>
        <v>47</v>
      </c>
      <c r="G35" s="593">
        <f t="shared" ref="G35" si="198">E35/15</f>
        <v>31.333333333333332</v>
      </c>
      <c r="H35" s="593">
        <f t="shared" ref="H35" si="199">E35/20</f>
        <v>23.5</v>
      </c>
      <c r="I35" s="593">
        <f t="shared" ref="I35" si="200">E35/25</f>
        <v>18.8</v>
      </c>
      <c r="J35" s="594">
        <f>E35/31</f>
        <v>15.161290322580646</v>
      </c>
      <c r="K35" s="595">
        <f>E35/$E$42</f>
        <v>0.27992852888624181</v>
      </c>
      <c r="L35" s="491"/>
      <c r="M35" s="599">
        <f>IF(M33&gt;$J$42,$J$35,IF(M33&lt;$J$42,(IF(M33&lt;0,0,M33*$K$35))))</f>
        <v>4.6604397779015914</v>
      </c>
      <c r="N35" s="596">
        <f>IF(N33&gt;$J$42,$J$35,IF(N33&lt;$J$42,(IF(N33&lt;0,0,N33*$K$35))))</f>
        <v>0</v>
      </c>
      <c r="O35" s="596">
        <f>IF(O33&gt;$J$42,$J$35,IF(O33&lt;$J$42,(IF(O33&lt;0,0,O33*$K$35))))</f>
        <v>0</v>
      </c>
      <c r="P35" s="596">
        <f t="shared" ref="P35" si="201">IF(P33&gt;$J$42,$J$35,IF(P33&lt;$J$42,(IF(P33&lt;0,0,P33*$K$35))))</f>
        <v>6.1510591942208297</v>
      </c>
      <c r="Q35" s="596">
        <f t="shared" ref="Q35:R35" si="202">IF(Q33&gt;$J$42,$J$35,IF(Q33&lt;$J$42,(IF(Q33&lt;0,0,Q33*$K$35))))</f>
        <v>2.9724707487175546</v>
      </c>
      <c r="R35" s="596">
        <f t="shared" si="202"/>
        <v>0</v>
      </c>
      <c r="S35" s="1108">
        <f t="shared" ref="S35" si="203">IF(S33&gt;$J$42,$J$35,IF(S33&lt;$J$42,(IF(S33&lt;0,0,S33*$K$35))))</f>
        <v>0</v>
      </c>
      <c r="T35" s="481"/>
      <c r="U35" s="599">
        <f t="shared" si="9"/>
        <v>13.783969720839977</v>
      </c>
      <c r="V35" s="596">
        <f>$U$33*K35</f>
        <v>7.0977955388191827</v>
      </c>
      <c r="W35" s="1109">
        <f>U35-V35</f>
        <v>6.6861741820207943</v>
      </c>
      <c r="X35" s="481"/>
      <c r="Y35" s="599">
        <f t="shared" ref="Y35:Z35" si="204">IF(Y33&gt;$J$42,$J$35,IF(Y33&lt;$J$42,(IF(Y33&lt;0,0,Y33*$K$35))))</f>
        <v>0</v>
      </c>
      <c r="Z35" s="596">
        <f t="shared" si="204"/>
        <v>0</v>
      </c>
      <c r="AA35" s="596">
        <f t="shared" ref="AA35:AB35" si="205">IF(AA33&gt;$J$42,$J$35,IF(AA33&lt;$J$42,(IF(AA33&lt;0,0,AA33*$K$35))))</f>
        <v>0</v>
      </c>
      <c r="AB35" s="596">
        <f t="shared" si="205"/>
        <v>0.4279204211416156</v>
      </c>
      <c r="AC35" s="596">
        <f t="shared" ref="AC35:AD35" si="206">IF(AC33&gt;$J$42,$J$35,IF(AC33&lt;$J$42,(IF(AC33&lt;0,0,AC33*$K$35))))</f>
        <v>0</v>
      </c>
      <c r="AD35" s="596">
        <f t="shared" si="206"/>
        <v>1.4146684854656175</v>
      </c>
      <c r="AE35" s="1108">
        <f t="shared" ref="AE35" si="207">IF(AE33&gt;$J$42,$J$35,IF(AE33&lt;$J$42,(IF(AE33&lt;0,0,AE33*$K$35))))</f>
        <v>0</v>
      </c>
      <c r="AF35" s="481"/>
      <c r="AG35" s="599">
        <f>SUM(Y35:AE35)</f>
        <v>1.8425889066072332</v>
      </c>
      <c r="AH35" s="596">
        <f>$AG$33*K35</f>
        <v>-16.416200887625131</v>
      </c>
      <c r="AI35" s="1109">
        <f>AG35-AH35</f>
        <v>18.258789794232364</v>
      </c>
      <c r="AJ35" s="481"/>
      <c r="AK35" s="599">
        <f t="shared" ref="AK35:AL35" si="208">IF(AK33&gt;$J$42,$J$35,IF(AK33&lt;$J$42,(IF(AK33&lt;0,0,AK33*$K$35))))</f>
        <v>0</v>
      </c>
      <c r="AL35" s="594">
        <f t="shared" si="208"/>
        <v>0</v>
      </c>
      <c r="AM35" s="594">
        <f t="shared" ref="AM35:AN35" si="209">IF(AM33&gt;$J$42,$J$35,IF(AM33&lt;$J$42,(IF(AM33&lt;0,0,AM33*$K$35))))</f>
        <v>0</v>
      </c>
      <c r="AN35" s="594">
        <f t="shared" si="209"/>
        <v>3.4553474610463222</v>
      </c>
      <c r="AO35" s="594">
        <f t="shared" ref="AO35:AP35" si="210">IF(AO33&gt;$J$42,$J$35,IF(AO33&lt;$J$42,(IF(AO33&lt;0,0,AO33*$K$35))))</f>
        <v>0</v>
      </c>
      <c r="AP35" s="594">
        <f t="shared" si="210"/>
        <v>0</v>
      </c>
      <c r="AQ35" s="594">
        <f t="shared" ref="AQ35" si="211">IF(AQ33&gt;$J$42,$J$35,IF(AQ33&lt;$J$42,(IF(AQ33&lt;0,0,AQ33*$K$35))))</f>
        <v>5.869731022690158</v>
      </c>
      <c r="AR35" s="481"/>
      <c r="AS35" s="599">
        <f t="shared" ref="AS35:AS42" si="212">SUM(AK35:AQ35)</f>
        <v>9.3250784837364797</v>
      </c>
      <c r="AT35" s="596">
        <f>$AS$33*K35</f>
        <v>-12.305450440930665</v>
      </c>
      <c r="AU35" s="1109">
        <f>AS35-AT35</f>
        <v>21.630528924667146</v>
      </c>
      <c r="AV35" s="481"/>
      <c r="AW35" s="1110">
        <f t="shared" ref="AW35:AX35" si="213">IF(AW33&gt;$J$42,$J$35,IF(AW33&lt;$J$42,(IF(AW33&lt;0,0,AW33*$K$35))))</f>
        <v>2.3090401352571601</v>
      </c>
      <c r="AX35" s="593">
        <f t="shared" si="213"/>
        <v>0</v>
      </c>
      <c r="AY35" s="593">
        <f t="shared" ref="AY35:AZ35" si="214">IF(AY33&gt;$J$42,$J$35,IF(AY33&lt;$J$42,(IF(AY33&lt;0,0,AY33*$K$35))))</f>
        <v>0</v>
      </c>
      <c r="AZ35" s="593">
        <f t="shared" si="214"/>
        <v>0</v>
      </c>
      <c r="BA35" s="593">
        <f t="shared" ref="BA35:BB35" si="215">IF(BA33&gt;$J$42,$J$35,IF(BA33&lt;$J$42,(IF(BA33&lt;0,0,BA33*$K$35))))</f>
        <v>0</v>
      </c>
      <c r="BB35" s="593">
        <f t="shared" si="215"/>
        <v>6.4323873657515014</v>
      </c>
      <c r="BC35" s="593">
        <f t="shared" ref="BC35" si="216">IF(BC33&gt;$J$42,$J$35,IF(BC33&lt;$J$42,(IF(BC33&lt;0,0,BC33*$K$35))))</f>
        <v>5.924317085822973</v>
      </c>
      <c r="BD35" s="481"/>
      <c r="BE35" s="599">
        <f>SUM(AW35:BC35)</f>
        <v>14.665744586831636</v>
      </c>
      <c r="BF35" s="596">
        <f>$BE$33*K35</f>
        <v>6.9466341332206092</v>
      </c>
      <c r="BG35" s="1109">
        <f>BE35-BF35</f>
        <v>7.7191104536110267</v>
      </c>
      <c r="BH35" s="481"/>
      <c r="BI35" s="1111">
        <f t="shared" ref="BI35" si="217">IF(BI33&gt;$J$42,$J$35,IF(BI33&lt;$J$42,(IF(BI33&lt;0,0,BI33*$K$35))))</f>
        <v>0</v>
      </c>
      <c r="BJ35" s="1297">
        <f t="shared" ref="BJ35:BK35" si="218">IF(BJ33&gt;$J$42,$J$35,IF(BJ33&lt;$J$42,(IF(BJ33&lt;0,0,BJ33*$K$35))))</f>
        <v>7.4821193490749085</v>
      </c>
      <c r="BK35" s="598">
        <f t="shared" si="218"/>
        <v>0</v>
      </c>
      <c r="BL35" s="481"/>
      <c r="BM35" s="599">
        <f t="shared" ref="BM35:BM41" si="219">SUM(BI35:BK35)</f>
        <v>7.4821193490749085</v>
      </c>
      <c r="BN35" s="596">
        <f t="shared" ref="BN35:BN41" si="220">$BM$33*K35</f>
        <v>4.3573765105957802</v>
      </c>
      <c r="BO35" s="1109">
        <f>BM35-BN35</f>
        <v>3.1247428384791283</v>
      </c>
      <c r="BQ35" s="599"/>
      <c r="BR35" s="600"/>
      <c r="BT35" s="599">
        <f t="shared" ref="BT35:BT41" si="221">SUM(M35:S35)+SUM(Y35:AE35)+SUM(AK35:AQ35)+SUM(AW35:BC35)+SUM(BI35:BK35)</f>
        <v>47.099501047090229</v>
      </c>
      <c r="BU35" s="601">
        <f t="shared" ref="BU35:BU42" si="222">BT35/E35</f>
        <v>0.10021170435551112</v>
      </c>
      <c r="BV35" s="4505">
        <f>BU42-BT1</f>
        <v>-0.89978829564448892</v>
      </c>
      <c r="BX35" s="29"/>
      <c r="BY35" s="1229" t="s">
        <v>160</v>
      </c>
      <c r="BZ35" s="1230">
        <v>0.75</v>
      </c>
      <c r="CA35" s="1231" t="str">
        <f>IF(AND(CA29&gt;BZ34,CA29&lt;=BZ35),CA29," ")</f>
        <v xml:space="preserve"> </v>
      </c>
      <c r="CB35" s="271"/>
      <c r="CC35" s="271"/>
      <c r="CD35" s="271"/>
      <c r="CE35" s="271"/>
      <c r="CF35" s="271"/>
      <c r="CG35" s="1032"/>
    </row>
    <row r="36" spans="1:85" s="255" customFormat="1" x14ac:dyDescent="0.2">
      <c r="B36" s="462">
        <v>19</v>
      </c>
      <c r="C36" s="816" t="s">
        <v>121</v>
      </c>
      <c r="D36" s="819"/>
      <c r="E36" s="445">
        <v>350</v>
      </c>
      <c r="F36" s="451">
        <f>E36/10</f>
        <v>35</v>
      </c>
      <c r="G36" s="451">
        <f>E36/15</f>
        <v>23.333333333333332</v>
      </c>
      <c r="H36" s="451">
        <f>E36/20</f>
        <v>17.5</v>
      </c>
      <c r="I36" s="451">
        <f>E36/25</f>
        <v>14</v>
      </c>
      <c r="J36" s="451">
        <f t="shared" ref="J36:J41" si="223">E36/31</f>
        <v>11.290322580645162</v>
      </c>
      <c r="K36" s="448">
        <f>E36/$E$42</f>
        <v>0.20845741512805241</v>
      </c>
      <c r="L36" s="492"/>
      <c r="M36" s="458">
        <f>IF(M33&gt;$J$42,$J$36,IF(M33&lt;$J$42,(IF(M33&lt;0,0,M33*$K$36))))</f>
        <v>3.4705402601394826</v>
      </c>
      <c r="N36" s="445">
        <f>IF(N33&gt;$J$42,$J$36,IF(N33&lt;$J$42,(IF(N33&lt;0,0,N33*$K$36))))</f>
        <v>0</v>
      </c>
      <c r="O36" s="445">
        <f>IF(O33&gt;$J$42,$J$36,IF(O33&lt;$J$42,(IF(O33&lt;0,0,O33*$K$36))))</f>
        <v>0</v>
      </c>
      <c r="P36" s="445">
        <f t="shared" ref="P36" si="224">IF(P33&gt;$J$42,$J$36,IF(P33&lt;$J$42,(IF(P33&lt;0,0,P33*$K$36))))</f>
        <v>4.5805759956963623</v>
      </c>
      <c r="Q36" s="445">
        <f t="shared" ref="Q36:R36" si="225">IF(Q33&gt;$J$42,$J$36,IF(Q33&lt;$J$42,(IF(Q33&lt;0,0,Q33*$K$36))))</f>
        <v>2.2135420469173277</v>
      </c>
      <c r="R36" s="445">
        <f t="shared" si="225"/>
        <v>0</v>
      </c>
      <c r="S36" s="463">
        <f t="shared" ref="S36" si="226">IF(S33&gt;$J$42,$J$36,IF(S33&lt;$J$42,(IF(S33&lt;0,0,S33*$K$36))))</f>
        <v>0</v>
      </c>
      <c r="T36" s="479"/>
      <c r="U36" s="458">
        <f t="shared" si="9"/>
        <v>10.264658302753173</v>
      </c>
      <c r="V36" s="445">
        <f t="shared" ref="V36:V41" si="227">$U$33*K36</f>
        <v>5.2855924225249229</v>
      </c>
      <c r="W36" s="1080">
        <f t="shared" ref="W36:W41" si="228">U36-V36</f>
        <v>4.9790658802282497</v>
      </c>
      <c r="X36" s="479"/>
      <c r="Y36" s="458">
        <f t="shared" ref="Y36:Z36" si="229">IF(Y33&gt;$J$42,$J$36,IF(Y33&lt;$J$42,(IF(Y33&lt;0,0,Y33*$K$36))))</f>
        <v>0</v>
      </c>
      <c r="Z36" s="445">
        <f t="shared" si="229"/>
        <v>0</v>
      </c>
      <c r="AA36" s="445">
        <f t="shared" ref="AA36:AB36" si="230">IF(AA33&gt;$J$42,$J$36,IF(AA33&lt;$J$42,(IF(AA33&lt;0,0,AA33*$K$36))))</f>
        <v>0</v>
      </c>
      <c r="AB36" s="445">
        <f t="shared" si="230"/>
        <v>0.31866414340333077</v>
      </c>
      <c r="AC36" s="445">
        <f t="shared" ref="AC36:AD36" si="231">IF(AC33&gt;$J$42,$J$36,IF(AC33&lt;$J$42,(IF(AC33&lt;0,0,AC33*$K$36))))</f>
        <v>0</v>
      </c>
      <c r="AD36" s="445">
        <f t="shared" si="231"/>
        <v>1.0534765317297152</v>
      </c>
      <c r="AE36" s="463">
        <f t="shared" ref="AE36" si="232">IF(AE33&gt;$J$42,$J$36,IF(AE33&lt;$J$42,(IF(AE33&lt;0,0,AE33*$K$36))))</f>
        <v>0</v>
      </c>
      <c r="AF36" s="479"/>
      <c r="AG36" s="458">
        <f t="shared" ref="AG36:AG41" si="233">SUM(Y36:AE36)</f>
        <v>1.3721406751330461</v>
      </c>
      <c r="AH36" s="445">
        <f t="shared" ref="AH36:AH41" si="234">$AG$33*K36</f>
        <v>-12.224830448231479</v>
      </c>
      <c r="AI36" s="1080">
        <f t="shared" ref="AI36:AI41" si="235">AG36-AH36</f>
        <v>13.596971123364526</v>
      </c>
      <c r="AJ36" s="479"/>
      <c r="AK36" s="458">
        <f t="shared" ref="AK36:AL36" si="236">IF(AK33&gt;$J$42,$J$36,IF(AK33&lt;$J$42,(IF(AK33&lt;0,0,AK33*$K$36))))</f>
        <v>0</v>
      </c>
      <c r="AL36" s="451">
        <f t="shared" si="236"/>
        <v>0</v>
      </c>
      <c r="AM36" s="451">
        <f t="shared" ref="AM36:AN36" si="237">IF(AM33&gt;$J$42,$J$36,IF(AM33&lt;$J$42,(IF(AM33&lt;0,0,AM33*$K$36))))</f>
        <v>0</v>
      </c>
      <c r="AN36" s="451">
        <f t="shared" si="237"/>
        <v>2.5731310880132185</v>
      </c>
      <c r="AO36" s="451">
        <f t="shared" ref="AO36:AP36" si="238">IF(AO33&gt;$J$42,$J$36,IF(AO33&lt;$J$42,(IF(AO33&lt;0,0,AO33*$K$36))))</f>
        <v>0</v>
      </c>
      <c r="AP36" s="451">
        <f t="shared" si="238"/>
        <v>0</v>
      </c>
      <c r="AQ36" s="451">
        <f t="shared" ref="AQ36" si="239">IF(AQ33&gt;$J$42,$J$36,IF(AQ33&lt;$J$42,(IF(AQ33&lt;0,0,AQ33*$K$36))))</f>
        <v>4.3710762934926706</v>
      </c>
      <c r="AR36" s="479"/>
      <c r="AS36" s="458">
        <f t="shared" si="212"/>
        <v>6.9442073815058887</v>
      </c>
      <c r="AT36" s="445">
        <f t="shared" ref="AT36:AT41" si="240">$AS$33*K36</f>
        <v>-9.1636333070760276</v>
      </c>
      <c r="AU36" s="1080">
        <f t="shared" ref="AU36:AU41" si="241">AS36-AT36</f>
        <v>16.107840688581916</v>
      </c>
      <c r="AV36" s="479"/>
      <c r="AW36" s="1057">
        <f t="shared" ref="AW36:AX36" si="242">IF(AW33&gt;$J$42,$J$36,IF(AW33&lt;$J$42,(IF(AW33&lt;0,0,AW33*$K$36))))</f>
        <v>1.7194979730638427</v>
      </c>
      <c r="AX36" s="451">
        <f t="shared" si="242"/>
        <v>0</v>
      </c>
      <c r="AY36" s="451">
        <f t="shared" ref="AY36:AZ36" si="243">IF(AY33&gt;$J$42,$J$36,IF(AY33&lt;$J$42,(IF(AY33&lt;0,0,AY33*$K$36))))</f>
        <v>0</v>
      </c>
      <c r="AZ36" s="451">
        <f t="shared" si="243"/>
        <v>0</v>
      </c>
      <c r="BA36" s="451">
        <f t="shared" ref="BA36:BB36" si="244">IF(BA33&gt;$J$42,$J$36,IF(BA33&lt;$J$42,(IF(BA33&lt;0,0,BA33*$K$36))))</f>
        <v>0</v>
      </c>
      <c r="BB36" s="451">
        <f t="shared" si="244"/>
        <v>4.7900756979000541</v>
      </c>
      <c r="BC36" s="451">
        <f t="shared" ref="BC36" si="245">IF(BC33&gt;$J$42,$J$36,IF(BC33&lt;$J$42,(IF(BC33&lt;0,0,BC33*$K$36))))</f>
        <v>4.411725489442639</v>
      </c>
      <c r="BD36" s="479"/>
      <c r="BE36" s="458">
        <f t="shared" ref="BE36:BE42" si="246">SUM(AW36:BC36)</f>
        <v>10.921299160406535</v>
      </c>
      <c r="BF36" s="445">
        <f t="shared" ref="BF36:BF41" si="247">$BE$33*K36</f>
        <v>5.1730254183557722</v>
      </c>
      <c r="BG36" s="1080">
        <f t="shared" ref="BG36:BG41" si="248">BE36-BF36</f>
        <v>5.7482737420507632</v>
      </c>
      <c r="BH36" s="479"/>
      <c r="BI36" s="458">
        <f t="shared" ref="BI36" si="249">IF(BI33&gt;$J$42,$J$36,IF(BI33&lt;$J$42,(IF(BI33&lt;0,0,BI33*$K$36))))</f>
        <v>0</v>
      </c>
      <c r="BJ36" s="1298">
        <f t="shared" ref="BJ36:BK36" si="250">IF(BJ33&gt;$J$42,$J$36,IF(BJ33&lt;$J$42,(IF(BJ33&lt;0,0,BJ33*$K$36))))</f>
        <v>5.571791004630251</v>
      </c>
      <c r="BK36" s="463">
        <f t="shared" si="250"/>
        <v>0</v>
      </c>
      <c r="BL36" s="479"/>
      <c r="BM36" s="458">
        <f t="shared" si="219"/>
        <v>5.571791004630251</v>
      </c>
      <c r="BN36" s="445">
        <f t="shared" si="220"/>
        <v>3.2448548483160065</v>
      </c>
      <c r="BO36" s="1080">
        <f t="shared" ref="BO36:BO41" si="251">BM36-BN36</f>
        <v>2.3269361563142446</v>
      </c>
      <c r="BQ36" s="458"/>
      <c r="BR36" s="460"/>
      <c r="BT36" s="458">
        <f t="shared" si="221"/>
        <v>35.074096524428889</v>
      </c>
      <c r="BU36" s="487">
        <f t="shared" si="222"/>
        <v>0.10021170435551111</v>
      </c>
      <c r="BV36" s="4515"/>
      <c r="BY36" s="1038" t="s">
        <v>161</v>
      </c>
      <c r="BZ36" s="1232">
        <v>1</v>
      </c>
      <c r="CA36" s="1233">
        <f>IF(CA29&gt;BZ35,CA29," ")</f>
        <v>1</v>
      </c>
      <c r="CB36" s="81"/>
      <c r="CC36" s="81"/>
      <c r="CD36" s="81"/>
      <c r="CE36" s="81"/>
      <c r="CF36" s="81"/>
      <c r="CG36" s="1029"/>
    </row>
    <row r="37" spans="1:85" x14ac:dyDescent="0.2">
      <c r="B37" s="464">
        <v>20</v>
      </c>
      <c r="C37" s="1114" t="s">
        <v>120</v>
      </c>
      <c r="D37" s="1094"/>
      <c r="E37" s="453">
        <v>300</v>
      </c>
      <c r="F37" s="424">
        <f t="shared" ref="F37:F41" si="252">E37/10</f>
        <v>30</v>
      </c>
      <c r="G37" s="424">
        <f t="shared" ref="G37:G41" si="253">E37/15</f>
        <v>20</v>
      </c>
      <c r="H37" s="424">
        <f t="shared" ref="H37:H41" si="254">E37/20</f>
        <v>15</v>
      </c>
      <c r="I37" s="424">
        <f t="shared" ref="I37:I41" si="255">E37/25</f>
        <v>12</v>
      </c>
      <c r="J37" s="424">
        <f t="shared" si="223"/>
        <v>9.67741935483871</v>
      </c>
      <c r="K37" s="449">
        <f t="shared" ref="K37:K41" si="256">E37/$E$42</f>
        <v>0.17867778439547349</v>
      </c>
      <c r="L37" s="491"/>
      <c r="M37" s="459">
        <f>IF(M33&gt;$J$42,$J$37,IF(M33&lt;$J$42,(IF(M33&lt;0,0,M33*$K$37))))</f>
        <v>2.9747487944052708</v>
      </c>
      <c r="N37" s="453">
        <f>IF(N33&gt;$J$42,$J$37,IF(N33&lt;$J$42,(IF(N33&lt;0,0,N33*$K$37))))</f>
        <v>0</v>
      </c>
      <c r="O37" s="453">
        <f>IF(O33&gt;$J$42,$J$37,IF(O33&lt;$J$42,(IF(O33&lt;0,0,O33*$K$37))))</f>
        <v>0</v>
      </c>
      <c r="P37" s="453">
        <f t="shared" ref="P37" si="257">IF(P33&gt;$J$42,$J$37,IF(P33&lt;$J$42,(IF(P33&lt;0,0,P33*$K$37))))</f>
        <v>3.9262079963111676</v>
      </c>
      <c r="Q37" s="453">
        <f t="shared" ref="Q37:R37" si="258">IF(Q33&gt;$J$42,$J$37,IF(Q33&lt;$J$42,(IF(Q33&lt;0,0,Q33*$K$37))))</f>
        <v>1.8973217545005667</v>
      </c>
      <c r="R37" s="453">
        <f t="shared" si="258"/>
        <v>0</v>
      </c>
      <c r="S37" s="465">
        <f t="shared" ref="S37" si="259">IF(S33&gt;$J$42,$J$37,IF(S33&lt;$J$42,(IF(S33&lt;0,0,S33*$K$37))))</f>
        <v>0</v>
      </c>
      <c r="T37" s="481"/>
      <c r="U37" s="459">
        <f t="shared" si="9"/>
        <v>8.7982785452170056</v>
      </c>
      <c r="V37" s="424">
        <f t="shared" si="227"/>
        <v>4.5305077907356486</v>
      </c>
      <c r="W37" s="465">
        <f t="shared" si="228"/>
        <v>4.267770754481357</v>
      </c>
      <c r="X37" s="481"/>
      <c r="Y37" s="459">
        <f t="shared" ref="Y37:Z37" si="260">IF(Y33&gt;$J$42,$J$37,IF(Y33&lt;$J$42,(IF(Y33&lt;0,0,Y33*$K$37))))</f>
        <v>0</v>
      </c>
      <c r="Z37" s="424">
        <f t="shared" si="260"/>
        <v>0</v>
      </c>
      <c r="AA37" s="424">
        <f t="shared" ref="AA37:AB37" si="261">IF(AA33&gt;$J$42,$J$37,IF(AA33&lt;$J$42,(IF(AA33&lt;0,0,AA33*$K$37))))</f>
        <v>0</v>
      </c>
      <c r="AB37" s="424">
        <f t="shared" si="261"/>
        <v>0.27314069434571209</v>
      </c>
      <c r="AC37" s="424">
        <f t="shared" ref="AC37:AD37" si="262">IF(AC33&gt;$J$42,$J$37,IF(AC33&lt;$J$42,(IF(AC33&lt;0,0,AC33*$K$37))))</f>
        <v>0</v>
      </c>
      <c r="AD37" s="424">
        <f t="shared" si="262"/>
        <v>0.90297988433975596</v>
      </c>
      <c r="AE37" s="465">
        <f t="shared" ref="AE37" si="263">IF(AE33&gt;$J$42,$J$37,IF(AE33&lt;$J$42,(IF(AE33&lt;0,0,AE33*$K$37))))</f>
        <v>0</v>
      </c>
      <c r="AF37" s="481"/>
      <c r="AG37" s="459">
        <f t="shared" si="233"/>
        <v>1.176120578685468</v>
      </c>
      <c r="AH37" s="424">
        <f t="shared" si="234"/>
        <v>-10.478426098484126</v>
      </c>
      <c r="AI37" s="465">
        <f t="shared" si="235"/>
        <v>11.654546677169595</v>
      </c>
      <c r="AJ37" s="481"/>
      <c r="AK37" s="459">
        <f t="shared" ref="AK37:AL37" si="264">IF(AK33&gt;$J$42,$J$37,IF(AK33&lt;$J$42,(IF(AK33&lt;0,0,AK33*$K$37))))</f>
        <v>0</v>
      </c>
      <c r="AL37" s="424">
        <f t="shared" si="264"/>
        <v>0</v>
      </c>
      <c r="AM37" s="424">
        <f t="shared" ref="AM37:AN37" si="265">IF(AM33&gt;$J$42,$J$37,IF(AM33&lt;$J$42,(IF(AM33&lt;0,0,AM33*$K$37))))</f>
        <v>0</v>
      </c>
      <c r="AN37" s="424">
        <f t="shared" si="265"/>
        <v>2.2055409325827586</v>
      </c>
      <c r="AO37" s="424">
        <f t="shared" ref="AO37:AP37" si="266">IF(AO33&gt;$J$42,$J$37,IF(AO33&lt;$J$42,(IF(AO33&lt;0,0,AO33*$K$37))))</f>
        <v>0</v>
      </c>
      <c r="AP37" s="424">
        <f t="shared" si="266"/>
        <v>0</v>
      </c>
      <c r="AQ37" s="424">
        <f t="shared" ref="AQ37" si="267">IF(AQ33&gt;$J$42,$J$37,IF(AQ33&lt;$J$42,(IF(AQ33&lt;0,0,AQ33*$K$37))))</f>
        <v>3.7466368229937177</v>
      </c>
      <c r="AR37" s="481"/>
      <c r="AS37" s="459">
        <f t="shared" si="212"/>
        <v>5.9521777555764768</v>
      </c>
      <c r="AT37" s="424">
        <f t="shared" si="240"/>
        <v>-7.8545428346365949</v>
      </c>
      <c r="AU37" s="465">
        <f t="shared" si="241"/>
        <v>13.806720590213072</v>
      </c>
      <c r="AV37" s="481"/>
      <c r="AW37" s="1115">
        <f t="shared" ref="AW37:AX37" si="268">IF(AW33&gt;$J$42,$J$37,IF(AW33&lt;$J$42,(IF(AW33&lt;0,0,AW33*$K$37))))</f>
        <v>1.4738554054832937</v>
      </c>
      <c r="AX37" s="424">
        <f t="shared" si="268"/>
        <v>0</v>
      </c>
      <c r="AY37" s="424">
        <f t="shared" ref="AY37:AZ37" si="269">IF(AY33&gt;$J$42,$J$37,IF(AY33&lt;$J$42,(IF(AY33&lt;0,0,AY33*$K$37))))</f>
        <v>0</v>
      </c>
      <c r="AZ37" s="424">
        <f t="shared" si="269"/>
        <v>0</v>
      </c>
      <c r="BA37" s="424">
        <f t="shared" ref="BA37:BB37" si="270">IF(BA33&gt;$J$42,$J$37,IF(BA33&lt;$J$42,(IF(BA33&lt;0,0,BA33*$K$37))))</f>
        <v>0</v>
      </c>
      <c r="BB37" s="424">
        <f t="shared" si="270"/>
        <v>4.1057791696286179</v>
      </c>
      <c r="BC37" s="424">
        <f t="shared" ref="BC37" si="271">IF(BC33&gt;$J$42,$J$37,IF(BC33&lt;$J$42,(IF(BC33&lt;0,0,BC33*$K$37))))</f>
        <v>3.7814789909508337</v>
      </c>
      <c r="BD37" s="481"/>
      <c r="BE37" s="459">
        <f t="shared" si="246"/>
        <v>9.3611135660627447</v>
      </c>
      <c r="BF37" s="424">
        <f t="shared" si="247"/>
        <v>4.4340217871620906</v>
      </c>
      <c r="BG37" s="465">
        <f t="shared" si="248"/>
        <v>4.9270917789006541</v>
      </c>
      <c r="BH37" s="481"/>
      <c r="BI37" s="459">
        <f t="shared" ref="BI37" si="272">IF(BI33&gt;$J$42,$J$37,IF(BI33&lt;$J$42,(IF(BI33&lt;0,0,BI33*$K$37))))</f>
        <v>0</v>
      </c>
      <c r="BJ37" s="1299">
        <f t="shared" ref="BJ37:BK37" si="273">IF(BJ33&gt;$J$42,$J$37,IF(BJ33&lt;$J$42,(IF(BJ33&lt;0,0,BJ33*$K$37))))</f>
        <v>4.7758208611116437</v>
      </c>
      <c r="BK37" s="465">
        <f t="shared" si="273"/>
        <v>0</v>
      </c>
      <c r="BL37" s="481"/>
      <c r="BM37" s="459">
        <f t="shared" si="219"/>
        <v>4.7758208611116437</v>
      </c>
      <c r="BN37" s="424">
        <f t="shared" si="220"/>
        <v>2.7813041556994342</v>
      </c>
      <c r="BO37" s="465">
        <f t="shared" si="251"/>
        <v>1.9945167054122095</v>
      </c>
      <c r="BQ37" s="729"/>
      <c r="BR37" s="730"/>
      <c r="BT37" s="729">
        <f t="shared" si="221"/>
        <v>30.063511306653339</v>
      </c>
      <c r="BU37" s="731">
        <f t="shared" si="222"/>
        <v>0.10021170435551113</v>
      </c>
      <c r="BV37" s="4515"/>
      <c r="BY37" s="1058"/>
      <c r="BZ37" s="1293" t="s">
        <v>158</v>
      </c>
      <c r="CA37" s="1059">
        <f>MAX(100%,CA29)-CA29</f>
        <v>0</v>
      </c>
      <c r="CB37" s="1288"/>
      <c r="CC37" s="1288"/>
      <c r="CD37" s="1288"/>
      <c r="CE37" s="1288"/>
      <c r="CF37" s="1288"/>
      <c r="CG37" s="1060"/>
    </row>
    <row r="38" spans="1:85" s="255" customFormat="1" x14ac:dyDescent="0.2">
      <c r="A38" s="774"/>
      <c r="B38" s="462">
        <v>21</v>
      </c>
      <c r="C38" s="816" t="s">
        <v>133</v>
      </c>
      <c r="D38" s="819"/>
      <c r="E38" s="445">
        <v>209</v>
      </c>
      <c r="F38" s="451">
        <f t="shared" si="252"/>
        <v>20.9</v>
      </c>
      <c r="G38" s="451">
        <f t="shared" si="253"/>
        <v>13.933333333333334</v>
      </c>
      <c r="H38" s="451">
        <f t="shared" si="254"/>
        <v>10.45</v>
      </c>
      <c r="I38" s="451">
        <f t="shared" si="255"/>
        <v>8.36</v>
      </c>
      <c r="J38" s="451">
        <f t="shared" si="223"/>
        <v>6.741935483870968</v>
      </c>
      <c r="K38" s="448">
        <f t="shared" si="256"/>
        <v>0.12447885646217986</v>
      </c>
      <c r="L38" s="492"/>
      <c r="M38" s="458">
        <f>IF(M33&gt;$J$42,$J$38,IF(M33&lt;$J$42,(IF(M33&lt;0,0,M33*$K$38))))</f>
        <v>2.0724083267690054</v>
      </c>
      <c r="N38" s="445">
        <f>IF(N33&gt;$J$42,$J$38,IF(N33&lt;$J$42,(IF(N33&lt;0,0,N33*$K$38))))</f>
        <v>0</v>
      </c>
      <c r="O38" s="445">
        <f>IF(O33&gt;$J$42,$J$38,IF(O33&lt;$J$42,(IF(O33&lt;0,0,O33*$K$38))))</f>
        <v>0</v>
      </c>
      <c r="P38" s="445">
        <f t="shared" ref="P38" si="274">IF(P33&gt;$J$42,$J$38,IF(P33&lt;$J$42,(IF(P33&lt;0,0,P33*$K$38))))</f>
        <v>2.7352582374301133</v>
      </c>
      <c r="Q38" s="445">
        <f t="shared" ref="Q38:R38" si="275">IF(Q33&gt;$J$42,$J$38,IF(Q33&lt;$J$42,(IF(Q33&lt;0,0,Q33*$K$38))))</f>
        <v>1.3218008223020614</v>
      </c>
      <c r="R38" s="445">
        <f t="shared" si="275"/>
        <v>0</v>
      </c>
      <c r="S38" s="463">
        <f t="shared" ref="S38" si="276">IF(S33&gt;$J$42,$J$38,IF(S33&lt;$J$42,(IF(S33&lt;0,0,S33*$K$38))))</f>
        <v>0</v>
      </c>
      <c r="T38" s="479"/>
      <c r="U38" s="458">
        <f t="shared" si="9"/>
        <v>6.1294673865011804</v>
      </c>
      <c r="V38" s="451">
        <f t="shared" si="227"/>
        <v>3.1562537608791681</v>
      </c>
      <c r="W38" s="463">
        <f t="shared" si="228"/>
        <v>2.9732136256220123</v>
      </c>
      <c r="X38" s="479"/>
      <c r="Y38" s="458">
        <f t="shared" ref="Y38:Z38" si="277">IF(Y33&gt;$J$42,$J$38,IF(Y33&lt;$J$42,(IF(Y33&lt;0,0,Y33*$K$38))))</f>
        <v>0</v>
      </c>
      <c r="Z38" s="451">
        <f t="shared" si="277"/>
        <v>0</v>
      </c>
      <c r="AA38" s="451">
        <f t="shared" ref="AA38:AB38" si="278">IF(AA33&gt;$J$42,$J$38,IF(AA33&lt;$J$42,(IF(AA33&lt;0,0,AA33*$K$38))))</f>
        <v>0</v>
      </c>
      <c r="AB38" s="451">
        <f t="shared" si="278"/>
        <v>0.19028801706084608</v>
      </c>
      <c r="AC38" s="451">
        <f t="shared" ref="AC38:AD38" si="279">IF(AC33&gt;$J$42,$J$38,IF(AC33&lt;$J$42,(IF(AC33&lt;0,0,AC33*$K$38))))</f>
        <v>0</v>
      </c>
      <c r="AD38" s="451">
        <f t="shared" si="279"/>
        <v>0.6290759860900299</v>
      </c>
      <c r="AE38" s="463">
        <f t="shared" ref="AE38" si="280">IF(AE33&gt;$J$42,$J$38,IF(AE33&lt;$J$42,(IF(AE33&lt;0,0,AE33*$K$38))))</f>
        <v>0</v>
      </c>
      <c r="AF38" s="479"/>
      <c r="AG38" s="458">
        <f t="shared" si="233"/>
        <v>0.81936400315087599</v>
      </c>
      <c r="AH38" s="451">
        <f t="shared" si="234"/>
        <v>-7.2999701819439409</v>
      </c>
      <c r="AI38" s="463">
        <f t="shared" si="235"/>
        <v>8.1193341850948162</v>
      </c>
      <c r="AJ38" s="479"/>
      <c r="AK38" s="458">
        <f t="shared" ref="AK38:AL38" si="281">IF(AK33&gt;$J$42,$J$38,IF(AK33&lt;$J$42,(IF(AK33&lt;0,0,AK33*$K$38))))</f>
        <v>0</v>
      </c>
      <c r="AL38" s="451">
        <f t="shared" si="281"/>
        <v>0</v>
      </c>
      <c r="AM38" s="451">
        <f t="shared" ref="AM38:AN38" si="282">IF(AM33&gt;$J$42,$J$38,IF(AM33&lt;$J$42,(IF(AM33&lt;0,0,AM33*$K$38))))</f>
        <v>0</v>
      </c>
      <c r="AN38" s="451">
        <f t="shared" si="282"/>
        <v>1.5365268496993219</v>
      </c>
      <c r="AO38" s="451">
        <f t="shared" ref="AO38:AP38" si="283">IF(AO33&gt;$J$42,$J$38,IF(AO33&lt;$J$42,(IF(AO33&lt;0,0,AO33*$K$38))))</f>
        <v>0</v>
      </c>
      <c r="AP38" s="451">
        <f t="shared" si="283"/>
        <v>0</v>
      </c>
      <c r="AQ38" s="451">
        <f t="shared" ref="AQ38" si="284">IF(AQ33&gt;$J$42,$J$38,IF(AQ33&lt;$J$42,(IF(AQ33&lt;0,0,AQ33*$K$38))))</f>
        <v>2.6101569866856233</v>
      </c>
      <c r="AR38" s="479"/>
      <c r="AS38" s="458">
        <f t="shared" si="212"/>
        <v>4.1466838363849448</v>
      </c>
      <c r="AT38" s="451">
        <f t="shared" si="240"/>
        <v>-5.4719981747968278</v>
      </c>
      <c r="AU38" s="463">
        <f t="shared" si="241"/>
        <v>9.6186820111817717</v>
      </c>
      <c r="AV38" s="479"/>
      <c r="AW38" s="1057">
        <f t="shared" ref="AW38:AX38" si="285">IF(AW33&gt;$J$42,$J$38,IF(AW33&lt;$J$42,(IF(AW33&lt;0,0,AW33*$K$38))))</f>
        <v>1.0267859324866946</v>
      </c>
      <c r="AX38" s="451">
        <f t="shared" si="285"/>
        <v>0</v>
      </c>
      <c r="AY38" s="451">
        <f t="shared" ref="AY38:AZ38" si="286">IF(AY33&gt;$J$42,$J$38,IF(AY33&lt;$J$42,(IF(AY33&lt;0,0,AY33*$K$38))))</f>
        <v>0</v>
      </c>
      <c r="AZ38" s="451">
        <f t="shared" si="286"/>
        <v>0</v>
      </c>
      <c r="BA38" s="451">
        <f t="shared" ref="BA38:BB38" si="287">IF(BA33&gt;$J$42,$J$38,IF(BA33&lt;$J$42,(IF(BA33&lt;0,0,BA33*$K$38))))</f>
        <v>0</v>
      </c>
      <c r="BB38" s="451">
        <f t="shared" si="287"/>
        <v>2.8603594881746037</v>
      </c>
      <c r="BC38" s="451">
        <f t="shared" ref="BC38" si="288">IF(BC33&gt;$J$42,$J$38,IF(BC33&lt;$J$42,(IF(BC33&lt;0,0,BC33*$K$38))))</f>
        <v>2.6344303636957473</v>
      </c>
      <c r="BD38" s="479"/>
      <c r="BE38" s="458">
        <f t="shared" si="246"/>
        <v>6.5215757843570454</v>
      </c>
      <c r="BF38" s="451">
        <f t="shared" si="247"/>
        <v>3.0890351783895897</v>
      </c>
      <c r="BG38" s="463">
        <f t="shared" si="248"/>
        <v>3.4325406059674557</v>
      </c>
      <c r="BH38" s="479"/>
      <c r="BI38" s="458">
        <f t="shared" ref="BI38" si="289">IF(BI33&gt;$J$42,$J$38,IF(BI33&lt;$J$42,(IF(BI33&lt;0,0,BI33*$K$38))))</f>
        <v>0</v>
      </c>
      <c r="BJ38" s="1298">
        <f t="shared" ref="BJ38:BK38" si="290">IF(BJ33&gt;$J$42,$J$38,IF(BJ33&lt;$J$42,(IF(BJ33&lt;0,0,BJ33*$K$38))))</f>
        <v>3.3271551999077782</v>
      </c>
      <c r="BK38" s="463">
        <f t="shared" si="290"/>
        <v>0</v>
      </c>
      <c r="BL38" s="479"/>
      <c r="BM38" s="458">
        <f t="shared" si="219"/>
        <v>3.3271551999077782</v>
      </c>
      <c r="BN38" s="451">
        <f t="shared" si="220"/>
        <v>1.9376418951372723</v>
      </c>
      <c r="BO38" s="463">
        <f t="shared" si="251"/>
        <v>1.3895133047705059</v>
      </c>
      <c r="BQ38" s="732"/>
      <c r="BR38" s="733"/>
      <c r="BT38" s="732">
        <f t="shared" si="221"/>
        <v>20.944246210301827</v>
      </c>
      <c r="BU38" s="734">
        <f t="shared" si="222"/>
        <v>0.10021170435551113</v>
      </c>
      <c r="BV38" s="4515"/>
      <c r="BY38" s="1028"/>
      <c r="BZ38" s="62"/>
      <c r="CA38" s="81"/>
      <c r="CB38" s="81"/>
      <c r="CC38" s="81"/>
      <c r="CD38" s="81"/>
      <c r="CE38" s="81"/>
      <c r="CF38" s="81"/>
      <c r="CG38" s="1029"/>
    </row>
    <row r="39" spans="1:85" x14ac:dyDescent="0.2">
      <c r="B39" s="464">
        <v>22</v>
      </c>
      <c r="C39" s="1114" t="s">
        <v>4</v>
      </c>
      <c r="D39" s="1094"/>
      <c r="E39" s="453">
        <v>150</v>
      </c>
      <c r="F39" s="424">
        <f t="shared" si="252"/>
        <v>15</v>
      </c>
      <c r="G39" s="424">
        <f t="shared" si="253"/>
        <v>10</v>
      </c>
      <c r="H39" s="424">
        <f t="shared" si="254"/>
        <v>7.5</v>
      </c>
      <c r="I39" s="424">
        <f t="shared" si="255"/>
        <v>6</v>
      </c>
      <c r="J39" s="424">
        <f t="shared" si="223"/>
        <v>4.838709677419355</v>
      </c>
      <c r="K39" s="449">
        <f t="shared" si="256"/>
        <v>8.9338892197736747E-2</v>
      </c>
      <c r="L39" s="491"/>
      <c r="M39" s="459">
        <f>IF(M33&gt;$J$42,$J$39,IF(M33&lt;$J$42,(IF(M33&lt;0,0,M33*$K$39))))</f>
        <v>1.4873743972026354</v>
      </c>
      <c r="N39" s="453">
        <f>IF(N33&gt;$J$42,$J$39,IF(N33&lt;$J$42,(IF(N33&lt;0,0,N33*$K$39))))</f>
        <v>0</v>
      </c>
      <c r="O39" s="453">
        <f>IF(O33&gt;$J$42,$J$39,IF(O33&lt;$J$42,(IF(O33&lt;0,0,O33*$K$39))))</f>
        <v>0</v>
      </c>
      <c r="P39" s="453">
        <f t="shared" ref="P39" si="291">IF(P33&gt;$J$42,$J$39,IF(P33&lt;$J$42,(IF(P33&lt;0,0,P33*$K$39))))</f>
        <v>1.9631039981555838</v>
      </c>
      <c r="Q39" s="453">
        <f t="shared" ref="Q39:R39" si="292">IF(Q33&gt;$J$42,$J$39,IF(Q33&lt;$J$42,(IF(Q33&lt;0,0,Q33*$K$39))))</f>
        <v>0.94866087725028336</v>
      </c>
      <c r="R39" s="453">
        <f t="shared" si="292"/>
        <v>0</v>
      </c>
      <c r="S39" s="465">
        <f t="shared" ref="S39" si="293">IF(S33&gt;$J$42,$J$39,IF(S33&lt;$J$42,(IF(S33&lt;0,0,S33*$K$39))))</f>
        <v>0</v>
      </c>
      <c r="T39" s="481"/>
      <c r="U39" s="459">
        <f t="shared" si="9"/>
        <v>4.3991392726085028</v>
      </c>
      <c r="V39" s="424">
        <f t="shared" si="227"/>
        <v>2.2652538953678243</v>
      </c>
      <c r="W39" s="465">
        <f t="shared" si="228"/>
        <v>2.1338853772406785</v>
      </c>
      <c r="X39" s="481"/>
      <c r="Y39" s="459">
        <f t="shared" ref="Y39:Z39" si="294">IF(Y33&gt;$J$42,$J$39,IF(Y33&lt;$J$42,(IF(Y33&lt;0,0,Y33*$K$39))))</f>
        <v>0</v>
      </c>
      <c r="Z39" s="424">
        <f t="shared" si="294"/>
        <v>0</v>
      </c>
      <c r="AA39" s="424">
        <f t="shared" ref="AA39:AB39" si="295">IF(AA33&gt;$J$42,$J$39,IF(AA33&lt;$J$42,(IF(AA33&lt;0,0,AA33*$K$39))))</f>
        <v>0</v>
      </c>
      <c r="AB39" s="424">
        <f t="shared" si="295"/>
        <v>0.13657034717285604</v>
      </c>
      <c r="AC39" s="424">
        <f t="shared" ref="AC39:AD39" si="296">IF(AC33&gt;$J$42,$J$39,IF(AC33&lt;$J$42,(IF(AC33&lt;0,0,AC33*$K$39))))</f>
        <v>0</v>
      </c>
      <c r="AD39" s="424">
        <f t="shared" si="296"/>
        <v>0.45148994216987798</v>
      </c>
      <c r="AE39" s="465">
        <f t="shared" ref="AE39" si="297">IF(AE33&gt;$J$42,$J$39,IF(AE33&lt;$J$42,(IF(AE33&lt;0,0,AE33*$K$39))))</f>
        <v>0</v>
      </c>
      <c r="AF39" s="481"/>
      <c r="AG39" s="459">
        <f t="shared" si="233"/>
        <v>0.58806028934273402</v>
      </c>
      <c r="AH39" s="424">
        <f t="shared" si="234"/>
        <v>-5.2392130492420632</v>
      </c>
      <c r="AI39" s="465">
        <f t="shared" si="235"/>
        <v>5.8272733385847975</v>
      </c>
      <c r="AJ39" s="481"/>
      <c r="AK39" s="459">
        <f t="shared" ref="AK39:AL39" si="298">IF(AK33&gt;$J$42,$J$39,IF(AK33&lt;$J$42,(IF(AK33&lt;0,0,AK33*$K$39))))</f>
        <v>0</v>
      </c>
      <c r="AL39" s="424">
        <f t="shared" si="298"/>
        <v>0</v>
      </c>
      <c r="AM39" s="424">
        <f t="shared" ref="AM39:AN39" si="299">IF(AM33&gt;$J$42,$J$39,IF(AM33&lt;$J$42,(IF(AM33&lt;0,0,AM33*$K$39))))</f>
        <v>0</v>
      </c>
      <c r="AN39" s="424">
        <f t="shared" si="299"/>
        <v>1.1027704662913793</v>
      </c>
      <c r="AO39" s="424">
        <f t="shared" ref="AO39:AP39" si="300">IF(AO33&gt;$J$42,$J$39,IF(AO33&lt;$J$42,(IF(AO33&lt;0,0,AO33*$K$39))))</f>
        <v>0</v>
      </c>
      <c r="AP39" s="424">
        <f t="shared" si="300"/>
        <v>0</v>
      </c>
      <c r="AQ39" s="424">
        <f t="shared" ref="AQ39" si="301">IF(AQ33&gt;$J$42,$J$39,IF(AQ33&lt;$J$42,(IF(AQ33&lt;0,0,AQ33*$K$39))))</f>
        <v>1.8733184114968588</v>
      </c>
      <c r="AR39" s="481"/>
      <c r="AS39" s="459">
        <f t="shared" si="212"/>
        <v>2.9760888777882384</v>
      </c>
      <c r="AT39" s="424">
        <f t="shared" si="240"/>
        <v>-3.9272714173182974</v>
      </c>
      <c r="AU39" s="465">
        <f t="shared" si="241"/>
        <v>6.9033602951065358</v>
      </c>
      <c r="AV39" s="481"/>
      <c r="AW39" s="1115">
        <f t="shared" ref="AW39:AX39" si="302">IF(AW33&gt;$J$42,$J$39,IF(AW33&lt;$J$42,(IF(AW33&lt;0,0,AW33*$K$39))))</f>
        <v>0.73692770274164687</v>
      </c>
      <c r="AX39" s="424">
        <f t="shared" si="302"/>
        <v>0</v>
      </c>
      <c r="AY39" s="424">
        <f t="shared" ref="AY39:AZ39" si="303">IF(AY33&gt;$J$42,$J$39,IF(AY33&lt;$J$42,(IF(AY33&lt;0,0,AY33*$K$39))))</f>
        <v>0</v>
      </c>
      <c r="AZ39" s="424">
        <f t="shared" si="303"/>
        <v>0</v>
      </c>
      <c r="BA39" s="424">
        <f t="shared" ref="BA39:BB39" si="304">IF(BA33&gt;$J$42,$J$39,IF(BA33&lt;$J$42,(IF(BA33&lt;0,0,BA33*$K$39))))</f>
        <v>0</v>
      </c>
      <c r="BB39" s="424">
        <f t="shared" si="304"/>
        <v>2.0528895848143089</v>
      </c>
      <c r="BC39" s="424">
        <f t="shared" ref="BC39" si="305">IF(BC33&gt;$J$42,$J$39,IF(BC33&lt;$J$42,(IF(BC33&lt;0,0,BC33*$K$39))))</f>
        <v>1.8907394954754169</v>
      </c>
      <c r="BD39" s="481"/>
      <c r="BE39" s="459">
        <f t="shared" si="246"/>
        <v>4.6805567830313723</v>
      </c>
      <c r="BF39" s="424">
        <f t="shared" si="247"/>
        <v>2.2170108935810453</v>
      </c>
      <c r="BG39" s="465">
        <f t="shared" si="248"/>
        <v>2.463545889450327</v>
      </c>
      <c r="BH39" s="481"/>
      <c r="BI39" s="459">
        <f t="shared" ref="BI39" si="306">IF(BI33&gt;$J$42,$J$39,IF(BI33&lt;$J$42,(IF(BI33&lt;0,0,BI33*$K$39))))</f>
        <v>0</v>
      </c>
      <c r="BJ39" s="1299">
        <f t="shared" ref="BJ39:BK39" si="307">IF(BJ33&gt;$J$42,$J$39,IF(BJ33&lt;$J$42,(IF(BJ33&lt;0,0,BJ33*$K$39))))</f>
        <v>2.3879104305558219</v>
      </c>
      <c r="BK39" s="465">
        <f t="shared" si="307"/>
        <v>0</v>
      </c>
      <c r="BL39" s="481"/>
      <c r="BM39" s="459">
        <f t="shared" si="219"/>
        <v>2.3879104305558219</v>
      </c>
      <c r="BN39" s="424">
        <f t="shared" si="220"/>
        <v>1.3906520778497171</v>
      </c>
      <c r="BO39" s="465">
        <f t="shared" si="251"/>
        <v>0.99725835270610474</v>
      </c>
      <c r="BQ39" s="729"/>
      <c r="BR39" s="730"/>
      <c r="BT39" s="729">
        <f t="shared" si="221"/>
        <v>15.03175565332667</v>
      </c>
      <c r="BU39" s="731">
        <f t="shared" si="222"/>
        <v>0.10021170435551113</v>
      </c>
      <c r="BV39" s="4515"/>
      <c r="BY39" s="1028"/>
      <c r="BZ39" s="62"/>
      <c r="CA39" s="81"/>
      <c r="CB39" s="81"/>
      <c r="CC39" s="81"/>
      <c r="CD39" s="81"/>
      <c r="CE39" s="81"/>
      <c r="CF39" s="81"/>
      <c r="CG39" s="1029"/>
    </row>
    <row r="40" spans="1:85" s="255" customFormat="1" x14ac:dyDescent="0.2">
      <c r="B40" s="462">
        <v>23</v>
      </c>
      <c r="C40" s="816" t="s">
        <v>122</v>
      </c>
      <c r="D40" s="819"/>
      <c r="E40" s="445">
        <v>100</v>
      </c>
      <c r="F40" s="451">
        <f t="shared" si="252"/>
        <v>10</v>
      </c>
      <c r="G40" s="451">
        <f t="shared" si="253"/>
        <v>6.666666666666667</v>
      </c>
      <c r="H40" s="451">
        <f t="shared" si="254"/>
        <v>5</v>
      </c>
      <c r="I40" s="451">
        <f t="shared" si="255"/>
        <v>4</v>
      </c>
      <c r="J40" s="451">
        <f t="shared" si="223"/>
        <v>3.225806451612903</v>
      </c>
      <c r="K40" s="448">
        <f t="shared" si="256"/>
        <v>5.9559261465157831E-2</v>
      </c>
      <c r="L40" s="492"/>
      <c r="M40" s="458">
        <f>IF(M33&gt;$J$42,$J$40,IF(M33&lt;$J$42,(IF(M33&lt;0,0,M33*$K$40))))</f>
        <v>0.99158293146842358</v>
      </c>
      <c r="N40" s="445">
        <f>IF(N33&gt;$J$42,$J$40,IF(N33&lt;$J$42,(IF(N33&lt;0,0,N33*$K$40))))</f>
        <v>0</v>
      </c>
      <c r="O40" s="445">
        <f>IF(O33&gt;$J$42,$J$40,IF(O33&lt;$J$42,(IF(O33&lt;0,0,O33*$K$40))))</f>
        <v>0</v>
      </c>
      <c r="P40" s="445">
        <f t="shared" ref="P40" si="308">IF(P33&gt;$J$42,$J$40,IF(P33&lt;$J$42,(IF(P33&lt;0,0,P33*$K$40))))</f>
        <v>1.3087359987703893</v>
      </c>
      <c r="Q40" s="445">
        <f t="shared" ref="Q40:R40" si="309">IF(Q33&gt;$J$42,$J$40,IF(Q33&lt;$J$42,(IF(Q33&lt;0,0,Q33*$K$40))))</f>
        <v>0.63244058483352228</v>
      </c>
      <c r="R40" s="445">
        <f t="shared" si="309"/>
        <v>0</v>
      </c>
      <c r="S40" s="463">
        <f t="shared" ref="S40" si="310">IF(S33&gt;$J$42,$J$40,IF(S33&lt;$J$42,(IF(S33&lt;0,0,S33*$K$40))))</f>
        <v>0</v>
      </c>
      <c r="T40" s="479"/>
      <c r="U40" s="458">
        <f t="shared" si="9"/>
        <v>2.9327595150723353</v>
      </c>
      <c r="V40" s="445">
        <f t="shared" si="227"/>
        <v>1.5101692635785495</v>
      </c>
      <c r="W40" s="1080">
        <f t="shared" si="228"/>
        <v>1.4225902514937858</v>
      </c>
      <c r="X40" s="479"/>
      <c r="Y40" s="458">
        <f t="shared" ref="Y40:Z40" si="311">IF(Y33&gt;$J$42,$J$40,IF(Y33&lt;$J$42,(IF(Y33&lt;0,0,Y33*$K$40))))</f>
        <v>0</v>
      </c>
      <c r="Z40" s="445">
        <f t="shared" si="311"/>
        <v>0</v>
      </c>
      <c r="AA40" s="445">
        <f t="shared" ref="AA40:AB40" si="312">IF(AA33&gt;$J$42,$J$40,IF(AA33&lt;$J$42,(IF(AA33&lt;0,0,AA33*$K$40))))</f>
        <v>0</v>
      </c>
      <c r="AB40" s="445">
        <f t="shared" si="312"/>
        <v>9.1046898115237362E-2</v>
      </c>
      <c r="AC40" s="445">
        <f t="shared" ref="AC40:AD40" si="313">IF(AC33&gt;$J$42,$J$40,IF(AC33&lt;$J$42,(IF(AC33&lt;0,0,AC33*$K$40))))</f>
        <v>0</v>
      </c>
      <c r="AD40" s="445">
        <f t="shared" si="313"/>
        <v>0.30099329477991865</v>
      </c>
      <c r="AE40" s="463">
        <f t="shared" ref="AE40" si="314">IF(AE33&gt;$J$42,$J$40,IF(AE33&lt;$J$42,(IF(AE33&lt;0,0,AE33*$K$40))))</f>
        <v>0</v>
      </c>
      <c r="AF40" s="479"/>
      <c r="AG40" s="458">
        <f t="shared" si="233"/>
        <v>0.39204019289515601</v>
      </c>
      <c r="AH40" s="445">
        <f t="shared" si="234"/>
        <v>-3.4928086994947085</v>
      </c>
      <c r="AI40" s="1080">
        <f t="shared" si="235"/>
        <v>3.8848488923898645</v>
      </c>
      <c r="AJ40" s="479"/>
      <c r="AK40" s="458">
        <f t="shared" ref="AK40:AL40" si="315">IF(AK33&gt;$J$42,$J$40,IF(AK33&lt;$J$42,(IF(AK33&lt;0,0,AK33*$K$40))))</f>
        <v>0</v>
      </c>
      <c r="AL40" s="451">
        <f t="shared" si="315"/>
        <v>0</v>
      </c>
      <c r="AM40" s="451">
        <f t="shared" ref="AM40:AN40" si="316">IF(AM33&gt;$J$42,$J$40,IF(AM33&lt;$J$42,(IF(AM33&lt;0,0,AM33*$K$40))))</f>
        <v>0</v>
      </c>
      <c r="AN40" s="451">
        <f t="shared" si="316"/>
        <v>0.73518031086091962</v>
      </c>
      <c r="AO40" s="451">
        <f t="shared" ref="AO40:AP40" si="317">IF(AO33&gt;$J$42,$J$40,IF(AO33&lt;$J$42,(IF(AO33&lt;0,0,AO33*$K$40))))</f>
        <v>0</v>
      </c>
      <c r="AP40" s="451">
        <f t="shared" si="317"/>
        <v>0</v>
      </c>
      <c r="AQ40" s="451">
        <f t="shared" ref="AQ40" si="318">IF(AQ33&gt;$J$42,$J$40,IF(AQ33&lt;$J$42,(IF(AQ33&lt;0,0,AQ33*$K$40))))</f>
        <v>1.248878940997906</v>
      </c>
      <c r="AR40" s="479"/>
      <c r="AS40" s="458">
        <f t="shared" si="212"/>
        <v>1.9840592518588256</v>
      </c>
      <c r="AT40" s="445">
        <f t="shared" si="240"/>
        <v>-2.6181809448788647</v>
      </c>
      <c r="AU40" s="1080">
        <f t="shared" si="241"/>
        <v>4.6022401967376902</v>
      </c>
      <c r="AV40" s="479"/>
      <c r="AW40" s="1057">
        <f t="shared" ref="AW40:AX40" si="319">IF(AW33&gt;$J$42,$J$40,IF(AW33&lt;$J$42,(IF(AW33&lt;0,0,AW33*$K$40))))</f>
        <v>0.4912851351610979</v>
      </c>
      <c r="AX40" s="451">
        <f t="shared" si="319"/>
        <v>0</v>
      </c>
      <c r="AY40" s="451">
        <f t="shared" ref="AY40:AZ40" si="320">IF(AY33&gt;$J$42,$J$40,IF(AY33&lt;$J$42,(IF(AY33&lt;0,0,AY33*$K$40))))</f>
        <v>0</v>
      </c>
      <c r="AZ40" s="451">
        <f t="shared" si="320"/>
        <v>0</v>
      </c>
      <c r="BA40" s="451">
        <f t="shared" ref="BA40:BB40" si="321">IF(BA33&gt;$J$42,$J$40,IF(BA33&lt;$J$42,(IF(BA33&lt;0,0,BA33*$K$40))))</f>
        <v>0</v>
      </c>
      <c r="BB40" s="451">
        <f t="shared" si="321"/>
        <v>1.3685930565428726</v>
      </c>
      <c r="BC40" s="451">
        <f t="shared" ref="BC40" si="322">IF(BC33&gt;$J$42,$J$40,IF(BC33&lt;$J$42,(IF(BC33&lt;0,0,BC33*$K$40))))</f>
        <v>1.2604929969836112</v>
      </c>
      <c r="BD40" s="479"/>
      <c r="BE40" s="458">
        <f t="shared" si="246"/>
        <v>3.1203711886875816</v>
      </c>
      <c r="BF40" s="445">
        <f t="shared" si="247"/>
        <v>1.4780072623873637</v>
      </c>
      <c r="BG40" s="1080">
        <f t="shared" si="248"/>
        <v>1.6423639263002179</v>
      </c>
      <c r="BH40" s="479"/>
      <c r="BI40" s="458">
        <f t="shared" ref="BI40" si="323">IF(BI33&gt;$J$42,$J$40,IF(BI33&lt;$J$42,(IF(BI33&lt;0,0,BI33*$K$40))))</f>
        <v>0</v>
      </c>
      <c r="BJ40" s="1298">
        <f t="shared" ref="BJ40:BK40" si="324">IF(BJ33&gt;$J$42,$J$40,IF(BJ33&lt;$J$42,(IF(BJ33&lt;0,0,BJ33*$K$40))))</f>
        <v>1.5919402870372144</v>
      </c>
      <c r="BK40" s="463">
        <f t="shared" si="324"/>
        <v>0</v>
      </c>
      <c r="BL40" s="479"/>
      <c r="BM40" s="458">
        <f t="shared" si="219"/>
        <v>1.5919402870372144</v>
      </c>
      <c r="BN40" s="445">
        <f t="shared" si="220"/>
        <v>0.92710138523314467</v>
      </c>
      <c r="BO40" s="1080">
        <f t="shared" si="251"/>
        <v>0.66483890180406968</v>
      </c>
      <c r="BQ40" s="732"/>
      <c r="BR40" s="733"/>
      <c r="BT40" s="732">
        <f t="shared" si="221"/>
        <v>10.021170435551113</v>
      </c>
      <c r="BU40" s="734">
        <f t="shared" si="222"/>
        <v>0.10021170435551113</v>
      </c>
      <c r="BV40" s="4515"/>
      <c r="BY40" s="1058"/>
      <c r="BZ40" s="1288"/>
      <c r="CA40" s="1288"/>
      <c r="CB40" s="1288"/>
      <c r="CC40" s="1288"/>
      <c r="CD40" s="1288"/>
      <c r="CE40" s="1288"/>
      <c r="CF40" s="1288"/>
      <c r="CG40" s="1060"/>
    </row>
    <row r="41" spans="1:85" ht="15.75" thickBot="1" x14ac:dyDescent="0.25">
      <c r="B41" s="1116">
        <v>24</v>
      </c>
      <c r="C41" s="1117" t="s">
        <v>164</v>
      </c>
      <c r="D41" s="1094"/>
      <c r="E41" s="1118">
        <v>100</v>
      </c>
      <c r="F41" s="1119">
        <f t="shared" si="252"/>
        <v>10</v>
      </c>
      <c r="G41" s="1119">
        <f t="shared" si="253"/>
        <v>6.666666666666667</v>
      </c>
      <c r="H41" s="1119">
        <f t="shared" si="254"/>
        <v>5</v>
      </c>
      <c r="I41" s="1119">
        <f t="shared" si="255"/>
        <v>4</v>
      </c>
      <c r="J41" s="1119">
        <f t="shared" si="223"/>
        <v>3.225806451612903</v>
      </c>
      <c r="K41" s="1120">
        <f t="shared" si="256"/>
        <v>5.9559261465157831E-2</v>
      </c>
      <c r="L41" s="491"/>
      <c r="M41" s="1121">
        <f>IF(M33&gt;$J$42,$J$41,IF(M33&lt;$J$42,(IF(M33&lt;0,0,M33*$K$41))))</f>
        <v>0.99158293146842358</v>
      </c>
      <c r="N41" s="1118">
        <f>IF(N33&gt;$J$42,$J$41,IF(N33&lt;$J$42,(IF(N33&lt;0,0,N33*$K$41))))</f>
        <v>0</v>
      </c>
      <c r="O41" s="1118">
        <f>IF(O33&gt;$J$42,$J$41,IF(O33&lt;$J$42,(IF(O33&lt;0,0,O33*$K$41))))</f>
        <v>0</v>
      </c>
      <c r="P41" s="1118">
        <f t="shared" ref="P41" si="325">IF(P33&gt;$J$42,$J$41,IF(P33&lt;$J$42,(IF(P33&lt;0,0,P33*$K$41))))</f>
        <v>1.3087359987703893</v>
      </c>
      <c r="Q41" s="1118">
        <f t="shared" ref="Q41:R41" si="326">IF(Q33&gt;$J$42,$J$41,IF(Q33&lt;$J$42,(IF(Q33&lt;0,0,Q33*$K$41))))</f>
        <v>0.63244058483352228</v>
      </c>
      <c r="R41" s="1118">
        <f t="shared" si="326"/>
        <v>0</v>
      </c>
      <c r="S41" s="1122">
        <f t="shared" ref="S41" si="327">IF(S33&gt;$J$42,$J$41,IF(S33&lt;$J$42,(IF(S33&lt;0,0,S33*$K$41))))</f>
        <v>0</v>
      </c>
      <c r="T41" s="481"/>
      <c r="U41" s="1121">
        <f t="shared" si="9"/>
        <v>2.9327595150723353</v>
      </c>
      <c r="V41" s="1118">
        <f t="shared" si="227"/>
        <v>1.5101692635785495</v>
      </c>
      <c r="W41" s="1123">
        <f t="shared" si="228"/>
        <v>1.4225902514937858</v>
      </c>
      <c r="X41" s="481"/>
      <c r="Y41" s="1121">
        <f t="shared" ref="Y41:Z41" si="328">IF(Y33&gt;$J$42,$J$41,IF(Y33&lt;$J$42,(IF(Y33&lt;0,0,Y33*$K$41))))</f>
        <v>0</v>
      </c>
      <c r="Z41" s="1118">
        <f t="shared" si="328"/>
        <v>0</v>
      </c>
      <c r="AA41" s="1118">
        <f t="shared" ref="AA41:AB41" si="329">IF(AA33&gt;$J$42,$J$41,IF(AA33&lt;$J$42,(IF(AA33&lt;0,0,AA33*$K$41))))</f>
        <v>0</v>
      </c>
      <c r="AB41" s="1118">
        <f t="shared" si="329"/>
        <v>9.1046898115237362E-2</v>
      </c>
      <c r="AC41" s="1118">
        <f t="shared" ref="AC41:AD41" si="330">IF(AC33&gt;$J$42,$J$41,IF(AC33&lt;$J$42,(IF(AC33&lt;0,0,AC33*$K$41))))</f>
        <v>0</v>
      </c>
      <c r="AD41" s="1118">
        <f t="shared" si="330"/>
        <v>0.30099329477991865</v>
      </c>
      <c r="AE41" s="1122">
        <f t="shared" ref="AE41" si="331">IF(AE33&gt;$J$42,$J$41,IF(AE33&lt;$J$42,(IF(AE33&lt;0,0,AE33*$K$41))))</f>
        <v>0</v>
      </c>
      <c r="AF41" s="481"/>
      <c r="AG41" s="1121">
        <f t="shared" si="233"/>
        <v>0.39204019289515601</v>
      </c>
      <c r="AH41" s="1118">
        <f t="shared" si="234"/>
        <v>-3.4928086994947085</v>
      </c>
      <c r="AI41" s="1123">
        <f t="shared" si="235"/>
        <v>3.8848488923898645</v>
      </c>
      <c r="AJ41" s="481"/>
      <c r="AK41" s="1124">
        <f t="shared" ref="AK41:AL41" si="332">IF(AK33&gt;$J$42,$J$41,IF(AK33&lt;$J$42,(IF(AK33&lt;0,0,AK33*$K$41))))</f>
        <v>0</v>
      </c>
      <c r="AL41" s="1125">
        <f t="shared" si="332"/>
        <v>0</v>
      </c>
      <c r="AM41" s="1125">
        <f t="shared" ref="AM41:AN41" si="333">IF(AM33&gt;$J$42,$J$41,IF(AM33&lt;$J$42,(IF(AM33&lt;0,0,AM33*$K$41))))</f>
        <v>0</v>
      </c>
      <c r="AN41" s="1125">
        <f t="shared" si="333"/>
        <v>0.73518031086091962</v>
      </c>
      <c r="AO41" s="1125">
        <f t="shared" ref="AO41:AP41" si="334">IF(AO33&gt;$J$42,$J$41,IF(AO33&lt;$J$42,(IF(AO33&lt;0,0,AO33*$K$41))))</f>
        <v>0</v>
      </c>
      <c r="AP41" s="1125">
        <f t="shared" si="334"/>
        <v>0</v>
      </c>
      <c r="AQ41" s="1125">
        <f t="shared" ref="AQ41" si="335">IF(AQ33&gt;$J$42,$J$41,IF(AQ33&lt;$J$42,(IF(AQ33&lt;0,0,AQ33*$K$41))))</f>
        <v>1.248878940997906</v>
      </c>
      <c r="AR41" s="481"/>
      <c r="AS41" s="1121">
        <f t="shared" si="212"/>
        <v>1.9840592518588256</v>
      </c>
      <c r="AT41" s="1118">
        <f t="shared" si="240"/>
        <v>-2.6181809448788647</v>
      </c>
      <c r="AU41" s="1123">
        <f t="shared" si="241"/>
        <v>4.6022401967376902</v>
      </c>
      <c r="AV41" s="481"/>
      <c r="AW41" s="1126">
        <f t="shared" ref="AW41:AX41" si="336">IF(AW33&gt;$J$42,$J$41,IF(AW33&lt;$J$42,(IF(AW33&lt;0,0,AW33*$K$41))))</f>
        <v>0.4912851351610979</v>
      </c>
      <c r="AX41" s="1119">
        <f t="shared" si="336"/>
        <v>0</v>
      </c>
      <c r="AY41" s="1119">
        <f t="shared" ref="AY41:AZ41" si="337">IF(AY33&gt;$J$42,$J$41,IF(AY33&lt;$J$42,(IF(AY33&lt;0,0,AY33*$K$41))))</f>
        <v>0</v>
      </c>
      <c r="AZ41" s="1119">
        <f t="shared" si="337"/>
        <v>0</v>
      </c>
      <c r="BA41" s="1119">
        <f t="shared" ref="BA41:BB41" si="338">IF(BA33&gt;$J$42,$J$41,IF(BA33&lt;$J$42,(IF(BA33&lt;0,0,BA33*$K$41))))</f>
        <v>0</v>
      </c>
      <c r="BB41" s="1119">
        <f t="shared" si="338"/>
        <v>1.3685930565428726</v>
      </c>
      <c r="BC41" s="1119">
        <f t="shared" ref="BC41" si="339">IF(BC33&gt;$J$42,$J$41,IF(BC33&lt;$J$42,(IF(BC33&lt;0,0,BC33*$K$41))))</f>
        <v>1.2604929969836112</v>
      </c>
      <c r="BD41" s="481"/>
      <c r="BE41" s="1121">
        <f t="shared" si="246"/>
        <v>3.1203711886875816</v>
      </c>
      <c r="BF41" s="1118">
        <f t="shared" si="247"/>
        <v>1.4780072623873637</v>
      </c>
      <c r="BG41" s="1123">
        <f t="shared" si="248"/>
        <v>1.6423639263002179</v>
      </c>
      <c r="BH41" s="481"/>
      <c r="BI41" s="1121">
        <f t="shared" ref="BI41" si="340">IF(BI33&gt;$J$42,$J$41,IF(BI33&lt;$J$42,(IF(BI33&lt;0,0,BI33*$K$41))))</f>
        <v>0</v>
      </c>
      <c r="BJ41" s="1300">
        <f t="shared" ref="BJ41:BK41" si="341">IF(BJ33&gt;$J$42,$J$41,IF(BJ33&lt;$J$42,(IF(BJ33&lt;0,0,BJ33*$K$41))))</f>
        <v>1.5919402870372144</v>
      </c>
      <c r="BK41" s="1122">
        <f t="shared" si="341"/>
        <v>0</v>
      </c>
      <c r="BL41" s="481"/>
      <c r="BM41" s="1121">
        <f t="shared" si="219"/>
        <v>1.5919402870372144</v>
      </c>
      <c r="BN41" s="1118">
        <f t="shared" si="220"/>
        <v>0.92710138523314467</v>
      </c>
      <c r="BO41" s="1123">
        <f t="shared" si="251"/>
        <v>0.66483890180406968</v>
      </c>
      <c r="BQ41" s="1124"/>
      <c r="BR41" s="1127"/>
      <c r="BT41" s="1124">
        <f t="shared" si="221"/>
        <v>10.021170435551113</v>
      </c>
      <c r="BU41" s="1128">
        <f t="shared" si="222"/>
        <v>0.10021170435551113</v>
      </c>
      <c r="BV41" s="4506"/>
      <c r="BY41" s="1028"/>
      <c r="BZ41" s="62"/>
      <c r="CA41" s="81"/>
      <c r="CB41" s="81"/>
      <c r="CC41" s="81"/>
      <c r="CD41" s="81"/>
      <c r="CE41" s="81"/>
      <c r="CF41" s="81"/>
      <c r="CG41" s="1029"/>
    </row>
    <row r="42" spans="1:85" s="255" customFormat="1" ht="15.75" thickBot="1" x14ac:dyDescent="0.25">
      <c r="B42" s="1081"/>
      <c r="C42" s="1081" t="s">
        <v>148</v>
      </c>
      <c r="D42" s="813"/>
      <c r="E42" s="1082">
        <f>SUM(E35:E41)</f>
        <v>1679</v>
      </c>
      <c r="F42" s="1082">
        <f t="shared" ref="F42:I42" si="342">SUM(F35:F41)</f>
        <v>167.9</v>
      </c>
      <c r="G42" s="1082">
        <f t="shared" si="342"/>
        <v>111.93333333333334</v>
      </c>
      <c r="H42" s="1082">
        <f t="shared" si="342"/>
        <v>83.95</v>
      </c>
      <c r="I42" s="1082">
        <f t="shared" si="342"/>
        <v>67.16</v>
      </c>
      <c r="J42" s="1082">
        <f>SUM(J35:J41)</f>
        <v>54.161290322580648</v>
      </c>
      <c r="K42" s="1083">
        <f>E42/(E31+E42+E47)</f>
        <v>0.55966666666666665</v>
      </c>
      <c r="L42" s="62"/>
      <c r="M42" s="1084">
        <f>SUM(M35:M41)</f>
        <v>16.648677419354833</v>
      </c>
      <c r="N42" s="1082">
        <f t="shared" ref="N42:S42" si="343">SUM(N35:N41)</f>
        <v>0</v>
      </c>
      <c r="O42" s="1082">
        <f t="shared" si="343"/>
        <v>0</v>
      </c>
      <c r="P42" s="1082">
        <f t="shared" si="343"/>
        <v>21.973677419354832</v>
      </c>
      <c r="Q42" s="1082">
        <f t="shared" ref="Q42:R42" si="344">SUM(Q35:Q41)</f>
        <v>10.618677419354839</v>
      </c>
      <c r="R42" s="1082">
        <f t="shared" si="344"/>
        <v>0</v>
      </c>
      <c r="S42" s="1082">
        <f t="shared" si="343"/>
        <v>0</v>
      </c>
      <c r="T42" s="946"/>
      <c r="U42" s="742">
        <f>SUM(M42:S42)</f>
        <v>49.241032258064507</v>
      </c>
      <c r="V42" s="947">
        <f>SUM(V35:V41)</f>
        <v>25.355741935483845</v>
      </c>
      <c r="W42" s="948">
        <f>SUM(W35:W41)</f>
        <v>23.885290322580666</v>
      </c>
      <c r="X42" s="782"/>
      <c r="Y42" s="1082">
        <f t="shared" ref="Y42:Z42" si="345">SUM(Y35:Y41)</f>
        <v>0</v>
      </c>
      <c r="Z42" s="1082">
        <f t="shared" si="345"/>
        <v>0</v>
      </c>
      <c r="AA42" s="1082">
        <f t="shared" ref="AA42:AB42" si="346">SUM(AA35:AA41)</f>
        <v>0</v>
      </c>
      <c r="AB42" s="1082">
        <f t="shared" si="346"/>
        <v>1.5286774193548354</v>
      </c>
      <c r="AC42" s="1082">
        <f t="shared" ref="AC42:AD42" si="347">SUM(AC35:AC41)</f>
        <v>0</v>
      </c>
      <c r="AD42" s="1082">
        <f t="shared" si="347"/>
        <v>5.0536774193548339</v>
      </c>
      <c r="AE42" s="1082">
        <f t="shared" ref="AE42" si="348">SUM(AE35:AE41)</f>
        <v>0</v>
      </c>
      <c r="AF42" s="783"/>
      <c r="AG42" s="742">
        <f>SUM(Y42:AE42)</f>
        <v>6.5823548387096693</v>
      </c>
      <c r="AH42" s="947">
        <f>SUM(AH35:AH41)</f>
        <v>-58.644258064516158</v>
      </c>
      <c r="AI42" s="948">
        <f>SUM(AI35:AI41)</f>
        <v>65.226612903225828</v>
      </c>
      <c r="AJ42" s="783"/>
      <c r="AK42" s="1082">
        <f t="shared" ref="AK42:AL42" si="349">SUM(AK35:AK41)</f>
        <v>0</v>
      </c>
      <c r="AL42" s="1082">
        <f t="shared" si="349"/>
        <v>0</v>
      </c>
      <c r="AM42" s="1082">
        <f t="shared" ref="AM42:AN42" si="350">SUM(AM35:AM41)</f>
        <v>0</v>
      </c>
      <c r="AN42" s="1082">
        <f t="shared" si="350"/>
        <v>12.343677419354837</v>
      </c>
      <c r="AO42" s="1082">
        <f t="shared" ref="AO42:AP42" si="351">SUM(AO35:AO41)</f>
        <v>0</v>
      </c>
      <c r="AP42" s="1082">
        <f t="shared" si="351"/>
        <v>0</v>
      </c>
      <c r="AQ42" s="1082">
        <f t="shared" ref="AQ42" si="352">SUM(AQ35:AQ41)</f>
        <v>20.968677419354837</v>
      </c>
      <c r="AR42" s="783"/>
      <c r="AS42" s="742">
        <f t="shared" si="212"/>
        <v>33.312354838709673</v>
      </c>
      <c r="AT42" s="947">
        <f>SUM(AT35:AT41)</f>
        <v>-43.959258064516142</v>
      </c>
      <c r="AU42" s="948">
        <f>SUM(AU35:AU41)</f>
        <v>77.271612903225844</v>
      </c>
      <c r="AV42" s="783"/>
      <c r="AW42" s="1082">
        <f t="shared" ref="AW42:AX42" si="353">SUM(AW35:AW41)</f>
        <v>8.2486774193548342</v>
      </c>
      <c r="AX42" s="1082">
        <f t="shared" si="353"/>
        <v>0</v>
      </c>
      <c r="AY42" s="1082">
        <f t="shared" ref="AY42:AZ42" si="354">SUM(AY35:AY41)</f>
        <v>0</v>
      </c>
      <c r="AZ42" s="1082">
        <f t="shared" si="354"/>
        <v>0</v>
      </c>
      <c r="BA42" s="1082">
        <f t="shared" ref="BA42:BB42" si="355">SUM(BA35:BA41)</f>
        <v>0</v>
      </c>
      <c r="BB42" s="1082">
        <f t="shared" si="355"/>
        <v>22.978677419354838</v>
      </c>
      <c r="BC42" s="1082">
        <f t="shared" ref="BC42" si="356">SUM(BC35:BC41)</f>
        <v>21.163677419354833</v>
      </c>
      <c r="BD42" s="783"/>
      <c r="BE42" s="742">
        <f t="shared" si="246"/>
        <v>52.391032258064506</v>
      </c>
      <c r="BF42" s="947">
        <f>SUM(BF35:BF41)</f>
        <v>24.815741935483835</v>
      </c>
      <c r="BG42" s="948">
        <f>SUM(BG35:BG41)</f>
        <v>27.57529032258066</v>
      </c>
      <c r="BH42" s="1296"/>
      <c r="BI42" s="1082">
        <f>SUM(BI35:BI41)</f>
        <v>0</v>
      </c>
      <c r="BJ42" s="1082">
        <f>SUM(BJ35:BJ41)</f>
        <v>26.728677419354831</v>
      </c>
      <c r="BK42" s="1082">
        <f>SUM(BK35:BK41)</f>
        <v>0</v>
      </c>
      <c r="BL42" s="1296"/>
      <c r="BM42" s="742">
        <f>SUM(BI42:BK42)</f>
        <v>26.728677419354831</v>
      </c>
      <c r="BN42" s="947">
        <f>SUM(BN35:BN41)</f>
        <v>15.566032258064501</v>
      </c>
      <c r="BO42" s="948">
        <f>SUM(BO35:BO41)</f>
        <v>11.162645161290332</v>
      </c>
      <c r="BQ42" s="1082">
        <f>J42*BY24</f>
        <v>1679</v>
      </c>
      <c r="BR42" s="1085">
        <f>BT42-BQ42</f>
        <v>-1510.7445483870968</v>
      </c>
      <c r="BT42" s="1082">
        <f>SUM(BT35:BT41)</f>
        <v>168.25545161290319</v>
      </c>
      <c r="BU42" s="1086">
        <f t="shared" si="222"/>
        <v>0.10021170435551113</v>
      </c>
      <c r="BV42" s="62"/>
      <c r="BY42" s="1289"/>
      <c r="BZ42" s="1290"/>
      <c r="CA42" s="1112"/>
      <c r="CB42" s="1112"/>
      <c r="CC42" s="1112"/>
      <c r="CD42" s="1112"/>
      <c r="CE42" s="1112"/>
      <c r="CF42" s="1112"/>
      <c r="CG42" s="1113"/>
    </row>
    <row r="43" spans="1:85" s="81" customFormat="1" ht="4.5" customHeight="1" thickBot="1" x14ac:dyDescent="0.25">
      <c r="B43" s="1292"/>
      <c r="C43" s="1292"/>
      <c r="E43" s="80"/>
      <c r="F43" s="80"/>
      <c r="G43" s="80"/>
      <c r="H43" s="80"/>
      <c r="I43" s="80"/>
      <c r="J43" s="80"/>
      <c r="K43" s="1087"/>
      <c r="L43" s="62"/>
      <c r="M43" s="80"/>
      <c r="N43" s="80"/>
      <c r="O43" s="80"/>
      <c r="P43" s="80"/>
      <c r="Q43" s="80"/>
      <c r="R43" s="80"/>
      <c r="S43" s="80"/>
      <c r="T43" s="1296"/>
      <c r="U43" s="1296"/>
      <c r="V43" s="1296"/>
      <c r="W43" s="1296"/>
      <c r="X43" s="1296"/>
      <c r="Y43" s="80"/>
      <c r="Z43" s="80"/>
      <c r="AA43" s="80"/>
      <c r="AB43" s="80"/>
      <c r="AC43" s="80"/>
      <c r="AD43" s="80"/>
      <c r="AE43" s="80"/>
      <c r="AF43" s="1296"/>
      <c r="AG43" s="1296"/>
      <c r="AH43" s="1296"/>
      <c r="AI43" s="1296"/>
      <c r="AJ43" s="1296"/>
      <c r="AK43" s="80"/>
      <c r="AL43" s="80"/>
      <c r="AM43" s="80"/>
      <c r="AN43" s="80"/>
      <c r="AO43" s="80"/>
      <c r="AP43" s="80"/>
      <c r="AQ43" s="80"/>
      <c r="AR43" s="1296"/>
      <c r="AS43" s="1296"/>
      <c r="AT43" s="1296"/>
      <c r="AU43" s="1296"/>
      <c r="AV43" s="1296"/>
      <c r="AW43" s="80"/>
      <c r="AX43" s="80"/>
      <c r="AY43" s="80"/>
      <c r="AZ43" s="80"/>
      <c r="BA43" s="80"/>
      <c r="BB43" s="80"/>
      <c r="BC43" s="80"/>
      <c r="BD43" s="1296"/>
      <c r="BE43" s="1296"/>
      <c r="BF43" s="1296"/>
      <c r="BG43" s="1296"/>
      <c r="BH43" s="1296"/>
      <c r="BI43" s="80"/>
      <c r="BJ43" s="80"/>
      <c r="BK43" s="80"/>
      <c r="BL43" s="1296"/>
      <c r="BM43" s="1296"/>
      <c r="BN43" s="1296"/>
      <c r="BO43" s="1296"/>
      <c r="BQ43" s="80"/>
      <c r="BR43" s="152"/>
      <c r="BT43" s="80"/>
      <c r="BU43" s="748"/>
      <c r="BV43" s="62"/>
    </row>
    <row r="44" spans="1:85" ht="15.75" thickBot="1" x14ac:dyDescent="0.25">
      <c r="B44" s="3"/>
      <c r="C44" s="3" t="s">
        <v>151</v>
      </c>
      <c r="D44" s="814"/>
      <c r="E44" s="5">
        <f>E42*100/30</f>
        <v>5596.666666666667</v>
      </c>
      <c r="F44" s="5">
        <f t="shared" ref="F44:I44" si="357">F31+F42</f>
        <v>278.41110000000003</v>
      </c>
      <c r="G44" s="5">
        <f t="shared" si="357"/>
        <v>185.60740000000001</v>
      </c>
      <c r="H44" s="5">
        <f t="shared" si="357"/>
        <v>139.20555000000002</v>
      </c>
      <c r="I44" s="5">
        <f t="shared" si="357"/>
        <v>111.36444</v>
      </c>
      <c r="J44" s="5">
        <f>J42*100/30</f>
        <v>180.53763440860214</v>
      </c>
      <c r="K44" s="266">
        <f>E44/E57</f>
        <v>0.55966666666666665</v>
      </c>
      <c r="L44" s="29"/>
      <c r="M44" s="1129">
        <f t="shared" ref="M44:S44" si="358">$J$44*30/100</f>
        <v>54.161290322580641</v>
      </c>
      <c r="N44" s="1283">
        <f t="shared" si="358"/>
        <v>54.161290322580641</v>
      </c>
      <c r="O44" s="1301">
        <f t="shared" si="358"/>
        <v>54.161290322580641</v>
      </c>
      <c r="P44" s="1303">
        <f t="shared" si="358"/>
        <v>54.161290322580641</v>
      </c>
      <c r="Q44" s="1305">
        <f t="shared" si="358"/>
        <v>54.161290322580641</v>
      </c>
      <c r="R44" s="1307">
        <f t="shared" si="358"/>
        <v>54.161290322580641</v>
      </c>
      <c r="S44" s="1283">
        <f t="shared" si="358"/>
        <v>54.161290322580641</v>
      </c>
      <c r="T44" s="14"/>
      <c r="U44" s="623">
        <f t="shared" si="9"/>
        <v>379.1290322580644</v>
      </c>
      <c r="V44" s="1130"/>
      <c r="W44" s="1131"/>
      <c r="X44" s="145"/>
      <c r="Y44" s="1283">
        <f t="shared" ref="Y44:AE44" si="359">$J$44*30/100</f>
        <v>54.161290322580641</v>
      </c>
      <c r="Z44" s="1283">
        <f t="shared" si="359"/>
        <v>54.161290322580641</v>
      </c>
      <c r="AA44" s="1310">
        <f t="shared" si="359"/>
        <v>54.161290322580641</v>
      </c>
      <c r="AB44" s="1312">
        <f t="shared" si="359"/>
        <v>54.161290322580641</v>
      </c>
      <c r="AC44" s="1316">
        <f t="shared" si="359"/>
        <v>54.161290322580641</v>
      </c>
      <c r="AD44" s="1321">
        <f t="shared" si="359"/>
        <v>54.161290322580641</v>
      </c>
      <c r="AE44" s="1283">
        <f t="shared" si="359"/>
        <v>54.161290322580641</v>
      </c>
      <c r="AF44" s="145"/>
      <c r="AG44" s="623">
        <f t="shared" ref="AG44" si="360">SUM(Y44:AE44)</f>
        <v>379.1290322580644</v>
      </c>
      <c r="AH44" s="1130"/>
      <c r="AI44" s="1131"/>
      <c r="AJ44" s="145"/>
      <c r="AK44" s="1283">
        <f t="shared" ref="AK44:AQ44" si="361">$J$44*30/100</f>
        <v>54.161290322580641</v>
      </c>
      <c r="AL44" s="1283">
        <f t="shared" si="361"/>
        <v>54.161290322580641</v>
      </c>
      <c r="AM44" s="1326">
        <f t="shared" si="361"/>
        <v>54.161290322580641</v>
      </c>
      <c r="AN44" s="1326">
        <f t="shared" si="361"/>
        <v>54.161290322580641</v>
      </c>
      <c r="AO44" s="1329">
        <f t="shared" si="361"/>
        <v>54.161290322580641</v>
      </c>
      <c r="AP44" s="1332">
        <f t="shared" si="361"/>
        <v>54.161290322580641</v>
      </c>
      <c r="AQ44" s="1283">
        <f t="shared" si="361"/>
        <v>54.161290322580641</v>
      </c>
      <c r="AR44" s="145"/>
      <c r="AS44" s="623">
        <f t="shared" ref="AS44:AS45" si="362">SUM(AK44:AQ44)</f>
        <v>379.1290322580644</v>
      </c>
      <c r="AT44" s="1130"/>
      <c r="AU44" s="1131"/>
      <c r="AV44" s="145"/>
      <c r="AW44" s="5">
        <f t="shared" ref="AW44:BC44" si="363">$J$44*30/100</f>
        <v>54.161290322580641</v>
      </c>
      <c r="AX44" s="5">
        <f t="shared" si="363"/>
        <v>54.161290322580641</v>
      </c>
      <c r="AY44" s="5">
        <f t="shared" si="363"/>
        <v>54.161290322580641</v>
      </c>
      <c r="AZ44" s="5">
        <f t="shared" si="363"/>
        <v>54.161290322580641</v>
      </c>
      <c r="BA44" s="5">
        <f t="shared" si="363"/>
        <v>54.161290322580641</v>
      </c>
      <c r="BB44" s="5">
        <f t="shared" si="363"/>
        <v>54.161290322580641</v>
      </c>
      <c r="BC44" s="5">
        <f t="shared" si="363"/>
        <v>54.161290322580641</v>
      </c>
      <c r="BD44" s="145"/>
      <c r="BE44" s="623">
        <f t="shared" ref="BE44:BE45" si="364">SUM(AW44:BC44)</f>
        <v>379.1290322580644</v>
      </c>
      <c r="BF44" s="1130"/>
      <c r="BG44" s="1131"/>
      <c r="BH44" s="14"/>
      <c r="BI44" s="5">
        <f>$J$44*30/100</f>
        <v>54.161290322580641</v>
      </c>
      <c r="BJ44" s="5">
        <f t="shared" ref="BJ44:BK44" si="365">$J$44*30/100</f>
        <v>54.161290322580641</v>
      </c>
      <c r="BK44" s="5">
        <f t="shared" si="365"/>
        <v>54.161290322580641</v>
      </c>
      <c r="BL44" s="14"/>
      <c r="BM44" s="623">
        <f>SUM(BI44:BK44)</f>
        <v>162.48387096774192</v>
      </c>
      <c r="BN44" s="1130"/>
      <c r="BO44" s="1131"/>
      <c r="BQ44" s="5">
        <f>SUM(M44:S44)+SUM(Y44:AE44)+SUM(AK44:AQ44)+SUM(AW44:BC44)+SUM(BI44:BK44)</f>
        <v>1678.9999999999995</v>
      </c>
      <c r="BR44" s="15"/>
      <c r="BT44" s="5"/>
      <c r="BU44" s="9"/>
      <c r="BV44" s="29"/>
    </row>
    <row r="45" spans="1:85" s="255" customFormat="1" ht="15.75" thickBot="1" x14ac:dyDescent="0.25">
      <c r="B45" s="574"/>
      <c r="C45" s="820" t="s">
        <v>149</v>
      </c>
      <c r="D45" s="819"/>
      <c r="E45" s="578"/>
      <c r="F45" s="576"/>
      <c r="G45" s="576"/>
      <c r="H45" s="576"/>
      <c r="I45" s="576"/>
      <c r="J45" s="576"/>
      <c r="K45" s="963"/>
      <c r="L45" s="987"/>
      <c r="M45" s="579">
        <f t="shared" ref="M45:R45" si="366">IF(M33&gt;$J$42,M33-M42,IF(M33&lt;$J$42,(IF(M33&lt;0,-54.161,M33-M44))))</f>
        <v>-37.512612903225808</v>
      </c>
      <c r="N45" s="578">
        <f t="shared" si="366"/>
        <v>-54.161000000000001</v>
      </c>
      <c r="O45" s="578">
        <f t="shared" si="366"/>
        <v>-54.161000000000001</v>
      </c>
      <c r="P45" s="578">
        <f t="shared" si="366"/>
        <v>-32.187612903225805</v>
      </c>
      <c r="Q45" s="578">
        <f t="shared" si="366"/>
        <v>-43.542612903225802</v>
      </c>
      <c r="R45" s="578">
        <f t="shared" si="366"/>
        <v>-54.161000000000001</v>
      </c>
      <c r="S45" s="788">
        <f t="shared" ref="S45" si="367">IF(S33&gt;$J$42,S33-S42,IF(S33&lt;$J$42,(IF(S33&lt;0,-54.161,S33-S44))))</f>
        <v>-54.161000000000001</v>
      </c>
      <c r="T45" s="479"/>
      <c r="U45" s="579">
        <f>SUM(M45:S45)</f>
        <v>-329.88683870967742</v>
      </c>
      <c r="V45" s="578"/>
      <c r="W45" s="788"/>
      <c r="X45" s="479"/>
      <c r="Y45" s="579">
        <f t="shared" ref="Y45:Z45" si="368">IF(Y33&gt;$J$42,Y33-Y42,IF(Y33&lt;$J$42,(IF(Y33&lt;0,-54.161,Y33-Y44))))</f>
        <v>-54.161000000000001</v>
      </c>
      <c r="Z45" s="576">
        <f t="shared" si="368"/>
        <v>-54.161000000000001</v>
      </c>
      <c r="AA45" s="576">
        <f t="shared" ref="AA45:AB45" si="369">IF(AA33&gt;$J$42,AA33-AA42,IF(AA33&lt;$J$42,(IF(AA33&lt;0,-54.161,AA33-AA44))))</f>
        <v>-54.161000000000001</v>
      </c>
      <c r="AB45" s="576">
        <f t="shared" si="369"/>
        <v>-52.632612903225805</v>
      </c>
      <c r="AC45" s="576">
        <f t="shared" ref="AC45:AD45" si="370">IF(AC33&gt;$J$42,AC33-AC42,IF(AC33&lt;$J$42,(IF(AC33&lt;0,-54.161,AC33-AC44))))</f>
        <v>-54.161000000000001</v>
      </c>
      <c r="AD45" s="576">
        <f t="shared" si="370"/>
        <v>-49.107612903225807</v>
      </c>
      <c r="AE45" s="788">
        <f t="shared" ref="AE45" si="371">IF(AE33&gt;$J$42,AE33-AE42,IF(AE33&lt;$J$42,(IF(AE33&lt;0,-54.161,AE33-AE44))))</f>
        <v>-54.161000000000001</v>
      </c>
      <c r="AF45" s="479"/>
      <c r="AG45" s="579">
        <f>SUM(Y45:AE45)</f>
        <v>-372.54522580645158</v>
      </c>
      <c r="AH45" s="578"/>
      <c r="AI45" s="788"/>
      <c r="AJ45" s="779"/>
      <c r="AK45" s="579">
        <f t="shared" ref="AK45:AL45" si="372">IF(AK33&gt;$J$42,AK33-AK42,IF(AK33&lt;$J$42,(IF(AK33&lt;0,-54.161,AK33-AK44))))</f>
        <v>-54.161000000000001</v>
      </c>
      <c r="AL45" s="578">
        <f t="shared" si="372"/>
        <v>-54.161000000000001</v>
      </c>
      <c r="AM45" s="578">
        <f t="shared" ref="AM45:AN45" si="373">IF(AM33&gt;$J$42,AM33-AM42,IF(AM33&lt;$J$42,(IF(AM33&lt;0,-54.161,AM33-AM44))))</f>
        <v>-54.161000000000001</v>
      </c>
      <c r="AN45" s="578">
        <f t="shared" si="373"/>
        <v>-41.8176129032258</v>
      </c>
      <c r="AO45" s="578">
        <f t="shared" ref="AO45:AP45" si="374">IF(AO33&gt;$J$42,AO33-AO42,IF(AO33&lt;$J$42,(IF(AO33&lt;0,-54.161,AO33-AO44))))</f>
        <v>-54.161000000000001</v>
      </c>
      <c r="AP45" s="578">
        <f t="shared" si="374"/>
        <v>-54.161000000000001</v>
      </c>
      <c r="AQ45" s="578">
        <f t="shared" ref="AQ45" si="375">IF(AQ33&gt;$J$42,AQ33-AQ42,IF(AQ33&lt;$J$42,(IF(AQ33&lt;0,-54.161,AQ33-AQ44))))</f>
        <v>-33.1926129032258</v>
      </c>
      <c r="AR45" s="969"/>
      <c r="AS45" s="579">
        <f t="shared" si="362"/>
        <v>-345.81522580645162</v>
      </c>
      <c r="AT45" s="578"/>
      <c r="AU45" s="788"/>
      <c r="AV45" s="479"/>
      <c r="AW45" s="579">
        <f t="shared" ref="AW45:AX45" si="376">IF(AW33&gt;$J$42,AW33-AW42,IF(AW33&lt;$J$42,(IF(AW33&lt;0,-54.161,AW33-AW44))))</f>
        <v>-45.912612903225806</v>
      </c>
      <c r="AX45" s="576">
        <f t="shared" si="376"/>
        <v>-54.161000000000001</v>
      </c>
      <c r="AY45" s="576">
        <f t="shared" ref="AY45:AZ45" si="377">IF(AY33&gt;$J$42,AY33-AY42,IF(AY33&lt;$J$42,(IF(AY33&lt;0,-54.161,AY33-AY44))))</f>
        <v>-54.161000000000001</v>
      </c>
      <c r="AZ45" s="576">
        <f t="shared" si="377"/>
        <v>-54.161000000000001</v>
      </c>
      <c r="BA45" s="576">
        <f t="shared" ref="BA45:BB45" si="378">IF(BA33&gt;$J$42,BA33-BA42,IF(BA33&lt;$J$42,(IF(BA33&lt;0,-54.161,BA33-BA44))))</f>
        <v>-54.161000000000001</v>
      </c>
      <c r="BB45" s="576">
        <f t="shared" si="378"/>
        <v>-31.182612903225809</v>
      </c>
      <c r="BC45" s="576">
        <f t="shared" ref="BC45" si="379">IF(BC33&gt;$J$42,BC33-BC42,IF(BC33&lt;$J$42,(IF(BC33&lt;0,-54.161,BC33-BC44))))</f>
        <v>-32.997612903225807</v>
      </c>
      <c r="BD45" s="479"/>
      <c r="BE45" s="579">
        <f t="shared" si="364"/>
        <v>-326.73683870967739</v>
      </c>
      <c r="BF45" s="578"/>
      <c r="BG45" s="788"/>
      <c r="BI45" s="579">
        <f t="shared" ref="BI45" si="380">IF(BI33&gt;$J$42,BI33-BI42,IF(BI33&lt;$J$42,(IF(BI33&lt;0,-54.161,BI33-BI44))))</f>
        <v>-54.161000000000001</v>
      </c>
      <c r="BJ45" s="578">
        <f t="shared" ref="BJ45:BK45" si="381">IF(BJ33&gt;$J$42,BJ33-BJ42,IF(BJ33&lt;$J$42,(IF(BJ33&lt;0,-54.161,BJ33-BJ44))))</f>
        <v>-27.432612903225809</v>
      </c>
      <c r="BK45" s="1166">
        <f t="shared" si="381"/>
        <v>-54.161000000000001</v>
      </c>
      <c r="BL45" s="990"/>
      <c r="BM45" s="992">
        <f>SUM(BI45:BK45)</f>
        <v>-135.75461290322582</v>
      </c>
      <c r="BN45" s="991"/>
      <c r="BO45" s="989"/>
      <c r="BP45" s="1296"/>
      <c r="BQ45" s="992">
        <f>SUM(M45:S45)+SUM(Y45:AE45)+SUM(AK45:AQ45)+SUM(AW45:BC45)+SUM(BI45:BK45)</f>
        <v>-1510.7387419354839</v>
      </c>
      <c r="BR45" s="580"/>
    </row>
    <row r="46" spans="1:85" s="426" customFormat="1" ht="15.75" thickBot="1" x14ac:dyDescent="0.25">
      <c r="B46" s="438"/>
      <c r="C46" s="438"/>
      <c r="D46" s="438"/>
      <c r="E46" s="479"/>
      <c r="F46" s="479"/>
      <c r="G46" s="479"/>
      <c r="H46" s="479"/>
      <c r="I46" s="479"/>
      <c r="J46" s="479"/>
      <c r="K46" s="1088"/>
      <c r="L46" s="987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79"/>
      <c r="AM46" s="479"/>
      <c r="AN46" s="479"/>
      <c r="AO46" s="479"/>
      <c r="AP46" s="479"/>
      <c r="AQ46" s="479"/>
      <c r="AR46" s="479"/>
      <c r="AS46" s="479"/>
      <c r="AT46" s="479"/>
      <c r="AU46" s="479"/>
      <c r="AV46" s="479"/>
      <c r="AW46" s="479"/>
      <c r="AX46" s="479"/>
      <c r="AY46" s="479"/>
      <c r="AZ46" s="479"/>
      <c r="BA46" s="479"/>
      <c r="BB46" s="479"/>
      <c r="BC46" s="479"/>
      <c r="BD46" s="479"/>
      <c r="BE46" s="479"/>
      <c r="BF46" s="479"/>
      <c r="BG46" s="479"/>
      <c r="BH46" s="479"/>
      <c r="BI46" s="479"/>
      <c r="BJ46" s="479"/>
      <c r="BK46" s="479"/>
      <c r="BL46" s="479"/>
      <c r="BM46" s="479"/>
      <c r="BN46" s="479"/>
      <c r="BO46" s="479"/>
      <c r="BP46" s="479"/>
      <c r="BQ46" s="479"/>
      <c r="BR46" s="480"/>
    </row>
    <row r="47" spans="1:85" s="432" customFormat="1" x14ac:dyDescent="0.2">
      <c r="A47" s="669"/>
      <c r="B47" s="433">
        <v>25</v>
      </c>
      <c r="C47" s="433" t="s">
        <v>74</v>
      </c>
      <c r="D47" s="780"/>
      <c r="E47" s="347">
        <f>3000-(E31+E42)</f>
        <v>205.88900000000012</v>
      </c>
      <c r="F47" s="347">
        <f t="shared" ref="F47:F54" si="382">E47/10</f>
        <v>20.588900000000013</v>
      </c>
      <c r="G47" s="347">
        <f t="shared" ref="G47:G48" si="383">E47/15</f>
        <v>13.725933333333341</v>
      </c>
      <c r="H47" s="347">
        <f t="shared" ref="H47:H48" si="384">E47/20</f>
        <v>10.294450000000007</v>
      </c>
      <c r="I47" s="347">
        <f t="shared" ref="I47:I48" si="385">E47/25</f>
        <v>8.2355600000000049</v>
      </c>
      <c r="J47" s="347">
        <f>E47/31</f>
        <v>6.6415806451612944</v>
      </c>
      <c r="K47" s="434">
        <f>E47/(E31+E42+E47)</f>
        <v>6.8629666666666714E-2</v>
      </c>
      <c r="L47" s="482"/>
      <c r="M47" s="347">
        <f t="shared" ref="M47:S47" si="386">$J$47</f>
        <v>6.6415806451612944</v>
      </c>
      <c r="N47" s="347">
        <f t="shared" si="386"/>
        <v>6.6415806451612944</v>
      </c>
      <c r="O47" s="347">
        <f t="shared" si="386"/>
        <v>6.6415806451612944</v>
      </c>
      <c r="P47" s="347">
        <f t="shared" si="386"/>
        <v>6.6415806451612944</v>
      </c>
      <c r="Q47" s="347">
        <f t="shared" si="386"/>
        <v>6.6415806451612944</v>
      </c>
      <c r="R47" s="347">
        <f t="shared" si="386"/>
        <v>6.6415806451612944</v>
      </c>
      <c r="S47" s="347">
        <f t="shared" si="386"/>
        <v>6.6415806451612944</v>
      </c>
      <c r="T47" s="481"/>
      <c r="U47" s="933">
        <f t="shared" si="9"/>
        <v>46.491064516129072</v>
      </c>
      <c r="V47" s="934"/>
      <c r="W47" s="935"/>
      <c r="X47" s="781"/>
      <c r="Y47" s="483">
        <f t="shared" ref="Y47:AE47" si="387">$J$47</f>
        <v>6.6415806451612944</v>
      </c>
      <c r="Z47" s="483">
        <f t="shared" si="387"/>
        <v>6.6415806451612944</v>
      </c>
      <c r="AA47" s="483">
        <f t="shared" si="387"/>
        <v>6.6415806451612944</v>
      </c>
      <c r="AB47" s="483">
        <f t="shared" si="387"/>
        <v>6.6415806451612944</v>
      </c>
      <c r="AC47" s="483">
        <f t="shared" si="387"/>
        <v>6.6415806451612944</v>
      </c>
      <c r="AD47" s="483">
        <f t="shared" si="387"/>
        <v>6.6415806451612944</v>
      </c>
      <c r="AE47" s="483">
        <f t="shared" si="387"/>
        <v>6.6415806451612944</v>
      </c>
      <c r="AF47" s="781"/>
      <c r="AG47" s="933">
        <f t="shared" ref="AG47:AG48" si="388">SUM(Y47:AE47)</f>
        <v>46.491064516129072</v>
      </c>
      <c r="AH47" s="934"/>
      <c r="AI47" s="935"/>
      <c r="AJ47" s="781"/>
      <c r="AK47" s="483">
        <f t="shared" ref="AK47:AQ47" si="389">$J$47</f>
        <v>6.6415806451612944</v>
      </c>
      <c r="AL47" s="483">
        <f t="shared" si="389"/>
        <v>6.6415806451612944</v>
      </c>
      <c r="AM47" s="483">
        <f t="shared" si="389"/>
        <v>6.6415806451612944</v>
      </c>
      <c r="AN47" s="483">
        <f t="shared" si="389"/>
        <v>6.6415806451612944</v>
      </c>
      <c r="AO47" s="483">
        <f t="shared" si="389"/>
        <v>6.6415806451612944</v>
      </c>
      <c r="AP47" s="483">
        <f t="shared" si="389"/>
        <v>6.6415806451612944</v>
      </c>
      <c r="AQ47" s="483">
        <f t="shared" si="389"/>
        <v>6.6415806451612944</v>
      </c>
      <c r="AR47" s="781"/>
      <c r="AS47" s="933">
        <f t="shared" ref="AS47:AS50" si="390">SUM(AK47:AQ47)</f>
        <v>46.491064516129072</v>
      </c>
      <c r="AT47" s="934"/>
      <c r="AU47" s="935"/>
      <c r="AV47" s="781"/>
      <c r="AW47" s="483">
        <f t="shared" ref="AW47:BC47" si="391">$J$47</f>
        <v>6.6415806451612944</v>
      </c>
      <c r="AX47" s="483">
        <f t="shared" si="391"/>
        <v>6.6415806451612944</v>
      </c>
      <c r="AY47" s="483">
        <f t="shared" si="391"/>
        <v>6.6415806451612944</v>
      </c>
      <c r="AZ47" s="483">
        <f t="shared" si="391"/>
        <v>6.6415806451612944</v>
      </c>
      <c r="BA47" s="483">
        <f t="shared" si="391"/>
        <v>6.6415806451612944</v>
      </c>
      <c r="BB47" s="483">
        <f t="shared" si="391"/>
        <v>6.6415806451612944</v>
      </c>
      <c r="BC47" s="483">
        <f t="shared" si="391"/>
        <v>6.6415806451612944</v>
      </c>
      <c r="BD47" s="781"/>
      <c r="BE47" s="933">
        <f t="shared" ref="BE47:BE50" si="392">SUM(AW47:BC47)</f>
        <v>46.491064516129072</v>
      </c>
      <c r="BF47" s="934"/>
      <c r="BG47" s="935"/>
      <c r="BH47" s="481"/>
      <c r="BI47" s="347">
        <f t="shared" ref="BI47:BK47" si="393">$J$47</f>
        <v>6.6415806451612944</v>
      </c>
      <c r="BJ47" s="483">
        <f t="shared" si="393"/>
        <v>6.6415806451612944</v>
      </c>
      <c r="BK47" s="483">
        <f t="shared" si="393"/>
        <v>6.6415806451612944</v>
      </c>
      <c r="BL47" s="481"/>
      <c r="BM47" s="933">
        <f t="shared" ref="BM47:BM48" si="394">SUM(BI47:BK47)</f>
        <v>19.924741935483883</v>
      </c>
      <c r="BN47" s="934"/>
      <c r="BO47" s="935"/>
      <c r="BQ47" s="347">
        <f>SUM(M47:S47)+SUM(Y47:AE47)+SUM(AK47:AQ47)+SUM(AW47:BC47)+SUM(BI47:BK47)</f>
        <v>205.88900000000018</v>
      </c>
      <c r="BR47" s="485">
        <f>BQ47/E47</f>
        <v>1.0000000000000002</v>
      </c>
      <c r="BT47" s="614"/>
      <c r="BU47" s="615"/>
      <c r="BV47" s="491"/>
    </row>
    <row r="48" spans="1:85" s="81" customFormat="1" ht="15.75" thickBot="1" x14ac:dyDescent="0.25">
      <c r="B48" s="43"/>
      <c r="C48" s="43" t="s">
        <v>153</v>
      </c>
      <c r="D48" s="813"/>
      <c r="E48" s="40">
        <f>E47*100/30</f>
        <v>686.29666666666708</v>
      </c>
      <c r="F48" s="40">
        <f t="shared" si="382"/>
        <v>68.629666666666708</v>
      </c>
      <c r="G48" s="40">
        <f t="shared" si="383"/>
        <v>45.753111111111139</v>
      </c>
      <c r="H48" s="40">
        <f t="shared" si="384"/>
        <v>34.314833333333354</v>
      </c>
      <c r="I48" s="40">
        <f t="shared" si="385"/>
        <v>27.451866666666682</v>
      </c>
      <c r="J48" s="40">
        <f>J47*100/30</f>
        <v>22.138602150537647</v>
      </c>
      <c r="K48" s="193">
        <f>E48/E57</f>
        <v>6.8629666666666714E-2</v>
      </c>
      <c r="L48" s="62"/>
      <c r="M48" s="40">
        <f t="shared" ref="M48:S48" si="395">$J$48</f>
        <v>22.138602150537647</v>
      </c>
      <c r="N48" s="40">
        <f t="shared" si="395"/>
        <v>22.138602150537647</v>
      </c>
      <c r="O48" s="40">
        <f t="shared" si="395"/>
        <v>22.138602150537647</v>
      </c>
      <c r="P48" s="40">
        <f t="shared" si="395"/>
        <v>22.138602150537647</v>
      </c>
      <c r="Q48" s="40">
        <f t="shared" si="395"/>
        <v>22.138602150537647</v>
      </c>
      <c r="R48" s="40">
        <f t="shared" si="395"/>
        <v>22.138602150537647</v>
      </c>
      <c r="S48" s="40">
        <f t="shared" si="395"/>
        <v>22.138602150537647</v>
      </c>
      <c r="T48" s="1296"/>
      <c r="U48" s="957">
        <f t="shared" si="9"/>
        <v>154.97021505376352</v>
      </c>
      <c r="V48" s="958"/>
      <c r="W48" s="959"/>
      <c r="X48" s="782"/>
      <c r="Y48" s="1284">
        <f t="shared" ref="Y48:AE48" si="396">$J$48</f>
        <v>22.138602150537647</v>
      </c>
      <c r="Z48" s="1284">
        <f t="shared" si="396"/>
        <v>22.138602150537647</v>
      </c>
      <c r="AA48" s="1309">
        <f t="shared" si="396"/>
        <v>22.138602150537647</v>
      </c>
      <c r="AB48" s="1313">
        <f t="shared" si="396"/>
        <v>22.138602150537647</v>
      </c>
      <c r="AC48" s="1315">
        <f t="shared" si="396"/>
        <v>22.138602150537647</v>
      </c>
      <c r="AD48" s="1322">
        <f t="shared" si="396"/>
        <v>22.138602150537647</v>
      </c>
      <c r="AE48" s="1284">
        <f t="shared" si="396"/>
        <v>22.138602150537647</v>
      </c>
      <c r="AF48" s="782"/>
      <c r="AG48" s="957">
        <f t="shared" si="388"/>
        <v>154.97021505376352</v>
      </c>
      <c r="AH48" s="958"/>
      <c r="AI48" s="959"/>
      <c r="AJ48" s="782"/>
      <c r="AK48" s="1284">
        <f t="shared" ref="AK48:AQ48" si="397">$J$48</f>
        <v>22.138602150537647</v>
      </c>
      <c r="AL48" s="1284">
        <f t="shared" si="397"/>
        <v>22.138602150537647</v>
      </c>
      <c r="AM48" s="1325">
        <f t="shared" si="397"/>
        <v>22.138602150537647</v>
      </c>
      <c r="AN48" s="1325">
        <f t="shared" si="397"/>
        <v>22.138602150537647</v>
      </c>
      <c r="AO48" s="1333">
        <f t="shared" si="397"/>
        <v>22.138602150537647</v>
      </c>
      <c r="AP48" s="1333">
        <f t="shared" si="397"/>
        <v>22.138602150537647</v>
      </c>
      <c r="AQ48" s="1284">
        <f t="shared" si="397"/>
        <v>22.138602150537647</v>
      </c>
      <c r="AR48" s="782"/>
      <c r="AS48" s="957">
        <f t="shared" si="390"/>
        <v>154.97021505376352</v>
      </c>
      <c r="AT48" s="958"/>
      <c r="AU48" s="959"/>
      <c r="AV48" s="782"/>
      <c r="AW48" s="1284">
        <f t="shared" ref="AW48:BC48" si="398">$J$48</f>
        <v>22.138602150537647</v>
      </c>
      <c r="AX48" s="1284">
        <f t="shared" si="398"/>
        <v>22.138602150537647</v>
      </c>
      <c r="AY48" s="1336">
        <f t="shared" si="398"/>
        <v>22.138602150537647</v>
      </c>
      <c r="AZ48" s="1336">
        <f t="shared" si="398"/>
        <v>22.138602150537647</v>
      </c>
      <c r="BA48" s="1341">
        <f t="shared" si="398"/>
        <v>22.138602150537647</v>
      </c>
      <c r="BB48" s="1345">
        <f t="shared" si="398"/>
        <v>22.138602150537647</v>
      </c>
      <c r="BC48" s="1284">
        <f t="shared" si="398"/>
        <v>22.138602150537647</v>
      </c>
      <c r="BD48" s="782"/>
      <c r="BE48" s="957">
        <f t="shared" si="392"/>
        <v>154.97021505376352</v>
      </c>
      <c r="BF48" s="958"/>
      <c r="BG48" s="959"/>
      <c r="BH48" s="1296"/>
      <c r="BI48" s="40">
        <f t="shared" ref="BI48:BK48" si="399">$J$48</f>
        <v>22.138602150537647</v>
      </c>
      <c r="BJ48" s="1284">
        <f t="shared" si="399"/>
        <v>22.138602150537647</v>
      </c>
      <c r="BK48" s="1284">
        <f t="shared" si="399"/>
        <v>22.138602150537647</v>
      </c>
      <c r="BL48" s="1296"/>
      <c r="BM48" s="957">
        <f t="shared" si="394"/>
        <v>66.415806451612937</v>
      </c>
      <c r="BN48" s="958"/>
      <c r="BO48" s="959"/>
      <c r="BP48" s="255"/>
      <c r="BQ48" s="40">
        <f>SUM(M48:S48)+SUM(Y48:AE48)+SUM(AK48:AQ48)+SUM(AW48:BC48)+SUM(BI48:BK48)</f>
        <v>686.29666666666708</v>
      </c>
      <c r="BR48" s="51">
        <f>BQ48/E48</f>
        <v>1</v>
      </c>
      <c r="BS48" s="255"/>
      <c r="BT48" s="583"/>
      <c r="BU48" s="584"/>
      <c r="BV48" s="411"/>
      <c r="BW48" s="255"/>
    </row>
    <row r="49" spans="2:75" s="81" customFormat="1" ht="4.5" customHeight="1" thickBot="1" x14ac:dyDescent="0.25">
      <c r="B49" s="1295"/>
      <c r="C49" s="1295"/>
      <c r="E49" s="1291"/>
      <c r="F49" s="1291"/>
      <c r="G49" s="1291"/>
      <c r="H49" s="1291"/>
      <c r="I49" s="1291"/>
      <c r="J49" s="1291"/>
      <c r="K49" s="1089"/>
      <c r="L49" s="62"/>
      <c r="M49" s="1291"/>
      <c r="N49" s="1291"/>
      <c r="O49" s="1302"/>
      <c r="P49" s="1304"/>
      <c r="Q49" s="1306"/>
      <c r="R49" s="1308"/>
      <c r="S49" s="1291"/>
      <c r="T49" s="1296"/>
      <c r="U49" s="1296"/>
      <c r="V49" s="1296"/>
      <c r="W49" s="1296"/>
      <c r="X49" s="1296"/>
      <c r="Y49" s="1291"/>
      <c r="Z49" s="1291"/>
      <c r="AA49" s="1311"/>
      <c r="AB49" s="1314"/>
      <c r="AC49" s="1317"/>
      <c r="AD49" s="1323"/>
      <c r="AE49" s="1291"/>
      <c r="AF49" s="1296"/>
      <c r="AG49" s="1296"/>
      <c r="AH49" s="1296"/>
      <c r="AI49" s="1296"/>
      <c r="AJ49" s="1296"/>
      <c r="AK49" s="1291"/>
      <c r="AL49" s="1291"/>
      <c r="AM49" s="1327"/>
      <c r="AN49" s="1327"/>
      <c r="AO49" s="1334"/>
      <c r="AP49" s="1334"/>
      <c r="AQ49" s="1291"/>
      <c r="AR49" s="1296"/>
      <c r="AS49" s="1296"/>
      <c r="AT49" s="1296"/>
      <c r="AU49" s="1296"/>
      <c r="AV49" s="1296"/>
      <c r="AW49" s="1291"/>
      <c r="AX49" s="1291"/>
      <c r="AY49" s="1338"/>
      <c r="AZ49" s="1338"/>
      <c r="BA49" s="1342"/>
      <c r="BB49" s="1346"/>
      <c r="BC49" s="1291"/>
      <c r="BD49" s="1296"/>
      <c r="BE49" s="1296"/>
      <c r="BF49" s="1296"/>
      <c r="BG49" s="1296"/>
      <c r="BH49" s="1296"/>
      <c r="BI49" s="1291"/>
      <c r="BJ49" s="1291"/>
      <c r="BK49" s="1291"/>
      <c r="BL49" s="1296"/>
      <c r="BM49" s="1296"/>
      <c r="BN49" s="1296"/>
      <c r="BO49" s="1296"/>
      <c r="BP49" s="255"/>
      <c r="BQ49" s="1291"/>
      <c r="BR49" s="1090"/>
      <c r="BS49" s="255"/>
      <c r="BT49" s="1296"/>
      <c r="BU49" s="411"/>
      <c r="BV49" s="411"/>
      <c r="BW49" s="255"/>
    </row>
    <row r="50" spans="2:75" ht="15.75" thickBot="1" x14ac:dyDescent="0.25">
      <c r="B50" s="1092"/>
      <c r="C50" s="1093" t="s">
        <v>154</v>
      </c>
      <c r="D50" s="1094"/>
      <c r="E50" s="1095"/>
      <c r="F50" s="1096"/>
      <c r="G50" s="1096"/>
      <c r="H50" s="1096"/>
      <c r="I50" s="1096"/>
      <c r="J50" s="1096"/>
      <c r="K50" s="1097"/>
      <c r="L50" s="1098"/>
      <c r="M50" s="1099">
        <f t="shared" ref="M50:R50" si="400">IF(M45&gt;$J$47,M45-M47,IF(M45&lt;$J$47,(IF(M45&lt;0,-6.642,M45-M47))))</f>
        <v>-6.6420000000000003</v>
      </c>
      <c r="N50" s="1095">
        <f t="shared" si="400"/>
        <v>-6.6420000000000003</v>
      </c>
      <c r="O50" s="1095">
        <f t="shared" si="400"/>
        <v>-6.6420000000000003</v>
      </c>
      <c r="P50" s="1095">
        <f t="shared" si="400"/>
        <v>-6.6420000000000003</v>
      </c>
      <c r="Q50" s="1095">
        <f t="shared" si="400"/>
        <v>-6.6420000000000003</v>
      </c>
      <c r="R50" s="1095">
        <f t="shared" si="400"/>
        <v>-6.6420000000000003</v>
      </c>
      <c r="S50" s="1100">
        <f t="shared" ref="S50" si="401">IF(S45&gt;$J$47,S45-S47,IF(S45&lt;$J$47,(IF(S45&lt;0,-6.642,S45-S47))))</f>
        <v>-6.6420000000000003</v>
      </c>
      <c r="T50" s="481"/>
      <c r="U50" s="1099">
        <f>SUM(M50:S50)</f>
        <v>-46.494000000000007</v>
      </c>
      <c r="V50" s="1095"/>
      <c r="W50" s="1100"/>
      <c r="X50" s="481"/>
      <c r="Y50" s="1099">
        <f t="shared" ref="Y50:Z50" si="402">IF(Y45&gt;$J$47,Y45-Y47,IF(Y45&lt;$J$47,(IF(Y45&lt;0,-6.642,Y45-Y47))))</f>
        <v>-6.6420000000000003</v>
      </c>
      <c r="Z50" s="1096">
        <f t="shared" si="402"/>
        <v>-6.6420000000000003</v>
      </c>
      <c r="AA50" s="1096">
        <f t="shared" ref="AA50:AB50" si="403">IF(AA45&gt;$J$47,AA45-AA47,IF(AA45&lt;$J$47,(IF(AA45&lt;0,-6.642,AA45-AA47))))</f>
        <v>-6.6420000000000003</v>
      </c>
      <c r="AB50" s="1096">
        <f t="shared" si="403"/>
        <v>-6.6420000000000003</v>
      </c>
      <c r="AC50" s="1096">
        <f t="shared" ref="AC50:AD50" si="404">IF(AC45&gt;$J$47,AC45-AC47,IF(AC45&lt;$J$47,(IF(AC45&lt;0,-6.642,AC45-AC47))))</f>
        <v>-6.6420000000000003</v>
      </c>
      <c r="AD50" s="1096">
        <f t="shared" si="404"/>
        <v>-6.6420000000000003</v>
      </c>
      <c r="AE50" s="1100">
        <f t="shared" ref="AE50" si="405">IF(AE45&gt;$J$47,AE45-AE47,IF(AE45&lt;$J$47,(IF(AE45&lt;0,-6.642,AE45-AE47))))</f>
        <v>-6.6420000000000003</v>
      </c>
      <c r="AF50" s="481"/>
      <c r="AG50" s="1099">
        <f>SUM(Y50:AE50)</f>
        <v>-46.494000000000007</v>
      </c>
      <c r="AH50" s="1095"/>
      <c r="AI50" s="1100"/>
      <c r="AJ50" s="781"/>
      <c r="AK50" s="1099">
        <f t="shared" ref="AK50:AL50" si="406">IF(AK45&gt;$J$47,AK45-AK47,IF(AK45&lt;$J$47,(IF(AK45&lt;0,-6.642,AK45-AK47))))</f>
        <v>-6.6420000000000003</v>
      </c>
      <c r="AL50" s="1095">
        <f t="shared" si="406"/>
        <v>-6.6420000000000003</v>
      </c>
      <c r="AM50" s="1095">
        <f t="shared" ref="AM50:AN50" si="407">IF(AM45&gt;$J$47,AM45-AM47,IF(AM45&lt;$J$47,(IF(AM45&lt;0,-6.642,AM45-AM47))))</f>
        <v>-6.6420000000000003</v>
      </c>
      <c r="AN50" s="1095">
        <f t="shared" si="407"/>
        <v>-6.6420000000000003</v>
      </c>
      <c r="AO50" s="1095">
        <f t="shared" ref="AO50:AP50" si="408">IF(AO45&gt;$J$47,AO45-AO47,IF(AO45&lt;$J$47,(IF(AO45&lt;0,-6.642,AO45-AO47))))</f>
        <v>-6.6420000000000003</v>
      </c>
      <c r="AP50" s="1095">
        <f t="shared" si="408"/>
        <v>-6.6420000000000003</v>
      </c>
      <c r="AQ50" s="1095">
        <f t="shared" ref="AQ50" si="409">IF(AQ45&gt;$J$47,AQ45-AQ47,IF(AQ45&lt;$J$47,(IF(AQ45&lt;0,-6.642,AQ45-AQ47))))</f>
        <v>-6.6420000000000003</v>
      </c>
      <c r="AR50" s="1101"/>
      <c r="AS50" s="1099">
        <f t="shared" si="390"/>
        <v>-46.494000000000007</v>
      </c>
      <c r="AT50" s="1095"/>
      <c r="AU50" s="1100"/>
      <c r="AV50" s="481"/>
      <c r="AW50" s="1099">
        <f t="shared" ref="AW50:AX50" si="410">IF(AW45&gt;$J$47,AW45-AW47,IF(AW45&lt;$J$47,(IF(AW45&lt;0,-6.642,AW45-AW47))))</f>
        <v>-6.6420000000000003</v>
      </c>
      <c r="AX50" s="1096">
        <f t="shared" si="410"/>
        <v>-6.6420000000000003</v>
      </c>
      <c r="AY50" s="1096">
        <f t="shared" ref="AY50:AZ50" si="411">IF(AY45&gt;$J$47,AY45-AY47,IF(AY45&lt;$J$47,(IF(AY45&lt;0,-6.642,AY45-AY47))))</f>
        <v>-6.6420000000000003</v>
      </c>
      <c r="AZ50" s="1096">
        <f t="shared" si="411"/>
        <v>-6.6420000000000003</v>
      </c>
      <c r="BA50" s="1096">
        <f t="shared" ref="BA50:BB50" si="412">IF(BA45&gt;$J$47,BA45-BA47,IF(BA45&lt;$J$47,(IF(BA45&lt;0,-6.642,BA45-BA47))))</f>
        <v>-6.6420000000000003</v>
      </c>
      <c r="BB50" s="1096">
        <f t="shared" si="412"/>
        <v>-6.6420000000000003</v>
      </c>
      <c r="BC50" s="1096">
        <f t="shared" ref="BC50" si="413">IF(BC45&gt;$J$47,BC45-BC47,IF(BC45&lt;$J$47,(IF(BC45&lt;0,-6.642,BC45-BC47))))</f>
        <v>-6.6420000000000003</v>
      </c>
      <c r="BD50" s="481"/>
      <c r="BE50" s="1099">
        <f t="shared" si="392"/>
        <v>-46.494000000000007</v>
      </c>
      <c r="BF50" s="1095"/>
      <c r="BG50" s="1100"/>
      <c r="BI50" s="1099">
        <f t="shared" ref="BI50" si="414">IF(BI45&gt;$J$47,BI45-BI47,IF(BI45&lt;$J$47,(IF(BI45&lt;0,-6.642,BI45-BI47))))</f>
        <v>-6.6420000000000003</v>
      </c>
      <c r="BJ50" s="1095">
        <f t="shared" ref="BJ50:BK50" si="415">IF(BJ45&gt;$J$47,BJ45-BJ47,IF(BJ45&lt;$J$47,(IF(BJ45&lt;0,-6.642,BJ45-BJ47))))</f>
        <v>-6.6420000000000003</v>
      </c>
      <c r="BK50" s="1102">
        <f t="shared" si="415"/>
        <v>-6.6420000000000003</v>
      </c>
      <c r="BL50" s="1103"/>
      <c r="BM50" s="1104">
        <f>SUM(BI50:BK50)</f>
        <v>-19.926000000000002</v>
      </c>
      <c r="BN50" s="1133"/>
      <c r="BO50" s="1132"/>
      <c r="BP50" s="14"/>
      <c r="BQ50" s="1104">
        <f>SUM(M50:S50)+SUM(Y50:AE50)+SUM(AK50:AQ50)+SUM(AW50:BC50)+SUM(BI50:BK50)</f>
        <v>-205.90200000000004</v>
      </c>
      <c r="BR50" s="1105">
        <f>BQ50/E47</f>
        <v>-1.000063140818596</v>
      </c>
    </row>
    <row r="51" spans="2:75" s="426" customFormat="1" ht="15.75" thickBot="1" x14ac:dyDescent="0.25">
      <c r="B51" s="438"/>
      <c r="C51" s="438"/>
      <c r="D51" s="438"/>
      <c r="E51" s="479"/>
      <c r="F51" s="479"/>
      <c r="G51" s="479"/>
      <c r="H51" s="479"/>
      <c r="I51" s="479"/>
      <c r="J51" s="479"/>
      <c r="K51" s="1088"/>
      <c r="L51" s="987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79"/>
      <c r="AI51" s="479"/>
      <c r="AJ51" s="479"/>
      <c r="AK51" s="479"/>
      <c r="AL51" s="479"/>
      <c r="AM51" s="479"/>
      <c r="AN51" s="479"/>
      <c r="AO51" s="479"/>
      <c r="AP51" s="479"/>
      <c r="AQ51" s="479"/>
      <c r="AR51" s="479"/>
      <c r="AS51" s="479"/>
      <c r="AT51" s="479"/>
      <c r="AU51" s="479"/>
      <c r="AV51" s="479"/>
      <c r="AW51" s="479"/>
      <c r="AX51" s="479"/>
      <c r="AY51" s="479"/>
      <c r="AZ51" s="479"/>
      <c r="BA51" s="479"/>
      <c r="BB51" s="479"/>
      <c r="BC51" s="479"/>
      <c r="BD51" s="479"/>
      <c r="BE51" s="479"/>
      <c r="BF51" s="479"/>
      <c r="BG51" s="479"/>
      <c r="BH51" s="479"/>
      <c r="BI51" s="479"/>
      <c r="BJ51" s="479"/>
      <c r="BK51" s="479"/>
      <c r="BL51" s="479"/>
      <c r="BM51" s="479"/>
      <c r="BN51" s="479"/>
      <c r="BO51" s="479"/>
      <c r="BP51" s="479"/>
      <c r="BQ51" s="479"/>
      <c r="BR51" s="480"/>
    </row>
    <row r="52" spans="2:75" s="1288" customFormat="1" ht="15.75" thickBot="1" x14ac:dyDescent="0.25">
      <c r="B52" s="616"/>
      <c r="C52" s="1134" t="s">
        <v>97</v>
      </c>
      <c r="E52" s="933">
        <f>E31*100/30</f>
        <v>3717.0366666666664</v>
      </c>
      <c r="F52" s="645">
        <f t="shared" si="382"/>
        <v>371.70366666666666</v>
      </c>
      <c r="G52" s="648">
        <f t="shared" ref="G52:G54" si="416">E52/15</f>
        <v>247.80244444444443</v>
      </c>
      <c r="H52" s="652">
        <f>E52/20</f>
        <v>185.85183333333333</v>
      </c>
      <c r="I52" s="656">
        <f t="shared" ref="I52:I54" si="417">E52/25</f>
        <v>148.68146666666667</v>
      </c>
      <c r="J52" s="660">
        <f>E52/31</f>
        <v>119.90440860215053</v>
      </c>
      <c r="K52" s="1135">
        <f>J52*30%</f>
        <v>35.971322580645158</v>
      </c>
      <c r="L52" s="1098"/>
      <c r="M52" s="623" t="str">
        <f t="shared" ref="M52:S52" si="418">IF(M33&gt;0,"0.000",M33)</f>
        <v>0.000</v>
      </c>
      <c r="N52" s="1136">
        <f t="shared" si="418"/>
        <v>-0.49632258064516321</v>
      </c>
      <c r="O52" s="1136">
        <f t="shared" si="418"/>
        <v>-10.726322580645164</v>
      </c>
      <c r="P52" s="1136" t="str">
        <f t="shared" si="418"/>
        <v>0.000</v>
      </c>
      <c r="Q52" s="1136" t="str">
        <f t="shared" si="418"/>
        <v>0.000</v>
      </c>
      <c r="R52" s="1136">
        <f t="shared" si="418"/>
        <v>-6.1322580645168046E-2</v>
      </c>
      <c r="S52" s="622">
        <f t="shared" si="418"/>
        <v>-12.601322580645164</v>
      </c>
      <c r="T52" s="14"/>
      <c r="U52" s="623">
        <f t="shared" si="9"/>
        <v>-23.885290322580659</v>
      </c>
      <c r="V52" s="1136">
        <f>U42+U52</f>
        <v>25.355741935483849</v>
      </c>
      <c r="W52" s="622"/>
      <c r="X52" s="14"/>
      <c r="Y52" s="623">
        <f t="shared" ref="Y52:AE52" si="419">IF(Y33&gt;0,"0.000",Y33)</f>
        <v>-5.5363225806451659</v>
      </c>
      <c r="Z52" s="1136">
        <f t="shared" si="419"/>
        <v>-17.221322580645165</v>
      </c>
      <c r="AA52" s="1136">
        <f t="shared" si="419"/>
        <v>-25.021322580645165</v>
      </c>
      <c r="AB52" s="1136" t="str">
        <f t="shared" si="419"/>
        <v>0.000</v>
      </c>
      <c r="AC52" s="1136">
        <f t="shared" si="419"/>
        <v>-12.151322580645164</v>
      </c>
      <c r="AD52" s="1136" t="str">
        <f t="shared" si="419"/>
        <v>0.000</v>
      </c>
      <c r="AE52" s="622">
        <f t="shared" si="419"/>
        <v>-5.2963225806451675</v>
      </c>
      <c r="AF52" s="14"/>
      <c r="AG52" s="623">
        <f t="shared" ref="AG52:AG55" si="420">SUM(Y52:AE52)</f>
        <v>-65.226612903225828</v>
      </c>
      <c r="AH52" s="1136">
        <f>AG42+AG52</f>
        <v>-58.644258064516158</v>
      </c>
      <c r="AI52" s="622"/>
      <c r="AJ52" s="14"/>
      <c r="AK52" s="623">
        <f t="shared" ref="AK52:AQ52" si="421">IF(AK33&gt;0,"0.000",AK33)</f>
        <v>-10.201322580645165</v>
      </c>
      <c r="AL52" s="1136">
        <f t="shared" si="421"/>
        <v>-20.746322580645163</v>
      </c>
      <c r="AM52" s="1136">
        <f t="shared" si="421"/>
        <v>-35.971322580645165</v>
      </c>
      <c r="AN52" s="1136" t="str">
        <f t="shared" si="421"/>
        <v>0.000</v>
      </c>
      <c r="AO52" s="1136">
        <f t="shared" si="421"/>
        <v>-0.55632258064516549</v>
      </c>
      <c r="AP52" s="1136">
        <f t="shared" si="421"/>
        <v>-9.7963225806451639</v>
      </c>
      <c r="AQ52" s="622" t="str">
        <f t="shared" si="421"/>
        <v>0.000</v>
      </c>
      <c r="AR52" s="14"/>
      <c r="AS52" s="623">
        <f t="shared" ref="AS52:AS55" si="422">SUM(AK52:AQ52)</f>
        <v>-77.271612903225829</v>
      </c>
      <c r="AT52" s="1136">
        <f>AS42+AS52</f>
        <v>-43.959258064516156</v>
      </c>
      <c r="AU52" s="622"/>
      <c r="AV52" s="14"/>
      <c r="AW52" s="623" t="str">
        <f t="shared" ref="AW52:BC52" si="423">IF(AW33&gt;0,"0.000",AW33)</f>
        <v>0.000</v>
      </c>
      <c r="AX52" s="1136">
        <f t="shared" si="423"/>
        <v>-1.6963225806451661</v>
      </c>
      <c r="AY52" s="1136">
        <f t="shared" si="423"/>
        <v>-16.321322580645166</v>
      </c>
      <c r="AZ52" s="1136">
        <f t="shared" si="423"/>
        <v>-4.9963225806451668</v>
      </c>
      <c r="BA52" s="1136">
        <f t="shared" si="423"/>
        <v>-4.5613225806451645</v>
      </c>
      <c r="BB52" s="1136" t="str">
        <f t="shared" si="423"/>
        <v>0.000</v>
      </c>
      <c r="BC52" s="622" t="str">
        <f t="shared" si="423"/>
        <v>0.000</v>
      </c>
      <c r="BD52" s="14"/>
      <c r="BE52" s="623">
        <f t="shared" ref="BE52:BE55" si="424">SUM(AW52:BC52)</f>
        <v>-27.575290322580663</v>
      </c>
      <c r="BF52" s="1136"/>
      <c r="BG52" s="622"/>
      <c r="BH52" s="14"/>
      <c r="BI52" s="623">
        <f>IF(BI33&gt;0,"0.000",BI33)</f>
        <v>-0.34632258064516463</v>
      </c>
      <c r="BJ52" s="1130" t="str">
        <f>IF(BJ33&gt;0,"0.000",BJ33)</f>
        <v>0.000</v>
      </c>
      <c r="BK52" s="1136">
        <f>IF(BK33&gt;0,"0.000",BK33)</f>
        <v>-10.816322580645167</v>
      </c>
      <c r="BL52" s="14"/>
      <c r="BM52" s="623">
        <f t="shared" ref="BM52:BM55" si="425">SUM(BI52:BK52)</f>
        <v>-11.162645161290332</v>
      </c>
      <c r="BN52" s="1136"/>
      <c r="BO52" s="622"/>
      <c r="BP52" s="1286"/>
      <c r="BQ52" s="623">
        <f>SUM(M52:S52)+SUM(Y52:AE52)+SUM(AK52:AQ52)+SUM(AW52:BC52)+SUM(BI52:BK52)</f>
        <v>-205.12145161290331</v>
      </c>
      <c r="BR52" s="622"/>
      <c r="BS52" s="1286"/>
      <c r="BT52" s="511">
        <f>BT42+BQ52</f>
        <v>-36.866000000000128</v>
      </c>
      <c r="BU52" s="29"/>
      <c r="BV52" s="29"/>
    </row>
    <row r="53" spans="2:75" s="255" customFormat="1" ht="15.75" thickBot="1" x14ac:dyDescent="0.25">
      <c r="B53" s="585"/>
      <c r="C53" s="985" t="s">
        <v>97</v>
      </c>
      <c r="D53" s="81"/>
      <c r="E53" s="925">
        <f>E44</f>
        <v>5596.666666666667</v>
      </c>
      <c r="F53" s="97">
        <f t="shared" si="382"/>
        <v>559.66666666666674</v>
      </c>
      <c r="G53" s="649">
        <f t="shared" si="416"/>
        <v>373.11111111111114</v>
      </c>
      <c r="H53" s="653">
        <f t="shared" ref="H53:H54" si="426">E53/20</f>
        <v>279.83333333333337</v>
      </c>
      <c r="I53" s="657">
        <f t="shared" si="417"/>
        <v>223.86666666666667</v>
      </c>
      <c r="J53" s="661">
        <f t="shared" ref="J53:J54" si="427">E53/31</f>
        <v>180.53763440860217</v>
      </c>
      <c r="K53" s="986">
        <f>J53*30%</f>
        <v>54.161290322580648</v>
      </c>
      <c r="L53" s="987"/>
      <c r="M53" s="911">
        <f t="shared" ref="M53:S53" si="428">IF(M45&gt;0,"0.000",M45)</f>
        <v>-37.512612903225808</v>
      </c>
      <c r="N53" s="40">
        <f t="shared" si="428"/>
        <v>-54.161000000000001</v>
      </c>
      <c r="O53" s="40">
        <f t="shared" si="428"/>
        <v>-54.161000000000001</v>
      </c>
      <c r="P53" s="40">
        <f t="shared" si="428"/>
        <v>-32.187612903225805</v>
      </c>
      <c r="Q53" s="40">
        <f t="shared" si="428"/>
        <v>-43.542612903225802</v>
      </c>
      <c r="R53" s="40">
        <f t="shared" si="428"/>
        <v>-54.161000000000001</v>
      </c>
      <c r="S53" s="586">
        <f t="shared" si="428"/>
        <v>-54.161000000000001</v>
      </c>
      <c r="T53" s="1296"/>
      <c r="U53" s="911">
        <f t="shared" si="9"/>
        <v>-329.88683870967742</v>
      </c>
      <c r="V53" s="40"/>
      <c r="W53" s="586"/>
      <c r="X53" s="1296"/>
      <c r="Y53" s="911">
        <f t="shared" ref="Y53:AE53" si="429">IF(Y45&gt;0,"0.000",Y45)</f>
        <v>-54.161000000000001</v>
      </c>
      <c r="Z53" s="40">
        <f t="shared" si="429"/>
        <v>-54.161000000000001</v>
      </c>
      <c r="AA53" s="40">
        <f t="shared" si="429"/>
        <v>-54.161000000000001</v>
      </c>
      <c r="AB53" s="40">
        <f t="shared" si="429"/>
        <v>-52.632612903225805</v>
      </c>
      <c r="AC53" s="40">
        <f t="shared" si="429"/>
        <v>-54.161000000000001</v>
      </c>
      <c r="AD53" s="40">
        <f t="shared" si="429"/>
        <v>-49.107612903225807</v>
      </c>
      <c r="AE53" s="586">
        <f t="shared" si="429"/>
        <v>-54.161000000000001</v>
      </c>
      <c r="AF53" s="1296"/>
      <c r="AG53" s="911">
        <f t="shared" si="420"/>
        <v>-372.54522580645158</v>
      </c>
      <c r="AH53" s="40"/>
      <c r="AI53" s="586"/>
      <c r="AJ53" s="1296"/>
      <c r="AK53" s="911">
        <f t="shared" ref="AK53:AQ53" si="430">IF(AK45&gt;0,"0.000",AK45)</f>
        <v>-54.161000000000001</v>
      </c>
      <c r="AL53" s="40">
        <f t="shared" si="430"/>
        <v>-54.161000000000001</v>
      </c>
      <c r="AM53" s="40">
        <f t="shared" si="430"/>
        <v>-54.161000000000001</v>
      </c>
      <c r="AN53" s="40">
        <f t="shared" si="430"/>
        <v>-41.8176129032258</v>
      </c>
      <c r="AO53" s="40">
        <f t="shared" si="430"/>
        <v>-54.161000000000001</v>
      </c>
      <c r="AP53" s="40">
        <f t="shared" si="430"/>
        <v>-54.161000000000001</v>
      </c>
      <c r="AQ53" s="586">
        <f t="shared" si="430"/>
        <v>-33.1926129032258</v>
      </c>
      <c r="AR53" s="1296"/>
      <c r="AS53" s="911">
        <f t="shared" si="422"/>
        <v>-345.81522580645162</v>
      </c>
      <c r="AT53" s="40"/>
      <c r="AU53" s="586"/>
      <c r="AV53" s="1296"/>
      <c r="AW53" s="911">
        <f t="shared" ref="AW53:BC53" si="431">IF(AW45&gt;0,"0.000",AW45)</f>
        <v>-45.912612903225806</v>
      </c>
      <c r="AX53" s="40">
        <f t="shared" si="431"/>
        <v>-54.161000000000001</v>
      </c>
      <c r="AY53" s="40">
        <f t="shared" si="431"/>
        <v>-54.161000000000001</v>
      </c>
      <c r="AZ53" s="40">
        <f t="shared" si="431"/>
        <v>-54.161000000000001</v>
      </c>
      <c r="BA53" s="40">
        <f t="shared" si="431"/>
        <v>-54.161000000000001</v>
      </c>
      <c r="BB53" s="40">
        <f t="shared" si="431"/>
        <v>-31.182612903225809</v>
      </c>
      <c r="BC53" s="586">
        <f t="shared" si="431"/>
        <v>-32.997612903225807</v>
      </c>
      <c r="BD53" s="1296"/>
      <c r="BE53" s="911">
        <f t="shared" si="424"/>
        <v>-326.73683870967739</v>
      </c>
      <c r="BF53" s="40"/>
      <c r="BG53" s="586"/>
      <c r="BH53" s="1296"/>
      <c r="BI53" s="911">
        <f>IF(BI45&gt;0,"0.000",BI45)</f>
        <v>-54.161000000000001</v>
      </c>
      <c r="BJ53" s="1284">
        <f>IF(BJ45&gt;0,"0.000",BJ45)</f>
        <v>-27.432612903225809</v>
      </c>
      <c r="BK53" s="40">
        <f>IF(BK45&gt;0,"0.000",BK45)</f>
        <v>-54.161000000000001</v>
      </c>
      <c r="BL53" s="1296"/>
      <c r="BM53" s="911">
        <f t="shared" si="425"/>
        <v>-135.75461290322582</v>
      </c>
      <c r="BN53" s="40"/>
      <c r="BO53" s="586"/>
      <c r="BQ53" s="587">
        <f>SUM(M53:S53)+SUM(Y53:AE53)+SUM(AK53:AQ53)+SUM(AW53:BC53)+SUM(BI53:BK53)</f>
        <v>-1510.7387419354839</v>
      </c>
      <c r="BR53" s="586"/>
      <c r="BT53" s="742">
        <f>BT3*50%</f>
        <v>1797.075</v>
      </c>
      <c r="BU53" s="743">
        <f>BT53-E31</f>
        <v>681.96400000000017</v>
      </c>
      <c r="BV53" s="744">
        <f>BU53+BQ53</f>
        <v>-828.77474193548369</v>
      </c>
    </row>
    <row r="54" spans="2:75" x14ac:dyDescent="0.2">
      <c r="B54" s="1137"/>
      <c r="C54" s="1138" t="s">
        <v>75</v>
      </c>
      <c r="E54" s="927">
        <f>E47*100/30</f>
        <v>686.29666666666708</v>
      </c>
      <c r="F54" s="99">
        <f t="shared" si="382"/>
        <v>68.629666666666708</v>
      </c>
      <c r="G54" s="1139">
        <f t="shared" si="416"/>
        <v>45.753111111111139</v>
      </c>
      <c r="H54" s="1140">
        <f t="shared" si="426"/>
        <v>34.314833333333354</v>
      </c>
      <c r="I54" s="1141">
        <f t="shared" si="417"/>
        <v>27.451866666666682</v>
      </c>
      <c r="J54" s="1142">
        <f t="shared" si="427"/>
        <v>22.138602150537647</v>
      </c>
      <c r="K54" s="497">
        <f>J54*30%</f>
        <v>6.6415806451612935</v>
      </c>
      <c r="L54" s="1098"/>
      <c r="M54" s="937">
        <f t="shared" ref="M54:S54" si="432">IF(M50&gt;0,"0.000",M50)</f>
        <v>-6.6420000000000003</v>
      </c>
      <c r="N54" s="5">
        <f t="shared" si="432"/>
        <v>-6.6420000000000003</v>
      </c>
      <c r="O54" s="5">
        <f t="shared" si="432"/>
        <v>-6.6420000000000003</v>
      </c>
      <c r="P54" s="5">
        <f t="shared" si="432"/>
        <v>-6.6420000000000003</v>
      </c>
      <c r="Q54" s="5">
        <f t="shared" si="432"/>
        <v>-6.6420000000000003</v>
      </c>
      <c r="R54" s="5">
        <f t="shared" si="432"/>
        <v>-6.6420000000000003</v>
      </c>
      <c r="S54" s="1143">
        <f t="shared" si="432"/>
        <v>-6.6420000000000003</v>
      </c>
      <c r="T54" s="14"/>
      <c r="U54" s="937">
        <f t="shared" si="9"/>
        <v>-46.494000000000007</v>
      </c>
      <c r="V54" s="5"/>
      <c r="W54" s="1143"/>
      <c r="X54" s="14"/>
      <c r="Y54" s="937">
        <f t="shared" ref="Y54:AE54" si="433">IF(Y50&gt;0,"0.000",Y50)</f>
        <v>-6.6420000000000003</v>
      </c>
      <c r="Z54" s="5">
        <f t="shared" si="433"/>
        <v>-6.6420000000000003</v>
      </c>
      <c r="AA54" s="5">
        <f t="shared" si="433"/>
        <v>-6.6420000000000003</v>
      </c>
      <c r="AB54" s="5">
        <f t="shared" si="433"/>
        <v>-6.6420000000000003</v>
      </c>
      <c r="AC54" s="5">
        <f t="shared" si="433"/>
        <v>-6.6420000000000003</v>
      </c>
      <c r="AD54" s="5">
        <f t="shared" si="433"/>
        <v>-6.6420000000000003</v>
      </c>
      <c r="AE54" s="1143">
        <f t="shared" si="433"/>
        <v>-6.6420000000000003</v>
      </c>
      <c r="AF54" s="14"/>
      <c r="AG54" s="937">
        <f t="shared" si="420"/>
        <v>-46.494000000000007</v>
      </c>
      <c r="AH54" s="5"/>
      <c r="AI54" s="1143"/>
      <c r="AJ54" s="14"/>
      <c r="AK54" s="937">
        <f t="shared" ref="AK54:AQ54" si="434">IF(AK50&gt;0,"0.000",AK50)</f>
        <v>-6.6420000000000003</v>
      </c>
      <c r="AL54" s="5">
        <f t="shared" si="434"/>
        <v>-6.6420000000000003</v>
      </c>
      <c r="AM54" s="5">
        <f t="shared" si="434"/>
        <v>-6.6420000000000003</v>
      </c>
      <c r="AN54" s="5">
        <f t="shared" si="434"/>
        <v>-6.6420000000000003</v>
      </c>
      <c r="AO54" s="5">
        <f t="shared" si="434"/>
        <v>-6.6420000000000003</v>
      </c>
      <c r="AP54" s="5">
        <f t="shared" si="434"/>
        <v>-6.6420000000000003</v>
      </c>
      <c r="AQ54" s="1143">
        <f t="shared" si="434"/>
        <v>-6.6420000000000003</v>
      </c>
      <c r="AR54" s="14"/>
      <c r="AS54" s="937">
        <f t="shared" si="422"/>
        <v>-46.494000000000007</v>
      </c>
      <c r="AT54" s="5"/>
      <c r="AU54" s="1143"/>
      <c r="AV54" s="14"/>
      <c r="AW54" s="937">
        <f t="shared" ref="AW54:BC54" si="435">IF(AW50&gt;0,"0.000",AW50)</f>
        <v>-6.6420000000000003</v>
      </c>
      <c r="AX54" s="5">
        <f t="shared" si="435"/>
        <v>-6.6420000000000003</v>
      </c>
      <c r="AY54" s="5">
        <f t="shared" si="435"/>
        <v>-6.6420000000000003</v>
      </c>
      <c r="AZ54" s="5">
        <f t="shared" si="435"/>
        <v>-6.6420000000000003</v>
      </c>
      <c r="BA54" s="5">
        <f t="shared" si="435"/>
        <v>-6.6420000000000003</v>
      </c>
      <c r="BB54" s="5">
        <f t="shared" si="435"/>
        <v>-6.6420000000000003</v>
      </c>
      <c r="BC54" s="1143">
        <f t="shared" si="435"/>
        <v>-6.6420000000000003</v>
      </c>
      <c r="BD54" s="14"/>
      <c r="BE54" s="937">
        <f t="shared" si="424"/>
        <v>-46.494000000000007</v>
      </c>
      <c r="BF54" s="5"/>
      <c r="BG54" s="1143"/>
      <c r="BH54" s="14"/>
      <c r="BI54" s="937">
        <f>IF(BI50&gt;0,"0.000",BI50)</f>
        <v>-6.6420000000000003</v>
      </c>
      <c r="BJ54" s="1283">
        <f>IF(BJ50&gt;0,"0.000",BJ50)</f>
        <v>-6.6420000000000003</v>
      </c>
      <c r="BK54" s="5">
        <f>IF(BK50&gt;0,"0.000",BK50)</f>
        <v>-6.6420000000000003</v>
      </c>
      <c r="BL54" s="14"/>
      <c r="BM54" s="937">
        <f>SUM(BI54:BK54)</f>
        <v>-19.926000000000002</v>
      </c>
      <c r="BN54" s="5"/>
      <c r="BO54" s="1143"/>
      <c r="BQ54" s="937">
        <f>SUM(M54:S54)+SUM(Y54:AE54)+SUM(AK54:AQ54)+SUM(AW54:BC54)+SUM(BI54:BK54)</f>
        <v>-205.90200000000004</v>
      </c>
      <c r="BR54" s="1143"/>
      <c r="BT54" s="14"/>
      <c r="BU54" s="182"/>
      <c r="BV54" s="182"/>
    </row>
    <row r="55" spans="2:75" s="255" customFormat="1" ht="15.75" thickBot="1" x14ac:dyDescent="0.25">
      <c r="B55" s="1001"/>
      <c r="C55" s="1002" t="s">
        <v>152</v>
      </c>
      <c r="D55" s="81"/>
      <c r="E55" s="468"/>
      <c r="F55" s="1003"/>
      <c r="G55" s="1004"/>
      <c r="H55" s="1005"/>
      <c r="I55" s="1006"/>
      <c r="J55" s="1007"/>
      <c r="K55" s="498"/>
      <c r="L55" s="987"/>
      <c r="M55" s="957" t="str">
        <f t="shared" ref="M55:S55" si="436">IF(M50&lt;0,"0.000",M50)</f>
        <v>0.000</v>
      </c>
      <c r="N55" s="1008" t="str">
        <f t="shared" si="436"/>
        <v>0.000</v>
      </c>
      <c r="O55" s="1008" t="str">
        <f t="shared" si="436"/>
        <v>0.000</v>
      </c>
      <c r="P55" s="1008" t="str">
        <f t="shared" si="436"/>
        <v>0.000</v>
      </c>
      <c r="Q55" s="1008" t="str">
        <f t="shared" si="436"/>
        <v>0.000</v>
      </c>
      <c r="R55" s="1008" t="str">
        <f t="shared" si="436"/>
        <v>0.000</v>
      </c>
      <c r="S55" s="1009" t="str">
        <f t="shared" si="436"/>
        <v>0.000</v>
      </c>
      <c r="T55" s="1296"/>
      <c r="U55" s="957">
        <f t="shared" si="9"/>
        <v>0</v>
      </c>
      <c r="V55" s="1008"/>
      <c r="W55" s="1009"/>
      <c r="X55" s="1296"/>
      <c r="Y55" s="957" t="str">
        <f t="shared" ref="Y55:AE55" si="437">IF(Y50&lt;0,"0.000",Y50)</f>
        <v>0.000</v>
      </c>
      <c r="Z55" s="1008" t="str">
        <f t="shared" si="437"/>
        <v>0.000</v>
      </c>
      <c r="AA55" s="1008" t="str">
        <f t="shared" si="437"/>
        <v>0.000</v>
      </c>
      <c r="AB55" s="1008" t="str">
        <f t="shared" si="437"/>
        <v>0.000</v>
      </c>
      <c r="AC55" s="1008" t="str">
        <f t="shared" si="437"/>
        <v>0.000</v>
      </c>
      <c r="AD55" s="1008" t="str">
        <f t="shared" si="437"/>
        <v>0.000</v>
      </c>
      <c r="AE55" s="1009" t="str">
        <f t="shared" si="437"/>
        <v>0.000</v>
      </c>
      <c r="AF55" s="1296"/>
      <c r="AG55" s="957">
        <f t="shared" si="420"/>
        <v>0</v>
      </c>
      <c r="AH55" s="1008"/>
      <c r="AI55" s="1009"/>
      <c r="AJ55" s="1296"/>
      <c r="AK55" s="957" t="str">
        <f t="shared" ref="AK55:AQ55" si="438">IF(AK50&lt;0,"0.000",AK50)</f>
        <v>0.000</v>
      </c>
      <c r="AL55" s="1008" t="str">
        <f t="shared" si="438"/>
        <v>0.000</v>
      </c>
      <c r="AM55" s="1008" t="str">
        <f t="shared" si="438"/>
        <v>0.000</v>
      </c>
      <c r="AN55" s="1008" t="str">
        <f t="shared" si="438"/>
        <v>0.000</v>
      </c>
      <c r="AO55" s="1008" t="str">
        <f t="shared" si="438"/>
        <v>0.000</v>
      </c>
      <c r="AP55" s="1008" t="str">
        <f t="shared" si="438"/>
        <v>0.000</v>
      </c>
      <c r="AQ55" s="1009" t="str">
        <f t="shared" si="438"/>
        <v>0.000</v>
      </c>
      <c r="AR55" s="1296"/>
      <c r="AS55" s="957">
        <f t="shared" si="422"/>
        <v>0</v>
      </c>
      <c r="AT55" s="1008"/>
      <c r="AU55" s="1009"/>
      <c r="AV55" s="1296"/>
      <c r="AW55" s="957" t="str">
        <f t="shared" ref="AW55:BC55" si="439">IF(AW50&lt;0,"0.000",AW50)</f>
        <v>0.000</v>
      </c>
      <c r="AX55" s="1008" t="str">
        <f t="shared" si="439"/>
        <v>0.000</v>
      </c>
      <c r="AY55" s="1008" t="str">
        <f t="shared" si="439"/>
        <v>0.000</v>
      </c>
      <c r="AZ55" s="1008" t="str">
        <f t="shared" si="439"/>
        <v>0.000</v>
      </c>
      <c r="BA55" s="1008" t="str">
        <f t="shared" si="439"/>
        <v>0.000</v>
      </c>
      <c r="BB55" s="1008" t="str">
        <f t="shared" si="439"/>
        <v>0.000</v>
      </c>
      <c r="BC55" s="1009" t="str">
        <f t="shared" si="439"/>
        <v>0.000</v>
      </c>
      <c r="BD55" s="1296"/>
      <c r="BE55" s="957">
        <f t="shared" si="424"/>
        <v>0</v>
      </c>
      <c r="BF55" s="1008"/>
      <c r="BG55" s="1009"/>
      <c r="BH55" s="1296"/>
      <c r="BI55" s="957" t="str">
        <f>IF(BI50&lt;0,"0.000",BI50)</f>
        <v>0.000</v>
      </c>
      <c r="BJ55" s="958" t="str">
        <f>IF(BJ50&lt;0,"0.000",BJ50)</f>
        <v>0.000</v>
      </c>
      <c r="BK55" s="1008" t="str">
        <f>IF(BK50&lt;0,"0.000",BK50)</f>
        <v>0.000</v>
      </c>
      <c r="BL55" s="1296"/>
      <c r="BM55" s="957">
        <f t="shared" si="425"/>
        <v>0</v>
      </c>
      <c r="BN55" s="1008"/>
      <c r="BO55" s="1009"/>
      <c r="BQ55" s="957">
        <f>SUM(M55:S55)+SUM(Y55:AE55)+SUM(AK55:AQ55)+SUM(AW55:BC55)+SUM(BI55:BK55)</f>
        <v>0</v>
      </c>
      <c r="BR55" s="1009"/>
      <c r="BT55" s="1296"/>
      <c r="BU55" s="975"/>
      <c r="BV55" s="975"/>
    </row>
    <row r="56" spans="2:75" s="255" customFormat="1" ht="4.5" customHeight="1" thickBot="1" x14ac:dyDescent="0.25">
      <c r="D56" s="81"/>
      <c r="K56" s="1091"/>
      <c r="L56" s="62"/>
      <c r="T56" s="81"/>
      <c r="X56" s="81"/>
      <c r="AF56" s="81"/>
      <c r="AJ56" s="81"/>
      <c r="AR56" s="81"/>
      <c r="AV56" s="81"/>
      <c r="BD56" s="81"/>
    </row>
    <row r="57" spans="2:75" ht="15.75" thickBot="1" x14ac:dyDescent="0.25">
      <c r="B57" s="1092"/>
      <c r="C57" s="1093"/>
      <c r="D57" s="1094"/>
      <c r="E57" s="1095">
        <f>SUM(E52:E55)</f>
        <v>10000</v>
      </c>
      <c r="F57" s="1096"/>
      <c r="G57" s="1096"/>
      <c r="H57" s="1096"/>
      <c r="I57" s="1096"/>
      <c r="J57" s="1096">
        <f>E57/31</f>
        <v>322.58064516129031</v>
      </c>
      <c r="K57" s="1097">
        <f>J57*30%</f>
        <v>96.774193548387089</v>
      </c>
      <c r="L57" s="1098"/>
      <c r="M57" s="1099">
        <f>SUM(M52:M55)</f>
        <v>-44.154612903225811</v>
      </c>
      <c r="N57" s="1095">
        <f t="shared" ref="N57:S57" si="440">SUM(N52:N55)</f>
        <v>-61.299322580645168</v>
      </c>
      <c r="O57" s="1095">
        <f t="shared" si="440"/>
        <v>-71.529322580645157</v>
      </c>
      <c r="P57" s="1095">
        <f t="shared" si="440"/>
        <v>-38.829612903225808</v>
      </c>
      <c r="Q57" s="1095">
        <f t="shared" si="440"/>
        <v>-50.184612903225805</v>
      </c>
      <c r="R57" s="1095">
        <f t="shared" si="440"/>
        <v>-60.864322580645172</v>
      </c>
      <c r="S57" s="1100">
        <f t="shared" si="440"/>
        <v>-73.404322580645157</v>
      </c>
      <c r="T57" s="481"/>
      <c r="U57" s="1099">
        <f>SUM(M57:S57)</f>
        <v>-400.26612903225811</v>
      </c>
      <c r="V57" s="1095"/>
      <c r="W57" s="1100"/>
      <c r="X57" s="481"/>
      <c r="Y57" s="1099">
        <f t="shared" ref="Y57:AE57" si="441">SUM(Y52:Y55)</f>
        <v>-66.33932258064516</v>
      </c>
      <c r="Z57" s="1095">
        <f t="shared" si="441"/>
        <v>-78.024322580645162</v>
      </c>
      <c r="AA57" s="1095">
        <f t="shared" si="441"/>
        <v>-85.824322580645159</v>
      </c>
      <c r="AB57" s="1095">
        <f t="shared" si="441"/>
        <v>-59.274612903225808</v>
      </c>
      <c r="AC57" s="1095">
        <f t="shared" si="441"/>
        <v>-72.954322580645169</v>
      </c>
      <c r="AD57" s="1095">
        <f t="shared" si="441"/>
        <v>-55.74961290322581</v>
      </c>
      <c r="AE57" s="1100">
        <f t="shared" si="441"/>
        <v>-66.099322580645165</v>
      </c>
      <c r="AF57" s="481"/>
      <c r="AG57" s="1099">
        <f>SUM(Y57:AE57)</f>
        <v>-484.26583870967744</v>
      </c>
      <c r="AH57" s="1095"/>
      <c r="AI57" s="1100"/>
      <c r="AJ57" s="781"/>
      <c r="AK57" s="1099">
        <f t="shared" ref="AK57:AQ57" si="442">SUM(AK52:AK55)</f>
        <v>-71.004322580645166</v>
      </c>
      <c r="AL57" s="1096">
        <f t="shared" si="442"/>
        <v>-81.549322580645168</v>
      </c>
      <c r="AM57" s="1096">
        <f t="shared" si="442"/>
        <v>-96.774322580645162</v>
      </c>
      <c r="AN57" s="1096">
        <f t="shared" si="442"/>
        <v>-48.459612903225803</v>
      </c>
      <c r="AO57" s="1096">
        <f t="shared" si="442"/>
        <v>-61.35932258064517</v>
      </c>
      <c r="AP57" s="1096">
        <f t="shared" si="442"/>
        <v>-70.599322580645165</v>
      </c>
      <c r="AQ57" s="1100">
        <f t="shared" si="442"/>
        <v>-39.834612903225803</v>
      </c>
      <c r="AR57" s="1101"/>
      <c r="AS57" s="1099">
        <f>SUM(AK57:AQ57)</f>
        <v>-469.58083870967744</v>
      </c>
      <c r="AT57" s="1095"/>
      <c r="AU57" s="1100"/>
      <c r="AV57" s="481"/>
      <c r="AW57" s="1099">
        <f t="shared" ref="AW57:BC57" si="443">SUM(AW52:AW55)</f>
        <v>-52.554612903225809</v>
      </c>
      <c r="AX57" s="1096">
        <f t="shared" si="443"/>
        <v>-62.49932258064517</v>
      </c>
      <c r="AY57" s="1096">
        <f t="shared" si="443"/>
        <v>-77.124322580645156</v>
      </c>
      <c r="AZ57" s="1096">
        <f t="shared" si="443"/>
        <v>-65.799322580645168</v>
      </c>
      <c r="BA57" s="1096">
        <f t="shared" si="443"/>
        <v>-65.364322580645165</v>
      </c>
      <c r="BB57" s="1096">
        <f t="shared" si="443"/>
        <v>-37.824612903225812</v>
      </c>
      <c r="BC57" s="1100">
        <f t="shared" si="443"/>
        <v>-39.63961290322581</v>
      </c>
      <c r="BD57" s="481"/>
      <c r="BE57" s="1099">
        <f>SUM(AW57:BC57)</f>
        <v>-400.80612903225813</v>
      </c>
      <c r="BF57" s="1095"/>
      <c r="BG57" s="1100"/>
      <c r="BI57" s="1099">
        <f t="shared" ref="BI57:BK57" si="444">SUM(BI52:BI55)</f>
        <v>-61.149322580645169</v>
      </c>
      <c r="BJ57" s="1095">
        <f t="shared" ref="BJ57" si="445">SUM(BJ52:BJ55)</f>
        <v>-34.074612903225812</v>
      </c>
      <c r="BK57" s="1102">
        <f t="shared" si="444"/>
        <v>-71.619322580645161</v>
      </c>
      <c r="BL57" s="1103"/>
      <c r="BM57" s="1104">
        <f>SUM(BI57:BK57)</f>
        <v>-166.84325806451614</v>
      </c>
      <c r="BN57" s="1133"/>
      <c r="BO57" s="1132"/>
      <c r="BP57" s="14"/>
      <c r="BQ57" s="1104">
        <f>SUM(M57:S57)+SUM(Y57:AE57)+SUM(AK57:AQ57)+SUM(AW57:BC57)+SUM(BI57:BK57)</f>
        <v>-1921.7621935483871</v>
      </c>
      <c r="BR57" s="1105"/>
    </row>
    <row r="58" spans="2:75" s="255" customFormat="1" ht="4.5" customHeight="1" thickBot="1" x14ac:dyDescent="0.25">
      <c r="D58" s="81"/>
      <c r="L58" s="438"/>
      <c r="T58" s="81"/>
      <c r="X58" s="81"/>
      <c r="AF58" s="81"/>
      <c r="AJ58" s="81"/>
      <c r="AR58" s="81"/>
      <c r="AV58" s="81"/>
      <c r="BD58" s="81"/>
    </row>
    <row r="59" spans="2:75" s="255" customFormat="1" ht="15.75" thickBot="1" x14ac:dyDescent="0.25">
      <c r="B59" s="574"/>
      <c r="C59" s="820"/>
      <c r="D59" s="819"/>
      <c r="E59" s="578">
        <f>E57*30%</f>
        <v>3000</v>
      </c>
      <c r="F59" s="576"/>
      <c r="G59" s="576"/>
      <c r="H59" s="576"/>
      <c r="I59" s="576"/>
      <c r="J59" s="576"/>
      <c r="K59" s="963"/>
      <c r="L59" s="987"/>
      <c r="M59" s="579">
        <f>M57*100/30</f>
        <v>-147.18204301075269</v>
      </c>
      <c r="N59" s="578">
        <f t="shared" ref="N59:T59" si="446">N57*100/30</f>
        <v>-204.33107526881722</v>
      </c>
      <c r="O59" s="578">
        <f t="shared" si="446"/>
        <v>-238.43107526881718</v>
      </c>
      <c r="P59" s="578">
        <f t="shared" si="446"/>
        <v>-129.43204301075269</v>
      </c>
      <c r="Q59" s="578">
        <f t="shared" si="446"/>
        <v>-167.28204301075269</v>
      </c>
      <c r="R59" s="578">
        <f t="shared" si="446"/>
        <v>-202.88107526881726</v>
      </c>
      <c r="S59" s="1010">
        <f t="shared" si="446"/>
        <v>-244.68107526881718</v>
      </c>
      <c r="T59" s="969">
        <f t="shared" si="446"/>
        <v>0</v>
      </c>
      <c r="U59" s="579">
        <f>SUM(M59:S59)</f>
        <v>-1334.2204301075269</v>
      </c>
      <c r="V59" s="578"/>
      <c r="W59" s="788"/>
      <c r="X59" s="479"/>
      <c r="Y59" s="579">
        <f t="shared" ref="Y59:AE59" si="447">Y57*100/30</f>
        <v>-221.1310752688172</v>
      </c>
      <c r="Z59" s="578">
        <f t="shared" si="447"/>
        <v>-260.08107526881724</v>
      </c>
      <c r="AA59" s="578">
        <f t="shared" si="447"/>
        <v>-286.08107526881724</v>
      </c>
      <c r="AB59" s="578">
        <f t="shared" si="447"/>
        <v>-197.5820430107527</v>
      </c>
      <c r="AC59" s="578">
        <f t="shared" si="447"/>
        <v>-243.18107526881721</v>
      </c>
      <c r="AD59" s="578">
        <f t="shared" si="447"/>
        <v>-185.8320430107527</v>
      </c>
      <c r="AE59" s="788">
        <f t="shared" si="447"/>
        <v>-220.33107526881722</v>
      </c>
      <c r="AF59" s="479"/>
      <c r="AG59" s="579">
        <f>SUM(Y59:AE59)</f>
        <v>-1614.2194623655914</v>
      </c>
      <c r="AH59" s="578"/>
      <c r="AI59" s="788"/>
      <c r="AJ59" s="779"/>
      <c r="AK59" s="579">
        <f t="shared" ref="AK59:AQ59" si="448">AK57*100/30</f>
        <v>-236.68107526881721</v>
      </c>
      <c r="AL59" s="576">
        <f t="shared" si="448"/>
        <v>-271.83107526881724</v>
      </c>
      <c r="AM59" s="576">
        <f t="shared" si="448"/>
        <v>-322.58107526881724</v>
      </c>
      <c r="AN59" s="576">
        <f t="shared" si="448"/>
        <v>-161.53204301075269</v>
      </c>
      <c r="AO59" s="576">
        <f t="shared" si="448"/>
        <v>-204.53107526881723</v>
      </c>
      <c r="AP59" s="576">
        <f t="shared" si="448"/>
        <v>-235.33107526881722</v>
      </c>
      <c r="AQ59" s="788">
        <f t="shared" si="448"/>
        <v>-132.78204301075269</v>
      </c>
      <c r="AR59" s="969"/>
      <c r="AS59" s="579">
        <f>SUM(AK59:AQ59)</f>
        <v>-1565.2694623655914</v>
      </c>
      <c r="AT59" s="578"/>
      <c r="AU59" s="788"/>
      <c r="AV59" s="479"/>
      <c r="AW59" s="579">
        <f t="shared" ref="AW59:BC59" si="449">AW57*100/30</f>
        <v>-175.18204301075269</v>
      </c>
      <c r="AX59" s="576">
        <f t="shared" si="449"/>
        <v>-208.33107526881722</v>
      </c>
      <c r="AY59" s="576">
        <f t="shared" si="449"/>
        <v>-257.08107526881719</v>
      </c>
      <c r="AZ59" s="576">
        <f t="shared" si="449"/>
        <v>-219.33107526881722</v>
      </c>
      <c r="BA59" s="576">
        <f t="shared" si="449"/>
        <v>-217.88107526881723</v>
      </c>
      <c r="BB59" s="576">
        <f t="shared" si="449"/>
        <v>-126.0820430107527</v>
      </c>
      <c r="BC59" s="788">
        <f t="shared" si="449"/>
        <v>-132.13204301075271</v>
      </c>
      <c r="BD59" s="479"/>
      <c r="BE59" s="579">
        <f>SUM(AW59:BC59)</f>
        <v>-1336.0204301075269</v>
      </c>
      <c r="BF59" s="578"/>
      <c r="BG59" s="788"/>
      <c r="BI59" s="579">
        <f t="shared" ref="BI59:BK59" si="450">BI57*100/30</f>
        <v>-203.83107526881722</v>
      </c>
      <c r="BJ59" s="578">
        <f t="shared" ref="BJ59" si="451">BJ57*100/30</f>
        <v>-113.5820430107527</v>
      </c>
      <c r="BK59" s="993">
        <f t="shared" si="450"/>
        <v>-238.73107526881719</v>
      </c>
      <c r="BL59" s="990"/>
      <c r="BM59" s="992">
        <f>SUM(BI59:BK59)</f>
        <v>-556.14419354838708</v>
      </c>
      <c r="BN59" s="991"/>
      <c r="BO59" s="989"/>
      <c r="BP59" s="1296"/>
      <c r="BQ59" s="992">
        <f>SUM(M59:S59)+SUM(Y59:AE59)+SUM(AK59:AQ59)+SUM(AW59:BC59)+SUM(BI59:BK59)</f>
        <v>-6405.8739784946247</v>
      </c>
      <c r="BR59" s="580"/>
    </row>
    <row r="63" spans="2:75" x14ac:dyDescent="0.2">
      <c r="AL63" s="171"/>
    </row>
  </sheetData>
  <mergeCells count="21">
    <mergeCell ref="BM2:BO2"/>
    <mergeCell ref="C1:C2"/>
    <mergeCell ref="E1:K1"/>
    <mergeCell ref="BP1:BQ1"/>
    <mergeCell ref="BR1:BS1"/>
    <mergeCell ref="E2:K2"/>
    <mergeCell ref="M2:S2"/>
    <mergeCell ref="U2:W2"/>
    <mergeCell ref="Y2:AE2"/>
    <mergeCell ref="AG2:AI2"/>
    <mergeCell ref="AK2:AQ2"/>
    <mergeCell ref="AS2:AU2"/>
    <mergeCell ref="AW2:BC2"/>
    <mergeCell ref="BE2:BG2"/>
    <mergeCell ref="BI2:BK2"/>
    <mergeCell ref="BQ2:BQ6"/>
    <mergeCell ref="BR2:BR6"/>
    <mergeCell ref="BT7:BU7"/>
    <mergeCell ref="BT34:BU34"/>
    <mergeCell ref="BV35:BV41"/>
    <mergeCell ref="BT1:BV2"/>
  </mergeCells>
  <conditionalFormatting sqref="BR53">
    <cfRule type="cellIs" dxfId="378" priority="1" operator="greaterThan">
      <formula>0</formula>
    </cfRule>
    <cfRule type="cellIs" dxfId="377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000-00003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(5-19)'!BQ33:BQ33</xm:f>
              <xm:sqref>BR33</xm:sqref>
            </x14:sparkline>
          </x14:sparklines>
        </x14:sparklineGroup>
        <x14:sparklineGroup type="stacked" displayEmptyCellsAs="gap" negative="1" xr2:uid="{00000000-0003-0000-1000-00003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(5-19)'!M50:M50</xm:f>
              <xm:sqref>M51</xm:sqref>
            </x14:sparkline>
            <x14:sparkline>
              <xm:f>'E&amp;M SHOP INCOME (5-19)'!N50:N50</xm:f>
              <xm:sqref>N51</xm:sqref>
            </x14:sparkline>
            <x14:sparkline>
              <xm:f>'E&amp;M SHOP INCOME (5-19)'!O50:O50</xm:f>
              <xm:sqref>O51</xm:sqref>
            </x14:sparkline>
            <x14:sparkline>
              <xm:f>'E&amp;M SHOP INCOME (5-19)'!P50:P50</xm:f>
              <xm:sqref>P51</xm:sqref>
            </x14:sparkline>
            <x14:sparkline>
              <xm:f>'E&amp;M SHOP INCOME (5-19)'!Q50:Q50</xm:f>
              <xm:sqref>Q51</xm:sqref>
            </x14:sparkline>
            <x14:sparkline>
              <xm:f>'E&amp;M SHOP INCOME (5-19)'!R50:R50</xm:f>
              <xm:sqref>R51</xm:sqref>
            </x14:sparkline>
            <x14:sparkline>
              <xm:f>'E&amp;M SHOP INCOME (5-19)'!S50:S50</xm:f>
              <xm:sqref>S51</xm:sqref>
            </x14:sparkline>
            <x14:sparkline>
              <xm:f>'E&amp;M SHOP INCOME (5-19)'!U50:U50</xm:f>
              <xm:sqref>U51</xm:sqref>
            </x14:sparkline>
            <x14:sparkline>
              <xm:f>'E&amp;M SHOP INCOME (5-19)'!V50:V50</xm:f>
              <xm:sqref>V51</xm:sqref>
            </x14:sparkline>
            <x14:sparkline>
              <xm:f>'E&amp;M SHOP INCOME (5-19)'!W50:W50</xm:f>
              <xm:sqref>W51</xm:sqref>
            </x14:sparkline>
            <x14:sparkline>
              <xm:f>'E&amp;M SHOP INCOME (5-19)'!X50:X50</xm:f>
              <xm:sqref>X51</xm:sqref>
            </x14:sparkline>
            <x14:sparkline>
              <xm:f>'E&amp;M SHOP INCOME (5-19)'!Y50:Y50</xm:f>
              <xm:sqref>Y51</xm:sqref>
            </x14:sparkline>
            <x14:sparkline>
              <xm:f>'E&amp;M SHOP INCOME (5-19)'!Z50:Z50</xm:f>
              <xm:sqref>Z51</xm:sqref>
            </x14:sparkline>
            <x14:sparkline>
              <xm:f>'E&amp;M SHOP INCOME (5-19)'!AA50:AA50</xm:f>
              <xm:sqref>AA51</xm:sqref>
            </x14:sparkline>
            <x14:sparkline>
              <xm:f>'E&amp;M SHOP INCOME (5-19)'!AB50:AB50</xm:f>
              <xm:sqref>AB51</xm:sqref>
            </x14:sparkline>
            <x14:sparkline>
              <xm:f>'E&amp;M SHOP INCOME (5-19)'!AC50:AC50</xm:f>
              <xm:sqref>AC51</xm:sqref>
            </x14:sparkline>
            <x14:sparkline>
              <xm:f>'E&amp;M SHOP INCOME (5-19)'!AD50:AD50</xm:f>
              <xm:sqref>AD51</xm:sqref>
            </x14:sparkline>
            <x14:sparkline>
              <xm:f>'E&amp;M SHOP INCOME (5-19)'!AE50:AE50</xm:f>
              <xm:sqref>AE51</xm:sqref>
            </x14:sparkline>
            <x14:sparkline>
              <xm:f>'E&amp;M SHOP INCOME (5-19)'!AF50:AF50</xm:f>
              <xm:sqref>AF51</xm:sqref>
            </x14:sparkline>
            <x14:sparkline>
              <xm:f>'E&amp;M SHOP INCOME (5-19)'!AG50:AG50</xm:f>
              <xm:sqref>AG51</xm:sqref>
            </x14:sparkline>
            <x14:sparkline>
              <xm:f>'E&amp;M SHOP INCOME (5-19)'!AH50:AH50</xm:f>
              <xm:sqref>AH51</xm:sqref>
            </x14:sparkline>
            <x14:sparkline>
              <xm:f>'E&amp;M SHOP INCOME (5-19)'!AI50:AI50</xm:f>
              <xm:sqref>AI51</xm:sqref>
            </x14:sparkline>
            <x14:sparkline>
              <xm:f>'E&amp;M SHOP INCOME (5-19)'!AJ50:AJ50</xm:f>
              <xm:sqref>AJ51</xm:sqref>
            </x14:sparkline>
            <x14:sparkline>
              <xm:f>'E&amp;M SHOP INCOME (5-19)'!AK50:AK50</xm:f>
              <xm:sqref>AK51</xm:sqref>
            </x14:sparkline>
            <x14:sparkline>
              <xm:f>'E&amp;M SHOP INCOME (5-19)'!AL50:AL50</xm:f>
              <xm:sqref>AL51</xm:sqref>
            </x14:sparkline>
            <x14:sparkline>
              <xm:f>'E&amp;M SHOP INCOME (5-19)'!AM50:AM50</xm:f>
              <xm:sqref>AM51</xm:sqref>
            </x14:sparkline>
            <x14:sparkline>
              <xm:f>'E&amp;M SHOP INCOME (5-19)'!AN50:AN50</xm:f>
              <xm:sqref>AN51</xm:sqref>
            </x14:sparkline>
            <x14:sparkline>
              <xm:f>'E&amp;M SHOP INCOME (5-19)'!AO50:AO50</xm:f>
              <xm:sqref>AO51</xm:sqref>
            </x14:sparkline>
            <x14:sparkline>
              <xm:f>'E&amp;M SHOP INCOME (5-19)'!AP50:AP50</xm:f>
              <xm:sqref>AP51</xm:sqref>
            </x14:sparkline>
            <x14:sparkline>
              <xm:f>'E&amp;M SHOP INCOME (5-19)'!AQ50:AQ50</xm:f>
              <xm:sqref>AQ51</xm:sqref>
            </x14:sparkline>
            <x14:sparkline>
              <xm:f>'E&amp;M SHOP INCOME (5-19)'!AR50:AR50</xm:f>
              <xm:sqref>AR51</xm:sqref>
            </x14:sparkline>
            <x14:sparkline>
              <xm:f>'E&amp;M SHOP INCOME (5-19)'!AS50:AS50</xm:f>
              <xm:sqref>AS51</xm:sqref>
            </x14:sparkline>
            <x14:sparkline>
              <xm:f>'E&amp;M SHOP INCOME (5-19)'!AT50:AT50</xm:f>
              <xm:sqref>AT51</xm:sqref>
            </x14:sparkline>
            <x14:sparkline>
              <xm:f>'E&amp;M SHOP INCOME (5-19)'!AU50:AU50</xm:f>
              <xm:sqref>AU51</xm:sqref>
            </x14:sparkline>
            <x14:sparkline>
              <xm:f>'E&amp;M SHOP INCOME (5-19)'!AV50:AV50</xm:f>
              <xm:sqref>AV51</xm:sqref>
            </x14:sparkline>
            <x14:sparkline>
              <xm:f>'E&amp;M SHOP INCOME (5-19)'!AW50:AW50</xm:f>
              <xm:sqref>AW51</xm:sqref>
            </x14:sparkline>
            <x14:sparkline>
              <xm:f>'E&amp;M SHOP INCOME (5-19)'!AX50:AX50</xm:f>
              <xm:sqref>AX51</xm:sqref>
            </x14:sparkline>
            <x14:sparkline>
              <xm:f>'E&amp;M SHOP INCOME (5-19)'!AY50:AY50</xm:f>
              <xm:sqref>AY51</xm:sqref>
            </x14:sparkline>
            <x14:sparkline>
              <xm:f>'E&amp;M SHOP INCOME (5-19)'!AZ50:AZ50</xm:f>
              <xm:sqref>AZ51</xm:sqref>
            </x14:sparkline>
            <x14:sparkline>
              <xm:f>'E&amp;M SHOP INCOME (5-19)'!BA50:BA50</xm:f>
              <xm:sqref>BA51</xm:sqref>
            </x14:sparkline>
            <x14:sparkline>
              <xm:f>'E&amp;M SHOP INCOME (5-19)'!BB50:BB50</xm:f>
              <xm:sqref>BB51</xm:sqref>
            </x14:sparkline>
            <x14:sparkline>
              <xm:f>'E&amp;M SHOP INCOME (5-19)'!BC50:BC50</xm:f>
              <xm:sqref>BC51</xm:sqref>
            </x14:sparkline>
            <x14:sparkline>
              <xm:f>'E&amp;M SHOP INCOME (5-19)'!BD50:BD50</xm:f>
              <xm:sqref>BD51</xm:sqref>
            </x14:sparkline>
            <x14:sparkline>
              <xm:f>'E&amp;M SHOP INCOME (5-19)'!BE50:BE50</xm:f>
              <xm:sqref>BE51</xm:sqref>
            </x14:sparkline>
            <x14:sparkline>
              <xm:f>'E&amp;M SHOP INCOME (5-19)'!BF50:BF50</xm:f>
              <xm:sqref>BF51</xm:sqref>
            </x14:sparkline>
            <x14:sparkline>
              <xm:f>'E&amp;M SHOP INCOME (5-19)'!BG50:BG50</xm:f>
              <xm:sqref>BG51</xm:sqref>
            </x14:sparkline>
            <x14:sparkline>
              <xm:f>'E&amp;M SHOP INCOME (5-19)'!BH50:BH50</xm:f>
              <xm:sqref>BH51</xm:sqref>
            </x14:sparkline>
            <x14:sparkline>
              <xm:f>'E&amp;M SHOP INCOME (5-19)'!BI50:BI50</xm:f>
              <xm:sqref>BI51</xm:sqref>
            </x14:sparkline>
            <x14:sparkline>
              <xm:f>'E&amp;M SHOP INCOME (5-19)'!BJ50:BJ50</xm:f>
              <xm:sqref>BJ51</xm:sqref>
            </x14:sparkline>
            <x14:sparkline>
              <xm:f>'E&amp;M SHOP INCOME (5-19)'!BK50:BK50</xm:f>
              <xm:sqref>BK51</xm:sqref>
            </x14:sparkline>
            <x14:sparkline>
              <xm:f>'E&amp;M SHOP INCOME (5-19)'!BL50:BL50</xm:f>
              <xm:sqref>BL51</xm:sqref>
            </x14:sparkline>
            <x14:sparkline>
              <xm:f>'E&amp;M SHOP INCOME (5-19)'!BM50:BM50</xm:f>
              <xm:sqref>BM51</xm:sqref>
            </x14:sparkline>
            <x14:sparkline>
              <xm:f>'E&amp;M SHOP INCOME (5-19)'!BN50:BN50</xm:f>
              <xm:sqref>BN51</xm:sqref>
            </x14:sparkline>
            <x14:sparkline>
              <xm:f>'E&amp;M SHOP INCOME (5-19)'!BO50:BO50</xm:f>
              <xm:sqref>BO51</xm:sqref>
            </x14:sparkline>
            <x14:sparkline>
              <xm:f>'E&amp;M SHOP INCOME (5-19)'!BQ50:BQ50</xm:f>
              <xm:sqref>BQ51</xm:sqref>
            </x14:sparkline>
          </x14:sparklines>
        </x14:sparklineGroup>
        <x14:sparklineGroup type="stacked" displayEmptyCellsAs="gap" negative="1" xr2:uid="{00000000-0003-0000-1000-00003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(5-19)'!M45:M45</xm:f>
              <xm:sqref>M46</xm:sqref>
            </x14:sparkline>
            <x14:sparkline>
              <xm:f>'E&amp;M SHOP INCOME (5-19)'!N45:N45</xm:f>
              <xm:sqref>N46</xm:sqref>
            </x14:sparkline>
            <x14:sparkline>
              <xm:f>'E&amp;M SHOP INCOME (5-19)'!U45:U45</xm:f>
              <xm:sqref>U46</xm:sqref>
            </x14:sparkline>
            <x14:sparkline>
              <xm:f>'E&amp;M SHOP INCOME (5-19)'!V45:V45</xm:f>
              <xm:sqref>V46</xm:sqref>
            </x14:sparkline>
            <x14:sparkline>
              <xm:f>'E&amp;M SHOP INCOME (5-19)'!W45:W45</xm:f>
              <xm:sqref>W46</xm:sqref>
            </x14:sparkline>
            <x14:sparkline>
              <xm:f>'E&amp;M SHOP INCOME (5-19)'!X45:X45</xm:f>
              <xm:sqref>X46</xm:sqref>
            </x14:sparkline>
            <x14:sparkline>
              <xm:f>'E&amp;M SHOP INCOME (5-19)'!Y45:Y45</xm:f>
              <xm:sqref>Y46</xm:sqref>
            </x14:sparkline>
            <x14:sparkline>
              <xm:f>'E&amp;M SHOP INCOME (5-19)'!Z45:Z45</xm:f>
              <xm:sqref>Z46</xm:sqref>
            </x14:sparkline>
            <x14:sparkline>
              <xm:f>'E&amp;M SHOP INCOME (5-19)'!AE45:AE45</xm:f>
              <xm:sqref>AE46</xm:sqref>
            </x14:sparkline>
            <x14:sparkline>
              <xm:f>'E&amp;M SHOP INCOME (5-19)'!AF45:AF45</xm:f>
              <xm:sqref>AF46</xm:sqref>
            </x14:sparkline>
            <x14:sparkline>
              <xm:f>'E&amp;M SHOP INCOME (5-19)'!AG45:AG45</xm:f>
              <xm:sqref>AG46</xm:sqref>
            </x14:sparkline>
            <x14:sparkline>
              <xm:f>'E&amp;M SHOP INCOME (5-19)'!AH45:AH45</xm:f>
              <xm:sqref>AH46</xm:sqref>
            </x14:sparkline>
            <x14:sparkline>
              <xm:f>'E&amp;M SHOP INCOME (5-19)'!AI45:AI45</xm:f>
              <xm:sqref>AI46</xm:sqref>
            </x14:sparkline>
            <x14:sparkline>
              <xm:f>'E&amp;M SHOP INCOME (5-19)'!AJ45:AJ45</xm:f>
              <xm:sqref>AJ46</xm:sqref>
            </x14:sparkline>
            <x14:sparkline>
              <xm:f>'E&amp;M SHOP INCOME (5-19)'!AK45:AK45</xm:f>
              <xm:sqref>AK46</xm:sqref>
            </x14:sparkline>
            <x14:sparkline>
              <xm:f>'E&amp;M SHOP INCOME (5-19)'!AR45:AR45</xm:f>
              <xm:sqref>AR46</xm:sqref>
            </x14:sparkline>
            <x14:sparkline>
              <xm:f>'E&amp;M SHOP INCOME (5-19)'!AS45:AS45</xm:f>
              <xm:sqref>AS46</xm:sqref>
            </x14:sparkline>
            <x14:sparkline>
              <xm:f>'E&amp;M SHOP INCOME (5-19)'!AT45:AT45</xm:f>
              <xm:sqref>AT46</xm:sqref>
            </x14:sparkline>
            <x14:sparkline>
              <xm:f>'E&amp;M SHOP INCOME (5-19)'!AU45:AU45</xm:f>
              <xm:sqref>AU46</xm:sqref>
            </x14:sparkline>
            <x14:sparkline>
              <xm:f>'E&amp;M SHOP INCOME (5-19)'!AV45:AV45</xm:f>
              <xm:sqref>AV46</xm:sqref>
            </x14:sparkline>
            <x14:sparkline>
              <xm:f>'E&amp;M SHOP INCOME (5-19)'!AW45:AW45</xm:f>
              <xm:sqref>AW46</xm:sqref>
            </x14:sparkline>
            <x14:sparkline>
              <xm:f>'E&amp;M SHOP INCOME (5-19)'!BD45:BD45</xm:f>
              <xm:sqref>BD46</xm:sqref>
            </x14:sparkline>
            <x14:sparkline>
              <xm:f>'E&amp;M SHOP INCOME (5-19)'!BE45:BE45</xm:f>
              <xm:sqref>BE46</xm:sqref>
            </x14:sparkline>
            <x14:sparkline>
              <xm:f>'E&amp;M SHOP INCOME (5-19)'!BF45:BF45</xm:f>
              <xm:sqref>BF46</xm:sqref>
            </x14:sparkline>
            <x14:sparkline>
              <xm:f>'E&amp;M SHOP INCOME (5-19)'!BG45:BG45</xm:f>
              <xm:sqref>BG46</xm:sqref>
            </x14:sparkline>
            <x14:sparkline>
              <xm:f>'E&amp;M SHOP INCOME (5-19)'!BH45:BH45</xm:f>
              <xm:sqref>BH46</xm:sqref>
            </x14:sparkline>
            <x14:sparkline>
              <xm:f>'E&amp;M SHOP INCOME (5-19)'!BI45:BI45</xm:f>
              <xm:sqref>BI46</xm:sqref>
            </x14:sparkline>
            <x14:sparkline>
              <xm:f>'E&amp;M SHOP INCOME (5-19)'!BJ45:BJ45</xm:f>
              <xm:sqref>BJ46</xm:sqref>
            </x14:sparkline>
            <x14:sparkline>
              <xm:f>'E&amp;M SHOP INCOME (5-19)'!BK45:BK45</xm:f>
              <xm:sqref>BK46</xm:sqref>
            </x14:sparkline>
            <x14:sparkline>
              <xm:f>'E&amp;M SHOP INCOME (5-19)'!BL45:BL45</xm:f>
              <xm:sqref>BL46</xm:sqref>
            </x14:sparkline>
            <x14:sparkline>
              <xm:f>'E&amp;M SHOP INCOME (5-19)'!BM45:BM45</xm:f>
              <xm:sqref>BM46</xm:sqref>
            </x14:sparkline>
            <x14:sparkline>
              <xm:f>'E&amp;M SHOP INCOME (5-19)'!BN45:BN45</xm:f>
              <xm:sqref>BN46</xm:sqref>
            </x14:sparkline>
            <x14:sparkline>
              <xm:f>'E&amp;M SHOP INCOME (5-19)'!BO45:BO45</xm:f>
              <xm:sqref>BO46</xm:sqref>
            </x14:sparkline>
            <x14:sparkline>
              <xm:f>'E&amp;M SHOP INCOME (5-19)'!BQ45:BQ45</xm:f>
              <xm:sqref>BQ46</xm:sqref>
            </x14:sparkline>
            <x14:sparkline>
              <xm:f>'E&amp;M SHOP INCOME (5-19)'!AL45:AL45</xm:f>
              <xm:sqref>AL46</xm:sqref>
            </x14:sparkline>
            <x14:sparkline>
              <xm:f>'E&amp;M SHOP INCOME (5-19)'!AQ45:AQ45</xm:f>
              <xm:sqref>AQ46</xm:sqref>
            </x14:sparkline>
            <x14:sparkline>
              <xm:f>'E&amp;M SHOP INCOME (5-19)'!AX45:AX45</xm:f>
              <xm:sqref>AX46</xm:sqref>
            </x14:sparkline>
            <x14:sparkline>
              <xm:f>'E&amp;M SHOP INCOME (5-19)'!BC45:BC45</xm:f>
              <xm:sqref>BC46</xm:sqref>
            </x14:sparkline>
            <x14:sparkline>
              <xm:f>'E&amp;M SHOP INCOME (5-19)'!S45:S45</xm:f>
              <xm:sqref>S46</xm:sqref>
            </x14:sparkline>
            <x14:sparkline>
              <xm:f>'E&amp;M SHOP INCOME (5-19)'!AO45:AO45</xm:f>
              <xm:sqref>AO46</xm:sqref>
            </x14:sparkline>
            <x14:sparkline>
              <xm:f>'E&amp;M SHOP INCOME (5-19)'!AP45:AP45</xm:f>
              <xm:sqref>AP46</xm:sqref>
            </x14:sparkline>
            <x14:sparkline>
              <xm:f>'E&amp;M SHOP INCOME (5-19)'!O45:O45</xm:f>
              <xm:sqref>O46</xm:sqref>
            </x14:sparkline>
            <x14:sparkline>
              <xm:f>'E&amp;M SHOP INCOME (5-19)'!P45:P45</xm:f>
              <xm:sqref>P46</xm:sqref>
            </x14:sparkline>
            <x14:sparkline>
              <xm:f>'E&amp;M SHOP INCOME (5-19)'!Q45:Q45</xm:f>
              <xm:sqref>Q46</xm:sqref>
            </x14:sparkline>
            <x14:sparkline>
              <xm:f>'E&amp;M SHOP INCOME (5-19)'!R45:R45</xm:f>
              <xm:sqref>R46</xm:sqref>
            </x14:sparkline>
            <x14:sparkline>
              <xm:f>'E&amp;M SHOP INCOME (5-19)'!AA45:AA45</xm:f>
              <xm:sqref>AA46</xm:sqref>
            </x14:sparkline>
            <x14:sparkline>
              <xm:f>'E&amp;M SHOP INCOME (5-19)'!AB45:AB45</xm:f>
              <xm:sqref>AB46</xm:sqref>
            </x14:sparkline>
            <x14:sparkline>
              <xm:f>'E&amp;M SHOP INCOME (5-19)'!AC45:AC45</xm:f>
              <xm:sqref>AC46</xm:sqref>
            </x14:sparkline>
            <x14:sparkline>
              <xm:f>'E&amp;M SHOP INCOME (5-19)'!AD45:AD45</xm:f>
              <xm:sqref>AD46</xm:sqref>
            </x14:sparkline>
            <x14:sparkline>
              <xm:f>'E&amp;M SHOP INCOME (5-19)'!AM45:AM45</xm:f>
              <xm:sqref>AM46</xm:sqref>
            </x14:sparkline>
            <x14:sparkline>
              <xm:f>'E&amp;M SHOP INCOME (5-19)'!AN45:AN45</xm:f>
              <xm:sqref>AN46</xm:sqref>
            </x14:sparkline>
            <x14:sparkline>
              <xm:f>'E&amp;M SHOP INCOME (5-19)'!AY45:AY45</xm:f>
              <xm:sqref>AY46</xm:sqref>
            </x14:sparkline>
            <x14:sparkline>
              <xm:f>'E&amp;M SHOP INCOME (5-19)'!AZ45:AZ45</xm:f>
              <xm:sqref>AZ46</xm:sqref>
            </x14:sparkline>
            <x14:sparkline>
              <xm:f>'E&amp;M SHOP INCOME (5-19)'!BA45:BA45</xm:f>
              <xm:sqref>BA46</xm:sqref>
            </x14:sparkline>
            <x14:sparkline>
              <xm:f>'E&amp;M SHOP INCOME (5-19)'!BB45:BB45</xm:f>
              <xm:sqref>BB46</xm:sqref>
            </x14:sparkline>
          </x14:sparklines>
        </x14:sparklineGroup>
        <x14:sparklineGroup type="stacked" displayEmptyCellsAs="gap" negative="1" xr2:uid="{00000000-0003-0000-1000-00003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(5-19)'!BP33:BP33</xm:f>
              <xm:sqref>BP34</xm:sqref>
            </x14:sparkline>
          </x14:sparklines>
        </x14:sparklineGroup>
        <x14:sparklineGroup type="stacked" displayEmptyCellsAs="gap" negative="1" xr2:uid="{00000000-0003-0000-1000-00003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(5-19)'!BP45:BP45</xm:f>
              <xm:sqref>BP46</xm:sqref>
            </x14:sparkline>
          </x14:sparklines>
        </x14:sparklineGroup>
        <x14:sparklineGroup type="stacked" displayEmptyCellsAs="gap" negative="1" xr2:uid="{00000000-0003-0000-1000-00003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(5-19)'!BP50:BP50</xm:f>
              <xm:sqref>BP51</xm:sqref>
            </x14:sparkline>
          </x14:sparklines>
        </x14:sparklineGroup>
        <x14:sparklineGroup type="stacked" displayEmptyCellsAs="gap" negative="1" xr2:uid="{00000000-0003-0000-1000-00003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(5-19)'!BQ52:BQ52</xm:f>
              <xm:sqref>BR52</xm:sqref>
            </x14:sparkline>
          </x14:sparklines>
        </x14:sparklineGroup>
        <x14:sparklineGroup type="stacked" displayEmptyCellsAs="gap" negative="1" xr2:uid="{00000000-0003-0000-1000-00002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(5-19)'!BQ53:BQ53</xm:f>
              <xm:sqref>BR53</xm:sqref>
            </x14:sparkline>
          </x14:sparklines>
        </x14:sparklineGroup>
        <x14:sparklineGroup type="stacked" displayEmptyCellsAs="gap" negative="1" xr2:uid="{00000000-0003-0000-1000-00002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(5-19)'!X33:X33</xm:f>
              <xm:sqref>X34</xm:sqref>
            </x14:sparkline>
            <x14:sparkline>
              <xm:f>'E&amp;M SHOP INCOME (5-19)'!Y33:Y33</xm:f>
              <xm:sqref>Y34</xm:sqref>
            </x14:sparkline>
            <x14:sparkline>
              <xm:f>'E&amp;M SHOP INCOME (5-19)'!Z33:Z33</xm:f>
              <xm:sqref>Z34</xm:sqref>
            </x14:sparkline>
            <x14:sparkline>
              <xm:f>'E&amp;M SHOP INCOME (5-19)'!AA33:AA33</xm:f>
              <xm:sqref>AA34</xm:sqref>
            </x14:sparkline>
            <x14:sparkline>
              <xm:f>'E&amp;M SHOP INCOME (5-19)'!AB33:AB33</xm:f>
              <xm:sqref>AB34</xm:sqref>
            </x14:sparkline>
            <x14:sparkline>
              <xm:f>'E&amp;M SHOP INCOME (5-19)'!AC33:AC33</xm:f>
              <xm:sqref>AC34</xm:sqref>
            </x14:sparkline>
            <x14:sparkline>
              <xm:f>'E&amp;M SHOP INCOME (5-19)'!AD33:AD33</xm:f>
              <xm:sqref>AD34</xm:sqref>
            </x14:sparkline>
            <x14:sparkline>
              <xm:f>'E&amp;M SHOP INCOME (5-19)'!AE33:AE33</xm:f>
              <xm:sqref>AE34</xm:sqref>
            </x14:sparkline>
            <x14:sparkline>
              <xm:f>'E&amp;M SHOP INCOME (5-19)'!AF33:AF33</xm:f>
              <xm:sqref>AF34</xm:sqref>
            </x14:sparkline>
            <x14:sparkline>
              <xm:f>'E&amp;M SHOP INCOME (5-19)'!AG33:AG33</xm:f>
              <xm:sqref>AG34</xm:sqref>
            </x14:sparkline>
            <x14:sparkline>
              <xm:f>'E&amp;M SHOP INCOME (5-19)'!AH33:AH33</xm:f>
              <xm:sqref>AH34</xm:sqref>
            </x14:sparkline>
            <x14:sparkline>
              <xm:f>'E&amp;M SHOP INCOME (5-19)'!AI33:AI33</xm:f>
              <xm:sqref>AI34</xm:sqref>
            </x14:sparkline>
            <x14:sparkline>
              <xm:f>'E&amp;M SHOP INCOME (5-19)'!AJ33:AJ33</xm:f>
              <xm:sqref>AJ34</xm:sqref>
            </x14:sparkline>
            <x14:sparkline>
              <xm:f>'E&amp;M SHOP INCOME (5-19)'!AK33:AK33</xm:f>
              <xm:sqref>AK34</xm:sqref>
            </x14:sparkline>
            <x14:sparkline>
              <xm:f>'E&amp;M SHOP INCOME (5-19)'!AL33:AL33</xm:f>
              <xm:sqref>AL34</xm:sqref>
            </x14:sparkline>
            <x14:sparkline>
              <xm:f>'E&amp;M SHOP INCOME (5-19)'!AM33:AM33</xm:f>
              <xm:sqref>AM34</xm:sqref>
            </x14:sparkline>
            <x14:sparkline>
              <xm:f>'E&amp;M SHOP INCOME (5-19)'!AN33:AN33</xm:f>
              <xm:sqref>AN34</xm:sqref>
            </x14:sparkline>
            <x14:sparkline>
              <xm:f>'E&amp;M SHOP INCOME (5-19)'!AO33:AO33</xm:f>
              <xm:sqref>AO34</xm:sqref>
            </x14:sparkline>
            <x14:sparkline>
              <xm:f>'E&amp;M SHOP INCOME (5-19)'!AP33:AP33</xm:f>
              <xm:sqref>AP34</xm:sqref>
            </x14:sparkline>
            <x14:sparkline>
              <xm:f>'E&amp;M SHOP INCOME (5-19)'!AQ33:AQ33</xm:f>
              <xm:sqref>AQ34</xm:sqref>
            </x14:sparkline>
            <x14:sparkline>
              <xm:f>'E&amp;M SHOP INCOME (5-19)'!AR33:AR33</xm:f>
              <xm:sqref>AR34</xm:sqref>
            </x14:sparkline>
            <x14:sparkline>
              <xm:f>'E&amp;M SHOP INCOME (5-19)'!AS33:AS33</xm:f>
              <xm:sqref>AS34</xm:sqref>
            </x14:sparkline>
            <x14:sparkline>
              <xm:f>'E&amp;M SHOP INCOME (5-19)'!AT33:AT33</xm:f>
              <xm:sqref>AT34</xm:sqref>
            </x14:sparkline>
            <x14:sparkline>
              <xm:f>'E&amp;M SHOP INCOME (5-19)'!AU33:AU33</xm:f>
              <xm:sqref>AU34</xm:sqref>
            </x14:sparkline>
            <x14:sparkline>
              <xm:f>'E&amp;M SHOP INCOME (5-19)'!AV33:AV33</xm:f>
              <xm:sqref>AV34</xm:sqref>
            </x14:sparkline>
            <x14:sparkline>
              <xm:f>'E&amp;M SHOP INCOME (5-19)'!AW33:AW33</xm:f>
              <xm:sqref>AW34</xm:sqref>
            </x14:sparkline>
            <x14:sparkline>
              <xm:f>'E&amp;M SHOP INCOME (5-19)'!AX33:AX33</xm:f>
              <xm:sqref>AX34</xm:sqref>
            </x14:sparkline>
            <x14:sparkline>
              <xm:f>'E&amp;M SHOP INCOME (5-19)'!AY33:AY33</xm:f>
              <xm:sqref>AY34</xm:sqref>
            </x14:sparkline>
            <x14:sparkline>
              <xm:f>'E&amp;M SHOP INCOME (5-19)'!AZ33:AZ33</xm:f>
              <xm:sqref>AZ34</xm:sqref>
            </x14:sparkline>
            <x14:sparkline>
              <xm:f>'E&amp;M SHOP INCOME (5-19)'!BA33:BA33</xm:f>
              <xm:sqref>BA34</xm:sqref>
            </x14:sparkline>
            <x14:sparkline>
              <xm:f>'E&amp;M SHOP INCOME (5-19)'!BB33:BB33</xm:f>
              <xm:sqref>BB34</xm:sqref>
            </x14:sparkline>
            <x14:sparkline>
              <xm:f>'E&amp;M SHOP INCOME (5-19)'!BC33:BC33</xm:f>
              <xm:sqref>BC34</xm:sqref>
            </x14:sparkline>
            <x14:sparkline>
              <xm:f>'E&amp;M SHOP INCOME (5-19)'!BD33:BD33</xm:f>
              <xm:sqref>BD34</xm:sqref>
            </x14:sparkline>
            <x14:sparkline>
              <xm:f>'E&amp;M SHOP INCOME (5-19)'!BE33:BE33</xm:f>
              <xm:sqref>BE34</xm:sqref>
            </x14:sparkline>
            <x14:sparkline>
              <xm:f>'E&amp;M SHOP INCOME (5-19)'!BF33:BF33</xm:f>
              <xm:sqref>BF34</xm:sqref>
            </x14:sparkline>
            <x14:sparkline>
              <xm:f>'E&amp;M SHOP INCOME (5-19)'!BG33:BG33</xm:f>
              <xm:sqref>BG34</xm:sqref>
            </x14:sparkline>
            <x14:sparkline>
              <xm:f>'E&amp;M SHOP INCOME (5-19)'!BH33:BH33</xm:f>
              <xm:sqref>BH34</xm:sqref>
            </x14:sparkline>
            <x14:sparkline>
              <xm:f>'E&amp;M SHOP INCOME (5-19)'!BI33:BI33</xm:f>
              <xm:sqref>BI34</xm:sqref>
            </x14:sparkline>
            <x14:sparkline>
              <xm:f>'E&amp;M SHOP INCOME (5-19)'!BJ33:BJ33</xm:f>
              <xm:sqref>BJ34</xm:sqref>
            </x14:sparkline>
            <x14:sparkline>
              <xm:f>'E&amp;M SHOP INCOME (5-19)'!BK33:BK33</xm:f>
              <xm:sqref>BK34</xm:sqref>
            </x14:sparkline>
            <x14:sparkline>
              <xm:f>'E&amp;M SHOP INCOME (5-19)'!BL33:BL33</xm:f>
              <xm:sqref>BL34</xm:sqref>
            </x14:sparkline>
            <x14:sparkline>
              <xm:f>'E&amp;M SHOP INCOME (5-19)'!BM33:BM33</xm:f>
              <xm:sqref>BM34</xm:sqref>
            </x14:sparkline>
            <x14:sparkline>
              <xm:f>'E&amp;M SHOP INCOME (5-19)'!BN33:BN33</xm:f>
              <xm:sqref>BN34</xm:sqref>
            </x14:sparkline>
            <x14:sparkline>
              <xm:f>'E&amp;M SHOP INCOME (5-19)'!BO33:BO33</xm:f>
              <xm:sqref>BO34</xm:sqref>
            </x14:sparkline>
          </x14:sparklines>
        </x14:sparklineGroup>
        <x14:sparklineGroup type="stacked" displayEmptyCellsAs="gap" negative="1" xr2:uid="{00000000-0003-0000-1000-00002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(5-19)'!T33:T33</xm:f>
              <xm:sqref>T34</xm:sqref>
            </x14:sparkline>
          </x14:sparklines>
        </x14:sparklineGroup>
        <x14:sparklineGroup type="stacked" displayEmptyCellsAs="gap" negative="1" xr2:uid="{00000000-0003-0000-1000-00002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(5-19)'!T45:T45</xm:f>
              <xm:sqref>T46</xm:sqref>
            </x14:sparkline>
          </x14:sparklines>
        </x14:sparklineGroup>
        <x14:sparklineGroup type="stacked" displayEmptyCellsAs="gap" negative="1" xr2:uid="{00000000-0003-0000-1000-00002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(5-19)'!T50:T50</xm:f>
              <xm:sqref>T51</xm:sqref>
            </x14:sparkline>
          </x14:sparklines>
        </x14:sparklineGroup>
        <x14:sparklineGroup type="stacked" displayEmptyCellsAs="gap" negative="1" xr2:uid="{00000000-0003-0000-1000-00002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(5-19)'!BQ54:BQ54</xm:f>
              <xm:sqref>BR54</xm:sqref>
            </x14:sparkline>
          </x14:sparklines>
        </x14:sparklineGroup>
        <x14:sparklineGroup type="stacked" displayEmptyCellsAs="gap" negative="1" xr2:uid="{00000000-0003-0000-1000-00002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(5-19)'!BQ55:BQ55</xm:f>
              <xm:sqref>BR55</xm:sqref>
            </x14:sparkline>
          </x14:sparklines>
        </x14:sparklineGroup>
        <x14:sparklineGroup type="stacked" displayEmptyCellsAs="gap" negative="1" xr2:uid="{00000000-0003-0000-1000-00002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(5-19)'!M33:M33</xm:f>
              <xm:sqref>M34</xm:sqref>
            </x14:sparkline>
            <x14:sparkline>
              <xm:f>'E&amp;M SHOP INCOME (5-19)'!N33:N33</xm:f>
              <xm:sqref>N34</xm:sqref>
            </x14:sparkline>
            <x14:sparkline>
              <xm:f>'E&amp;M SHOP INCOME (5-19)'!O33:O33</xm:f>
              <xm:sqref>O34</xm:sqref>
            </x14:sparkline>
            <x14:sparkline>
              <xm:f>'E&amp;M SHOP INCOME (5-19)'!P33:P33</xm:f>
              <xm:sqref>P34</xm:sqref>
            </x14:sparkline>
            <x14:sparkline>
              <xm:f>'E&amp;M SHOP INCOME (5-19)'!Q33:Q33</xm:f>
              <xm:sqref>Q34</xm:sqref>
            </x14:sparkline>
            <x14:sparkline>
              <xm:f>'E&amp;M SHOP INCOME (5-19)'!R33:R33</xm:f>
              <xm:sqref>R34</xm:sqref>
            </x14:sparkline>
            <x14:sparkline>
              <xm:f>'E&amp;M SHOP INCOME (5-19)'!S33:S33</xm:f>
              <xm:sqref>S34</xm:sqref>
            </x14:sparkline>
            <x14:sparkline>
              <xm:f>'E&amp;M SHOP INCOME (5-19)'!U33:U33</xm:f>
              <xm:sqref>U34</xm:sqref>
            </x14:sparkline>
            <x14:sparkline>
              <xm:f>'E&amp;M SHOP INCOME (5-19)'!V33:V33</xm:f>
              <xm:sqref>V34</xm:sqref>
            </x14:sparkline>
            <x14:sparkline>
              <xm:f>'E&amp;M SHOP INCOME (5-19)'!W33:W33</xm:f>
              <xm:sqref>W34</xm:sqref>
            </x14:sparkline>
          </x14:sparklines>
        </x14:sparklineGroup>
        <x14:sparklineGroup type="stacked" displayEmptyCellsAs="gap" negative="1" xr2:uid="{00000000-0003-0000-1000-00002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(5-19)'!BQ33:BQ33</xm:f>
              <xm:sqref>BQ34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FO63"/>
  <sheetViews>
    <sheetView zoomScale="80" zoomScaleNormal="80" zoomScaleSheetLayoutView="80" workbookViewId="0">
      <pane xSplit="11" ySplit="6" topLeftCell="BN14" activePane="bottomRight" state="frozen"/>
      <selection activeCell="C49" sqref="C49"/>
      <selection pane="topRight" activeCell="C49" sqref="C49"/>
      <selection pane="bottomLeft" activeCell="C49" sqref="C49"/>
      <selection pane="bottomRight" activeCell="C49" sqref="C49"/>
    </sheetView>
  </sheetViews>
  <sheetFormatPr defaultColWidth="9.125" defaultRowHeight="15" x14ac:dyDescent="0.2"/>
  <cols>
    <col min="1" max="1" width="1.75" style="1351" customWidth="1"/>
    <col min="2" max="2" width="4.75" style="1351" customWidth="1"/>
    <col min="3" max="3" width="42.875" style="1351" bestFit="1" customWidth="1"/>
    <col min="4" max="4" width="0.875" style="1353" customWidth="1"/>
    <col min="5" max="5" width="10" style="1351" bestFit="1" customWidth="1"/>
    <col min="6" max="9" width="11.625" style="1351" hidden="1" customWidth="1"/>
    <col min="10" max="10" width="11.625" style="1351" bestFit="1" customWidth="1"/>
    <col min="11" max="11" width="8.75" style="1351" bestFit="1" customWidth="1"/>
    <col min="12" max="12" width="0.875" style="1353" customWidth="1"/>
    <col min="13" max="19" width="8.875" style="1351" hidden="1" customWidth="1"/>
    <col min="20" max="20" width="0.875" style="1353" hidden="1" customWidth="1"/>
    <col min="21" max="21" width="10" style="1351" bestFit="1" customWidth="1"/>
    <col min="22" max="22" width="7.875" style="1351" bestFit="1" customWidth="1"/>
    <col min="23" max="23" width="9.25" style="1351" bestFit="1" customWidth="1"/>
    <col min="24" max="24" width="0.875" style="1353" customWidth="1"/>
    <col min="25" max="31" width="8.875" style="1351" hidden="1" customWidth="1"/>
    <col min="32" max="32" width="0.875" style="1353" hidden="1" customWidth="1"/>
    <col min="33" max="33" width="10" style="1351" customWidth="1"/>
    <col min="34" max="34" width="7.875" style="1351" customWidth="1"/>
    <col min="35" max="35" width="8.875" style="1351" customWidth="1"/>
    <col min="36" max="36" width="0.875" style="1353" hidden="1" customWidth="1"/>
    <col min="37" max="37" width="8.875" style="1351" hidden="1" customWidth="1"/>
    <col min="38" max="38" width="8.625" style="1351" hidden="1" customWidth="1"/>
    <col min="39" max="43" width="8.875" style="1351" hidden="1" customWidth="1"/>
    <col min="44" max="44" width="0.875" style="1353" customWidth="1"/>
    <col min="45" max="45" width="10" style="1351" customWidth="1"/>
    <col min="46" max="46" width="8.125" style="1351" customWidth="1"/>
    <col min="47" max="47" width="8.875" style="1351" customWidth="1"/>
    <col min="48" max="48" width="0.875" style="1353" hidden="1" customWidth="1"/>
    <col min="49" max="55" width="8.875" style="1351" hidden="1" customWidth="1"/>
    <col min="56" max="56" width="0.875" style="1353" customWidth="1"/>
    <col min="57" max="57" width="10" style="1351" customWidth="1"/>
    <col min="58" max="58" width="8.125" style="1351" customWidth="1"/>
    <col min="59" max="59" width="8.875" style="1351" customWidth="1"/>
    <col min="60" max="60" width="0.875" style="1351" hidden="1" customWidth="1"/>
    <col min="61" max="61" width="8.875" style="1351" hidden="1" customWidth="1"/>
    <col min="62" max="62" width="7.875" style="1351" hidden="1" customWidth="1"/>
    <col min="63" max="63" width="0.875" style="1351" customWidth="1"/>
    <col min="64" max="66" width="8.875" style="1351" customWidth="1"/>
    <col min="67" max="67" width="0.875" style="1351" customWidth="1"/>
    <col min="68" max="68" width="10" style="1351" bestFit="1" customWidth="1"/>
    <col min="69" max="69" width="9.875" style="1351" bestFit="1" customWidth="1"/>
    <col min="70" max="70" width="0.875" style="1351" customWidth="1"/>
    <col min="71" max="71" width="9.25" style="1351" bestFit="1" customWidth="1"/>
    <col min="72" max="73" width="10" style="1351" bestFit="1" customWidth="1"/>
    <col min="74" max="74" width="1.875" style="1351" customWidth="1"/>
    <col min="75" max="76" width="12" style="1351" bestFit="1" customWidth="1"/>
    <col min="77" max="77" width="12.25" style="1351" bestFit="1" customWidth="1"/>
    <col min="78" max="78" width="12.875" style="1351" bestFit="1" customWidth="1"/>
    <col min="79" max="79" width="12" style="1351" customWidth="1"/>
    <col min="80" max="80" width="12" style="1351" bestFit="1" customWidth="1"/>
    <col min="81" max="81" width="10.875" style="1351" customWidth="1"/>
    <col min="82" max="82" width="10" style="1351" bestFit="1" customWidth="1"/>
    <col min="83" max="83" width="13" style="1351" bestFit="1" customWidth="1"/>
    <col min="84" max="84" width="12" style="1351" bestFit="1" customWidth="1"/>
    <col min="85" max="85" width="12.125" style="1351" bestFit="1" customWidth="1"/>
    <col min="86" max="86" width="11" style="1351" bestFit="1" customWidth="1"/>
    <col min="87" max="88" width="9.125" style="1351" customWidth="1"/>
    <col min="89" max="16384" width="9.125" style="1351"/>
  </cols>
  <sheetData>
    <row r="1" spans="1:171" ht="20.25" customHeight="1" thickBot="1" x14ac:dyDescent="0.25">
      <c r="C1" s="4456">
        <v>43617</v>
      </c>
      <c r="D1" s="811"/>
      <c r="E1" s="4466" t="s">
        <v>40</v>
      </c>
      <c r="F1" s="4466"/>
      <c r="G1" s="4466"/>
      <c r="H1" s="4466"/>
      <c r="I1" s="4466"/>
      <c r="J1" s="4466"/>
      <c r="K1" s="4467"/>
      <c r="L1" s="1350"/>
      <c r="M1" s="133"/>
      <c r="N1" s="309"/>
      <c r="O1" s="134"/>
      <c r="Q1" s="914"/>
      <c r="R1" s="914"/>
      <c r="S1" s="914"/>
      <c r="Z1" s="309"/>
      <c r="AO1" s="432"/>
      <c r="AP1" s="432"/>
      <c r="AQ1" s="432"/>
      <c r="AW1" s="432"/>
      <c r="AX1" s="1274"/>
      <c r="BA1" s="277"/>
      <c r="BO1" s="4483" t="s">
        <v>90</v>
      </c>
      <c r="BP1" s="4483"/>
      <c r="BQ1" s="4483"/>
      <c r="BR1" s="4491"/>
      <c r="BS1" s="4492">
        <f>BX24/30</f>
        <v>1</v>
      </c>
      <c r="BT1" s="4493"/>
      <c r="BU1" s="4494"/>
      <c r="BW1" s="503">
        <f>BW2-BW3</f>
        <v>576.55999999999995</v>
      </c>
      <c r="BX1" s="504">
        <f>BW1*30%</f>
        <v>172.96799999999999</v>
      </c>
      <c r="BY1" s="590">
        <f>BW1/BW3</f>
        <v>0.15647449310525444</v>
      </c>
      <c r="BZ1" s="693"/>
      <c r="CA1" s="703">
        <f>CA2-CA3</f>
        <v>-1318.75</v>
      </c>
      <c r="CB1" s="704">
        <f>CA1*30%</f>
        <v>-395.625</v>
      </c>
      <c r="CC1" s="705">
        <f>CA1/CA3</f>
        <v>-0.23633512544802868</v>
      </c>
      <c r="CD1" s="694"/>
      <c r="CE1" s="703">
        <f>CE2-CE3</f>
        <v>-5738.75</v>
      </c>
      <c r="CF1" s="704">
        <f>CE1*30%</f>
        <v>-1721.625</v>
      </c>
      <c r="CG1" s="705">
        <f>CE1/CE3</f>
        <v>-0.57387500000000002</v>
      </c>
      <c r="CH1" s="694"/>
    </row>
    <row r="2" spans="1:171" ht="20.25" customHeight="1" thickBot="1" x14ac:dyDescent="0.25">
      <c r="C2" s="4457"/>
      <c r="D2" s="1350"/>
      <c r="E2" s="4466" t="s">
        <v>41</v>
      </c>
      <c r="F2" s="4466"/>
      <c r="G2" s="4466"/>
      <c r="H2" s="4466"/>
      <c r="I2" s="4466"/>
      <c r="J2" s="4466"/>
      <c r="K2" s="4467"/>
      <c r="L2" s="1350"/>
      <c r="M2" s="4511" t="s">
        <v>135</v>
      </c>
      <c r="N2" s="4511"/>
      <c r="O2" s="4511"/>
      <c r="P2" s="4511"/>
      <c r="Q2" s="4511"/>
      <c r="R2" s="4511"/>
      <c r="S2" s="4511"/>
      <c r="T2" s="919"/>
      <c r="U2" s="4512" t="s">
        <v>139</v>
      </c>
      <c r="V2" s="4513"/>
      <c r="W2" s="4514"/>
      <c r="X2" s="923"/>
      <c r="Y2" s="4511" t="s">
        <v>136</v>
      </c>
      <c r="Z2" s="4511"/>
      <c r="AA2" s="4511"/>
      <c r="AB2" s="4511"/>
      <c r="AC2" s="4511"/>
      <c r="AD2" s="4511"/>
      <c r="AE2" s="4511"/>
      <c r="AF2" s="776"/>
      <c r="AG2" s="4512" t="s">
        <v>140</v>
      </c>
      <c r="AH2" s="4513"/>
      <c r="AI2" s="4514"/>
      <c r="AJ2" s="776"/>
      <c r="AK2" s="4511" t="s">
        <v>137</v>
      </c>
      <c r="AL2" s="4511"/>
      <c r="AM2" s="4511"/>
      <c r="AN2" s="4511"/>
      <c r="AO2" s="4511"/>
      <c r="AP2" s="4511"/>
      <c r="AQ2" s="4511"/>
      <c r="AR2" s="776"/>
      <c r="AS2" s="4512" t="s">
        <v>141</v>
      </c>
      <c r="AT2" s="4513"/>
      <c r="AU2" s="4514"/>
      <c r="AV2" s="776"/>
      <c r="AW2" s="4511" t="s">
        <v>138</v>
      </c>
      <c r="AX2" s="4511"/>
      <c r="AY2" s="4511"/>
      <c r="AZ2" s="4511"/>
      <c r="BA2" s="4511"/>
      <c r="BB2" s="4511"/>
      <c r="BC2" s="4511"/>
      <c r="BD2" s="776"/>
      <c r="BE2" s="4512" t="s">
        <v>142</v>
      </c>
      <c r="BF2" s="4513"/>
      <c r="BG2" s="4514"/>
      <c r="BH2" s="1352"/>
      <c r="BI2" s="4516" t="s">
        <v>145</v>
      </c>
      <c r="BJ2" s="4517"/>
      <c r="BK2" s="1352"/>
      <c r="BL2" s="4512" t="s">
        <v>146</v>
      </c>
      <c r="BM2" s="4513"/>
      <c r="BN2" s="4514"/>
      <c r="BP2" s="4473" t="s">
        <v>54</v>
      </c>
      <c r="BQ2" s="4476" t="s">
        <v>61</v>
      </c>
      <c r="BS2" s="4495"/>
      <c r="BT2" s="4496"/>
      <c r="BU2" s="4497"/>
      <c r="BW2" s="505">
        <f>BS3/BX24*30</f>
        <v>4261.25</v>
      </c>
      <c r="BX2" s="506">
        <f>BW2*30%</f>
        <v>1278.375</v>
      </c>
      <c r="BY2" s="507">
        <f>BX2-E31</f>
        <v>172.96800000000007</v>
      </c>
      <c r="BZ2" s="695"/>
      <c r="CA2" s="756">
        <f>BS3/BX24*30</f>
        <v>4261.25</v>
      </c>
      <c r="CB2" s="757">
        <f>CA2*30%</f>
        <v>1278.375</v>
      </c>
      <c r="CC2" s="761">
        <f>CB2-E44</f>
        <v>-4301.625</v>
      </c>
      <c r="CD2" s="696"/>
      <c r="CE2" s="756">
        <f>BS3/BX24*30</f>
        <v>4261.25</v>
      </c>
      <c r="CF2" s="757">
        <f>CE2*30%</f>
        <v>1278.375</v>
      </c>
      <c r="CG2" s="702">
        <f>CF2-E48</f>
        <v>543.06500000000051</v>
      </c>
      <c r="CH2" s="696"/>
    </row>
    <row r="3" spans="1:171" s="426" customFormat="1" ht="15" customHeight="1" x14ac:dyDescent="0.2">
      <c r="C3" s="982" t="s">
        <v>168</v>
      </c>
      <c r="D3" s="812"/>
      <c r="E3" s="132"/>
      <c r="F3" s="132"/>
      <c r="G3" s="132"/>
      <c r="H3" s="132"/>
      <c r="I3" s="132"/>
      <c r="J3" s="132">
        <f>BS3</f>
        <v>4261.25</v>
      </c>
      <c r="K3" s="428"/>
      <c r="L3" s="480"/>
      <c r="M3" s="132">
        <v>224.65</v>
      </c>
      <c r="N3" s="132">
        <v>220</v>
      </c>
      <c r="O3" s="132">
        <v>306.39999999999998</v>
      </c>
      <c r="P3" s="132">
        <v>635.15</v>
      </c>
      <c r="Q3" s="132">
        <v>0</v>
      </c>
      <c r="R3" s="132">
        <v>0</v>
      </c>
      <c r="S3" s="132">
        <v>0</v>
      </c>
      <c r="T3" s="920"/>
      <c r="U3" s="925">
        <f>SUM(M3:S3)</f>
        <v>1386.1999999999998</v>
      </c>
      <c r="V3" s="132">
        <f>J33*7</f>
        <v>859.76099999999997</v>
      </c>
      <c r="W3" s="926">
        <f>U3-V3</f>
        <v>526.43899999999985</v>
      </c>
      <c r="X3" s="779"/>
      <c r="Y3" s="132">
        <v>107.65</v>
      </c>
      <c r="Z3" s="132">
        <v>71.45</v>
      </c>
      <c r="AA3" s="132">
        <v>159.5</v>
      </c>
      <c r="AB3" s="132">
        <v>93.2</v>
      </c>
      <c r="AC3" s="132">
        <v>129.94999999999999</v>
      </c>
      <c r="AD3" s="132">
        <v>104.85</v>
      </c>
      <c r="AE3" s="132">
        <v>85.15</v>
      </c>
      <c r="AF3" s="777"/>
      <c r="AG3" s="925">
        <f>SUM(Y3:AE3)</f>
        <v>751.75</v>
      </c>
      <c r="AH3" s="132">
        <f>J33*7</f>
        <v>859.76099999999997</v>
      </c>
      <c r="AI3" s="926">
        <f>AG3-AH3</f>
        <v>-108.01099999999997</v>
      </c>
      <c r="AJ3" s="777"/>
      <c r="AK3" s="132">
        <v>137.69999999999999</v>
      </c>
      <c r="AL3" s="132">
        <v>179.1</v>
      </c>
      <c r="AM3" s="132">
        <v>114.6</v>
      </c>
      <c r="AN3" s="132">
        <v>180.4</v>
      </c>
      <c r="AO3" s="132">
        <v>223.5</v>
      </c>
      <c r="AP3" s="132">
        <v>129.19999999999999</v>
      </c>
      <c r="AQ3" s="132">
        <v>55.45</v>
      </c>
      <c r="AR3" s="777"/>
      <c r="AS3" s="925">
        <f>SUM(AK3:AQ3)</f>
        <v>1019.95</v>
      </c>
      <c r="AT3" s="132">
        <f>J33*7</f>
        <v>859.76099999999997</v>
      </c>
      <c r="AU3" s="926">
        <f>AS3-AT3</f>
        <v>160.18900000000008</v>
      </c>
      <c r="AV3" s="777"/>
      <c r="AW3" s="132">
        <v>120</v>
      </c>
      <c r="AX3" s="132">
        <v>128.75</v>
      </c>
      <c r="AY3" s="132">
        <v>101.35</v>
      </c>
      <c r="AZ3" s="132">
        <v>126.5</v>
      </c>
      <c r="BA3" s="132">
        <v>166.8</v>
      </c>
      <c r="BB3" s="132">
        <v>115.6</v>
      </c>
      <c r="BC3" s="132">
        <v>51.25</v>
      </c>
      <c r="BD3" s="777"/>
      <c r="BE3" s="925">
        <f>SUM(AW3:BC3)</f>
        <v>810.25000000000011</v>
      </c>
      <c r="BF3" s="132">
        <f>J33*7</f>
        <v>859.76099999999997</v>
      </c>
      <c r="BG3" s="926">
        <f>BE3-BF3</f>
        <v>-49.510999999999854</v>
      </c>
      <c r="BH3" s="479"/>
      <c r="BI3" s="132">
        <v>110.6</v>
      </c>
      <c r="BJ3" s="132">
        <v>182.5</v>
      </c>
      <c r="BK3" s="479"/>
      <c r="BL3" s="925">
        <f>SUM(BI3:BJ3)</f>
        <v>293.10000000000002</v>
      </c>
      <c r="BM3" s="132">
        <f>J33*2</f>
        <v>245.64599999999999</v>
      </c>
      <c r="BN3" s="926">
        <f>BL3-BM3</f>
        <v>47.454000000000036</v>
      </c>
      <c r="BO3" s="431"/>
      <c r="BP3" s="4474"/>
      <c r="BQ3" s="4477"/>
      <c r="BR3" s="431"/>
      <c r="BS3" s="467">
        <f>SUM(M3:S3)+SUM(Y3:AE3)+SUM(AK3:AQ3)+SUM(AW3:BC3)+SUM(BI3:BJ3)</f>
        <v>4261.25</v>
      </c>
      <c r="BT3" s="493">
        <f>BS3/BW3</f>
        <v>1.1564744931052544</v>
      </c>
      <c r="BU3" s="496">
        <f>BS3/1</f>
        <v>4261.25</v>
      </c>
      <c r="BW3" s="467">
        <f>E52</f>
        <v>3684.69</v>
      </c>
      <c r="BX3" s="474">
        <f>BW3-BS3</f>
        <v>-576.55999999999995</v>
      </c>
      <c r="BY3" s="496">
        <f>BX3/BX27</f>
        <v>-576.55999999999995</v>
      </c>
      <c r="BZ3" s="697">
        <f>BY3-J52</f>
        <v>-699.38299999999992</v>
      </c>
      <c r="CA3" s="467">
        <f>E53</f>
        <v>5580</v>
      </c>
      <c r="CB3" s="690">
        <f>CA3-BS3</f>
        <v>1318.75</v>
      </c>
      <c r="CC3" s="700">
        <f>CB3/BX27</f>
        <v>1318.75</v>
      </c>
      <c r="CD3" s="473">
        <f>CC3-J53</f>
        <v>1132.75</v>
      </c>
      <c r="CE3" s="467">
        <f>E57</f>
        <v>10000</v>
      </c>
      <c r="CF3" s="690">
        <f>CE3-BS3</f>
        <v>5738.75</v>
      </c>
      <c r="CG3" s="700">
        <f>CF3/BX27</f>
        <v>5738.75</v>
      </c>
      <c r="CH3" s="473">
        <f>CG3-J57</f>
        <v>5405.416666666667</v>
      </c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</row>
    <row r="4" spans="1:171" s="432" customFormat="1" ht="15.75" thickBot="1" x14ac:dyDescent="0.25">
      <c r="C4" s="433" t="s">
        <v>89</v>
      </c>
      <c r="D4" s="780"/>
      <c r="E4" s="347"/>
      <c r="F4" s="347"/>
      <c r="G4" s="347"/>
      <c r="H4" s="347"/>
      <c r="I4" s="347"/>
      <c r="J4" s="347">
        <f>BP33</f>
        <v>179.96800000000002</v>
      </c>
      <c r="K4" s="434"/>
      <c r="L4" s="482"/>
      <c r="M4" s="347">
        <f t="shared" ref="M4:S4" si="0">M3*30%</f>
        <v>67.394999999999996</v>
      </c>
      <c r="N4" s="347">
        <f t="shared" si="0"/>
        <v>66</v>
      </c>
      <c r="O4" s="347">
        <f t="shared" si="0"/>
        <v>91.919999999999987</v>
      </c>
      <c r="P4" s="347">
        <f t="shared" si="0"/>
        <v>190.54499999999999</v>
      </c>
      <c r="Q4" s="347">
        <f t="shared" si="0"/>
        <v>0</v>
      </c>
      <c r="R4" s="347">
        <f t="shared" si="0"/>
        <v>0</v>
      </c>
      <c r="S4" s="347">
        <f t="shared" si="0"/>
        <v>0</v>
      </c>
      <c r="T4" s="921"/>
      <c r="U4" s="927">
        <f>U3*30%</f>
        <v>415.85999999999996</v>
      </c>
      <c r="V4" s="347">
        <f>V3*30%</f>
        <v>257.92829999999998</v>
      </c>
      <c r="W4" s="928">
        <f>W3*30%</f>
        <v>157.93169999999995</v>
      </c>
      <c r="X4" s="781"/>
      <c r="Y4" s="347">
        <f t="shared" ref="Y4:AE4" si="1">Y3*30%</f>
        <v>32.295000000000002</v>
      </c>
      <c r="Z4" s="347">
        <f t="shared" si="1"/>
        <v>21.434999999999999</v>
      </c>
      <c r="AA4" s="347">
        <f t="shared" si="1"/>
        <v>47.85</v>
      </c>
      <c r="AB4" s="347">
        <f t="shared" si="1"/>
        <v>27.96</v>
      </c>
      <c r="AC4" s="347">
        <f>(109.95*30%)+13</f>
        <v>45.984999999999999</v>
      </c>
      <c r="AD4" s="347">
        <f t="shared" si="1"/>
        <v>31.454999999999998</v>
      </c>
      <c r="AE4" s="347">
        <f t="shared" si="1"/>
        <v>25.545000000000002</v>
      </c>
      <c r="AF4" s="778"/>
      <c r="AG4" s="927">
        <f>SUM(Y4:AE4)</f>
        <v>232.52500000000003</v>
      </c>
      <c r="AH4" s="347">
        <f>AH3*30%</f>
        <v>257.92829999999998</v>
      </c>
      <c r="AI4" s="928">
        <f>AI3*30%</f>
        <v>-32.403299999999987</v>
      </c>
      <c r="AJ4" s="778"/>
      <c r="AK4" s="347">
        <f t="shared" ref="AK4:AQ4" si="2">AK3*30%</f>
        <v>41.309999999999995</v>
      </c>
      <c r="AL4" s="347">
        <f t="shared" si="2"/>
        <v>53.73</v>
      </c>
      <c r="AM4" s="347">
        <f t="shared" si="2"/>
        <v>34.379999999999995</v>
      </c>
      <c r="AN4" s="347">
        <f t="shared" si="2"/>
        <v>54.12</v>
      </c>
      <c r="AO4" s="347">
        <f t="shared" si="2"/>
        <v>67.05</v>
      </c>
      <c r="AP4" s="347">
        <f t="shared" si="2"/>
        <v>38.76</v>
      </c>
      <c r="AQ4" s="347">
        <f t="shared" si="2"/>
        <v>16.635000000000002</v>
      </c>
      <c r="AR4" s="778"/>
      <c r="AS4" s="927">
        <f>SUM(AK4:AQ4)</f>
        <v>305.98499999999996</v>
      </c>
      <c r="AT4" s="347">
        <f>AT3*30%</f>
        <v>257.92829999999998</v>
      </c>
      <c r="AU4" s="928">
        <f>AS4-AT4</f>
        <v>48.056699999999978</v>
      </c>
      <c r="AV4" s="778"/>
      <c r="AW4" s="347">
        <f t="shared" ref="AW4:BC4" si="3">AW3*30%</f>
        <v>36</v>
      </c>
      <c r="AX4" s="347">
        <f t="shared" si="3"/>
        <v>38.625</v>
      </c>
      <c r="AY4" s="347">
        <f t="shared" si="3"/>
        <v>30.404999999999998</v>
      </c>
      <c r="AZ4" s="347">
        <f t="shared" si="3"/>
        <v>37.949999999999996</v>
      </c>
      <c r="BA4" s="347">
        <f>BA3*30%</f>
        <v>50.04</v>
      </c>
      <c r="BB4" s="347">
        <f t="shared" si="3"/>
        <v>34.68</v>
      </c>
      <c r="BC4" s="347">
        <f t="shared" si="3"/>
        <v>15.375</v>
      </c>
      <c r="BD4" s="778"/>
      <c r="BE4" s="927">
        <f>SUM(AW4:BC4)</f>
        <v>243.07499999999999</v>
      </c>
      <c r="BF4" s="347">
        <f>BF3*30%</f>
        <v>257.92829999999998</v>
      </c>
      <c r="BG4" s="928">
        <f>BE4-BF4</f>
        <v>-14.85329999999999</v>
      </c>
      <c r="BH4" s="481"/>
      <c r="BI4" s="347">
        <f>BI3*30%</f>
        <v>33.18</v>
      </c>
      <c r="BJ4" s="347">
        <f>BJ3*30%</f>
        <v>54.75</v>
      </c>
      <c r="BK4" s="481"/>
      <c r="BL4" s="927">
        <f>SUM(BI4:BJ4)</f>
        <v>87.93</v>
      </c>
      <c r="BM4" s="347">
        <f>BM3*30%</f>
        <v>73.693799999999996</v>
      </c>
      <c r="BN4" s="928">
        <f>BL4-BM4</f>
        <v>14.236200000000011</v>
      </c>
      <c r="BO4" s="437"/>
      <c r="BP4" s="4474"/>
      <c r="BQ4" s="4477"/>
      <c r="BR4" s="437"/>
      <c r="BS4" s="459">
        <f>SUM(M4:S4)+SUM(Y4:AE4)+SUM(AK4:AQ4)+SUM(AW4:BC4)+SUM(BI4:BJ4)</f>
        <v>1285.375</v>
      </c>
      <c r="BT4" s="494">
        <f>BS4/E31</f>
        <v>1.1628070023077473</v>
      </c>
      <c r="BU4" s="497">
        <f>BS4/1</f>
        <v>1285.375</v>
      </c>
      <c r="BW4" s="508">
        <f>BS4-E31</f>
        <v>179.96800000000007</v>
      </c>
      <c r="BX4" s="509">
        <f>BW4/BX27</f>
        <v>179.96800000000007</v>
      </c>
      <c r="BY4" s="510">
        <f>BX4*100%/30%</f>
        <v>599.89333333333366</v>
      </c>
      <c r="BZ4" s="698">
        <f>BY4+J52</f>
        <v>722.71633333333364</v>
      </c>
      <c r="CA4" s="508">
        <f>BS4-E42</f>
        <v>-388.625</v>
      </c>
      <c r="CB4" s="626">
        <f>CA4/BX27</f>
        <v>-388.625</v>
      </c>
      <c r="CC4" s="701">
        <f>CB4*100%/30%</f>
        <v>-1295.4166666666667</v>
      </c>
      <c r="CD4" s="469">
        <f>CC4+J53</f>
        <v>-1109.4166666666667</v>
      </c>
      <c r="CE4" s="508">
        <f>BS4-E59</f>
        <v>-1714.625</v>
      </c>
      <c r="CF4" s="626">
        <f>CE4/BX27</f>
        <v>-1714.625</v>
      </c>
      <c r="CG4" s="701">
        <f>CF4*100%/30%</f>
        <v>-5715.416666666667</v>
      </c>
      <c r="CH4" s="469">
        <f>CG4+J57</f>
        <v>-5382.0833333333339</v>
      </c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  <c r="FH4" s="471"/>
      <c r="FI4" s="471"/>
      <c r="FJ4" s="471"/>
      <c r="FK4" s="471"/>
      <c r="FL4" s="471"/>
      <c r="FM4" s="471"/>
      <c r="FN4" s="471"/>
      <c r="FO4" s="471"/>
    </row>
    <row r="5" spans="1:171" s="426" customFormat="1" ht="15" customHeight="1" thickBot="1" x14ac:dyDescent="0.25">
      <c r="C5" s="438"/>
      <c r="D5" s="438"/>
      <c r="K5" s="439"/>
      <c r="L5" s="438"/>
      <c r="M5" s="132" t="s">
        <v>46</v>
      </c>
      <c r="N5" s="132" t="s">
        <v>47</v>
      </c>
      <c r="O5" s="132" t="s">
        <v>48</v>
      </c>
      <c r="P5" s="132" t="s">
        <v>49</v>
      </c>
      <c r="Q5" s="132" t="s">
        <v>50</v>
      </c>
      <c r="R5" s="132" t="s">
        <v>51</v>
      </c>
      <c r="S5" s="451" t="s">
        <v>45</v>
      </c>
      <c r="T5" s="479"/>
      <c r="U5" s="925"/>
      <c r="V5" s="440"/>
      <c r="W5" s="929"/>
      <c r="X5" s="779"/>
      <c r="Y5" s="132" t="s">
        <v>46</v>
      </c>
      <c r="Z5" s="132" t="s">
        <v>47</v>
      </c>
      <c r="AA5" s="132" t="s">
        <v>48</v>
      </c>
      <c r="AB5" s="132" t="s">
        <v>49</v>
      </c>
      <c r="AC5" s="132" t="s">
        <v>50</v>
      </c>
      <c r="AD5" s="132" t="s">
        <v>51</v>
      </c>
      <c r="AE5" s="451" t="s">
        <v>45</v>
      </c>
      <c r="AF5" s="779"/>
      <c r="AG5" s="925"/>
      <c r="AH5" s="440"/>
      <c r="AI5" s="929">
        <f>AG4-AH4</f>
        <v>-25.403299999999945</v>
      </c>
      <c r="AJ5" s="779"/>
      <c r="AK5" s="132" t="s">
        <v>46</v>
      </c>
      <c r="AL5" s="132" t="s">
        <v>47</v>
      </c>
      <c r="AM5" s="132" t="s">
        <v>48</v>
      </c>
      <c r="AN5" s="132" t="s">
        <v>49</v>
      </c>
      <c r="AO5" s="132" t="s">
        <v>50</v>
      </c>
      <c r="AP5" s="132" t="s">
        <v>51</v>
      </c>
      <c r="AQ5" s="451" t="s">
        <v>45</v>
      </c>
      <c r="AR5" s="779"/>
      <c r="AS5" s="925"/>
      <c r="AT5" s="440"/>
      <c r="AU5" s="929"/>
      <c r="AV5" s="779"/>
      <c r="AW5" s="132" t="s">
        <v>46</v>
      </c>
      <c r="AX5" s="132" t="s">
        <v>47</v>
      </c>
      <c r="AY5" s="132" t="s">
        <v>48</v>
      </c>
      <c r="AZ5" s="132" t="s">
        <v>49</v>
      </c>
      <c r="BA5" s="132" t="s">
        <v>50</v>
      </c>
      <c r="BB5" s="132" t="s">
        <v>51</v>
      </c>
      <c r="BC5" s="451" t="s">
        <v>45</v>
      </c>
      <c r="BD5" s="779"/>
      <c r="BE5" s="925"/>
      <c r="BF5" s="440"/>
      <c r="BG5" s="929"/>
      <c r="BH5" s="479"/>
      <c r="BI5" s="132" t="s">
        <v>46</v>
      </c>
      <c r="BJ5" s="132" t="s">
        <v>47</v>
      </c>
      <c r="BK5" s="479"/>
      <c r="BL5" s="925"/>
      <c r="BM5" s="440"/>
      <c r="BN5" s="929"/>
      <c r="BP5" s="4474"/>
      <c r="BQ5" s="4477"/>
      <c r="BS5" s="468">
        <f>J33*BX24</f>
        <v>3684.6899999999996</v>
      </c>
      <c r="BT5" s="495">
        <f>BS5/E33</f>
        <v>0.99999999999999989</v>
      </c>
      <c r="BU5" s="498">
        <f>BS5/1</f>
        <v>3684.6899999999996</v>
      </c>
      <c r="BZ5" s="470"/>
      <c r="CA5" s="699"/>
      <c r="CB5" s="699"/>
      <c r="CC5" s="1020">
        <f>CC4+BY4</f>
        <v>-695.52333333333308</v>
      </c>
      <c r="CD5" s="470"/>
      <c r="CE5" s="470"/>
      <c r="CF5" s="470"/>
      <c r="CG5" s="1021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  <c r="FH5" s="470"/>
      <c r="FI5" s="470"/>
      <c r="FJ5" s="470"/>
      <c r="FK5" s="470"/>
      <c r="FL5" s="470"/>
      <c r="FM5" s="470"/>
      <c r="FN5" s="470"/>
      <c r="FO5" s="470"/>
    </row>
    <row r="6" spans="1:171" s="432" customFormat="1" ht="15.75" thickBot="1" x14ac:dyDescent="0.25">
      <c r="B6" s="433" t="s">
        <v>0</v>
      </c>
      <c r="C6" s="433" t="s">
        <v>1</v>
      </c>
      <c r="D6" s="780"/>
      <c r="E6" s="433" t="s">
        <v>24</v>
      </c>
      <c r="F6" s="127" t="s">
        <v>108</v>
      </c>
      <c r="G6" s="647" t="s">
        <v>109</v>
      </c>
      <c r="H6" s="651" t="s">
        <v>110</v>
      </c>
      <c r="I6" s="655" t="s">
        <v>111</v>
      </c>
      <c r="J6" s="659" t="s">
        <v>107</v>
      </c>
      <c r="K6" s="441" t="s">
        <v>2</v>
      </c>
      <c r="L6" s="444"/>
      <c r="M6" s="433">
        <v>1</v>
      </c>
      <c r="N6" s="433">
        <v>2</v>
      </c>
      <c r="O6" s="433">
        <v>3</v>
      </c>
      <c r="P6" s="433">
        <v>4</v>
      </c>
      <c r="Q6" s="433">
        <v>5</v>
      </c>
      <c r="R6" s="433">
        <v>6</v>
      </c>
      <c r="S6" s="433">
        <v>7</v>
      </c>
      <c r="T6" s="922"/>
      <c r="U6" s="930"/>
      <c r="V6" s="931"/>
      <c r="W6" s="932"/>
      <c r="X6" s="924"/>
      <c r="Y6" s="433">
        <v>8</v>
      </c>
      <c r="Z6" s="433">
        <v>9</v>
      </c>
      <c r="AA6" s="433">
        <v>10</v>
      </c>
      <c r="AB6" s="433">
        <v>11</v>
      </c>
      <c r="AC6" s="433">
        <v>12</v>
      </c>
      <c r="AD6" s="433">
        <v>13</v>
      </c>
      <c r="AE6" s="433">
        <v>14</v>
      </c>
      <c r="AF6" s="780"/>
      <c r="AG6" s="930"/>
      <c r="AH6" s="931"/>
      <c r="AI6" s="932"/>
      <c r="AJ6" s="780"/>
      <c r="AK6" s="433">
        <v>15</v>
      </c>
      <c r="AL6" s="433">
        <v>16</v>
      </c>
      <c r="AM6" s="433">
        <v>17</v>
      </c>
      <c r="AN6" s="433">
        <v>18</v>
      </c>
      <c r="AO6" s="433">
        <v>19</v>
      </c>
      <c r="AP6" s="433">
        <v>20</v>
      </c>
      <c r="AQ6" s="433">
        <v>21</v>
      </c>
      <c r="AR6" s="780"/>
      <c r="AS6" s="930"/>
      <c r="AT6" s="931"/>
      <c r="AU6" s="932"/>
      <c r="AV6" s="780"/>
      <c r="AW6" s="433">
        <v>22</v>
      </c>
      <c r="AX6" s="433">
        <v>23</v>
      </c>
      <c r="AY6" s="433">
        <v>24</v>
      </c>
      <c r="AZ6" s="433">
        <v>25</v>
      </c>
      <c r="BA6" s="433">
        <v>26</v>
      </c>
      <c r="BB6" s="433">
        <v>27</v>
      </c>
      <c r="BC6" s="433">
        <v>28</v>
      </c>
      <c r="BD6" s="780"/>
      <c r="BE6" s="930"/>
      <c r="BF6" s="931"/>
      <c r="BG6" s="932"/>
      <c r="BH6" s="444"/>
      <c r="BI6" s="433">
        <v>29</v>
      </c>
      <c r="BJ6" s="433">
        <v>30</v>
      </c>
      <c r="BK6" s="444"/>
      <c r="BL6" s="930"/>
      <c r="BM6" s="931"/>
      <c r="BN6" s="932"/>
      <c r="BP6" s="4475"/>
      <c r="BQ6" s="4478"/>
      <c r="BS6" s="443" t="s">
        <v>7</v>
      </c>
      <c r="BT6" s="443" t="s">
        <v>2</v>
      </c>
      <c r="BU6" s="444"/>
      <c r="BW6" s="512">
        <f>BT4-BS1</f>
        <v>0.16280700230774725</v>
      </c>
      <c r="BX6" s="444"/>
      <c r="BY6" s="444" t="s">
        <v>101</v>
      </c>
      <c r="BZ6" s="472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</row>
    <row r="7" spans="1:171" s="255" customFormat="1" ht="15" customHeight="1" thickBot="1" x14ac:dyDescent="0.25">
      <c r="B7" s="81"/>
      <c r="C7" s="81" t="s">
        <v>19</v>
      </c>
      <c r="D7" s="81"/>
      <c r="E7" s="81"/>
      <c r="F7" s="81"/>
      <c r="G7" s="81"/>
      <c r="H7" s="81"/>
      <c r="I7" s="81"/>
      <c r="J7" s="81"/>
      <c r="K7" s="337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S7" s="4519" t="s">
        <v>99</v>
      </c>
      <c r="BT7" s="4519"/>
      <c r="BU7" s="1361">
        <f>BS5-BS3</f>
        <v>-576.5600000000004</v>
      </c>
      <c r="BW7" s="573">
        <f>BW6*E33</f>
        <v>599.8933333333332</v>
      </c>
    </row>
    <row r="8" spans="1:171" s="432" customFormat="1" x14ac:dyDescent="0.2">
      <c r="A8" s="775"/>
      <c r="B8" s="433">
        <v>1</v>
      </c>
      <c r="C8" s="433" t="s">
        <v>134</v>
      </c>
      <c r="D8" s="780"/>
      <c r="E8" s="347">
        <v>400</v>
      </c>
      <c r="F8" s="347">
        <f t="shared" ref="F8:F15" si="4">E8/10</f>
        <v>40</v>
      </c>
      <c r="G8" s="347">
        <f t="shared" ref="G8:G15" si="5">E8/15</f>
        <v>26.666666666666668</v>
      </c>
      <c r="H8" s="347">
        <f t="shared" ref="H8:H15" si="6">E8/20</f>
        <v>20</v>
      </c>
      <c r="I8" s="347">
        <f t="shared" ref="I8:I15" si="7">E8/25</f>
        <v>16</v>
      </c>
      <c r="J8" s="347">
        <f>E8/30</f>
        <v>13.333333333333334</v>
      </c>
      <c r="K8" s="531">
        <f t="shared" ref="K8:K17" si="8">E8/$E$31</f>
        <v>0.36185766871387648</v>
      </c>
      <c r="L8" s="491"/>
      <c r="M8" s="347">
        <f t="shared" ref="M8:S8" si="9">$J$8</f>
        <v>13.333333333333334</v>
      </c>
      <c r="N8" s="347">
        <f t="shared" si="9"/>
        <v>13.333333333333334</v>
      </c>
      <c r="O8" s="347">
        <f t="shared" si="9"/>
        <v>13.333333333333334</v>
      </c>
      <c r="P8" s="347">
        <f t="shared" si="9"/>
        <v>13.333333333333334</v>
      </c>
      <c r="Q8" s="347">
        <f t="shared" si="9"/>
        <v>13.333333333333334</v>
      </c>
      <c r="R8" s="347">
        <f t="shared" si="9"/>
        <v>13.333333333333334</v>
      </c>
      <c r="S8" s="347">
        <f t="shared" si="9"/>
        <v>13.333333333333334</v>
      </c>
      <c r="T8" s="481"/>
      <c r="U8" s="933">
        <f t="shared" ref="U8:U55" si="10">SUM(M8:S8)</f>
        <v>93.333333333333329</v>
      </c>
      <c r="V8" s="618">
        <f>($U$3*K8)*30%</f>
        <v>150.48213011135266</v>
      </c>
      <c r="W8" s="1180">
        <f>V8-U8</f>
        <v>57.148796778019332</v>
      </c>
      <c r="X8" s="781"/>
      <c r="Y8" s="347">
        <f t="shared" ref="Y8:AE8" si="11">$J$8</f>
        <v>13.333333333333334</v>
      </c>
      <c r="Z8" s="347">
        <f t="shared" si="11"/>
        <v>13.333333333333334</v>
      </c>
      <c r="AA8" s="347">
        <f t="shared" si="11"/>
        <v>13.333333333333334</v>
      </c>
      <c r="AB8" s="347">
        <f t="shared" si="11"/>
        <v>13.333333333333334</v>
      </c>
      <c r="AC8" s="347">
        <f t="shared" si="11"/>
        <v>13.333333333333334</v>
      </c>
      <c r="AD8" s="347">
        <f t="shared" si="11"/>
        <v>13.333333333333334</v>
      </c>
      <c r="AE8" s="347">
        <f t="shared" si="11"/>
        <v>13.333333333333334</v>
      </c>
      <c r="AF8" s="781"/>
      <c r="AG8" s="933">
        <f>SUM(Y8:AE8)</f>
        <v>93.333333333333329</v>
      </c>
      <c r="AH8" s="934">
        <f>($AG$3*K8)*30%</f>
        <v>81.607950736696992</v>
      </c>
      <c r="AI8" s="935">
        <f>AH8-AG8</f>
        <v>-11.725382596636337</v>
      </c>
      <c r="AJ8" s="781"/>
      <c r="AK8" s="483">
        <f t="shared" ref="AK8:AQ8" si="12">$J$8</f>
        <v>13.333333333333334</v>
      </c>
      <c r="AL8" s="483">
        <f t="shared" si="12"/>
        <v>13.333333333333334</v>
      </c>
      <c r="AM8" s="483">
        <f t="shared" si="12"/>
        <v>13.333333333333334</v>
      </c>
      <c r="AN8" s="483">
        <f t="shared" si="12"/>
        <v>13.333333333333334</v>
      </c>
      <c r="AO8" s="483">
        <f t="shared" si="12"/>
        <v>13.333333333333334</v>
      </c>
      <c r="AP8" s="483">
        <f t="shared" si="12"/>
        <v>13.333333333333334</v>
      </c>
      <c r="AQ8" s="483">
        <f t="shared" si="12"/>
        <v>13.333333333333334</v>
      </c>
      <c r="AR8" s="781"/>
      <c r="AS8" s="933">
        <f>SUM(AK8:AQ8)</f>
        <v>93.333333333333329</v>
      </c>
      <c r="AT8" s="934">
        <f>($AS$3*K8)*30%</f>
        <v>110.7230187614155</v>
      </c>
      <c r="AU8" s="935">
        <f>AT8-AS8</f>
        <v>17.389685428082174</v>
      </c>
      <c r="AV8" s="781"/>
      <c r="AW8" s="483">
        <f t="shared" ref="AW8:BC8" si="13">$J$8</f>
        <v>13.333333333333334</v>
      </c>
      <c r="AX8" s="483">
        <f t="shared" si="13"/>
        <v>13.333333333333334</v>
      </c>
      <c r="AY8" s="483">
        <f t="shared" si="13"/>
        <v>13.333333333333334</v>
      </c>
      <c r="AZ8" s="483">
        <f t="shared" si="13"/>
        <v>13.333333333333334</v>
      </c>
      <c r="BA8" s="483">
        <f t="shared" si="13"/>
        <v>13.333333333333334</v>
      </c>
      <c r="BB8" s="483">
        <f t="shared" si="13"/>
        <v>13.333333333333334</v>
      </c>
      <c r="BC8" s="483">
        <f t="shared" si="13"/>
        <v>13.333333333333334</v>
      </c>
      <c r="BD8" s="781"/>
      <c r="BE8" s="933">
        <f t="shared" ref="BE8:BE27" si="14">SUM(AW8:BC8)</f>
        <v>93.333333333333329</v>
      </c>
      <c r="BF8" s="934">
        <f>($BE$3*K8)*30%</f>
        <v>87.958552822625521</v>
      </c>
      <c r="BG8" s="935">
        <f>BF8-BE8</f>
        <v>-5.3747805107078079</v>
      </c>
      <c r="BH8" s="481"/>
      <c r="BI8" s="347">
        <f t="shared" ref="BI8:BJ8" si="15">$J$8</f>
        <v>13.333333333333334</v>
      </c>
      <c r="BJ8" s="483">
        <f t="shared" si="15"/>
        <v>13.333333333333334</v>
      </c>
      <c r="BK8" s="481"/>
      <c r="BL8" s="933">
        <f t="shared" ref="BL8:BL17" si="16">SUM(BI8:BJ8)</f>
        <v>26.666666666666668</v>
      </c>
      <c r="BM8" s="934">
        <f t="shared" ref="BM8:BM17" si="17">($BL$3*K8)*30%</f>
        <v>31.818144810011159</v>
      </c>
      <c r="BN8" s="935">
        <f>BM8-BL8</f>
        <v>5.1514781433444909</v>
      </c>
      <c r="BP8" s="347">
        <v>400</v>
      </c>
      <c r="BQ8" s="485">
        <f t="shared" ref="BQ8:BQ17" si="18">BP8/E8</f>
        <v>1</v>
      </c>
      <c r="BS8" s="933">
        <f t="shared" ref="BS8:BS17" si="19">SUM(M8:S8)+SUM(Y8:AE8)+SUM(AK8:AQ8)+SUM(AW8:BC8)+SUM(BI8:BJ8)</f>
        <v>400</v>
      </c>
      <c r="BT8" s="1013">
        <f t="shared" ref="BT8:BT17" si="20">BS8/E8</f>
        <v>1</v>
      </c>
      <c r="BU8" s="482"/>
      <c r="BW8" s="62"/>
      <c r="BX8" s="62"/>
      <c r="BY8" s="81"/>
      <c r="BZ8" s="81"/>
      <c r="CA8" s="81"/>
      <c r="CB8" s="81"/>
      <c r="CC8" s="81"/>
      <c r="CD8" s="81"/>
      <c r="CE8" s="81"/>
    </row>
    <row r="9" spans="1:171" s="255" customFormat="1" x14ac:dyDescent="0.2">
      <c r="B9" s="43">
        <v>2</v>
      </c>
      <c r="C9" s="43" t="s">
        <v>22</v>
      </c>
      <c r="D9" s="813"/>
      <c r="E9" s="132">
        <v>200</v>
      </c>
      <c r="F9" s="40">
        <f t="shared" si="4"/>
        <v>20</v>
      </c>
      <c r="G9" s="40">
        <f t="shared" si="5"/>
        <v>13.333333333333334</v>
      </c>
      <c r="H9" s="40">
        <f t="shared" si="6"/>
        <v>10</v>
      </c>
      <c r="I9" s="40">
        <f t="shared" si="7"/>
        <v>8</v>
      </c>
      <c r="J9" s="40">
        <f t="shared" ref="J9:J17" si="21">E9/30</f>
        <v>6.666666666666667</v>
      </c>
      <c r="K9" s="206">
        <f t="shared" si="8"/>
        <v>0.18092883435693824</v>
      </c>
      <c r="L9" s="411"/>
      <c r="M9" s="40">
        <f t="shared" ref="M9:S9" si="22">$J$9</f>
        <v>6.666666666666667</v>
      </c>
      <c r="N9" s="40">
        <f t="shared" si="22"/>
        <v>6.666666666666667</v>
      </c>
      <c r="O9" s="40">
        <f t="shared" si="22"/>
        <v>6.666666666666667</v>
      </c>
      <c r="P9" s="40">
        <f t="shared" si="22"/>
        <v>6.666666666666667</v>
      </c>
      <c r="Q9" s="40">
        <f t="shared" si="22"/>
        <v>6.666666666666667</v>
      </c>
      <c r="R9" s="40">
        <f t="shared" si="22"/>
        <v>6.666666666666667</v>
      </c>
      <c r="S9" s="40">
        <f t="shared" si="22"/>
        <v>6.666666666666667</v>
      </c>
      <c r="T9" s="1361"/>
      <c r="U9" s="911">
        <f t="shared" si="10"/>
        <v>46.666666666666664</v>
      </c>
      <c r="V9" s="40">
        <f t="shared" ref="V9:V25" si="23">($U$3*K9)*30%</f>
        <v>75.24106505567633</v>
      </c>
      <c r="W9" s="586">
        <f t="shared" ref="W9:W27" si="24">V9-U9</f>
        <v>28.574398389009666</v>
      </c>
      <c r="X9" s="782"/>
      <c r="Y9" s="40">
        <f t="shared" ref="Y9:AE9" si="25">$J$9</f>
        <v>6.666666666666667</v>
      </c>
      <c r="Z9" s="40">
        <f t="shared" si="25"/>
        <v>6.666666666666667</v>
      </c>
      <c r="AA9" s="40">
        <f t="shared" si="25"/>
        <v>6.666666666666667</v>
      </c>
      <c r="AB9" s="40">
        <f t="shared" si="25"/>
        <v>6.666666666666667</v>
      </c>
      <c r="AC9" s="40">
        <f t="shared" si="25"/>
        <v>6.666666666666667</v>
      </c>
      <c r="AD9" s="40">
        <f t="shared" si="25"/>
        <v>6.666666666666667</v>
      </c>
      <c r="AE9" s="40">
        <f t="shared" si="25"/>
        <v>6.666666666666667</v>
      </c>
      <c r="AF9" s="782"/>
      <c r="AG9" s="911">
        <f t="shared" ref="AG9:AG27" si="26">SUM(Y9:AE9)</f>
        <v>46.666666666666664</v>
      </c>
      <c r="AH9" s="1349">
        <f t="shared" ref="AH9:AH25" si="27">($AG$3*K9)*30%</f>
        <v>40.803975368348496</v>
      </c>
      <c r="AI9" s="936">
        <f t="shared" ref="AI9:AI27" si="28">AH9-AG9</f>
        <v>-5.8626912983181683</v>
      </c>
      <c r="AJ9" s="782"/>
      <c r="AK9" s="1349">
        <f t="shared" ref="AK9:AQ9" si="29">$J$9</f>
        <v>6.666666666666667</v>
      </c>
      <c r="AL9" s="1349">
        <f t="shared" si="29"/>
        <v>6.666666666666667</v>
      </c>
      <c r="AM9" s="1471">
        <f t="shared" si="29"/>
        <v>6.666666666666667</v>
      </c>
      <c r="AN9" s="1474">
        <f t="shared" si="29"/>
        <v>6.666666666666667</v>
      </c>
      <c r="AO9" s="1479">
        <f t="shared" si="29"/>
        <v>6.666666666666667</v>
      </c>
      <c r="AP9" s="1486">
        <f t="shared" si="29"/>
        <v>6.666666666666667</v>
      </c>
      <c r="AQ9" s="1349">
        <f t="shared" si="29"/>
        <v>6.666666666666667</v>
      </c>
      <c r="AR9" s="782"/>
      <c r="AS9" s="911">
        <f t="shared" ref="AS9:AS27" si="30">SUM(AK9:AQ9)</f>
        <v>46.666666666666664</v>
      </c>
      <c r="AT9" s="1349">
        <f t="shared" ref="AT9:AT27" si="31">($AS$3*K9)*30%</f>
        <v>55.361509380707751</v>
      </c>
      <c r="AU9" s="936">
        <f t="shared" ref="AU9:AU10" si="32">AT9-AS9</f>
        <v>8.6948427140410871</v>
      </c>
      <c r="AV9" s="782"/>
      <c r="AW9" s="1349">
        <f t="shared" ref="AW9:BC9" si="33">$J$9</f>
        <v>6.666666666666667</v>
      </c>
      <c r="AX9" s="1349">
        <f t="shared" si="33"/>
        <v>6.666666666666667</v>
      </c>
      <c r="AY9" s="1492">
        <f t="shared" si="33"/>
        <v>6.666666666666667</v>
      </c>
      <c r="AZ9" s="1517">
        <f t="shared" si="33"/>
        <v>6.666666666666667</v>
      </c>
      <c r="BA9" s="1520">
        <f t="shared" si="33"/>
        <v>6.666666666666667</v>
      </c>
      <c r="BB9" s="1525">
        <f t="shared" si="33"/>
        <v>6.666666666666667</v>
      </c>
      <c r="BC9" s="1528">
        <f t="shared" si="33"/>
        <v>6.666666666666667</v>
      </c>
      <c r="BD9" s="782"/>
      <c r="BE9" s="911">
        <f t="shared" si="14"/>
        <v>46.666666666666664</v>
      </c>
      <c r="BF9" s="1349">
        <f t="shared" ref="BF9:BF27" si="34">($BE$3*K9)*30%</f>
        <v>43.97927641131276</v>
      </c>
      <c r="BG9" s="936">
        <f t="shared" ref="BG9:BG10" si="35">BF9-BE9</f>
        <v>-2.687390255353904</v>
      </c>
      <c r="BH9" s="1361"/>
      <c r="BI9" s="40">
        <f t="shared" ref="BI9:BJ9" si="36">$J$9</f>
        <v>6.666666666666667</v>
      </c>
      <c r="BJ9" s="1349">
        <f t="shared" si="36"/>
        <v>6.666666666666667</v>
      </c>
      <c r="BK9" s="1361"/>
      <c r="BL9" s="911">
        <f t="shared" si="16"/>
        <v>13.333333333333334</v>
      </c>
      <c r="BM9" s="1349">
        <f t="shared" si="17"/>
        <v>15.909072405005579</v>
      </c>
      <c r="BN9" s="936">
        <f t="shared" ref="BN9:BN10" si="37">BM9-BL9</f>
        <v>2.5757390716722455</v>
      </c>
      <c r="BP9" s="40">
        <v>200</v>
      </c>
      <c r="BQ9" s="51">
        <f t="shared" si="18"/>
        <v>1</v>
      </c>
      <c r="BS9" s="925">
        <f t="shared" si="19"/>
        <v>200</v>
      </c>
      <c r="BT9" s="1014">
        <f t="shared" si="20"/>
        <v>1</v>
      </c>
      <c r="BU9" s="62"/>
      <c r="BW9" s="1224"/>
      <c r="BX9" s="482"/>
      <c r="BY9" s="444"/>
      <c r="BZ9" s="438"/>
      <c r="CA9" s="438"/>
      <c r="CB9" s="438"/>
      <c r="CC9" s="438"/>
      <c r="CD9" s="438"/>
      <c r="CE9" s="438"/>
    </row>
    <row r="10" spans="1:171" x14ac:dyDescent="0.2">
      <c r="B10" s="433">
        <v>3</v>
      </c>
      <c r="C10" s="3" t="s">
        <v>23</v>
      </c>
      <c r="D10" s="814"/>
      <c r="E10" s="347">
        <v>60</v>
      </c>
      <c r="F10" s="5">
        <f t="shared" si="4"/>
        <v>6</v>
      </c>
      <c r="G10" s="5">
        <f t="shared" si="5"/>
        <v>4</v>
      </c>
      <c r="H10" s="5">
        <f t="shared" si="6"/>
        <v>3</v>
      </c>
      <c r="I10" s="5">
        <f t="shared" si="7"/>
        <v>2.4</v>
      </c>
      <c r="J10" s="5">
        <f t="shared" si="21"/>
        <v>2</v>
      </c>
      <c r="K10" s="194">
        <f t="shared" si="8"/>
        <v>5.4278650307081469E-2</v>
      </c>
      <c r="L10" s="28"/>
      <c r="M10" s="5">
        <f t="shared" ref="M10:S10" si="38">$J$10</f>
        <v>2</v>
      </c>
      <c r="N10" s="5">
        <f t="shared" si="38"/>
        <v>2</v>
      </c>
      <c r="O10" s="5">
        <f t="shared" si="38"/>
        <v>2</v>
      </c>
      <c r="P10" s="5">
        <f t="shared" si="38"/>
        <v>2</v>
      </c>
      <c r="Q10" s="5">
        <f t="shared" si="38"/>
        <v>2</v>
      </c>
      <c r="R10" s="5">
        <f t="shared" si="38"/>
        <v>2</v>
      </c>
      <c r="S10" s="5">
        <f t="shared" si="38"/>
        <v>2</v>
      </c>
      <c r="T10" s="14"/>
      <c r="U10" s="937">
        <f t="shared" si="10"/>
        <v>14</v>
      </c>
      <c r="V10" s="5">
        <f t="shared" si="23"/>
        <v>22.572319516702894</v>
      </c>
      <c r="W10" s="1143">
        <f t="shared" si="24"/>
        <v>8.572319516702894</v>
      </c>
      <c r="X10" s="145"/>
      <c r="Y10" s="5">
        <f t="shared" ref="Y10:AE10" si="39">$J$10</f>
        <v>2</v>
      </c>
      <c r="Z10" s="5">
        <f t="shared" si="39"/>
        <v>2</v>
      </c>
      <c r="AA10" s="5">
        <f t="shared" si="39"/>
        <v>2</v>
      </c>
      <c r="AB10" s="5">
        <f t="shared" si="39"/>
        <v>2</v>
      </c>
      <c r="AC10" s="5">
        <f t="shared" si="39"/>
        <v>2</v>
      </c>
      <c r="AD10" s="5">
        <f t="shared" si="39"/>
        <v>2</v>
      </c>
      <c r="AE10" s="5">
        <f t="shared" si="39"/>
        <v>2</v>
      </c>
      <c r="AF10" s="145"/>
      <c r="AG10" s="937">
        <f t="shared" si="26"/>
        <v>14</v>
      </c>
      <c r="AH10" s="1348">
        <f t="shared" si="27"/>
        <v>12.241192610504548</v>
      </c>
      <c r="AI10" s="938">
        <f t="shared" si="28"/>
        <v>-1.7588073894954519</v>
      </c>
      <c r="AJ10" s="145"/>
      <c r="AK10" s="1348">
        <f t="shared" ref="AK10:AQ10" si="40">$J$10</f>
        <v>2</v>
      </c>
      <c r="AL10" s="1348">
        <f t="shared" si="40"/>
        <v>2</v>
      </c>
      <c r="AM10" s="1470">
        <f t="shared" si="40"/>
        <v>2</v>
      </c>
      <c r="AN10" s="1475">
        <f t="shared" si="40"/>
        <v>2</v>
      </c>
      <c r="AO10" s="1478">
        <f t="shared" si="40"/>
        <v>2</v>
      </c>
      <c r="AP10" s="1487">
        <f t="shared" si="40"/>
        <v>2</v>
      </c>
      <c r="AQ10" s="1348">
        <f t="shared" si="40"/>
        <v>2</v>
      </c>
      <c r="AR10" s="145"/>
      <c r="AS10" s="937">
        <f t="shared" si="30"/>
        <v>14</v>
      </c>
      <c r="AT10" s="1348">
        <f t="shared" si="31"/>
        <v>16.608452814212324</v>
      </c>
      <c r="AU10" s="938">
        <f t="shared" si="32"/>
        <v>2.608452814212324</v>
      </c>
      <c r="AV10" s="145"/>
      <c r="AW10" s="1348">
        <f t="shared" ref="AW10:BC10" si="41">$J$10</f>
        <v>2</v>
      </c>
      <c r="AX10" s="1348">
        <f t="shared" si="41"/>
        <v>2</v>
      </c>
      <c r="AY10" s="1493">
        <f t="shared" si="41"/>
        <v>2</v>
      </c>
      <c r="AZ10" s="1516">
        <f t="shared" si="41"/>
        <v>2</v>
      </c>
      <c r="BA10" s="1521">
        <f t="shared" si="41"/>
        <v>2</v>
      </c>
      <c r="BB10" s="1524">
        <f t="shared" si="41"/>
        <v>2</v>
      </c>
      <c r="BC10" s="1529">
        <f t="shared" si="41"/>
        <v>2</v>
      </c>
      <c r="BD10" s="145"/>
      <c r="BE10" s="937">
        <f t="shared" si="14"/>
        <v>14</v>
      </c>
      <c r="BF10" s="1348">
        <f t="shared" si="34"/>
        <v>13.19378292339383</v>
      </c>
      <c r="BG10" s="938">
        <f t="shared" si="35"/>
        <v>-0.80621707660617048</v>
      </c>
      <c r="BH10" s="14"/>
      <c r="BI10" s="5">
        <f t="shared" ref="BI10:BJ10" si="42">$J$10</f>
        <v>2</v>
      </c>
      <c r="BJ10" s="1348">
        <f t="shared" si="42"/>
        <v>2</v>
      </c>
      <c r="BK10" s="14"/>
      <c r="BL10" s="937">
        <f t="shared" si="16"/>
        <v>4</v>
      </c>
      <c r="BM10" s="1348">
        <f t="shared" si="17"/>
        <v>4.7727217215016733</v>
      </c>
      <c r="BN10" s="938">
        <f t="shared" si="37"/>
        <v>0.77272172150167329</v>
      </c>
      <c r="BP10" s="5">
        <v>60</v>
      </c>
      <c r="BQ10" s="9">
        <f t="shared" si="18"/>
        <v>1</v>
      </c>
      <c r="BS10" s="937">
        <f t="shared" si="19"/>
        <v>60</v>
      </c>
      <c r="BT10" s="1015">
        <f t="shared" si="20"/>
        <v>1</v>
      </c>
      <c r="BU10" s="29"/>
      <c r="BW10" s="1225"/>
      <c r="BX10" s="480"/>
      <c r="BY10" s="438"/>
      <c r="BZ10" s="444"/>
      <c r="CA10" s="444"/>
      <c r="CB10" s="444"/>
      <c r="CC10" s="444"/>
      <c r="CD10" s="444"/>
      <c r="CE10" s="444"/>
    </row>
    <row r="11" spans="1:171" s="255" customFormat="1" x14ac:dyDescent="0.2">
      <c r="B11" s="43">
        <v>4</v>
      </c>
      <c r="C11" s="43" t="s">
        <v>127</v>
      </c>
      <c r="D11" s="813"/>
      <c r="E11" s="132">
        <v>32.771000000000001</v>
      </c>
      <c r="F11" s="40">
        <f t="shared" si="4"/>
        <v>3.2770999999999999</v>
      </c>
      <c r="G11" s="40">
        <f t="shared" si="5"/>
        <v>2.1847333333333334</v>
      </c>
      <c r="H11" s="40">
        <f t="shared" si="6"/>
        <v>1.63855</v>
      </c>
      <c r="I11" s="40">
        <f t="shared" si="7"/>
        <v>1.31084</v>
      </c>
      <c r="J11" s="40">
        <f t="shared" si="21"/>
        <v>1.0923666666666667</v>
      </c>
      <c r="K11" s="206">
        <f t="shared" si="8"/>
        <v>2.9646094153556114E-2</v>
      </c>
      <c r="L11" s="411"/>
      <c r="M11" s="40">
        <f t="shared" ref="M11:S11" si="43">$J$11</f>
        <v>1.0923666666666667</v>
      </c>
      <c r="N11" s="40">
        <f t="shared" si="43"/>
        <v>1.0923666666666667</v>
      </c>
      <c r="O11" s="40">
        <f t="shared" si="43"/>
        <v>1.0923666666666667</v>
      </c>
      <c r="P11" s="40">
        <f t="shared" si="43"/>
        <v>1.0923666666666667</v>
      </c>
      <c r="Q11" s="40">
        <f t="shared" si="43"/>
        <v>1.0923666666666667</v>
      </c>
      <c r="R11" s="40">
        <f t="shared" si="43"/>
        <v>1.0923666666666667</v>
      </c>
      <c r="S11" s="40">
        <f t="shared" si="43"/>
        <v>1.0923666666666667</v>
      </c>
      <c r="T11" s="1361"/>
      <c r="U11" s="911">
        <f t="shared" si="10"/>
        <v>7.6465666666666676</v>
      </c>
      <c r="V11" s="40">
        <f t="shared" si="23"/>
        <v>12.328624714697844</v>
      </c>
      <c r="W11" s="586">
        <f>V11-U11</f>
        <v>4.682058048031176</v>
      </c>
      <c r="X11" s="782"/>
      <c r="Y11" s="40">
        <f t="shared" ref="Y11:AE11" si="44">$J$11</f>
        <v>1.0923666666666667</v>
      </c>
      <c r="Z11" s="40">
        <f t="shared" si="44"/>
        <v>1.0923666666666667</v>
      </c>
      <c r="AA11" s="40">
        <f t="shared" si="44"/>
        <v>1.0923666666666667</v>
      </c>
      <c r="AB11" s="40">
        <f t="shared" si="44"/>
        <v>1.0923666666666667</v>
      </c>
      <c r="AC11" s="40">
        <f t="shared" si="44"/>
        <v>1.0923666666666667</v>
      </c>
      <c r="AD11" s="40">
        <f t="shared" si="44"/>
        <v>1.0923666666666667</v>
      </c>
      <c r="AE11" s="40">
        <f t="shared" si="44"/>
        <v>1.0923666666666667</v>
      </c>
      <c r="AF11" s="782"/>
      <c r="AG11" s="911">
        <f t="shared" si="26"/>
        <v>7.6465666666666676</v>
      </c>
      <c r="AH11" s="1349">
        <f t="shared" si="27"/>
        <v>6.6859353839807421</v>
      </c>
      <c r="AI11" s="936">
        <f>AH11-AG11</f>
        <v>-0.96063128268592557</v>
      </c>
      <c r="AJ11" s="782"/>
      <c r="AK11" s="1349">
        <f t="shared" ref="AK11:AQ11" si="45">$J$11</f>
        <v>1.0923666666666667</v>
      </c>
      <c r="AL11" s="1349">
        <f t="shared" si="45"/>
        <v>1.0923666666666667</v>
      </c>
      <c r="AM11" s="1471">
        <f t="shared" si="45"/>
        <v>1.0923666666666667</v>
      </c>
      <c r="AN11" s="1474">
        <f t="shared" si="45"/>
        <v>1.0923666666666667</v>
      </c>
      <c r="AO11" s="1479">
        <f t="shared" si="45"/>
        <v>1.0923666666666667</v>
      </c>
      <c r="AP11" s="1486">
        <f t="shared" si="45"/>
        <v>1.0923666666666667</v>
      </c>
      <c r="AQ11" s="1349">
        <f t="shared" si="45"/>
        <v>1.0923666666666667</v>
      </c>
      <c r="AR11" s="782"/>
      <c r="AS11" s="911">
        <f t="shared" si="30"/>
        <v>7.6465666666666676</v>
      </c>
      <c r="AT11" s="1349">
        <f t="shared" si="31"/>
        <v>9.071260119575868</v>
      </c>
      <c r="AU11" s="936">
        <f>AT11-AS11</f>
        <v>1.4246934529092004</v>
      </c>
      <c r="AV11" s="782"/>
      <c r="AW11" s="1349">
        <f t="shared" ref="AW11:BC11" si="46">$J$11</f>
        <v>1.0923666666666667</v>
      </c>
      <c r="AX11" s="1349">
        <f t="shared" si="46"/>
        <v>1.0923666666666667</v>
      </c>
      <c r="AY11" s="1492">
        <f t="shared" si="46"/>
        <v>1.0923666666666667</v>
      </c>
      <c r="AZ11" s="1517">
        <f t="shared" si="46"/>
        <v>1.0923666666666667</v>
      </c>
      <c r="BA11" s="1520">
        <f t="shared" si="46"/>
        <v>1.0923666666666667</v>
      </c>
      <c r="BB11" s="1525">
        <f t="shared" si="46"/>
        <v>1.0923666666666667</v>
      </c>
      <c r="BC11" s="1528">
        <f t="shared" si="46"/>
        <v>1.0923666666666667</v>
      </c>
      <c r="BD11" s="782"/>
      <c r="BE11" s="911">
        <f t="shared" si="14"/>
        <v>7.6465666666666676</v>
      </c>
      <c r="BF11" s="1349">
        <f t="shared" si="34"/>
        <v>7.2062243363756524</v>
      </c>
      <c r="BG11" s="936">
        <f>BF11-BE11</f>
        <v>-0.44034233029101522</v>
      </c>
      <c r="BH11" s="1361"/>
      <c r="BI11" s="40">
        <f t="shared" ref="BI11:BJ11" si="47">$J$11</f>
        <v>1.0923666666666667</v>
      </c>
      <c r="BJ11" s="1349">
        <f t="shared" si="47"/>
        <v>1.0923666666666667</v>
      </c>
      <c r="BK11" s="1361"/>
      <c r="BL11" s="911">
        <f t="shared" si="16"/>
        <v>2.1847333333333334</v>
      </c>
      <c r="BM11" s="1349">
        <f t="shared" si="17"/>
        <v>2.6067810589221891</v>
      </c>
      <c r="BN11" s="936">
        <f>BM11-BL11</f>
        <v>0.42204772558885573</v>
      </c>
      <c r="BP11" s="40">
        <v>32.771000000000001</v>
      </c>
      <c r="BQ11" s="51">
        <f t="shared" si="18"/>
        <v>1</v>
      </c>
      <c r="BS11" s="911">
        <f t="shared" si="19"/>
        <v>32.771000000000001</v>
      </c>
      <c r="BT11" s="1016">
        <f t="shared" si="20"/>
        <v>1</v>
      </c>
      <c r="BU11" s="62"/>
      <c r="BW11" s="1226"/>
      <c r="BX11" s="62"/>
      <c r="BY11" s="1033"/>
      <c r="BZ11" s="438"/>
      <c r="CA11" s="438"/>
      <c r="CB11" s="438"/>
      <c r="CC11" s="438"/>
      <c r="CD11" s="438"/>
      <c r="CE11" s="438"/>
    </row>
    <row r="12" spans="1:171" x14ac:dyDescent="0.2">
      <c r="A12" s="432"/>
      <c r="B12" s="433">
        <v>5</v>
      </c>
      <c r="C12" s="3" t="s">
        <v>165</v>
      </c>
      <c r="D12" s="814"/>
      <c r="E12" s="347">
        <v>25.5</v>
      </c>
      <c r="F12" s="5">
        <f t="shared" si="4"/>
        <v>2.5499999999999998</v>
      </c>
      <c r="G12" s="5">
        <f t="shared" si="5"/>
        <v>1.7</v>
      </c>
      <c r="H12" s="5">
        <f t="shared" si="6"/>
        <v>1.2749999999999999</v>
      </c>
      <c r="I12" s="5">
        <f t="shared" si="7"/>
        <v>1.02</v>
      </c>
      <c r="J12" s="5">
        <f t="shared" si="21"/>
        <v>0.85</v>
      </c>
      <c r="K12" s="194">
        <f t="shared" si="8"/>
        <v>2.3068426380509623E-2</v>
      </c>
      <c r="L12" s="28"/>
      <c r="M12" s="5">
        <f t="shared" ref="M12:S12" si="48">$J$12</f>
        <v>0.85</v>
      </c>
      <c r="N12" s="5">
        <f t="shared" si="48"/>
        <v>0.85</v>
      </c>
      <c r="O12" s="5">
        <f t="shared" si="48"/>
        <v>0.85</v>
      </c>
      <c r="P12" s="5">
        <f t="shared" si="48"/>
        <v>0.85</v>
      </c>
      <c r="Q12" s="5">
        <f t="shared" si="48"/>
        <v>0.85</v>
      </c>
      <c r="R12" s="5">
        <f t="shared" si="48"/>
        <v>0.85</v>
      </c>
      <c r="S12" s="5">
        <f t="shared" si="48"/>
        <v>0.85</v>
      </c>
      <c r="T12" s="14"/>
      <c r="U12" s="937">
        <f t="shared" si="10"/>
        <v>5.9499999999999993</v>
      </c>
      <c r="V12" s="5">
        <f t="shared" si="23"/>
        <v>9.5932357945987299</v>
      </c>
      <c r="W12" s="1143">
        <f t="shared" si="24"/>
        <v>3.6432357945987306</v>
      </c>
      <c r="X12" s="145"/>
      <c r="Y12" s="5">
        <f t="shared" ref="Y12:AE12" si="49">$J$12</f>
        <v>0.85</v>
      </c>
      <c r="Z12" s="5">
        <f t="shared" si="49"/>
        <v>0.85</v>
      </c>
      <c r="AA12" s="5">
        <f t="shared" si="49"/>
        <v>0.85</v>
      </c>
      <c r="AB12" s="5">
        <f t="shared" si="49"/>
        <v>0.85</v>
      </c>
      <c r="AC12" s="5">
        <f t="shared" si="49"/>
        <v>0.85</v>
      </c>
      <c r="AD12" s="5">
        <f t="shared" si="49"/>
        <v>0.85</v>
      </c>
      <c r="AE12" s="5">
        <f t="shared" si="49"/>
        <v>0.85</v>
      </c>
      <c r="AF12" s="145"/>
      <c r="AG12" s="937">
        <f t="shared" si="26"/>
        <v>5.9499999999999993</v>
      </c>
      <c r="AH12" s="1348">
        <f t="shared" si="27"/>
        <v>5.2025068594644326</v>
      </c>
      <c r="AI12" s="938">
        <f t="shared" si="28"/>
        <v>-0.7474931405355667</v>
      </c>
      <c r="AJ12" s="145"/>
      <c r="AK12" s="1348">
        <f t="shared" ref="AK12:AQ12" si="50">$J$12</f>
        <v>0.85</v>
      </c>
      <c r="AL12" s="1348">
        <f t="shared" si="50"/>
        <v>0.85</v>
      </c>
      <c r="AM12" s="1470">
        <f t="shared" si="50"/>
        <v>0.85</v>
      </c>
      <c r="AN12" s="1475">
        <f t="shared" si="50"/>
        <v>0.85</v>
      </c>
      <c r="AO12" s="1478">
        <f t="shared" si="50"/>
        <v>0.85</v>
      </c>
      <c r="AP12" s="1487">
        <f t="shared" si="50"/>
        <v>0.85</v>
      </c>
      <c r="AQ12" s="1348">
        <f t="shared" si="50"/>
        <v>0.85</v>
      </c>
      <c r="AR12" s="145"/>
      <c r="AS12" s="937">
        <f t="shared" si="30"/>
        <v>5.9499999999999993</v>
      </c>
      <c r="AT12" s="1348">
        <f t="shared" si="31"/>
        <v>7.0585924460402367</v>
      </c>
      <c r="AU12" s="938">
        <f t="shared" ref="AU12:AU27" si="51">AT12-AS12</f>
        <v>1.1085924460402374</v>
      </c>
      <c r="AV12" s="145"/>
      <c r="AW12" s="1348">
        <f t="shared" ref="AW12:BC12" si="52">$J$12</f>
        <v>0.85</v>
      </c>
      <c r="AX12" s="1348">
        <f t="shared" si="52"/>
        <v>0.85</v>
      </c>
      <c r="AY12" s="1493">
        <f t="shared" si="52"/>
        <v>0.85</v>
      </c>
      <c r="AZ12" s="1516">
        <f t="shared" si="52"/>
        <v>0.85</v>
      </c>
      <c r="BA12" s="1521">
        <f t="shared" si="52"/>
        <v>0.85</v>
      </c>
      <c r="BB12" s="1524">
        <f t="shared" si="52"/>
        <v>0.85</v>
      </c>
      <c r="BC12" s="1529">
        <f t="shared" si="52"/>
        <v>0.85</v>
      </c>
      <c r="BD12" s="145"/>
      <c r="BE12" s="937">
        <f t="shared" si="14"/>
        <v>5.9499999999999993</v>
      </c>
      <c r="BF12" s="1348">
        <f t="shared" si="34"/>
        <v>5.6073577424423773</v>
      </c>
      <c r="BG12" s="938">
        <f t="shared" ref="BG12:BG27" si="53">BF12-BE12</f>
        <v>-0.34264225755762201</v>
      </c>
      <c r="BH12" s="14"/>
      <c r="BI12" s="5">
        <f t="shared" ref="BI12:BJ12" si="54">$J$12</f>
        <v>0.85</v>
      </c>
      <c r="BJ12" s="1348">
        <f t="shared" si="54"/>
        <v>0.85</v>
      </c>
      <c r="BK12" s="14"/>
      <c r="BL12" s="937">
        <f t="shared" si="16"/>
        <v>1.7</v>
      </c>
      <c r="BM12" s="1348">
        <f t="shared" si="17"/>
        <v>2.0284067316382113</v>
      </c>
      <c r="BN12" s="938">
        <f t="shared" ref="BN12:BN27" si="55">BM12-BL12</f>
        <v>0.32840673163821132</v>
      </c>
      <c r="BP12" s="5">
        <v>25.5</v>
      </c>
      <c r="BQ12" s="9">
        <f t="shared" si="18"/>
        <v>1</v>
      </c>
      <c r="BS12" s="937">
        <f t="shared" si="19"/>
        <v>25.499999999999996</v>
      </c>
      <c r="BT12" s="1015">
        <f t="shared" si="20"/>
        <v>0.99999999999999989</v>
      </c>
      <c r="BU12" s="29"/>
      <c r="BW12" s="1319"/>
      <c r="BX12" s="482"/>
      <c r="BY12" s="1203"/>
      <c r="BZ12" s="1353"/>
      <c r="CA12" s="1353"/>
      <c r="CB12" s="1353"/>
      <c r="CC12" s="1353"/>
      <c r="CD12" s="1353"/>
      <c r="CE12" s="1353"/>
    </row>
    <row r="13" spans="1:171" s="255" customFormat="1" x14ac:dyDescent="0.2">
      <c r="A13" s="426"/>
      <c r="B13" s="43">
        <v>6</v>
      </c>
      <c r="C13" s="427" t="s">
        <v>43</v>
      </c>
      <c r="D13" s="813"/>
      <c r="E13" s="132">
        <v>20</v>
      </c>
      <c r="F13" s="40">
        <f t="shared" si="4"/>
        <v>2</v>
      </c>
      <c r="G13" s="40">
        <f t="shared" si="5"/>
        <v>1.3333333333333333</v>
      </c>
      <c r="H13" s="40">
        <f t="shared" si="6"/>
        <v>1</v>
      </c>
      <c r="I13" s="40">
        <f t="shared" si="7"/>
        <v>0.8</v>
      </c>
      <c r="J13" s="40">
        <f t="shared" si="21"/>
        <v>0.66666666666666663</v>
      </c>
      <c r="K13" s="206">
        <f t="shared" si="8"/>
        <v>1.8092883435693822E-2</v>
      </c>
      <c r="L13" s="492"/>
      <c r="M13" s="40">
        <f t="shared" ref="M13:S13" si="56">$J$13</f>
        <v>0.66666666666666663</v>
      </c>
      <c r="N13" s="40">
        <f t="shared" si="56"/>
        <v>0.66666666666666663</v>
      </c>
      <c r="O13" s="40">
        <f t="shared" si="56"/>
        <v>0.66666666666666663</v>
      </c>
      <c r="P13" s="40">
        <f t="shared" si="56"/>
        <v>0.66666666666666663</v>
      </c>
      <c r="Q13" s="40">
        <f t="shared" si="56"/>
        <v>0.66666666666666663</v>
      </c>
      <c r="R13" s="40">
        <f t="shared" si="56"/>
        <v>0.66666666666666663</v>
      </c>
      <c r="S13" s="40">
        <f t="shared" si="56"/>
        <v>0.66666666666666663</v>
      </c>
      <c r="T13" s="1361"/>
      <c r="U13" s="911">
        <f t="shared" si="10"/>
        <v>4.6666666666666661</v>
      </c>
      <c r="V13" s="40">
        <f t="shared" si="23"/>
        <v>7.5241065055676319</v>
      </c>
      <c r="W13" s="586">
        <f t="shared" si="24"/>
        <v>2.8574398389009659</v>
      </c>
      <c r="X13" s="782"/>
      <c r="Y13" s="40">
        <f t="shared" ref="Y13:AE13" si="57">$J$13</f>
        <v>0.66666666666666663</v>
      </c>
      <c r="Z13" s="40">
        <f t="shared" si="57"/>
        <v>0.66666666666666663</v>
      </c>
      <c r="AA13" s="40">
        <f t="shared" si="57"/>
        <v>0.66666666666666663</v>
      </c>
      <c r="AB13" s="40">
        <f t="shared" si="57"/>
        <v>0.66666666666666663</v>
      </c>
      <c r="AC13" s="40">
        <f t="shared" si="57"/>
        <v>0.66666666666666663</v>
      </c>
      <c r="AD13" s="40">
        <f t="shared" si="57"/>
        <v>0.66666666666666663</v>
      </c>
      <c r="AE13" s="40">
        <f t="shared" si="57"/>
        <v>0.66666666666666663</v>
      </c>
      <c r="AF13" s="782"/>
      <c r="AG13" s="911">
        <f t="shared" si="26"/>
        <v>4.6666666666666661</v>
      </c>
      <c r="AH13" s="1349">
        <f t="shared" si="27"/>
        <v>4.0803975368348491</v>
      </c>
      <c r="AI13" s="936">
        <f t="shared" si="28"/>
        <v>-0.586269129831817</v>
      </c>
      <c r="AJ13" s="782"/>
      <c r="AK13" s="1349">
        <f t="shared" ref="AK13:AQ13" si="58">$J$13</f>
        <v>0.66666666666666663</v>
      </c>
      <c r="AL13" s="1349">
        <f t="shared" si="58"/>
        <v>0.66666666666666663</v>
      </c>
      <c r="AM13" s="1471">
        <f t="shared" si="58"/>
        <v>0.66666666666666663</v>
      </c>
      <c r="AN13" s="1474">
        <f t="shared" si="58"/>
        <v>0.66666666666666663</v>
      </c>
      <c r="AO13" s="1479">
        <f t="shared" si="58"/>
        <v>0.66666666666666663</v>
      </c>
      <c r="AP13" s="1486">
        <f t="shared" si="58"/>
        <v>0.66666666666666663</v>
      </c>
      <c r="AQ13" s="1349">
        <f t="shared" si="58"/>
        <v>0.66666666666666663</v>
      </c>
      <c r="AR13" s="782"/>
      <c r="AS13" s="911">
        <f t="shared" si="30"/>
        <v>4.6666666666666661</v>
      </c>
      <c r="AT13" s="1349">
        <f t="shared" si="31"/>
        <v>5.536150938070775</v>
      </c>
      <c r="AU13" s="936">
        <f t="shared" si="51"/>
        <v>0.86948427140410889</v>
      </c>
      <c r="AV13" s="782"/>
      <c r="AW13" s="1349">
        <f t="shared" ref="AW13:BC13" si="59">$J$13</f>
        <v>0.66666666666666663</v>
      </c>
      <c r="AX13" s="1349">
        <f t="shared" si="59"/>
        <v>0.66666666666666663</v>
      </c>
      <c r="AY13" s="1492">
        <f t="shared" si="59"/>
        <v>0.66666666666666663</v>
      </c>
      <c r="AZ13" s="1517">
        <f t="shared" si="59"/>
        <v>0.66666666666666663</v>
      </c>
      <c r="BA13" s="1520">
        <f t="shared" si="59"/>
        <v>0.66666666666666663</v>
      </c>
      <c r="BB13" s="1525">
        <f t="shared" si="59"/>
        <v>0.66666666666666663</v>
      </c>
      <c r="BC13" s="1528">
        <f t="shared" si="59"/>
        <v>0.66666666666666663</v>
      </c>
      <c r="BD13" s="782"/>
      <c r="BE13" s="911">
        <f t="shared" si="14"/>
        <v>4.6666666666666661</v>
      </c>
      <c r="BF13" s="1349">
        <f t="shared" si="34"/>
        <v>4.3979276411312762</v>
      </c>
      <c r="BG13" s="936">
        <f t="shared" si="53"/>
        <v>-0.26873902553538986</v>
      </c>
      <c r="BH13" s="1361"/>
      <c r="BI13" s="40">
        <f t="shared" ref="BI13:BJ13" si="60">$J$13</f>
        <v>0.66666666666666663</v>
      </c>
      <c r="BJ13" s="1349">
        <f t="shared" si="60"/>
        <v>0.66666666666666663</v>
      </c>
      <c r="BK13" s="1361"/>
      <c r="BL13" s="911">
        <f t="shared" si="16"/>
        <v>1.3333333333333333</v>
      </c>
      <c r="BM13" s="1349">
        <f t="shared" si="17"/>
        <v>1.5909072405005578</v>
      </c>
      <c r="BN13" s="936">
        <f t="shared" si="55"/>
        <v>0.2575739071672245</v>
      </c>
      <c r="BP13" s="40">
        <v>20</v>
      </c>
      <c r="BQ13" s="51">
        <f t="shared" si="18"/>
        <v>1</v>
      </c>
      <c r="BS13" s="911">
        <f t="shared" si="19"/>
        <v>19.999999999999996</v>
      </c>
      <c r="BT13" s="1016">
        <f t="shared" si="20"/>
        <v>0.99999999999999978</v>
      </c>
      <c r="BU13" s="62"/>
      <c r="BW13" s="1320"/>
      <c r="BX13" s="29"/>
      <c r="BY13" s="1353"/>
      <c r="BZ13" s="81"/>
      <c r="CA13" s="81"/>
      <c r="CB13" s="81"/>
      <c r="CC13" s="81"/>
      <c r="CD13" s="81"/>
      <c r="CE13" s="81"/>
    </row>
    <row r="14" spans="1:171" s="432" customFormat="1" x14ac:dyDescent="0.2">
      <c r="B14" s="433">
        <v>7</v>
      </c>
      <c r="C14" s="433" t="s">
        <v>144</v>
      </c>
      <c r="D14" s="780"/>
      <c r="E14" s="347">
        <v>12</v>
      </c>
      <c r="F14" s="347">
        <f t="shared" si="4"/>
        <v>1.2</v>
      </c>
      <c r="G14" s="347">
        <f t="shared" si="5"/>
        <v>0.8</v>
      </c>
      <c r="H14" s="347">
        <f t="shared" si="6"/>
        <v>0.6</v>
      </c>
      <c r="I14" s="347">
        <f t="shared" si="7"/>
        <v>0.48</v>
      </c>
      <c r="J14" s="347">
        <f t="shared" si="21"/>
        <v>0.4</v>
      </c>
      <c r="K14" s="531">
        <f t="shared" si="8"/>
        <v>1.0855730061416293E-2</v>
      </c>
      <c r="L14" s="28"/>
      <c r="M14" s="347">
        <f t="shared" ref="M14:S14" si="61">$J$14</f>
        <v>0.4</v>
      </c>
      <c r="N14" s="347">
        <f t="shared" si="61"/>
        <v>0.4</v>
      </c>
      <c r="O14" s="347">
        <f t="shared" si="61"/>
        <v>0.4</v>
      </c>
      <c r="P14" s="347">
        <f t="shared" si="61"/>
        <v>0.4</v>
      </c>
      <c r="Q14" s="347">
        <f t="shared" si="61"/>
        <v>0.4</v>
      </c>
      <c r="R14" s="347">
        <f t="shared" si="61"/>
        <v>0.4</v>
      </c>
      <c r="S14" s="347">
        <f t="shared" si="61"/>
        <v>0.4</v>
      </c>
      <c r="T14" s="481"/>
      <c r="U14" s="927">
        <f t="shared" si="10"/>
        <v>2.8</v>
      </c>
      <c r="V14" s="347">
        <f t="shared" si="23"/>
        <v>4.5144639033405793</v>
      </c>
      <c r="W14" s="928">
        <f t="shared" si="24"/>
        <v>1.7144639033405795</v>
      </c>
      <c r="X14" s="781"/>
      <c r="Y14" s="347">
        <f t="shared" ref="Y14:AE14" si="62">$J$14</f>
        <v>0.4</v>
      </c>
      <c r="Z14" s="347">
        <f t="shared" si="62"/>
        <v>0.4</v>
      </c>
      <c r="AA14" s="347">
        <f t="shared" si="62"/>
        <v>0.4</v>
      </c>
      <c r="AB14" s="347">
        <f t="shared" si="62"/>
        <v>0.4</v>
      </c>
      <c r="AC14" s="347">
        <f t="shared" si="62"/>
        <v>0.4</v>
      </c>
      <c r="AD14" s="347">
        <f t="shared" si="62"/>
        <v>0.4</v>
      </c>
      <c r="AE14" s="347">
        <f t="shared" si="62"/>
        <v>0.4</v>
      </c>
      <c r="AF14" s="781"/>
      <c r="AG14" s="927">
        <f t="shared" si="26"/>
        <v>2.8</v>
      </c>
      <c r="AH14" s="483">
        <f t="shared" si="27"/>
        <v>2.4482385221009095</v>
      </c>
      <c r="AI14" s="939">
        <f t="shared" si="28"/>
        <v>-0.35176147789909029</v>
      </c>
      <c r="AJ14" s="781"/>
      <c r="AK14" s="483">
        <f t="shared" ref="AK14:AQ14" si="63">$J$14</f>
        <v>0.4</v>
      </c>
      <c r="AL14" s="483">
        <f t="shared" si="63"/>
        <v>0.4</v>
      </c>
      <c r="AM14" s="483">
        <f t="shared" si="63"/>
        <v>0.4</v>
      </c>
      <c r="AN14" s="483">
        <f t="shared" si="63"/>
        <v>0.4</v>
      </c>
      <c r="AO14" s="483">
        <f t="shared" si="63"/>
        <v>0.4</v>
      </c>
      <c r="AP14" s="483">
        <f t="shared" si="63"/>
        <v>0.4</v>
      </c>
      <c r="AQ14" s="483">
        <f t="shared" si="63"/>
        <v>0.4</v>
      </c>
      <c r="AR14" s="781"/>
      <c r="AS14" s="927">
        <f t="shared" si="30"/>
        <v>2.8</v>
      </c>
      <c r="AT14" s="483">
        <f t="shared" si="31"/>
        <v>3.3216905628424644</v>
      </c>
      <c r="AU14" s="939">
        <f t="shared" si="51"/>
        <v>0.52169056284246462</v>
      </c>
      <c r="AV14" s="781"/>
      <c r="AW14" s="483">
        <f t="shared" ref="AW14:BC14" si="64">$J$14</f>
        <v>0.4</v>
      </c>
      <c r="AX14" s="483">
        <f t="shared" si="64"/>
        <v>0.4</v>
      </c>
      <c r="AY14" s="483">
        <f t="shared" si="64"/>
        <v>0.4</v>
      </c>
      <c r="AZ14" s="483">
        <f t="shared" si="64"/>
        <v>0.4</v>
      </c>
      <c r="BA14" s="483">
        <f t="shared" si="64"/>
        <v>0.4</v>
      </c>
      <c r="BB14" s="483">
        <f t="shared" si="64"/>
        <v>0.4</v>
      </c>
      <c r="BC14" s="483">
        <f t="shared" si="64"/>
        <v>0.4</v>
      </c>
      <c r="BD14" s="781"/>
      <c r="BE14" s="927">
        <f t="shared" si="14"/>
        <v>2.8</v>
      </c>
      <c r="BF14" s="483">
        <f t="shared" si="34"/>
        <v>2.6387565846787657</v>
      </c>
      <c r="BG14" s="939">
        <f t="shared" si="53"/>
        <v>-0.1612434153212341</v>
      </c>
      <c r="BH14" s="481"/>
      <c r="BI14" s="347">
        <f t="shared" ref="BI14:BJ14" si="65">$J$14</f>
        <v>0.4</v>
      </c>
      <c r="BJ14" s="483">
        <f t="shared" si="65"/>
        <v>0.4</v>
      </c>
      <c r="BK14" s="481"/>
      <c r="BL14" s="927">
        <f t="shared" si="16"/>
        <v>0.8</v>
      </c>
      <c r="BM14" s="483">
        <f t="shared" si="17"/>
        <v>0.95454434430033475</v>
      </c>
      <c r="BN14" s="939">
        <f t="shared" si="55"/>
        <v>0.1545443443003347</v>
      </c>
      <c r="BP14" s="347">
        <v>12</v>
      </c>
      <c r="BQ14" s="485">
        <f t="shared" si="18"/>
        <v>1</v>
      </c>
      <c r="BS14" s="927">
        <f t="shared" si="19"/>
        <v>12</v>
      </c>
      <c r="BT14" s="1017">
        <f t="shared" si="20"/>
        <v>1</v>
      </c>
      <c r="BU14" s="482"/>
      <c r="BW14" s="1353"/>
      <c r="BX14" s="1170"/>
      <c r="BY14" s="81"/>
      <c r="BZ14" s="1353"/>
      <c r="CA14" s="1353"/>
      <c r="CB14" s="1353"/>
      <c r="CC14" s="1353"/>
      <c r="CD14" s="1353"/>
      <c r="CE14" s="1353"/>
    </row>
    <row r="15" spans="1:171" s="255" customFormat="1" x14ac:dyDescent="0.2">
      <c r="A15" s="426"/>
      <c r="B15" s="43">
        <v>8</v>
      </c>
      <c r="C15" s="427" t="s">
        <v>162</v>
      </c>
      <c r="D15" s="812"/>
      <c r="E15" s="132">
        <v>10</v>
      </c>
      <c r="F15" s="132">
        <f t="shared" si="4"/>
        <v>1</v>
      </c>
      <c r="G15" s="132">
        <f t="shared" si="5"/>
        <v>0.66666666666666663</v>
      </c>
      <c r="H15" s="132">
        <f t="shared" si="6"/>
        <v>0.5</v>
      </c>
      <c r="I15" s="132">
        <f t="shared" si="7"/>
        <v>0.4</v>
      </c>
      <c r="J15" s="132">
        <f t="shared" si="21"/>
        <v>0.33333333333333331</v>
      </c>
      <c r="K15" s="478">
        <f t="shared" si="8"/>
        <v>9.0464417178469109E-3</v>
      </c>
      <c r="L15" s="492"/>
      <c r="M15" s="40">
        <f t="shared" ref="M15:S15" si="66">$J$15</f>
        <v>0.33333333333333331</v>
      </c>
      <c r="N15" s="40">
        <f t="shared" si="66"/>
        <v>0.33333333333333331</v>
      </c>
      <c r="O15" s="40">
        <f t="shared" si="66"/>
        <v>0.33333333333333331</v>
      </c>
      <c r="P15" s="40">
        <f t="shared" si="66"/>
        <v>0.33333333333333331</v>
      </c>
      <c r="Q15" s="40">
        <f t="shared" si="66"/>
        <v>0.33333333333333331</v>
      </c>
      <c r="R15" s="40">
        <f t="shared" si="66"/>
        <v>0.33333333333333331</v>
      </c>
      <c r="S15" s="40">
        <f t="shared" si="66"/>
        <v>0.33333333333333331</v>
      </c>
      <c r="T15" s="1361"/>
      <c r="U15" s="911">
        <f t="shared" si="10"/>
        <v>2.333333333333333</v>
      </c>
      <c r="V15" s="40">
        <f t="shared" si="23"/>
        <v>3.762053252783816</v>
      </c>
      <c r="W15" s="586">
        <f t="shared" si="24"/>
        <v>1.4287199194504829</v>
      </c>
      <c r="X15" s="782"/>
      <c r="Y15" s="40">
        <f t="shared" ref="Y15:AE15" si="67">$J$15</f>
        <v>0.33333333333333331</v>
      </c>
      <c r="Z15" s="40">
        <f t="shared" si="67"/>
        <v>0.33333333333333331</v>
      </c>
      <c r="AA15" s="40">
        <f t="shared" si="67"/>
        <v>0.33333333333333331</v>
      </c>
      <c r="AB15" s="40">
        <f t="shared" si="67"/>
        <v>0.33333333333333331</v>
      </c>
      <c r="AC15" s="40">
        <f t="shared" si="67"/>
        <v>0.33333333333333331</v>
      </c>
      <c r="AD15" s="40">
        <f t="shared" si="67"/>
        <v>0.33333333333333331</v>
      </c>
      <c r="AE15" s="40">
        <f t="shared" si="67"/>
        <v>0.33333333333333331</v>
      </c>
      <c r="AF15" s="782"/>
      <c r="AG15" s="911">
        <f t="shared" si="26"/>
        <v>2.333333333333333</v>
      </c>
      <c r="AH15" s="1349">
        <f t="shared" si="27"/>
        <v>2.0401987684174245</v>
      </c>
      <c r="AI15" s="936">
        <f t="shared" si="28"/>
        <v>-0.2931345649159085</v>
      </c>
      <c r="AJ15" s="782"/>
      <c r="AK15" s="1349">
        <f t="shared" ref="AK15:AQ15" si="68">$J$15</f>
        <v>0.33333333333333331</v>
      </c>
      <c r="AL15" s="1349">
        <f t="shared" si="68"/>
        <v>0.33333333333333331</v>
      </c>
      <c r="AM15" s="1471">
        <f t="shared" si="68"/>
        <v>0.33333333333333331</v>
      </c>
      <c r="AN15" s="1474">
        <f t="shared" si="68"/>
        <v>0.33333333333333331</v>
      </c>
      <c r="AO15" s="1479">
        <f t="shared" si="68"/>
        <v>0.33333333333333331</v>
      </c>
      <c r="AP15" s="1486">
        <f t="shared" si="68"/>
        <v>0.33333333333333331</v>
      </c>
      <c r="AQ15" s="1349">
        <f t="shared" si="68"/>
        <v>0.33333333333333331</v>
      </c>
      <c r="AR15" s="782"/>
      <c r="AS15" s="911">
        <f t="shared" si="30"/>
        <v>2.333333333333333</v>
      </c>
      <c r="AT15" s="1349">
        <f t="shared" si="31"/>
        <v>2.7680754690353875</v>
      </c>
      <c r="AU15" s="936">
        <f t="shared" si="51"/>
        <v>0.43474213570205444</v>
      </c>
      <c r="AV15" s="782"/>
      <c r="AW15" s="1349">
        <f t="shared" ref="AW15:BC15" si="69">$J$15</f>
        <v>0.33333333333333331</v>
      </c>
      <c r="AX15" s="1349">
        <f t="shared" si="69"/>
        <v>0.33333333333333331</v>
      </c>
      <c r="AY15" s="1492">
        <f t="shared" si="69"/>
        <v>0.33333333333333331</v>
      </c>
      <c r="AZ15" s="1517">
        <f t="shared" si="69"/>
        <v>0.33333333333333331</v>
      </c>
      <c r="BA15" s="1520">
        <f t="shared" si="69"/>
        <v>0.33333333333333331</v>
      </c>
      <c r="BB15" s="1525">
        <f t="shared" si="69"/>
        <v>0.33333333333333331</v>
      </c>
      <c r="BC15" s="1528">
        <f t="shared" si="69"/>
        <v>0.33333333333333331</v>
      </c>
      <c r="BD15" s="782"/>
      <c r="BE15" s="911">
        <f t="shared" si="14"/>
        <v>2.333333333333333</v>
      </c>
      <c r="BF15" s="1349">
        <f t="shared" si="34"/>
        <v>2.1989638205656381</v>
      </c>
      <c r="BG15" s="936">
        <f t="shared" si="53"/>
        <v>-0.13436951276769493</v>
      </c>
      <c r="BH15" s="1361"/>
      <c r="BI15" s="40">
        <f t="shared" ref="BI15:BJ15" si="70">$J$15</f>
        <v>0.33333333333333331</v>
      </c>
      <c r="BJ15" s="1349">
        <f t="shared" si="70"/>
        <v>0.33333333333333331</v>
      </c>
      <c r="BK15" s="1361"/>
      <c r="BL15" s="911">
        <f t="shared" si="16"/>
        <v>0.66666666666666663</v>
      </c>
      <c r="BM15" s="1349">
        <f t="shared" si="17"/>
        <v>0.79545362025027888</v>
      </c>
      <c r="BN15" s="936">
        <f t="shared" si="55"/>
        <v>0.12878695358361225</v>
      </c>
      <c r="BP15" s="40">
        <v>10</v>
      </c>
      <c r="BQ15" s="51">
        <f t="shared" si="18"/>
        <v>1</v>
      </c>
      <c r="BS15" s="911">
        <f t="shared" si="19"/>
        <v>9.9999999999999982</v>
      </c>
      <c r="BT15" s="1016">
        <f t="shared" si="20"/>
        <v>0.99999999999999978</v>
      </c>
      <c r="BU15" s="62"/>
      <c r="BW15" s="1353"/>
      <c r="BX15" s="81"/>
      <c r="BY15" s="81"/>
      <c r="BZ15" s="81"/>
      <c r="CA15" s="81"/>
      <c r="CB15" s="81"/>
      <c r="CC15" s="81"/>
      <c r="CD15" s="81"/>
      <c r="CE15" s="81"/>
    </row>
    <row r="16" spans="1:171" s="432" customFormat="1" x14ac:dyDescent="0.2">
      <c r="B16" s="433">
        <v>9</v>
      </c>
      <c r="C16" s="663" t="s">
        <v>167</v>
      </c>
      <c r="D16" s="780"/>
      <c r="E16" s="664">
        <v>10</v>
      </c>
      <c r="F16" s="664"/>
      <c r="G16" s="664"/>
      <c r="H16" s="664"/>
      <c r="I16" s="664"/>
      <c r="J16" s="664">
        <f t="shared" si="21"/>
        <v>0.33333333333333331</v>
      </c>
      <c r="K16" s="665">
        <f t="shared" si="8"/>
        <v>9.0464417178469109E-3</v>
      </c>
      <c r="L16" s="491"/>
      <c r="M16" s="347">
        <f t="shared" ref="M16:S16" si="71">$J$16</f>
        <v>0.33333333333333331</v>
      </c>
      <c r="N16" s="347">
        <f t="shared" si="71"/>
        <v>0.33333333333333331</v>
      </c>
      <c r="O16" s="347">
        <f t="shared" si="71"/>
        <v>0.33333333333333331</v>
      </c>
      <c r="P16" s="347">
        <f t="shared" si="71"/>
        <v>0.33333333333333331</v>
      </c>
      <c r="Q16" s="347">
        <f t="shared" si="71"/>
        <v>0.33333333333333331</v>
      </c>
      <c r="R16" s="347">
        <f t="shared" si="71"/>
        <v>0.33333333333333331</v>
      </c>
      <c r="S16" s="347">
        <f t="shared" si="71"/>
        <v>0.33333333333333331</v>
      </c>
      <c r="T16" s="481"/>
      <c r="U16" s="927">
        <f t="shared" si="10"/>
        <v>2.333333333333333</v>
      </c>
      <c r="V16" s="347">
        <f t="shared" si="23"/>
        <v>3.762053252783816</v>
      </c>
      <c r="W16" s="928">
        <f t="shared" si="24"/>
        <v>1.4287199194504829</v>
      </c>
      <c r="X16" s="781"/>
      <c r="Y16" s="347">
        <f t="shared" ref="Y16:AE16" si="72">$J$16</f>
        <v>0.33333333333333331</v>
      </c>
      <c r="Z16" s="347">
        <f t="shared" si="72"/>
        <v>0.33333333333333331</v>
      </c>
      <c r="AA16" s="347">
        <f t="shared" si="72"/>
        <v>0.33333333333333331</v>
      </c>
      <c r="AB16" s="347">
        <f t="shared" si="72"/>
        <v>0.33333333333333331</v>
      </c>
      <c r="AC16" s="347">
        <f t="shared" si="72"/>
        <v>0.33333333333333331</v>
      </c>
      <c r="AD16" s="347">
        <f t="shared" si="72"/>
        <v>0.33333333333333331</v>
      </c>
      <c r="AE16" s="347">
        <f t="shared" si="72"/>
        <v>0.33333333333333331</v>
      </c>
      <c r="AF16" s="781"/>
      <c r="AG16" s="940">
        <f t="shared" si="26"/>
        <v>2.333333333333333</v>
      </c>
      <c r="AH16" s="667">
        <f t="shared" si="27"/>
        <v>2.0401987684174245</v>
      </c>
      <c r="AI16" s="941">
        <f t="shared" si="28"/>
        <v>-0.2931345649159085</v>
      </c>
      <c r="AJ16" s="781"/>
      <c r="AK16" s="667">
        <f t="shared" ref="AK16:AQ16" si="73">$J$16</f>
        <v>0.33333333333333331</v>
      </c>
      <c r="AL16" s="667">
        <f t="shared" si="73"/>
        <v>0.33333333333333331</v>
      </c>
      <c r="AM16" s="667">
        <f t="shared" si="73"/>
        <v>0.33333333333333331</v>
      </c>
      <c r="AN16" s="667">
        <f t="shared" si="73"/>
        <v>0.33333333333333331</v>
      </c>
      <c r="AO16" s="667">
        <f t="shared" si="73"/>
        <v>0.33333333333333331</v>
      </c>
      <c r="AP16" s="667">
        <f t="shared" si="73"/>
        <v>0.33333333333333331</v>
      </c>
      <c r="AQ16" s="667">
        <f t="shared" si="73"/>
        <v>0.33333333333333331</v>
      </c>
      <c r="AR16" s="781"/>
      <c r="AS16" s="940">
        <f t="shared" si="30"/>
        <v>2.333333333333333</v>
      </c>
      <c r="AT16" s="667">
        <f t="shared" si="31"/>
        <v>2.7680754690353875</v>
      </c>
      <c r="AU16" s="941">
        <f t="shared" si="51"/>
        <v>0.43474213570205444</v>
      </c>
      <c r="AV16" s="781"/>
      <c r="AW16" s="667">
        <f t="shared" ref="AW16:BC16" si="74">$J$16</f>
        <v>0.33333333333333331</v>
      </c>
      <c r="AX16" s="667">
        <f t="shared" si="74"/>
        <v>0.33333333333333331</v>
      </c>
      <c r="AY16" s="667">
        <f t="shared" si="74"/>
        <v>0.33333333333333331</v>
      </c>
      <c r="AZ16" s="667">
        <f t="shared" si="74"/>
        <v>0.33333333333333331</v>
      </c>
      <c r="BA16" s="667">
        <f t="shared" si="74"/>
        <v>0.33333333333333331</v>
      </c>
      <c r="BB16" s="667">
        <f t="shared" si="74"/>
        <v>0.33333333333333331</v>
      </c>
      <c r="BC16" s="667">
        <f t="shared" si="74"/>
        <v>0.33333333333333331</v>
      </c>
      <c r="BD16" s="781"/>
      <c r="BE16" s="940">
        <f t="shared" si="14"/>
        <v>2.333333333333333</v>
      </c>
      <c r="BF16" s="667">
        <f t="shared" si="34"/>
        <v>2.1989638205656381</v>
      </c>
      <c r="BG16" s="941">
        <f t="shared" si="53"/>
        <v>-0.13436951276769493</v>
      </c>
      <c r="BH16" s="481"/>
      <c r="BI16" s="664">
        <f t="shared" ref="BI16:BJ16" si="75">$J$16</f>
        <v>0.33333333333333331</v>
      </c>
      <c r="BJ16" s="667">
        <f t="shared" si="75"/>
        <v>0.33333333333333331</v>
      </c>
      <c r="BK16" s="481"/>
      <c r="BL16" s="940">
        <f t="shared" si="16"/>
        <v>0.66666666666666663</v>
      </c>
      <c r="BM16" s="667">
        <f t="shared" si="17"/>
        <v>0.79545362025027888</v>
      </c>
      <c r="BN16" s="941">
        <f t="shared" si="55"/>
        <v>0.12878695358361225</v>
      </c>
      <c r="BP16" s="347">
        <v>10</v>
      </c>
      <c r="BQ16" s="485">
        <f t="shared" si="18"/>
        <v>1</v>
      </c>
      <c r="BS16" s="927">
        <f t="shared" si="19"/>
        <v>9.9999999999999982</v>
      </c>
      <c r="BT16" s="1017">
        <f t="shared" si="20"/>
        <v>0.99999999999999978</v>
      </c>
      <c r="BU16" s="482"/>
      <c r="BW16" s="81"/>
      <c r="BX16" s="29"/>
      <c r="BY16" s="1353"/>
      <c r="BZ16" s="1353"/>
      <c r="CA16" s="1353"/>
      <c r="CB16" s="1353"/>
      <c r="CC16" s="1353"/>
      <c r="CD16" s="1353"/>
      <c r="CE16" s="1353"/>
    </row>
    <row r="17" spans="1:84" s="426" customFormat="1" ht="15.75" thickBot="1" x14ac:dyDescent="0.25">
      <c r="B17" s="43">
        <v>10</v>
      </c>
      <c r="C17" s="427" t="s">
        <v>124</v>
      </c>
      <c r="D17" s="812"/>
      <c r="E17" s="132">
        <v>1</v>
      </c>
      <c r="F17" s="132">
        <f>E17/10</f>
        <v>0.1</v>
      </c>
      <c r="G17" s="132">
        <f>E17/15</f>
        <v>6.6666666666666666E-2</v>
      </c>
      <c r="H17" s="132">
        <f>E17/20</f>
        <v>0.05</v>
      </c>
      <c r="I17" s="132">
        <f>E17/25</f>
        <v>0.04</v>
      </c>
      <c r="J17" s="132">
        <f t="shared" si="21"/>
        <v>3.3333333333333333E-2</v>
      </c>
      <c r="K17" s="478">
        <f t="shared" si="8"/>
        <v>9.0464417178469109E-4</v>
      </c>
      <c r="L17" s="492"/>
      <c r="M17" s="132">
        <f t="shared" ref="M17:S17" si="76">$J$17</f>
        <v>3.3333333333333333E-2</v>
      </c>
      <c r="N17" s="132">
        <f t="shared" si="76"/>
        <v>3.3333333333333333E-2</v>
      </c>
      <c r="O17" s="132">
        <f t="shared" si="76"/>
        <v>3.3333333333333333E-2</v>
      </c>
      <c r="P17" s="132">
        <f t="shared" si="76"/>
        <v>3.3333333333333333E-2</v>
      </c>
      <c r="Q17" s="132">
        <f t="shared" si="76"/>
        <v>3.3333333333333333E-2</v>
      </c>
      <c r="R17" s="132">
        <f t="shared" si="76"/>
        <v>3.3333333333333333E-2</v>
      </c>
      <c r="S17" s="132">
        <f t="shared" si="76"/>
        <v>3.3333333333333333E-2</v>
      </c>
      <c r="T17" s="479"/>
      <c r="U17" s="468">
        <f t="shared" si="10"/>
        <v>0.23333333333333331</v>
      </c>
      <c r="V17" s="1194">
        <f t="shared" si="23"/>
        <v>0.37620532527838157</v>
      </c>
      <c r="W17" s="1195">
        <f t="shared" si="24"/>
        <v>0.14287199194504827</v>
      </c>
      <c r="X17" s="779"/>
      <c r="Y17" s="132">
        <f t="shared" ref="Y17:AE17" si="77">$J$17</f>
        <v>3.3333333333333333E-2</v>
      </c>
      <c r="Z17" s="132">
        <f t="shared" si="77"/>
        <v>3.3333333333333333E-2</v>
      </c>
      <c r="AA17" s="132">
        <f t="shared" si="77"/>
        <v>3.3333333333333333E-2</v>
      </c>
      <c r="AB17" s="132">
        <f t="shared" si="77"/>
        <v>3.3333333333333333E-2</v>
      </c>
      <c r="AC17" s="132">
        <f t="shared" si="77"/>
        <v>3.3333333333333333E-2</v>
      </c>
      <c r="AD17" s="132">
        <f t="shared" si="77"/>
        <v>3.3333333333333333E-2</v>
      </c>
      <c r="AE17" s="132">
        <f t="shared" si="77"/>
        <v>3.3333333333333333E-2</v>
      </c>
      <c r="AF17" s="779"/>
      <c r="AG17" s="468">
        <f t="shared" si="26"/>
        <v>0.23333333333333331</v>
      </c>
      <c r="AH17" s="1172">
        <f t="shared" si="27"/>
        <v>0.20401987684174244</v>
      </c>
      <c r="AI17" s="1173">
        <f t="shared" si="28"/>
        <v>-2.9313456491590867E-2</v>
      </c>
      <c r="AJ17" s="779"/>
      <c r="AK17" s="440">
        <f t="shared" ref="AK17:AQ17" si="78">$J$17</f>
        <v>3.3333333333333333E-2</v>
      </c>
      <c r="AL17" s="440">
        <f t="shared" si="78"/>
        <v>3.3333333333333333E-2</v>
      </c>
      <c r="AM17" s="440">
        <f t="shared" si="78"/>
        <v>3.3333333333333333E-2</v>
      </c>
      <c r="AN17" s="440">
        <f t="shared" si="78"/>
        <v>3.3333333333333333E-2</v>
      </c>
      <c r="AO17" s="440">
        <f t="shared" si="78"/>
        <v>3.3333333333333333E-2</v>
      </c>
      <c r="AP17" s="440">
        <f t="shared" si="78"/>
        <v>3.3333333333333333E-2</v>
      </c>
      <c r="AQ17" s="440">
        <f t="shared" si="78"/>
        <v>3.3333333333333333E-2</v>
      </c>
      <c r="AR17" s="779"/>
      <c r="AS17" s="925">
        <f t="shared" si="30"/>
        <v>0.23333333333333331</v>
      </c>
      <c r="AT17" s="440">
        <f t="shared" si="31"/>
        <v>0.2768075469035387</v>
      </c>
      <c r="AU17" s="929">
        <f t="shared" si="51"/>
        <v>4.3474213570205394E-2</v>
      </c>
      <c r="AV17" s="779"/>
      <c r="AW17" s="440">
        <f t="shared" ref="AW17:BC17" si="79">$J$17</f>
        <v>3.3333333333333333E-2</v>
      </c>
      <c r="AX17" s="440">
        <f t="shared" si="79"/>
        <v>3.3333333333333333E-2</v>
      </c>
      <c r="AY17" s="440">
        <f t="shared" si="79"/>
        <v>3.3333333333333333E-2</v>
      </c>
      <c r="AZ17" s="440">
        <f t="shared" si="79"/>
        <v>3.3333333333333333E-2</v>
      </c>
      <c r="BA17" s="440">
        <f t="shared" si="79"/>
        <v>3.3333333333333333E-2</v>
      </c>
      <c r="BB17" s="440">
        <f t="shared" si="79"/>
        <v>3.3333333333333333E-2</v>
      </c>
      <c r="BC17" s="440">
        <f t="shared" si="79"/>
        <v>3.3333333333333333E-2</v>
      </c>
      <c r="BD17" s="779"/>
      <c r="BE17" s="925">
        <f t="shared" si="14"/>
        <v>0.23333333333333331</v>
      </c>
      <c r="BF17" s="440">
        <f t="shared" si="34"/>
        <v>0.21989638205656381</v>
      </c>
      <c r="BG17" s="929">
        <f t="shared" si="53"/>
        <v>-1.3436951276769499E-2</v>
      </c>
      <c r="BH17" s="479"/>
      <c r="BI17" s="132">
        <f t="shared" ref="BI17:BJ17" si="80">$J$17</f>
        <v>3.3333333333333333E-2</v>
      </c>
      <c r="BJ17" s="440">
        <f t="shared" si="80"/>
        <v>3.3333333333333333E-2</v>
      </c>
      <c r="BK17" s="479"/>
      <c r="BL17" s="925">
        <f t="shared" si="16"/>
        <v>6.6666666666666666E-2</v>
      </c>
      <c r="BM17" s="440">
        <f t="shared" si="17"/>
        <v>7.9545362025027891E-2</v>
      </c>
      <c r="BN17" s="929">
        <f t="shared" si="55"/>
        <v>1.2878695358361225E-2</v>
      </c>
      <c r="BP17" s="132">
        <v>1</v>
      </c>
      <c r="BQ17" s="641">
        <f t="shared" si="18"/>
        <v>1</v>
      </c>
      <c r="BS17" s="468">
        <f t="shared" si="19"/>
        <v>0.99999999999999989</v>
      </c>
      <c r="BT17" s="1196">
        <f t="shared" si="20"/>
        <v>0.99999999999999989</v>
      </c>
      <c r="BU17" s="480"/>
      <c r="BW17" s="1228"/>
      <c r="BX17" s="81"/>
      <c r="BY17" s="81"/>
      <c r="BZ17" s="81"/>
      <c r="CA17" s="81"/>
      <c r="CB17" s="81"/>
      <c r="CC17" s="81"/>
      <c r="CD17" s="81"/>
      <c r="CE17" s="81"/>
    </row>
    <row r="18" spans="1:84" s="438" customFormat="1" ht="4.5" customHeight="1" thickBot="1" x14ac:dyDescent="0.25">
      <c r="B18" s="1357"/>
      <c r="C18" s="1168"/>
      <c r="E18" s="429"/>
      <c r="F18" s="429"/>
      <c r="G18" s="429"/>
      <c r="H18" s="429"/>
      <c r="I18" s="429"/>
      <c r="J18" s="429"/>
      <c r="K18" s="1169"/>
      <c r="L18" s="492"/>
      <c r="M18" s="429"/>
      <c r="N18" s="429"/>
      <c r="O18" s="429"/>
      <c r="P18" s="429"/>
      <c r="Q18" s="429"/>
      <c r="R18" s="429"/>
      <c r="S18" s="429"/>
      <c r="T18" s="479"/>
      <c r="U18" s="479"/>
      <c r="V18" s="479"/>
      <c r="W18" s="479"/>
      <c r="X18" s="479"/>
      <c r="Y18" s="429"/>
      <c r="Z18" s="429"/>
      <c r="AA18" s="429"/>
      <c r="AB18" s="429"/>
      <c r="AC18" s="429"/>
      <c r="AD18" s="429"/>
      <c r="AE18" s="429"/>
      <c r="AF18" s="479"/>
      <c r="AG18" s="1193"/>
      <c r="AH18" s="1193"/>
      <c r="AI18" s="1193"/>
      <c r="AJ18" s="479"/>
      <c r="AK18" s="429"/>
      <c r="AL18" s="429"/>
      <c r="AM18" s="429"/>
      <c r="AN18" s="429"/>
      <c r="AO18" s="429"/>
      <c r="AP18" s="429"/>
      <c r="AQ18" s="429"/>
      <c r="AR18" s="479"/>
      <c r="AS18" s="1259"/>
      <c r="AT18" s="1259"/>
      <c r="AU18" s="1259"/>
      <c r="AV18" s="479"/>
      <c r="AW18" s="429"/>
      <c r="AX18" s="429"/>
      <c r="AY18" s="429"/>
      <c r="AZ18" s="429"/>
      <c r="BA18" s="429"/>
      <c r="BB18" s="429"/>
      <c r="BC18" s="429"/>
      <c r="BD18" s="479"/>
      <c r="BE18" s="429"/>
      <c r="BF18" s="429"/>
      <c r="BG18" s="429"/>
      <c r="BH18" s="479"/>
      <c r="BI18" s="429"/>
      <c r="BJ18" s="429"/>
      <c r="BK18" s="479"/>
      <c r="BL18" s="429"/>
      <c r="BM18" s="429"/>
      <c r="BN18" s="429"/>
      <c r="BP18" s="479"/>
      <c r="BQ18" s="480"/>
      <c r="BS18" s="479"/>
      <c r="BT18" s="480"/>
      <c r="BU18" s="480"/>
      <c r="BW18" s="1228"/>
      <c r="BX18" s="271"/>
      <c r="BY18" s="271"/>
      <c r="BZ18" s="81"/>
      <c r="CA18" s="81"/>
      <c r="CB18" s="81"/>
      <c r="CC18" s="81"/>
      <c r="CD18" s="81"/>
      <c r="CE18" s="81"/>
    </row>
    <row r="19" spans="1:84" s="833" customFormat="1" ht="15.75" thickBot="1" x14ac:dyDescent="0.25">
      <c r="B19" s="201"/>
      <c r="C19" s="1216">
        <f>E19*100/30</f>
        <v>2570.9033333333332</v>
      </c>
      <c r="D19" s="835"/>
      <c r="E19" s="89">
        <f>SUM(E8:E17)</f>
        <v>771.27099999999996</v>
      </c>
      <c r="F19" s="89">
        <f t="shared" ref="F19:K19" si="81">SUM(F8:F17)</f>
        <v>76.127099999999999</v>
      </c>
      <c r="G19" s="89">
        <f t="shared" si="81"/>
        <v>50.751400000000004</v>
      </c>
      <c r="H19" s="89">
        <f t="shared" si="81"/>
        <v>38.063549999999999</v>
      </c>
      <c r="I19" s="89">
        <f t="shared" si="81"/>
        <v>30.450839999999996</v>
      </c>
      <c r="J19" s="89">
        <f t="shared" si="81"/>
        <v>25.709033333333334</v>
      </c>
      <c r="K19" s="839">
        <f t="shared" si="81"/>
        <v>0.69772581501655073</v>
      </c>
      <c r="L19" s="877"/>
      <c r="M19" s="89">
        <f t="shared" ref="M19" si="82">SUM(M8:M17)</f>
        <v>25.709033333333334</v>
      </c>
      <c r="N19" s="89">
        <f t="shared" ref="N19:O19" si="83">SUM(N8:N17)</f>
        <v>25.709033333333334</v>
      </c>
      <c r="O19" s="89">
        <f t="shared" si="83"/>
        <v>25.709033333333334</v>
      </c>
      <c r="P19" s="89">
        <f t="shared" ref="P19:Q19" si="84">SUM(P8:P17)</f>
        <v>25.709033333333334</v>
      </c>
      <c r="Q19" s="89">
        <f t="shared" si="84"/>
        <v>25.709033333333334</v>
      </c>
      <c r="R19" s="89">
        <f t="shared" ref="R19" si="85">SUM(R8:R17)</f>
        <v>25.709033333333334</v>
      </c>
      <c r="S19" s="89">
        <f t="shared" ref="S19" si="86">SUM(S8:S17)</f>
        <v>25.709033333333334</v>
      </c>
      <c r="T19" s="841"/>
      <c r="U19" s="1181">
        <f>SUM(U8:U17)</f>
        <v>179.96323333333333</v>
      </c>
      <c r="V19" s="1182">
        <f>SUM(V8:V17)</f>
        <v>290.1562574327827</v>
      </c>
      <c r="W19" s="1183">
        <f t="shared" ref="W19" si="87">SUM(W8:W17)</f>
        <v>110.19302409944936</v>
      </c>
      <c r="X19" s="838"/>
      <c r="Y19" s="89">
        <f t="shared" ref="Y19:Z19" si="88">SUM(Y8:Y17)</f>
        <v>25.709033333333334</v>
      </c>
      <c r="Z19" s="89">
        <f t="shared" si="88"/>
        <v>25.709033333333334</v>
      </c>
      <c r="AA19" s="89">
        <f t="shared" ref="AA19" si="89">SUM(AA8:AA17)</f>
        <v>25.709033333333334</v>
      </c>
      <c r="AB19" s="89">
        <f>SUM(AB8:AB17)</f>
        <v>25.709033333333334</v>
      </c>
      <c r="AC19" s="89">
        <f>SUM(AC8:AC17)</f>
        <v>25.709033333333334</v>
      </c>
      <c r="AD19" s="89">
        <f>SUM(AD8:AD17)</f>
        <v>25.709033333333334</v>
      </c>
      <c r="AE19" s="89">
        <f>SUM(AE8:AE17)</f>
        <v>25.709033333333334</v>
      </c>
      <c r="AF19" s="838"/>
      <c r="AG19" s="1176">
        <f>SUM(AG8:AG17)</f>
        <v>179.96323333333333</v>
      </c>
      <c r="AH19" s="901">
        <f>SUM(AH8:AH17)</f>
        <v>157.35461443160756</v>
      </c>
      <c r="AI19" s="962">
        <f>SUM(AI8:AI17)</f>
        <v>-22.608618901725762</v>
      </c>
      <c r="AJ19" s="838"/>
      <c r="AK19" s="837">
        <f t="shared" ref="AK19:AP19" si="90">SUM(AK8:AK17)</f>
        <v>25.709033333333334</v>
      </c>
      <c r="AL19" s="837">
        <f t="shared" si="90"/>
        <v>25.709033333333334</v>
      </c>
      <c r="AM19" s="837">
        <f t="shared" si="90"/>
        <v>25.709033333333334</v>
      </c>
      <c r="AN19" s="837">
        <f t="shared" si="90"/>
        <v>25.709033333333334</v>
      </c>
      <c r="AO19" s="837">
        <f t="shared" si="90"/>
        <v>25.709033333333334</v>
      </c>
      <c r="AP19" s="837">
        <f t="shared" si="90"/>
        <v>25.709033333333334</v>
      </c>
      <c r="AQ19" s="837">
        <f t="shared" ref="AQ19" si="91">SUM(AQ8:AQ17)</f>
        <v>25.709033333333334</v>
      </c>
      <c r="AR19" s="838"/>
      <c r="AS19" s="1181">
        <f>SUM(AS8:AS17)</f>
        <v>179.96323333333333</v>
      </c>
      <c r="AT19" s="1260">
        <f>SUM(AT8:AT17)</f>
        <v>213.49363350783921</v>
      </c>
      <c r="AU19" s="1261">
        <f>SUM(AU8:AU17)</f>
        <v>33.530400174505907</v>
      </c>
      <c r="AV19" s="838"/>
      <c r="AW19" s="837">
        <f t="shared" ref="AW19" si="92">SUM(AW8:AW17)</f>
        <v>25.709033333333334</v>
      </c>
      <c r="AX19" s="837">
        <f t="shared" ref="AX19:AY19" si="93">SUM(AX8:AX17)</f>
        <v>25.709033333333334</v>
      </c>
      <c r="AY19" s="837">
        <f t="shared" si="93"/>
        <v>25.709033333333334</v>
      </c>
      <c r="AZ19" s="837">
        <f t="shared" ref="AZ19:BA19" si="94">SUM(AZ8:AZ17)</f>
        <v>25.709033333333334</v>
      </c>
      <c r="BA19" s="837">
        <f t="shared" si="94"/>
        <v>25.709033333333334</v>
      </c>
      <c r="BB19" s="837">
        <f t="shared" ref="BB19:BC19" si="95">SUM(BB8:BB17)</f>
        <v>25.709033333333334</v>
      </c>
      <c r="BC19" s="837">
        <f t="shared" si="95"/>
        <v>25.709033333333334</v>
      </c>
      <c r="BD19" s="838"/>
      <c r="BE19" s="1181">
        <f>SUM(BE8:BE17)</f>
        <v>179.96323333333333</v>
      </c>
      <c r="BF19" s="1260">
        <f>SUM(BF8:BF17)</f>
        <v>169.59970248514801</v>
      </c>
      <c r="BG19" s="1261">
        <f>SUM(BG8:BG17)</f>
        <v>-10.363530848185302</v>
      </c>
      <c r="BH19" s="841"/>
      <c r="BI19" s="89">
        <f t="shared" ref="BI19" si="96">SUM(BI8:BI17)</f>
        <v>25.709033333333334</v>
      </c>
      <c r="BJ19" s="89">
        <f t="shared" ref="BJ19" si="97">SUM(BJ8:BJ17)</f>
        <v>25.709033333333334</v>
      </c>
      <c r="BK19" s="841"/>
      <c r="BL19" s="1181">
        <f>SUM(BL8:BL17)</f>
        <v>51.418066666666668</v>
      </c>
      <c r="BM19" s="1260">
        <f>SUM(BM8:BM17)</f>
        <v>61.351030914405293</v>
      </c>
      <c r="BN19" s="1261">
        <f>SUM(BN8:BN17)</f>
        <v>9.9329642477386209</v>
      </c>
      <c r="BP19" s="1181">
        <f>SUM(BP8:BP17)</f>
        <v>771.27099999999996</v>
      </c>
      <c r="BQ19" s="1191">
        <f>BP19/E19</f>
        <v>1</v>
      </c>
      <c r="BS19" s="1181">
        <f>SUM(BS8:BS17)</f>
        <v>771.27099999999996</v>
      </c>
      <c r="BT19" s="1191">
        <f>BS19/E19</f>
        <v>1</v>
      </c>
      <c r="BU19" s="840"/>
      <c r="BW19" s="29"/>
      <c r="BX19" s="81"/>
      <c r="BY19" s="81"/>
      <c r="BZ19" s="271"/>
      <c r="CA19" s="271"/>
      <c r="CB19" s="271"/>
      <c r="CC19" s="271"/>
      <c r="CD19" s="271"/>
      <c r="CE19" s="271"/>
    </row>
    <row r="20" spans="1:84" s="438" customFormat="1" ht="4.5" customHeight="1" thickBot="1" x14ac:dyDescent="0.25">
      <c r="B20" s="1461"/>
      <c r="C20" s="1461"/>
      <c r="E20" s="1171"/>
      <c r="F20" s="1171"/>
      <c r="G20" s="1171"/>
      <c r="H20" s="1171"/>
      <c r="I20" s="1171"/>
      <c r="J20" s="1171"/>
      <c r="K20" s="1462"/>
      <c r="L20" s="492"/>
      <c r="M20" s="1171"/>
      <c r="N20" s="1171"/>
      <c r="O20" s="1171"/>
      <c r="P20" s="1171"/>
      <c r="Q20" s="1171"/>
      <c r="R20" s="1171"/>
      <c r="S20" s="1171"/>
      <c r="T20" s="479"/>
      <c r="U20" s="479"/>
      <c r="V20" s="479"/>
      <c r="W20" s="479"/>
      <c r="X20" s="479"/>
      <c r="Y20" s="1171"/>
      <c r="Z20" s="1171"/>
      <c r="AA20" s="1171"/>
      <c r="AB20" s="1171"/>
      <c r="AC20" s="1171"/>
      <c r="AD20" s="1171"/>
      <c r="AE20" s="1171"/>
      <c r="AF20" s="479"/>
      <c r="AG20" s="479"/>
      <c r="AH20" s="479"/>
      <c r="AI20" s="479"/>
      <c r="AJ20" s="479"/>
      <c r="AK20" s="1171"/>
      <c r="AL20" s="1171"/>
      <c r="AM20" s="1171"/>
      <c r="AN20" s="1171"/>
      <c r="AO20" s="1171"/>
      <c r="AP20" s="1171"/>
      <c r="AQ20" s="1171"/>
      <c r="AR20" s="479"/>
      <c r="AS20" s="479"/>
      <c r="AT20" s="479"/>
      <c r="AU20" s="479"/>
      <c r="AV20" s="479"/>
      <c r="AW20" s="1171"/>
      <c r="AX20" s="1171"/>
      <c r="AY20" s="1171"/>
      <c r="AZ20" s="1171"/>
      <c r="BA20" s="1171"/>
      <c r="BB20" s="1171"/>
      <c r="BC20" s="1171"/>
      <c r="BD20" s="479"/>
      <c r="BE20" s="1171"/>
      <c r="BF20" s="1171"/>
      <c r="BG20" s="1171"/>
      <c r="BH20" s="479"/>
      <c r="BI20" s="1171"/>
      <c r="BJ20" s="1171"/>
      <c r="BK20" s="479"/>
      <c r="BL20" s="1171"/>
      <c r="BM20" s="1171"/>
      <c r="BN20" s="1171"/>
      <c r="BP20" s="1171"/>
      <c r="BQ20" s="1190"/>
      <c r="BS20" s="479"/>
      <c r="BT20" s="480"/>
      <c r="BU20" s="480"/>
      <c r="BW20" s="81"/>
      <c r="BX20" s="62"/>
      <c r="BY20" s="81"/>
      <c r="BZ20" s="81"/>
      <c r="CA20" s="81"/>
      <c r="CB20" s="81"/>
      <c r="CC20" s="81"/>
      <c r="CD20" s="81"/>
      <c r="CE20" s="81"/>
    </row>
    <row r="21" spans="1:84" s="255" customFormat="1" x14ac:dyDescent="0.2">
      <c r="B21" s="43">
        <v>11</v>
      </c>
      <c r="C21" s="427" t="s">
        <v>38</v>
      </c>
      <c r="D21" s="812"/>
      <c r="E21" s="132">
        <v>130</v>
      </c>
      <c r="F21" s="40">
        <f t="shared" ref="F21:F27" si="98">E21/10</f>
        <v>13</v>
      </c>
      <c r="G21" s="40">
        <f t="shared" ref="G21:G27" si="99">E21/15</f>
        <v>8.6666666666666661</v>
      </c>
      <c r="H21" s="40">
        <f t="shared" ref="H21:H27" si="100">E21/20</f>
        <v>6.5</v>
      </c>
      <c r="I21" s="40">
        <f t="shared" ref="I21:I27" si="101">E21/25</f>
        <v>5.2</v>
      </c>
      <c r="J21" s="40">
        <f t="shared" ref="J21:J27" si="102">E21/30</f>
        <v>4.333333333333333</v>
      </c>
      <c r="K21" s="206">
        <f t="shared" ref="K21:K27" si="103">E21/$E$31</f>
        <v>0.11760374233200985</v>
      </c>
      <c r="L21" s="411"/>
      <c r="M21" s="40">
        <f t="shared" ref="M21:S21" si="104">$J$21</f>
        <v>4.333333333333333</v>
      </c>
      <c r="N21" s="40">
        <f t="shared" si="104"/>
        <v>4.333333333333333</v>
      </c>
      <c r="O21" s="40">
        <f t="shared" si="104"/>
        <v>4.333333333333333</v>
      </c>
      <c r="P21" s="40">
        <f t="shared" si="104"/>
        <v>4.333333333333333</v>
      </c>
      <c r="Q21" s="40">
        <f t="shared" si="104"/>
        <v>4.333333333333333</v>
      </c>
      <c r="R21" s="40">
        <f t="shared" si="104"/>
        <v>4.333333333333333</v>
      </c>
      <c r="S21" s="40">
        <f t="shared" si="104"/>
        <v>4.333333333333333</v>
      </c>
      <c r="T21" s="1361"/>
      <c r="U21" s="952">
        <f>SUM(M21:S21)</f>
        <v>30.333333333333329</v>
      </c>
      <c r="V21" s="953">
        <f>($U$3*K21)*30%</f>
        <v>48.90669228618961</v>
      </c>
      <c r="W21" s="954">
        <f>V21-U21</f>
        <v>18.573358952856282</v>
      </c>
      <c r="X21" s="782"/>
      <c r="Y21" s="40">
        <f t="shared" ref="Y21:AE21" si="105">$J$21</f>
        <v>4.333333333333333</v>
      </c>
      <c r="Z21" s="40">
        <f t="shared" si="105"/>
        <v>4.333333333333333</v>
      </c>
      <c r="AA21" s="40">
        <f t="shared" si="105"/>
        <v>4.333333333333333</v>
      </c>
      <c r="AB21" s="40">
        <f t="shared" si="105"/>
        <v>4.333333333333333</v>
      </c>
      <c r="AC21" s="40">
        <f t="shared" si="105"/>
        <v>4.333333333333333</v>
      </c>
      <c r="AD21" s="40">
        <f t="shared" si="105"/>
        <v>4.333333333333333</v>
      </c>
      <c r="AE21" s="40">
        <f t="shared" si="105"/>
        <v>4.333333333333333</v>
      </c>
      <c r="AF21" s="782"/>
      <c r="AG21" s="952">
        <f>SUM(Y21:AE21)</f>
        <v>30.333333333333329</v>
      </c>
      <c r="AH21" s="953">
        <f>($AG$3*K21)*30%</f>
        <v>26.522583989426519</v>
      </c>
      <c r="AI21" s="954">
        <f>AH21-AG21</f>
        <v>-3.8107493439068101</v>
      </c>
      <c r="AJ21" s="782"/>
      <c r="AK21" s="1349">
        <f t="shared" ref="AK21:AQ21" si="106">$J$21</f>
        <v>4.333333333333333</v>
      </c>
      <c r="AL21" s="1349">
        <f t="shared" si="106"/>
        <v>4.333333333333333</v>
      </c>
      <c r="AM21" s="1471">
        <f t="shared" si="106"/>
        <v>4.333333333333333</v>
      </c>
      <c r="AN21" s="1474">
        <f t="shared" si="106"/>
        <v>4.333333333333333</v>
      </c>
      <c r="AO21" s="1479">
        <f t="shared" si="106"/>
        <v>4.333333333333333</v>
      </c>
      <c r="AP21" s="1486">
        <f t="shared" si="106"/>
        <v>4.333333333333333</v>
      </c>
      <c r="AQ21" s="1349">
        <f t="shared" si="106"/>
        <v>4.333333333333333</v>
      </c>
      <c r="AR21" s="782"/>
      <c r="AS21" s="952">
        <f>SUM(AK21:AQ21)</f>
        <v>30.333333333333329</v>
      </c>
      <c r="AT21" s="953">
        <f>($AS$3*K21)*30%</f>
        <v>35.984981097460036</v>
      </c>
      <c r="AU21" s="954">
        <f>AT21-AS21</f>
        <v>5.6516477641267073</v>
      </c>
      <c r="AV21" s="782"/>
      <c r="AW21" s="1349">
        <f t="shared" ref="AW21:BC21" si="107">$J$21</f>
        <v>4.333333333333333</v>
      </c>
      <c r="AX21" s="1349">
        <f t="shared" si="107"/>
        <v>4.333333333333333</v>
      </c>
      <c r="AY21" s="1492">
        <f t="shared" si="107"/>
        <v>4.333333333333333</v>
      </c>
      <c r="AZ21" s="1517">
        <f t="shared" si="107"/>
        <v>4.333333333333333</v>
      </c>
      <c r="BA21" s="1520">
        <f t="shared" si="107"/>
        <v>4.333333333333333</v>
      </c>
      <c r="BB21" s="1525">
        <f t="shared" si="107"/>
        <v>4.333333333333333</v>
      </c>
      <c r="BC21" s="1528">
        <f t="shared" si="107"/>
        <v>4.333333333333333</v>
      </c>
      <c r="BD21" s="782"/>
      <c r="BE21" s="911">
        <f>SUM(AW21:BC21)</f>
        <v>30.333333333333329</v>
      </c>
      <c r="BF21" s="1349">
        <f>($BE$3*K21)*30%</f>
        <v>28.5865296673533</v>
      </c>
      <c r="BG21" s="936">
        <f>BF21-BE21</f>
        <v>-1.7468036659800283</v>
      </c>
      <c r="BH21" s="1361"/>
      <c r="BI21" s="40">
        <f t="shared" ref="BI21:BJ21" si="108">$J$21</f>
        <v>4.333333333333333</v>
      </c>
      <c r="BJ21" s="1349">
        <f t="shared" si="108"/>
        <v>4.333333333333333</v>
      </c>
      <c r="BK21" s="1361"/>
      <c r="BL21" s="911">
        <f t="shared" ref="BL21:BL27" si="109">SUM(BI21:BJ21)</f>
        <v>8.6666666666666661</v>
      </c>
      <c r="BM21" s="1349">
        <f t="shared" ref="BM21:BM27" si="110">($BL$3*K21)*30%</f>
        <v>10.340897063253626</v>
      </c>
      <c r="BN21" s="936">
        <f>BM21-BL21</f>
        <v>1.6742303965869603</v>
      </c>
      <c r="BP21" s="40">
        <v>130</v>
      </c>
      <c r="BQ21" s="51">
        <f t="shared" ref="BQ21:BQ27" si="111">BP21/E21</f>
        <v>1</v>
      </c>
      <c r="BS21" s="952">
        <f t="shared" ref="BS21:BS27" si="112">SUM(M21:S21)+SUM(Y21:AE21)+SUM(AK21:AQ21)+SUM(AW21:BC21)+SUM(BI21:BJ21)</f>
        <v>129.99999999999997</v>
      </c>
      <c r="BT21" s="1197">
        <f t="shared" ref="BT21:BT27" si="113">BS21/E21</f>
        <v>0.99999999999999978</v>
      </c>
      <c r="BU21" s="975">
        <f>E21-BP21</f>
        <v>0</v>
      </c>
      <c r="BW21" s="271"/>
      <c r="BX21" s="1023"/>
      <c r="BY21" s="1024"/>
      <c r="BZ21" s="1025"/>
      <c r="CA21" s="1025"/>
      <c r="CB21" s="1025"/>
      <c r="CC21" s="1025"/>
      <c r="CD21" s="1025"/>
      <c r="CE21" s="1025"/>
      <c r="CF21" s="1026"/>
    </row>
    <row r="22" spans="1:84" x14ac:dyDescent="0.2">
      <c r="B22" s="3">
        <v>12</v>
      </c>
      <c r="C22" s="433" t="s">
        <v>115</v>
      </c>
      <c r="D22" s="780"/>
      <c r="E22" s="347">
        <v>85</v>
      </c>
      <c r="F22" s="5">
        <f t="shared" si="98"/>
        <v>8.5</v>
      </c>
      <c r="G22" s="5">
        <f t="shared" si="99"/>
        <v>5.666666666666667</v>
      </c>
      <c r="H22" s="5">
        <f t="shared" si="100"/>
        <v>4.25</v>
      </c>
      <c r="I22" s="5">
        <f t="shared" si="101"/>
        <v>3.4</v>
      </c>
      <c r="J22" s="5">
        <f t="shared" si="102"/>
        <v>2.8333333333333335</v>
      </c>
      <c r="K22" s="194">
        <f t="shared" si="103"/>
        <v>7.6894754601698742E-2</v>
      </c>
      <c r="L22" s="28"/>
      <c r="M22" s="5">
        <f t="shared" ref="M22:S22" si="114">$J$22</f>
        <v>2.8333333333333335</v>
      </c>
      <c r="N22" s="5">
        <f t="shared" si="114"/>
        <v>2.8333333333333335</v>
      </c>
      <c r="O22" s="5">
        <f t="shared" si="114"/>
        <v>2.8333333333333335</v>
      </c>
      <c r="P22" s="5">
        <f t="shared" si="114"/>
        <v>2.8333333333333335</v>
      </c>
      <c r="Q22" s="5">
        <f t="shared" si="114"/>
        <v>2.8333333333333335</v>
      </c>
      <c r="R22" s="5">
        <f t="shared" si="114"/>
        <v>2.8333333333333335</v>
      </c>
      <c r="S22" s="5">
        <f t="shared" si="114"/>
        <v>2.8333333333333335</v>
      </c>
      <c r="T22" s="14"/>
      <c r="U22" s="937">
        <f>SUM(M22:S22)</f>
        <v>19.833333333333332</v>
      </c>
      <c r="V22" s="1348">
        <f>($U$3*K22)*30%</f>
        <v>31.977452648662432</v>
      </c>
      <c r="W22" s="938">
        <f>V22-U22</f>
        <v>12.1441193153291</v>
      </c>
      <c r="X22" s="145"/>
      <c r="Y22" s="5">
        <f t="shared" ref="Y22:AE22" si="115">$J$22</f>
        <v>2.8333333333333335</v>
      </c>
      <c r="Z22" s="5">
        <f t="shared" si="115"/>
        <v>2.8333333333333335</v>
      </c>
      <c r="AA22" s="5">
        <f t="shared" si="115"/>
        <v>2.8333333333333335</v>
      </c>
      <c r="AB22" s="5">
        <f t="shared" si="115"/>
        <v>2.8333333333333335</v>
      </c>
      <c r="AC22" s="5">
        <f t="shared" si="115"/>
        <v>2.8333333333333335</v>
      </c>
      <c r="AD22" s="5">
        <f t="shared" si="115"/>
        <v>2.8333333333333335</v>
      </c>
      <c r="AE22" s="5">
        <f t="shared" si="115"/>
        <v>2.8333333333333335</v>
      </c>
      <c r="AF22" s="145"/>
      <c r="AG22" s="937">
        <f>SUM(Y22:AE22)</f>
        <v>19.833333333333332</v>
      </c>
      <c r="AH22" s="1348">
        <f>($AG$3*K22)*30%</f>
        <v>17.341689531548109</v>
      </c>
      <c r="AI22" s="938">
        <f>AH22-AG22</f>
        <v>-2.4916438017852229</v>
      </c>
      <c r="AJ22" s="145"/>
      <c r="AK22" s="1348">
        <f t="shared" ref="AK22:AQ22" si="116">$J$22</f>
        <v>2.8333333333333335</v>
      </c>
      <c r="AL22" s="1348">
        <f t="shared" si="116"/>
        <v>2.8333333333333335</v>
      </c>
      <c r="AM22" s="1470">
        <f t="shared" si="116"/>
        <v>2.8333333333333335</v>
      </c>
      <c r="AN22" s="1475">
        <f t="shared" si="116"/>
        <v>2.8333333333333335</v>
      </c>
      <c r="AO22" s="1478">
        <f t="shared" si="116"/>
        <v>2.8333333333333335</v>
      </c>
      <c r="AP22" s="1487">
        <f t="shared" si="116"/>
        <v>2.8333333333333335</v>
      </c>
      <c r="AQ22" s="1348">
        <f t="shared" si="116"/>
        <v>2.8333333333333335</v>
      </c>
      <c r="AR22" s="145"/>
      <c r="AS22" s="937">
        <f>SUM(AK22:AQ22)</f>
        <v>19.833333333333332</v>
      </c>
      <c r="AT22" s="1348">
        <f>($AS$3*K22)*30%</f>
        <v>23.52864148680079</v>
      </c>
      <c r="AU22" s="938">
        <f>AT22-AS22</f>
        <v>3.6953081534674581</v>
      </c>
      <c r="AV22" s="145"/>
      <c r="AW22" s="1348">
        <f t="shared" ref="AW22:BC22" si="117">$J$22</f>
        <v>2.8333333333333335</v>
      </c>
      <c r="AX22" s="1348">
        <f t="shared" si="117"/>
        <v>2.8333333333333335</v>
      </c>
      <c r="AY22" s="1493">
        <f t="shared" si="117"/>
        <v>2.8333333333333335</v>
      </c>
      <c r="AZ22" s="1516">
        <f t="shared" si="117"/>
        <v>2.8333333333333335</v>
      </c>
      <c r="BA22" s="1521">
        <f t="shared" si="117"/>
        <v>2.8333333333333335</v>
      </c>
      <c r="BB22" s="1524">
        <f t="shared" si="117"/>
        <v>2.8333333333333335</v>
      </c>
      <c r="BC22" s="1529">
        <f t="shared" si="117"/>
        <v>2.8333333333333335</v>
      </c>
      <c r="BD22" s="145"/>
      <c r="BE22" s="937">
        <f>SUM(AW22:BC22)</f>
        <v>19.833333333333332</v>
      </c>
      <c r="BF22" s="1348">
        <f>($BE$3*K22)*30%</f>
        <v>18.691192474807924</v>
      </c>
      <c r="BG22" s="938">
        <f>BF22-BE22</f>
        <v>-1.1421408585254085</v>
      </c>
      <c r="BH22" s="14"/>
      <c r="BI22" s="5">
        <f t="shared" ref="BI22:BJ22" si="118">$J$22</f>
        <v>2.8333333333333335</v>
      </c>
      <c r="BJ22" s="1348">
        <f t="shared" si="118"/>
        <v>2.8333333333333335</v>
      </c>
      <c r="BK22" s="14"/>
      <c r="BL22" s="937">
        <f t="shared" si="109"/>
        <v>5.666666666666667</v>
      </c>
      <c r="BM22" s="1348">
        <f t="shared" si="110"/>
        <v>6.7613557721273709</v>
      </c>
      <c r="BN22" s="938">
        <f>BM22-BL22</f>
        <v>1.094689105460704</v>
      </c>
      <c r="BP22" s="5">
        <v>85</v>
      </c>
      <c r="BQ22" s="9">
        <f t="shared" si="111"/>
        <v>1</v>
      </c>
      <c r="BS22" s="937">
        <f t="shared" si="112"/>
        <v>85</v>
      </c>
      <c r="BT22" s="1015">
        <f t="shared" si="113"/>
        <v>1</v>
      </c>
      <c r="BU22" s="29"/>
      <c r="BW22" s="81"/>
      <c r="BX22" s="1238">
        <v>43646</v>
      </c>
      <c r="BY22" s="482"/>
      <c r="BZ22" s="444"/>
      <c r="CA22" s="444"/>
      <c r="CB22" s="444"/>
      <c r="CC22" s="444"/>
      <c r="CD22" s="444"/>
      <c r="CE22" s="444"/>
      <c r="CF22" s="1027"/>
    </row>
    <row r="23" spans="1:84" s="426" customFormat="1" x14ac:dyDescent="0.2">
      <c r="B23" s="43">
        <v>13</v>
      </c>
      <c r="C23" s="427" t="s">
        <v>117</v>
      </c>
      <c r="D23" s="812"/>
      <c r="E23" s="132">
        <v>37</v>
      </c>
      <c r="F23" s="132">
        <f t="shared" si="98"/>
        <v>3.7</v>
      </c>
      <c r="G23" s="132">
        <f t="shared" si="99"/>
        <v>2.4666666666666668</v>
      </c>
      <c r="H23" s="132">
        <f t="shared" si="100"/>
        <v>1.85</v>
      </c>
      <c r="I23" s="132">
        <f t="shared" si="101"/>
        <v>1.48</v>
      </c>
      <c r="J23" s="132">
        <f t="shared" si="102"/>
        <v>1.2333333333333334</v>
      </c>
      <c r="K23" s="478">
        <f t="shared" si="103"/>
        <v>3.347183435603357E-2</v>
      </c>
      <c r="L23" s="492"/>
      <c r="M23" s="132">
        <f t="shared" ref="M23:S23" si="119">$J$23</f>
        <v>1.2333333333333334</v>
      </c>
      <c r="N23" s="132">
        <f t="shared" si="119"/>
        <v>1.2333333333333334</v>
      </c>
      <c r="O23" s="132">
        <f t="shared" si="119"/>
        <v>1.2333333333333334</v>
      </c>
      <c r="P23" s="132">
        <f t="shared" si="119"/>
        <v>1.2333333333333334</v>
      </c>
      <c r="Q23" s="132">
        <f t="shared" si="119"/>
        <v>1.2333333333333334</v>
      </c>
      <c r="R23" s="132">
        <f t="shared" si="119"/>
        <v>1.2333333333333334</v>
      </c>
      <c r="S23" s="132">
        <f t="shared" si="119"/>
        <v>1.2333333333333334</v>
      </c>
      <c r="T23" s="479"/>
      <c r="U23" s="925">
        <f t="shared" si="10"/>
        <v>8.6333333333333329</v>
      </c>
      <c r="V23" s="440">
        <f t="shared" si="23"/>
        <v>13.91959703530012</v>
      </c>
      <c r="W23" s="929">
        <f t="shared" si="24"/>
        <v>5.2862637019667869</v>
      </c>
      <c r="X23" s="779"/>
      <c r="Y23" s="132">
        <f t="shared" ref="Y23:AE23" si="120">$J$23</f>
        <v>1.2333333333333334</v>
      </c>
      <c r="Z23" s="132">
        <f t="shared" si="120"/>
        <v>1.2333333333333334</v>
      </c>
      <c r="AA23" s="132">
        <f t="shared" si="120"/>
        <v>1.2333333333333334</v>
      </c>
      <c r="AB23" s="132">
        <f t="shared" si="120"/>
        <v>1.2333333333333334</v>
      </c>
      <c r="AC23" s="132">
        <f t="shared" si="120"/>
        <v>1.2333333333333334</v>
      </c>
      <c r="AD23" s="132">
        <f t="shared" si="120"/>
        <v>1.2333333333333334</v>
      </c>
      <c r="AE23" s="132">
        <f t="shared" si="120"/>
        <v>1.2333333333333334</v>
      </c>
      <c r="AF23" s="779"/>
      <c r="AG23" s="925">
        <f t="shared" si="26"/>
        <v>8.6333333333333329</v>
      </c>
      <c r="AH23" s="440">
        <f t="shared" si="27"/>
        <v>7.5487354431444702</v>
      </c>
      <c r="AI23" s="929">
        <f t="shared" si="28"/>
        <v>-1.0845978901888627</v>
      </c>
      <c r="AJ23" s="779"/>
      <c r="AK23" s="440">
        <f t="shared" ref="AK23:AQ23" si="121">$J$23</f>
        <v>1.2333333333333334</v>
      </c>
      <c r="AL23" s="440">
        <f t="shared" si="121"/>
        <v>1.2333333333333334</v>
      </c>
      <c r="AM23" s="440">
        <f t="shared" si="121"/>
        <v>1.2333333333333334</v>
      </c>
      <c r="AN23" s="440">
        <f t="shared" si="121"/>
        <v>1.2333333333333334</v>
      </c>
      <c r="AO23" s="440">
        <f t="shared" si="121"/>
        <v>1.2333333333333334</v>
      </c>
      <c r="AP23" s="440">
        <f t="shared" si="121"/>
        <v>1.2333333333333334</v>
      </c>
      <c r="AQ23" s="440">
        <f t="shared" si="121"/>
        <v>1.2333333333333334</v>
      </c>
      <c r="AR23" s="779"/>
      <c r="AS23" s="925">
        <f t="shared" si="30"/>
        <v>8.6333333333333329</v>
      </c>
      <c r="AT23" s="440">
        <f t="shared" si="31"/>
        <v>10.241879235430932</v>
      </c>
      <c r="AU23" s="929">
        <f t="shared" si="51"/>
        <v>1.6085459020975996</v>
      </c>
      <c r="AV23" s="779"/>
      <c r="AW23" s="440">
        <f t="shared" ref="AW23:BC23" si="122">$J$23</f>
        <v>1.2333333333333334</v>
      </c>
      <c r="AX23" s="440">
        <f t="shared" si="122"/>
        <v>1.2333333333333334</v>
      </c>
      <c r="AY23" s="440">
        <f t="shared" si="122"/>
        <v>1.2333333333333334</v>
      </c>
      <c r="AZ23" s="440">
        <f t="shared" si="122"/>
        <v>1.2333333333333334</v>
      </c>
      <c r="BA23" s="440">
        <f t="shared" si="122"/>
        <v>1.2333333333333334</v>
      </c>
      <c r="BB23" s="440">
        <f t="shared" si="122"/>
        <v>1.2333333333333334</v>
      </c>
      <c r="BC23" s="440">
        <f t="shared" si="122"/>
        <v>1.2333333333333334</v>
      </c>
      <c r="BD23" s="779"/>
      <c r="BE23" s="925">
        <f t="shared" si="14"/>
        <v>8.6333333333333329</v>
      </c>
      <c r="BF23" s="440">
        <f t="shared" si="34"/>
        <v>8.1361661360928608</v>
      </c>
      <c r="BG23" s="929">
        <f t="shared" si="53"/>
        <v>-0.49716719724047209</v>
      </c>
      <c r="BH23" s="479"/>
      <c r="BI23" s="132">
        <f t="shared" ref="BI23:BJ23" si="123">$J$23</f>
        <v>1.2333333333333334</v>
      </c>
      <c r="BJ23" s="440">
        <f t="shared" si="123"/>
        <v>1.2333333333333334</v>
      </c>
      <c r="BK23" s="479"/>
      <c r="BL23" s="925">
        <f t="shared" si="109"/>
        <v>2.4666666666666668</v>
      </c>
      <c r="BM23" s="440">
        <f t="shared" si="110"/>
        <v>2.9431783949260319</v>
      </c>
      <c r="BN23" s="929">
        <f t="shared" si="55"/>
        <v>0.47651172825936516</v>
      </c>
      <c r="BP23" s="132">
        <v>37</v>
      </c>
      <c r="BQ23" s="641">
        <f t="shared" si="111"/>
        <v>1</v>
      </c>
      <c r="BS23" s="925">
        <f t="shared" si="112"/>
        <v>37</v>
      </c>
      <c r="BT23" s="1014">
        <f t="shared" si="113"/>
        <v>1</v>
      </c>
      <c r="BU23" s="480"/>
      <c r="BW23" s="1199"/>
      <c r="BX23" s="1039">
        <v>43616</v>
      </c>
      <c r="BY23" s="62"/>
      <c r="BZ23" s="81"/>
      <c r="CA23" s="81"/>
      <c r="CB23" s="81"/>
      <c r="CC23" s="81"/>
      <c r="CD23" s="81"/>
      <c r="CE23" s="81"/>
      <c r="CF23" s="1029"/>
    </row>
    <row r="24" spans="1:84" x14ac:dyDescent="0.2">
      <c r="A24" s="432"/>
      <c r="B24" s="433">
        <v>14</v>
      </c>
      <c r="C24" s="433" t="s">
        <v>118</v>
      </c>
      <c r="D24" s="780"/>
      <c r="E24" s="347">
        <v>27.635999999999999</v>
      </c>
      <c r="F24" s="347">
        <f t="shared" si="98"/>
        <v>2.7635999999999998</v>
      </c>
      <c r="G24" s="347">
        <f t="shared" si="99"/>
        <v>1.8424</v>
      </c>
      <c r="H24" s="347">
        <f t="shared" si="100"/>
        <v>1.3817999999999999</v>
      </c>
      <c r="I24" s="347">
        <f t="shared" si="101"/>
        <v>1.10544</v>
      </c>
      <c r="J24" s="347">
        <f t="shared" si="102"/>
        <v>0.92120000000000002</v>
      </c>
      <c r="K24" s="531">
        <f t="shared" si="103"/>
        <v>2.5000746331441722E-2</v>
      </c>
      <c r="L24" s="28"/>
      <c r="M24" s="5">
        <f t="shared" ref="M24:S24" si="124">$J$24</f>
        <v>0.92120000000000002</v>
      </c>
      <c r="N24" s="5">
        <f t="shared" si="124"/>
        <v>0.92120000000000002</v>
      </c>
      <c r="O24" s="5">
        <f t="shared" si="124"/>
        <v>0.92120000000000002</v>
      </c>
      <c r="P24" s="5">
        <f t="shared" si="124"/>
        <v>0.92120000000000002</v>
      </c>
      <c r="Q24" s="5">
        <f t="shared" si="124"/>
        <v>0.92120000000000002</v>
      </c>
      <c r="R24" s="5">
        <f t="shared" si="124"/>
        <v>0.92120000000000002</v>
      </c>
      <c r="S24" s="5">
        <f t="shared" si="124"/>
        <v>0.92120000000000002</v>
      </c>
      <c r="T24" s="14"/>
      <c r="U24" s="937">
        <f t="shared" si="10"/>
        <v>6.4483999999999995</v>
      </c>
      <c r="V24" s="1348">
        <f t="shared" si="23"/>
        <v>10.396810369393352</v>
      </c>
      <c r="W24" s="938">
        <f t="shared" si="24"/>
        <v>3.9484103693933523</v>
      </c>
      <c r="X24" s="145"/>
      <c r="Y24" s="5">
        <f t="shared" ref="Y24:AE24" si="125">$J$24</f>
        <v>0.92120000000000002</v>
      </c>
      <c r="Z24" s="5">
        <f t="shared" si="125"/>
        <v>0.92120000000000002</v>
      </c>
      <c r="AA24" s="5">
        <f t="shared" si="125"/>
        <v>0.92120000000000002</v>
      </c>
      <c r="AB24" s="5">
        <f t="shared" si="125"/>
        <v>0.92120000000000002</v>
      </c>
      <c r="AC24" s="5">
        <f t="shared" si="125"/>
        <v>0.92120000000000002</v>
      </c>
      <c r="AD24" s="5">
        <f t="shared" si="125"/>
        <v>0.92120000000000002</v>
      </c>
      <c r="AE24" s="5">
        <f t="shared" si="125"/>
        <v>0.92120000000000002</v>
      </c>
      <c r="AF24" s="145"/>
      <c r="AG24" s="937">
        <f t="shared" si="26"/>
        <v>6.4483999999999995</v>
      </c>
      <c r="AH24" s="1348">
        <f t="shared" si="27"/>
        <v>5.6382933163983937</v>
      </c>
      <c r="AI24" s="938">
        <f t="shared" si="28"/>
        <v>-0.81010668360160576</v>
      </c>
      <c r="AJ24" s="145"/>
      <c r="AK24" s="1348">
        <f t="shared" ref="AK24:AQ24" si="126">$J$24</f>
        <v>0.92120000000000002</v>
      </c>
      <c r="AL24" s="1348">
        <f t="shared" si="126"/>
        <v>0.92120000000000002</v>
      </c>
      <c r="AM24" s="1470">
        <f t="shared" si="126"/>
        <v>0.92120000000000002</v>
      </c>
      <c r="AN24" s="1475">
        <f t="shared" si="126"/>
        <v>0.92120000000000002</v>
      </c>
      <c r="AO24" s="1478">
        <f t="shared" si="126"/>
        <v>0.92120000000000002</v>
      </c>
      <c r="AP24" s="1487">
        <f t="shared" si="126"/>
        <v>0.92120000000000002</v>
      </c>
      <c r="AQ24" s="1348">
        <f t="shared" si="126"/>
        <v>0.92120000000000002</v>
      </c>
      <c r="AR24" s="145"/>
      <c r="AS24" s="937">
        <f t="shared" si="30"/>
        <v>6.4483999999999995</v>
      </c>
      <c r="AT24" s="1348">
        <f t="shared" si="31"/>
        <v>7.6498533662261945</v>
      </c>
      <c r="AU24" s="938">
        <f t="shared" si="51"/>
        <v>1.201453366226195</v>
      </c>
      <c r="AV24" s="145"/>
      <c r="AW24" s="1348">
        <f t="shared" ref="AW24:BC24" si="127">$J$24</f>
        <v>0.92120000000000002</v>
      </c>
      <c r="AX24" s="1348">
        <f t="shared" si="127"/>
        <v>0.92120000000000002</v>
      </c>
      <c r="AY24" s="1493">
        <f t="shared" si="127"/>
        <v>0.92120000000000002</v>
      </c>
      <c r="AZ24" s="1516">
        <f t="shared" si="127"/>
        <v>0.92120000000000002</v>
      </c>
      <c r="BA24" s="1521">
        <f t="shared" si="127"/>
        <v>0.92120000000000002</v>
      </c>
      <c r="BB24" s="1524">
        <f t="shared" si="127"/>
        <v>0.92120000000000002</v>
      </c>
      <c r="BC24" s="1529">
        <f t="shared" si="127"/>
        <v>0.92120000000000002</v>
      </c>
      <c r="BD24" s="145"/>
      <c r="BE24" s="937">
        <f t="shared" si="14"/>
        <v>6.4483999999999995</v>
      </c>
      <c r="BF24" s="1348">
        <f t="shared" si="34"/>
        <v>6.0770564145151971</v>
      </c>
      <c r="BG24" s="938">
        <f t="shared" si="53"/>
        <v>-0.3713435854848024</v>
      </c>
      <c r="BH24" s="14"/>
      <c r="BI24" s="5">
        <f t="shared" ref="BI24:BJ24" si="128">$J$24</f>
        <v>0.92120000000000002</v>
      </c>
      <c r="BJ24" s="1348">
        <f t="shared" si="128"/>
        <v>0.92120000000000002</v>
      </c>
      <c r="BK24" s="14"/>
      <c r="BL24" s="937">
        <f t="shared" si="109"/>
        <v>1.8424</v>
      </c>
      <c r="BM24" s="1348">
        <f t="shared" si="110"/>
        <v>2.1983156249236706</v>
      </c>
      <c r="BN24" s="938">
        <f t="shared" si="55"/>
        <v>0.35591562492367057</v>
      </c>
      <c r="BP24" s="5">
        <v>27.635999999999999</v>
      </c>
      <c r="BQ24" s="9">
        <f t="shared" si="111"/>
        <v>1</v>
      </c>
      <c r="BS24" s="937">
        <f t="shared" si="112"/>
        <v>27.635999999999999</v>
      </c>
      <c r="BT24" s="1015">
        <f t="shared" si="113"/>
        <v>1</v>
      </c>
      <c r="BU24" s="29"/>
      <c r="BW24" s="1253"/>
      <c r="BX24" s="1239">
        <f>BX22-BX23</f>
        <v>30</v>
      </c>
      <c r="BY24" s="840"/>
      <c r="BZ24" s="988"/>
      <c r="CA24" s="988"/>
      <c r="CB24" s="988"/>
      <c r="CC24" s="988"/>
      <c r="CD24" s="988"/>
      <c r="CE24" s="988"/>
      <c r="CF24" s="1030"/>
    </row>
    <row r="25" spans="1:84" s="255" customFormat="1" x14ac:dyDescent="0.2">
      <c r="A25" s="426"/>
      <c r="B25" s="427">
        <v>15</v>
      </c>
      <c r="C25" s="427" t="s">
        <v>166</v>
      </c>
      <c r="D25" s="813"/>
      <c r="E25" s="132">
        <v>25.5</v>
      </c>
      <c r="F25" s="40">
        <f t="shared" si="98"/>
        <v>2.5499999999999998</v>
      </c>
      <c r="G25" s="40">
        <f t="shared" si="99"/>
        <v>1.7</v>
      </c>
      <c r="H25" s="40">
        <f t="shared" si="100"/>
        <v>1.2749999999999999</v>
      </c>
      <c r="I25" s="40">
        <f t="shared" si="101"/>
        <v>1.02</v>
      </c>
      <c r="J25" s="40">
        <f t="shared" si="102"/>
        <v>0.85</v>
      </c>
      <c r="K25" s="206">
        <f t="shared" si="103"/>
        <v>2.3068426380509623E-2</v>
      </c>
      <c r="L25" s="492"/>
      <c r="M25" s="40">
        <f t="shared" ref="M25:S25" si="129">$J$25</f>
        <v>0.85</v>
      </c>
      <c r="N25" s="40">
        <f t="shared" si="129"/>
        <v>0.85</v>
      </c>
      <c r="O25" s="40">
        <f t="shared" si="129"/>
        <v>0.85</v>
      </c>
      <c r="P25" s="40">
        <f t="shared" si="129"/>
        <v>0.85</v>
      </c>
      <c r="Q25" s="40">
        <f t="shared" si="129"/>
        <v>0.85</v>
      </c>
      <c r="R25" s="40">
        <f t="shared" si="129"/>
        <v>0.85</v>
      </c>
      <c r="S25" s="40">
        <f t="shared" si="129"/>
        <v>0.85</v>
      </c>
      <c r="T25" s="1361"/>
      <c r="U25" s="911">
        <f t="shared" si="10"/>
        <v>5.9499999999999993</v>
      </c>
      <c r="V25" s="1349">
        <f t="shared" si="23"/>
        <v>9.5932357945987299</v>
      </c>
      <c r="W25" s="936">
        <f t="shared" si="24"/>
        <v>3.6432357945987306</v>
      </c>
      <c r="X25" s="782"/>
      <c r="Y25" s="40">
        <f t="shared" ref="Y25:AE25" si="130">$J$25</f>
        <v>0.85</v>
      </c>
      <c r="Z25" s="40">
        <f t="shared" si="130"/>
        <v>0.85</v>
      </c>
      <c r="AA25" s="40">
        <f t="shared" si="130"/>
        <v>0.85</v>
      </c>
      <c r="AB25" s="40">
        <f t="shared" si="130"/>
        <v>0.85</v>
      </c>
      <c r="AC25" s="40">
        <f t="shared" si="130"/>
        <v>0.85</v>
      </c>
      <c r="AD25" s="40">
        <f t="shared" si="130"/>
        <v>0.85</v>
      </c>
      <c r="AE25" s="40">
        <f t="shared" si="130"/>
        <v>0.85</v>
      </c>
      <c r="AF25" s="782"/>
      <c r="AG25" s="911">
        <f t="shared" si="26"/>
        <v>5.9499999999999993</v>
      </c>
      <c r="AH25" s="1349">
        <f t="shared" si="27"/>
        <v>5.2025068594644326</v>
      </c>
      <c r="AI25" s="936">
        <f t="shared" si="28"/>
        <v>-0.7474931405355667</v>
      </c>
      <c r="AJ25" s="782"/>
      <c r="AK25" s="1349">
        <f t="shared" ref="AK25:AQ25" si="131">$J$25</f>
        <v>0.85</v>
      </c>
      <c r="AL25" s="1349">
        <f t="shared" si="131"/>
        <v>0.85</v>
      </c>
      <c r="AM25" s="1471">
        <f t="shared" si="131"/>
        <v>0.85</v>
      </c>
      <c r="AN25" s="1474">
        <f t="shared" si="131"/>
        <v>0.85</v>
      </c>
      <c r="AO25" s="1479">
        <f t="shared" si="131"/>
        <v>0.85</v>
      </c>
      <c r="AP25" s="1486">
        <f t="shared" si="131"/>
        <v>0.85</v>
      </c>
      <c r="AQ25" s="1349">
        <f t="shared" si="131"/>
        <v>0.85</v>
      </c>
      <c r="AR25" s="782"/>
      <c r="AS25" s="911">
        <f t="shared" si="30"/>
        <v>5.9499999999999993</v>
      </c>
      <c r="AT25" s="1349">
        <f t="shared" si="31"/>
        <v>7.0585924460402367</v>
      </c>
      <c r="AU25" s="936">
        <f t="shared" si="51"/>
        <v>1.1085924460402374</v>
      </c>
      <c r="AV25" s="782"/>
      <c r="AW25" s="1349">
        <f t="shared" ref="AW25:BC25" si="132">$J$25</f>
        <v>0.85</v>
      </c>
      <c r="AX25" s="1349">
        <f t="shared" si="132"/>
        <v>0.85</v>
      </c>
      <c r="AY25" s="1492">
        <f t="shared" si="132"/>
        <v>0.85</v>
      </c>
      <c r="AZ25" s="1517">
        <f t="shared" si="132"/>
        <v>0.85</v>
      </c>
      <c r="BA25" s="1520">
        <f t="shared" si="132"/>
        <v>0.85</v>
      </c>
      <c r="BB25" s="1525">
        <f t="shared" si="132"/>
        <v>0.85</v>
      </c>
      <c r="BC25" s="1528">
        <f t="shared" si="132"/>
        <v>0.85</v>
      </c>
      <c r="BD25" s="782"/>
      <c r="BE25" s="911">
        <f t="shared" si="14"/>
        <v>5.9499999999999993</v>
      </c>
      <c r="BF25" s="1349">
        <f t="shared" si="34"/>
        <v>5.6073577424423773</v>
      </c>
      <c r="BG25" s="936">
        <f t="shared" si="53"/>
        <v>-0.34264225755762201</v>
      </c>
      <c r="BH25" s="1361"/>
      <c r="BI25" s="40">
        <f t="shared" ref="BI25:BJ25" si="133">$J$25</f>
        <v>0.85</v>
      </c>
      <c r="BJ25" s="1349">
        <f t="shared" si="133"/>
        <v>0.85</v>
      </c>
      <c r="BK25" s="1361"/>
      <c r="BL25" s="911">
        <f t="shared" si="109"/>
        <v>1.7</v>
      </c>
      <c r="BM25" s="1349">
        <f t="shared" si="110"/>
        <v>2.0284067316382113</v>
      </c>
      <c r="BN25" s="936">
        <f t="shared" si="55"/>
        <v>0.32840673163821132</v>
      </c>
      <c r="BP25" s="40">
        <v>25.5</v>
      </c>
      <c r="BQ25" s="51">
        <f t="shared" si="111"/>
        <v>1</v>
      </c>
      <c r="BS25" s="911">
        <f t="shared" si="112"/>
        <v>25.499999999999996</v>
      </c>
      <c r="BT25" s="1016">
        <f t="shared" si="113"/>
        <v>0.99999999999999989</v>
      </c>
      <c r="BU25" s="62"/>
      <c r="BW25" s="1200"/>
      <c r="BX25" s="1039">
        <v>43646</v>
      </c>
      <c r="BY25" s="482"/>
      <c r="BZ25" s="444"/>
      <c r="CA25" s="444"/>
      <c r="CB25" s="444"/>
      <c r="CC25" s="444"/>
      <c r="CD25" s="444"/>
      <c r="CE25" s="444"/>
      <c r="CF25" s="1027"/>
    </row>
    <row r="26" spans="1:84" x14ac:dyDescent="0.2">
      <c r="B26" s="3">
        <v>16</v>
      </c>
      <c r="C26" s="922" t="s">
        <v>123</v>
      </c>
      <c r="D26" s="780"/>
      <c r="E26" s="347">
        <v>25</v>
      </c>
      <c r="F26" s="347">
        <f t="shared" si="98"/>
        <v>2.5</v>
      </c>
      <c r="G26" s="347">
        <f t="shared" si="99"/>
        <v>1.6666666666666667</v>
      </c>
      <c r="H26" s="347">
        <f t="shared" si="100"/>
        <v>1.25</v>
      </c>
      <c r="I26" s="347">
        <f t="shared" si="101"/>
        <v>1</v>
      </c>
      <c r="J26" s="347">
        <f t="shared" si="102"/>
        <v>0.83333333333333337</v>
      </c>
      <c r="K26" s="531">
        <f t="shared" si="103"/>
        <v>2.261610429461728E-2</v>
      </c>
      <c r="L26" s="491"/>
      <c r="M26" s="5">
        <f t="shared" ref="M26:S26" si="134">$J$26</f>
        <v>0.83333333333333337</v>
      </c>
      <c r="N26" s="5">
        <f t="shared" si="134"/>
        <v>0.83333333333333337</v>
      </c>
      <c r="O26" s="5">
        <f t="shared" si="134"/>
        <v>0.83333333333333337</v>
      </c>
      <c r="P26" s="5">
        <f t="shared" si="134"/>
        <v>0.83333333333333337</v>
      </c>
      <c r="Q26" s="5">
        <f t="shared" si="134"/>
        <v>0.83333333333333337</v>
      </c>
      <c r="R26" s="5">
        <f t="shared" si="134"/>
        <v>0.83333333333333337</v>
      </c>
      <c r="S26" s="5">
        <f t="shared" si="134"/>
        <v>0.83333333333333337</v>
      </c>
      <c r="T26" s="14"/>
      <c r="U26" s="937">
        <f t="shared" si="10"/>
        <v>5.833333333333333</v>
      </c>
      <c r="V26" s="1348">
        <f>($U$3*K26)*30%</f>
        <v>9.4051331319595413</v>
      </c>
      <c r="W26" s="938">
        <f t="shared" si="24"/>
        <v>3.5717997986262082</v>
      </c>
      <c r="X26" s="145"/>
      <c r="Y26" s="5">
        <f t="shared" ref="Y26:AE26" si="135">$J$26</f>
        <v>0.83333333333333337</v>
      </c>
      <c r="Z26" s="5">
        <f t="shared" si="135"/>
        <v>0.83333333333333337</v>
      </c>
      <c r="AA26" s="5">
        <f t="shared" si="135"/>
        <v>0.83333333333333337</v>
      </c>
      <c r="AB26" s="5">
        <f t="shared" si="135"/>
        <v>0.83333333333333337</v>
      </c>
      <c r="AC26" s="5">
        <f t="shared" si="135"/>
        <v>0.83333333333333337</v>
      </c>
      <c r="AD26" s="5">
        <f t="shared" si="135"/>
        <v>0.83333333333333337</v>
      </c>
      <c r="AE26" s="5">
        <f t="shared" si="135"/>
        <v>0.83333333333333337</v>
      </c>
      <c r="AF26" s="145"/>
      <c r="AG26" s="937">
        <f t="shared" si="26"/>
        <v>5.833333333333333</v>
      </c>
      <c r="AH26" s="1348">
        <f>($AG$3*K26)*30%</f>
        <v>5.100496921043562</v>
      </c>
      <c r="AI26" s="938">
        <f t="shared" si="28"/>
        <v>-0.73283641228977103</v>
      </c>
      <c r="AJ26" s="145"/>
      <c r="AK26" s="1348">
        <f t="shared" ref="AK26:AQ26" si="136">$J$26</f>
        <v>0.83333333333333337</v>
      </c>
      <c r="AL26" s="1348">
        <f t="shared" si="136"/>
        <v>0.83333333333333337</v>
      </c>
      <c r="AM26" s="1470">
        <f t="shared" si="136"/>
        <v>0.83333333333333337</v>
      </c>
      <c r="AN26" s="1475">
        <f t="shared" si="136"/>
        <v>0.83333333333333337</v>
      </c>
      <c r="AO26" s="1478">
        <f t="shared" si="136"/>
        <v>0.83333333333333337</v>
      </c>
      <c r="AP26" s="1487">
        <f t="shared" si="136"/>
        <v>0.83333333333333337</v>
      </c>
      <c r="AQ26" s="1348">
        <f t="shared" si="136"/>
        <v>0.83333333333333337</v>
      </c>
      <c r="AR26" s="145"/>
      <c r="AS26" s="937">
        <f t="shared" si="30"/>
        <v>5.833333333333333</v>
      </c>
      <c r="AT26" s="1348">
        <f t="shared" si="31"/>
        <v>6.9201886725884689</v>
      </c>
      <c r="AU26" s="938">
        <f t="shared" si="51"/>
        <v>1.0868553392551359</v>
      </c>
      <c r="AV26" s="145"/>
      <c r="AW26" s="1348">
        <f t="shared" ref="AW26:BC26" si="137">$J$26</f>
        <v>0.83333333333333337</v>
      </c>
      <c r="AX26" s="1348">
        <f t="shared" si="137"/>
        <v>0.83333333333333337</v>
      </c>
      <c r="AY26" s="1493">
        <f t="shared" si="137"/>
        <v>0.83333333333333337</v>
      </c>
      <c r="AZ26" s="1516">
        <f t="shared" si="137"/>
        <v>0.83333333333333337</v>
      </c>
      <c r="BA26" s="1521">
        <f t="shared" si="137"/>
        <v>0.83333333333333337</v>
      </c>
      <c r="BB26" s="1524">
        <f t="shared" si="137"/>
        <v>0.83333333333333337</v>
      </c>
      <c r="BC26" s="1529">
        <f t="shared" si="137"/>
        <v>0.83333333333333337</v>
      </c>
      <c r="BD26" s="145"/>
      <c r="BE26" s="937">
        <f t="shared" si="14"/>
        <v>5.833333333333333</v>
      </c>
      <c r="BF26" s="1348">
        <f t="shared" si="34"/>
        <v>5.497409551414095</v>
      </c>
      <c r="BG26" s="938">
        <f t="shared" si="53"/>
        <v>-0.335923781919238</v>
      </c>
      <c r="BH26" s="14"/>
      <c r="BI26" s="5">
        <f t="shared" ref="BI26:BJ26" si="138">$J$26</f>
        <v>0.83333333333333337</v>
      </c>
      <c r="BJ26" s="1348">
        <f t="shared" si="138"/>
        <v>0.83333333333333337</v>
      </c>
      <c r="BK26" s="14"/>
      <c r="BL26" s="937">
        <f t="shared" si="109"/>
        <v>1.6666666666666667</v>
      </c>
      <c r="BM26" s="1348">
        <f t="shared" si="110"/>
        <v>1.9886340506256974</v>
      </c>
      <c r="BN26" s="938">
        <f t="shared" si="55"/>
        <v>0.32196738395903068</v>
      </c>
      <c r="BP26" s="5">
        <v>25</v>
      </c>
      <c r="BQ26" s="9">
        <f t="shared" si="111"/>
        <v>1</v>
      </c>
      <c r="BS26" s="937">
        <f t="shared" si="112"/>
        <v>25</v>
      </c>
      <c r="BT26" s="1015">
        <f t="shared" si="113"/>
        <v>1</v>
      </c>
      <c r="BU26" s="29"/>
      <c r="BW26" s="29"/>
      <c r="BX26" s="1240">
        <v>43647</v>
      </c>
      <c r="BY26" s="840"/>
      <c r="BZ26" s="988"/>
      <c r="CA26" s="988"/>
      <c r="CB26" s="988"/>
      <c r="CC26" s="988"/>
      <c r="CD26" s="988"/>
      <c r="CE26" s="988"/>
      <c r="CF26" s="1030"/>
    </row>
    <row r="27" spans="1:84" s="255" customFormat="1" ht="15.75" thickBot="1" x14ac:dyDescent="0.25">
      <c r="B27" s="43">
        <v>17</v>
      </c>
      <c r="C27" s="427" t="s">
        <v>119</v>
      </c>
      <c r="D27" s="812"/>
      <c r="E27" s="132">
        <v>4</v>
      </c>
      <c r="F27" s="132">
        <f t="shared" si="98"/>
        <v>0.4</v>
      </c>
      <c r="G27" s="132">
        <f t="shared" si="99"/>
        <v>0.26666666666666666</v>
      </c>
      <c r="H27" s="132">
        <f t="shared" si="100"/>
        <v>0.2</v>
      </c>
      <c r="I27" s="132">
        <f t="shared" si="101"/>
        <v>0.16</v>
      </c>
      <c r="J27" s="132">
        <f t="shared" si="102"/>
        <v>0.13333333333333333</v>
      </c>
      <c r="K27" s="478">
        <f t="shared" si="103"/>
        <v>3.6185766871387644E-3</v>
      </c>
      <c r="L27" s="492"/>
      <c r="M27" s="40">
        <f t="shared" ref="M27:S27" si="139">$J$27</f>
        <v>0.13333333333333333</v>
      </c>
      <c r="N27" s="40">
        <f t="shared" si="139"/>
        <v>0.13333333333333333</v>
      </c>
      <c r="O27" s="40">
        <f t="shared" si="139"/>
        <v>0.13333333333333333</v>
      </c>
      <c r="P27" s="40">
        <f t="shared" si="139"/>
        <v>0.13333333333333333</v>
      </c>
      <c r="Q27" s="40">
        <f t="shared" si="139"/>
        <v>0.13333333333333333</v>
      </c>
      <c r="R27" s="40">
        <f t="shared" si="139"/>
        <v>0.13333333333333333</v>
      </c>
      <c r="S27" s="40">
        <f t="shared" si="139"/>
        <v>0.13333333333333333</v>
      </c>
      <c r="T27" s="1361"/>
      <c r="U27" s="957">
        <f>SUM(M27:S27)</f>
        <v>0.93333333333333324</v>
      </c>
      <c r="V27" s="958">
        <f t="shared" ref="V27" si="140">($U$3*K27)*30%</f>
        <v>1.5048213011135263</v>
      </c>
      <c r="W27" s="959">
        <f t="shared" si="24"/>
        <v>0.57148796778019306</v>
      </c>
      <c r="X27" s="782"/>
      <c r="Y27" s="1349">
        <f t="shared" ref="Y27:AE27" si="141">$J$27</f>
        <v>0.13333333333333333</v>
      </c>
      <c r="Z27" s="1349">
        <f t="shared" si="141"/>
        <v>0.13333333333333333</v>
      </c>
      <c r="AA27" s="1369">
        <f t="shared" si="141"/>
        <v>0.13333333333333333</v>
      </c>
      <c r="AB27" s="1373">
        <f t="shared" si="141"/>
        <v>0.13333333333333333</v>
      </c>
      <c r="AC27" s="1377">
        <f t="shared" si="141"/>
        <v>0.13333333333333333</v>
      </c>
      <c r="AD27" s="1381">
        <f t="shared" si="141"/>
        <v>0.13333333333333333</v>
      </c>
      <c r="AE27" s="1349">
        <f t="shared" si="141"/>
        <v>0.13333333333333333</v>
      </c>
      <c r="AF27" s="782"/>
      <c r="AG27" s="957">
        <f t="shared" si="26"/>
        <v>0.93333333333333324</v>
      </c>
      <c r="AH27" s="958">
        <f>($AG$3*K27)*30%</f>
        <v>0.81607950736696977</v>
      </c>
      <c r="AI27" s="959">
        <f t="shared" si="28"/>
        <v>-0.11725382596636347</v>
      </c>
      <c r="AJ27" s="782"/>
      <c r="AK27" s="1349">
        <f t="shared" ref="AK27:AQ27" si="142">$J$27</f>
        <v>0.13333333333333333</v>
      </c>
      <c r="AL27" s="1349">
        <f t="shared" si="142"/>
        <v>0.13333333333333333</v>
      </c>
      <c r="AM27" s="1471">
        <f t="shared" si="142"/>
        <v>0.13333333333333333</v>
      </c>
      <c r="AN27" s="1474">
        <f t="shared" si="142"/>
        <v>0.13333333333333333</v>
      </c>
      <c r="AO27" s="1479">
        <f t="shared" si="142"/>
        <v>0.13333333333333333</v>
      </c>
      <c r="AP27" s="1486">
        <f t="shared" si="142"/>
        <v>0.13333333333333333</v>
      </c>
      <c r="AQ27" s="1349">
        <f t="shared" si="142"/>
        <v>0.13333333333333333</v>
      </c>
      <c r="AR27" s="782"/>
      <c r="AS27" s="957">
        <f t="shared" si="30"/>
        <v>0.93333333333333324</v>
      </c>
      <c r="AT27" s="958">
        <f t="shared" si="31"/>
        <v>1.1072301876141548</v>
      </c>
      <c r="AU27" s="959">
        <f t="shared" si="51"/>
        <v>0.17389685428082158</v>
      </c>
      <c r="AV27" s="782"/>
      <c r="AW27" s="1349">
        <f t="shared" ref="AW27:BC27" si="143">$J$27</f>
        <v>0.13333333333333333</v>
      </c>
      <c r="AX27" s="1349">
        <f t="shared" si="143"/>
        <v>0.13333333333333333</v>
      </c>
      <c r="AY27" s="1492">
        <f t="shared" si="143"/>
        <v>0.13333333333333333</v>
      </c>
      <c r="AZ27" s="1517">
        <f t="shared" si="143"/>
        <v>0.13333333333333333</v>
      </c>
      <c r="BA27" s="1520">
        <f t="shared" si="143"/>
        <v>0.13333333333333333</v>
      </c>
      <c r="BB27" s="1525">
        <f t="shared" si="143"/>
        <v>0.13333333333333333</v>
      </c>
      <c r="BC27" s="1528">
        <f t="shared" si="143"/>
        <v>0.13333333333333333</v>
      </c>
      <c r="BD27" s="782"/>
      <c r="BE27" s="1177">
        <f t="shared" si="14"/>
        <v>0.93333333333333324</v>
      </c>
      <c r="BF27" s="1179">
        <f t="shared" si="34"/>
        <v>0.87958552822625524</v>
      </c>
      <c r="BG27" s="1178">
        <f t="shared" si="53"/>
        <v>-5.3747805107077995E-2</v>
      </c>
      <c r="BH27" s="1361"/>
      <c r="BI27" s="40">
        <f t="shared" ref="BI27:BJ27" si="144">$J$27</f>
        <v>0.13333333333333333</v>
      </c>
      <c r="BJ27" s="1349">
        <f t="shared" si="144"/>
        <v>0.13333333333333333</v>
      </c>
      <c r="BK27" s="1361"/>
      <c r="BL27" s="1177">
        <f t="shared" si="109"/>
        <v>0.26666666666666666</v>
      </c>
      <c r="BM27" s="1179">
        <f t="shared" si="110"/>
        <v>0.31818144810011156</v>
      </c>
      <c r="BN27" s="1178">
        <f t="shared" si="55"/>
        <v>5.1514781433444901E-2</v>
      </c>
      <c r="BP27" s="40">
        <v>4</v>
      </c>
      <c r="BQ27" s="51">
        <f t="shared" si="111"/>
        <v>1</v>
      </c>
      <c r="BS27" s="957">
        <f t="shared" si="112"/>
        <v>3.9999999999999996</v>
      </c>
      <c r="BT27" s="1078">
        <f t="shared" si="113"/>
        <v>0.99999999999999989</v>
      </c>
      <c r="BU27" s="62"/>
      <c r="BW27" s="62"/>
      <c r="BX27" s="1241">
        <f>BX26-BX25</f>
        <v>1</v>
      </c>
      <c r="BY27" s="62"/>
      <c r="BZ27" s="81"/>
      <c r="CA27" s="81"/>
      <c r="CB27" s="81"/>
      <c r="CC27" s="81"/>
      <c r="CD27" s="81"/>
      <c r="CE27" s="81"/>
      <c r="CF27" s="1029"/>
    </row>
    <row r="28" spans="1:84" s="81" customFormat="1" ht="4.5" customHeight="1" thickBot="1" x14ac:dyDescent="0.25">
      <c r="B28" s="1357"/>
      <c r="C28" s="1168"/>
      <c r="D28" s="438"/>
      <c r="E28" s="429"/>
      <c r="F28" s="429"/>
      <c r="G28" s="429"/>
      <c r="H28" s="429"/>
      <c r="I28" s="429"/>
      <c r="J28" s="429"/>
      <c r="K28" s="1169"/>
      <c r="L28" s="492"/>
      <c r="M28" s="80"/>
      <c r="N28" s="80"/>
      <c r="O28" s="80"/>
      <c r="P28" s="80"/>
      <c r="Q28" s="80"/>
      <c r="R28" s="80"/>
      <c r="S28" s="80"/>
      <c r="T28" s="1361"/>
      <c r="U28" s="1361"/>
      <c r="V28" s="1361"/>
      <c r="W28" s="1361"/>
      <c r="X28" s="1361"/>
      <c r="Y28" s="80"/>
      <c r="Z28" s="80"/>
      <c r="AA28" s="80"/>
      <c r="AB28" s="80"/>
      <c r="AC28" s="80"/>
      <c r="AD28" s="80"/>
      <c r="AE28" s="80"/>
      <c r="AF28" s="1361"/>
      <c r="AG28" s="1361"/>
      <c r="AH28" s="1361"/>
      <c r="AI28" s="1361"/>
      <c r="AJ28" s="1361"/>
      <c r="AK28" s="80"/>
      <c r="AL28" s="80"/>
      <c r="AM28" s="80"/>
      <c r="AN28" s="80"/>
      <c r="AO28" s="80"/>
      <c r="AP28" s="80"/>
      <c r="AQ28" s="80"/>
      <c r="AR28" s="1361"/>
      <c r="AS28" s="1361"/>
      <c r="AT28" s="1361"/>
      <c r="AU28" s="1361"/>
      <c r="AV28" s="1361"/>
      <c r="AW28" s="80"/>
      <c r="AX28" s="80"/>
      <c r="AY28" s="80"/>
      <c r="AZ28" s="80"/>
      <c r="BA28" s="80"/>
      <c r="BB28" s="80"/>
      <c r="BC28" s="80"/>
      <c r="BD28" s="1361"/>
      <c r="BE28" s="1356"/>
      <c r="BF28" s="1356"/>
      <c r="BG28" s="1356"/>
      <c r="BH28" s="1361"/>
      <c r="BI28" s="80"/>
      <c r="BJ28" s="80"/>
      <c r="BK28" s="1361"/>
      <c r="BL28" s="1356"/>
      <c r="BM28" s="1356"/>
      <c r="BN28" s="1356"/>
      <c r="BP28" s="1361"/>
      <c r="BQ28" s="62"/>
      <c r="BS28" s="1201"/>
      <c r="BT28" s="1202"/>
      <c r="BU28" s="62"/>
      <c r="BW28" s="62"/>
      <c r="BX28" s="1031"/>
      <c r="BY28" s="1022"/>
      <c r="BZ28" s="271"/>
      <c r="CA28" s="271"/>
      <c r="CB28" s="271"/>
      <c r="CC28" s="271"/>
      <c r="CD28" s="271"/>
      <c r="CE28" s="271"/>
      <c r="CF28" s="1032"/>
    </row>
    <row r="29" spans="1:84" ht="15.75" thickBot="1" x14ac:dyDescent="0.25">
      <c r="B29" s="3"/>
      <c r="C29" s="1217">
        <f>E29*100/30</f>
        <v>1113.7866666666669</v>
      </c>
      <c r="D29" s="780"/>
      <c r="E29" s="347">
        <f>SUM(E21:E27)</f>
        <v>334.13600000000002</v>
      </c>
      <c r="F29" s="347">
        <f t="shared" ref="F29:K29" si="145">SUM(F21:F27)</f>
        <v>33.413599999999995</v>
      </c>
      <c r="G29" s="347">
        <f t="shared" si="145"/>
        <v>22.275733333333331</v>
      </c>
      <c r="H29" s="347">
        <f t="shared" si="145"/>
        <v>16.706799999999998</v>
      </c>
      <c r="I29" s="347">
        <f t="shared" si="145"/>
        <v>13.36544</v>
      </c>
      <c r="J29" s="347">
        <f t="shared" si="145"/>
        <v>11.137866666666666</v>
      </c>
      <c r="K29" s="485">
        <f t="shared" si="145"/>
        <v>0.30227418498344955</v>
      </c>
      <c r="L29" s="491"/>
      <c r="M29" s="5">
        <f t="shared" ref="M29" si="146">SUM(M21:M27)</f>
        <v>11.137866666666666</v>
      </c>
      <c r="N29" s="5">
        <f t="shared" ref="N29:O29" si="147">SUM(N21:N27)</f>
        <v>11.137866666666666</v>
      </c>
      <c r="O29" s="5">
        <f t="shared" si="147"/>
        <v>11.137866666666666</v>
      </c>
      <c r="P29" s="5">
        <f t="shared" ref="P29:Q29" si="148">SUM(P21:P27)</f>
        <v>11.137866666666666</v>
      </c>
      <c r="Q29" s="5">
        <f t="shared" si="148"/>
        <v>11.137866666666666</v>
      </c>
      <c r="R29" s="5">
        <f t="shared" ref="R29" si="149">SUM(R21:R27)</f>
        <v>11.137866666666666</v>
      </c>
      <c r="S29" s="5">
        <f t="shared" ref="S29" si="150">SUM(S21:S27)</f>
        <v>11.137866666666666</v>
      </c>
      <c r="T29" s="14"/>
      <c r="U29" s="1184">
        <f t="shared" ref="U29:W29" si="151">SUM(U21:U27)</f>
        <v>77.965066666666658</v>
      </c>
      <c r="V29" s="1185">
        <f t="shared" si="151"/>
        <v>125.7037425672173</v>
      </c>
      <c r="W29" s="1186">
        <f t="shared" si="151"/>
        <v>47.738675900550653</v>
      </c>
      <c r="X29" s="145"/>
      <c r="Y29" s="1348">
        <f t="shared" ref="Y29:Z29" si="152">SUM(Y21:Y27)</f>
        <v>11.137866666666666</v>
      </c>
      <c r="Z29" s="1348">
        <f t="shared" si="152"/>
        <v>11.137866666666666</v>
      </c>
      <c r="AA29" s="1368">
        <f t="shared" ref="AA29:AB29" si="153">SUM(AA21:AA27)</f>
        <v>11.137866666666666</v>
      </c>
      <c r="AB29" s="1372">
        <f t="shared" si="153"/>
        <v>11.137866666666666</v>
      </c>
      <c r="AC29" s="1376">
        <f t="shared" ref="AC29:AD29" si="154">SUM(AC21:AC27)</f>
        <v>11.137866666666666</v>
      </c>
      <c r="AD29" s="1380">
        <f t="shared" si="154"/>
        <v>11.137866666666666</v>
      </c>
      <c r="AE29" s="1348">
        <f t="shared" ref="AE29" si="155">SUM(AE21:AE27)</f>
        <v>11.137866666666666</v>
      </c>
      <c r="AF29" s="145"/>
      <c r="AG29" s="1184">
        <f>SUM(AG21:AG27)</f>
        <v>77.965066666666658</v>
      </c>
      <c r="AH29" s="1185">
        <f>SUM(AH21:AH27)</f>
        <v>68.170385568392462</v>
      </c>
      <c r="AI29" s="1186">
        <f>SUM(AI21:AI27)</f>
        <v>-9.7946810982742019</v>
      </c>
      <c r="AJ29" s="145"/>
      <c r="AK29" s="1348">
        <f t="shared" ref="AK29" si="156">SUM(AK21:AK27)</f>
        <v>11.137866666666666</v>
      </c>
      <c r="AL29" s="1348">
        <f t="shared" ref="AL29:AM29" si="157">SUM(AL21:AL27)</f>
        <v>11.137866666666666</v>
      </c>
      <c r="AM29" s="1470">
        <f t="shared" si="157"/>
        <v>11.137866666666666</v>
      </c>
      <c r="AN29" s="1475">
        <f t="shared" ref="AN29:AO29" si="158">SUM(AN21:AN27)</f>
        <v>11.137866666666666</v>
      </c>
      <c r="AO29" s="1478">
        <f t="shared" si="158"/>
        <v>11.137866666666666</v>
      </c>
      <c r="AP29" s="1487">
        <f t="shared" ref="AP29:AQ29" si="159">SUM(AP21:AP27)</f>
        <v>11.137866666666666</v>
      </c>
      <c r="AQ29" s="1348">
        <f t="shared" si="159"/>
        <v>11.137866666666666</v>
      </c>
      <c r="AR29" s="145"/>
      <c r="AS29" s="1184">
        <f>SUM(AS21:AS27)</f>
        <v>77.965066666666658</v>
      </c>
      <c r="AT29" s="1185">
        <f>SUM(AT21:AT27)</f>
        <v>92.491366492160807</v>
      </c>
      <c r="AU29" s="1186">
        <f>SUM(AU21:AU27)</f>
        <v>14.526299825494155</v>
      </c>
      <c r="AV29" s="145"/>
      <c r="AW29" s="1348">
        <f t="shared" ref="AW29" si="160">SUM(AW21:AW27)</f>
        <v>11.137866666666666</v>
      </c>
      <c r="AX29" s="1348">
        <f t="shared" ref="AX29:AY29" si="161">SUM(AX21:AX27)</f>
        <v>11.137866666666666</v>
      </c>
      <c r="AY29" s="1493">
        <f t="shared" si="161"/>
        <v>11.137866666666666</v>
      </c>
      <c r="AZ29" s="1516">
        <f t="shared" ref="AZ29:BA29" si="162">SUM(AZ21:AZ27)</f>
        <v>11.137866666666666</v>
      </c>
      <c r="BA29" s="1521">
        <f t="shared" si="162"/>
        <v>11.137866666666666</v>
      </c>
      <c r="BB29" s="1524">
        <f t="shared" ref="BB29:BC29" si="163">SUM(BB21:BB27)</f>
        <v>11.137866666666666</v>
      </c>
      <c r="BC29" s="1529">
        <f t="shared" si="163"/>
        <v>11.137866666666666</v>
      </c>
      <c r="BD29" s="145"/>
      <c r="BE29" s="1184">
        <f>SUM(BE21:BE27)</f>
        <v>77.965066666666658</v>
      </c>
      <c r="BF29" s="1185">
        <f>SUM(BF21:BF27)</f>
        <v>73.475297514852016</v>
      </c>
      <c r="BG29" s="1186">
        <f>SUM(BG21:BG27)</f>
        <v>-4.4897691518146496</v>
      </c>
      <c r="BH29" s="14"/>
      <c r="BI29" s="5">
        <f t="shared" ref="BI29" si="164">SUM(BI21:BI27)</f>
        <v>11.137866666666666</v>
      </c>
      <c r="BJ29" s="5">
        <f t="shared" ref="BJ29" si="165">SUM(BJ21:BJ27)</f>
        <v>11.137866666666666</v>
      </c>
      <c r="BK29" s="14"/>
      <c r="BL29" s="1184">
        <f>SUM(BL21:BL27)</f>
        <v>22.275733333333331</v>
      </c>
      <c r="BM29" s="1185">
        <f>SUM(BM21:BM27)</f>
        <v>26.578969085594721</v>
      </c>
      <c r="BN29" s="1186">
        <f>SUM(BN21:BN27)</f>
        <v>4.3032357522613873</v>
      </c>
      <c r="BP29" s="1184">
        <f>SUM(BP21:BP27)</f>
        <v>334.13600000000002</v>
      </c>
      <c r="BQ29" s="1189">
        <f>BP29/E29</f>
        <v>1</v>
      </c>
      <c r="BS29" s="1184">
        <f t="shared" ref="BS29" si="166">SUM(BS21:BS27)</f>
        <v>334.13599999999997</v>
      </c>
      <c r="BT29" s="1189">
        <f>BS29/E29</f>
        <v>0.99999999999999978</v>
      </c>
      <c r="BU29" s="29"/>
      <c r="BW29" s="29"/>
      <c r="BX29" s="1058"/>
      <c r="BY29" s="29" t="s">
        <v>157</v>
      </c>
      <c r="BZ29" s="1059">
        <f>BS1</f>
        <v>1</v>
      </c>
      <c r="CA29" s="1353"/>
      <c r="CB29" s="1353"/>
      <c r="CC29" s="1353"/>
      <c r="CD29" s="1353"/>
      <c r="CE29" s="1353"/>
      <c r="CF29" s="1060"/>
    </row>
    <row r="30" spans="1:84" s="1353" customFormat="1" ht="4.5" customHeight="1" thickBot="1" x14ac:dyDescent="0.25">
      <c r="B30" s="150"/>
      <c r="C30" s="1174"/>
      <c r="D30" s="444"/>
      <c r="E30" s="435"/>
      <c r="F30" s="435"/>
      <c r="G30" s="435"/>
      <c r="H30" s="435"/>
      <c r="I30" s="435"/>
      <c r="J30" s="435"/>
      <c r="K30" s="1175"/>
      <c r="L30" s="491"/>
      <c r="M30" s="37"/>
      <c r="N30" s="37"/>
      <c r="O30" s="37"/>
      <c r="P30" s="37"/>
      <c r="Q30" s="37"/>
      <c r="R30" s="37"/>
      <c r="S30" s="37"/>
      <c r="T30" s="14"/>
      <c r="U30" s="14"/>
      <c r="V30" s="14"/>
      <c r="W30" s="14"/>
      <c r="X30" s="14"/>
      <c r="Y30" s="37"/>
      <c r="Z30" s="37"/>
      <c r="AA30" s="37"/>
      <c r="AB30" s="37"/>
      <c r="AC30" s="37"/>
      <c r="AD30" s="37"/>
      <c r="AE30" s="37"/>
      <c r="AF30" s="14"/>
      <c r="AG30" s="14"/>
      <c r="AH30" s="14"/>
      <c r="AI30" s="14"/>
      <c r="AJ30" s="14"/>
      <c r="AK30" s="37"/>
      <c r="AL30" s="37"/>
      <c r="AM30" s="37"/>
      <c r="AN30" s="37"/>
      <c r="AO30" s="37"/>
      <c r="AP30" s="37"/>
      <c r="AQ30" s="37"/>
      <c r="AR30" s="14"/>
      <c r="AS30" s="14"/>
      <c r="AT30" s="14"/>
      <c r="AU30" s="14"/>
      <c r="AV30" s="14"/>
      <c r="AW30" s="37"/>
      <c r="AX30" s="37"/>
      <c r="AY30" s="37"/>
      <c r="AZ30" s="37"/>
      <c r="BA30" s="37"/>
      <c r="BB30" s="37"/>
      <c r="BC30" s="37"/>
      <c r="BD30" s="14"/>
      <c r="BE30" s="1359"/>
      <c r="BF30" s="1359"/>
      <c r="BG30" s="1359"/>
      <c r="BH30" s="14"/>
      <c r="BI30" s="37"/>
      <c r="BJ30" s="37"/>
      <c r="BK30" s="14"/>
      <c r="BL30" s="1359"/>
      <c r="BM30" s="1359"/>
      <c r="BN30" s="1359"/>
      <c r="BP30" s="14"/>
      <c r="BQ30" s="29"/>
      <c r="BS30" s="14"/>
      <c r="BT30" s="29"/>
      <c r="BU30" s="29"/>
      <c r="BW30" s="29"/>
      <c r="BX30" s="1034"/>
      <c r="BY30" s="271"/>
      <c r="BZ30" s="271"/>
      <c r="CA30" s="271"/>
      <c r="CB30" s="271"/>
      <c r="CC30" s="271"/>
      <c r="CD30" s="271"/>
      <c r="CE30" s="271"/>
      <c r="CF30" s="1032"/>
    </row>
    <row r="31" spans="1:84" s="255" customFormat="1" ht="15.75" thickBot="1" x14ac:dyDescent="0.25">
      <c r="B31" s="43"/>
      <c r="C31" s="43" t="s">
        <v>17</v>
      </c>
      <c r="D31" s="813"/>
      <c r="E31" s="40">
        <f t="shared" ref="E31:J31" si="167">SUM(E8:E17)+SUM(E21:E27)</f>
        <v>1105.4069999999999</v>
      </c>
      <c r="F31" s="40">
        <f t="shared" si="167"/>
        <v>109.54069999999999</v>
      </c>
      <c r="G31" s="40">
        <f t="shared" si="167"/>
        <v>73.027133333333339</v>
      </c>
      <c r="H31" s="40">
        <f t="shared" si="167"/>
        <v>54.770349999999993</v>
      </c>
      <c r="I31" s="40">
        <f t="shared" si="167"/>
        <v>43.816279999999992</v>
      </c>
      <c r="J31" s="40">
        <f t="shared" si="167"/>
        <v>36.846899999999998</v>
      </c>
      <c r="K31" s="193">
        <f>E31/(E31+E42+E47)</f>
        <v>0.36846899999999999</v>
      </c>
      <c r="L31" s="62"/>
      <c r="M31" s="40">
        <f t="shared" ref="M31:S31" si="168">SUM(M8:M17)+SUM(M21:M27)</f>
        <v>36.846899999999998</v>
      </c>
      <c r="N31" s="40">
        <f t="shared" si="168"/>
        <v>36.846899999999998</v>
      </c>
      <c r="O31" s="40">
        <f t="shared" si="168"/>
        <v>36.846899999999998</v>
      </c>
      <c r="P31" s="40">
        <f t="shared" si="168"/>
        <v>36.846899999999998</v>
      </c>
      <c r="Q31" s="40">
        <f t="shared" si="168"/>
        <v>36.846899999999998</v>
      </c>
      <c r="R31" s="40">
        <f t="shared" si="168"/>
        <v>36.846899999999998</v>
      </c>
      <c r="S31" s="40">
        <f t="shared" si="168"/>
        <v>36.846899999999998</v>
      </c>
      <c r="T31" s="1361"/>
      <c r="U31" s="742">
        <f>SUM(U8:U17)+SUM(U21:U27)</f>
        <v>257.92829999999998</v>
      </c>
      <c r="V31" s="1187">
        <f>SUM(V8:V17)+SUM(V21:V27)</f>
        <v>415.86</v>
      </c>
      <c r="W31" s="1188">
        <f>SUM(W8:W17)+SUM(W21:W27)</f>
        <v>157.93170000000001</v>
      </c>
      <c r="X31" s="782"/>
      <c r="Y31" s="1349">
        <f t="shared" ref="Y31:AE31" si="169">SUM(Y8:Y17)+SUM(Y21:Y27)</f>
        <v>36.846899999999998</v>
      </c>
      <c r="Z31" s="1349">
        <f t="shared" si="169"/>
        <v>36.846899999999998</v>
      </c>
      <c r="AA31" s="1369">
        <f t="shared" si="169"/>
        <v>36.846899999999998</v>
      </c>
      <c r="AB31" s="1373">
        <f t="shared" si="169"/>
        <v>36.846899999999998</v>
      </c>
      <c r="AC31" s="1377">
        <f t="shared" si="169"/>
        <v>36.846899999999998</v>
      </c>
      <c r="AD31" s="1381">
        <f t="shared" si="169"/>
        <v>36.846899999999998</v>
      </c>
      <c r="AE31" s="1349">
        <f t="shared" si="169"/>
        <v>36.846899999999998</v>
      </c>
      <c r="AF31" s="782"/>
      <c r="AG31" s="742">
        <f>SUM(Y31:AE31)</f>
        <v>257.92829999999998</v>
      </c>
      <c r="AH31" s="1187">
        <f>SUM(AH8:AH17)+SUM(AH21:AH27)</f>
        <v>225.52500000000003</v>
      </c>
      <c r="AI31" s="1188">
        <f>SUM(AI8:AI17)+SUM(AI21:AI27)</f>
        <v>-32.403299999999966</v>
      </c>
      <c r="AJ31" s="782"/>
      <c r="AK31" s="1349">
        <f t="shared" ref="AK31:AO31" si="170">SUM(AK8:AK17)+SUM(AK21:AK27)</f>
        <v>36.846899999999998</v>
      </c>
      <c r="AL31" s="1349">
        <f t="shared" si="170"/>
        <v>36.846899999999998</v>
      </c>
      <c r="AM31" s="1471">
        <f t="shared" si="170"/>
        <v>36.846899999999998</v>
      </c>
      <c r="AN31" s="1474">
        <f t="shared" si="170"/>
        <v>36.846899999999998</v>
      </c>
      <c r="AO31" s="1479">
        <f t="shared" si="170"/>
        <v>36.846899999999998</v>
      </c>
      <c r="AP31" s="1486">
        <f t="shared" ref="AP31:AQ31" si="171">SUM(AP8:AP17)+SUM(AP21:AP27)</f>
        <v>36.846899999999998</v>
      </c>
      <c r="AQ31" s="1349">
        <f t="shared" si="171"/>
        <v>36.846899999999998</v>
      </c>
      <c r="AR31" s="782"/>
      <c r="AS31" s="742">
        <f>SUM(AK31:AQ31)</f>
        <v>257.92829999999998</v>
      </c>
      <c r="AT31" s="1187">
        <f>SUM(AT8:AT17)+SUM(AT21:AT27)</f>
        <v>305.98500000000001</v>
      </c>
      <c r="AU31" s="1188">
        <f>SUM(AU8:AU17)+SUM(AU21:AU27)</f>
        <v>48.056700000000063</v>
      </c>
      <c r="AV31" s="782"/>
      <c r="AW31" s="1349">
        <f t="shared" ref="AW31" si="172">SUM(AW8:AW17)+SUM(AW21:AW27)</f>
        <v>36.846899999999998</v>
      </c>
      <c r="AX31" s="1349">
        <f t="shared" ref="AX31:AY31" si="173">SUM(AX8:AX17)+SUM(AX21:AX27)</f>
        <v>36.846899999999998</v>
      </c>
      <c r="AY31" s="1492">
        <f t="shared" si="173"/>
        <v>36.846899999999998</v>
      </c>
      <c r="AZ31" s="1517">
        <f t="shared" ref="AZ31:BA31" si="174">SUM(AZ8:AZ17)+SUM(AZ21:AZ27)</f>
        <v>36.846899999999998</v>
      </c>
      <c r="BA31" s="1520">
        <f t="shared" si="174"/>
        <v>36.846899999999998</v>
      </c>
      <c r="BB31" s="1525">
        <f t="shared" ref="BB31:BC31" si="175">SUM(BB8:BB17)+SUM(BB21:BB27)</f>
        <v>36.846899999999998</v>
      </c>
      <c r="BC31" s="1528">
        <f t="shared" si="175"/>
        <v>36.846899999999998</v>
      </c>
      <c r="BD31" s="782"/>
      <c r="BE31" s="742">
        <f>SUM(AW31:BC31)</f>
        <v>257.92829999999998</v>
      </c>
      <c r="BF31" s="1187">
        <f>SUM(BF8:BF17)+SUM(BF21:BF27)</f>
        <v>243.07500000000005</v>
      </c>
      <c r="BG31" s="1188">
        <f>SUM(BG8:BG17)+SUM(BG21:BG27)</f>
        <v>-14.853299999999951</v>
      </c>
      <c r="BH31" s="1361"/>
      <c r="BI31" s="40">
        <f t="shared" ref="BI31" si="176">SUM(BI8:BI17)+SUM(BI21:BI27)</f>
        <v>36.846899999999998</v>
      </c>
      <c r="BJ31" s="40">
        <f t="shared" ref="BJ31" si="177">SUM(BJ8:BJ17)+SUM(BJ21:BJ27)</f>
        <v>36.846899999999998</v>
      </c>
      <c r="BK31" s="1361"/>
      <c r="BL31" s="742">
        <f>SUM(BI31:BJ31)</f>
        <v>73.693799999999996</v>
      </c>
      <c r="BM31" s="1187">
        <f>SUM(BM8:BM17)+SUM(BM21:BM27)</f>
        <v>87.93</v>
      </c>
      <c r="BN31" s="1188">
        <f>SUM(BN8:BN17)+SUM(BN21:BN27)</f>
        <v>14.236200000000007</v>
      </c>
      <c r="BP31" s="742">
        <f>SUM(BP8:BP17)+SUM(BP21:BP27)</f>
        <v>1105.4069999999999</v>
      </c>
      <c r="BQ31" s="1192">
        <f>BP31/$E$31</f>
        <v>1</v>
      </c>
      <c r="BS31" s="742">
        <f>SUM(BS8:BS17)+SUM(BS21:BS27)</f>
        <v>1105.4069999999999</v>
      </c>
      <c r="BT31" s="1192">
        <f>BS31/$E$31</f>
        <v>1</v>
      </c>
      <c r="BU31" s="62"/>
      <c r="BW31" s="62"/>
      <c r="BX31" s="1031"/>
      <c r="BY31" s="81"/>
      <c r="BZ31" s="81"/>
      <c r="CA31" s="271"/>
      <c r="CB31" s="271"/>
      <c r="CC31" s="271"/>
      <c r="CD31" s="271"/>
      <c r="CE31" s="271"/>
      <c r="CF31" s="1032"/>
    </row>
    <row r="32" spans="1:84" s="81" customFormat="1" ht="4.5" customHeight="1" thickBot="1" x14ac:dyDescent="0.25">
      <c r="E32" s="1361"/>
      <c r="F32" s="1361"/>
      <c r="G32" s="1361"/>
      <c r="H32" s="1361"/>
      <c r="I32" s="1361"/>
      <c r="J32" s="1361"/>
      <c r="K32" s="1079"/>
      <c r="L32" s="62"/>
      <c r="M32" s="1361"/>
      <c r="N32" s="1361"/>
      <c r="O32" s="1363"/>
      <c r="P32" s="1365"/>
      <c r="Q32" s="1365"/>
      <c r="R32" s="1367"/>
      <c r="S32" s="1361"/>
      <c r="T32" s="1361"/>
      <c r="U32" s="1361"/>
      <c r="V32" s="1361"/>
      <c r="W32" s="1361"/>
      <c r="X32" s="1361"/>
      <c r="Y32" s="1361"/>
      <c r="Z32" s="1361"/>
      <c r="AA32" s="1371"/>
      <c r="AB32" s="1375"/>
      <c r="AC32" s="1379"/>
      <c r="AD32" s="1383"/>
      <c r="AE32" s="1361"/>
      <c r="AF32" s="1361"/>
      <c r="AG32" s="1361"/>
      <c r="AH32" s="1361"/>
      <c r="AI32" s="1361"/>
      <c r="AJ32" s="1361"/>
      <c r="AK32" s="1361"/>
      <c r="AL32" s="1361"/>
      <c r="AM32" s="1473"/>
      <c r="AN32" s="1477"/>
      <c r="AO32" s="1481"/>
      <c r="AP32" s="1489"/>
      <c r="AQ32" s="1361"/>
      <c r="AR32" s="1361"/>
      <c r="AS32" s="1361"/>
      <c r="AT32" s="1361"/>
      <c r="AU32" s="1361"/>
      <c r="AV32" s="1361"/>
      <c r="AW32" s="1361"/>
      <c r="AX32" s="1361"/>
      <c r="AY32" s="1495"/>
      <c r="AZ32" s="1519"/>
      <c r="BA32" s="1523"/>
      <c r="BB32" s="1527"/>
      <c r="BC32" s="1531"/>
      <c r="BD32" s="1361"/>
      <c r="BE32" s="1361"/>
      <c r="BF32" s="1361"/>
      <c r="BG32" s="1361"/>
      <c r="BH32" s="1361"/>
      <c r="BI32" s="1361"/>
      <c r="BJ32" s="1361"/>
      <c r="BK32" s="1361"/>
      <c r="BL32" s="1361"/>
      <c r="BM32" s="1361"/>
      <c r="BN32" s="1361"/>
      <c r="BP32" s="1361"/>
      <c r="BQ32" s="93"/>
      <c r="BS32" s="1361"/>
      <c r="BT32" s="411"/>
      <c r="BU32" s="411"/>
      <c r="BW32" s="62"/>
      <c r="BX32" s="1035"/>
      <c r="BY32" s="226"/>
      <c r="BZ32" s="271"/>
      <c r="CF32" s="1029"/>
    </row>
    <row r="33" spans="1:84" ht="15.75" thickBot="1" x14ac:dyDescent="0.25">
      <c r="B33" s="1092"/>
      <c r="C33" s="1093" t="s">
        <v>150</v>
      </c>
      <c r="D33" s="1094"/>
      <c r="E33" s="1095">
        <f>E31*100/30</f>
        <v>3684.69</v>
      </c>
      <c r="F33" s="1096">
        <f t="shared" ref="F33:I33" si="178">F31*100/30</f>
        <v>365.13566666666662</v>
      </c>
      <c r="G33" s="1096">
        <f t="shared" si="178"/>
        <v>243.42377777777781</v>
      </c>
      <c r="H33" s="1096">
        <f t="shared" si="178"/>
        <v>182.56783333333331</v>
      </c>
      <c r="I33" s="1096">
        <f t="shared" si="178"/>
        <v>146.05426666666662</v>
      </c>
      <c r="J33" s="1096">
        <f>J31*100/30</f>
        <v>122.82299999999999</v>
      </c>
      <c r="K33" s="1167">
        <f>E33/E57</f>
        <v>0.36846899999999999</v>
      </c>
      <c r="L33" s="1098"/>
      <c r="M33" s="1099">
        <f t="shared" ref="M33:S33" si="179">M4-M31</f>
        <v>30.548099999999998</v>
      </c>
      <c r="N33" s="1095">
        <f t="shared" si="179"/>
        <v>29.153100000000002</v>
      </c>
      <c r="O33" s="1095">
        <f t="shared" si="179"/>
        <v>55.07309999999999</v>
      </c>
      <c r="P33" s="1095">
        <f t="shared" si="179"/>
        <v>153.69809999999998</v>
      </c>
      <c r="Q33" s="1095">
        <f t="shared" si="179"/>
        <v>-36.846899999999998</v>
      </c>
      <c r="R33" s="1095">
        <f t="shared" si="179"/>
        <v>-36.846899999999998</v>
      </c>
      <c r="S33" s="1100">
        <f t="shared" si="179"/>
        <v>-36.846899999999998</v>
      </c>
      <c r="T33" s="481"/>
      <c r="U33" s="1099">
        <f>SUM(M33:S33)</f>
        <v>157.93169999999998</v>
      </c>
      <c r="V33" s="1095"/>
      <c r="W33" s="1100"/>
      <c r="X33" s="481"/>
      <c r="Y33" s="1099">
        <f t="shared" ref="Y33:AE33" si="180">Y4-Y31</f>
        <v>-4.5518999999999963</v>
      </c>
      <c r="Z33" s="1095">
        <f t="shared" si="180"/>
        <v>-15.411899999999999</v>
      </c>
      <c r="AA33" s="1095">
        <f t="shared" si="180"/>
        <v>11.003100000000003</v>
      </c>
      <c r="AB33" s="1095">
        <f t="shared" si="180"/>
        <v>-8.8868999999999971</v>
      </c>
      <c r="AC33" s="1095">
        <f t="shared" si="180"/>
        <v>9.1381000000000014</v>
      </c>
      <c r="AD33" s="1095">
        <f t="shared" si="180"/>
        <v>-5.3918999999999997</v>
      </c>
      <c r="AE33" s="1100">
        <f t="shared" si="180"/>
        <v>-11.301899999999996</v>
      </c>
      <c r="AF33" s="481"/>
      <c r="AG33" s="1099">
        <f>SUM(Y33:AE33)</f>
        <v>-25.403299999999984</v>
      </c>
      <c r="AH33" s="1095"/>
      <c r="AI33" s="1100"/>
      <c r="AJ33" s="781"/>
      <c r="AK33" s="1099">
        <f t="shared" ref="AK33:AO33" si="181">AK4-AK31</f>
        <v>4.4630999999999972</v>
      </c>
      <c r="AL33" s="1096">
        <f t="shared" si="181"/>
        <v>16.883099999999999</v>
      </c>
      <c r="AM33" s="1096">
        <f t="shared" si="181"/>
        <v>-2.4669000000000025</v>
      </c>
      <c r="AN33" s="1096">
        <f t="shared" si="181"/>
        <v>17.273099999999999</v>
      </c>
      <c r="AO33" s="1096">
        <f t="shared" si="181"/>
        <v>30.203099999999999</v>
      </c>
      <c r="AP33" s="1096">
        <f t="shared" ref="AP33:AQ33" si="182">AP4-AP31</f>
        <v>1.9131</v>
      </c>
      <c r="AQ33" s="1100">
        <f t="shared" si="182"/>
        <v>-20.211899999999996</v>
      </c>
      <c r="AR33" s="1101"/>
      <c r="AS33" s="1099">
        <f>SUM(AK33:AQ33)</f>
        <v>48.056699999999992</v>
      </c>
      <c r="AT33" s="1095"/>
      <c r="AU33" s="1100"/>
      <c r="AV33" s="481"/>
      <c r="AW33" s="1099">
        <f t="shared" ref="AW33" si="183">AW4-AW31</f>
        <v>-0.84689999999999799</v>
      </c>
      <c r="AX33" s="1096">
        <f t="shared" ref="AX33:AY33" si="184">AX4-AX31</f>
        <v>1.778100000000002</v>
      </c>
      <c r="AY33" s="1096">
        <f t="shared" si="184"/>
        <v>-6.4419000000000004</v>
      </c>
      <c r="AZ33" s="1096">
        <f t="shared" ref="AZ33:BA33" si="185">AZ4-AZ31</f>
        <v>1.1030999999999977</v>
      </c>
      <c r="BA33" s="1096">
        <f t="shared" si="185"/>
        <v>13.193100000000001</v>
      </c>
      <c r="BB33" s="1096">
        <f t="shared" ref="BB33:BC33" si="186">BB4-BB31</f>
        <v>-2.1668999999999983</v>
      </c>
      <c r="BC33" s="1096">
        <f t="shared" si="186"/>
        <v>-21.471899999999998</v>
      </c>
      <c r="BD33" s="481"/>
      <c r="BE33" s="1099">
        <f>SUM(AW33:BC33)</f>
        <v>-14.853299999999994</v>
      </c>
      <c r="BF33" s="1095"/>
      <c r="BG33" s="1100"/>
      <c r="BI33" s="1099">
        <f t="shared" ref="BI33" si="187">BI4-BI31</f>
        <v>-3.6668999999999983</v>
      </c>
      <c r="BJ33" s="1096">
        <f t="shared" ref="BJ33" si="188">BJ4-BJ31</f>
        <v>17.903100000000002</v>
      </c>
      <c r="BK33" s="1103"/>
      <c r="BL33" s="1104">
        <f>SUM(BI33:BJ33)</f>
        <v>14.236200000000004</v>
      </c>
      <c r="BM33" s="1102"/>
      <c r="BN33" s="1100"/>
      <c r="BO33" s="14"/>
      <c r="BP33" s="1104">
        <f>SUM(M33:S33)+SUM(Y33:AE33)+SUM(AK33:AQ33)+SUM(AW33:BC33)+SUM(BI33:BJ33)</f>
        <v>179.96800000000002</v>
      </c>
      <c r="BQ33" s="1105"/>
      <c r="BS33" s="1353"/>
      <c r="BT33" s="1353"/>
      <c r="BW33" s="29"/>
      <c r="BX33" s="1036"/>
      <c r="BY33" s="847" t="s">
        <v>155</v>
      </c>
      <c r="BZ33" s="226" t="s">
        <v>156</v>
      </c>
      <c r="CA33" s="271"/>
      <c r="CB33" s="271"/>
      <c r="CC33" s="271"/>
      <c r="CD33" s="271"/>
      <c r="CE33" s="271"/>
      <c r="CF33" s="1032"/>
    </row>
    <row r="34" spans="1:84" s="81" customFormat="1" ht="15" customHeight="1" thickBot="1" x14ac:dyDescent="0.25">
      <c r="C34" s="81" t="s">
        <v>143</v>
      </c>
      <c r="E34" s="1361"/>
      <c r="F34" s="1361"/>
      <c r="G34" s="1361"/>
      <c r="H34" s="1361"/>
      <c r="I34" s="1361"/>
      <c r="J34" s="1361"/>
      <c r="K34" s="410"/>
      <c r="L34" s="411"/>
      <c r="M34" s="1361"/>
      <c r="N34" s="1361"/>
      <c r="O34" s="1363"/>
      <c r="P34" s="1365"/>
      <c r="Q34" s="1365"/>
      <c r="R34" s="1367"/>
      <c r="S34" s="1361"/>
      <c r="T34" s="1361"/>
      <c r="U34" s="1361"/>
      <c r="V34" s="1361"/>
      <c r="W34" s="1361"/>
      <c r="X34" s="1361"/>
      <c r="Y34" s="1361"/>
      <c r="Z34" s="1361"/>
      <c r="AA34" s="1371"/>
      <c r="AB34" s="1375"/>
      <c r="AC34" s="1379"/>
      <c r="AD34" s="1383"/>
      <c r="AE34" s="1361"/>
      <c r="AF34" s="1361"/>
      <c r="AG34" s="1361"/>
      <c r="AH34" s="1361"/>
      <c r="AI34" s="1361"/>
      <c r="AJ34" s="1361"/>
      <c r="AK34" s="1361"/>
      <c r="AL34" s="1361"/>
      <c r="AM34" s="1473"/>
      <c r="AN34" s="1477"/>
      <c r="AO34" s="1481"/>
      <c r="AP34" s="1489"/>
      <c r="AQ34" s="1361"/>
      <c r="AR34" s="1361"/>
      <c r="AS34" s="1361"/>
      <c r="AT34" s="1361"/>
      <c r="AU34" s="1361"/>
      <c r="AV34" s="1361"/>
      <c r="AW34" s="1361"/>
      <c r="AX34" s="1361"/>
      <c r="AY34" s="1495"/>
      <c r="AZ34" s="1519"/>
      <c r="BA34" s="1523"/>
      <c r="BB34" s="1527"/>
      <c r="BC34" s="1531"/>
      <c r="BD34" s="1361"/>
      <c r="BE34" s="1361"/>
      <c r="BF34" s="1361"/>
      <c r="BG34" s="1361"/>
      <c r="BH34" s="1361"/>
      <c r="BI34" s="1361"/>
      <c r="BJ34" s="1361"/>
      <c r="BK34" s="1361"/>
      <c r="BL34" s="1361"/>
      <c r="BM34" s="1361"/>
      <c r="BN34" s="1361"/>
      <c r="BO34" s="1361"/>
      <c r="BP34" s="1361"/>
      <c r="BQ34" s="93"/>
      <c r="BS34" s="4520" t="s">
        <v>99</v>
      </c>
      <c r="BT34" s="4520"/>
      <c r="BU34" s="1361"/>
      <c r="BW34" s="62"/>
      <c r="BX34" s="1036" t="s">
        <v>159</v>
      </c>
      <c r="BY34" s="1198">
        <v>0.5</v>
      </c>
      <c r="BZ34" s="1199" t="str">
        <f>IF(BZ29&lt;=BY34,BZ29," ")</f>
        <v xml:space="preserve"> </v>
      </c>
      <c r="CF34" s="1029"/>
    </row>
    <row r="35" spans="1:84" x14ac:dyDescent="0.2">
      <c r="A35" s="775"/>
      <c r="B35" s="591">
        <v>18</v>
      </c>
      <c r="C35" s="1106" t="s">
        <v>132</v>
      </c>
      <c r="D35" s="1094"/>
      <c r="E35" s="1107">
        <v>465</v>
      </c>
      <c r="F35" s="593">
        <f t="shared" ref="F35" si="189">E35/10</f>
        <v>46.5</v>
      </c>
      <c r="G35" s="593">
        <f t="shared" ref="G35" si="190">E35/15</f>
        <v>31</v>
      </c>
      <c r="H35" s="593">
        <f t="shared" ref="H35" si="191">E35/20</f>
        <v>23.25</v>
      </c>
      <c r="I35" s="593">
        <f t="shared" ref="I35" si="192">E35/25</f>
        <v>18.600000000000001</v>
      </c>
      <c r="J35" s="594">
        <f>E35/30</f>
        <v>15.5</v>
      </c>
      <c r="K35" s="595">
        <f>E35/$E$42</f>
        <v>0.27777777777777779</v>
      </c>
      <c r="L35" s="491"/>
      <c r="M35" s="599">
        <f t="shared" ref="M35:S35" si="193">IF(M33&gt;$J$42,$J$35,IF(M33&lt;$J$42,(IF(M33&lt;0,0,M33*$K$35))))</f>
        <v>8.4855833333333326</v>
      </c>
      <c r="N35" s="596">
        <f t="shared" si="193"/>
        <v>8.0980833333333351</v>
      </c>
      <c r="O35" s="596">
        <f t="shared" si="193"/>
        <v>15.298083333333331</v>
      </c>
      <c r="P35" s="596">
        <f t="shared" si="193"/>
        <v>15.5</v>
      </c>
      <c r="Q35" s="596">
        <f t="shared" si="193"/>
        <v>0</v>
      </c>
      <c r="R35" s="596">
        <f t="shared" si="193"/>
        <v>0</v>
      </c>
      <c r="S35" s="1108">
        <f t="shared" si="193"/>
        <v>0</v>
      </c>
      <c r="T35" s="481"/>
      <c r="U35" s="599">
        <f t="shared" si="10"/>
        <v>47.381749999999997</v>
      </c>
      <c r="V35" s="596">
        <f>$U$33*K35</f>
        <v>43.869916666666661</v>
      </c>
      <c r="W35" s="1109">
        <f>U35-V35</f>
        <v>3.5118333333333354</v>
      </c>
      <c r="X35" s="481"/>
      <c r="Y35" s="599">
        <f t="shared" ref="Y35:AA35" si="194">IF(Y33&gt;$J$42,$J$35,IF(Y33&lt;$J$42,(IF(Y33&lt;0,0,Y33*$K$35))))</f>
        <v>0</v>
      </c>
      <c r="Z35" s="596">
        <f t="shared" si="194"/>
        <v>0</v>
      </c>
      <c r="AA35" s="596">
        <f t="shared" si="194"/>
        <v>3.0564166666666677</v>
      </c>
      <c r="AB35" s="596">
        <f t="shared" ref="AB35:AC35" si="195">IF(AB33&gt;$J$42,$J$35,IF(AB33&lt;$J$42,(IF(AB33&lt;0,0,AB33*$K$35))))</f>
        <v>0</v>
      </c>
      <c r="AC35" s="596">
        <f t="shared" si="195"/>
        <v>2.5383611111111115</v>
      </c>
      <c r="AD35" s="596">
        <f t="shared" ref="AD35:AE35" si="196">IF(AD33&gt;$J$42,$J$35,IF(AD33&lt;$J$42,(IF(AD33&lt;0,0,AD33*$K$35))))</f>
        <v>0</v>
      </c>
      <c r="AE35" s="1108">
        <f t="shared" si="196"/>
        <v>0</v>
      </c>
      <c r="AF35" s="481"/>
      <c r="AG35" s="599">
        <f>SUM(Y35:AE35)</f>
        <v>5.5947777777777787</v>
      </c>
      <c r="AH35" s="596">
        <f>$AG$33*K35</f>
        <v>-7.0564722222222178</v>
      </c>
      <c r="AI35" s="1109">
        <f>AG35-AH35</f>
        <v>12.651249999999997</v>
      </c>
      <c r="AJ35" s="481"/>
      <c r="AK35" s="599">
        <f t="shared" ref="AK35" si="197">IF(AK33&gt;$J$42,$J$35,IF(AK33&lt;$J$42,(IF(AK33&lt;0,0,AK33*$K$35))))</f>
        <v>1.2397499999999992</v>
      </c>
      <c r="AL35" s="594">
        <f t="shared" ref="AL35:AM35" si="198">IF(AL33&gt;$J$42,$J$35,IF(AL33&lt;$J$42,(IF(AL33&lt;0,0,AL33*$K$35))))</f>
        <v>4.6897500000000001</v>
      </c>
      <c r="AM35" s="594">
        <f t="shared" si="198"/>
        <v>0</v>
      </c>
      <c r="AN35" s="594">
        <f t="shared" ref="AN35:AO35" si="199">IF(AN33&gt;$J$42,$J$35,IF(AN33&lt;$J$42,(IF(AN33&lt;0,0,AN33*$K$35))))</f>
        <v>4.7980833333333335</v>
      </c>
      <c r="AO35" s="594">
        <f t="shared" si="199"/>
        <v>8.3897499999999994</v>
      </c>
      <c r="AP35" s="594">
        <f t="shared" ref="AP35:AQ35" si="200">IF(AP33&gt;$J$42,$J$35,IF(AP33&lt;$J$42,(IF(AP33&lt;0,0,AP33*$K$35))))</f>
        <v>0.53141666666666665</v>
      </c>
      <c r="AQ35" s="594">
        <f t="shared" si="200"/>
        <v>0</v>
      </c>
      <c r="AR35" s="481"/>
      <c r="AS35" s="599">
        <f t="shared" ref="AS35:AS42" si="201">SUM(AK35:AQ35)</f>
        <v>19.648749999999996</v>
      </c>
      <c r="AT35" s="596">
        <f>$AS$33*K35</f>
        <v>13.349083333333331</v>
      </c>
      <c r="AU35" s="1109">
        <f>AS35-AT35</f>
        <v>6.2996666666666652</v>
      </c>
      <c r="AV35" s="481"/>
      <c r="AW35" s="1110">
        <f t="shared" ref="AW35" si="202">IF(AW33&gt;$J$42,$J$35,IF(AW33&lt;$J$42,(IF(AW33&lt;0,0,AW33*$K$35))))</f>
        <v>0</v>
      </c>
      <c r="AX35" s="593">
        <f t="shared" ref="AX35:BC35" si="203">IF(AX33&gt;$J$42,$J$35,IF(AX33&lt;$J$42,(IF(AX33&lt;0,0,AX33*$K$35))))</f>
        <v>0.49391666666666723</v>
      </c>
      <c r="AY35" s="593">
        <f t="shared" si="203"/>
        <v>0</v>
      </c>
      <c r="AZ35" s="593">
        <f t="shared" si="203"/>
        <v>0.30641666666666606</v>
      </c>
      <c r="BA35" s="593">
        <f t="shared" si="203"/>
        <v>3.6647500000000006</v>
      </c>
      <c r="BB35" s="593">
        <f t="shared" si="203"/>
        <v>0</v>
      </c>
      <c r="BC35" s="593">
        <f t="shared" si="203"/>
        <v>0</v>
      </c>
      <c r="BD35" s="481"/>
      <c r="BE35" s="599">
        <f>SUM(AW35:BC35)</f>
        <v>4.4650833333333342</v>
      </c>
      <c r="BF35" s="596">
        <f>$BE$33*K35</f>
        <v>-4.1259166666666651</v>
      </c>
      <c r="BG35" s="1109">
        <f>BE35-BF35</f>
        <v>8.5909999999999993</v>
      </c>
      <c r="BH35" s="481"/>
      <c r="BI35" s="1111">
        <f>IF(BI33&gt;$J$42,$J$35,IF(BI33&lt;$J$42,(IF(BI33&lt;0,0,BI33*$K$35))))</f>
        <v>0</v>
      </c>
      <c r="BJ35" s="1297">
        <f>IF(BJ33&gt;$J$42,$J$35,IF(BJ33&lt;$J$42,(IF(BJ33&lt;0,0,BJ33*$K$35))))</f>
        <v>4.9730833333333342</v>
      </c>
      <c r="BK35" s="481"/>
      <c r="BL35" s="599">
        <f t="shared" ref="BL35:BL42" si="204">SUM(BI35:BJ35)</f>
        <v>4.9730833333333342</v>
      </c>
      <c r="BM35" s="596">
        <f t="shared" ref="BM35:BM41" si="205">$BL$33*K35</f>
        <v>3.9545000000000012</v>
      </c>
      <c r="BN35" s="1109">
        <f>BL35-BM35</f>
        <v>1.018583333333333</v>
      </c>
      <c r="BP35" s="599"/>
      <c r="BQ35" s="600"/>
      <c r="BS35" s="599">
        <f t="shared" ref="BS35:BS41" si="206">SUM(M35:S35)+SUM(Y35:AE35)+SUM(AK35:AQ35)+SUM(AW35:BC35)+SUM(BI35:BJ35)</f>
        <v>82.063444444444443</v>
      </c>
      <c r="BT35" s="601">
        <f t="shared" ref="BT35:BT42" si="207">BS35/E35</f>
        <v>0.17648052568697731</v>
      </c>
      <c r="BU35" s="4505">
        <f>BT42-BS1</f>
        <v>-0.82351947431302275</v>
      </c>
      <c r="BW35" s="29"/>
      <c r="BX35" s="1229" t="s">
        <v>160</v>
      </c>
      <c r="BY35" s="1230">
        <v>0.75</v>
      </c>
      <c r="BZ35" s="1231" t="str">
        <f>IF(AND(BZ29&gt;BY34,BZ29&lt;=BY35),BZ29," ")</f>
        <v xml:space="preserve"> </v>
      </c>
      <c r="CA35" s="271"/>
      <c r="CB35" s="271"/>
      <c r="CC35" s="271"/>
      <c r="CD35" s="271"/>
      <c r="CE35" s="271"/>
      <c r="CF35" s="1032"/>
    </row>
    <row r="36" spans="1:84" s="255" customFormat="1" x14ac:dyDescent="0.2">
      <c r="B36" s="462">
        <v>19</v>
      </c>
      <c r="C36" s="816" t="s">
        <v>121</v>
      </c>
      <c r="D36" s="819"/>
      <c r="E36" s="445">
        <v>350</v>
      </c>
      <c r="F36" s="451">
        <f>E36/10</f>
        <v>35</v>
      </c>
      <c r="G36" s="451">
        <f>E36/15</f>
        <v>23.333333333333332</v>
      </c>
      <c r="H36" s="451">
        <f>E36/20</f>
        <v>17.5</v>
      </c>
      <c r="I36" s="451">
        <f>E36/25</f>
        <v>14</v>
      </c>
      <c r="J36" s="451">
        <f t="shared" ref="J36:J41" si="208">E36/30</f>
        <v>11.666666666666666</v>
      </c>
      <c r="K36" s="448">
        <f>E36/$E$42</f>
        <v>0.20908004778972522</v>
      </c>
      <c r="L36" s="492"/>
      <c r="M36" s="458">
        <f t="shared" ref="M36:S36" si="209">IF(M33&gt;$J$42,$J$36,IF(M33&lt;$J$42,(IF(M33&lt;0,0,M33*$K$36))))</f>
        <v>6.3869982078853047</v>
      </c>
      <c r="N36" s="445">
        <f t="shared" si="209"/>
        <v>6.0953315412186386</v>
      </c>
      <c r="O36" s="445">
        <f t="shared" si="209"/>
        <v>11.514686379928314</v>
      </c>
      <c r="P36" s="445">
        <f t="shared" si="209"/>
        <v>11.666666666666666</v>
      </c>
      <c r="Q36" s="445">
        <f t="shared" si="209"/>
        <v>0</v>
      </c>
      <c r="R36" s="445">
        <f t="shared" si="209"/>
        <v>0</v>
      </c>
      <c r="S36" s="463">
        <f t="shared" si="209"/>
        <v>0</v>
      </c>
      <c r="T36" s="479"/>
      <c r="U36" s="458">
        <f t="shared" si="10"/>
        <v>35.663682795698925</v>
      </c>
      <c r="V36" s="445">
        <f t="shared" ref="V36:V41" si="210">$U$33*K36</f>
        <v>33.020367383512543</v>
      </c>
      <c r="W36" s="1080">
        <f t="shared" ref="W36:W41" si="211">U36-V36</f>
        <v>2.6433154121863822</v>
      </c>
      <c r="X36" s="479"/>
      <c r="Y36" s="458">
        <f t="shared" ref="Y36:AA36" si="212">IF(Y33&gt;$J$42,$J$36,IF(Y33&lt;$J$42,(IF(Y33&lt;0,0,Y33*$K$36))))</f>
        <v>0</v>
      </c>
      <c r="Z36" s="445">
        <f t="shared" si="212"/>
        <v>0</v>
      </c>
      <c r="AA36" s="445">
        <f t="shared" si="212"/>
        <v>2.3005286738351263</v>
      </c>
      <c r="AB36" s="445">
        <f t="shared" ref="AB36:AC36" si="213">IF(AB33&gt;$J$42,$J$36,IF(AB33&lt;$J$42,(IF(AB33&lt;0,0,AB33*$K$36))))</f>
        <v>0</v>
      </c>
      <c r="AC36" s="445">
        <f t="shared" si="213"/>
        <v>1.9105943847072884</v>
      </c>
      <c r="AD36" s="445">
        <f t="shared" ref="AD36:AE36" si="214">IF(AD33&gt;$J$42,$J$36,IF(AD33&lt;$J$42,(IF(AD33&lt;0,0,AD33*$K$36))))</f>
        <v>0</v>
      </c>
      <c r="AE36" s="463">
        <f t="shared" si="214"/>
        <v>0</v>
      </c>
      <c r="AF36" s="479"/>
      <c r="AG36" s="458">
        <f t="shared" ref="AG36:AG41" si="215">SUM(Y36:AE36)</f>
        <v>4.2111230585424142</v>
      </c>
      <c r="AH36" s="445">
        <f t="shared" ref="AH36:AH41" si="216">$AG$33*K36</f>
        <v>-5.3113231780167229</v>
      </c>
      <c r="AI36" s="1080">
        <f t="shared" ref="AI36:AI41" si="217">AG36-AH36</f>
        <v>9.5224462365591371</v>
      </c>
      <c r="AJ36" s="479"/>
      <c r="AK36" s="458">
        <f t="shared" ref="AK36" si="218">IF(AK33&gt;$J$42,$J$36,IF(AK33&lt;$J$42,(IF(AK33&lt;0,0,AK33*$K$36))))</f>
        <v>0.93314516129032199</v>
      </c>
      <c r="AL36" s="451">
        <f t="shared" ref="AL36:AM36" si="219">IF(AL33&gt;$J$42,$J$36,IF(AL33&lt;$J$42,(IF(AL33&lt;0,0,AL33*$K$36))))</f>
        <v>3.5299193548387096</v>
      </c>
      <c r="AM36" s="451">
        <f t="shared" si="219"/>
        <v>0</v>
      </c>
      <c r="AN36" s="451">
        <f t="shared" ref="AN36:AO36" si="220">IF(AN33&gt;$J$42,$J$36,IF(AN33&lt;$J$42,(IF(AN33&lt;0,0,AN33*$K$36))))</f>
        <v>3.6114605734767027</v>
      </c>
      <c r="AO36" s="451">
        <f t="shared" si="220"/>
        <v>6.31486559139785</v>
      </c>
      <c r="AP36" s="451">
        <f t="shared" ref="AP36:AQ36" si="221">IF(AP33&gt;$J$42,$J$36,IF(AP33&lt;$J$42,(IF(AP33&lt;0,0,AP33*$K$36))))</f>
        <v>0.39999103942652331</v>
      </c>
      <c r="AQ36" s="451">
        <f t="shared" si="221"/>
        <v>0</v>
      </c>
      <c r="AR36" s="479"/>
      <c r="AS36" s="458">
        <f t="shared" si="201"/>
        <v>14.789381720430105</v>
      </c>
      <c r="AT36" s="445">
        <f t="shared" ref="AT36:AT41" si="222">$AS$33*K36</f>
        <v>10.047697132616486</v>
      </c>
      <c r="AU36" s="1080">
        <f t="shared" ref="AU36:AU41" si="223">AS36-AT36</f>
        <v>4.7416845878136193</v>
      </c>
      <c r="AV36" s="479"/>
      <c r="AW36" s="1057">
        <f t="shared" ref="AW36" si="224">IF(AW33&gt;$J$42,$J$36,IF(AW33&lt;$J$42,(IF(AW33&lt;0,0,AW33*$K$36))))</f>
        <v>0</v>
      </c>
      <c r="AX36" s="451">
        <f t="shared" ref="AX36:AY36" si="225">IF(AX33&gt;$J$42,$J$36,IF(AX33&lt;$J$42,(IF(AX33&lt;0,0,AX33*$K$36))))</f>
        <v>0.37176523297491082</v>
      </c>
      <c r="AY36" s="451">
        <f t="shared" si="225"/>
        <v>0</v>
      </c>
      <c r="AZ36" s="451">
        <f t="shared" ref="AZ36:BA36" si="226">IF(AZ33&gt;$J$42,$J$36,IF(AZ33&lt;$J$42,(IF(AZ33&lt;0,0,AZ33*$K$36))))</f>
        <v>0.23063620071684543</v>
      </c>
      <c r="BA36" s="451">
        <f t="shared" si="226"/>
        <v>2.758413978494624</v>
      </c>
      <c r="BB36" s="451">
        <f t="shared" ref="BB36:BC36" si="227">IF(BB33&gt;$J$42,$J$36,IF(BB33&lt;$J$42,(IF(BB33&lt;0,0,BB33*$K$36))))</f>
        <v>0</v>
      </c>
      <c r="BC36" s="451">
        <f t="shared" si="227"/>
        <v>0</v>
      </c>
      <c r="BD36" s="479"/>
      <c r="BE36" s="458">
        <f t="shared" ref="BE36:BE42" si="228">SUM(AW36:BC36)</f>
        <v>3.3608154121863802</v>
      </c>
      <c r="BF36" s="445">
        <f t="shared" ref="BF36:BF41" si="229">$BE$33*K36</f>
        <v>-3.1055286738351242</v>
      </c>
      <c r="BG36" s="1080">
        <f t="shared" ref="BG36:BG41" si="230">BE36-BF36</f>
        <v>6.466344086021504</v>
      </c>
      <c r="BH36" s="479"/>
      <c r="BI36" s="458">
        <f t="shared" ref="BI36" si="231">IF(BI33&gt;$J$42,$J$36,IF(BI33&lt;$J$42,(IF(BI33&lt;0,0,BI33*$K$36))))</f>
        <v>0</v>
      </c>
      <c r="BJ36" s="1298">
        <f t="shared" ref="BJ36" si="232">IF(BJ33&gt;$J$42,$J$36,IF(BJ33&lt;$J$42,(IF(BJ33&lt;0,0,BJ33*$K$36))))</f>
        <v>3.7431810035842301</v>
      </c>
      <c r="BK36" s="479"/>
      <c r="BL36" s="458">
        <f t="shared" si="204"/>
        <v>3.7431810035842301</v>
      </c>
      <c r="BM36" s="445">
        <f t="shared" si="205"/>
        <v>2.976505376344087</v>
      </c>
      <c r="BN36" s="1080">
        <f t="shared" ref="BN36:BN41" si="233">BL36-BM36</f>
        <v>0.76667562724014315</v>
      </c>
      <c r="BP36" s="458"/>
      <c r="BQ36" s="460"/>
      <c r="BS36" s="458">
        <f t="shared" si="206"/>
        <v>61.768183990442061</v>
      </c>
      <c r="BT36" s="487">
        <f t="shared" si="207"/>
        <v>0.17648052568697731</v>
      </c>
      <c r="BU36" s="4515"/>
      <c r="BX36" s="1038" t="s">
        <v>161</v>
      </c>
      <c r="BY36" s="1232">
        <v>1</v>
      </c>
      <c r="BZ36" s="1233">
        <f>IF(BZ29&gt;BY35,BZ29," ")</f>
        <v>1</v>
      </c>
      <c r="CA36" s="81"/>
      <c r="CB36" s="81"/>
      <c r="CC36" s="81"/>
      <c r="CD36" s="81"/>
      <c r="CE36" s="81"/>
      <c r="CF36" s="1029"/>
    </row>
    <row r="37" spans="1:84" x14ac:dyDescent="0.2">
      <c r="B37" s="464">
        <v>20</v>
      </c>
      <c r="C37" s="1114" t="s">
        <v>120</v>
      </c>
      <c r="D37" s="1094"/>
      <c r="E37" s="453">
        <v>300</v>
      </c>
      <c r="F37" s="424">
        <f t="shared" ref="F37:F41" si="234">E37/10</f>
        <v>30</v>
      </c>
      <c r="G37" s="424">
        <f t="shared" ref="G37:G41" si="235">E37/15</f>
        <v>20</v>
      </c>
      <c r="H37" s="424">
        <f t="shared" ref="H37:H41" si="236">E37/20</f>
        <v>15</v>
      </c>
      <c r="I37" s="424">
        <f t="shared" ref="I37:I41" si="237">E37/25</f>
        <v>12</v>
      </c>
      <c r="J37" s="424">
        <f t="shared" si="208"/>
        <v>10</v>
      </c>
      <c r="K37" s="449">
        <f t="shared" ref="K37:K41" si="238">E37/$E$42</f>
        <v>0.17921146953405018</v>
      </c>
      <c r="L37" s="491"/>
      <c r="M37" s="459">
        <f t="shared" ref="M37:S37" si="239">IF(M33&gt;$J$42,$J$37,IF(M33&lt;$J$42,(IF(M33&lt;0,0,M33*$K$37))))</f>
        <v>5.4745698924731174</v>
      </c>
      <c r="N37" s="453">
        <f t="shared" si="239"/>
        <v>5.2245698924731183</v>
      </c>
      <c r="O37" s="453">
        <f t="shared" si="239"/>
        <v>9.8697311827956966</v>
      </c>
      <c r="P37" s="453">
        <f t="shared" si="239"/>
        <v>10</v>
      </c>
      <c r="Q37" s="453">
        <f t="shared" si="239"/>
        <v>0</v>
      </c>
      <c r="R37" s="453">
        <f t="shared" si="239"/>
        <v>0</v>
      </c>
      <c r="S37" s="465">
        <f t="shared" si="239"/>
        <v>0</v>
      </c>
      <c r="T37" s="481"/>
      <c r="U37" s="459">
        <f t="shared" si="10"/>
        <v>30.568870967741933</v>
      </c>
      <c r="V37" s="424">
        <f t="shared" si="210"/>
        <v>28.303172043010747</v>
      </c>
      <c r="W37" s="465">
        <f t="shared" si="211"/>
        <v>2.2656989247311863</v>
      </c>
      <c r="X37" s="481"/>
      <c r="Y37" s="459">
        <f t="shared" ref="Y37:AA37" si="240">IF(Y33&gt;$J$42,$J$37,IF(Y33&lt;$J$42,(IF(Y33&lt;0,0,Y33*$K$37))))</f>
        <v>0</v>
      </c>
      <c r="Z37" s="424">
        <f t="shared" si="240"/>
        <v>0</v>
      </c>
      <c r="AA37" s="424">
        <f t="shared" si="240"/>
        <v>1.9718817204301082</v>
      </c>
      <c r="AB37" s="424">
        <f t="shared" ref="AB37:AC37" si="241">IF(AB33&gt;$J$42,$J$37,IF(AB33&lt;$J$42,(IF(AB33&lt;0,0,AB33*$K$37))))</f>
        <v>0</v>
      </c>
      <c r="AC37" s="424">
        <f t="shared" si="241"/>
        <v>1.6376523297491041</v>
      </c>
      <c r="AD37" s="424">
        <f t="shared" ref="AD37:AE37" si="242">IF(AD33&gt;$J$42,$J$37,IF(AD33&lt;$J$42,(IF(AD33&lt;0,0,AD33*$K$37))))</f>
        <v>0</v>
      </c>
      <c r="AE37" s="465">
        <f t="shared" si="242"/>
        <v>0</v>
      </c>
      <c r="AF37" s="481"/>
      <c r="AG37" s="459">
        <f t="shared" si="215"/>
        <v>3.6095340501792124</v>
      </c>
      <c r="AH37" s="424">
        <f t="shared" si="216"/>
        <v>-4.5525627240143338</v>
      </c>
      <c r="AI37" s="465">
        <f t="shared" si="217"/>
        <v>8.1620967741935466</v>
      </c>
      <c r="AJ37" s="481"/>
      <c r="AK37" s="459">
        <f t="shared" ref="AK37" si="243">IF(AK33&gt;$J$42,$J$37,IF(AK33&lt;$J$42,(IF(AK33&lt;0,0,AK33*$K$37))))</f>
        <v>0.79983870967741888</v>
      </c>
      <c r="AL37" s="424">
        <f t="shared" ref="AL37:AM37" si="244">IF(AL33&gt;$J$42,$J$37,IF(AL33&lt;$J$42,(IF(AL33&lt;0,0,AL33*$K$37))))</f>
        <v>3.0256451612903223</v>
      </c>
      <c r="AM37" s="424">
        <f t="shared" si="244"/>
        <v>0</v>
      </c>
      <c r="AN37" s="424">
        <f t="shared" ref="AN37:AO37" si="245">IF(AN33&gt;$J$42,$J$37,IF(AN33&lt;$J$42,(IF(AN33&lt;0,0,AN33*$K$37))))</f>
        <v>3.0955376344086019</v>
      </c>
      <c r="AO37" s="424">
        <f t="shared" si="245"/>
        <v>5.4127419354838704</v>
      </c>
      <c r="AP37" s="424">
        <f t="shared" ref="AP37:AQ37" si="246">IF(AP33&gt;$J$42,$J$37,IF(AP33&lt;$J$42,(IF(AP33&lt;0,0,AP33*$K$37))))</f>
        <v>0.34284946236559138</v>
      </c>
      <c r="AQ37" s="424">
        <f t="shared" si="246"/>
        <v>0</v>
      </c>
      <c r="AR37" s="481"/>
      <c r="AS37" s="459">
        <f t="shared" si="201"/>
        <v>12.676612903225806</v>
      </c>
      <c r="AT37" s="424">
        <f t="shared" si="222"/>
        <v>8.6123118279569884</v>
      </c>
      <c r="AU37" s="465">
        <f t="shared" si="223"/>
        <v>4.0643010752688173</v>
      </c>
      <c r="AV37" s="481"/>
      <c r="AW37" s="1115">
        <f t="shared" ref="AW37" si="247">IF(AW33&gt;$J$42,$J$37,IF(AW33&lt;$J$42,(IF(AW33&lt;0,0,AW33*$K$37))))</f>
        <v>0</v>
      </c>
      <c r="AX37" s="424">
        <f t="shared" ref="AX37:AY37" si="248">IF(AX33&gt;$J$42,$J$37,IF(AX33&lt;$J$42,(IF(AX33&lt;0,0,AX33*$K$37))))</f>
        <v>0.31865591397849496</v>
      </c>
      <c r="AY37" s="424">
        <f t="shared" si="248"/>
        <v>0</v>
      </c>
      <c r="AZ37" s="424">
        <f t="shared" ref="AZ37:BA37" si="249">IF(AZ33&gt;$J$42,$J$37,IF(AZ33&lt;$J$42,(IF(AZ33&lt;0,0,AZ33*$K$37))))</f>
        <v>0.19768817204301034</v>
      </c>
      <c r="BA37" s="424">
        <f t="shared" si="249"/>
        <v>2.3643548387096778</v>
      </c>
      <c r="BB37" s="424">
        <f t="shared" ref="BB37:BC37" si="250">IF(BB33&gt;$J$42,$J$37,IF(BB33&lt;$J$42,(IF(BB33&lt;0,0,BB33*$K$37))))</f>
        <v>0</v>
      </c>
      <c r="BC37" s="424">
        <f t="shared" si="250"/>
        <v>0</v>
      </c>
      <c r="BD37" s="481"/>
      <c r="BE37" s="459">
        <f t="shared" si="228"/>
        <v>2.8806989247311829</v>
      </c>
      <c r="BF37" s="424">
        <f t="shared" si="229"/>
        <v>-2.6618817204301064</v>
      </c>
      <c r="BG37" s="465">
        <f t="shared" si="230"/>
        <v>5.5425806451612889</v>
      </c>
      <c r="BH37" s="481"/>
      <c r="BI37" s="459">
        <f t="shared" ref="BI37" si="251">IF(BI33&gt;$J$42,$J$37,IF(BI33&lt;$J$42,(IF(BI33&lt;0,0,BI33*$K$37))))</f>
        <v>0</v>
      </c>
      <c r="BJ37" s="1299">
        <f t="shared" ref="BJ37" si="252">IF(BJ33&gt;$J$42,$J$37,IF(BJ33&lt;$J$42,(IF(BJ33&lt;0,0,BJ33*$K$37))))</f>
        <v>3.2084408602150543</v>
      </c>
      <c r="BK37" s="481"/>
      <c r="BL37" s="459">
        <f t="shared" si="204"/>
        <v>3.2084408602150543</v>
      </c>
      <c r="BM37" s="424">
        <f t="shared" si="205"/>
        <v>2.5512903225806456</v>
      </c>
      <c r="BN37" s="465">
        <f t="shared" si="233"/>
        <v>0.65715053763440867</v>
      </c>
      <c r="BP37" s="729"/>
      <c r="BQ37" s="730"/>
      <c r="BS37" s="729">
        <f t="shared" si="206"/>
        <v>52.944157706093193</v>
      </c>
      <c r="BT37" s="731">
        <f t="shared" si="207"/>
        <v>0.17648052568697731</v>
      </c>
      <c r="BU37" s="4515"/>
      <c r="BX37" s="1058"/>
      <c r="BY37" s="1358" t="s">
        <v>158</v>
      </c>
      <c r="BZ37" s="1059">
        <f>MAX(100%,BZ29)-BZ29</f>
        <v>0</v>
      </c>
      <c r="CA37" s="1353"/>
      <c r="CB37" s="1353"/>
      <c r="CC37" s="1353"/>
      <c r="CD37" s="1353"/>
      <c r="CE37" s="1353"/>
      <c r="CF37" s="1060"/>
    </row>
    <row r="38" spans="1:84" s="255" customFormat="1" x14ac:dyDescent="0.2">
      <c r="A38" s="774"/>
      <c r="B38" s="462">
        <v>21</v>
      </c>
      <c r="C38" s="816" t="s">
        <v>133</v>
      </c>
      <c r="D38" s="819"/>
      <c r="E38" s="445">
        <v>209</v>
      </c>
      <c r="F38" s="451">
        <f t="shared" si="234"/>
        <v>20.9</v>
      </c>
      <c r="G38" s="451">
        <f t="shared" si="235"/>
        <v>13.933333333333334</v>
      </c>
      <c r="H38" s="451">
        <f t="shared" si="236"/>
        <v>10.45</v>
      </c>
      <c r="I38" s="451">
        <f t="shared" si="237"/>
        <v>8.36</v>
      </c>
      <c r="J38" s="451">
        <f t="shared" si="208"/>
        <v>6.9666666666666668</v>
      </c>
      <c r="K38" s="448">
        <f t="shared" si="238"/>
        <v>0.12485065710872162</v>
      </c>
      <c r="L38" s="492"/>
      <c r="M38" s="458">
        <f t="shared" ref="M38:S38" si="253">IF(M33&gt;$J$42,$J$38,IF(M33&lt;$J$42,(IF(M33&lt;0,0,M33*$K$38))))</f>
        <v>3.8139503584229386</v>
      </c>
      <c r="N38" s="445">
        <f t="shared" si="253"/>
        <v>3.6397836917562723</v>
      </c>
      <c r="O38" s="445">
        <f t="shared" si="253"/>
        <v>6.8759127240143352</v>
      </c>
      <c r="P38" s="445">
        <f t="shared" si="253"/>
        <v>6.9666666666666668</v>
      </c>
      <c r="Q38" s="445">
        <f t="shared" si="253"/>
        <v>0</v>
      </c>
      <c r="R38" s="445">
        <f t="shared" si="253"/>
        <v>0</v>
      </c>
      <c r="S38" s="463">
        <f t="shared" si="253"/>
        <v>0</v>
      </c>
      <c r="T38" s="479"/>
      <c r="U38" s="458">
        <f t="shared" si="10"/>
        <v>21.29631344086021</v>
      </c>
      <c r="V38" s="451">
        <f t="shared" si="210"/>
        <v>19.717876523297488</v>
      </c>
      <c r="W38" s="463">
        <f t="shared" si="211"/>
        <v>1.5784369175627226</v>
      </c>
      <c r="X38" s="479"/>
      <c r="Y38" s="458">
        <f t="shared" ref="Y38:Z38" si="254">IF(Y33&gt;$J$42,$J$38,IF(Y33&lt;$J$42,(IF(Y33&lt;0,0,Y33*$K$38))))</f>
        <v>0</v>
      </c>
      <c r="Z38" s="451">
        <f t="shared" si="254"/>
        <v>0</v>
      </c>
      <c r="AA38" s="451">
        <f>IF(AA33&gt;$J$42,$J$38,IF(AA33&lt;$J$42,(IF(AA33&lt;0,0,AA33*$K$38))))</f>
        <v>1.3737442652329752</v>
      </c>
      <c r="AB38" s="451">
        <f t="shared" ref="AB38:AC38" si="255">IF(AB33&gt;$J$42,$J$38,IF(AB33&lt;$J$42,(IF(AB33&lt;0,0,AB33*$K$38))))</f>
        <v>0</v>
      </c>
      <c r="AC38" s="451">
        <f t="shared" si="255"/>
        <v>1.1408977897252093</v>
      </c>
      <c r="AD38" s="451">
        <f t="shared" ref="AD38:AE38" si="256">IF(AD33&gt;$J$42,$J$38,IF(AD33&lt;$J$42,(IF(AD33&lt;0,0,AD33*$K$38))))</f>
        <v>0</v>
      </c>
      <c r="AE38" s="463">
        <f t="shared" si="256"/>
        <v>0</v>
      </c>
      <c r="AF38" s="479"/>
      <c r="AG38" s="458">
        <f t="shared" si="215"/>
        <v>2.5146420549581845</v>
      </c>
      <c r="AH38" s="451">
        <f t="shared" si="216"/>
        <v>-3.1716186977299858</v>
      </c>
      <c r="AI38" s="463">
        <f t="shared" si="217"/>
        <v>5.6862607526881703</v>
      </c>
      <c r="AJ38" s="479"/>
      <c r="AK38" s="458">
        <f t="shared" ref="AK38" si="257">IF(AK33&gt;$J$42,$J$38,IF(AK33&lt;$J$42,(IF(AK33&lt;0,0,AK33*$K$38))))</f>
        <v>0.55722096774193508</v>
      </c>
      <c r="AL38" s="451">
        <f t="shared" ref="AL38:AM38" si="258">IF(AL33&gt;$J$42,$J$38,IF(AL33&lt;$J$42,(IF(AL33&lt;0,0,AL33*$K$38))))</f>
        <v>2.1078661290322578</v>
      </c>
      <c r="AM38" s="451">
        <f t="shared" si="258"/>
        <v>0</v>
      </c>
      <c r="AN38" s="451">
        <f t="shared" ref="AN38:AO38" si="259">IF(AN33&gt;$J$42,$J$38,IF(AN33&lt;$J$42,(IF(AN33&lt;0,0,AN33*$K$38))))</f>
        <v>2.1565578853046592</v>
      </c>
      <c r="AO38" s="451">
        <f t="shared" si="259"/>
        <v>3.7708768817204299</v>
      </c>
      <c r="AP38" s="451">
        <f t="shared" ref="AP38:AQ38" si="260">IF(AP33&gt;$J$42,$J$38,IF(AP33&lt;$J$42,(IF(AP33&lt;0,0,AP33*$K$38))))</f>
        <v>0.23885179211469534</v>
      </c>
      <c r="AQ38" s="451">
        <f t="shared" si="260"/>
        <v>0</v>
      </c>
      <c r="AR38" s="479"/>
      <c r="AS38" s="458">
        <f t="shared" si="201"/>
        <v>8.8313736559139784</v>
      </c>
      <c r="AT38" s="451">
        <f t="shared" si="222"/>
        <v>5.9999105734767015</v>
      </c>
      <c r="AU38" s="463">
        <f t="shared" si="223"/>
        <v>2.8314630824372768</v>
      </c>
      <c r="AV38" s="479"/>
      <c r="AW38" s="1057">
        <f t="shared" ref="AW38" si="261">IF(AW33&gt;$J$42,$J$38,IF(AW33&lt;$J$42,(IF(AW33&lt;0,0,AW33*$K$38))))</f>
        <v>0</v>
      </c>
      <c r="AX38" s="451">
        <f t="shared" ref="AX38:AY38" si="262">IF(AX33&gt;$J$42,$J$38,IF(AX33&lt;$J$42,(IF(AX33&lt;0,0,AX33*$K$38))))</f>
        <v>0.22199695340501815</v>
      </c>
      <c r="AY38" s="451">
        <f t="shared" si="262"/>
        <v>0</v>
      </c>
      <c r="AZ38" s="451">
        <f t="shared" ref="AZ38:BA38" si="263">IF(AZ33&gt;$J$42,$J$38,IF(AZ33&lt;$J$42,(IF(AZ33&lt;0,0,AZ33*$K$38))))</f>
        <v>0.13772275985663054</v>
      </c>
      <c r="BA38" s="451">
        <f t="shared" si="263"/>
        <v>1.6471672043010754</v>
      </c>
      <c r="BB38" s="451">
        <f t="shared" ref="BB38:BC38" si="264">IF(BB33&gt;$J$42,$J$38,IF(BB33&lt;$J$42,(IF(BB33&lt;0,0,BB33*$K$38))))</f>
        <v>0</v>
      </c>
      <c r="BC38" s="451">
        <f t="shared" si="264"/>
        <v>0</v>
      </c>
      <c r="BD38" s="479"/>
      <c r="BE38" s="458">
        <f t="shared" si="228"/>
        <v>2.0068869175627242</v>
      </c>
      <c r="BF38" s="451">
        <f t="shared" si="229"/>
        <v>-1.854444265232974</v>
      </c>
      <c r="BG38" s="463">
        <f t="shared" si="230"/>
        <v>3.8613311827956984</v>
      </c>
      <c r="BH38" s="479"/>
      <c r="BI38" s="458">
        <f t="shared" ref="BI38" si="265">IF(BI33&gt;$J$42,$J$38,IF(BI33&lt;$J$42,(IF(BI33&lt;0,0,BI33*$K$38))))</f>
        <v>0</v>
      </c>
      <c r="BJ38" s="1298">
        <f t="shared" ref="BJ38" si="266">IF(BJ33&gt;$J$42,$J$38,IF(BJ33&lt;$J$42,(IF(BJ33&lt;0,0,BJ33*$K$38))))</f>
        <v>2.2352137992831542</v>
      </c>
      <c r="BK38" s="479"/>
      <c r="BL38" s="458">
        <f t="shared" si="204"/>
        <v>2.2352137992831542</v>
      </c>
      <c r="BM38" s="451">
        <f t="shared" si="205"/>
        <v>1.7773989247311832</v>
      </c>
      <c r="BN38" s="463">
        <f t="shared" si="233"/>
        <v>0.45781487455197101</v>
      </c>
      <c r="BP38" s="732"/>
      <c r="BQ38" s="733"/>
      <c r="BS38" s="732">
        <f t="shared" si="206"/>
        <v>36.884429868578245</v>
      </c>
      <c r="BT38" s="734">
        <f t="shared" si="207"/>
        <v>0.17648052568697725</v>
      </c>
      <c r="BU38" s="4515"/>
      <c r="BX38" s="1028"/>
      <c r="BY38" s="62"/>
      <c r="BZ38" s="81"/>
      <c r="CA38" s="81"/>
      <c r="CB38" s="81"/>
      <c r="CC38" s="81"/>
      <c r="CD38" s="81"/>
      <c r="CE38" s="81"/>
      <c r="CF38" s="1029"/>
    </row>
    <row r="39" spans="1:84" x14ac:dyDescent="0.2">
      <c r="B39" s="464">
        <v>22</v>
      </c>
      <c r="C39" s="1114" t="s">
        <v>4</v>
      </c>
      <c r="D39" s="1094"/>
      <c r="E39" s="453">
        <v>150</v>
      </c>
      <c r="F39" s="424">
        <f t="shared" si="234"/>
        <v>15</v>
      </c>
      <c r="G39" s="424">
        <f t="shared" si="235"/>
        <v>10</v>
      </c>
      <c r="H39" s="424">
        <f t="shared" si="236"/>
        <v>7.5</v>
      </c>
      <c r="I39" s="424">
        <f t="shared" si="237"/>
        <v>6</v>
      </c>
      <c r="J39" s="424">
        <f t="shared" si="208"/>
        <v>5</v>
      </c>
      <c r="K39" s="449">
        <f t="shared" si="238"/>
        <v>8.9605734767025089E-2</v>
      </c>
      <c r="L39" s="491"/>
      <c r="M39" s="459">
        <f t="shared" ref="M39:S39" si="267">IF(M33&gt;$J$42,$J$39,IF(M33&lt;$J$42,(IF(M33&lt;0,0,M33*$K$39))))</f>
        <v>2.7372849462365587</v>
      </c>
      <c r="N39" s="453">
        <f t="shared" si="267"/>
        <v>2.6122849462365592</v>
      </c>
      <c r="O39" s="453">
        <f t="shared" si="267"/>
        <v>4.9348655913978483</v>
      </c>
      <c r="P39" s="453">
        <f t="shared" si="267"/>
        <v>5</v>
      </c>
      <c r="Q39" s="453">
        <f t="shared" si="267"/>
        <v>0</v>
      </c>
      <c r="R39" s="453">
        <f t="shared" si="267"/>
        <v>0</v>
      </c>
      <c r="S39" s="465">
        <f t="shared" si="267"/>
        <v>0</v>
      </c>
      <c r="T39" s="481"/>
      <c r="U39" s="459">
        <f t="shared" si="10"/>
        <v>15.284435483870967</v>
      </c>
      <c r="V39" s="424">
        <f t="shared" si="210"/>
        <v>14.151586021505373</v>
      </c>
      <c r="W39" s="465">
        <f t="shared" si="211"/>
        <v>1.1328494623655931</v>
      </c>
      <c r="X39" s="481"/>
      <c r="Y39" s="459">
        <f t="shared" ref="Y39:AA39" si="268">IF(Y33&gt;$J$42,$J$39,IF(Y33&lt;$J$42,(IF(Y33&lt;0,0,Y33*$K$39))))</f>
        <v>0</v>
      </c>
      <c r="Z39" s="424">
        <f t="shared" si="268"/>
        <v>0</v>
      </c>
      <c r="AA39" s="424">
        <f t="shared" si="268"/>
        <v>0.98594086021505412</v>
      </c>
      <c r="AB39" s="424">
        <f t="shared" ref="AB39:AC39" si="269">IF(AB33&gt;$J$42,$J$39,IF(AB33&lt;$J$42,(IF(AB33&lt;0,0,AB33*$K$39))))</f>
        <v>0</v>
      </c>
      <c r="AC39" s="424">
        <f t="shared" si="269"/>
        <v>0.81882616487455206</v>
      </c>
      <c r="AD39" s="424">
        <f t="shared" ref="AD39:AE39" si="270">IF(AD33&gt;$J$42,$J$39,IF(AD33&lt;$J$42,(IF(AD33&lt;0,0,AD33*$K$39))))</f>
        <v>0</v>
      </c>
      <c r="AE39" s="465">
        <f t="shared" si="270"/>
        <v>0</v>
      </c>
      <c r="AF39" s="481"/>
      <c r="AG39" s="459">
        <f t="shared" si="215"/>
        <v>1.8047670250896062</v>
      </c>
      <c r="AH39" s="424">
        <f t="shared" si="216"/>
        <v>-2.2762813620071669</v>
      </c>
      <c r="AI39" s="465">
        <f t="shared" si="217"/>
        <v>4.0810483870967733</v>
      </c>
      <c r="AJ39" s="481"/>
      <c r="AK39" s="459">
        <f t="shared" ref="AK39" si="271">IF(AK33&gt;$J$42,$J$39,IF(AK33&lt;$J$42,(IF(AK33&lt;0,0,AK33*$K$39))))</f>
        <v>0.39991935483870944</v>
      </c>
      <c r="AL39" s="424">
        <f t="shared" ref="AL39:AM39" si="272">IF(AL33&gt;$J$42,$J$39,IF(AL33&lt;$J$42,(IF(AL33&lt;0,0,AL33*$K$39))))</f>
        <v>1.5128225806451612</v>
      </c>
      <c r="AM39" s="424">
        <f t="shared" si="272"/>
        <v>0</v>
      </c>
      <c r="AN39" s="424">
        <f t="shared" ref="AN39:AO39" si="273">IF(AN33&gt;$J$42,$J$39,IF(AN33&lt;$J$42,(IF(AN33&lt;0,0,AN33*$K$39))))</f>
        <v>1.5477688172043009</v>
      </c>
      <c r="AO39" s="424">
        <f t="shared" si="273"/>
        <v>2.7063709677419352</v>
      </c>
      <c r="AP39" s="424">
        <f t="shared" ref="AP39:AQ39" si="274">IF(AP33&gt;$J$42,$J$39,IF(AP33&lt;$J$42,(IF(AP33&lt;0,0,AP33*$K$39))))</f>
        <v>0.17142473118279569</v>
      </c>
      <c r="AQ39" s="424">
        <f t="shared" si="274"/>
        <v>0</v>
      </c>
      <c r="AR39" s="481"/>
      <c r="AS39" s="459">
        <f t="shared" si="201"/>
        <v>6.3383064516129028</v>
      </c>
      <c r="AT39" s="424">
        <f t="shared" si="222"/>
        <v>4.3061559139784942</v>
      </c>
      <c r="AU39" s="465">
        <f t="shared" si="223"/>
        <v>2.0321505376344087</v>
      </c>
      <c r="AV39" s="481"/>
      <c r="AW39" s="1115">
        <f t="shared" ref="AW39" si="275">IF(AW33&gt;$J$42,$J$39,IF(AW33&lt;$J$42,(IF(AW33&lt;0,0,AW33*$K$39))))</f>
        <v>0</v>
      </c>
      <c r="AX39" s="424">
        <f t="shared" ref="AX39:AY39" si="276">IF(AX33&gt;$J$42,$J$39,IF(AX33&lt;$J$42,(IF(AX33&lt;0,0,AX33*$K$39))))</f>
        <v>0.15932795698924748</v>
      </c>
      <c r="AY39" s="424">
        <f t="shared" si="276"/>
        <v>0</v>
      </c>
      <c r="AZ39" s="424">
        <f t="shared" ref="AZ39:BA39" si="277">IF(AZ33&gt;$J$42,$J$39,IF(AZ33&lt;$J$42,(IF(AZ33&lt;0,0,AZ33*$K$39))))</f>
        <v>9.884408602150517E-2</v>
      </c>
      <c r="BA39" s="424">
        <f t="shared" si="277"/>
        <v>1.1821774193548389</v>
      </c>
      <c r="BB39" s="424">
        <f t="shared" ref="BB39:BC39" si="278">IF(BB33&gt;$J$42,$J$39,IF(BB33&lt;$J$42,(IF(BB33&lt;0,0,BB33*$K$39))))</f>
        <v>0</v>
      </c>
      <c r="BC39" s="424">
        <f t="shared" si="278"/>
        <v>0</v>
      </c>
      <c r="BD39" s="481"/>
      <c r="BE39" s="459">
        <f t="shared" si="228"/>
        <v>1.4403494623655915</v>
      </c>
      <c r="BF39" s="424">
        <f t="shared" si="229"/>
        <v>-1.3309408602150532</v>
      </c>
      <c r="BG39" s="465">
        <f t="shared" si="230"/>
        <v>2.7712903225806444</v>
      </c>
      <c r="BH39" s="481"/>
      <c r="BI39" s="459">
        <f t="shared" ref="BI39" si="279">IF(BI33&gt;$J$42,$J$39,IF(BI33&lt;$J$42,(IF(BI33&lt;0,0,BI33*$K$39))))</f>
        <v>0</v>
      </c>
      <c r="BJ39" s="1299">
        <f t="shared" ref="BJ39" si="280">IF(BJ33&gt;$J$42,$J$39,IF(BJ33&lt;$J$42,(IF(BJ33&lt;0,0,BJ33*$K$39))))</f>
        <v>1.6042204301075271</v>
      </c>
      <c r="BK39" s="481"/>
      <c r="BL39" s="459">
        <f t="shared" si="204"/>
        <v>1.6042204301075271</v>
      </c>
      <c r="BM39" s="424">
        <f t="shared" si="205"/>
        <v>1.2756451612903228</v>
      </c>
      <c r="BN39" s="465">
        <f t="shared" si="233"/>
        <v>0.32857526881720434</v>
      </c>
      <c r="BP39" s="729"/>
      <c r="BQ39" s="730"/>
      <c r="BS39" s="729">
        <f t="shared" si="206"/>
        <v>26.472078853046597</v>
      </c>
      <c r="BT39" s="731">
        <f t="shared" si="207"/>
        <v>0.17648052568697731</v>
      </c>
      <c r="BU39" s="4515"/>
      <c r="BX39" s="1028"/>
      <c r="BY39" s="62"/>
      <c r="BZ39" s="81"/>
      <c r="CA39" s="81"/>
      <c r="CB39" s="81"/>
      <c r="CC39" s="81"/>
      <c r="CD39" s="81"/>
      <c r="CE39" s="81"/>
      <c r="CF39" s="1029"/>
    </row>
    <row r="40" spans="1:84" s="255" customFormat="1" x14ac:dyDescent="0.2">
      <c r="B40" s="462">
        <v>23</v>
      </c>
      <c r="C40" s="816" t="s">
        <v>122</v>
      </c>
      <c r="D40" s="819"/>
      <c r="E40" s="445">
        <v>100</v>
      </c>
      <c r="F40" s="451">
        <f t="shared" si="234"/>
        <v>10</v>
      </c>
      <c r="G40" s="451">
        <f t="shared" si="235"/>
        <v>6.666666666666667</v>
      </c>
      <c r="H40" s="451">
        <f t="shared" si="236"/>
        <v>5</v>
      </c>
      <c r="I40" s="451">
        <f t="shared" si="237"/>
        <v>4</v>
      </c>
      <c r="J40" s="451">
        <f t="shared" si="208"/>
        <v>3.3333333333333335</v>
      </c>
      <c r="K40" s="448">
        <f t="shared" si="238"/>
        <v>5.9737156511350059E-2</v>
      </c>
      <c r="L40" s="492"/>
      <c r="M40" s="458">
        <f t="shared" ref="M40:S40" si="281">IF(M33&gt;$J$42,$J$40,IF(M33&lt;$J$42,(IF(M33&lt;0,0,M33*$K$40))))</f>
        <v>1.8248566308243725</v>
      </c>
      <c r="N40" s="445">
        <f t="shared" si="281"/>
        <v>1.7415232974910395</v>
      </c>
      <c r="O40" s="445">
        <f t="shared" si="281"/>
        <v>3.2899103942652324</v>
      </c>
      <c r="P40" s="445">
        <f t="shared" si="281"/>
        <v>3.3333333333333335</v>
      </c>
      <c r="Q40" s="445">
        <f t="shared" si="281"/>
        <v>0</v>
      </c>
      <c r="R40" s="445">
        <f t="shared" si="281"/>
        <v>0</v>
      </c>
      <c r="S40" s="463">
        <f t="shared" si="281"/>
        <v>0</v>
      </c>
      <c r="T40" s="479"/>
      <c r="U40" s="458">
        <f t="shared" si="10"/>
        <v>10.189623655913978</v>
      </c>
      <c r="V40" s="445">
        <f t="shared" si="210"/>
        <v>9.4343906810035829</v>
      </c>
      <c r="W40" s="1080">
        <f t="shared" si="211"/>
        <v>0.75523297491039543</v>
      </c>
      <c r="X40" s="479"/>
      <c r="Y40" s="458">
        <f t="shared" ref="Y40:AA40" si="282">IF(Y33&gt;$J$42,$J$40,IF(Y33&lt;$J$42,(IF(Y33&lt;0,0,Y33*$K$40))))</f>
        <v>0</v>
      </c>
      <c r="Z40" s="445">
        <f t="shared" si="282"/>
        <v>0</v>
      </c>
      <c r="AA40" s="445">
        <f t="shared" si="282"/>
        <v>0.65729390681003608</v>
      </c>
      <c r="AB40" s="445">
        <f t="shared" ref="AB40:AC40" si="283">IF(AB33&gt;$J$42,$J$40,IF(AB33&lt;$J$42,(IF(AB33&lt;0,0,AB33*$K$40))))</f>
        <v>0</v>
      </c>
      <c r="AC40" s="445">
        <f t="shared" si="283"/>
        <v>0.54588410991636804</v>
      </c>
      <c r="AD40" s="445">
        <f t="shared" ref="AD40:AE40" si="284">IF(AD33&gt;$J$42,$J$40,IF(AD33&lt;$J$42,(IF(AD33&lt;0,0,AD33*$K$40))))</f>
        <v>0</v>
      </c>
      <c r="AE40" s="463">
        <f t="shared" si="284"/>
        <v>0</v>
      </c>
      <c r="AF40" s="479"/>
      <c r="AG40" s="458">
        <f t="shared" si="215"/>
        <v>1.2031780167264041</v>
      </c>
      <c r="AH40" s="445">
        <f t="shared" si="216"/>
        <v>-1.517520908004778</v>
      </c>
      <c r="AI40" s="1080">
        <f t="shared" si="217"/>
        <v>2.7206989247311819</v>
      </c>
      <c r="AJ40" s="479"/>
      <c r="AK40" s="458">
        <f t="shared" ref="AK40" si="285">IF(AK33&gt;$J$42,$J$40,IF(AK33&lt;$J$42,(IF(AK33&lt;0,0,AK33*$K$40))))</f>
        <v>0.26661290322580627</v>
      </c>
      <c r="AL40" s="451">
        <f t="shared" ref="AL40:AM40" si="286">IF(AL33&gt;$J$42,$J$40,IF(AL33&lt;$J$42,(IF(AL33&lt;0,0,AL33*$K$40))))</f>
        <v>1.0085483870967742</v>
      </c>
      <c r="AM40" s="451">
        <f t="shared" si="286"/>
        <v>0</v>
      </c>
      <c r="AN40" s="451">
        <f t="shared" ref="AN40:AO40" si="287">IF(AN33&gt;$J$42,$J$40,IF(AN33&lt;$J$42,(IF(AN33&lt;0,0,AN33*$K$40))))</f>
        <v>1.0318458781362008</v>
      </c>
      <c r="AO40" s="451">
        <f t="shared" si="287"/>
        <v>1.8042473118279569</v>
      </c>
      <c r="AP40" s="451">
        <f t="shared" ref="AP40:AQ40" si="288">IF(AP33&gt;$J$42,$J$40,IF(AP33&lt;$J$42,(IF(AP33&lt;0,0,AP33*$K$40))))</f>
        <v>0.11428315412186379</v>
      </c>
      <c r="AQ40" s="451">
        <f t="shared" si="288"/>
        <v>0</v>
      </c>
      <c r="AR40" s="479"/>
      <c r="AS40" s="458">
        <f t="shared" si="201"/>
        <v>4.2255376344086022</v>
      </c>
      <c r="AT40" s="445">
        <f t="shared" si="222"/>
        <v>2.870770609318996</v>
      </c>
      <c r="AU40" s="1080">
        <f t="shared" si="223"/>
        <v>1.3547670250896062</v>
      </c>
      <c r="AV40" s="479"/>
      <c r="AW40" s="1057">
        <f t="shared" ref="AW40" si="289">IF(AW33&gt;$J$42,$J$40,IF(AW33&lt;$J$42,(IF(AW33&lt;0,0,AW33*$K$40))))</f>
        <v>0</v>
      </c>
      <c r="AX40" s="451">
        <f t="shared" ref="AX40:AY40" si="290">IF(AX33&gt;$J$42,$J$40,IF(AX33&lt;$J$42,(IF(AX33&lt;0,0,AX33*$K$40))))</f>
        <v>0.10621863799283165</v>
      </c>
      <c r="AY40" s="451">
        <f t="shared" si="290"/>
        <v>0</v>
      </c>
      <c r="AZ40" s="451">
        <f t="shared" ref="AZ40:BA40" si="291">IF(AZ33&gt;$J$42,$J$40,IF(AZ33&lt;$J$42,(IF(AZ33&lt;0,0,AZ33*$K$40))))</f>
        <v>6.5896057347670109E-2</v>
      </c>
      <c r="BA40" s="451">
        <f t="shared" si="291"/>
        <v>0.78811827956989255</v>
      </c>
      <c r="BB40" s="451">
        <f t="shared" ref="BB40:BC40" si="292">IF(BB33&gt;$J$42,$J$40,IF(BB33&lt;$J$42,(IF(BB33&lt;0,0,BB33*$K$40))))</f>
        <v>0</v>
      </c>
      <c r="BC40" s="451">
        <f t="shared" si="292"/>
        <v>0</v>
      </c>
      <c r="BD40" s="479"/>
      <c r="BE40" s="458">
        <f t="shared" si="228"/>
        <v>0.96023297491039439</v>
      </c>
      <c r="BF40" s="445">
        <f t="shared" si="229"/>
        <v>-0.8872939068100355</v>
      </c>
      <c r="BG40" s="1080">
        <f t="shared" si="230"/>
        <v>1.8475268817204298</v>
      </c>
      <c r="BH40" s="479"/>
      <c r="BI40" s="458">
        <f t="shared" ref="BI40" si="293">IF(BI33&gt;$J$42,$J$40,IF(BI33&lt;$J$42,(IF(BI33&lt;0,0,BI33*$K$40))))</f>
        <v>0</v>
      </c>
      <c r="BJ40" s="1298">
        <f t="shared" ref="BJ40" si="294">IF(BJ33&gt;$J$42,$J$40,IF(BJ33&lt;$J$42,(IF(BJ33&lt;0,0,BJ33*$K$40))))</f>
        <v>1.0694802867383513</v>
      </c>
      <c r="BK40" s="479"/>
      <c r="BL40" s="458">
        <f t="shared" si="204"/>
        <v>1.0694802867383513</v>
      </c>
      <c r="BM40" s="445">
        <f t="shared" si="205"/>
        <v>0.85043010752688197</v>
      </c>
      <c r="BN40" s="1080">
        <f t="shared" si="233"/>
        <v>0.2190501792114693</v>
      </c>
      <c r="BP40" s="732"/>
      <c r="BQ40" s="733"/>
      <c r="BS40" s="732">
        <f t="shared" si="206"/>
        <v>17.648052568697729</v>
      </c>
      <c r="BT40" s="734">
        <f t="shared" si="207"/>
        <v>0.17648052568697728</v>
      </c>
      <c r="BU40" s="4515"/>
      <c r="BX40" s="1058"/>
      <c r="BY40" s="1353"/>
      <c r="BZ40" s="1353"/>
      <c r="CA40" s="1353"/>
      <c r="CB40" s="1353"/>
      <c r="CC40" s="1353"/>
      <c r="CD40" s="1353"/>
      <c r="CE40" s="1353"/>
      <c r="CF40" s="1060"/>
    </row>
    <row r="41" spans="1:84" ht="15.75" thickBot="1" x14ac:dyDescent="0.25">
      <c r="B41" s="1116">
        <v>24</v>
      </c>
      <c r="C41" s="1117" t="s">
        <v>164</v>
      </c>
      <c r="D41" s="1094"/>
      <c r="E41" s="1118">
        <v>100</v>
      </c>
      <c r="F41" s="1119">
        <f t="shared" si="234"/>
        <v>10</v>
      </c>
      <c r="G41" s="1119">
        <f t="shared" si="235"/>
        <v>6.666666666666667</v>
      </c>
      <c r="H41" s="1119">
        <f t="shared" si="236"/>
        <v>5</v>
      </c>
      <c r="I41" s="1119">
        <f t="shared" si="237"/>
        <v>4</v>
      </c>
      <c r="J41" s="1119">
        <f t="shared" si="208"/>
        <v>3.3333333333333335</v>
      </c>
      <c r="K41" s="1120">
        <f t="shared" si="238"/>
        <v>5.9737156511350059E-2</v>
      </c>
      <c r="L41" s="491"/>
      <c r="M41" s="1121">
        <f t="shared" ref="M41:S41" si="295">IF(M33&gt;$J$42,$J$41,IF(M33&lt;$J$42,(IF(M33&lt;0,0,M33*$K$41))))</f>
        <v>1.8248566308243725</v>
      </c>
      <c r="N41" s="1118">
        <f t="shared" si="295"/>
        <v>1.7415232974910395</v>
      </c>
      <c r="O41" s="1118">
        <f t="shared" si="295"/>
        <v>3.2899103942652324</v>
      </c>
      <c r="P41" s="1118">
        <f t="shared" si="295"/>
        <v>3.3333333333333335</v>
      </c>
      <c r="Q41" s="1118">
        <f t="shared" si="295"/>
        <v>0</v>
      </c>
      <c r="R41" s="1118">
        <f t="shared" si="295"/>
        <v>0</v>
      </c>
      <c r="S41" s="1122">
        <f t="shared" si="295"/>
        <v>0</v>
      </c>
      <c r="T41" s="481"/>
      <c r="U41" s="1121">
        <f t="shared" si="10"/>
        <v>10.189623655913978</v>
      </c>
      <c r="V41" s="1118">
        <f t="shared" si="210"/>
        <v>9.4343906810035829</v>
      </c>
      <c r="W41" s="1123">
        <f t="shared" si="211"/>
        <v>0.75523297491039543</v>
      </c>
      <c r="X41" s="481"/>
      <c r="Y41" s="1121">
        <f t="shared" ref="Y41:AA41" si="296">IF(Y33&gt;$J$42,$J$41,IF(Y33&lt;$J$42,(IF(Y33&lt;0,0,Y33*$K$41))))</f>
        <v>0</v>
      </c>
      <c r="Z41" s="1118">
        <f t="shared" si="296"/>
        <v>0</v>
      </c>
      <c r="AA41" s="1118">
        <f t="shared" si="296"/>
        <v>0.65729390681003608</v>
      </c>
      <c r="AB41" s="1118">
        <f t="shared" ref="AB41:AC41" si="297">IF(AB33&gt;$J$42,$J$41,IF(AB33&lt;$J$42,(IF(AB33&lt;0,0,AB33*$K$41))))</f>
        <v>0</v>
      </c>
      <c r="AC41" s="1118">
        <f t="shared" si="297"/>
        <v>0.54588410991636804</v>
      </c>
      <c r="AD41" s="1118">
        <f t="shared" ref="AD41:AE41" si="298">IF(AD33&gt;$J$42,$J$41,IF(AD33&lt;$J$42,(IF(AD33&lt;0,0,AD33*$K$41))))</f>
        <v>0</v>
      </c>
      <c r="AE41" s="1122">
        <f t="shared" si="298"/>
        <v>0</v>
      </c>
      <c r="AF41" s="481"/>
      <c r="AG41" s="1121">
        <f t="shared" si="215"/>
        <v>1.2031780167264041</v>
      </c>
      <c r="AH41" s="1118">
        <f t="shared" si="216"/>
        <v>-1.517520908004778</v>
      </c>
      <c r="AI41" s="1123">
        <f t="shared" si="217"/>
        <v>2.7206989247311819</v>
      </c>
      <c r="AJ41" s="481"/>
      <c r="AK41" s="1124">
        <f t="shared" ref="AK41" si="299">IF(AK33&gt;$J$42,$J$41,IF(AK33&lt;$J$42,(IF(AK33&lt;0,0,AK33*$K$41))))</f>
        <v>0.26661290322580627</v>
      </c>
      <c r="AL41" s="1125">
        <f t="shared" ref="AL41:AM41" si="300">IF(AL33&gt;$J$42,$J$41,IF(AL33&lt;$J$42,(IF(AL33&lt;0,0,AL33*$K$41))))</f>
        <v>1.0085483870967742</v>
      </c>
      <c r="AM41" s="1125">
        <f t="shared" si="300"/>
        <v>0</v>
      </c>
      <c r="AN41" s="1125">
        <f t="shared" ref="AN41:AO41" si="301">IF(AN33&gt;$J$42,$J$41,IF(AN33&lt;$J$42,(IF(AN33&lt;0,0,AN33*$K$41))))</f>
        <v>1.0318458781362008</v>
      </c>
      <c r="AO41" s="1125">
        <f t="shared" si="301"/>
        <v>1.8042473118279569</v>
      </c>
      <c r="AP41" s="1125">
        <f t="shared" ref="AP41:AQ41" si="302">IF(AP33&gt;$J$42,$J$41,IF(AP33&lt;$J$42,(IF(AP33&lt;0,0,AP33*$K$41))))</f>
        <v>0.11428315412186379</v>
      </c>
      <c r="AQ41" s="1125">
        <f t="shared" si="302"/>
        <v>0</v>
      </c>
      <c r="AR41" s="481"/>
      <c r="AS41" s="1121">
        <f t="shared" si="201"/>
        <v>4.2255376344086022</v>
      </c>
      <c r="AT41" s="1118">
        <f t="shared" si="222"/>
        <v>2.870770609318996</v>
      </c>
      <c r="AU41" s="1123">
        <f t="shared" si="223"/>
        <v>1.3547670250896062</v>
      </c>
      <c r="AV41" s="481"/>
      <c r="AW41" s="1126">
        <f t="shared" ref="AW41" si="303">IF(AW33&gt;$J$42,$J$41,IF(AW33&lt;$J$42,(IF(AW33&lt;0,0,AW33*$K$41))))</f>
        <v>0</v>
      </c>
      <c r="AX41" s="1119">
        <f t="shared" ref="AX41:AY41" si="304">IF(AX33&gt;$J$42,$J$41,IF(AX33&lt;$J$42,(IF(AX33&lt;0,0,AX33*$K$41))))</f>
        <v>0.10621863799283165</v>
      </c>
      <c r="AY41" s="1119">
        <f t="shared" si="304"/>
        <v>0</v>
      </c>
      <c r="AZ41" s="1119">
        <f t="shared" ref="AZ41:BA41" si="305">IF(AZ33&gt;$J$42,$J$41,IF(AZ33&lt;$J$42,(IF(AZ33&lt;0,0,AZ33*$K$41))))</f>
        <v>6.5896057347670109E-2</v>
      </c>
      <c r="BA41" s="1119">
        <f t="shared" si="305"/>
        <v>0.78811827956989255</v>
      </c>
      <c r="BB41" s="1119">
        <f t="shared" ref="BB41:BC41" si="306">IF(BB33&gt;$J$42,$J$41,IF(BB33&lt;$J$42,(IF(BB33&lt;0,0,BB33*$K$41))))</f>
        <v>0</v>
      </c>
      <c r="BC41" s="1119">
        <f t="shared" si="306"/>
        <v>0</v>
      </c>
      <c r="BD41" s="481"/>
      <c r="BE41" s="1121">
        <f t="shared" si="228"/>
        <v>0.96023297491039439</v>
      </c>
      <c r="BF41" s="1118">
        <f t="shared" si="229"/>
        <v>-0.8872939068100355</v>
      </c>
      <c r="BG41" s="1123">
        <f t="shared" si="230"/>
        <v>1.8475268817204298</v>
      </c>
      <c r="BH41" s="481"/>
      <c r="BI41" s="1121">
        <f t="shared" ref="BI41" si="307">IF(BI33&gt;$J$42,$J$41,IF(BI33&lt;$J$42,(IF(BI33&lt;0,0,BI33*$K$41))))</f>
        <v>0</v>
      </c>
      <c r="BJ41" s="1300">
        <f t="shared" ref="BJ41" si="308">IF(BJ33&gt;$J$42,$J$41,IF(BJ33&lt;$J$42,(IF(BJ33&lt;0,0,BJ33*$K$41))))</f>
        <v>1.0694802867383513</v>
      </c>
      <c r="BK41" s="481"/>
      <c r="BL41" s="1121">
        <f t="shared" si="204"/>
        <v>1.0694802867383513</v>
      </c>
      <c r="BM41" s="1118">
        <f t="shared" si="205"/>
        <v>0.85043010752688197</v>
      </c>
      <c r="BN41" s="1123">
        <f t="shared" si="233"/>
        <v>0.2190501792114693</v>
      </c>
      <c r="BP41" s="1124"/>
      <c r="BQ41" s="1127"/>
      <c r="BS41" s="1124">
        <f t="shared" si="206"/>
        <v>17.648052568697729</v>
      </c>
      <c r="BT41" s="1128">
        <f t="shared" si="207"/>
        <v>0.17648052568697728</v>
      </c>
      <c r="BU41" s="4506"/>
      <c r="BX41" s="1028"/>
      <c r="BY41" s="62"/>
      <c r="BZ41" s="81"/>
      <c r="CA41" s="81"/>
      <c r="CB41" s="81"/>
      <c r="CC41" s="81"/>
      <c r="CD41" s="81"/>
      <c r="CE41" s="81"/>
      <c r="CF41" s="1029"/>
    </row>
    <row r="42" spans="1:84" s="255" customFormat="1" ht="15.75" thickBot="1" x14ac:dyDescent="0.25">
      <c r="B42" s="1081"/>
      <c r="C42" s="1081" t="s">
        <v>148</v>
      </c>
      <c r="D42" s="813"/>
      <c r="E42" s="1082">
        <f>SUM(E35:E41)</f>
        <v>1674</v>
      </c>
      <c r="F42" s="1082">
        <f t="shared" ref="F42:I42" si="309">SUM(F35:F41)</f>
        <v>167.4</v>
      </c>
      <c r="G42" s="1082">
        <f t="shared" si="309"/>
        <v>111.60000000000001</v>
      </c>
      <c r="H42" s="1082">
        <f t="shared" si="309"/>
        <v>83.7</v>
      </c>
      <c r="I42" s="1082">
        <f t="shared" si="309"/>
        <v>66.960000000000008</v>
      </c>
      <c r="J42" s="1082">
        <f>SUM(J35:J41)</f>
        <v>55.800000000000004</v>
      </c>
      <c r="K42" s="1083">
        <f>E42/(E31+E42+E47)</f>
        <v>0.55800000000000005</v>
      </c>
      <c r="L42" s="62"/>
      <c r="M42" s="1084">
        <f t="shared" ref="M42:S42" si="310">SUM(M35:M41)</f>
        <v>30.548099999999994</v>
      </c>
      <c r="N42" s="1082">
        <f t="shared" si="310"/>
        <v>29.153099999999998</v>
      </c>
      <c r="O42" s="1082">
        <f t="shared" si="310"/>
        <v>55.073099999999997</v>
      </c>
      <c r="P42" s="1082">
        <f t="shared" si="310"/>
        <v>55.800000000000004</v>
      </c>
      <c r="Q42" s="1082">
        <f t="shared" si="310"/>
        <v>0</v>
      </c>
      <c r="R42" s="1082">
        <f t="shared" si="310"/>
        <v>0</v>
      </c>
      <c r="S42" s="1082">
        <f t="shared" si="310"/>
        <v>0</v>
      </c>
      <c r="T42" s="946"/>
      <c r="U42" s="742">
        <f>SUM(M42:S42)</f>
        <v>170.57429999999999</v>
      </c>
      <c r="V42" s="947">
        <f>SUM(V35:V41)</f>
        <v>157.93169999999998</v>
      </c>
      <c r="W42" s="948">
        <f>SUM(W35:W41)</f>
        <v>12.64260000000001</v>
      </c>
      <c r="X42" s="782"/>
      <c r="Y42" s="1082">
        <f t="shared" ref="Y42:Z42" si="311">SUM(Y35:Y41)</f>
        <v>0</v>
      </c>
      <c r="Z42" s="1082">
        <f t="shared" si="311"/>
        <v>0</v>
      </c>
      <c r="AA42" s="1082">
        <f t="shared" ref="AA42:AB42" si="312">SUM(AA35:AA41)</f>
        <v>11.003100000000003</v>
      </c>
      <c r="AB42" s="1082">
        <f t="shared" si="312"/>
        <v>0</v>
      </c>
      <c r="AC42" s="1082">
        <f t="shared" ref="AC42:AD42" si="313">SUM(AC35:AC41)</f>
        <v>9.1381000000000014</v>
      </c>
      <c r="AD42" s="1082">
        <f t="shared" si="313"/>
        <v>0</v>
      </c>
      <c r="AE42" s="1082">
        <f t="shared" ref="AE42" si="314">SUM(AE35:AE41)</f>
        <v>0</v>
      </c>
      <c r="AF42" s="783"/>
      <c r="AG42" s="742">
        <f>SUM(Y42:AE42)</f>
        <v>20.141200000000005</v>
      </c>
      <c r="AH42" s="947">
        <f>SUM(AH35:AH41)</f>
        <v>-25.40329999999998</v>
      </c>
      <c r="AI42" s="948">
        <f>SUM(AI35:AI41)</f>
        <v>45.544499999999985</v>
      </c>
      <c r="AJ42" s="783"/>
      <c r="AK42" s="1082">
        <f t="shared" ref="AK42" si="315">SUM(AK35:AK41)</f>
        <v>4.4630999999999972</v>
      </c>
      <c r="AL42" s="1082">
        <f t="shared" ref="AL42:AM42" si="316">SUM(AL35:AL41)</f>
        <v>16.883099999999999</v>
      </c>
      <c r="AM42" s="1082">
        <f t="shared" si="316"/>
        <v>0</v>
      </c>
      <c r="AN42" s="1082">
        <f t="shared" ref="AN42:AO42" si="317">SUM(AN35:AN41)</f>
        <v>17.273099999999999</v>
      </c>
      <c r="AO42" s="1082">
        <f t="shared" si="317"/>
        <v>30.203099999999999</v>
      </c>
      <c r="AP42" s="1082">
        <f t="shared" ref="AP42:AQ42" si="318">SUM(AP35:AP41)</f>
        <v>1.9131</v>
      </c>
      <c r="AQ42" s="1082">
        <f t="shared" si="318"/>
        <v>0</v>
      </c>
      <c r="AR42" s="783"/>
      <c r="AS42" s="742">
        <f t="shared" si="201"/>
        <v>70.735499999999988</v>
      </c>
      <c r="AT42" s="947">
        <f>SUM(AT35:AT41)</f>
        <v>48.056699999999992</v>
      </c>
      <c r="AU42" s="948">
        <f>SUM(AU35:AU41)</f>
        <v>22.678800000000003</v>
      </c>
      <c r="AV42" s="783"/>
      <c r="AW42" s="1082">
        <f t="shared" ref="AW42" si="319">SUM(AW35:AW41)</f>
        <v>0</v>
      </c>
      <c r="AX42" s="1082">
        <f t="shared" ref="AX42:AY42" si="320">SUM(AX35:AX41)</f>
        <v>1.7781000000000018</v>
      </c>
      <c r="AY42" s="1082">
        <f t="shared" si="320"/>
        <v>0</v>
      </c>
      <c r="AZ42" s="1082">
        <f t="shared" ref="AZ42:BA42" si="321">SUM(AZ35:AZ41)</f>
        <v>1.1030999999999977</v>
      </c>
      <c r="BA42" s="1082">
        <f t="shared" si="321"/>
        <v>13.193100000000003</v>
      </c>
      <c r="BB42" s="1082">
        <f t="shared" ref="BB42:BC42" si="322">SUM(BB35:BB41)</f>
        <v>0</v>
      </c>
      <c r="BC42" s="1082">
        <f t="shared" si="322"/>
        <v>0</v>
      </c>
      <c r="BD42" s="783"/>
      <c r="BE42" s="742">
        <f t="shared" si="228"/>
        <v>16.074300000000001</v>
      </c>
      <c r="BF42" s="947">
        <f>SUM(BF35:BF41)</f>
        <v>-14.853299999999992</v>
      </c>
      <c r="BG42" s="948">
        <f>SUM(BG35:BG41)</f>
        <v>30.927599999999995</v>
      </c>
      <c r="BH42" s="1361"/>
      <c r="BI42" s="1082">
        <f t="shared" ref="BI42" si="323">SUM(BI35:BI41)</f>
        <v>0</v>
      </c>
      <c r="BJ42" s="1082">
        <f t="shared" ref="BJ42" si="324">SUM(BJ35:BJ41)</f>
        <v>17.903100000000002</v>
      </c>
      <c r="BK42" s="1361"/>
      <c r="BL42" s="742">
        <f t="shared" si="204"/>
        <v>17.903100000000002</v>
      </c>
      <c r="BM42" s="947">
        <f>SUM(BM35:BM41)</f>
        <v>14.236200000000006</v>
      </c>
      <c r="BN42" s="948">
        <f>SUM(BN35:BN41)</f>
        <v>3.6668999999999987</v>
      </c>
      <c r="BP42" s="1082">
        <f>J42*BX24</f>
        <v>1674.0000000000002</v>
      </c>
      <c r="BQ42" s="1085">
        <f>BS42-BP42</f>
        <v>-1378.5716000000002</v>
      </c>
      <c r="BS42" s="1082">
        <f>SUM(BS35:BS41)</f>
        <v>295.42840000000001</v>
      </c>
      <c r="BT42" s="1086">
        <f t="shared" si="207"/>
        <v>0.17648052568697731</v>
      </c>
      <c r="BU42" s="62"/>
      <c r="BX42" s="1354"/>
      <c r="BY42" s="1355"/>
      <c r="BZ42" s="1112"/>
      <c r="CA42" s="1112"/>
      <c r="CB42" s="1112"/>
      <c r="CC42" s="1112"/>
      <c r="CD42" s="1112"/>
      <c r="CE42" s="1112"/>
      <c r="CF42" s="1113"/>
    </row>
    <row r="43" spans="1:84" s="81" customFormat="1" ht="4.5" customHeight="1" thickBot="1" x14ac:dyDescent="0.25">
      <c r="B43" s="1357"/>
      <c r="C43" s="1357"/>
      <c r="E43" s="80"/>
      <c r="F43" s="80"/>
      <c r="G43" s="80"/>
      <c r="H43" s="80"/>
      <c r="I43" s="80"/>
      <c r="J43" s="80"/>
      <c r="K43" s="1087"/>
      <c r="L43" s="62"/>
      <c r="M43" s="80"/>
      <c r="N43" s="80"/>
      <c r="O43" s="80"/>
      <c r="P43" s="80"/>
      <c r="Q43" s="80"/>
      <c r="R43" s="80"/>
      <c r="S43" s="80"/>
      <c r="T43" s="1361"/>
      <c r="U43" s="1361"/>
      <c r="V43" s="1361"/>
      <c r="W43" s="1361"/>
      <c r="X43" s="1361"/>
      <c r="Y43" s="80"/>
      <c r="Z43" s="80"/>
      <c r="AA43" s="80"/>
      <c r="AB43" s="80"/>
      <c r="AC43" s="80"/>
      <c r="AD43" s="80"/>
      <c r="AE43" s="80"/>
      <c r="AF43" s="1361"/>
      <c r="AG43" s="1361"/>
      <c r="AH43" s="1361"/>
      <c r="AI43" s="1361"/>
      <c r="AJ43" s="1361"/>
      <c r="AK43" s="80"/>
      <c r="AL43" s="80"/>
      <c r="AM43" s="80"/>
      <c r="AN43" s="80"/>
      <c r="AO43" s="80"/>
      <c r="AP43" s="80"/>
      <c r="AQ43" s="80"/>
      <c r="AR43" s="1361"/>
      <c r="AS43" s="1361"/>
      <c r="AT43" s="1361"/>
      <c r="AU43" s="1361"/>
      <c r="AV43" s="1361"/>
      <c r="AW43" s="80"/>
      <c r="AX43" s="80"/>
      <c r="AY43" s="80"/>
      <c r="AZ43" s="80"/>
      <c r="BA43" s="80"/>
      <c r="BB43" s="80"/>
      <c r="BC43" s="80"/>
      <c r="BD43" s="1361"/>
      <c r="BE43" s="1361"/>
      <c r="BF43" s="1361"/>
      <c r="BG43" s="1361"/>
      <c r="BH43" s="1361"/>
      <c r="BI43" s="80"/>
      <c r="BJ43" s="80"/>
      <c r="BK43" s="1361"/>
      <c r="BL43" s="1361"/>
      <c r="BM43" s="1361"/>
      <c r="BN43" s="1361"/>
      <c r="BP43" s="80"/>
      <c r="BQ43" s="152"/>
      <c r="BS43" s="80"/>
      <c r="BT43" s="748"/>
      <c r="BU43" s="62"/>
    </row>
    <row r="44" spans="1:84" ht="15.75" thickBot="1" x14ac:dyDescent="0.25">
      <c r="B44" s="3"/>
      <c r="C44" s="3" t="s">
        <v>151</v>
      </c>
      <c r="D44" s="814"/>
      <c r="E44" s="5">
        <f>E42*100/30</f>
        <v>5580</v>
      </c>
      <c r="F44" s="5">
        <f>F31+F42</f>
        <v>276.94069999999999</v>
      </c>
      <c r="G44" s="5">
        <f>G31+G42</f>
        <v>184.62713333333335</v>
      </c>
      <c r="H44" s="5">
        <f>H31+H42</f>
        <v>138.47035</v>
      </c>
      <c r="I44" s="5">
        <f>I31+I42</f>
        <v>110.77628</v>
      </c>
      <c r="J44" s="5">
        <f>J42*100/30</f>
        <v>186</v>
      </c>
      <c r="K44" s="266">
        <f>E44/E57</f>
        <v>0.55800000000000005</v>
      </c>
      <c r="L44" s="29"/>
      <c r="M44" s="1129">
        <f t="shared" ref="M44:S44" si="325">$J$42</f>
        <v>55.800000000000004</v>
      </c>
      <c r="N44" s="1129">
        <f t="shared" si="325"/>
        <v>55.800000000000004</v>
      </c>
      <c r="O44" s="1129">
        <f t="shared" si="325"/>
        <v>55.800000000000004</v>
      </c>
      <c r="P44" s="1129">
        <f t="shared" si="325"/>
        <v>55.800000000000004</v>
      </c>
      <c r="Q44" s="1129">
        <f t="shared" si="325"/>
        <v>55.800000000000004</v>
      </c>
      <c r="R44" s="1129">
        <f t="shared" si="325"/>
        <v>55.800000000000004</v>
      </c>
      <c r="S44" s="1348">
        <f t="shared" si="325"/>
        <v>55.800000000000004</v>
      </c>
      <c r="T44" s="14"/>
      <c r="U44" s="623">
        <f t="shared" si="10"/>
        <v>390.6</v>
      </c>
      <c r="V44" s="1130"/>
      <c r="W44" s="1131"/>
      <c r="X44" s="145"/>
      <c r="Y44" s="1348">
        <f t="shared" ref="Y44:AE44" si="326">$J$42</f>
        <v>55.800000000000004</v>
      </c>
      <c r="Z44" s="1348">
        <f t="shared" si="326"/>
        <v>55.800000000000004</v>
      </c>
      <c r="AA44" s="1368">
        <f t="shared" si="326"/>
        <v>55.800000000000004</v>
      </c>
      <c r="AB44" s="1372">
        <f t="shared" si="326"/>
        <v>55.800000000000004</v>
      </c>
      <c r="AC44" s="1376">
        <f t="shared" si="326"/>
        <v>55.800000000000004</v>
      </c>
      <c r="AD44" s="1380">
        <f t="shared" si="326"/>
        <v>55.800000000000004</v>
      </c>
      <c r="AE44" s="1348">
        <f t="shared" si="326"/>
        <v>55.800000000000004</v>
      </c>
      <c r="AF44" s="145"/>
      <c r="AG44" s="623">
        <f t="shared" ref="AG44" si="327">SUM(Y44:AE44)</f>
        <v>390.6</v>
      </c>
      <c r="AH44" s="1130"/>
      <c r="AI44" s="1131"/>
      <c r="AJ44" s="145"/>
      <c r="AK44" s="1348">
        <f t="shared" ref="AK44:AQ44" si="328">$J$42</f>
        <v>55.800000000000004</v>
      </c>
      <c r="AL44" s="1348">
        <f t="shared" si="328"/>
        <v>55.800000000000004</v>
      </c>
      <c r="AM44" s="1470">
        <f t="shared" si="328"/>
        <v>55.800000000000004</v>
      </c>
      <c r="AN44" s="1475">
        <f t="shared" si="328"/>
        <v>55.800000000000004</v>
      </c>
      <c r="AO44" s="1478">
        <f t="shared" si="328"/>
        <v>55.800000000000004</v>
      </c>
      <c r="AP44" s="1487">
        <f t="shared" si="328"/>
        <v>55.800000000000004</v>
      </c>
      <c r="AQ44" s="1348">
        <f t="shared" si="328"/>
        <v>55.800000000000004</v>
      </c>
      <c r="AR44" s="145"/>
      <c r="AS44" s="623">
        <f t="shared" ref="AS44:AS45" si="329">SUM(AK44:AQ44)</f>
        <v>390.6</v>
      </c>
      <c r="AT44" s="1130"/>
      <c r="AU44" s="1131"/>
      <c r="AV44" s="145"/>
      <c r="AW44" s="5">
        <f t="shared" ref="AW44:BC44" si="330">$J$42</f>
        <v>55.800000000000004</v>
      </c>
      <c r="AX44" s="5">
        <f t="shared" si="330"/>
        <v>55.800000000000004</v>
      </c>
      <c r="AY44" s="5">
        <f t="shared" si="330"/>
        <v>55.800000000000004</v>
      </c>
      <c r="AZ44" s="5">
        <f t="shared" si="330"/>
        <v>55.800000000000004</v>
      </c>
      <c r="BA44" s="5">
        <f t="shared" si="330"/>
        <v>55.800000000000004</v>
      </c>
      <c r="BB44" s="5">
        <f t="shared" si="330"/>
        <v>55.800000000000004</v>
      </c>
      <c r="BC44" s="5">
        <f t="shared" si="330"/>
        <v>55.800000000000004</v>
      </c>
      <c r="BD44" s="145"/>
      <c r="BE44" s="623">
        <f t="shared" ref="BE44:BE45" si="331">SUM(AW44:BC44)</f>
        <v>390.6</v>
      </c>
      <c r="BF44" s="1130"/>
      <c r="BG44" s="1131"/>
      <c r="BH44" s="14"/>
      <c r="BI44" s="5">
        <f t="shared" ref="BI44:BJ44" si="332">$J$42</f>
        <v>55.800000000000004</v>
      </c>
      <c r="BJ44" s="5">
        <f t="shared" si="332"/>
        <v>55.800000000000004</v>
      </c>
      <c r="BK44" s="14"/>
      <c r="BL44" s="623">
        <f>SUM(BI44:BJ44)</f>
        <v>111.60000000000001</v>
      </c>
      <c r="BM44" s="1130"/>
      <c r="BN44" s="1131"/>
      <c r="BP44" s="5">
        <f>SUM(M44:S44)+SUM(Y44:AE44)+SUM(AK44:AQ44)+SUM(AW44:BC44)+SUM(BI44:BJ44)</f>
        <v>1674</v>
      </c>
      <c r="BQ44" s="15"/>
      <c r="BS44" s="5"/>
      <c r="BT44" s="9"/>
      <c r="BU44" s="29"/>
    </row>
    <row r="45" spans="1:84" s="255" customFormat="1" ht="15.75" thickBot="1" x14ac:dyDescent="0.25">
      <c r="B45" s="574"/>
      <c r="C45" s="820" t="s">
        <v>149</v>
      </c>
      <c r="D45" s="819"/>
      <c r="E45" s="578"/>
      <c r="F45" s="576"/>
      <c r="G45" s="576"/>
      <c r="H45" s="576"/>
      <c r="I45" s="576"/>
      <c r="J45" s="576"/>
      <c r="K45" s="963"/>
      <c r="L45" s="987"/>
      <c r="M45" s="579">
        <f t="shared" ref="M45:S45" si="333">IF(M33&gt;$J$42,M33-M42,IF(M33&lt;$J$42,(IF(M33&lt;0,-55.8,M33-M44))))</f>
        <v>-25.251900000000006</v>
      </c>
      <c r="N45" s="578">
        <f t="shared" si="333"/>
        <v>-26.646900000000002</v>
      </c>
      <c r="O45" s="578">
        <f t="shared" si="333"/>
        <v>-0.72690000000001476</v>
      </c>
      <c r="P45" s="578">
        <f t="shared" si="333"/>
        <v>97.898099999999971</v>
      </c>
      <c r="Q45" s="578">
        <f t="shared" si="333"/>
        <v>-55.8</v>
      </c>
      <c r="R45" s="578">
        <f t="shared" si="333"/>
        <v>-55.8</v>
      </c>
      <c r="S45" s="788">
        <f t="shared" si="333"/>
        <v>-55.8</v>
      </c>
      <c r="T45" s="479"/>
      <c r="U45" s="579">
        <f>SUM(M45:S45)</f>
        <v>-122.12760000000004</v>
      </c>
      <c r="V45" s="578"/>
      <c r="W45" s="788"/>
      <c r="X45" s="479"/>
      <c r="Y45" s="579">
        <f t="shared" ref="Y45:AD45" si="334">IF(Y33&gt;$J$42,Y33-Y42,IF(Y33&lt;$J$42,(IF(Y33&lt;0,-55.8,Y33-Y44))))</f>
        <v>-55.8</v>
      </c>
      <c r="Z45" s="576">
        <f t="shared" si="334"/>
        <v>-55.8</v>
      </c>
      <c r="AA45" s="576">
        <f t="shared" si="334"/>
        <v>-44.796900000000001</v>
      </c>
      <c r="AB45" s="576">
        <f t="shared" si="334"/>
        <v>-55.8</v>
      </c>
      <c r="AC45" s="576">
        <f t="shared" si="334"/>
        <v>-46.661900000000003</v>
      </c>
      <c r="AD45" s="576">
        <f t="shared" si="334"/>
        <v>-55.8</v>
      </c>
      <c r="AE45" s="788">
        <f t="shared" ref="AE45" si="335">IF(AE33&gt;$J$42,AE33-AE42,IF(AE33&lt;$J$42,(IF(AE33&lt;0,-55.8,AE33-AE44))))</f>
        <v>-55.8</v>
      </c>
      <c r="AF45" s="479"/>
      <c r="AG45" s="579">
        <f>SUM(Y45:AE45)</f>
        <v>-370.4588</v>
      </c>
      <c r="AH45" s="578"/>
      <c r="AI45" s="788"/>
      <c r="AJ45" s="779"/>
      <c r="AK45" s="579">
        <f t="shared" ref="AK45:AP45" si="336">IF(AK33&gt;$J$42,AK33-AK42,IF(AK33&lt;$J$42,(IF(AK33&lt;0,-55.8,AK33-AK44))))</f>
        <v>-51.336900000000007</v>
      </c>
      <c r="AL45" s="578">
        <f t="shared" si="336"/>
        <v>-38.916900000000005</v>
      </c>
      <c r="AM45" s="578">
        <f t="shared" si="336"/>
        <v>-55.8</v>
      </c>
      <c r="AN45" s="578">
        <f t="shared" si="336"/>
        <v>-38.526900000000005</v>
      </c>
      <c r="AO45" s="578">
        <f t="shared" si="336"/>
        <v>-25.596900000000005</v>
      </c>
      <c r="AP45" s="578">
        <f t="shared" si="336"/>
        <v>-53.886900000000004</v>
      </c>
      <c r="AQ45" s="578">
        <f t="shared" ref="AQ45" si="337">IF(AQ33&gt;$J$42,AQ33-AQ42,IF(AQ33&lt;$J$42,(IF(AQ33&lt;0,-55.8,AQ33-AQ44))))</f>
        <v>-55.8</v>
      </c>
      <c r="AR45" s="969"/>
      <c r="AS45" s="579">
        <f t="shared" si="329"/>
        <v>-319.86450000000008</v>
      </c>
      <c r="AT45" s="578"/>
      <c r="AU45" s="788"/>
      <c r="AV45" s="479"/>
      <c r="AW45" s="579">
        <f t="shared" ref="AW45" si="338">IF(AW33&gt;$J$42,AW33-AW42,IF(AW33&lt;$J$42,(IF(AW33&lt;0,-55.8,AW33-AW44))))</f>
        <v>-55.8</v>
      </c>
      <c r="AX45" s="576">
        <f t="shared" ref="AX45:AY45" si="339">IF(AX33&gt;$J$42,AX33-AX42,IF(AX33&lt;$J$42,(IF(AX33&lt;0,-55.8,AX33-AX44))))</f>
        <v>-54.021900000000002</v>
      </c>
      <c r="AY45" s="576">
        <f t="shared" si="339"/>
        <v>-55.8</v>
      </c>
      <c r="AZ45" s="576">
        <f t="shared" ref="AZ45:BA45" si="340">IF(AZ33&gt;$J$42,AZ33-AZ42,IF(AZ33&lt;$J$42,(IF(AZ33&lt;0,-55.8,AZ33-AZ44))))</f>
        <v>-54.696900000000007</v>
      </c>
      <c r="BA45" s="576">
        <f t="shared" si="340"/>
        <v>-42.606900000000003</v>
      </c>
      <c r="BB45" s="576">
        <f t="shared" ref="BB45:BC45" si="341">IF(BB33&gt;$J$42,BB33-BB42,IF(BB33&lt;$J$42,(IF(BB33&lt;0,-55.8,BB33-BB44))))</f>
        <v>-55.8</v>
      </c>
      <c r="BC45" s="576">
        <f t="shared" si="341"/>
        <v>-55.8</v>
      </c>
      <c r="BD45" s="479"/>
      <c r="BE45" s="579">
        <f t="shared" si="331"/>
        <v>-374.52570000000003</v>
      </c>
      <c r="BF45" s="578"/>
      <c r="BG45" s="788"/>
      <c r="BI45" s="579">
        <f t="shared" ref="BI45" si="342">IF(BI33&gt;$J$42,BI33-BI42,IF(BI33&lt;$J$42,(IF(BI33&lt;0,-55.8,BI33-BI44))))</f>
        <v>-55.8</v>
      </c>
      <c r="BJ45" s="578">
        <f t="shared" ref="BJ45" si="343">IF(BJ33&gt;$J$42,BJ33-BJ42,IF(BJ33&lt;$J$42,(IF(BJ33&lt;0,-55.8,BJ33-BJ44))))</f>
        <v>-37.896900000000002</v>
      </c>
      <c r="BK45" s="990"/>
      <c r="BL45" s="992">
        <f>SUM(BI45:BJ45)</f>
        <v>-93.696899999999999</v>
      </c>
      <c r="BM45" s="991"/>
      <c r="BN45" s="989"/>
      <c r="BO45" s="1361"/>
      <c r="BP45" s="992">
        <f>SUM(M45:S45)+SUM(Y45:AE45)+SUM(AK45:AQ45)+SUM(AW45:BC45)+SUM(BI45:BJ45)</f>
        <v>-1280.6734999999999</v>
      </c>
      <c r="BQ45" s="580"/>
    </row>
    <row r="46" spans="1:84" s="426" customFormat="1" ht="15.75" thickBot="1" x14ac:dyDescent="0.25">
      <c r="B46" s="438"/>
      <c r="C46" s="438"/>
      <c r="D46" s="438"/>
      <c r="E46" s="479"/>
      <c r="F46" s="479"/>
      <c r="G46" s="479"/>
      <c r="H46" s="479"/>
      <c r="I46" s="479"/>
      <c r="J46" s="479"/>
      <c r="K46" s="1088"/>
      <c r="L46" s="987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79"/>
      <c r="AM46" s="479"/>
      <c r="AN46" s="479"/>
      <c r="AO46" s="479"/>
      <c r="AP46" s="479"/>
      <c r="AQ46" s="479"/>
      <c r="AR46" s="479"/>
      <c r="AS46" s="479"/>
      <c r="AT46" s="479"/>
      <c r="AU46" s="479"/>
      <c r="AV46" s="479"/>
      <c r="AW46" s="479"/>
      <c r="AX46" s="479"/>
      <c r="AY46" s="479"/>
      <c r="AZ46" s="479"/>
      <c r="BA46" s="479"/>
      <c r="BB46" s="479"/>
      <c r="BC46" s="479"/>
      <c r="BD46" s="479"/>
      <c r="BE46" s="479"/>
      <c r="BF46" s="479"/>
      <c r="BG46" s="479"/>
      <c r="BH46" s="479"/>
      <c r="BI46" s="479"/>
      <c r="BJ46" s="479"/>
      <c r="BK46" s="479"/>
      <c r="BL46" s="479"/>
      <c r="BM46" s="479"/>
      <c r="BN46" s="479"/>
      <c r="BO46" s="479"/>
      <c r="BP46" s="479"/>
      <c r="BQ46" s="480"/>
    </row>
    <row r="47" spans="1:84" s="432" customFormat="1" x14ac:dyDescent="0.2">
      <c r="A47" s="669"/>
      <c r="B47" s="433">
        <v>25</v>
      </c>
      <c r="C47" s="433" t="s">
        <v>74</v>
      </c>
      <c r="D47" s="780"/>
      <c r="E47" s="347">
        <f>3000-(E31+E42)</f>
        <v>220.59299999999985</v>
      </c>
      <c r="F47" s="347">
        <f t="shared" ref="F47:F54" si="344">E47/10</f>
        <v>22.059299999999986</v>
      </c>
      <c r="G47" s="347">
        <f t="shared" ref="G47:G48" si="345">E47/15</f>
        <v>14.70619999999999</v>
      </c>
      <c r="H47" s="347">
        <f t="shared" ref="H47:H48" si="346">E47/20</f>
        <v>11.029649999999993</v>
      </c>
      <c r="I47" s="347">
        <f t="shared" ref="I47:I48" si="347">E47/25</f>
        <v>8.8237199999999945</v>
      </c>
      <c r="J47" s="347">
        <f>E47/30</f>
        <v>7.3530999999999951</v>
      </c>
      <c r="K47" s="434">
        <f>E47/(E31+E42+E47)</f>
        <v>7.3530999999999944E-2</v>
      </c>
      <c r="L47" s="482"/>
      <c r="M47" s="347">
        <f t="shared" ref="M47:S47" si="348">$J$47</f>
        <v>7.3530999999999951</v>
      </c>
      <c r="N47" s="347">
        <f t="shared" si="348"/>
        <v>7.3530999999999951</v>
      </c>
      <c r="O47" s="347">
        <f t="shared" si="348"/>
        <v>7.3530999999999951</v>
      </c>
      <c r="P47" s="347">
        <f t="shared" si="348"/>
        <v>7.3530999999999951</v>
      </c>
      <c r="Q47" s="347">
        <f t="shared" si="348"/>
        <v>7.3530999999999951</v>
      </c>
      <c r="R47" s="347">
        <f t="shared" si="348"/>
        <v>7.3530999999999951</v>
      </c>
      <c r="S47" s="347">
        <f t="shared" si="348"/>
        <v>7.3530999999999951</v>
      </c>
      <c r="T47" s="481"/>
      <c r="U47" s="933">
        <f t="shared" si="10"/>
        <v>51.47169999999997</v>
      </c>
      <c r="V47" s="934"/>
      <c r="W47" s="935"/>
      <c r="X47" s="781"/>
      <c r="Y47" s="483">
        <f t="shared" ref="Y47:AE47" si="349">$J$47</f>
        <v>7.3530999999999951</v>
      </c>
      <c r="Z47" s="483">
        <f t="shared" si="349"/>
        <v>7.3530999999999951</v>
      </c>
      <c r="AA47" s="483">
        <f t="shared" si="349"/>
        <v>7.3530999999999951</v>
      </c>
      <c r="AB47" s="483">
        <f t="shared" si="349"/>
        <v>7.3530999999999951</v>
      </c>
      <c r="AC47" s="483">
        <f t="shared" si="349"/>
        <v>7.3530999999999951</v>
      </c>
      <c r="AD47" s="483">
        <f t="shared" si="349"/>
        <v>7.3530999999999951</v>
      </c>
      <c r="AE47" s="483">
        <f t="shared" si="349"/>
        <v>7.3530999999999951</v>
      </c>
      <c r="AF47" s="781"/>
      <c r="AG47" s="933">
        <f t="shared" ref="AG47:AG48" si="350">SUM(Y47:AE47)</f>
        <v>51.47169999999997</v>
      </c>
      <c r="AH47" s="934"/>
      <c r="AI47" s="935"/>
      <c r="AJ47" s="781"/>
      <c r="AK47" s="483">
        <f t="shared" ref="AK47:AQ47" si="351">$J$47</f>
        <v>7.3530999999999951</v>
      </c>
      <c r="AL47" s="483">
        <f t="shared" si="351"/>
        <v>7.3530999999999951</v>
      </c>
      <c r="AM47" s="483">
        <f t="shared" si="351"/>
        <v>7.3530999999999951</v>
      </c>
      <c r="AN47" s="483">
        <f t="shared" si="351"/>
        <v>7.3530999999999951</v>
      </c>
      <c r="AO47" s="483">
        <f t="shared" si="351"/>
        <v>7.3530999999999951</v>
      </c>
      <c r="AP47" s="483">
        <f t="shared" si="351"/>
        <v>7.3530999999999951</v>
      </c>
      <c r="AQ47" s="483">
        <f t="shared" si="351"/>
        <v>7.3530999999999951</v>
      </c>
      <c r="AR47" s="781"/>
      <c r="AS47" s="933">
        <f t="shared" ref="AS47:AS50" si="352">SUM(AK47:AQ47)</f>
        <v>51.47169999999997</v>
      </c>
      <c r="AT47" s="934"/>
      <c r="AU47" s="935"/>
      <c r="AV47" s="781"/>
      <c r="AW47" s="483">
        <f t="shared" ref="AW47:BC47" si="353">$J$47</f>
        <v>7.3530999999999951</v>
      </c>
      <c r="AX47" s="483">
        <f t="shared" si="353"/>
        <v>7.3530999999999951</v>
      </c>
      <c r="AY47" s="483">
        <f t="shared" si="353"/>
        <v>7.3530999999999951</v>
      </c>
      <c r="AZ47" s="483">
        <f t="shared" si="353"/>
        <v>7.3530999999999951</v>
      </c>
      <c r="BA47" s="483">
        <f t="shared" si="353"/>
        <v>7.3530999999999951</v>
      </c>
      <c r="BB47" s="483">
        <f t="shared" si="353"/>
        <v>7.3530999999999951</v>
      </c>
      <c r="BC47" s="483">
        <f t="shared" si="353"/>
        <v>7.3530999999999951</v>
      </c>
      <c r="BD47" s="781"/>
      <c r="BE47" s="933">
        <f t="shared" ref="BE47:BE50" si="354">SUM(AW47:BC47)</f>
        <v>51.47169999999997</v>
      </c>
      <c r="BF47" s="934"/>
      <c r="BG47" s="935"/>
      <c r="BH47" s="481"/>
      <c r="BI47" s="347">
        <f t="shared" ref="BI47:BJ47" si="355">$J$47</f>
        <v>7.3530999999999951</v>
      </c>
      <c r="BJ47" s="483">
        <f t="shared" si="355"/>
        <v>7.3530999999999951</v>
      </c>
      <c r="BK47" s="481"/>
      <c r="BL47" s="933">
        <f>SUM(BI47:BJ47)</f>
        <v>14.70619999999999</v>
      </c>
      <c r="BM47" s="934"/>
      <c r="BN47" s="935"/>
      <c r="BP47" s="347">
        <f>SUM(M47:S47)+SUM(Y47:AE47)+SUM(AK47:AQ47)+SUM(AW47:BC47)+SUM(BI47:BJ47)</f>
        <v>220.59299999999988</v>
      </c>
      <c r="BQ47" s="485">
        <f>BP47/E47</f>
        <v>1.0000000000000002</v>
      </c>
      <c r="BS47" s="614"/>
      <c r="BT47" s="615"/>
      <c r="BU47" s="491"/>
    </row>
    <row r="48" spans="1:84" s="81" customFormat="1" ht="15.75" thickBot="1" x14ac:dyDescent="0.25">
      <c r="B48" s="43"/>
      <c r="C48" s="43" t="s">
        <v>153</v>
      </c>
      <c r="D48" s="813"/>
      <c r="E48" s="40">
        <f>E47*100/30</f>
        <v>735.30999999999949</v>
      </c>
      <c r="F48" s="40">
        <f t="shared" si="344"/>
        <v>73.530999999999949</v>
      </c>
      <c r="G48" s="40">
        <f t="shared" si="345"/>
        <v>49.020666666666635</v>
      </c>
      <c r="H48" s="40">
        <f t="shared" si="346"/>
        <v>36.765499999999975</v>
      </c>
      <c r="I48" s="40">
        <f t="shared" si="347"/>
        <v>29.41239999999998</v>
      </c>
      <c r="J48" s="40">
        <f>J47*100/30</f>
        <v>24.510333333333318</v>
      </c>
      <c r="K48" s="193">
        <f>E48/E57</f>
        <v>7.3530999999999944E-2</v>
      </c>
      <c r="L48" s="62"/>
      <c r="M48" s="40">
        <f t="shared" ref="M48:S48" si="356">$J$48</f>
        <v>24.510333333333318</v>
      </c>
      <c r="N48" s="40">
        <f t="shared" si="356"/>
        <v>24.510333333333318</v>
      </c>
      <c r="O48" s="40">
        <f t="shared" si="356"/>
        <v>24.510333333333318</v>
      </c>
      <c r="P48" s="40">
        <f t="shared" si="356"/>
        <v>24.510333333333318</v>
      </c>
      <c r="Q48" s="40">
        <f t="shared" si="356"/>
        <v>24.510333333333318</v>
      </c>
      <c r="R48" s="40">
        <f t="shared" si="356"/>
        <v>24.510333333333318</v>
      </c>
      <c r="S48" s="40">
        <f t="shared" si="356"/>
        <v>24.510333333333318</v>
      </c>
      <c r="T48" s="1361"/>
      <c r="U48" s="957">
        <f t="shared" si="10"/>
        <v>171.57233333333321</v>
      </c>
      <c r="V48" s="958"/>
      <c r="W48" s="959"/>
      <c r="X48" s="782"/>
      <c r="Y48" s="1349">
        <f t="shared" ref="Y48:AE48" si="357">$J$48</f>
        <v>24.510333333333318</v>
      </c>
      <c r="Z48" s="1349">
        <f t="shared" si="357"/>
        <v>24.510333333333318</v>
      </c>
      <c r="AA48" s="1369">
        <f t="shared" si="357"/>
        <v>24.510333333333318</v>
      </c>
      <c r="AB48" s="1373">
        <f t="shared" si="357"/>
        <v>24.510333333333318</v>
      </c>
      <c r="AC48" s="1377">
        <f t="shared" si="357"/>
        <v>24.510333333333318</v>
      </c>
      <c r="AD48" s="1381">
        <f t="shared" si="357"/>
        <v>24.510333333333318</v>
      </c>
      <c r="AE48" s="1349">
        <f t="shared" si="357"/>
        <v>24.510333333333318</v>
      </c>
      <c r="AF48" s="782"/>
      <c r="AG48" s="957">
        <f t="shared" si="350"/>
        <v>171.57233333333321</v>
      </c>
      <c r="AH48" s="958"/>
      <c r="AI48" s="959"/>
      <c r="AJ48" s="782"/>
      <c r="AK48" s="1349">
        <f t="shared" ref="AK48:AQ48" si="358">$J$48</f>
        <v>24.510333333333318</v>
      </c>
      <c r="AL48" s="1349">
        <f t="shared" si="358"/>
        <v>24.510333333333318</v>
      </c>
      <c r="AM48" s="1471">
        <f t="shared" si="358"/>
        <v>24.510333333333318</v>
      </c>
      <c r="AN48" s="1474">
        <f t="shared" si="358"/>
        <v>24.510333333333318</v>
      </c>
      <c r="AO48" s="1479">
        <f t="shared" si="358"/>
        <v>24.510333333333318</v>
      </c>
      <c r="AP48" s="1486">
        <f t="shared" si="358"/>
        <v>24.510333333333318</v>
      </c>
      <c r="AQ48" s="1349">
        <f t="shared" si="358"/>
        <v>24.510333333333318</v>
      </c>
      <c r="AR48" s="782"/>
      <c r="AS48" s="957">
        <f t="shared" si="352"/>
        <v>171.57233333333321</v>
      </c>
      <c r="AT48" s="958"/>
      <c r="AU48" s="959"/>
      <c r="AV48" s="782"/>
      <c r="AW48" s="1349">
        <f t="shared" ref="AW48:BC48" si="359">$J$48</f>
        <v>24.510333333333318</v>
      </c>
      <c r="AX48" s="1349">
        <f t="shared" si="359"/>
        <v>24.510333333333318</v>
      </c>
      <c r="AY48" s="1492">
        <f t="shared" si="359"/>
        <v>24.510333333333318</v>
      </c>
      <c r="AZ48" s="1517">
        <f t="shared" si="359"/>
        <v>24.510333333333318</v>
      </c>
      <c r="BA48" s="1520">
        <f t="shared" si="359"/>
        <v>24.510333333333318</v>
      </c>
      <c r="BB48" s="1525">
        <f t="shared" si="359"/>
        <v>24.510333333333318</v>
      </c>
      <c r="BC48" s="1528">
        <f t="shared" si="359"/>
        <v>24.510333333333318</v>
      </c>
      <c r="BD48" s="782"/>
      <c r="BE48" s="957">
        <f t="shared" si="354"/>
        <v>171.57233333333321</v>
      </c>
      <c r="BF48" s="958"/>
      <c r="BG48" s="959"/>
      <c r="BH48" s="1361"/>
      <c r="BI48" s="40">
        <f t="shared" ref="BI48:BJ48" si="360">$J$48</f>
        <v>24.510333333333318</v>
      </c>
      <c r="BJ48" s="1349">
        <f t="shared" si="360"/>
        <v>24.510333333333318</v>
      </c>
      <c r="BK48" s="1361"/>
      <c r="BL48" s="957">
        <f>SUM(BI48:BJ48)</f>
        <v>49.020666666666635</v>
      </c>
      <c r="BM48" s="958"/>
      <c r="BN48" s="959"/>
      <c r="BO48" s="255"/>
      <c r="BP48" s="40">
        <f>SUM(M48:S48)+SUM(Y48:AE48)+SUM(AK48:AQ48)+SUM(AW48:BC48)+SUM(BI48:BJ48)</f>
        <v>735.30999999999949</v>
      </c>
      <c r="BQ48" s="51">
        <f>BP48/E48</f>
        <v>1</v>
      </c>
      <c r="BR48" s="255"/>
      <c r="BS48" s="583"/>
      <c r="BT48" s="584"/>
      <c r="BU48" s="411"/>
      <c r="BV48" s="255"/>
    </row>
    <row r="49" spans="2:74" s="81" customFormat="1" ht="4.5" customHeight="1" thickBot="1" x14ac:dyDescent="0.25">
      <c r="B49" s="1360"/>
      <c r="C49" s="1360"/>
      <c r="E49" s="1356"/>
      <c r="F49" s="1356"/>
      <c r="G49" s="1356"/>
      <c r="H49" s="1356"/>
      <c r="I49" s="1356"/>
      <c r="J49" s="1356"/>
      <c r="K49" s="1089"/>
      <c r="L49" s="62"/>
      <c r="M49" s="1356"/>
      <c r="N49" s="1356"/>
      <c r="O49" s="1362"/>
      <c r="P49" s="1366"/>
      <c r="Q49" s="1364"/>
      <c r="R49" s="1366"/>
      <c r="S49" s="1356"/>
      <c r="T49" s="1361"/>
      <c r="U49" s="1361"/>
      <c r="V49" s="1361"/>
      <c r="W49" s="1361"/>
      <c r="X49" s="1361"/>
      <c r="Y49" s="1356"/>
      <c r="Z49" s="1356"/>
      <c r="AA49" s="1370"/>
      <c r="AB49" s="1374"/>
      <c r="AC49" s="1378"/>
      <c r="AD49" s="1382"/>
      <c r="AE49" s="1356"/>
      <c r="AF49" s="1361"/>
      <c r="AG49" s="1361"/>
      <c r="AH49" s="1361"/>
      <c r="AI49" s="1361"/>
      <c r="AJ49" s="1361"/>
      <c r="AK49" s="1356"/>
      <c r="AL49" s="1356"/>
      <c r="AM49" s="1472"/>
      <c r="AN49" s="1476"/>
      <c r="AO49" s="1480"/>
      <c r="AP49" s="1488"/>
      <c r="AQ49" s="1356"/>
      <c r="AR49" s="1361"/>
      <c r="AS49" s="1361"/>
      <c r="AT49" s="1361"/>
      <c r="AU49" s="1361"/>
      <c r="AV49" s="1361"/>
      <c r="AW49" s="1356"/>
      <c r="AX49" s="1356"/>
      <c r="AY49" s="1494"/>
      <c r="AZ49" s="1518"/>
      <c r="BA49" s="1522"/>
      <c r="BB49" s="1526"/>
      <c r="BC49" s="1530"/>
      <c r="BD49" s="1361"/>
      <c r="BE49" s="1361"/>
      <c r="BF49" s="1361"/>
      <c r="BG49" s="1361"/>
      <c r="BH49" s="1361"/>
      <c r="BI49" s="1356"/>
      <c r="BJ49" s="1356"/>
      <c r="BK49" s="1361"/>
      <c r="BL49" s="1361"/>
      <c r="BM49" s="1361"/>
      <c r="BN49" s="1361"/>
      <c r="BO49" s="255"/>
      <c r="BP49" s="1356"/>
      <c r="BQ49" s="1090"/>
      <c r="BR49" s="255"/>
      <c r="BS49" s="1361"/>
      <c r="BT49" s="411"/>
      <c r="BU49" s="411"/>
      <c r="BV49" s="255"/>
    </row>
    <row r="50" spans="2:74" ht="15.75" thickBot="1" x14ac:dyDescent="0.25">
      <c r="B50" s="1092"/>
      <c r="C50" s="1093" t="s">
        <v>154</v>
      </c>
      <c r="D50" s="1094"/>
      <c r="E50" s="1095"/>
      <c r="F50" s="1096"/>
      <c r="G50" s="1096"/>
      <c r="H50" s="1096"/>
      <c r="I50" s="1096"/>
      <c r="J50" s="1096"/>
      <c r="K50" s="1097"/>
      <c r="L50" s="1098"/>
      <c r="M50" s="1099">
        <f>IF(M45&gt;$J$47,M45-M47,IF(M45&lt;$J$47,(IF(M45&lt;0,-7.353,M45-M47))))</f>
        <v>-7.3529999999999998</v>
      </c>
      <c r="N50" s="1095">
        <f>IF(N45&gt;$J$47,N45-N47,IF(N45&lt;$J$47,(IF(N45&lt;0,-7.353,N45-N47))))</f>
        <v>-7.3529999999999998</v>
      </c>
      <c r="O50" s="1095">
        <f t="shared" ref="O50:Q50" si="361">IF(O45&gt;$J$47,O45-O47,IF(O45&lt;$J$47,(IF(O45&lt;0,-7.353,O45-O47))))</f>
        <v>-7.3529999999999998</v>
      </c>
      <c r="P50" s="1095">
        <f t="shared" ref="P50" si="362">IF(P45&gt;$J$47,P45-P47,IF(P45&lt;$J$47,(IF(P45&lt;0,-7.353,P45-P47))))</f>
        <v>90.544999999999973</v>
      </c>
      <c r="Q50" s="1095">
        <f t="shared" si="361"/>
        <v>-7.3529999999999998</v>
      </c>
      <c r="R50" s="1095">
        <f t="shared" ref="R50" si="363">IF(R45&gt;$J$47,R45-R47,IF(R45&lt;$J$47,(IF(R45&lt;0,-7.353,R45-R47))))</f>
        <v>-7.3529999999999998</v>
      </c>
      <c r="S50" s="1100">
        <f t="shared" ref="S50" si="364">IF(S45&gt;$J$47,S45-S47,IF(S45&lt;$J$47,(IF(S45&lt;0,-7.353,S45-S47))))</f>
        <v>-7.3529999999999998</v>
      </c>
      <c r="T50" s="481"/>
      <c r="U50" s="1099">
        <f>SUM(M50:S50)</f>
        <v>46.426999999999971</v>
      </c>
      <c r="V50" s="1095"/>
      <c r="W50" s="1100"/>
      <c r="X50" s="481"/>
      <c r="Y50" s="1099">
        <f t="shared" ref="Y50:Z50" si="365">IF(Y45&gt;$J$47,Y45-Y47,IF(Y45&lt;$J$47,(IF(Y45&lt;0,-7.353,Y45-Y47))))</f>
        <v>-7.3529999999999998</v>
      </c>
      <c r="Z50" s="1096">
        <f t="shared" si="365"/>
        <v>-7.3529999999999998</v>
      </c>
      <c r="AA50" s="1096">
        <f t="shared" ref="AA50:AB50" si="366">IF(AA45&gt;$J$47,AA45-AA47,IF(AA45&lt;$J$47,(IF(AA45&lt;0,-7.353,AA45-AA47))))</f>
        <v>-7.3529999999999998</v>
      </c>
      <c r="AB50" s="1096">
        <f t="shared" si="366"/>
        <v>-7.3529999999999998</v>
      </c>
      <c r="AC50" s="1096">
        <f t="shared" ref="AC50:AD50" si="367">IF(AC45&gt;$J$47,AC45-AC47,IF(AC45&lt;$J$47,(IF(AC45&lt;0,-7.353,AC45-AC47))))</f>
        <v>-7.3529999999999998</v>
      </c>
      <c r="AD50" s="1096">
        <f t="shared" si="367"/>
        <v>-7.3529999999999998</v>
      </c>
      <c r="AE50" s="1100">
        <f t="shared" ref="AE50" si="368">IF(AE45&gt;$J$47,AE45-AE47,IF(AE45&lt;$J$47,(IF(AE45&lt;0,-7.353,AE45-AE47))))</f>
        <v>-7.3529999999999998</v>
      </c>
      <c r="AF50" s="481"/>
      <c r="AG50" s="1099">
        <f>SUM(Y50:AE50)</f>
        <v>-51.471000000000004</v>
      </c>
      <c r="AH50" s="1095"/>
      <c r="AI50" s="1100"/>
      <c r="AJ50" s="781"/>
      <c r="AK50" s="1099">
        <f t="shared" ref="AK50" si="369">IF(AK45&gt;$J$47,AK45-AK47,IF(AK45&lt;$J$47,(IF(AK45&lt;0,-7.353,AK45-AK47))))</f>
        <v>-7.3529999999999998</v>
      </c>
      <c r="AL50" s="1095">
        <f t="shared" ref="AL50:AM50" si="370">IF(AL45&gt;$J$47,AL45-AL47,IF(AL45&lt;$J$47,(IF(AL45&lt;0,-7.353,AL45-AL47))))</f>
        <v>-7.3529999999999998</v>
      </c>
      <c r="AM50" s="1095">
        <f t="shared" si="370"/>
        <v>-7.3529999999999998</v>
      </c>
      <c r="AN50" s="1095">
        <f t="shared" ref="AN50:AO50" si="371">IF(AN45&gt;$J$47,AN45-AN47,IF(AN45&lt;$J$47,(IF(AN45&lt;0,-7.353,AN45-AN47))))</f>
        <v>-7.3529999999999998</v>
      </c>
      <c r="AO50" s="1095">
        <f t="shared" si="371"/>
        <v>-7.3529999999999998</v>
      </c>
      <c r="AP50" s="1095">
        <f t="shared" ref="AP50:AQ50" si="372">IF(AP45&gt;$J$47,AP45-AP47,IF(AP45&lt;$J$47,(IF(AP45&lt;0,-7.353,AP45-AP47))))</f>
        <v>-7.3529999999999998</v>
      </c>
      <c r="AQ50" s="1095">
        <f t="shared" si="372"/>
        <v>-7.3529999999999998</v>
      </c>
      <c r="AR50" s="1101"/>
      <c r="AS50" s="1099">
        <f t="shared" si="352"/>
        <v>-51.471000000000004</v>
      </c>
      <c r="AT50" s="1095"/>
      <c r="AU50" s="1100"/>
      <c r="AV50" s="481"/>
      <c r="AW50" s="1099">
        <f t="shared" ref="AW50" si="373">IF(AW45&gt;$J$47,AW45-AW47,IF(AW45&lt;$J$47,(IF(AW45&lt;0,-7.353,AW45-AW47))))</f>
        <v>-7.3529999999999998</v>
      </c>
      <c r="AX50" s="1096">
        <f t="shared" ref="AX50:AY50" si="374">IF(AX45&gt;$J$47,AX45-AX47,IF(AX45&lt;$J$47,(IF(AX45&lt;0,-7.353,AX45-AX47))))</f>
        <v>-7.3529999999999998</v>
      </c>
      <c r="AY50" s="1096">
        <f t="shared" si="374"/>
        <v>-7.3529999999999998</v>
      </c>
      <c r="AZ50" s="1096">
        <f t="shared" ref="AZ50:BA50" si="375">IF(AZ45&gt;$J$47,AZ45-AZ47,IF(AZ45&lt;$J$47,(IF(AZ45&lt;0,-7.353,AZ45-AZ47))))</f>
        <v>-7.3529999999999998</v>
      </c>
      <c r="BA50" s="1096">
        <f t="shared" si="375"/>
        <v>-7.3529999999999998</v>
      </c>
      <c r="BB50" s="1096">
        <f t="shared" ref="BB50:BC50" si="376">IF(BB45&gt;$J$47,BB45-BB47,IF(BB45&lt;$J$47,(IF(BB45&lt;0,-7.353,BB45-BB47))))</f>
        <v>-7.3529999999999998</v>
      </c>
      <c r="BC50" s="1096">
        <f t="shared" si="376"/>
        <v>-7.3529999999999998</v>
      </c>
      <c r="BD50" s="481"/>
      <c r="BE50" s="1099">
        <f t="shared" si="354"/>
        <v>-51.471000000000004</v>
      </c>
      <c r="BF50" s="1095"/>
      <c r="BG50" s="1100"/>
      <c r="BI50" s="1099">
        <f t="shared" ref="BI50" si="377">IF(BI45&gt;$J$47,BI45-BI47,IF(BI45&lt;$J$47,(IF(BI45&lt;0,-7.353,BI45-BI47))))</f>
        <v>-7.3529999999999998</v>
      </c>
      <c r="BJ50" s="1095">
        <f t="shared" ref="BJ50" si="378">IF(BJ45&gt;$J$47,BJ45-BJ47,IF(BJ45&lt;$J$47,(IF(BJ45&lt;0,-7.353,BJ45-BJ47))))</f>
        <v>-7.3529999999999998</v>
      </c>
      <c r="BK50" s="1103"/>
      <c r="BL50" s="1104">
        <f>SUM(BI50:BJ50)</f>
        <v>-14.706</v>
      </c>
      <c r="BM50" s="1133"/>
      <c r="BN50" s="1132"/>
      <c r="BO50" s="14"/>
      <c r="BP50" s="1104">
        <f>SUM(M50:S50)+SUM(Y50:AE50)+SUM(AK50:AQ50)+SUM(AW50:BC50)+SUM(BI50:BJ50)</f>
        <v>-122.69200000000005</v>
      </c>
      <c r="BQ50" s="1105">
        <f>BP50/E47</f>
        <v>-0.55619171959219071</v>
      </c>
    </row>
    <row r="51" spans="2:74" s="426" customFormat="1" ht="15.75" thickBot="1" x14ac:dyDescent="0.25">
      <c r="B51" s="438"/>
      <c r="C51" s="438"/>
      <c r="D51" s="438"/>
      <c r="E51" s="479"/>
      <c r="F51" s="479"/>
      <c r="G51" s="479"/>
      <c r="H51" s="479"/>
      <c r="I51" s="479"/>
      <c r="J51" s="479"/>
      <c r="K51" s="1088"/>
      <c r="L51" s="987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79"/>
      <c r="AI51" s="479"/>
      <c r="AJ51" s="479"/>
      <c r="AK51" s="479"/>
      <c r="AL51" s="479"/>
      <c r="AM51" s="479"/>
      <c r="AN51" s="479"/>
      <c r="AO51" s="479"/>
      <c r="AP51" s="479"/>
      <c r="AQ51" s="479"/>
      <c r="AR51" s="479"/>
      <c r="AS51" s="479"/>
      <c r="AT51" s="479"/>
      <c r="AU51" s="479"/>
      <c r="AV51" s="479"/>
      <c r="AW51" s="479"/>
      <c r="AX51" s="479"/>
      <c r="AY51" s="479"/>
      <c r="AZ51" s="479"/>
      <c r="BA51" s="479"/>
      <c r="BB51" s="479"/>
      <c r="BC51" s="479"/>
      <c r="BD51" s="479"/>
      <c r="BE51" s="479"/>
      <c r="BF51" s="479"/>
      <c r="BG51" s="479"/>
      <c r="BH51" s="479"/>
      <c r="BI51" s="479"/>
      <c r="BJ51" s="479"/>
      <c r="BK51" s="479"/>
      <c r="BL51" s="479"/>
      <c r="BM51" s="479"/>
      <c r="BN51" s="479"/>
      <c r="BO51" s="479"/>
      <c r="BP51" s="479"/>
      <c r="BQ51" s="480"/>
    </row>
    <row r="52" spans="2:74" s="1353" customFormat="1" ht="15.75" thickBot="1" x14ac:dyDescent="0.25">
      <c r="B52" s="616"/>
      <c r="C52" s="1134" t="s">
        <v>97</v>
      </c>
      <c r="E52" s="933">
        <f>E31*100/30</f>
        <v>3684.69</v>
      </c>
      <c r="F52" s="645">
        <f t="shared" si="344"/>
        <v>368.46899999999999</v>
      </c>
      <c r="G52" s="648">
        <f t="shared" ref="G52:G54" si="379">E52/15</f>
        <v>245.64600000000002</v>
      </c>
      <c r="H52" s="652">
        <f>E52/20</f>
        <v>184.2345</v>
      </c>
      <c r="I52" s="656">
        <f t="shared" ref="I52:I54" si="380">E52/25</f>
        <v>147.38759999999999</v>
      </c>
      <c r="J52" s="660">
        <f>E52/30</f>
        <v>122.82300000000001</v>
      </c>
      <c r="K52" s="1135">
        <f>J52*30%</f>
        <v>36.846899999999998</v>
      </c>
      <c r="L52" s="1098"/>
      <c r="M52" s="623" t="str">
        <f t="shared" ref="M52:S52" si="381">IF(M33&gt;0,"0.000",M33)</f>
        <v>0.000</v>
      </c>
      <c r="N52" s="1136" t="str">
        <f t="shared" si="381"/>
        <v>0.000</v>
      </c>
      <c r="O52" s="1136" t="str">
        <f t="shared" si="381"/>
        <v>0.000</v>
      </c>
      <c r="P52" s="1136" t="str">
        <f t="shared" si="381"/>
        <v>0.000</v>
      </c>
      <c r="Q52" s="1136">
        <f t="shared" si="381"/>
        <v>-36.846899999999998</v>
      </c>
      <c r="R52" s="1136">
        <f t="shared" si="381"/>
        <v>-36.846899999999998</v>
      </c>
      <c r="S52" s="622">
        <f t="shared" si="381"/>
        <v>-36.846899999999998</v>
      </c>
      <c r="T52" s="14"/>
      <c r="U52" s="623">
        <f t="shared" si="10"/>
        <v>-110.54069999999999</v>
      </c>
      <c r="V52" s="1136">
        <f>U42+U52</f>
        <v>60.033600000000007</v>
      </c>
      <c r="W52" s="622"/>
      <c r="X52" s="14"/>
      <c r="Y52" s="623">
        <f t="shared" ref="Y52:AE52" si="382">IF(Y33&gt;0,"0.000",Y33)</f>
        <v>-4.5518999999999963</v>
      </c>
      <c r="Z52" s="1136">
        <f t="shared" si="382"/>
        <v>-15.411899999999999</v>
      </c>
      <c r="AA52" s="1136" t="str">
        <f t="shared" si="382"/>
        <v>0.000</v>
      </c>
      <c r="AB52" s="1136">
        <f t="shared" si="382"/>
        <v>-8.8868999999999971</v>
      </c>
      <c r="AC52" s="1136" t="str">
        <f t="shared" si="382"/>
        <v>0.000</v>
      </c>
      <c r="AD52" s="1136">
        <f t="shared" si="382"/>
        <v>-5.3918999999999997</v>
      </c>
      <c r="AE52" s="622">
        <f t="shared" si="382"/>
        <v>-11.301899999999996</v>
      </c>
      <c r="AF52" s="14"/>
      <c r="AG52" s="623">
        <f t="shared" ref="AG52:AG55" si="383">SUM(Y52:AE52)</f>
        <v>-45.544499999999992</v>
      </c>
      <c r="AH52" s="1136">
        <f>AG42+AG52</f>
        <v>-25.403299999999987</v>
      </c>
      <c r="AI52" s="622"/>
      <c r="AJ52" s="14"/>
      <c r="AK52" s="623" t="str">
        <f t="shared" ref="AK52:AQ52" si="384">IF(AK33&gt;0,"0.000",AK33)</f>
        <v>0.000</v>
      </c>
      <c r="AL52" s="1136" t="str">
        <f t="shared" si="384"/>
        <v>0.000</v>
      </c>
      <c r="AM52" s="1136">
        <f t="shared" si="384"/>
        <v>-2.4669000000000025</v>
      </c>
      <c r="AN52" s="1136" t="str">
        <f t="shared" si="384"/>
        <v>0.000</v>
      </c>
      <c r="AO52" s="1136" t="str">
        <f t="shared" si="384"/>
        <v>0.000</v>
      </c>
      <c r="AP52" s="1136" t="str">
        <f t="shared" si="384"/>
        <v>0.000</v>
      </c>
      <c r="AQ52" s="622">
        <f t="shared" si="384"/>
        <v>-20.211899999999996</v>
      </c>
      <c r="AR52" s="14"/>
      <c r="AS52" s="623">
        <f t="shared" ref="AS52:AS55" si="385">SUM(AK52:AQ52)</f>
        <v>-22.678799999999999</v>
      </c>
      <c r="AT52" s="1136">
        <f>AS42+AS52</f>
        <v>48.056699999999992</v>
      </c>
      <c r="AU52" s="622"/>
      <c r="AV52" s="14"/>
      <c r="AW52" s="623">
        <f t="shared" ref="AW52:BC52" si="386">IF(AW33&gt;0,"0.000",AW33)</f>
        <v>-0.84689999999999799</v>
      </c>
      <c r="AX52" s="1136" t="str">
        <f t="shared" si="386"/>
        <v>0.000</v>
      </c>
      <c r="AY52" s="1136">
        <f t="shared" si="386"/>
        <v>-6.4419000000000004</v>
      </c>
      <c r="AZ52" s="1136" t="str">
        <f t="shared" si="386"/>
        <v>0.000</v>
      </c>
      <c r="BA52" s="1136" t="str">
        <f t="shared" si="386"/>
        <v>0.000</v>
      </c>
      <c r="BB52" s="1136">
        <f t="shared" si="386"/>
        <v>-2.1668999999999983</v>
      </c>
      <c r="BC52" s="622">
        <f t="shared" si="386"/>
        <v>-21.471899999999998</v>
      </c>
      <c r="BD52" s="14"/>
      <c r="BE52" s="623">
        <f t="shared" ref="BE52:BE55" si="387">SUM(AW52:BC52)</f>
        <v>-30.927599999999995</v>
      </c>
      <c r="BF52" s="1136"/>
      <c r="BG52" s="622"/>
      <c r="BH52" s="14"/>
      <c r="BI52" s="623">
        <f>IF(BI33&gt;0,"0.000",BI33)</f>
        <v>-3.6668999999999983</v>
      </c>
      <c r="BJ52" s="1130" t="str">
        <f>IF(BJ33&gt;0,"0.000",BJ33)</f>
        <v>0.000</v>
      </c>
      <c r="BK52" s="14"/>
      <c r="BL52" s="623">
        <f>SUM(BI52:BJ52)</f>
        <v>-3.6668999999999983</v>
      </c>
      <c r="BM52" s="1136"/>
      <c r="BN52" s="622"/>
      <c r="BO52" s="1351"/>
      <c r="BP52" s="623">
        <f>SUM(M52:S52)+SUM(Y52:AE52)+SUM(AK52:AQ52)+SUM(AW52:BC52)+SUM(BI52:BJ52)</f>
        <v>-213.35849999999996</v>
      </c>
      <c r="BQ52" s="622"/>
      <c r="BR52" s="1351"/>
      <c r="BS52" s="511">
        <f>BS42+BP52</f>
        <v>82.069900000000047</v>
      </c>
      <c r="BT52" s="29"/>
      <c r="BU52" s="29"/>
    </row>
    <row r="53" spans="2:74" s="255" customFormat="1" ht="15.75" thickBot="1" x14ac:dyDescent="0.25">
      <c r="B53" s="585"/>
      <c r="C53" s="985" t="s">
        <v>97</v>
      </c>
      <c r="D53" s="81"/>
      <c r="E53" s="925">
        <f>E44</f>
        <v>5580</v>
      </c>
      <c r="F53" s="97">
        <f t="shared" si="344"/>
        <v>558</v>
      </c>
      <c r="G53" s="649">
        <f t="shared" si="379"/>
        <v>372</v>
      </c>
      <c r="H53" s="653">
        <f t="shared" ref="H53:H54" si="388">E53/20</f>
        <v>279</v>
      </c>
      <c r="I53" s="657">
        <f t="shared" si="380"/>
        <v>223.2</v>
      </c>
      <c r="J53" s="661">
        <f>E53/30</f>
        <v>186</v>
      </c>
      <c r="K53" s="986">
        <f>J53*30%</f>
        <v>55.8</v>
      </c>
      <c r="L53" s="987"/>
      <c r="M53" s="911">
        <f t="shared" ref="M53:S53" si="389">IF(M45&gt;0,"0.000",M45)</f>
        <v>-25.251900000000006</v>
      </c>
      <c r="N53" s="40">
        <f t="shared" si="389"/>
        <v>-26.646900000000002</v>
      </c>
      <c r="O53" s="40">
        <f t="shared" si="389"/>
        <v>-0.72690000000001476</v>
      </c>
      <c r="P53" s="40" t="str">
        <f t="shared" si="389"/>
        <v>0.000</v>
      </c>
      <c r="Q53" s="40">
        <f t="shared" si="389"/>
        <v>-55.8</v>
      </c>
      <c r="R53" s="40">
        <f t="shared" si="389"/>
        <v>-55.8</v>
      </c>
      <c r="S53" s="586">
        <f t="shared" si="389"/>
        <v>-55.8</v>
      </c>
      <c r="T53" s="1361"/>
      <c r="U53" s="911">
        <f t="shared" si="10"/>
        <v>-220.02570000000003</v>
      </c>
      <c r="V53" s="40"/>
      <c r="W53" s="586"/>
      <c r="X53" s="1361"/>
      <c r="Y53" s="911">
        <f t="shared" ref="Y53:AE53" si="390">IF(Y45&gt;0,"0.000",Y45)</f>
        <v>-55.8</v>
      </c>
      <c r="Z53" s="40">
        <f t="shared" si="390"/>
        <v>-55.8</v>
      </c>
      <c r="AA53" s="40">
        <f t="shared" si="390"/>
        <v>-44.796900000000001</v>
      </c>
      <c r="AB53" s="40">
        <f t="shared" si="390"/>
        <v>-55.8</v>
      </c>
      <c r="AC53" s="40">
        <f t="shared" si="390"/>
        <v>-46.661900000000003</v>
      </c>
      <c r="AD53" s="40">
        <f t="shared" si="390"/>
        <v>-55.8</v>
      </c>
      <c r="AE53" s="586">
        <f t="shared" si="390"/>
        <v>-55.8</v>
      </c>
      <c r="AF53" s="1361"/>
      <c r="AG53" s="911">
        <f t="shared" si="383"/>
        <v>-370.4588</v>
      </c>
      <c r="AH53" s="40"/>
      <c r="AI53" s="586"/>
      <c r="AJ53" s="1361"/>
      <c r="AK53" s="911">
        <f t="shared" ref="AK53:AQ53" si="391">IF(AK45&gt;0,"0.000",AK45)</f>
        <v>-51.336900000000007</v>
      </c>
      <c r="AL53" s="40">
        <f t="shared" si="391"/>
        <v>-38.916900000000005</v>
      </c>
      <c r="AM53" s="40">
        <f t="shared" si="391"/>
        <v>-55.8</v>
      </c>
      <c r="AN53" s="40">
        <f t="shared" si="391"/>
        <v>-38.526900000000005</v>
      </c>
      <c r="AO53" s="40">
        <f t="shared" si="391"/>
        <v>-25.596900000000005</v>
      </c>
      <c r="AP53" s="40">
        <f t="shared" si="391"/>
        <v>-53.886900000000004</v>
      </c>
      <c r="AQ53" s="586">
        <f t="shared" si="391"/>
        <v>-55.8</v>
      </c>
      <c r="AR53" s="1361"/>
      <c r="AS53" s="911">
        <f t="shared" si="385"/>
        <v>-319.86450000000008</v>
      </c>
      <c r="AT53" s="40"/>
      <c r="AU53" s="586"/>
      <c r="AV53" s="1361"/>
      <c r="AW53" s="911">
        <f t="shared" ref="AW53:BC53" si="392">IF(AW45&gt;0,"0.000",AW45)</f>
        <v>-55.8</v>
      </c>
      <c r="AX53" s="40">
        <f t="shared" si="392"/>
        <v>-54.021900000000002</v>
      </c>
      <c r="AY53" s="40">
        <f t="shared" si="392"/>
        <v>-55.8</v>
      </c>
      <c r="AZ53" s="40">
        <f t="shared" si="392"/>
        <v>-54.696900000000007</v>
      </c>
      <c r="BA53" s="40">
        <f t="shared" si="392"/>
        <v>-42.606900000000003</v>
      </c>
      <c r="BB53" s="40">
        <f t="shared" si="392"/>
        <v>-55.8</v>
      </c>
      <c r="BC53" s="586">
        <f t="shared" si="392"/>
        <v>-55.8</v>
      </c>
      <c r="BD53" s="1361"/>
      <c r="BE53" s="911">
        <f t="shared" si="387"/>
        <v>-374.52570000000003</v>
      </c>
      <c r="BF53" s="40"/>
      <c r="BG53" s="586"/>
      <c r="BH53" s="1361"/>
      <c r="BI53" s="911">
        <f>IF(BI45&gt;0,"0.000",BI45)</f>
        <v>-55.8</v>
      </c>
      <c r="BJ53" s="1349">
        <f>IF(BJ45&gt;0,"0.000",BJ45)</f>
        <v>-37.896900000000002</v>
      </c>
      <c r="BK53" s="1361"/>
      <c r="BL53" s="911">
        <f>SUM(BI53:BJ53)</f>
        <v>-93.696899999999999</v>
      </c>
      <c r="BM53" s="40"/>
      <c r="BN53" s="586"/>
      <c r="BP53" s="587">
        <f>SUM(M53:S53)+SUM(Y53:AE53)+SUM(AK53:AQ53)+SUM(AW53:BC53)+SUM(BI53:BJ53)</f>
        <v>-1378.5716000000002</v>
      </c>
      <c r="BQ53" s="586"/>
      <c r="BS53" s="742">
        <f>BS3*50%</f>
        <v>2130.625</v>
      </c>
      <c r="BT53" s="743">
        <f>BS53-E31</f>
        <v>1025.2180000000001</v>
      </c>
      <c r="BU53" s="744">
        <f>BT53+BP53</f>
        <v>-353.35360000000014</v>
      </c>
    </row>
    <row r="54" spans="2:74" x14ac:dyDescent="0.2">
      <c r="B54" s="1137"/>
      <c r="C54" s="1138" t="s">
        <v>75</v>
      </c>
      <c r="E54" s="927">
        <f>E47*100/30</f>
        <v>735.30999999999949</v>
      </c>
      <c r="F54" s="99">
        <f t="shared" si="344"/>
        <v>73.530999999999949</v>
      </c>
      <c r="G54" s="1139">
        <f t="shared" si="379"/>
        <v>49.020666666666635</v>
      </c>
      <c r="H54" s="1140">
        <f t="shared" si="388"/>
        <v>36.765499999999975</v>
      </c>
      <c r="I54" s="1141">
        <f t="shared" si="380"/>
        <v>29.41239999999998</v>
      </c>
      <c r="J54" s="1142">
        <f>E54/30</f>
        <v>24.510333333333318</v>
      </c>
      <c r="K54" s="497">
        <f>J54*30%</f>
        <v>7.3530999999999951</v>
      </c>
      <c r="L54" s="1098"/>
      <c r="M54" s="937">
        <f t="shared" ref="M54:S54" si="393">IF(M50&gt;0,"0.000",M50)</f>
        <v>-7.3529999999999998</v>
      </c>
      <c r="N54" s="5">
        <f t="shared" si="393"/>
        <v>-7.3529999999999998</v>
      </c>
      <c r="O54" s="5">
        <f t="shared" si="393"/>
        <v>-7.3529999999999998</v>
      </c>
      <c r="P54" s="5" t="str">
        <f t="shared" si="393"/>
        <v>0.000</v>
      </c>
      <c r="Q54" s="5">
        <f t="shared" si="393"/>
        <v>-7.3529999999999998</v>
      </c>
      <c r="R54" s="5">
        <f t="shared" si="393"/>
        <v>-7.3529999999999998</v>
      </c>
      <c r="S54" s="1143">
        <f t="shared" si="393"/>
        <v>-7.3529999999999998</v>
      </c>
      <c r="T54" s="14"/>
      <c r="U54" s="937">
        <f t="shared" si="10"/>
        <v>-44.118000000000002</v>
      </c>
      <c r="V54" s="5"/>
      <c r="W54" s="1143"/>
      <c r="X54" s="14"/>
      <c r="Y54" s="937">
        <f t="shared" ref="Y54:AE54" si="394">IF(Y50&gt;0,"0.000",Y50)</f>
        <v>-7.3529999999999998</v>
      </c>
      <c r="Z54" s="5">
        <f t="shared" si="394"/>
        <v>-7.3529999999999998</v>
      </c>
      <c r="AA54" s="5">
        <f t="shared" si="394"/>
        <v>-7.3529999999999998</v>
      </c>
      <c r="AB54" s="5">
        <f t="shared" si="394"/>
        <v>-7.3529999999999998</v>
      </c>
      <c r="AC54" s="5">
        <f t="shared" si="394"/>
        <v>-7.3529999999999998</v>
      </c>
      <c r="AD54" s="5">
        <f t="shared" si="394"/>
        <v>-7.3529999999999998</v>
      </c>
      <c r="AE54" s="1143">
        <f t="shared" si="394"/>
        <v>-7.3529999999999998</v>
      </c>
      <c r="AF54" s="14"/>
      <c r="AG54" s="937">
        <f t="shared" si="383"/>
        <v>-51.471000000000004</v>
      </c>
      <c r="AH54" s="5"/>
      <c r="AI54" s="1143"/>
      <c r="AJ54" s="14"/>
      <c r="AK54" s="937">
        <f t="shared" ref="AK54:AQ54" si="395">IF(AK50&gt;0,"0.000",AK50)</f>
        <v>-7.3529999999999998</v>
      </c>
      <c r="AL54" s="5">
        <f t="shared" si="395"/>
        <v>-7.3529999999999998</v>
      </c>
      <c r="AM54" s="5">
        <f t="shared" si="395"/>
        <v>-7.3529999999999998</v>
      </c>
      <c r="AN54" s="5">
        <f t="shared" si="395"/>
        <v>-7.3529999999999998</v>
      </c>
      <c r="AO54" s="5">
        <f t="shared" si="395"/>
        <v>-7.3529999999999998</v>
      </c>
      <c r="AP54" s="5">
        <f t="shared" si="395"/>
        <v>-7.3529999999999998</v>
      </c>
      <c r="AQ54" s="1143">
        <f t="shared" si="395"/>
        <v>-7.3529999999999998</v>
      </c>
      <c r="AR54" s="14"/>
      <c r="AS54" s="937">
        <f t="shared" si="385"/>
        <v>-51.471000000000004</v>
      </c>
      <c r="AT54" s="5"/>
      <c r="AU54" s="1143"/>
      <c r="AV54" s="14"/>
      <c r="AW54" s="937">
        <f t="shared" ref="AW54:BC54" si="396">IF(AW50&gt;0,"0.000",AW50)</f>
        <v>-7.3529999999999998</v>
      </c>
      <c r="AX54" s="5">
        <f t="shared" si="396"/>
        <v>-7.3529999999999998</v>
      </c>
      <c r="AY54" s="5">
        <f t="shared" si="396"/>
        <v>-7.3529999999999998</v>
      </c>
      <c r="AZ54" s="5">
        <f t="shared" si="396"/>
        <v>-7.3529999999999998</v>
      </c>
      <c r="BA54" s="5">
        <f t="shared" si="396"/>
        <v>-7.3529999999999998</v>
      </c>
      <c r="BB54" s="5">
        <f t="shared" si="396"/>
        <v>-7.3529999999999998</v>
      </c>
      <c r="BC54" s="1143">
        <f t="shared" si="396"/>
        <v>-7.3529999999999998</v>
      </c>
      <c r="BD54" s="14"/>
      <c r="BE54" s="937">
        <f t="shared" si="387"/>
        <v>-51.471000000000004</v>
      </c>
      <c r="BF54" s="5"/>
      <c r="BG54" s="1143"/>
      <c r="BH54" s="14"/>
      <c r="BI54" s="937">
        <f>IF(BI50&gt;0,"0.000",BI50)</f>
        <v>-7.3529999999999998</v>
      </c>
      <c r="BJ54" s="1348">
        <f>IF(BJ50&gt;0,"0.000",BJ50)</f>
        <v>-7.3529999999999998</v>
      </c>
      <c r="BK54" s="14"/>
      <c r="BL54" s="937">
        <f>SUM(BI54:BJ54)</f>
        <v>-14.706</v>
      </c>
      <c r="BM54" s="5"/>
      <c r="BN54" s="1143"/>
      <c r="BP54" s="937">
        <f>SUM(M54:S54)+SUM(Y54:AE54)+SUM(AK54:AQ54)+SUM(AW54:BC54)+SUM(BI54:BJ54)</f>
        <v>-213.23699999999999</v>
      </c>
      <c r="BQ54" s="1143"/>
      <c r="BS54" s="14"/>
      <c r="BT54" s="182"/>
      <c r="BU54" s="182"/>
    </row>
    <row r="55" spans="2:74" s="255" customFormat="1" ht="15.75" thickBot="1" x14ac:dyDescent="0.25">
      <c r="B55" s="1001"/>
      <c r="C55" s="1002" t="s">
        <v>152</v>
      </c>
      <c r="D55" s="81"/>
      <c r="E55" s="468"/>
      <c r="F55" s="1003"/>
      <c r="G55" s="1004"/>
      <c r="H55" s="1005"/>
      <c r="I55" s="1006"/>
      <c r="J55" s="1007"/>
      <c r="K55" s="498"/>
      <c r="L55" s="987"/>
      <c r="M55" s="957" t="str">
        <f t="shared" ref="M55:S55" si="397">IF(M50&lt;0,"0.000",M50)</f>
        <v>0.000</v>
      </c>
      <c r="N55" s="1008" t="str">
        <f t="shared" si="397"/>
        <v>0.000</v>
      </c>
      <c r="O55" s="1008" t="str">
        <f t="shared" si="397"/>
        <v>0.000</v>
      </c>
      <c r="P55" s="1008">
        <f t="shared" si="397"/>
        <v>90.544999999999973</v>
      </c>
      <c r="Q55" s="1008" t="str">
        <f t="shared" si="397"/>
        <v>0.000</v>
      </c>
      <c r="R55" s="1008" t="str">
        <f t="shared" si="397"/>
        <v>0.000</v>
      </c>
      <c r="S55" s="1009" t="str">
        <f t="shared" si="397"/>
        <v>0.000</v>
      </c>
      <c r="T55" s="1361"/>
      <c r="U55" s="957">
        <f t="shared" si="10"/>
        <v>90.544999999999973</v>
      </c>
      <c r="V55" s="1008"/>
      <c r="W55" s="1009"/>
      <c r="X55" s="1361"/>
      <c r="Y55" s="957" t="str">
        <f t="shared" ref="Y55:AE55" si="398">IF(Y50&lt;0,"0.000",Y50)</f>
        <v>0.000</v>
      </c>
      <c r="Z55" s="1008" t="str">
        <f t="shared" si="398"/>
        <v>0.000</v>
      </c>
      <c r="AA55" s="1008" t="str">
        <f t="shared" si="398"/>
        <v>0.000</v>
      </c>
      <c r="AB55" s="1008" t="str">
        <f t="shared" si="398"/>
        <v>0.000</v>
      </c>
      <c r="AC55" s="1008" t="str">
        <f t="shared" si="398"/>
        <v>0.000</v>
      </c>
      <c r="AD55" s="1008" t="str">
        <f t="shared" si="398"/>
        <v>0.000</v>
      </c>
      <c r="AE55" s="1009" t="str">
        <f t="shared" si="398"/>
        <v>0.000</v>
      </c>
      <c r="AF55" s="1361"/>
      <c r="AG55" s="957">
        <f t="shared" si="383"/>
        <v>0</v>
      </c>
      <c r="AH55" s="1008"/>
      <c r="AI55" s="1009"/>
      <c r="AJ55" s="1361"/>
      <c r="AK55" s="957" t="str">
        <f t="shared" ref="AK55:AQ55" si="399">IF(AK50&lt;0,"0.000",AK50)</f>
        <v>0.000</v>
      </c>
      <c r="AL55" s="1008" t="str">
        <f t="shared" si="399"/>
        <v>0.000</v>
      </c>
      <c r="AM55" s="1008" t="str">
        <f t="shared" si="399"/>
        <v>0.000</v>
      </c>
      <c r="AN55" s="1008" t="str">
        <f t="shared" si="399"/>
        <v>0.000</v>
      </c>
      <c r="AO55" s="1008" t="str">
        <f t="shared" si="399"/>
        <v>0.000</v>
      </c>
      <c r="AP55" s="1008" t="str">
        <f t="shared" si="399"/>
        <v>0.000</v>
      </c>
      <c r="AQ55" s="1009" t="str">
        <f t="shared" si="399"/>
        <v>0.000</v>
      </c>
      <c r="AR55" s="1361"/>
      <c r="AS55" s="957">
        <f t="shared" si="385"/>
        <v>0</v>
      </c>
      <c r="AT55" s="1008"/>
      <c r="AU55" s="1009"/>
      <c r="AV55" s="1361"/>
      <c r="AW55" s="957" t="str">
        <f t="shared" ref="AW55:BC55" si="400">IF(AW50&lt;0,"0.000",AW50)</f>
        <v>0.000</v>
      </c>
      <c r="AX55" s="1008" t="str">
        <f t="shared" si="400"/>
        <v>0.000</v>
      </c>
      <c r="AY55" s="1008" t="str">
        <f t="shared" si="400"/>
        <v>0.000</v>
      </c>
      <c r="AZ55" s="1008" t="str">
        <f t="shared" si="400"/>
        <v>0.000</v>
      </c>
      <c r="BA55" s="1008" t="str">
        <f t="shared" si="400"/>
        <v>0.000</v>
      </c>
      <c r="BB55" s="1008" t="str">
        <f t="shared" si="400"/>
        <v>0.000</v>
      </c>
      <c r="BC55" s="1009" t="str">
        <f t="shared" si="400"/>
        <v>0.000</v>
      </c>
      <c r="BD55" s="1361"/>
      <c r="BE55" s="957">
        <f t="shared" si="387"/>
        <v>0</v>
      </c>
      <c r="BF55" s="1008"/>
      <c r="BG55" s="1009"/>
      <c r="BH55" s="1361"/>
      <c r="BI55" s="957" t="str">
        <f>IF(BI50&lt;0,"0.000",BI50)</f>
        <v>0.000</v>
      </c>
      <c r="BJ55" s="958" t="str">
        <f>IF(BJ50&lt;0,"0.000",BJ50)</f>
        <v>0.000</v>
      </c>
      <c r="BK55" s="1361"/>
      <c r="BL55" s="957">
        <f>SUM(BI55:BJ55)</f>
        <v>0</v>
      </c>
      <c r="BM55" s="1008"/>
      <c r="BN55" s="1009"/>
      <c r="BP55" s="957">
        <f>SUM(M55:S55)+SUM(Y55:AE55)+SUM(AK55:AQ55)+SUM(AW55:BC55)+SUM(BI55:BJ55)</f>
        <v>90.544999999999973</v>
      </c>
      <c r="BQ55" s="1009"/>
      <c r="BS55" s="1361"/>
      <c r="BT55" s="975"/>
      <c r="BU55" s="975"/>
    </row>
    <row r="56" spans="2:74" s="255" customFormat="1" ht="4.5" customHeight="1" thickBot="1" x14ac:dyDescent="0.25">
      <c r="D56" s="81"/>
      <c r="K56" s="1091"/>
      <c r="L56" s="62"/>
      <c r="T56" s="81"/>
      <c r="X56" s="81"/>
      <c r="AF56" s="81"/>
      <c r="AJ56" s="81"/>
      <c r="AR56" s="81"/>
      <c r="AV56" s="81"/>
      <c r="BD56" s="81"/>
    </row>
    <row r="57" spans="2:74" ht="15.75" thickBot="1" x14ac:dyDescent="0.25">
      <c r="B57" s="1092"/>
      <c r="C57" s="1093"/>
      <c r="D57" s="1094"/>
      <c r="E57" s="1095">
        <f>SUM(E52:E55)</f>
        <v>10000</v>
      </c>
      <c r="F57" s="1096"/>
      <c r="G57" s="1096"/>
      <c r="H57" s="1096"/>
      <c r="I57" s="1096"/>
      <c r="J57" s="1096">
        <f>E57/30</f>
        <v>333.33333333333331</v>
      </c>
      <c r="K57" s="1097">
        <f>J57*30%</f>
        <v>99.999999999999986</v>
      </c>
      <c r="L57" s="1098"/>
      <c r="M57" s="1099">
        <f>SUM(M52:M55)</f>
        <v>-32.604900000000008</v>
      </c>
      <c r="N57" s="1095">
        <f t="shared" ref="N57:S57" si="401">SUM(N52:N55)</f>
        <v>-33.999900000000004</v>
      </c>
      <c r="O57" s="1095">
        <f t="shared" si="401"/>
        <v>-8.0799000000000145</v>
      </c>
      <c r="P57" s="1095">
        <f t="shared" si="401"/>
        <v>90.544999999999973</v>
      </c>
      <c r="Q57" s="1095">
        <f t="shared" si="401"/>
        <v>-99.999899999999982</v>
      </c>
      <c r="R57" s="1095">
        <f t="shared" si="401"/>
        <v>-99.999899999999982</v>
      </c>
      <c r="S57" s="1100">
        <f t="shared" si="401"/>
        <v>-99.999899999999982</v>
      </c>
      <c r="T57" s="481"/>
      <c r="U57" s="1099">
        <f>SUM(M57:S57)</f>
        <v>-284.13939999999997</v>
      </c>
      <c r="V57" s="1095"/>
      <c r="W57" s="1100"/>
      <c r="X57" s="481"/>
      <c r="Y57" s="1099">
        <f t="shared" ref="Y57:AE57" si="402">SUM(Y52:Y55)</f>
        <v>-67.704899999999995</v>
      </c>
      <c r="Z57" s="1095">
        <f t="shared" si="402"/>
        <v>-78.564899999999994</v>
      </c>
      <c r="AA57" s="1095">
        <f t="shared" si="402"/>
        <v>-52.149900000000002</v>
      </c>
      <c r="AB57" s="1095">
        <f t="shared" si="402"/>
        <v>-72.039899999999989</v>
      </c>
      <c r="AC57" s="1095">
        <f t="shared" si="402"/>
        <v>-54.014900000000004</v>
      </c>
      <c r="AD57" s="1095">
        <f t="shared" si="402"/>
        <v>-68.544899999999998</v>
      </c>
      <c r="AE57" s="1100">
        <f t="shared" si="402"/>
        <v>-74.454899999999995</v>
      </c>
      <c r="AF57" s="481"/>
      <c r="AG57" s="1099">
        <f>SUM(Y57:AE57)</f>
        <v>-467.47429999999997</v>
      </c>
      <c r="AH57" s="1095"/>
      <c r="AI57" s="1100"/>
      <c r="AJ57" s="781"/>
      <c r="AK57" s="1099">
        <f t="shared" ref="AK57:AQ57" si="403">SUM(AK52:AK55)</f>
        <v>-58.689900000000009</v>
      </c>
      <c r="AL57" s="1096">
        <f t="shared" si="403"/>
        <v>-46.269900000000007</v>
      </c>
      <c r="AM57" s="1096">
        <f t="shared" si="403"/>
        <v>-65.619900000000001</v>
      </c>
      <c r="AN57" s="1096">
        <f t="shared" si="403"/>
        <v>-45.879900000000006</v>
      </c>
      <c r="AO57" s="1096">
        <f t="shared" si="403"/>
        <v>-32.949900000000007</v>
      </c>
      <c r="AP57" s="1096">
        <f t="shared" si="403"/>
        <v>-61.239900000000006</v>
      </c>
      <c r="AQ57" s="1100">
        <f t="shared" si="403"/>
        <v>-83.364899999999992</v>
      </c>
      <c r="AR57" s="1101"/>
      <c r="AS57" s="1099">
        <f>SUM(AK57:AQ57)</f>
        <v>-394.01429999999999</v>
      </c>
      <c r="AT57" s="1095"/>
      <c r="AU57" s="1100"/>
      <c r="AV57" s="481"/>
      <c r="AW57" s="1099">
        <f t="shared" ref="AW57:BC57" si="404">SUM(AW52:AW55)</f>
        <v>-63.999899999999997</v>
      </c>
      <c r="AX57" s="1096">
        <f t="shared" si="404"/>
        <v>-61.374900000000004</v>
      </c>
      <c r="AY57" s="1096">
        <f t="shared" si="404"/>
        <v>-69.594899999999996</v>
      </c>
      <c r="AZ57" s="1096">
        <f t="shared" si="404"/>
        <v>-62.049900000000008</v>
      </c>
      <c r="BA57" s="1096">
        <f t="shared" si="404"/>
        <v>-49.959900000000005</v>
      </c>
      <c r="BB57" s="1096">
        <f t="shared" si="404"/>
        <v>-65.31989999999999</v>
      </c>
      <c r="BC57" s="1100">
        <f t="shared" si="404"/>
        <v>-84.624899999999982</v>
      </c>
      <c r="BD57" s="481"/>
      <c r="BE57" s="1099">
        <f>SUM(AW57:BC57)</f>
        <v>-456.92429999999996</v>
      </c>
      <c r="BF57" s="1095"/>
      <c r="BG57" s="1100"/>
      <c r="BI57" s="1099">
        <f t="shared" ref="BI57:BJ57" si="405">SUM(BI52:BI55)</f>
        <v>-66.81989999999999</v>
      </c>
      <c r="BJ57" s="1095">
        <f t="shared" si="405"/>
        <v>-45.249900000000004</v>
      </c>
      <c r="BK57" s="1103"/>
      <c r="BL57" s="1104">
        <f>SUM(BI57:BJ57)</f>
        <v>-112.06979999999999</v>
      </c>
      <c r="BM57" s="1133"/>
      <c r="BN57" s="1132"/>
      <c r="BO57" s="14"/>
      <c r="BP57" s="1104">
        <f>SUM(M57:S57)+SUM(Y57:AE57)+SUM(AK57:AQ57)+SUM(AW57:BC57)+SUM(BI57:BJ57)</f>
        <v>-1714.6220999999998</v>
      </c>
      <c r="BQ57" s="1105"/>
    </row>
    <row r="58" spans="2:74" s="255" customFormat="1" ht="4.5" customHeight="1" thickBot="1" x14ac:dyDescent="0.25">
      <c r="D58" s="81"/>
      <c r="L58" s="438"/>
      <c r="T58" s="81"/>
      <c r="X58" s="81"/>
      <c r="AF58" s="81"/>
      <c r="AJ58" s="81"/>
      <c r="AR58" s="81"/>
      <c r="AV58" s="81"/>
      <c r="BD58" s="81"/>
    </row>
    <row r="59" spans="2:74" s="255" customFormat="1" ht="15.75" thickBot="1" x14ac:dyDescent="0.25">
      <c r="B59" s="574"/>
      <c r="C59" s="820"/>
      <c r="D59" s="819"/>
      <c r="E59" s="578">
        <f>E57*30%</f>
        <v>3000</v>
      </c>
      <c r="F59" s="576"/>
      <c r="G59" s="576"/>
      <c r="H59" s="576"/>
      <c r="I59" s="576"/>
      <c r="J59" s="576"/>
      <c r="K59" s="963"/>
      <c r="L59" s="987"/>
      <c r="M59" s="579">
        <f>M57*100/30</f>
        <v>-108.68300000000002</v>
      </c>
      <c r="N59" s="578">
        <f t="shared" ref="N59:T59" si="406">N57*100/30</f>
        <v>-113.33300000000001</v>
      </c>
      <c r="O59" s="578">
        <f t="shared" si="406"/>
        <v>-26.93300000000005</v>
      </c>
      <c r="P59" s="578">
        <f t="shared" si="406"/>
        <v>301.81666666666661</v>
      </c>
      <c r="Q59" s="578">
        <f t="shared" si="406"/>
        <v>-333.33299999999991</v>
      </c>
      <c r="R59" s="578">
        <f t="shared" si="406"/>
        <v>-333.33299999999991</v>
      </c>
      <c r="S59" s="1010">
        <f t="shared" si="406"/>
        <v>-333.33299999999991</v>
      </c>
      <c r="T59" s="969">
        <f t="shared" si="406"/>
        <v>0</v>
      </c>
      <c r="U59" s="579">
        <f>SUM(M59:S59)</f>
        <v>-947.13133333333326</v>
      </c>
      <c r="V59" s="578"/>
      <c r="W59" s="788"/>
      <c r="X59" s="479"/>
      <c r="Y59" s="579">
        <f t="shared" ref="Y59:AE59" si="407">Y57*100/30</f>
        <v>-225.68299999999999</v>
      </c>
      <c r="Z59" s="578">
        <f t="shared" si="407"/>
        <v>-261.88299999999998</v>
      </c>
      <c r="AA59" s="578">
        <f t="shared" si="407"/>
        <v>-173.833</v>
      </c>
      <c r="AB59" s="578">
        <f t="shared" si="407"/>
        <v>-240.13299999999995</v>
      </c>
      <c r="AC59" s="578">
        <f t="shared" si="407"/>
        <v>-180.0496666666667</v>
      </c>
      <c r="AD59" s="578">
        <f t="shared" si="407"/>
        <v>-228.483</v>
      </c>
      <c r="AE59" s="788">
        <f t="shared" si="407"/>
        <v>-248.18299999999999</v>
      </c>
      <c r="AF59" s="479"/>
      <c r="AG59" s="579">
        <f>SUM(Y59:AE59)</f>
        <v>-1558.2476666666666</v>
      </c>
      <c r="AH59" s="578"/>
      <c r="AI59" s="788"/>
      <c r="AJ59" s="779"/>
      <c r="AK59" s="579">
        <f t="shared" ref="AK59:AQ59" si="408">AK57*100/30</f>
        <v>-195.63300000000001</v>
      </c>
      <c r="AL59" s="576">
        <f t="shared" si="408"/>
        <v>-154.23300000000003</v>
      </c>
      <c r="AM59" s="576">
        <f t="shared" si="408"/>
        <v>-218.733</v>
      </c>
      <c r="AN59" s="576">
        <f t="shared" si="408"/>
        <v>-152.93300000000002</v>
      </c>
      <c r="AO59" s="576">
        <f t="shared" si="408"/>
        <v>-109.83300000000003</v>
      </c>
      <c r="AP59" s="576">
        <f t="shared" si="408"/>
        <v>-204.13300000000001</v>
      </c>
      <c r="AQ59" s="788">
        <f t="shared" si="408"/>
        <v>-277.88299999999998</v>
      </c>
      <c r="AR59" s="969"/>
      <c r="AS59" s="579">
        <f>SUM(AK59:AQ59)</f>
        <v>-1313.3810000000001</v>
      </c>
      <c r="AT59" s="578"/>
      <c r="AU59" s="788"/>
      <c r="AV59" s="479"/>
      <c r="AW59" s="579">
        <f t="shared" ref="AW59:BC59" si="409">AW57*100/30</f>
        <v>-213.333</v>
      </c>
      <c r="AX59" s="576">
        <f t="shared" si="409"/>
        <v>-204.58300000000003</v>
      </c>
      <c r="AY59" s="576">
        <f t="shared" si="409"/>
        <v>-231.983</v>
      </c>
      <c r="AZ59" s="576">
        <f t="shared" si="409"/>
        <v>-206.83300000000003</v>
      </c>
      <c r="BA59" s="576">
        <f t="shared" si="409"/>
        <v>-166.53300000000002</v>
      </c>
      <c r="BB59" s="576">
        <f t="shared" si="409"/>
        <v>-217.73299999999998</v>
      </c>
      <c r="BC59" s="788">
        <f t="shared" si="409"/>
        <v>-282.08299999999991</v>
      </c>
      <c r="BD59" s="479"/>
      <c r="BE59" s="579">
        <f>SUM(AW59:BC59)</f>
        <v>-1523.0810000000001</v>
      </c>
      <c r="BF59" s="578"/>
      <c r="BG59" s="788"/>
      <c r="BI59" s="579">
        <f t="shared" ref="BI59:BJ59" si="410">BI57*100/30</f>
        <v>-222.73299999999998</v>
      </c>
      <c r="BJ59" s="578">
        <f t="shared" si="410"/>
        <v>-150.83300000000003</v>
      </c>
      <c r="BK59" s="990"/>
      <c r="BL59" s="992">
        <f>SUM(BI59:BJ59)</f>
        <v>-373.56600000000003</v>
      </c>
      <c r="BM59" s="991"/>
      <c r="BN59" s="989"/>
      <c r="BO59" s="1361"/>
      <c r="BP59" s="992">
        <f>SUM(M59:S59)+SUM(Y59:AE59)+SUM(AK59:AQ59)+SUM(AW59:BC59)+SUM(BI59:BJ59)</f>
        <v>-5715.4070000000002</v>
      </c>
      <c r="BQ59" s="580"/>
    </row>
    <row r="63" spans="2:74" x14ac:dyDescent="0.2">
      <c r="AL63" s="171"/>
    </row>
  </sheetData>
  <mergeCells count="21">
    <mergeCell ref="BL2:BN2"/>
    <mergeCell ref="C1:C2"/>
    <mergeCell ref="E1:K1"/>
    <mergeCell ref="BO1:BP1"/>
    <mergeCell ref="BQ1:BR1"/>
    <mergeCell ref="E2:K2"/>
    <mergeCell ref="M2:S2"/>
    <mergeCell ref="U2:W2"/>
    <mergeCell ref="Y2:AE2"/>
    <mergeCell ref="AG2:AI2"/>
    <mergeCell ref="AK2:AQ2"/>
    <mergeCell ref="AS2:AU2"/>
    <mergeCell ref="AW2:BC2"/>
    <mergeCell ref="BE2:BG2"/>
    <mergeCell ref="BI2:BJ2"/>
    <mergeCell ref="BP2:BP6"/>
    <mergeCell ref="BQ2:BQ6"/>
    <mergeCell ref="BS7:BT7"/>
    <mergeCell ref="BS34:BT34"/>
    <mergeCell ref="BU35:BU41"/>
    <mergeCell ref="BS1:BU2"/>
  </mergeCells>
  <conditionalFormatting sqref="BQ53">
    <cfRule type="cellIs" dxfId="376" priority="1" operator="greaterThan">
      <formula>0</formula>
    </cfRule>
    <cfRule type="cellIs" dxfId="375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100-00004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(6-19)'!M50:M50</xm:f>
              <xm:sqref>M51</xm:sqref>
            </x14:sparkline>
            <x14:sparkline>
              <xm:f>'E&amp;M SHOP INCOME (6-19)'!N50:N50</xm:f>
              <xm:sqref>N51</xm:sqref>
            </x14:sparkline>
            <x14:sparkline>
              <xm:f>'E&amp;M SHOP INCOME (6-19)'!O50:O50</xm:f>
              <xm:sqref>O51</xm:sqref>
            </x14:sparkline>
            <x14:sparkline>
              <xm:f>'E&amp;M SHOP INCOME (6-19)'!P50:P50</xm:f>
              <xm:sqref>P51</xm:sqref>
            </x14:sparkline>
            <x14:sparkline>
              <xm:f>'E&amp;M SHOP INCOME (6-19)'!Q50:Q50</xm:f>
              <xm:sqref>Q51</xm:sqref>
            </x14:sparkline>
            <x14:sparkline>
              <xm:f>'E&amp;M SHOP INCOME (6-19)'!R50:R50</xm:f>
              <xm:sqref>R51</xm:sqref>
            </x14:sparkline>
            <x14:sparkline>
              <xm:f>'E&amp;M SHOP INCOME (6-19)'!S50:S50</xm:f>
              <xm:sqref>S51</xm:sqref>
            </x14:sparkline>
            <x14:sparkline>
              <xm:f>'E&amp;M SHOP INCOME (6-19)'!U50:U50</xm:f>
              <xm:sqref>U51</xm:sqref>
            </x14:sparkline>
            <x14:sparkline>
              <xm:f>'E&amp;M SHOP INCOME (6-19)'!V50:V50</xm:f>
              <xm:sqref>V51</xm:sqref>
            </x14:sparkline>
            <x14:sparkline>
              <xm:f>'E&amp;M SHOP INCOME (6-19)'!W50:W50</xm:f>
              <xm:sqref>W51</xm:sqref>
            </x14:sparkline>
            <x14:sparkline>
              <xm:f>'E&amp;M SHOP INCOME (6-19)'!X50:X50</xm:f>
              <xm:sqref>X51</xm:sqref>
            </x14:sparkline>
            <x14:sparkline>
              <xm:f>'E&amp;M SHOP INCOME (6-19)'!Y50:Y50</xm:f>
              <xm:sqref>Y51</xm:sqref>
            </x14:sparkline>
            <x14:sparkline>
              <xm:f>'E&amp;M SHOP INCOME (6-19)'!Z50:Z50</xm:f>
              <xm:sqref>Z51</xm:sqref>
            </x14:sparkline>
            <x14:sparkline>
              <xm:f>'E&amp;M SHOP INCOME (6-19)'!AA50:AA50</xm:f>
              <xm:sqref>AA51</xm:sqref>
            </x14:sparkline>
            <x14:sparkline>
              <xm:f>'E&amp;M SHOP INCOME (6-19)'!AB50:AB50</xm:f>
              <xm:sqref>AB51</xm:sqref>
            </x14:sparkline>
            <x14:sparkline>
              <xm:f>'E&amp;M SHOP INCOME (6-19)'!AC50:AC50</xm:f>
              <xm:sqref>AC51</xm:sqref>
            </x14:sparkline>
            <x14:sparkline>
              <xm:f>'E&amp;M SHOP INCOME (6-19)'!AD50:AD50</xm:f>
              <xm:sqref>AD51</xm:sqref>
            </x14:sparkline>
            <x14:sparkline>
              <xm:f>'E&amp;M SHOP INCOME (6-19)'!AE50:AE50</xm:f>
              <xm:sqref>AE51</xm:sqref>
            </x14:sparkline>
            <x14:sparkline>
              <xm:f>'E&amp;M SHOP INCOME (6-19)'!AF50:AF50</xm:f>
              <xm:sqref>AF51</xm:sqref>
            </x14:sparkline>
            <x14:sparkline>
              <xm:f>'E&amp;M SHOP INCOME (6-19)'!AG50:AG50</xm:f>
              <xm:sqref>AG51</xm:sqref>
            </x14:sparkline>
            <x14:sparkline>
              <xm:f>'E&amp;M SHOP INCOME (6-19)'!AH50:AH50</xm:f>
              <xm:sqref>AH51</xm:sqref>
            </x14:sparkline>
            <x14:sparkline>
              <xm:f>'E&amp;M SHOP INCOME (6-19)'!AI50:AI50</xm:f>
              <xm:sqref>AI51</xm:sqref>
            </x14:sparkline>
            <x14:sparkline>
              <xm:f>'E&amp;M SHOP INCOME (6-19)'!AJ50:AJ50</xm:f>
              <xm:sqref>AJ51</xm:sqref>
            </x14:sparkline>
            <x14:sparkline>
              <xm:f>'E&amp;M SHOP INCOME (6-19)'!AK50:AK50</xm:f>
              <xm:sqref>AK51</xm:sqref>
            </x14:sparkline>
            <x14:sparkline>
              <xm:f>'E&amp;M SHOP INCOME (6-19)'!AL50:AL50</xm:f>
              <xm:sqref>AL51</xm:sqref>
            </x14:sparkline>
            <x14:sparkline>
              <xm:f>'E&amp;M SHOP INCOME (6-19)'!AM50:AM50</xm:f>
              <xm:sqref>AM51</xm:sqref>
            </x14:sparkline>
            <x14:sparkline>
              <xm:f>'E&amp;M SHOP INCOME (6-19)'!AN50:AN50</xm:f>
              <xm:sqref>AN51</xm:sqref>
            </x14:sparkline>
            <x14:sparkline>
              <xm:f>'E&amp;M SHOP INCOME (6-19)'!AO50:AO50</xm:f>
              <xm:sqref>AO51</xm:sqref>
            </x14:sparkline>
            <x14:sparkline>
              <xm:f>'E&amp;M SHOP INCOME (6-19)'!AP50:AP50</xm:f>
              <xm:sqref>AP51</xm:sqref>
            </x14:sparkline>
            <x14:sparkline>
              <xm:f>'E&amp;M SHOP INCOME (6-19)'!AQ50:AQ50</xm:f>
              <xm:sqref>AQ51</xm:sqref>
            </x14:sparkline>
            <x14:sparkline>
              <xm:f>'E&amp;M SHOP INCOME (6-19)'!AR50:AR50</xm:f>
              <xm:sqref>AR51</xm:sqref>
            </x14:sparkline>
            <x14:sparkline>
              <xm:f>'E&amp;M SHOP INCOME (6-19)'!AS50:AS50</xm:f>
              <xm:sqref>AS51</xm:sqref>
            </x14:sparkline>
            <x14:sparkline>
              <xm:f>'E&amp;M SHOP INCOME (6-19)'!AT50:AT50</xm:f>
              <xm:sqref>AT51</xm:sqref>
            </x14:sparkline>
            <x14:sparkline>
              <xm:f>'E&amp;M SHOP INCOME (6-19)'!AU50:AU50</xm:f>
              <xm:sqref>AU51</xm:sqref>
            </x14:sparkline>
            <x14:sparkline>
              <xm:f>'E&amp;M SHOP INCOME (6-19)'!AV50:AV50</xm:f>
              <xm:sqref>AV51</xm:sqref>
            </x14:sparkline>
            <x14:sparkline>
              <xm:f>'E&amp;M SHOP INCOME (6-19)'!AW50:AW50</xm:f>
              <xm:sqref>AW51</xm:sqref>
            </x14:sparkline>
            <x14:sparkline>
              <xm:f>'E&amp;M SHOP INCOME (6-19)'!AX50:AX50</xm:f>
              <xm:sqref>AX51</xm:sqref>
            </x14:sparkline>
            <x14:sparkline>
              <xm:f>'E&amp;M SHOP INCOME (6-19)'!AY50:AY50</xm:f>
              <xm:sqref>AY51</xm:sqref>
            </x14:sparkline>
            <x14:sparkline>
              <xm:f>'E&amp;M SHOP INCOME (6-19)'!AZ50:AZ50</xm:f>
              <xm:sqref>AZ51</xm:sqref>
            </x14:sparkline>
            <x14:sparkline>
              <xm:f>'E&amp;M SHOP INCOME (6-19)'!BA50:BA50</xm:f>
              <xm:sqref>BA51</xm:sqref>
            </x14:sparkline>
            <x14:sparkline>
              <xm:f>'E&amp;M SHOP INCOME (6-19)'!BB50:BB50</xm:f>
              <xm:sqref>BB51</xm:sqref>
            </x14:sparkline>
            <x14:sparkline>
              <xm:f>'E&amp;M SHOP INCOME (6-19)'!BC50:BC50</xm:f>
              <xm:sqref>BC51</xm:sqref>
            </x14:sparkline>
            <x14:sparkline>
              <xm:f>'E&amp;M SHOP INCOME (6-19)'!BD50:BD50</xm:f>
              <xm:sqref>BD51</xm:sqref>
            </x14:sparkline>
            <x14:sparkline>
              <xm:f>'E&amp;M SHOP INCOME (6-19)'!BE50:BE50</xm:f>
              <xm:sqref>BE51</xm:sqref>
            </x14:sparkline>
            <x14:sparkline>
              <xm:f>'E&amp;M SHOP INCOME (6-19)'!BF50:BF50</xm:f>
              <xm:sqref>BF51</xm:sqref>
            </x14:sparkline>
            <x14:sparkline>
              <xm:f>'E&amp;M SHOP INCOME (6-19)'!BG50:BG50</xm:f>
              <xm:sqref>BG51</xm:sqref>
            </x14:sparkline>
            <x14:sparkline>
              <xm:f>'E&amp;M SHOP INCOME (6-19)'!BH50:BH50</xm:f>
              <xm:sqref>BH51</xm:sqref>
            </x14:sparkline>
            <x14:sparkline>
              <xm:f>'E&amp;M SHOP INCOME (6-19)'!BI50:BI50</xm:f>
              <xm:sqref>BI51</xm:sqref>
            </x14:sparkline>
            <x14:sparkline>
              <xm:f>'E&amp;M SHOP INCOME (6-19)'!BJ50:BJ50</xm:f>
              <xm:sqref>BJ51</xm:sqref>
            </x14:sparkline>
            <x14:sparkline>
              <xm:f>'E&amp;M SHOP INCOME (6-19)'!BK50:BK50</xm:f>
              <xm:sqref>BK51</xm:sqref>
            </x14:sparkline>
            <x14:sparkline>
              <xm:f>'E&amp;M SHOP INCOME (6-19)'!BL50:BL50</xm:f>
              <xm:sqref>BL51</xm:sqref>
            </x14:sparkline>
            <x14:sparkline>
              <xm:f>'E&amp;M SHOP INCOME (6-19)'!BM50:BM50</xm:f>
              <xm:sqref>BM51</xm:sqref>
            </x14:sparkline>
            <x14:sparkline>
              <xm:f>'E&amp;M SHOP INCOME (6-19)'!BN50:BN50</xm:f>
              <xm:sqref>BN51</xm:sqref>
            </x14:sparkline>
            <x14:sparkline>
              <xm:f>'E&amp;M SHOP INCOME (6-19)'!BP50:BP50</xm:f>
              <xm:sqref>BP51</xm:sqref>
            </x14:sparkline>
          </x14:sparklines>
        </x14:sparklineGroup>
        <x14:sparklineGroup type="stacked" displayEmptyCellsAs="gap" negative="1" xr2:uid="{00000000-0003-0000-1100-00004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(6-19)'!M45:M45</xm:f>
              <xm:sqref>M46</xm:sqref>
            </x14:sparkline>
            <x14:sparkline>
              <xm:f>'E&amp;M SHOP INCOME (6-19)'!N45:N45</xm:f>
              <xm:sqref>N46</xm:sqref>
            </x14:sparkline>
            <x14:sparkline>
              <xm:f>'E&amp;M SHOP INCOME (6-19)'!U45:U45</xm:f>
              <xm:sqref>U46</xm:sqref>
            </x14:sparkline>
            <x14:sparkline>
              <xm:f>'E&amp;M SHOP INCOME (6-19)'!V45:V45</xm:f>
              <xm:sqref>V46</xm:sqref>
            </x14:sparkline>
            <x14:sparkline>
              <xm:f>'E&amp;M SHOP INCOME (6-19)'!W45:W45</xm:f>
              <xm:sqref>W46</xm:sqref>
            </x14:sparkline>
            <x14:sparkline>
              <xm:f>'E&amp;M SHOP INCOME (6-19)'!X45:X45</xm:f>
              <xm:sqref>X46</xm:sqref>
            </x14:sparkline>
            <x14:sparkline>
              <xm:f>'E&amp;M SHOP INCOME (6-19)'!Y45:Y45</xm:f>
              <xm:sqref>Y46</xm:sqref>
            </x14:sparkline>
            <x14:sparkline>
              <xm:f>'E&amp;M SHOP INCOME (6-19)'!Z45:Z45</xm:f>
              <xm:sqref>Z46</xm:sqref>
            </x14:sparkline>
            <x14:sparkline>
              <xm:f>'E&amp;M SHOP INCOME (6-19)'!AE45:AE45</xm:f>
              <xm:sqref>AE46</xm:sqref>
            </x14:sparkline>
            <x14:sparkline>
              <xm:f>'E&amp;M SHOP INCOME (6-19)'!AF45:AF45</xm:f>
              <xm:sqref>AF46</xm:sqref>
            </x14:sparkline>
            <x14:sparkline>
              <xm:f>'E&amp;M SHOP INCOME (6-19)'!AG45:AG45</xm:f>
              <xm:sqref>AG46</xm:sqref>
            </x14:sparkline>
            <x14:sparkline>
              <xm:f>'E&amp;M SHOP INCOME (6-19)'!AH45:AH45</xm:f>
              <xm:sqref>AH46</xm:sqref>
            </x14:sparkline>
            <x14:sparkline>
              <xm:f>'E&amp;M SHOP INCOME (6-19)'!AI45:AI45</xm:f>
              <xm:sqref>AI46</xm:sqref>
            </x14:sparkline>
            <x14:sparkline>
              <xm:f>'E&amp;M SHOP INCOME (6-19)'!AJ45:AJ45</xm:f>
              <xm:sqref>AJ46</xm:sqref>
            </x14:sparkline>
            <x14:sparkline>
              <xm:f>'E&amp;M SHOP INCOME (6-19)'!AK45:AK45</xm:f>
              <xm:sqref>AK46</xm:sqref>
            </x14:sparkline>
            <x14:sparkline>
              <xm:f>'E&amp;M SHOP INCOME (6-19)'!AR45:AR45</xm:f>
              <xm:sqref>AR46</xm:sqref>
            </x14:sparkline>
            <x14:sparkline>
              <xm:f>'E&amp;M SHOP INCOME (6-19)'!AS45:AS45</xm:f>
              <xm:sqref>AS46</xm:sqref>
            </x14:sparkline>
            <x14:sparkline>
              <xm:f>'E&amp;M SHOP INCOME (6-19)'!AT45:AT45</xm:f>
              <xm:sqref>AT46</xm:sqref>
            </x14:sparkline>
            <x14:sparkline>
              <xm:f>'E&amp;M SHOP INCOME (6-19)'!AU45:AU45</xm:f>
              <xm:sqref>AU46</xm:sqref>
            </x14:sparkline>
            <x14:sparkline>
              <xm:f>'E&amp;M SHOP INCOME (6-19)'!AV45:AV45</xm:f>
              <xm:sqref>AV46</xm:sqref>
            </x14:sparkline>
            <x14:sparkline>
              <xm:f>'E&amp;M SHOP INCOME (6-19)'!AW45:AW45</xm:f>
              <xm:sqref>AW46</xm:sqref>
            </x14:sparkline>
            <x14:sparkline>
              <xm:f>'E&amp;M SHOP INCOME (6-19)'!BD45:BD45</xm:f>
              <xm:sqref>BD46</xm:sqref>
            </x14:sparkline>
            <x14:sparkline>
              <xm:f>'E&amp;M SHOP INCOME (6-19)'!BE45:BE45</xm:f>
              <xm:sqref>BE46</xm:sqref>
            </x14:sparkline>
            <x14:sparkline>
              <xm:f>'E&amp;M SHOP INCOME (6-19)'!BF45:BF45</xm:f>
              <xm:sqref>BF46</xm:sqref>
            </x14:sparkline>
            <x14:sparkline>
              <xm:f>'E&amp;M SHOP INCOME (6-19)'!BG45:BG45</xm:f>
              <xm:sqref>BG46</xm:sqref>
            </x14:sparkline>
            <x14:sparkline>
              <xm:f>'E&amp;M SHOP INCOME (6-19)'!BH45:BH45</xm:f>
              <xm:sqref>BH46</xm:sqref>
            </x14:sparkline>
            <x14:sparkline>
              <xm:f>'E&amp;M SHOP INCOME (6-19)'!BI45:BI45</xm:f>
              <xm:sqref>BI46</xm:sqref>
            </x14:sparkline>
            <x14:sparkline>
              <xm:f>'E&amp;M SHOP INCOME (6-19)'!BJ45:BJ45</xm:f>
              <xm:sqref>BJ46</xm:sqref>
            </x14:sparkline>
            <x14:sparkline>
              <xm:f>'E&amp;M SHOP INCOME (6-19)'!BK45:BK45</xm:f>
              <xm:sqref>BK46</xm:sqref>
            </x14:sparkline>
            <x14:sparkline>
              <xm:f>'E&amp;M SHOP INCOME (6-19)'!BL45:BL45</xm:f>
              <xm:sqref>BL46</xm:sqref>
            </x14:sparkline>
            <x14:sparkline>
              <xm:f>'E&amp;M SHOP INCOME (6-19)'!BM45:BM45</xm:f>
              <xm:sqref>BM46</xm:sqref>
            </x14:sparkline>
            <x14:sparkline>
              <xm:f>'E&amp;M SHOP INCOME (6-19)'!BN45:BN45</xm:f>
              <xm:sqref>BN46</xm:sqref>
            </x14:sparkline>
            <x14:sparkline>
              <xm:f>'E&amp;M SHOP INCOME (6-19)'!BP45:BP45</xm:f>
              <xm:sqref>BP46</xm:sqref>
            </x14:sparkline>
            <x14:sparkline>
              <xm:f>'E&amp;M SHOP INCOME (6-19)'!AL45:AL45</xm:f>
              <xm:sqref>AL46</xm:sqref>
            </x14:sparkline>
            <x14:sparkline>
              <xm:f>'E&amp;M SHOP INCOME (6-19)'!AQ45:AQ45</xm:f>
              <xm:sqref>AQ46</xm:sqref>
            </x14:sparkline>
            <x14:sparkline>
              <xm:f>'E&amp;M SHOP INCOME (6-19)'!AX45:AX45</xm:f>
              <xm:sqref>AX46</xm:sqref>
            </x14:sparkline>
            <x14:sparkline>
              <xm:f>'E&amp;M SHOP INCOME (6-19)'!S45:S45</xm:f>
              <xm:sqref>S46</xm:sqref>
            </x14:sparkline>
            <x14:sparkline>
              <xm:f>'E&amp;M SHOP INCOME (6-19)'!O45:O45</xm:f>
              <xm:sqref>O46</xm:sqref>
            </x14:sparkline>
            <x14:sparkline>
              <xm:f>'E&amp;M SHOP INCOME (6-19)'!P45:P45</xm:f>
              <xm:sqref>P46</xm:sqref>
            </x14:sparkline>
            <x14:sparkline>
              <xm:f>'E&amp;M SHOP INCOME (6-19)'!Q45:Q45</xm:f>
              <xm:sqref>Q46</xm:sqref>
            </x14:sparkline>
            <x14:sparkline>
              <xm:f>'E&amp;M SHOP INCOME (6-19)'!R45:R45</xm:f>
              <xm:sqref>R46</xm:sqref>
            </x14:sparkline>
            <x14:sparkline>
              <xm:f>'E&amp;M SHOP INCOME (6-19)'!AA45:AA45</xm:f>
              <xm:sqref>AA46</xm:sqref>
            </x14:sparkline>
            <x14:sparkline>
              <xm:f>'E&amp;M SHOP INCOME (6-19)'!AB45:AB45</xm:f>
              <xm:sqref>AB46</xm:sqref>
            </x14:sparkline>
            <x14:sparkline>
              <xm:f>'E&amp;M SHOP INCOME (6-19)'!AC45:AC45</xm:f>
              <xm:sqref>AC46</xm:sqref>
            </x14:sparkline>
            <x14:sparkline>
              <xm:f>'E&amp;M SHOP INCOME (6-19)'!AD45:AD45</xm:f>
              <xm:sqref>AD46</xm:sqref>
            </x14:sparkline>
            <x14:sparkline>
              <xm:f>'E&amp;M SHOP INCOME (6-19)'!AM45:AM45</xm:f>
              <xm:sqref>AM46</xm:sqref>
            </x14:sparkline>
            <x14:sparkline>
              <xm:f>'E&amp;M SHOP INCOME (6-19)'!AN45:AN45</xm:f>
              <xm:sqref>AN46</xm:sqref>
            </x14:sparkline>
            <x14:sparkline>
              <xm:f>'E&amp;M SHOP INCOME (6-19)'!AO45:AO45</xm:f>
              <xm:sqref>AO46</xm:sqref>
            </x14:sparkline>
            <x14:sparkline>
              <xm:f>'E&amp;M SHOP INCOME (6-19)'!AP45:AP45</xm:f>
              <xm:sqref>AP46</xm:sqref>
            </x14:sparkline>
            <x14:sparkline>
              <xm:f>'E&amp;M SHOP INCOME (6-19)'!AY45:AY45</xm:f>
              <xm:sqref>AY46</xm:sqref>
            </x14:sparkline>
            <x14:sparkline>
              <xm:f>'E&amp;M SHOP INCOME (6-19)'!AZ45:AZ45</xm:f>
              <xm:sqref>AZ46</xm:sqref>
            </x14:sparkline>
            <x14:sparkline>
              <xm:f>'E&amp;M SHOP INCOME (6-19)'!BA45:BA45</xm:f>
              <xm:sqref>BA46</xm:sqref>
            </x14:sparkline>
            <x14:sparkline>
              <xm:f>'E&amp;M SHOP INCOME (6-19)'!BB45:BB45</xm:f>
              <xm:sqref>BB46</xm:sqref>
            </x14:sparkline>
            <x14:sparkline>
              <xm:f>'E&amp;M SHOP INCOME (6-19)'!BC45:BC45</xm:f>
              <xm:sqref>BC46</xm:sqref>
            </x14:sparkline>
          </x14:sparklines>
        </x14:sparklineGroup>
        <x14:sparklineGroup type="stacked" displayEmptyCellsAs="gap" negative="1" xr2:uid="{00000000-0003-0000-1100-00004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(6-19)'!BO33:BO33</xm:f>
              <xm:sqref>BO34</xm:sqref>
            </x14:sparkline>
          </x14:sparklines>
        </x14:sparklineGroup>
        <x14:sparklineGroup type="stacked" displayEmptyCellsAs="gap" negative="1" xr2:uid="{00000000-0003-0000-1100-00004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(6-19)'!BO45:BO45</xm:f>
              <xm:sqref>BO46</xm:sqref>
            </x14:sparkline>
          </x14:sparklines>
        </x14:sparklineGroup>
        <x14:sparklineGroup type="stacked" displayEmptyCellsAs="gap" negative="1" xr2:uid="{00000000-0003-0000-1100-00004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(6-19)'!BO50:BO50</xm:f>
              <xm:sqref>BO51</xm:sqref>
            </x14:sparkline>
          </x14:sparklines>
        </x14:sparklineGroup>
        <x14:sparklineGroup type="stacked" displayEmptyCellsAs="gap" negative="1" xr2:uid="{00000000-0003-0000-1100-00004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(6-19)'!BP52:BP52</xm:f>
              <xm:sqref>BQ52</xm:sqref>
            </x14:sparkline>
          </x14:sparklines>
        </x14:sparklineGroup>
        <x14:sparklineGroup type="stacked" displayEmptyCellsAs="gap" negative="1" xr2:uid="{00000000-0003-0000-1100-00004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(6-19)'!BP53:BP53</xm:f>
              <xm:sqref>BQ53</xm:sqref>
            </x14:sparkline>
          </x14:sparklines>
        </x14:sparklineGroup>
        <x14:sparklineGroup type="stacked" displayEmptyCellsAs="gap" negative="1" xr2:uid="{00000000-0003-0000-1100-00003F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SHOP INCOME (6-19)'!X33:X33</xm:f>
              <xm:sqref>X34</xm:sqref>
            </x14:sparkline>
            <x14:sparkline>
              <xm:f>'E&amp;M SHOP INCOME (6-19)'!Y33:Y33</xm:f>
              <xm:sqref>Y34</xm:sqref>
            </x14:sparkline>
            <x14:sparkline>
              <xm:f>'E&amp;M SHOP INCOME (6-19)'!Z33:Z33</xm:f>
              <xm:sqref>Z34</xm:sqref>
            </x14:sparkline>
            <x14:sparkline>
              <xm:f>'E&amp;M SHOP INCOME (6-19)'!AA33:AA33</xm:f>
              <xm:sqref>AA34</xm:sqref>
            </x14:sparkline>
            <x14:sparkline>
              <xm:f>'E&amp;M SHOP INCOME (6-19)'!AB33:AB33</xm:f>
              <xm:sqref>AB34</xm:sqref>
            </x14:sparkline>
            <x14:sparkline>
              <xm:f>'E&amp;M SHOP INCOME (6-19)'!AC33:AC33</xm:f>
              <xm:sqref>AC34</xm:sqref>
            </x14:sparkline>
            <x14:sparkline>
              <xm:f>'E&amp;M SHOP INCOME (6-19)'!AD33:AD33</xm:f>
              <xm:sqref>AD34</xm:sqref>
            </x14:sparkline>
            <x14:sparkline>
              <xm:f>'E&amp;M SHOP INCOME (6-19)'!AE33:AE33</xm:f>
              <xm:sqref>AE34</xm:sqref>
            </x14:sparkline>
            <x14:sparkline>
              <xm:f>'E&amp;M SHOP INCOME (6-19)'!AF33:AF33</xm:f>
              <xm:sqref>AF34</xm:sqref>
            </x14:sparkline>
            <x14:sparkline>
              <xm:f>'E&amp;M SHOP INCOME (6-19)'!AG33:AG33</xm:f>
              <xm:sqref>AG34</xm:sqref>
            </x14:sparkline>
            <x14:sparkline>
              <xm:f>'E&amp;M SHOP INCOME (6-19)'!AH33:AH33</xm:f>
              <xm:sqref>AH34</xm:sqref>
            </x14:sparkline>
            <x14:sparkline>
              <xm:f>'E&amp;M SHOP INCOME (6-19)'!AI33:AI33</xm:f>
              <xm:sqref>AI34</xm:sqref>
            </x14:sparkline>
            <x14:sparkline>
              <xm:f>'E&amp;M SHOP INCOME (6-19)'!AJ33:AJ33</xm:f>
              <xm:sqref>AJ34</xm:sqref>
            </x14:sparkline>
            <x14:sparkline>
              <xm:f>'E&amp;M SHOP INCOME (6-19)'!AK33:AK33</xm:f>
              <xm:sqref>AK34</xm:sqref>
            </x14:sparkline>
            <x14:sparkline>
              <xm:f>'E&amp;M SHOP INCOME (6-19)'!AL33:AL33</xm:f>
              <xm:sqref>AL34</xm:sqref>
            </x14:sparkline>
            <x14:sparkline>
              <xm:f>'E&amp;M SHOP INCOME (6-19)'!AM33:AM33</xm:f>
              <xm:sqref>AM34</xm:sqref>
            </x14:sparkline>
            <x14:sparkline>
              <xm:f>'E&amp;M SHOP INCOME (6-19)'!AN33:AN33</xm:f>
              <xm:sqref>AN34</xm:sqref>
            </x14:sparkline>
            <x14:sparkline>
              <xm:f>'E&amp;M SHOP INCOME (6-19)'!AO33:AO33</xm:f>
              <xm:sqref>AO34</xm:sqref>
            </x14:sparkline>
            <x14:sparkline>
              <xm:f>'E&amp;M SHOP INCOME (6-19)'!AP33:AP33</xm:f>
              <xm:sqref>AP34</xm:sqref>
            </x14:sparkline>
            <x14:sparkline>
              <xm:f>'E&amp;M SHOP INCOME (6-19)'!AQ33:AQ33</xm:f>
              <xm:sqref>AQ34</xm:sqref>
            </x14:sparkline>
            <x14:sparkline>
              <xm:f>'E&amp;M SHOP INCOME (6-19)'!AR33:AR33</xm:f>
              <xm:sqref>AR34</xm:sqref>
            </x14:sparkline>
            <x14:sparkline>
              <xm:f>'E&amp;M SHOP INCOME (6-19)'!AS33:AS33</xm:f>
              <xm:sqref>AS34</xm:sqref>
            </x14:sparkline>
            <x14:sparkline>
              <xm:f>'E&amp;M SHOP INCOME (6-19)'!AT33:AT33</xm:f>
              <xm:sqref>AT34</xm:sqref>
            </x14:sparkline>
            <x14:sparkline>
              <xm:f>'E&amp;M SHOP INCOME (6-19)'!AU33:AU33</xm:f>
              <xm:sqref>AU34</xm:sqref>
            </x14:sparkline>
            <x14:sparkline>
              <xm:f>'E&amp;M SHOP INCOME (6-19)'!AV33:AV33</xm:f>
              <xm:sqref>AV34</xm:sqref>
            </x14:sparkline>
            <x14:sparkline>
              <xm:f>'E&amp;M SHOP INCOME (6-19)'!AW33:AW33</xm:f>
              <xm:sqref>AW34</xm:sqref>
            </x14:sparkline>
            <x14:sparkline>
              <xm:f>'E&amp;M SHOP INCOME (6-19)'!AX33:AX33</xm:f>
              <xm:sqref>AX34</xm:sqref>
            </x14:sparkline>
            <x14:sparkline>
              <xm:f>'E&amp;M SHOP INCOME (6-19)'!AY33:AY33</xm:f>
              <xm:sqref>AY34</xm:sqref>
            </x14:sparkline>
            <x14:sparkline>
              <xm:f>'E&amp;M SHOP INCOME (6-19)'!AZ33:AZ33</xm:f>
              <xm:sqref>AZ34</xm:sqref>
            </x14:sparkline>
            <x14:sparkline>
              <xm:f>'E&amp;M SHOP INCOME (6-19)'!BA33:BA33</xm:f>
              <xm:sqref>BA34</xm:sqref>
            </x14:sparkline>
            <x14:sparkline>
              <xm:f>'E&amp;M SHOP INCOME (6-19)'!BB33:BB33</xm:f>
              <xm:sqref>BB34</xm:sqref>
            </x14:sparkline>
            <x14:sparkline>
              <xm:f>'E&amp;M SHOP INCOME (6-19)'!BC33:BC33</xm:f>
              <xm:sqref>BC34</xm:sqref>
            </x14:sparkline>
            <x14:sparkline>
              <xm:f>'E&amp;M SHOP INCOME (6-19)'!BD33:BD33</xm:f>
              <xm:sqref>BD34</xm:sqref>
            </x14:sparkline>
            <x14:sparkline>
              <xm:f>'E&amp;M SHOP INCOME (6-19)'!BE33:BE33</xm:f>
              <xm:sqref>BE34</xm:sqref>
            </x14:sparkline>
            <x14:sparkline>
              <xm:f>'E&amp;M SHOP INCOME (6-19)'!BF33:BF33</xm:f>
              <xm:sqref>BF34</xm:sqref>
            </x14:sparkline>
            <x14:sparkline>
              <xm:f>'E&amp;M SHOP INCOME (6-19)'!BG33:BG33</xm:f>
              <xm:sqref>BG34</xm:sqref>
            </x14:sparkline>
            <x14:sparkline>
              <xm:f>'E&amp;M SHOP INCOME (6-19)'!BH33:BH33</xm:f>
              <xm:sqref>BH34</xm:sqref>
            </x14:sparkline>
            <x14:sparkline>
              <xm:f>'E&amp;M SHOP INCOME (6-19)'!BI33:BI33</xm:f>
              <xm:sqref>BI34</xm:sqref>
            </x14:sparkline>
            <x14:sparkline>
              <xm:f>'E&amp;M SHOP INCOME (6-19)'!BJ33:BJ33</xm:f>
              <xm:sqref>BJ34</xm:sqref>
            </x14:sparkline>
            <x14:sparkline>
              <xm:f>'E&amp;M SHOP INCOME (6-19)'!BK33:BK33</xm:f>
              <xm:sqref>BK34</xm:sqref>
            </x14:sparkline>
            <x14:sparkline>
              <xm:f>'E&amp;M SHOP INCOME (6-19)'!BL33:BL33</xm:f>
              <xm:sqref>BL34</xm:sqref>
            </x14:sparkline>
            <x14:sparkline>
              <xm:f>'E&amp;M SHOP INCOME (6-19)'!BM33:BM33</xm:f>
              <xm:sqref>BM34</xm:sqref>
            </x14:sparkline>
            <x14:sparkline>
              <xm:f>'E&amp;M SHOP INCOME (6-19)'!BN33:BN33</xm:f>
              <xm:sqref>BN34</xm:sqref>
            </x14:sparkline>
          </x14:sparklines>
        </x14:sparklineGroup>
        <x14:sparklineGroup type="stacked" displayEmptyCellsAs="gap" negative="1" xr2:uid="{00000000-0003-0000-1100-00003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(6-19)'!T33:T33</xm:f>
              <xm:sqref>T34</xm:sqref>
            </x14:sparkline>
          </x14:sparklines>
        </x14:sparklineGroup>
        <x14:sparklineGroup type="stacked" displayEmptyCellsAs="gap" negative="1" xr2:uid="{00000000-0003-0000-1100-00003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(6-19)'!T45:T45</xm:f>
              <xm:sqref>T46</xm:sqref>
            </x14:sparkline>
          </x14:sparklines>
        </x14:sparklineGroup>
        <x14:sparklineGroup type="stacked" displayEmptyCellsAs="gap" negative="1" xr2:uid="{00000000-0003-0000-1100-00003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(6-19)'!T50:T50</xm:f>
              <xm:sqref>T51</xm:sqref>
            </x14:sparkline>
          </x14:sparklines>
        </x14:sparklineGroup>
        <x14:sparklineGroup type="stacked" displayEmptyCellsAs="gap" negative="1" xr2:uid="{00000000-0003-0000-1100-00003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(6-19)'!BP54:BP54</xm:f>
              <xm:sqref>BQ54</xm:sqref>
            </x14:sparkline>
          </x14:sparklines>
        </x14:sparklineGroup>
        <x14:sparklineGroup type="stacked" displayEmptyCellsAs="gap" negative="1" xr2:uid="{00000000-0003-0000-1100-00003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(6-19)'!BP55:BP55</xm:f>
              <xm:sqref>BQ55</xm:sqref>
            </x14:sparkline>
          </x14:sparklines>
        </x14:sparklineGroup>
        <x14:sparklineGroup type="stacked" displayEmptyCellsAs="gap" negative="1" xr2:uid="{00000000-0003-0000-1100-00003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(6-19)'!M33:M33</xm:f>
              <xm:sqref>M34</xm:sqref>
            </x14:sparkline>
            <x14:sparkline>
              <xm:f>'E&amp;M SHOP INCOME (6-19)'!N33:N33</xm:f>
              <xm:sqref>N34</xm:sqref>
            </x14:sparkline>
            <x14:sparkline>
              <xm:f>'E&amp;M SHOP INCOME (6-19)'!S33:S33</xm:f>
              <xm:sqref>S34</xm:sqref>
            </x14:sparkline>
            <x14:sparkline>
              <xm:f>'E&amp;M SHOP INCOME (6-19)'!U33:U33</xm:f>
              <xm:sqref>U34</xm:sqref>
            </x14:sparkline>
            <x14:sparkline>
              <xm:f>'E&amp;M SHOP INCOME (6-19)'!V33:V33</xm:f>
              <xm:sqref>V34</xm:sqref>
            </x14:sparkline>
            <x14:sparkline>
              <xm:f>'E&amp;M SHOP INCOME (6-19)'!W33:W33</xm:f>
              <xm:sqref>W34</xm:sqref>
            </x14:sparkline>
            <x14:sparkline>
              <xm:f>'E&amp;M SHOP INCOME (6-19)'!O33:O33</xm:f>
              <xm:sqref>O34</xm:sqref>
            </x14:sparkline>
            <x14:sparkline>
              <xm:f>'E&amp;M SHOP INCOME (6-19)'!P33:P33</xm:f>
              <xm:sqref>P34</xm:sqref>
            </x14:sparkline>
            <x14:sparkline>
              <xm:f>'E&amp;M SHOP INCOME (6-19)'!Q33:Q33</xm:f>
              <xm:sqref>Q34</xm:sqref>
            </x14:sparkline>
            <x14:sparkline>
              <xm:f>'E&amp;M SHOP INCOME (6-19)'!R33:R33</xm:f>
              <xm:sqref>R34</xm:sqref>
            </x14:sparkline>
          </x14:sparklines>
        </x14:sparklineGroup>
        <x14:sparklineGroup type="stacked" displayEmptyCellsAs="gap" negative="1" xr2:uid="{00000000-0003-0000-1100-00003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(6-19)'!BP33:BP33</xm:f>
              <xm:sqref>BP34</xm:sqref>
            </x14:sparkline>
          </x14:sparklines>
        </x14:sparklineGroup>
        <x14:sparklineGroup type="stacked" displayEmptyCellsAs="gap" negative="1" xr2:uid="{00000000-0003-0000-1100-00003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SHOP INCOME (6-19)'!BP33:BP33</xm:f>
              <xm:sqref>BQ33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FQ90"/>
  <sheetViews>
    <sheetView zoomScale="80" zoomScaleNormal="80" zoomScaleSheetLayoutView="80" workbookViewId="0">
      <pane xSplit="12" ySplit="12" topLeftCell="X31" activePane="bottomRight" state="frozen"/>
      <selection pane="topRight" activeCell="M1" sqref="M1"/>
      <selection pane="bottomLeft" activeCell="A13" sqref="A13"/>
      <selection pane="bottomRight" activeCell="E41" sqref="E41"/>
    </sheetView>
  </sheetViews>
  <sheetFormatPr defaultColWidth="9.125" defaultRowHeight="15" x14ac:dyDescent="0.2"/>
  <cols>
    <col min="1" max="1" width="1.75" style="1563" customWidth="1"/>
    <col min="2" max="2" width="4.75" style="1563" customWidth="1"/>
    <col min="3" max="3" width="56" style="1563" bestFit="1" customWidth="1"/>
    <col min="4" max="4" width="0.875" style="1565" customWidth="1"/>
    <col min="5" max="5" width="10.25" style="1563" customWidth="1"/>
    <col min="6" max="9" width="11.625" style="1563" hidden="1" customWidth="1"/>
    <col min="10" max="10" width="11.625" style="1563" bestFit="1" customWidth="1"/>
    <col min="11" max="11" width="10.875" style="1563" bestFit="1" customWidth="1"/>
    <col min="12" max="12" width="0.875" style="1563" customWidth="1"/>
    <col min="13" max="13" width="0.875" style="1565" customWidth="1"/>
    <col min="14" max="20" width="8.875" style="1563" customWidth="1"/>
    <col min="21" max="21" width="0.875" style="1565" customWidth="1"/>
    <col min="22" max="22" width="10" style="1563" bestFit="1" customWidth="1"/>
    <col min="23" max="24" width="9.125" style="1563" customWidth="1"/>
    <col min="25" max="25" width="0.875" style="1565" hidden="1" customWidth="1"/>
    <col min="26" max="32" width="8.875" style="1563" hidden="1" customWidth="1"/>
    <col min="33" max="33" width="0.875" style="1565" customWidth="1"/>
    <col min="34" max="34" width="10" style="1563" customWidth="1"/>
    <col min="35" max="35" width="9.25" style="1563" bestFit="1" customWidth="1"/>
    <col min="36" max="36" width="8.875" style="1563" customWidth="1"/>
    <col min="37" max="37" width="0.875" style="1565" hidden="1" customWidth="1"/>
    <col min="38" max="38" width="8.875" style="1563" hidden="1" customWidth="1"/>
    <col min="39" max="39" width="9.25" style="1563" hidden="1" customWidth="1"/>
    <col min="40" max="42" width="8.875" style="1563" hidden="1" customWidth="1"/>
    <col min="43" max="43" width="10.625" style="1563" hidden="1" customWidth="1"/>
    <col min="44" max="44" width="8.875" style="1563" hidden="1" customWidth="1"/>
    <col min="45" max="45" width="0.875" style="1565" customWidth="1"/>
    <col min="46" max="46" width="10" style="1563" customWidth="1"/>
    <col min="47" max="47" width="8.125" style="1563" customWidth="1"/>
    <col min="48" max="48" width="8.875" style="1563" customWidth="1"/>
    <col min="49" max="49" width="0.875" style="1565" hidden="1" customWidth="1"/>
    <col min="50" max="56" width="8.875" style="1563" hidden="1" customWidth="1"/>
    <col min="57" max="57" width="0.875" style="1565" customWidth="1"/>
    <col min="58" max="58" width="10" style="1563" customWidth="1"/>
    <col min="59" max="59" width="8.125" style="1563" customWidth="1"/>
    <col min="60" max="60" width="8.875" style="1563" customWidth="1"/>
    <col min="61" max="61" width="0.875" style="1563" hidden="1" customWidth="1"/>
    <col min="62" max="63" width="8.875" style="1563" hidden="1" customWidth="1"/>
    <col min="64" max="64" width="7.875" style="1563" hidden="1" customWidth="1"/>
    <col min="65" max="65" width="0.875" style="1563" customWidth="1"/>
    <col min="66" max="68" width="8.875" style="1563" customWidth="1"/>
    <col min="69" max="69" width="0.875" style="1563" customWidth="1"/>
    <col min="70" max="70" width="11" style="1563" bestFit="1" customWidth="1"/>
    <col min="71" max="71" width="9.375" style="1563" bestFit="1" customWidth="1"/>
    <col min="72" max="72" width="0.875" style="1563" customWidth="1"/>
    <col min="73" max="73" width="9.25" style="1563" bestFit="1" customWidth="1"/>
    <col min="74" max="74" width="9.875" style="1563" bestFit="1" customWidth="1"/>
    <col min="75" max="75" width="10" style="1563" bestFit="1" customWidth="1"/>
    <col min="76" max="76" width="1.875" style="1563" customWidth="1"/>
    <col min="77" max="77" width="11.25" style="1563" bestFit="1" customWidth="1"/>
    <col min="78" max="78" width="12" style="1563" bestFit="1" customWidth="1"/>
    <col min="79" max="79" width="12.25" style="1563" bestFit="1" customWidth="1"/>
    <col min="80" max="80" width="12.875" style="1563" bestFit="1" customWidth="1"/>
    <col min="81" max="81" width="12" style="1563" customWidth="1"/>
    <col min="82" max="82" width="12" style="1563" bestFit="1" customWidth="1"/>
    <col min="83" max="83" width="10.875" style="1563" customWidth="1"/>
    <col min="84" max="84" width="10" style="1563" bestFit="1" customWidth="1"/>
    <col min="85" max="85" width="13" style="1563" bestFit="1" customWidth="1"/>
    <col min="86" max="86" width="12" style="1563" bestFit="1" customWidth="1"/>
    <col min="87" max="87" width="12.125" style="1563" bestFit="1" customWidth="1"/>
    <col min="88" max="88" width="11" style="1563" bestFit="1" customWidth="1"/>
    <col min="89" max="90" width="9.125" style="1563" customWidth="1"/>
    <col min="91" max="16384" width="9.125" style="1563"/>
  </cols>
  <sheetData>
    <row r="1" spans="1:173" ht="20.25" customHeight="1" thickBot="1" x14ac:dyDescent="0.25">
      <c r="C1" s="4456">
        <v>43647</v>
      </c>
      <c r="D1" s="811"/>
      <c r="E1" s="4466" t="s">
        <v>40</v>
      </c>
      <c r="F1" s="4466"/>
      <c r="G1" s="4466"/>
      <c r="H1" s="4466"/>
      <c r="I1" s="4466"/>
      <c r="J1" s="4466"/>
      <c r="K1" s="4466"/>
      <c r="L1" s="1562"/>
      <c r="M1" s="1561"/>
      <c r="N1" s="133"/>
      <c r="O1" s="309"/>
      <c r="P1" s="134"/>
      <c r="R1" s="432"/>
      <c r="S1" s="432"/>
      <c r="T1" s="432"/>
      <c r="AA1" s="309"/>
      <c r="AP1" s="432"/>
      <c r="AQ1" s="432"/>
      <c r="AR1" s="432"/>
      <c r="AX1" s="432"/>
      <c r="AY1" s="1274"/>
      <c r="BB1" s="277"/>
      <c r="BQ1" s="4483" t="s">
        <v>90</v>
      </c>
      <c r="BR1" s="4483"/>
      <c r="BS1" s="4483"/>
      <c r="BT1" s="4491"/>
      <c r="BU1" s="4492">
        <f>BZ32/31</f>
        <v>1</v>
      </c>
      <c r="BV1" s="4493"/>
      <c r="BW1" s="4494"/>
      <c r="BY1" s="503">
        <f>BY2-BY5</f>
        <v>1789.7533333333331</v>
      </c>
      <c r="BZ1" s="504">
        <f>BY1*30%</f>
        <v>536.92599999999993</v>
      </c>
      <c r="CA1" s="590">
        <f>BY1/BY5</f>
        <v>0.70480858593549001</v>
      </c>
      <c r="CB1" s="693"/>
      <c r="CC1" s="703"/>
      <c r="CD1" s="704"/>
      <c r="CE1" s="705"/>
      <c r="CF1" s="694"/>
      <c r="CG1" s="703"/>
      <c r="CH1" s="704"/>
      <c r="CI1" s="705"/>
      <c r="CJ1" s="694"/>
    </row>
    <row r="2" spans="1:173" ht="20.25" customHeight="1" thickBot="1" x14ac:dyDescent="0.25">
      <c r="C2" s="4457"/>
      <c r="D2" s="1561"/>
      <c r="E2" s="4466" t="s">
        <v>187</v>
      </c>
      <c r="F2" s="4466"/>
      <c r="G2" s="4466"/>
      <c r="H2" s="4466"/>
      <c r="I2" s="4466"/>
      <c r="J2" s="4466"/>
      <c r="K2" s="4466"/>
      <c r="L2" s="1562"/>
      <c r="M2" s="1561"/>
      <c r="N2" s="4511" t="s">
        <v>135</v>
      </c>
      <c r="O2" s="4511"/>
      <c r="P2" s="4511"/>
      <c r="Q2" s="4511"/>
      <c r="R2" s="4511"/>
      <c r="S2" s="4511"/>
      <c r="T2" s="4511"/>
      <c r="U2" s="919"/>
      <c r="V2" s="4512" t="s">
        <v>139</v>
      </c>
      <c r="W2" s="4513"/>
      <c r="X2" s="4514"/>
      <c r="Y2" s="923"/>
      <c r="Z2" s="4511" t="s">
        <v>136</v>
      </c>
      <c r="AA2" s="4511"/>
      <c r="AB2" s="4511"/>
      <c r="AC2" s="4511"/>
      <c r="AD2" s="4511"/>
      <c r="AE2" s="4511"/>
      <c r="AF2" s="4511"/>
      <c r="AG2" s="776"/>
      <c r="AH2" s="4512" t="s">
        <v>140</v>
      </c>
      <c r="AI2" s="4513"/>
      <c r="AJ2" s="4514"/>
      <c r="AK2" s="776"/>
      <c r="AL2" s="4511" t="s">
        <v>137</v>
      </c>
      <c r="AM2" s="4511"/>
      <c r="AN2" s="4511"/>
      <c r="AO2" s="4511"/>
      <c r="AP2" s="4511"/>
      <c r="AQ2" s="4511"/>
      <c r="AR2" s="4511"/>
      <c r="AS2" s="776"/>
      <c r="AT2" s="4512" t="s">
        <v>141</v>
      </c>
      <c r="AU2" s="4513"/>
      <c r="AV2" s="4514"/>
      <c r="AW2" s="776"/>
      <c r="AX2" s="4511" t="s">
        <v>138</v>
      </c>
      <c r="AY2" s="4511"/>
      <c r="AZ2" s="4511"/>
      <c r="BA2" s="4511"/>
      <c r="BB2" s="4511"/>
      <c r="BC2" s="4511"/>
      <c r="BD2" s="4511"/>
      <c r="BE2" s="776"/>
      <c r="BF2" s="4512" t="s">
        <v>142</v>
      </c>
      <c r="BG2" s="4513"/>
      <c r="BH2" s="4514"/>
      <c r="BI2" s="1564"/>
      <c r="BJ2" s="4516" t="s">
        <v>145</v>
      </c>
      <c r="BK2" s="4517"/>
      <c r="BL2" s="4517"/>
      <c r="BM2" s="1564"/>
      <c r="BN2" s="4512" t="s">
        <v>146</v>
      </c>
      <c r="BO2" s="4513"/>
      <c r="BP2" s="4514"/>
      <c r="BR2" s="4473" t="s">
        <v>54</v>
      </c>
      <c r="BS2" s="4476" t="s">
        <v>61</v>
      </c>
      <c r="BU2" s="4495"/>
      <c r="BV2" s="4496"/>
      <c r="BW2" s="4497"/>
      <c r="BY2" s="505">
        <f>BU5/BZ32*31</f>
        <v>4329.0999999999995</v>
      </c>
      <c r="BZ2" s="506">
        <f>BY2*30%</f>
        <v>1298.7299999999998</v>
      </c>
      <c r="CA2" s="507">
        <f>BZ2-E26</f>
        <v>536.92599999999982</v>
      </c>
      <c r="CB2" s="695"/>
      <c r="CC2" s="1436"/>
      <c r="CD2" s="1437"/>
      <c r="CE2" s="1438"/>
      <c r="CF2" s="696"/>
      <c r="CG2" s="1436"/>
      <c r="CH2" s="1437"/>
      <c r="CI2" s="1439"/>
      <c r="CJ2" s="696"/>
    </row>
    <row r="3" spans="1:173" s="255" customFormat="1" ht="17.25" customHeight="1" x14ac:dyDescent="0.2">
      <c r="C3" s="1533" t="s">
        <v>189</v>
      </c>
      <c r="D3" s="812"/>
      <c r="E3" s="1500"/>
      <c r="F3" s="1500"/>
      <c r="G3" s="1500"/>
      <c r="H3" s="1500"/>
      <c r="I3" s="1500" t="s">
        <v>209</v>
      </c>
      <c r="J3" s="1500">
        <f>BU3</f>
        <v>0</v>
      </c>
      <c r="K3" s="1503"/>
      <c r="L3" s="1406"/>
      <c r="M3" s="1405"/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1407"/>
      <c r="V3" s="911">
        <f>SUM(N3:T3)</f>
        <v>0</v>
      </c>
      <c r="W3" s="132"/>
      <c r="X3" s="586"/>
      <c r="Y3" s="1408"/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  <c r="AG3" s="1409"/>
      <c r="AH3" s="911">
        <f>SUM(Z3:AF3)</f>
        <v>0</v>
      </c>
      <c r="AI3" s="1441"/>
      <c r="AJ3" s="1442"/>
      <c r="AK3" s="1409"/>
      <c r="AL3" s="1660">
        <v>0</v>
      </c>
      <c r="AM3" s="1660">
        <v>0</v>
      </c>
      <c r="AN3" s="1660">
        <v>0</v>
      </c>
      <c r="AO3" s="1660">
        <v>0</v>
      </c>
      <c r="AP3" s="1660">
        <v>0</v>
      </c>
      <c r="AQ3" s="1660">
        <v>0</v>
      </c>
      <c r="AR3" s="1660">
        <v>0</v>
      </c>
      <c r="AS3" s="1409"/>
      <c r="AT3" s="1664">
        <f>SUM(AL3:AR3)</f>
        <v>0</v>
      </c>
      <c r="AU3" s="1441"/>
      <c r="AV3" s="1442"/>
      <c r="AW3" s="1409"/>
      <c r="AX3" s="1660">
        <v>0</v>
      </c>
      <c r="AY3" s="1660">
        <v>0</v>
      </c>
      <c r="AZ3" s="1660">
        <v>0</v>
      </c>
      <c r="BA3" s="1660">
        <v>0</v>
      </c>
      <c r="BB3" s="1660">
        <v>0</v>
      </c>
      <c r="BC3" s="1660">
        <v>0</v>
      </c>
      <c r="BD3" s="1660">
        <v>0</v>
      </c>
      <c r="BE3" s="1409"/>
      <c r="BF3" s="1664">
        <f>SUM(AX3:BD3)</f>
        <v>0</v>
      </c>
      <c r="BG3" s="1660"/>
      <c r="BH3" s="1681"/>
      <c r="BI3" s="1410"/>
      <c r="BJ3" s="1660">
        <v>0</v>
      </c>
      <c r="BK3" s="1660">
        <v>0</v>
      </c>
      <c r="BL3" s="1660">
        <v>0</v>
      </c>
      <c r="BM3" s="1410"/>
      <c r="BN3" s="1664">
        <f>SUM(BJ3:BL3)</f>
        <v>0</v>
      </c>
      <c r="BO3" s="1660"/>
      <c r="BP3" s="1681"/>
      <c r="BR3" s="4474"/>
      <c r="BS3" s="4477"/>
      <c r="BU3" s="1482">
        <f>SUM(N3:T3)+SUM(Z3:AF3)+SUM(AL3:AR3)+SUM(AX3:BD3)+SUM(BJ3:BL3)</f>
        <v>0</v>
      </c>
      <c r="BV3" s="1433"/>
      <c r="BW3" s="1197"/>
      <c r="BY3" s="1411"/>
      <c r="BZ3" s="1412"/>
      <c r="CA3" s="1413"/>
      <c r="CB3" s="1414"/>
      <c r="CC3" s="1415"/>
      <c r="CD3" s="1416"/>
      <c r="CE3" s="1417"/>
      <c r="CF3" s="1414"/>
      <c r="CG3" s="1415"/>
      <c r="CH3" s="1416"/>
      <c r="CI3" s="1418"/>
      <c r="CJ3" s="1414"/>
    </row>
    <row r="4" spans="1:173" ht="17.25" customHeight="1" thickBot="1" x14ac:dyDescent="0.25">
      <c r="C4" s="1534" t="s">
        <v>210</v>
      </c>
      <c r="D4" s="780"/>
      <c r="E4" s="1497"/>
      <c r="F4" s="1497"/>
      <c r="G4" s="1497"/>
      <c r="H4" s="1497"/>
      <c r="I4" s="1497"/>
      <c r="J4" s="1497">
        <f>BU4</f>
        <v>0</v>
      </c>
      <c r="K4" s="1515"/>
      <c r="L4" s="1562"/>
      <c r="M4" s="1561"/>
      <c r="N4" s="5">
        <f t="shared" ref="N4:T4" si="0">N3*30%</f>
        <v>0</v>
      </c>
      <c r="O4" s="5">
        <f t="shared" si="0"/>
        <v>0</v>
      </c>
      <c r="P4" s="5">
        <f t="shared" si="0"/>
        <v>0</v>
      </c>
      <c r="Q4" s="5">
        <f t="shared" si="0"/>
        <v>0</v>
      </c>
      <c r="R4" s="5">
        <f t="shared" si="0"/>
        <v>0</v>
      </c>
      <c r="S4" s="5">
        <f t="shared" si="0"/>
        <v>0</v>
      </c>
      <c r="T4" s="5">
        <f t="shared" si="0"/>
        <v>0</v>
      </c>
      <c r="U4" s="919"/>
      <c r="V4" s="937">
        <f>SUM(N4:T4)</f>
        <v>0</v>
      </c>
      <c r="W4" s="347"/>
      <c r="X4" s="1143"/>
      <c r="Y4" s="923"/>
      <c r="Z4" s="5">
        <f t="shared" ref="Z4:AD4" si="1">Z3*30%</f>
        <v>0</v>
      </c>
      <c r="AA4" s="5">
        <f t="shared" si="1"/>
        <v>0</v>
      </c>
      <c r="AB4" s="5">
        <f t="shared" si="1"/>
        <v>0</v>
      </c>
      <c r="AC4" s="5">
        <f t="shared" si="1"/>
        <v>0</v>
      </c>
      <c r="AD4" s="5">
        <f t="shared" si="1"/>
        <v>0</v>
      </c>
      <c r="AE4" s="5">
        <f t="shared" ref="AE4:AF4" si="2">AE3*30%</f>
        <v>0</v>
      </c>
      <c r="AF4" s="5">
        <f t="shared" si="2"/>
        <v>0</v>
      </c>
      <c r="AG4" s="776"/>
      <c r="AH4" s="937">
        <f>SUM(Z4:AF4)</f>
        <v>0</v>
      </c>
      <c r="AI4" s="1443"/>
      <c r="AJ4" s="1444"/>
      <c r="AK4" s="776"/>
      <c r="AL4" s="1661">
        <f t="shared" ref="AL4:AO4" si="3">AL3*30%</f>
        <v>0</v>
      </c>
      <c r="AM4" s="1661">
        <f t="shared" si="3"/>
        <v>0</v>
      </c>
      <c r="AN4" s="1661">
        <f t="shared" si="3"/>
        <v>0</v>
      </c>
      <c r="AO4" s="1661">
        <f t="shared" si="3"/>
        <v>0</v>
      </c>
      <c r="AP4" s="1661">
        <f t="shared" ref="AP4:AQ4" si="4">AP3*30%</f>
        <v>0</v>
      </c>
      <c r="AQ4" s="1661">
        <f t="shared" si="4"/>
        <v>0</v>
      </c>
      <c r="AR4" s="1661">
        <f t="shared" ref="AR4" si="5">AR3*30%</f>
        <v>0</v>
      </c>
      <c r="AS4" s="776"/>
      <c r="AT4" s="1665">
        <f>SUM(AL4:AR4)</f>
        <v>0</v>
      </c>
      <c r="AU4" s="1443"/>
      <c r="AV4" s="1444"/>
      <c r="AW4" s="776"/>
      <c r="AX4" s="1661">
        <f t="shared" ref="AX4:BD4" si="6">AX3*30%</f>
        <v>0</v>
      </c>
      <c r="AY4" s="1661">
        <f t="shared" si="6"/>
        <v>0</v>
      </c>
      <c r="AZ4" s="1661">
        <f t="shared" si="6"/>
        <v>0</v>
      </c>
      <c r="BA4" s="1661">
        <f t="shared" si="6"/>
        <v>0</v>
      </c>
      <c r="BB4" s="1661">
        <f t="shared" si="6"/>
        <v>0</v>
      </c>
      <c r="BC4" s="1661">
        <f t="shared" si="6"/>
        <v>0</v>
      </c>
      <c r="BD4" s="1661">
        <f t="shared" si="6"/>
        <v>0</v>
      </c>
      <c r="BE4" s="776"/>
      <c r="BF4" s="1665">
        <f>SUM(AX4:BD4)</f>
        <v>0</v>
      </c>
      <c r="BG4" s="1661"/>
      <c r="BH4" s="1682"/>
      <c r="BI4" s="1564"/>
      <c r="BJ4" s="1661">
        <f t="shared" ref="BJ4:BL4" si="7">BJ3*30%</f>
        <v>0</v>
      </c>
      <c r="BK4" s="1661">
        <f t="shared" si="7"/>
        <v>0</v>
      </c>
      <c r="BL4" s="1661">
        <f t="shared" si="7"/>
        <v>0</v>
      </c>
      <c r="BM4" s="1564"/>
      <c r="BN4" s="1665">
        <f>SUM(BF4:BL4)</f>
        <v>0</v>
      </c>
      <c r="BO4" s="1661"/>
      <c r="BP4" s="1682"/>
      <c r="BR4" s="4474"/>
      <c r="BS4" s="4477"/>
      <c r="BU4" s="1435">
        <f>SUM(N4:T4)+SUM(Z4:AF4)+SUM(AL4:AR4)+SUM(AX4:BD4)+SUM(BJ4:BL4)</f>
        <v>0</v>
      </c>
      <c r="BV4" s="9"/>
      <c r="BW4" s="1015"/>
      <c r="BY4" s="1384"/>
      <c r="BZ4" s="1385"/>
      <c r="CA4" s="1386"/>
      <c r="CB4" s="696"/>
      <c r="CC4" s="1387"/>
      <c r="CD4" s="1388"/>
      <c r="CE4" s="1389"/>
      <c r="CF4" s="696"/>
      <c r="CG4" s="1387"/>
      <c r="CH4" s="1388"/>
      <c r="CI4" s="1390"/>
      <c r="CJ4" s="696"/>
    </row>
    <row r="5" spans="1:173" s="426" customFormat="1" ht="17.25" customHeight="1" x14ac:dyDescent="0.2">
      <c r="C5" s="1620" t="s">
        <v>185</v>
      </c>
      <c r="D5" s="812"/>
      <c r="E5" s="1627"/>
      <c r="F5" s="1627"/>
      <c r="G5" s="1627"/>
      <c r="H5" s="1627"/>
      <c r="I5" s="1627"/>
      <c r="J5" s="1627">
        <f>BU5</f>
        <v>4329.0999999999995</v>
      </c>
      <c r="K5" s="1638"/>
      <c r="L5" s="1396"/>
      <c r="M5" s="480"/>
      <c r="N5" s="132">
        <v>173.3</v>
      </c>
      <c r="O5" s="132">
        <v>121.8</v>
      </c>
      <c r="P5" s="132">
        <v>220</v>
      </c>
      <c r="Q5" s="132">
        <v>120.75</v>
      </c>
      <c r="R5" s="132">
        <v>143.1</v>
      </c>
      <c r="S5" s="132">
        <v>149.4</v>
      </c>
      <c r="T5" s="132">
        <v>121.4</v>
      </c>
      <c r="U5" s="920"/>
      <c r="V5" s="925">
        <f>SUM(N5:T5)</f>
        <v>1049.75</v>
      </c>
      <c r="W5" s="132">
        <f>($J$26*100/30)*7</f>
        <v>576.41161290322577</v>
      </c>
      <c r="X5" s="926">
        <f>V5-W5</f>
        <v>473.33838709677423</v>
      </c>
      <c r="Y5" s="779"/>
      <c r="Z5" s="132">
        <v>180</v>
      </c>
      <c r="AA5" s="132">
        <v>91.55</v>
      </c>
      <c r="AB5" s="132">
        <v>166.05</v>
      </c>
      <c r="AC5" s="132">
        <v>152.30000000000001</v>
      </c>
      <c r="AD5" s="132">
        <v>0</v>
      </c>
      <c r="AE5" s="132">
        <v>171.05</v>
      </c>
      <c r="AF5" s="132">
        <v>142.65</v>
      </c>
      <c r="AG5" s="777"/>
      <c r="AH5" s="925">
        <f>SUM(Z5:AF5)</f>
        <v>903.6</v>
      </c>
      <c r="AI5" s="132">
        <f>($J$26*100/30)*7</f>
        <v>576.41161290322577</v>
      </c>
      <c r="AJ5" s="926">
        <f>AH5-AI5</f>
        <v>327.18838709677425</v>
      </c>
      <c r="AK5" s="777"/>
      <c r="AL5" s="1657">
        <v>97.65</v>
      </c>
      <c r="AM5" s="1657">
        <v>127.8</v>
      </c>
      <c r="AN5" s="132">
        <v>98.7</v>
      </c>
      <c r="AO5" s="132">
        <v>98.75</v>
      </c>
      <c r="AP5" s="132">
        <v>50.1</v>
      </c>
      <c r="AQ5" s="132">
        <v>100.1</v>
      </c>
      <c r="AR5" s="132">
        <v>191.7</v>
      </c>
      <c r="AS5" s="777"/>
      <c r="AT5" s="1662">
        <f>SUM(AL5:AR5)</f>
        <v>764.8</v>
      </c>
      <c r="AU5" s="132">
        <f>($J$26*100/30)*7</f>
        <v>576.41161290322577</v>
      </c>
      <c r="AV5" s="926">
        <f>AT5-AU5</f>
        <v>188.38838709677418</v>
      </c>
      <c r="AW5" s="777"/>
      <c r="AX5" s="132">
        <v>254.5</v>
      </c>
      <c r="AY5" s="132">
        <v>132</v>
      </c>
      <c r="AZ5" s="132">
        <v>142.1</v>
      </c>
      <c r="BA5" s="132">
        <v>178.75</v>
      </c>
      <c r="BB5" s="132">
        <v>172.95</v>
      </c>
      <c r="BC5" s="132">
        <v>132.4</v>
      </c>
      <c r="BD5" s="132">
        <v>129.1</v>
      </c>
      <c r="BE5" s="777"/>
      <c r="BF5" s="925">
        <f>SUM(AX5:BD5)</f>
        <v>1141.8</v>
      </c>
      <c r="BG5" s="132">
        <f>($J$26*100/30)*7</f>
        <v>576.41161290322577</v>
      </c>
      <c r="BH5" s="926">
        <f>BF5-BG5</f>
        <v>565.38838709677418</v>
      </c>
      <c r="BI5" s="479"/>
      <c r="BJ5" s="132">
        <v>129.1</v>
      </c>
      <c r="BK5" s="132">
        <v>158.69999999999999</v>
      </c>
      <c r="BL5" s="132">
        <v>181.35</v>
      </c>
      <c r="BM5" s="479"/>
      <c r="BN5" s="925">
        <f>SUM(BJ5:BL5)</f>
        <v>469.15</v>
      </c>
      <c r="BO5" s="132">
        <f>($J$26*100/30)*3</f>
        <v>247.03354838709677</v>
      </c>
      <c r="BP5" s="926">
        <f>BN5-BO5</f>
        <v>222.11645161290321</v>
      </c>
      <c r="BQ5" s="431"/>
      <c r="BR5" s="4474"/>
      <c r="BS5" s="4477"/>
      <c r="BT5" s="431"/>
      <c r="BU5" s="925">
        <f>SUM(N5:T5)+SUM(Z5:AF5)+SUM(AL5:AR5)+SUM(AX5:BD5)+SUM(BJ5:BL5)</f>
        <v>4329.0999999999995</v>
      </c>
      <c r="BV5" s="641">
        <f>BU5/BY5</f>
        <v>1.70480858593549</v>
      </c>
      <c r="BW5" s="986">
        <f>BU5/1</f>
        <v>4329.0999999999995</v>
      </c>
      <c r="BY5" s="467">
        <f>C26</f>
        <v>2539.3466666666664</v>
      </c>
      <c r="BZ5" s="474">
        <f>BY5-BU5</f>
        <v>-1789.7533333333331</v>
      </c>
      <c r="CA5" s="496" t="e">
        <f>BZ5/BZ35</f>
        <v>#DIV/0!</v>
      </c>
      <c r="CB5" s="697"/>
      <c r="CC5" s="467"/>
      <c r="CD5" s="690"/>
      <c r="CE5" s="700"/>
      <c r="CF5" s="473"/>
      <c r="CG5" s="467"/>
      <c r="CH5" s="690"/>
      <c r="CI5" s="700"/>
      <c r="CJ5" s="473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  <c r="EF5" s="470"/>
      <c r="EG5" s="470"/>
      <c r="EH5" s="470"/>
      <c r="EI5" s="470"/>
      <c r="EJ5" s="470"/>
      <c r="EK5" s="470"/>
      <c r="EL5" s="470"/>
      <c r="EM5" s="470"/>
      <c r="EN5" s="470"/>
      <c r="EO5" s="470"/>
      <c r="EP5" s="470"/>
      <c r="EQ5" s="470"/>
      <c r="ER5" s="470"/>
      <c r="ES5" s="470"/>
      <c r="ET5" s="470"/>
      <c r="EU5" s="470"/>
      <c r="EV5" s="470"/>
      <c r="EW5" s="470"/>
      <c r="EX5" s="470"/>
      <c r="EY5" s="470"/>
      <c r="EZ5" s="470"/>
      <c r="FA5" s="470"/>
      <c r="FB5" s="470"/>
      <c r="FC5" s="470"/>
      <c r="FD5" s="470"/>
      <c r="FE5" s="470"/>
      <c r="FF5" s="470"/>
      <c r="FG5" s="470"/>
      <c r="FH5" s="470"/>
      <c r="FI5" s="470"/>
      <c r="FJ5" s="470"/>
      <c r="FK5" s="470"/>
      <c r="FL5" s="470"/>
      <c r="FM5" s="470"/>
      <c r="FN5" s="470"/>
      <c r="FO5" s="470"/>
      <c r="FP5" s="470"/>
      <c r="FQ5" s="470"/>
    </row>
    <row r="6" spans="1:173" s="432" customFormat="1" ht="17.25" customHeight="1" thickBot="1" x14ac:dyDescent="0.25">
      <c r="C6" s="1637" t="s">
        <v>176</v>
      </c>
      <c r="D6" s="780"/>
      <c r="E6" s="1629"/>
      <c r="F6" s="1629"/>
      <c r="G6" s="1629"/>
      <c r="H6" s="1629"/>
      <c r="I6" s="1629"/>
      <c r="J6" s="1629">
        <f>BU6</f>
        <v>1298.7299999999998</v>
      </c>
      <c r="K6" s="1644">
        <f>BR47</f>
        <v>536.92599999999993</v>
      </c>
      <c r="L6" s="1391"/>
      <c r="M6" s="482"/>
      <c r="N6" s="347">
        <f t="shared" ref="N6:T6" si="8">N5*30%</f>
        <v>51.99</v>
      </c>
      <c r="O6" s="347">
        <f t="shared" si="8"/>
        <v>36.54</v>
      </c>
      <c r="P6" s="347">
        <f t="shared" si="8"/>
        <v>66</v>
      </c>
      <c r="Q6" s="347">
        <f t="shared" si="8"/>
        <v>36.225000000000001</v>
      </c>
      <c r="R6" s="347">
        <f t="shared" si="8"/>
        <v>42.93</v>
      </c>
      <c r="S6" s="347">
        <f t="shared" si="8"/>
        <v>44.82</v>
      </c>
      <c r="T6" s="347">
        <f t="shared" si="8"/>
        <v>36.42</v>
      </c>
      <c r="U6" s="921"/>
      <c r="V6" s="508">
        <f>SUM(N6:T6)</f>
        <v>314.92500000000001</v>
      </c>
      <c r="W6" s="626">
        <f>W5*30%</f>
        <v>172.92348387096771</v>
      </c>
      <c r="X6" s="1423">
        <f>X5*30%</f>
        <v>142.00151612903227</v>
      </c>
      <c r="Y6" s="781"/>
      <c r="Z6" s="347">
        <f t="shared" ref="Z6:AD6" si="9">Z5*30%</f>
        <v>54</v>
      </c>
      <c r="AA6" s="347">
        <f t="shared" si="9"/>
        <v>27.465</v>
      </c>
      <c r="AB6" s="347">
        <f t="shared" si="9"/>
        <v>49.815000000000005</v>
      </c>
      <c r="AC6" s="347">
        <f t="shared" si="9"/>
        <v>45.690000000000005</v>
      </c>
      <c r="AD6" s="347">
        <f t="shared" si="9"/>
        <v>0</v>
      </c>
      <c r="AE6" s="347">
        <f t="shared" ref="AE6:AF6" si="10">AE5*30%</f>
        <v>51.315000000000005</v>
      </c>
      <c r="AF6" s="347">
        <f t="shared" si="10"/>
        <v>42.795000000000002</v>
      </c>
      <c r="AG6" s="778"/>
      <c r="AH6" s="508">
        <f>SUM(Z6:AF6)</f>
        <v>271.08</v>
      </c>
      <c r="AI6" s="626">
        <f>AI5*30%</f>
        <v>172.92348387096771</v>
      </c>
      <c r="AJ6" s="1423">
        <f>AJ5*30%</f>
        <v>98.156516129032269</v>
      </c>
      <c r="AK6" s="778"/>
      <c r="AL6" s="1658">
        <f t="shared" ref="AL6:AM6" si="11">AL5*30%</f>
        <v>29.295000000000002</v>
      </c>
      <c r="AM6" s="1658">
        <f t="shared" si="11"/>
        <v>38.339999999999996</v>
      </c>
      <c r="AN6" s="347">
        <f t="shared" ref="AN6:AR6" si="12">AN5*30%</f>
        <v>29.61</v>
      </c>
      <c r="AO6" s="347">
        <f t="shared" si="12"/>
        <v>29.625</v>
      </c>
      <c r="AP6" s="347">
        <f t="shared" ref="AP6:AQ6" si="13">AP5*30%</f>
        <v>15.03</v>
      </c>
      <c r="AQ6" s="347">
        <f t="shared" si="13"/>
        <v>30.029999999999998</v>
      </c>
      <c r="AR6" s="347">
        <f t="shared" si="12"/>
        <v>57.51</v>
      </c>
      <c r="AS6" s="778"/>
      <c r="AT6" s="1663">
        <f>SUM(AL6:AR6)</f>
        <v>229.43999999999997</v>
      </c>
      <c r="AU6" s="626">
        <f>AU5*30%</f>
        <v>172.92348387096771</v>
      </c>
      <c r="AV6" s="1423">
        <f>AT6-AU6</f>
        <v>56.516516129032254</v>
      </c>
      <c r="AW6" s="778"/>
      <c r="AX6" s="347">
        <f t="shared" ref="AX6:BD6" si="14">AX5*30%</f>
        <v>76.349999999999994</v>
      </c>
      <c r="AY6" s="347">
        <f t="shared" si="14"/>
        <v>39.6</v>
      </c>
      <c r="AZ6" s="347">
        <f t="shared" si="14"/>
        <v>42.629999999999995</v>
      </c>
      <c r="BA6" s="347">
        <f t="shared" si="14"/>
        <v>53.625</v>
      </c>
      <c r="BB6" s="347">
        <f t="shared" si="14"/>
        <v>51.884999999999998</v>
      </c>
      <c r="BC6" s="347">
        <f t="shared" si="14"/>
        <v>39.72</v>
      </c>
      <c r="BD6" s="347">
        <f t="shared" si="14"/>
        <v>38.729999999999997</v>
      </c>
      <c r="BE6" s="778"/>
      <c r="BF6" s="508">
        <f>SUM(AX6:BD6)</f>
        <v>342.53999999999996</v>
      </c>
      <c r="BG6" s="626">
        <f>BG5*30%</f>
        <v>172.92348387096771</v>
      </c>
      <c r="BH6" s="1423">
        <f>BF6-BG6</f>
        <v>169.61651612903225</v>
      </c>
      <c r="BI6" s="481"/>
      <c r="BJ6" s="347">
        <f t="shared" ref="BJ6:BL6" si="15">BJ5*30%</f>
        <v>38.729999999999997</v>
      </c>
      <c r="BK6" s="347">
        <f t="shared" si="15"/>
        <v>47.609999999999992</v>
      </c>
      <c r="BL6" s="347">
        <f t="shared" si="15"/>
        <v>54.404999999999994</v>
      </c>
      <c r="BM6" s="481"/>
      <c r="BN6" s="508">
        <f>SUM(BJ6:BL6)</f>
        <v>140.74499999999998</v>
      </c>
      <c r="BO6" s="626">
        <f>BO5*30%</f>
        <v>74.110064516129029</v>
      </c>
      <c r="BP6" s="1423">
        <f>BN6-BO6</f>
        <v>66.634935483870947</v>
      </c>
      <c r="BQ6" s="437"/>
      <c r="BR6" s="4474"/>
      <c r="BS6" s="4477"/>
      <c r="BT6" s="437"/>
      <c r="BU6" s="1124">
        <f>SUM(N6:T6)+SUM(Z6:AF6)+SUM(AL6:AR6)+SUM(AX6:BD6)+SUM(BJ6:BL6)</f>
        <v>1298.7299999999998</v>
      </c>
      <c r="BV6" s="1434">
        <f>BU6/E26</f>
        <v>1.7048085859354898</v>
      </c>
      <c r="BW6" s="510">
        <f>BU6/1</f>
        <v>1298.7299999999998</v>
      </c>
      <c r="BY6" s="508">
        <f>BU6-E26</f>
        <v>536.92599999999982</v>
      </c>
      <c r="BZ6" s="509" t="e">
        <f>BY6/BZ35</f>
        <v>#DIV/0!</v>
      </c>
      <c r="CA6" s="510" t="e">
        <f>BZ6*100%/30%</f>
        <v>#DIV/0!</v>
      </c>
      <c r="CB6" s="698"/>
      <c r="CC6" s="508"/>
      <c r="CD6" s="626"/>
      <c r="CE6" s="701"/>
      <c r="CF6" s="469"/>
      <c r="CG6" s="508"/>
      <c r="CH6" s="626"/>
      <c r="CI6" s="701"/>
      <c r="CJ6" s="469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  <c r="FP6" s="471"/>
      <c r="FQ6" s="471"/>
    </row>
    <row r="7" spans="1:173" s="444" customFormat="1" ht="4.5" customHeight="1" thickBot="1" x14ac:dyDescent="0.25">
      <c r="E7" s="481"/>
      <c r="F7" s="481"/>
      <c r="G7" s="481"/>
      <c r="H7" s="481"/>
      <c r="I7" s="481"/>
      <c r="J7" s="481"/>
      <c r="K7" s="482"/>
      <c r="L7" s="1391"/>
      <c r="M7" s="482"/>
      <c r="N7" s="435"/>
      <c r="O7" s="435"/>
      <c r="P7" s="435"/>
      <c r="Q7" s="435"/>
      <c r="R7" s="435"/>
      <c r="S7" s="435"/>
      <c r="T7" s="435"/>
      <c r="U7" s="481"/>
      <c r="V7" s="481"/>
      <c r="W7" s="481"/>
      <c r="X7" s="481"/>
      <c r="Y7" s="481"/>
      <c r="Z7" s="435"/>
      <c r="AA7" s="435"/>
      <c r="AB7" s="435"/>
      <c r="AC7" s="435"/>
      <c r="AD7" s="435"/>
      <c r="AE7" s="435"/>
      <c r="AF7" s="435"/>
      <c r="AG7" s="481"/>
      <c r="AH7" s="481"/>
      <c r="AI7" s="481"/>
      <c r="AJ7" s="481"/>
      <c r="AK7" s="481"/>
      <c r="AL7" s="1659"/>
      <c r="AM7" s="1659"/>
      <c r="AN7" s="435"/>
      <c r="AO7" s="435"/>
      <c r="AP7" s="435"/>
      <c r="AQ7" s="435"/>
      <c r="AR7" s="435"/>
      <c r="AS7" s="481"/>
      <c r="AT7" s="481"/>
      <c r="AU7" s="481"/>
      <c r="AV7" s="481"/>
      <c r="AW7" s="481"/>
      <c r="AX7" s="435"/>
      <c r="AY7" s="435"/>
      <c r="AZ7" s="435"/>
      <c r="BA7" s="435"/>
      <c r="BB7" s="435"/>
      <c r="BC7" s="435"/>
      <c r="BD7" s="435"/>
      <c r="BE7" s="481"/>
      <c r="BF7" s="481"/>
      <c r="BG7" s="481"/>
      <c r="BH7" s="481"/>
      <c r="BI7" s="481"/>
      <c r="BJ7" s="435"/>
      <c r="BK7" s="435"/>
      <c r="BL7" s="435"/>
      <c r="BM7" s="481"/>
      <c r="BN7" s="481"/>
      <c r="BO7" s="481"/>
      <c r="BP7" s="481"/>
      <c r="BQ7" s="481"/>
      <c r="BR7" s="4474"/>
      <c r="BS7" s="4477"/>
      <c r="BT7" s="481"/>
      <c r="BU7" s="481"/>
      <c r="BV7" s="482"/>
      <c r="BW7" s="1098"/>
      <c r="BY7" s="481"/>
      <c r="BZ7" s="1098"/>
      <c r="CA7" s="1098"/>
      <c r="CB7" s="698"/>
      <c r="CC7" s="481"/>
      <c r="CD7" s="481"/>
      <c r="CE7" s="1392"/>
      <c r="CF7" s="698"/>
      <c r="CG7" s="481"/>
      <c r="CH7" s="481"/>
      <c r="CI7" s="1392"/>
      <c r="CJ7" s="698"/>
      <c r="CK7" s="1393"/>
      <c r="CL7" s="1393"/>
      <c r="CM7" s="1393"/>
      <c r="CN7" s="1393"/>
      <c r="CO7" s="1393"/>
      <c r="CP7" s="1393"/>
      <c r="CQ7" s="1393"/>
      <c r="CR7" s="1393"/>
      <c r="CS7" s="1393"/>
      <c r="CT7" s="1393"/>
      <c r="CU7" s="1393"/>
      <c r="CV7" s="1393"/>
      <c r="CW7" s="1393"/>
      <c r="CX7" s="1393"/>
      <c r="CY7" s="1393"/>
      <c r="CZ7" s="1393"/>
      <c r="DA7" s="1393"/>
      <c r="DB7" s="1393"/>
      <c r="DC7" s="1393"/>
      <c r="DD7" s="1393"/>
      <c r="DE7" s="1393"/>
      <c r="DF7" s="1393"/>
      <c r="DG7" s="1393"/>
      <c r="DH7" s="1393"/>
      <c r="DI7" s="1393"/>
      <c r="DJ7" s="1393"/>
      <c r="DK7" s="1393"/>
      <c r="DL7" s="1393"/>
      <c r="DM7" s="1393"/>
      <c r="DN7" s="1393"/>
      <c r="DO7" s="1393"/>
      <c r="DP7" s="1393"/>
      <c r="DQ7" s="1393"/>
      <c r="DR7" s="1393"/>
      <c r="DS7" s="1393"/>
      <c r="DT7" s="1393"/>
      <c r="DU7" s="1393"/>
      <c r="DV7" s="1393"/>
      <c r="DW7" s="1393"/>
      <c r="DX7" s="1393"/>
      <c r="DY7" s="1393"/>
      <c r="DZ7" s="1393"/>
      <c r="EA7" s="1393"/>
      <c r="EB7" s="1393"/>
      <c r="EC7" s="1393"/>
      <c r="ED7" s="1393"/>
      <c r="EE7" s="1393"/>
      <c r="EF7" s="1393"/>
      <c r="EG7" s="1393"/>
      <c r="EH7" s="1393"/>
      <c r="EI7" s="1393"/>
      <c r="EJ7" s="1393"/>
      <c r="EK7" s="1393"/>
      <c r="EL7" s="1393"/>
      <c r="EM7" s="1393"/>
      <c r="EN7" s="1393"/>
      <c r="EO7" s="1393"/>
      <c r="EP7" s="1393"/>
      <c r="EQ7" s="1393"/>
      <c r="ER7" s="1393"/>
      <c r="ES7" s="1393"/>
      <c r="ET7" s="1393"/>
      <c r="EU7" s="1393"/>
      <c r="EV7" s="1393"/>
      <c r="EW7" s="1393"/>
      <c r="EX7" s="1393"/>
      <c r="EY7" s="1393"/>
      <c r="EZ7" s="1393"/>
      <c r="FA7" s="1393"/>
      <c r="FB7" s="1393"/>
      <c r="FC7" s="1393"/>
      <c r="FD7" s="1393"/>
      <c r="FE7" s="1393"/>
      <c r="FF7" s="1393"/>
      <c r="FG7" s="1393"/>
      <c r="FH7" s="1393"/>
      <c r="FI7" s="1393"/>
      <c r="FJ7" s="1393"/>
      <c r="FK7" s="1393"/>
      <c r="FL7" s="1393"/>
      <c r="FM7" s="1393"/>
      <c r="FN7" s="1393"/>
      <c r="FO7" s="1393"/>
      <c r="FP7" s="1393"/>
      <c r="FQ7" s="1393"/>
    </row>
    <row r="8" spans="1:173" s="438" customFormat="1" ht="17.25" customHeight="1" x14ac:dyDescent="0.2">
      <c r="C8" s="1535" t="s">
        <v>190</v>
      </c>
      <c r="D8" s="812"/>
      <c r="E8" s="1483"/>
      <c r="F8" s="1483"/>
      <c r="G8" s="1483"/>
      <c r="H8" s="1483"/>
      <c r="I8" s="1483"/>
      <c r="J8" s="1483">
        <f>BU8</f>
        <v>0</v>
      </c>
      <c r="K8" s="1484"/>
      <c r="L8" s="1396"/>
      <c r="M8" s="480"/>
      <c r="N8" s="132">
        <f>(N4-N43)/3</f>
        <v>0</v>
      </c>
      <c r="O8" s="132">
        <f t="shared" ref="O8:T8" si="16">(O4-O43)/3</f>
        <v>0</v>
      </c>
      <c r="P8" s="132">
        <f t="shared" si="16"/>
        <v>0</v>
      </c>
      <c r="Q8" s="132">
        <f t="shared" si="16"/>
        <v>0</v>
      </c>
      <c r="R8" s="132">
        <f t="shared" si="16"/>
        <v>0</v>
      </c>
      <c r="S8" s="132">
        <f t="shared" si="16"/>
        <v>0</v>
      </c>
      <c r="T8" s="132">
        <f t="shared" si="16"/>
        <v>0</v>
      </c>
      <c r="U8" s="479"/>
      <c r="V8" s="467">
        <f>SUM(N8:T8)</f>
        <v>0</v>
      </c>
      <c r="W8" s="1419"/>
      <c r="X8" s="1420"/>
      <c r="Y8" s="779"/>
      <c r="Z8" s="132">
        <f t="shared" ref="Z8:AE8" si="17">(Z4-Z43)/3</f>
        <v>0</v>
      </c>
      <c r="AA8" s="132">
        <f t="shared" si="17"/>
        <v>0</v>
      </c>
      <c r="AB8" s="132">
        <f t="shared" si="17"/>
        <v>0</v>
      </c>
      <c r="AC8" s="132">
        <f t="shared" si="17"/>
        <v>0</v>
      </c>
      <c r="AD8" s="132">
        <f t="shared" si="17"/>
        <v>0</v>
      </c>
      <c r="AE8" s="132">
        <f t="shared" si="17"/>
        <v>0</v>
      </c>
      <c r="AF8" s="132">
        <f t="shared" ref="AF8" si="18">(AF4-AF43)/3</f>
        <v>0</v>
      </c>
      <c r="AG8" s="779"/>
      <c r="AH8" s="467">
        <f>SUM(Z8:AF8)</f>
        <v>0</v>
      </c>
      <c r="AI8" s="1419"/>
      <c r="AJ8" s="1420"/>
      <c r="AK8" s="779"/>
      <c r="AL8" s="1657">
        <f t="shared" ref="AL8:AM8" si="19">(AL4-AL43)/3</f>
        <v>0</v>
      </c>
      <c r="AM8" s="1657">
        <f t="shared" si="19"/>
        <v>0</v>
      </c>
      <c r="AN8" s="1657">
        <f t="shared" ref="AN8:AO8" si="20">(AN4-AN43)/3</f>
        <v>0</v>
      </c>
      <c r="AO8" s="1657">
        <f t="shared" si="20"/>
        <v>0</v>
      </c>
      <c r="AP8" s="1657">
        <f t="shared" ref="AP8:AQ8" si="21">(AP4-AP43)/3</f>
        <v>0</v>
      </c>
      <c r="AQ8" s="1657">
        <f t="shared" si="21"/>
        <v>0</v>
      </c>
      <c r="AR8" s="1657">
        <f t="shared" ref="AR8" si="22">(AR4-AR43)/3</f>
        <v>0</v>
      </c>
      <c r="AS8" s="779"/>
      <c r="AT8" s="467">
        <f>SUM(AL8:AR8)</f>
        <v>0</v>
      </c>
      <c r="AU8" s="1419"/>
      <c r="AV8" s="1420"/>
      <c r="AW8" s="779"/>
      <c r="AX8" s="132">
        <f t="shared" ref="AX8:BD8" si="23">(AX4-AX43)/3</f>
        <v>0</v>
      </c>
      <c r="AY8" s="132">
        <f t="shared" si="23"/>
        <v>0</v>
      </c>
      <c r="AZ8" s="132">
        <f>(AZ4-AZ43)/3</f>
        <v>0</v>
      </c>
      <c r="BA8" s="132">
        <f t="shared" si="23"/>
        <v>0</v>
      </c>
      <c r="BB8" s="132">
        <f t="shared" si="23"/>
        <v>0</v>
      </c>
      <c r="BC8" s="132">
        <f t="shared" si="23"/>
        <v>0</v>
      </c>
      <c r="BD8" s="132">
        <f t="shared" si="23"/>
        <v>0</v>
      </c>
      <c r="BE8" s="779"/>
      <c r="BF8" s="467">
        <f>SUM(AX8:BD8)</f>
        <v>0</v>
      </c>
      <c r="BG8" s="1419"/>
      <c r="BH8" s="1420"/>
      <c r="BI8" s="479"/>
      <c r="BJ8" s="132">
        <f t="shared" ref="BJ8:BL8" si="24">(BJ4-BJ43)/3</f>
        <v>0</v>
      </c>
      <c r="BK8" s="132">
        <f t="shared" si="24"/>
        <v>0</v>
      </c>
      <c r="BL8" s="132">
        <f t="shared" si="24"/>
        <v>0</v>
      </c>
      <c r="BM8" s="479"/>
      <c r="BN8" s="467">
        <f>SUM(BF8:BL8)</f>
        <v>0</v>
      </c>
      <c r="BO8" s="1419"/>
      <c r="BP8" s="1420"/>
      <c r="BQ8" s="479"/>
      <c r="BR8" s="4474"/>
      <c r="BS8" s="4477"/>
      <c r="BT8" s="479"/>
      <c r="BU8" s="1428">
        <f>SUM(N8:T8)+SUM(Z8:AF8)+SUM(AL8:AR8)+SUM(AX8:BD8)+SUM(BJ8:BL8)</f>
        <v>0</v>
      </c>
      <c r="BV8" s="1429"/>
      <c r="BW8" s="1430"/>
      <c r="BY8" s="479"/>
      <c r="BZ8" s="987"/>
      <c r="CA8" s="987"/>
      <c r="CB8" s="697"/>
      <c r="CC8" s="479"/>
      <c r="CD8" s="479"/>
      <c r="CE8" s="1394"/>
      <c r="CF8" s="697"/>
      <c r="CG8" s="479"/>
      <c r="CH8" s="479"/>
      <c r="CI8" s="1394"/>
      <c r="CJ8" s="697"/>
      <c r="CK8" s="1395"/>
      <c r="CL8" s="1395"/>
      <c r="CM8" s="1395"/>
      <c r="CN8" s="1395"/>
      <c r="CO8" s="1395"/>
      <c r="CP8" s="1395"/>
      <c r="CQ8" s="1395"/>
      <c r="CR8" s="1395"/>
      <c r="CS8" s="1395"/>
      <c r="CT8" s="1395"/>
      <c r="CU8" s="1395"/>
      <c r="CV8" s="1395"/>
      <c r="CW8" s="1395"/>
      <c r="CX8" s="1395"/>
      <c r="CY8" s="1395"/>
      <c r="CZ8" s="1395"/>
      <c r="DA8" s="1395"/>
      <c r="DB8" s="1395"/>
      <c r="DC8" s="1395"/>
      <c r="DD8" s="1395"/>
      <c r="DE8" s="1395"/>
      <c r="DF8" s="1395"/>
      <c r="DG8" s="1395"/>
      <c r="DH8" s="1395"/>
      <c r="DI8" s="1395"/>
      <c r="DJ8" s="1395"/>
      <c r="DK8" s="1395"/>
      <c r="DL8" s="1395"/>
      <c r="DM8" s="1395"/>
      <c r="DN8" s="1395"/>
      <c r="DO8" s="1395"/>
      <c r="DP8" s="1395"/>
      <c r="DQ8" s="1395"/>
      <c r="DR8" s="1395"/>
      <c r="DS8" s="1395"/>
      <c r="DT8" s="1395"/>
      <c r="DU8" s="1395"/>
      <c r="DV8" s="1395"/>
      <c r="DW8" s="1395"/>
      <c r="DX8" s="1395"/>
      <c r="DY8" s="1395"/>
      <c r="DZ8" s="1395"/>
      <c r="EA8" s="1395"/>
      <c r="EB8" s="1395"/>
      <c r="EC8" s="1395"/>
      <c r="ED8" s="1395"/>
      <c r="EE8" s="1395"/>
      <c r="EF8" s="1395"/>
      <c r="EG8" s="1395"/>
      <c r="EH8" s="1395"/>
      <c r="EI8" s="1395"/>
      <c r="EJ8" s="1395"/>
      <c r="EK8" s="1395"/>
      <c r="EL8" s="1395"/>
      <c r="EM8" s="1395"/>
      <c r="EN8" s="1395"/>
      <c r="EO8" s="1395"/>
      <c r="EP8" s="1395"/>
      <c r="EQ8" s="1395"/>
      <c r="ER8" s="1395"/>
      <c r="ES8" s="1395"/>
      <c r="ET8" s="1395"/>
      <c r="EU8" s="1395"/>
      <c r="EV8" s="1395"/>
      <c r="EW8" s="1395"/>
      <c r="EX8" s="1395"/>
      <c r="EY8" s="1395"/>
      <c r="EZ8" s="1395"/>
      <c r="FA8" s="1395"/>
      <c r="FB8" s="1395"/>
      <c r="FC8" s="1395"/>
      <c r="FD8" s="1395"/>
      <c r="FE8" s="1395"/>
      <c r="FF8" s="1395"/>
      <c r="FG8" s="1395"/>
      <c r="FH8" s="1395"/>
      <c r="FI8" s="1395"/>
      <c r="FJ8" s="1395"/>
      <c r="FK8" s="1395"/>
      <c r="FL8" s="1395"/>
      <c r="FM8" s="1395"/>
      <c r="FN8" s="1395"/>
      <c r="FO8" s="1395"/>
      <c r="FP8" s="1395"/>
      <c r="FQ8" s="1395"/>
    </row>
    <row r="9" spans="1:173" s="432" customFormat="1" ht="17.25" customHeight="1" thickBot="1" x14ac:dyDescent="0.25">
      <c r="C9" s="1536" t="s">
        <v>169</v>
      </c>
      <c r="D9" s="780"/>
      <c r="E9" s="1485"/>
      <c r="F9" s="1485"/>
      <c r="G9" s="1485"/>
      <c r="H9" s="1485"/>
      <c r="I9" s="1485"/>
      <c r="J9" s="1485">
        <f>BU9</f>
        <v>1298.7299999999998</v>
      </c>
      <c r="K9" s="1715">
        <f>J9-(E58+E56+E26)</f>
        <v>0</v>
      </c>
      <c r="L9" s="1391"/>
      <c r="M9" s="482"/>
      <c r="N9" s="347">
        <f t="shared" ref="N9:T9" si="25">N8+N6</f>
        <v>51.99</v>
      </c>
      <c r="O9" s="347">
        <f t="shared" si="25"/>
        <v>36.54</v>
      </c>
      <c r="P9" s="347">
        <f t="shared" si="25"/>
        <v>66</v>
      </c>
      <c r="Q9" s="347">
        <f t="shared" si="25"/>
        <v>36.225000000000001</v>
      </c>
      <c r="R9" s="347">
        <f t="shared" si="25"/>
        <v>42.93</v>
      </c>
      <c r="S9" s="347">
        <f t="shared" si="25"/>
        <v>44.82</v>
      </c>
      <c r="T9" s="347">
        <f t="shared" si="25"/>
        <v>36.42</v>
      </c>
      <c r="U9" s="481"/>
      <c r="V9" s="508">
        <f>SUM(N9:T9)</f>
        <v>314.92500000000001</v>
      </c>
      <c r="W9" s="1421"/>
      <c r="X9" s="1422"/>
      <c r="Y9" s="781"/>
      <c r="Z9" s="347">
        <f t="shared" ref="Z9:AA9" si="26">Z8+Z6</f>
        <v>54</v>
      </c>
      <c r="AA9" s="347">
        <f t="shared" si="26"/>
        <v>27.465</v>
      </c>
      <c r="AB9" s="347">
        <f t="shared" ref="AB9:AC9" si="27">AB8+AB6</f>
        <v>49.815000000000005</v>
      </c>
      <c r="AC9" s="347">
        <f t="shared" si="27"/>
        <v>45.690000000000005</v>
      </c>
      <c r="AD9" s="347">
        <f t="shared" ref="AD9:AE9" si="28">AD8+AD6</f>
        <v>0</v>
      </c>
      <c r="AE9" s="347">
        <f t="shared" si="28"/>
        <v>51.315000000000005</v>
      </c>
      <c r="AF9" s="347">
        <f t="shared" ref="AF9" si="29">AF8+AF6</f>
        <v>42.795000000000002</v>
      </c>
      <c r="AG9" s="781"/>
      <c r="AH9" s="508">
        <f>SUM(Z9:AF9)</f>
        <v>271.08</v>
      </c>
      <c r="AI9" s="1421"/>
      <c r="AJ9" s="1422"/>
      <c r="AK9" s="781"/>
      <c r="AL9" s="1658">
        <f t="shared" ref="AL9:AM9" si="30">AL8+AL6</f>
        <v>29.295000000000002</v>
      </c>
      <c r="AM9" s="1658">
        <f t="shared" si="30"/>
        <v>38.339999999999996</v>
      </c>
      <c r="AN9" s="1658">
        <f t="shared" ref="AN9:AO9" si="31">AN8+AN6</f>
        <v>29.61</v>
      </c>
      <c r="AO9" s="1658">
        <f t="shared" si="31"/>
        <v>29.625</v>
      </c>
      <c r="AP9" s="1658">
        <f t="shared" ref="AP9:AQ9" si="32">AP8+AP6</f>
        <v>15.03</v>
      </c>
      <c r="AQ9" s="1658">
        <f t="shared" si="32"/>
        <v>30.029999999999998</v>
      </c>
      <c r="AR9" s="1658">
        <f t="shared" ref="AR9" si="33">AR8+AR6</f>
        <v>57.51</v>
      </c>
      <c r="AS9" s="781"/>
      <c r="AT9" s="508">
        <f>SUM(AL9:AR9)</f>
        <v>229.43999999999997</v>
      </c>
      <c r="AU9" s="1421"/>
      <c r="AV9" s="1422"/>
      <c r="AW9" s="781"/>
      <c r="AX9" s="347">
        <f t="shared" ref="AX9:BD9" si="34">AX8+AX6</f>
        <v>76.349999999999994</v>
      </c>
      <c r="AY9" s="347">
        <f t="shared" si="34"/>
        <v>39.6</v>
      </c>
      <c r="AZ9" s="347">
        <f t="shared" si="34"/>
        <v>42.629999999999995</v>
      </c>
      <c r="BA9" s="347">
        <f t="shared" si="34"/>
        <v>53.625</v>
      </c>
      <c r="BB9" s="347">
        <f t="shared" si="34"/>
        <v>51.884999999999998</v>
      </c>
      <c r="BC9" s="347">
        <f t="shared" si="34"/>
        <v>39.72</v>
      </c>
      <c r="BD9" s="347">
        <f t="shared" si="34"/>
        <v>38.729999999999997</v>
      </c>
      <c r="BE9" s="781"/>
      <c r="BF9" s="508">
        <f>SUM(AX9:BD9)</f>
        <v>342.53999999999996</v>
      </c>
      <c r="BG9" s="1421"/>
      <c r="BH9" s="1422"/>
      <c r="BI9" s="481"/>
      <c r="BJ9" s="347">
        <f t="shared" ref="BJ9:BL9" si="35">BJ8+BJ6</f>
        <v>38.729999999999997</v>
      </c>
      <c r="BK9" s="347">
        <f t="shared" si="35"/>
        <v>47.609999999999992</v>
      </c>
      <c r="BL9" s="347">
        <f t="shared" si="35"/>
        <v>54.404999999999994</v>
      </c>
      <c r="BM9" s="481"/>
      <c r="BN9" s="508">
        <f>SUM(BJ9:BL9)</f>
        <v>140.74499999999998</v>
      </c>
      <c r="BO9" s="1421"/>
      <c r="BP9" s="1422"/>
      <c r="BQ9" s="437"/>
      <c r="BR9" s="4474"/>
      <c r="BS9" s="4477"/>
      <c r="BT9" s="437"/>
      <c r="BU9" s="1426">
        <f>SUM(N9:T9)+SUM(Z9:AF9)+SUM(AL9:AR9)+SUM(AX9:BD9)+SUM(BJ9:BL9)</f>
        <v>1298.7299999999998</v>
      </c>
      <c r="BV9" s="1431"/>
      <c r="BW9" s="1427"/>
      <c r="BY9" s="481"/>
      <c r="BZ9" s="1098"/>
      <c r="CA9" s="1098"/>
      <c r="CB9" s="698"/>
      <c r="CC9" s="481"/>
      <c r="CD9" s="481"/>
      <c r="CE9" s="1392"/>
      <c r="CF9" s="469"/>
      <c r="CG9" s="481"/>
      <c r="CH9" s="481"/>
      <c r="CI9" s="1392"/>
      <c r="CJ9" s="469"/>
      <c r="CK9" s="471"/>
      <c r="CL9" s="471"/>
      <c r="CM9" s="471"/>
      <c r="CN9" s="471"/>
      <c r="CO9" s="471"/>
      <c r="CP9" s="471"/>
      <c r="CQ9" s="471"/>
      <c r="CR9" s="471"/>
      <c r="CS9" s="471"/>
      <c r="CT9" s="471"/>
      <c r="CU9" s="471"/>
      <c r="CV9" s="471"/>
      <c r="CW9" s="471"/>
      <c r="CX9" s="471"/>
      <c r="CY9" s="471"/>
      <c r="CZ9" s="471"/>
      <c r="DA9" s="471"/>
      <c r="DB9" s="471"/>
      <c r="DC9" s="471"/>
      <c r="DD9" s="471"/>
      <c r="DE9" s="471"/>
      <c r="DF9" s="471"/>
      <c r="DG9" s="471"/>
      <c r="DH9" s="471"/>
      <c r="DI9" s="471"/>
      <c r="DJ9" s="471"/>
      <c r="DK9" s="471"/>
      <c r="DL9" s="471"/>
      <c r="DM9" s="471"/>
      <c r="DN9" s="471"/>
      <c r="DO9" s="471"/>
      <c r="DP9" s="471"/>
      <c r="DQ9" s="471"/>
      <c r="DR9" s="471"/>
      <c r="DS9" s="471"/>
      <c r="DT9" s="471"/>
      <c r="DU9" s="471"/>
      <c r="DV9" s="471"/>
      <c r="DW9" s="471"/>
      <c r="DX9" s="471"/>
      <c r="DY9" s="471"/>
      <c r="DZ9" s="471"/>
      <c r="EA9" s="471"/>
      <c r="EB9" s="471"/>
      <c r="EC9" s="471"/>
      <c r="ED9" s="471"/>
      <c r="EE9" s="471"/>
      <c r="EF9" s="471"/>
      <c r="EG9" s="471"/>
      <c r="EH9" s="471"/>
      <c r="EI9" s="471"/>
      <c r="EJ9" s="471"/>
      <c r="EK9" s="471"/>
      <c r="EL9" s="471"/>
      <c r="EM9" s="471"/>
      <c r="EN9" s="471"/>
      <c r="EO9" s="471"/>
      <c r="EP9" s="471"/>
      <c r="EQ9" s="471"/>
      <c r="ER9" s="471"/>
      <c r="ES9" s="471"/>
      <c r="ET9" s="471"/>
      <c r="EU9" s="471"/>
      <c r="EV9" s="471"/>
      <c r="EW9" s="471"/>
      <c r="EX9" s="471"/>
      <c r="EY9" s="471"/>
      <c r="EZ9" s="471"/>
      <c r="FA9" s="471"/>
      <c r="FB9" s="471"/>
      <c r="FC9" s="471"/>
      <c r="FD9" s="471"/>
      <c r="FE9" s="471"/>
      <c r="FF9" s="471"/>
      <c r="FG9" s="471"/>
      <c r="FH9" s="471"/>
      <c r="FI9" s="471"/>
      <c r="FJ9" s="471"/>
      <c r="FK9" s="471"/>
      <c r="FL9" s="471"/>
      <c r="FM9" s="471"/>
      <c r="FN9" s="471"/>
      <c r="FO9" s="471"/>
      <c r="FP9" s="471"/>
      <c r="FQ9" s="471"/>
    </row>
    <row r="10" spans="1:173" s="444" customFormat="1" ht="4.5" customHeight="1" thickBot="1" x14ac:dyDescent="0.25">
      <c r="E10" s="481"/>
      <c r="F10" s="481"/>
      <c r="G10" s="481"/>
      <c r="H10" s="481"/>
      <c r="I10" s="481"/>
      <c r="J10" s="481"/>
      <c r="K10" s="482"/>
      <c r="L10" s="1391"/>
      <c r="M10" s="482"/>
      <c r="N10" s="435"/>
      <c r="O10" s="435"/>
      <c r="P10" s="435"/>
      <c r="Q10" s="435"/>
      <c r="R10" s="435"/>
      <c r="S10" s="435"/>
      <c r="T10" s="435"/>
      <c r="U10" s="481"/>
      <c r="V10" s="481"/>
      <c r="W10" s="481"/>
      <c r="X10" s="481"/>
      <c r="Y10" s="481"/>
      <c r="Z10" s="435"/>
      <c r="AA10" s="435"/>
      <c r="AB10" s="435"/>
      <c r="AC10" s="435"/>
      <c r="AD10" s="435"/>
      <c r="AE10" s="435"/>
      <c r="AF10" s="435"/>
      <c r="AG10" s="481"/>
      <c r="AH10" s="481"/>
      <c r="AI10" s="481"/>
      <c r="AJ10" s="481"/>
      <c r="AK10" s="481"/>
      <c r="AL10" s="435"/>
      <c r="AM10" s="435"/>
      <c r="AN10" s="435"/>
      <c r="AO10" s="435"/>
      <c r="AP10" s="435"/>
      <c r="AQ10" s="435"/>
      <c r="AR10" s="435"/>
      <c r="AS10" s="481"/>
      <c r="AT10" s="481"/>
      <c r="AU10" s="481"/>
      <c r="AV10" s="481"/>
      <c r="AW10" s="481"/>
      <c r="AX10" s="435"/>
      <c r="AY10" s="435"/>
      <c r="AZ10" s="435"/>
      <c r="BA10" s="435"/>
      <c r="BB10" s="435"/>
      <c r="BC10" s="435"/>
      <c r="BD10" s="435"/>
      <c r="BE10" s="481"/>
      <c r="BF10" s="481"/>
      <c r="BG10" s="481"/>
      <c r="BH10" s="481"/>
      <c r="BI10" s="481"/>
      <c r="BJ10" s="435"/>
      <c r="BK10" s="435"/>
      <c r="BL10" s="435"/>
      <c r="BM10" s="481"/>
      <c r="BN10" s="481"/>
      <c r="BO10" s="481"/>
      <c r="BP10" s="481"/>
      <c r="BQ10" s="481"/>
      <c r="BR10" s="4474"/>
      <c r="BS10" s="4477"/>
      <c r="BT10" s="481"/>
      <c r="BU10" s="481"/>
      <c r="BV10" s="482"/>
      <c r="BW10" s="1098"/>
      <c r="BY10" s="481"/>
      <c r="BZ10" s="1098"/>
      <c r="CA10" s="1098"/>
      <c r="CB10" s="698"/>
      <c r="CC10" s="481"/>
      <c r="CD10" s="481"/>
      <c r="CE10" s="1392"/>
      <c r="CF10" s="698"/>
      <c r="CG10" s="481"/>
      <c r="CH10" s="481"/>
      <c r="CI10" s="1392"/>
      <c r="CJ10" s="698"/>
      <c r="CK10" s="1393"/>
      <c r="CL10" s="1393"/>
      <c r="CM10" s="1393"/>
      <c r="CN10" s="1393"/>
      <c r="CO10" s="1393"/>
      <c r="CP10" s="1393"/>
      <c r="CQ10" s="1393"/>
      <c r="CR10" s="1393"/>
      <c r="CS10" s="1393"/>
      <c r="CT10" s="1393"/>
      <c r="CU10" s="1393"/>
      <c r="CV10" s="1393"/>
      <c r="CW10" s="1393"/>
      <c r="CX10" s="1393"/>
      <c r="CY10" s="1393"/>
      <c r="CZ10" s="1393"/>
      <c r="DA10" s="1393"/>
      <c r="DB10" s="1393"/>
      <c r="DC10" s="1393"/>
      <c r="DD10" s="1393"/>
      <c r="DE10" s="1393"/>
      <c r="DF10" s="1393"/>
      <c r="DG10" s="1393"/>
      <c r="DH10" s="1393"/>
      <c r="DI10" s="1393"/>
      <c r="DJ10" s="1393"/>
      <c r="DK10" s="1393"/>
      <c r="DL10" s="1393"/>
      <c r="DM10" s="1393"/>
      <c r="DN10" s="1393"/>
      <c r="DO10" s="1393"/>
      <c r="DP10" s="1393"/>
      <c r="DQ10" s="1393"/>
      <c r="DR10" s="1393"/>
      <c r="DS10" s="1393"/>
      <c r="DT10" s="1393"/>
      <c r="DU10" s="1393"/>
      <c r="DV10" s="1393"/>
      <c r="DW10" s="1393"/>
      <c r="DX10" s="1393"/>
      <c r="DY10" s="1393"/>
      <c r="DZ10" s="1393"/>
      <c r="EA10" s="1393"/>
      <c r="EB10" s="1393"/>
      <c r="EC10" s="1393"/>
      <c r="ED10" s="1393"/>
      <c r="EE10" s="1393"/>
      <c r="EF10" s="1393"/>
      <c r="EG10" s="1393"/>
      <c r="EH10" s="1393"/>
      <c r="EI10" s="1393"/>
      <c r="EJ10" s="1393"/>
      <c r="EK10" s="1393"/>
      <c r="EL10" s="1393"/>
      <c r="EM10" s="1393"/>
      <c r="EN10" s="1393"/>
      <c r="EO10" s="1393"/>
      <c r="EP10" s="1393"/>
      <c r="EQ10" s="1393"/>
      <c r="ER10" s="1393"/>
      <c r="ES10" s="1393"/>
      <c r="ET10" s="1393"/>
      <c r="EU10" s="1393"/>
      <c r="EV10" s="1393"/>
      <c r="EW10" s="1393"/>
      <c r="EX10" s="1393"/>
      <c r="EY10" s="1393"/>
      <c r="EZ10" s="1393"/>
      <c r="FA10" s="1393"/>
      <c r="FB10" s="1393"/>
      <c r="FC10" s="1393"/>
      <c r="FD10" s="1393"/>
      <c r="FE10" s="1393"/>
      <c r="FF10" s="1393"/>
      <c r="FG10" s="1393"/>
      <c r="FH10" s="1393"/>
      <c r="FI10" s="1393"/>
      <c r="FJ10" s="1393"/>
      <c r="FK10" s="1393"/>
      <c r="FL10" s="1393"/>
      <c r="FM10" s="1393"/>
      <c r="FN10" s="1393"/>
      <c r="FO10" s="1393"/>
      <c r="FP10" s="1393"/>
      <c r="FQ10" s="1393"/>
    </row>
    <row r="11" spans="1:173" s="426" customFormat="1" ht="15" customHeight="1" thickBot="1" x14ac:dyDescent="0.25">
      <c r="C11" s="438"/>
      <c r="D11" s="438"/>
      <c r="K11" s="438"/>
      <c r="L11" s="439"/>
      <c r="M11" s="438"/>
      <c r="N11" s="132" t="s">
        <v>48</v>
      </c>
      <c r="O11" s="132" t="s">
        <v>49</v>
      </c>
      <c r="P11" s="132" t="s">
        <v>50</v>
      </c>
      <c r="Q11" s="132" t="s">
        <v>51</v>
      </c>
      <c r="R11" s="451" t="s">
        <v>45</v>
      </c>
      <c r="S11" s="132" t="s">
        <v>46</v>
      </c>
      <c r="T11" s="132" t="s">
        <v>47</v>
      </c>
      <c r="U11" s="479"/>
      <c r="V11" s="467"/>
      <c r="W11" s="1419"/>
      <c r="X11" s="1420"/>
      <c r="Y11" s="779"/>
      <c r="Z11" s="132" t="s">
        <v>48</v>
      </c>
      <c r="AA11" s="132" t="s">
        <v>49</v>
      </c>
      <c r="AB11" s="132" t="s">
        <v>50</v>
      </c>
      <c r="AC11" s="132" t="s">
        <v>51</v>
      </c>
      <c r="AD11" s="451" t="s">
        <v>45</v>
      </c>
      <c r="AE11" s="132" t="s">
        <v>46</v>
      </c>
      <c r="AF11" s="132" t="s">
        <v>47</v>
      </c>
      <c r="AG11" s="779"/>
      <c r="AH11" s="467"/>
      <c r="AI11" s="1419"/>
      <c r="AJ11" s="1432"/>
      <c r="AK11" s="779"/>
      <c r="AL11" s="132" t="s">
        <v>48</v>
      </c>
      <c r="AM11" s="132" t="s">
        <v>49</v>
      </c>
      <c r="AN11" s="132" t="s">
        <v>50</v>
      </c>
      <c r="AO11" s="132" t="s">
        <v>51</v>
      </c>
      <c r="AP11" s="451" t="s">
        <v>45</v>
      </c>
      <c r="AQ11" s="132" t="s">
        <v>46</v>
      </c>
      <c r="AR11" s="132" t="s">
        <v>47</v>
      </c>
      <c r="AS11" s="779"/>
      <c r="AT11" s="467"/>
      <c r="AU11" s="1419"/>
      <c r="AV11" s="1420"/>
      <c r="AW11" s="779"/>
      <c r="AX11" s="132" t="s">
        <v>47</v>
      </c>
      <c r="AY11" s="132" t="s">
        <v>49</v>
      </c>
      <c r="AZ11" s="132" t="s">
        <v>50</v>
      </c>
      <c r="BA11" s="132" t="s">
        <v>51</v>
      </c>
      <c r="BB11" s="451" t="s">
        <v>45</v>
      </c>
      <c r="BC11" s="132" t="s">
        <v>46</v>
      </c>
      <c r="BD11" s="132" t="s">
        <v>47</v>
      </c>
      <c r="BE11" s="779"/>
      <c r="BF11" s="467"/>
      <c r="BG11" s="1419"/>
      <c r="BH11" s="1420"/>
      <c r="BI11" s="479"/>
      <c r="BJ11" s="132" t="s">
        <v>48</v>
      </c>
      <c r="BK11" s="132" t="s">
        <v>49</v>
      </c>
      <c r="BL11" s="132" t="s">
        <v>50</v>
      </c>
      <c r="BM11" s="479"/>
      <c r="BN11" s="467"/>
      <c r="BO11" s="1419"/>
      <c r="BP11" s="1420"/>
      <c r="BR11" s="4474"/>
      <c r="BS11" s="4477"/>
      <c r="BU11" s="479">
        <f>1252-BU9</f>
        <v>-46.729999999999791</v>
      </c>
      <c r="BV11" s="480"/>
      <c r="BW11" s="987"/>
      <c r="CB11" s="470"/>
      <c r="CC11" s="699"/>
      <c r="CD11" s="699"/>
      <c r="CE11" s="1020"/>
      <c r="CF11" s="470"/>
      <c r="CG11" s="470"/>
      <c r="CH11" s="470"/>
      <c r="CI11" s="1021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  <c r="DJ11" s="470"/>
      <c r="DK11" s="470"/>
      <c r="DL11" s="470"/>
      <c r="DM11" s="470"/>
      <c r="DN11" s="470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0"/>
      <c r="FA11" s="470"/>
      <c r="FB11" s="470"/>
      <c r="FC11" s="470"/>
      <c r="FD11" s="470"/>
      <c r="FE11" s="470"/>
      <c r="FF11" s="470"/>
      <c r="FG11" s="470"/>
      <c r="FH11" s="470"/>
      <c r="FI11" s="470"/>
      <c r="FJ11" s="470"/>
      <c r="FK11" s="470"/>
      <c r="FL11" s="470"/>
      <c r="FM11" s="470"/>
      <c r="FN11" s="470"/>
      <c r="FO11" s="470"/>
      <c r="FP11" s="470"/>
      <c r="FQ11" s="470"/>
    </row>
    <row r="12" spans="1:173" s="432" customFormat="1" ht="15.75" thickBot="1" x14ac:dyDescent="0.25">
      <c r="B12" s="433" t="s">
        <v>0</v>
      </c>
      <c r="C12" s="433" t="s">
        <v>1</v>
      </c>
      <c r="D12" s="780"/>
      <c r="E12" s="433" t="s">
        <v>24</v>
      </c>
      <c r="F12" s="127" t="s">
        <v>108</v>
      </c>
      <c r="G12" s="647" t="s">
        <v>109</v>
      </c>
      <c r="H12" s="651" t="s">
        <v>110</v>
      </c>
      <c r="I12" s="655" t="s">
        <v>111</v>
      </c>
      <c r="J12" s="659" t="s">
        <v>113</v>
      </c>
      <c r="K12" s="433" t="s">
        <v>2</v>
      </c>
      <c r="L12" s="1397"/>
      <c r="M12" s="444"/>
      <c r="N12" s="433">
        <v>1</v>
      </c>
      <c r="O12" s="433">
        <v>2</v>
      </c>
      <c r="P12" s="433">
        <v>3</v>
      </c>
      <c r="Q12" s="433">
        <v>4</v>
      </c>
      <c r="R12" s="433">
        <v>5</v>
      </c>
      <c r="S12" s="433">
        <v>6</v>
      </c>
      <c r="T12" s="433">
        <v>7</v>
      </c>
      <c r="U12" s="922"/>
      <c r="V12" s="930"/>
      <c r="W12" s="931"/>
      <c r="X12" s="932"/>
      <c r="Y12" s="924"/>
      <c r="Z12" s="433">
        <v>8</v>
      </c>
      <c r="AA12" s="433">
        <v>9</v>
      </c>
      <c r="AB12" s="433">
        <v>10</v>
      </c>
      <c r="AC12" s="433">
        <v>11</v>
      </c>
      <c r="AD12" s="433">
        <v>12</v>
      </c>
      <c r="AE12" s="433">
        <v>13</v>
      </c>
      <c r="AF12" s="433">
        <v>14</v>
      </c>
      <c r="AG12" s="780"/>
      <c r="AH12" s="930"/>
      <c r="AI12" s="931"/>
      <c r="AJ12" s="932"/>
      <c r="AK12" s="780"/>
      <c r="AL12" s="433">
        <v>15</v>
      </c>
      <c r="AM12" s="433">
        <v>16</v>
      </c>
      <c r="AN12" s="433">
        <v>17</v>
      </c>
      <c r="AO12" s="433">
        <v>18</v>
      </c>
      <c r="AP12" s="433">
        <v>19</v>
      </c>
      <c r="AQ12" s="433">
        <v>20</v>
      </c>
      <c r="AR12" s="433">
        <v>21</v>
      </c>
      <c r="AS12" s="780"/>
      <c r="AT12" s="930"/>
      <c r="AU12" s="931"/>
      <c r="AV12" s="932"/>
      <c r="AW12" s="780"/>
      <c r="AX12" s="433">
        <v>21</v>
      </c>
      <c r="AY12" s="433">
        <v>23</v>
      </c>
      <c r="AZ12" s="433">
        <v>24</v>
      </c>
      <c r="BA12" s="433">
        <v>25</v>
      </c>
      <c r="BB12" s="433">
        <v>26</v>
      </c>
      <c r="BC12" s="433">
        <v>27</v>
      </c>
      <c r="BD12" s="433">
        <v>28</v>
      </c>
      <c r="BE12" s="780"/>
      <c r="BF12" s="930"/>
      <c r="BG12" s="931"/>
      <c r="BH12" s="932"/>
      <c r="BI12" s="444"/>
      <c r="BJ12" s="433">
        <v>29</v>
      </c>
      <c r="BK12" s="433">
        <v>30</v>
      </c>
      <c r="BL12" s="433">
        <v>31</v>
      </c>
      <c r="BM12" s="444"/>
      <c r="BN12" s="930"/>
      <c r="BO12" s="931"/>
      <c r="BP12" s="932"/>
      <c r="BR12" s="4475"/>
      <c r="BS12" s="4478"/>
      <c r="BU12" s="433" t="s">
        <v>7</v>
      </c>
      <c r="BV12" s="433" t="s">
        <v>2</v>
      </c>
      <c r="BW12" s="444"/>
      <c r="BY12" s="512">
        <f>BV6-BU1</f>
        <v>0.70480858593548978</v>
      </c>
      <c r="BZ12" s="444"/>
      <c r="CA12" s="444" t="s">
        <v>101</v>
      </c>
      <c r="CB12" s="472"/>
      <c r="CC12" s="471"/>
      <c r="CD12" s="471"/>
      <c r="CE12" s="471"/>
      <c r="CF12" s="471"/>
      <c r="CG12" s="471"/>
      <c r="CH12" s="471"/>
      <c r="CI12" s="471"/>
      <c r="CJ12" s="471"/>
      <c r="CK12" s="471"/>
      <c r="CL12" s="471"/>
      <c r="CM12" s="471"/>
      <c r="CN12" s="471"/>
      <c r="CO12" s="471"/>
      <c r="CP12" s="471"/>
      <c r="CQ12" s="471"/>
      <c r="CR12" s="471"/>
      <c r="CS12" s="471"/>
      <c r="CT12" s="471"/>
      <c r="CU12" s="471"/>
      <c r="CV12" s="471"/>
      <c r="CW12" s="471"/>
      <c r="CX12" s="471"/>
      <c r="CY12" s="471"/>
      <c r="CZ12" s="471"/>
      <c r="DA12" s="471"/>
      <c r="DB12" s="471"/>
      <c r="DC12" s="471"/>
      <c r="DD12" s="471"/>
      <c r="DE12" s="471"/>
      <c r="DF12" s="471"/>
      <c r="DG12" s="471"/>
      <c r="DH12" s="471"/>
      <c r="DI12" s="471"/>
      <c r="DJ12" s="471"/>
      <c r="DK12" s="471"/>
      <c r="DL12" s="471"/>
      <c r="DM12" s="471"/>
      <c r="DN12" s="471"/>
      <c r="DO12" s="471"/>
      <c r="DP12" s="471"/>
      <c r="DQ12" s="471"/>
      <c r="DR12" s="471"/>
      <c r="DS12" s="471"/>
      <c r="DT12" s="471"/>
      <c r="DU12" s="471"/>
      <c r="DV12" s="471"/>
      <c r="DW12" s="471"/>
      <c r="DX12" s="471"/>
      <c r="DY12" s="471"/>
      <c r="DZ12" s="471"/>
      <c r="EA12" s="471"/>
      <c r="EB12" s="471"/>
      <c r="EC12" s="471"/>
      <c r="ED12" s="471"/>
      <c r="EE12" s="471"/>
      <c r="EF12" s="471"/>
      <c r="EG12" s="471"/>
      <c r="EH12" s="471"/>
      <c r="EI12" s="471"/>
      <c r="EJ12" s="471"/>
      <c r="EK12" s="471"/>
      <c r="EL12" s="471"/>
      <c r="EM12" s="471"/>
      <c r="EN12" s="471"/>
      <c r="EO12" s="471"/>
      <c r="EP12" s="471"/>
      <c r="EQ12" s="471"/>
      <c r="ER12" s="471"/>
      <c r="ES12" s="471"/>
      <c r="ET12" s="471"/>
      <c r="EU12" s="471"/>
      <c r="EV12" s="471"/>
      <c r="EW12" s="471"/>
      <c r="EX12" s="471"/>
      <c r="EY12" s="471"/>
      <c r="EZ12" s="471"/>
      <c r="FA12" s="471"/>
      <c r="FB12" s="471"/>
      <c r="FC12" s="471"/>
      <c r="FD12" s="471"/>
      <c r="FE12" s="471"/>
      <c r="FF12" s="471"/>
      <c r="FG12" s="471"/>
      <c r="FH12" s="471"/>
      <c r="FI12" s="471"/>
      <c r="FJ12" s="471"/>
      <c r="FK12" s="471"/>
      <c r="FL12" s="471"/>
      <c r="FM12" s="471"/>
      <c r="FN12" s="471"/>
      <c r="FO12" s="471"/>
      <c r="FP12" s="471"/>
      <c r="FQ12" s="471"/>
    </row>
    <row r="13" spans="1:173" s="432" customFormat="1" ht="4.5" customHeight="1" x14ac:dyDescent="0.2">
      <c r="B13" s="444"/>
      <c r="C13" s="444"/>
      <c r="D13" s="444"/>
      <c r="E13" s="444"/>
      <c r="F13" s="1508"/>
      <c r="G13" s="1509"/>
      <c r="H13" s="1510"/>
      <c r="I13" s="1511"/>
      <c r="J13" s="444"/>
      <c r="K13" s="444"/>
      <c r="L13" s="1397"/>
      <c r="M13" s="444"/>
      <c r="N13" s="444"/>
      <c r="O13" s="444"/>
      <c r="P13" s="444"/>
      <c r="Q13" s="444"/>
      <c r="R13" s="444"/>
      <c r="S13" s="444"/>
      <c r="T13" s="444"/>
      <c r="U13" s="444"/>
      <c r="V13" s="444"/>
      <c r="W13" s="444"/>
      <c r="X13" s="444"/>
      <c r="Y13" s="444"/>
      <c r="Z13" s="444"/>
      <c r="AA13" s="444"/>
      <c r="AB13" s="444"/>
      <c r="AC13" s="444"/>
      <c r="AD13" s="444"/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R13" s="1512"/>
      <c r="BS13" s="1513"/>
      <c r="BU13" s="444"/>
      <c r="BV13" s="444"/>
      <c r="BW13" s="444"/>
      <c r="BY13" s="1556"/>
      <c r="BZ13" s="444"/>
      <c r="CA13" s="444"/>
      <c r="CB13" s="151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</row>
    <row r="14" spans="1:173" s="255" customFormat="1" ht="18.75" thickBot="1" x14ac:dyDescent="0.25">
      <c r="B14" s="1622"/>
      <c r="C14" s="1620" t="s">
        <v>170</v>
      </c>
      <c r="D14" s="812"/>
      <c r="E14" s="1622"/>
      <c r="F14" s="1622"/>
      <c r="G14" s="1622"/>
      <c r="H14" s="1622"/>
      <c r="I14" s="1622"/>
      <c r="J14" s="1622"/>
      <c r="K14" s="1622"/>
      <c r="L14" s="337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U14" s="4521" t="s">
        <v>99</v>
      </c>
      <c r="BV14" s="4521"/>
      <c r="BW14" s="1568"/>
      <c r="BY14" s="1568"/>
    </row>
    <row r="15" spans="1:173" s="432" customFormat="1" x14ac:dyDescent="0.2">
      <c r="A15" s="775"/>
      <c r="B15" s="1621">
        <v>1</v>
      </c>
      <c r="C15" s="1621" t="s">
        <v>134</v>
      </c>
      <c r="D15" s="780"/>
      <c r="E15" s="1625">
        <v>400</v>
      </c>
      <c r="F15" s="1625">
        <f t="shared" ref="F15:F22" si="36">E15/10</f>
        <v>40</v>
      </c>
      <c r="G15" s="1625">
        <f t="shared" ref="G15:G22" si="37">E15/15</f>
        <v>26.666666666666668</v>
      </c>
      <c r="H15" s="1625">
        <f t="shared" ref="H15:H22" si="38">E15/20</f>
        <v>20</v>
      </c>
      <c r="I15" s="1625">
        <f t="shared" ref="I15:I22" si="39">E15/25</f>
        <v>16</v>
      </c>
      <c r="J15" s="1625">
        <f>E15/31</f>
        <v>12.903225806451612</v>
      </c>
      <c r="K15" s="1626">
        <f>E15/$E$26</f>
        <v>0.52506944043349735</v>
      </c>
      <c r="L15" s="1398"/>
      <c r="M15" s="491"/>
      <c r="N15" s="347">
        <f>$J$15</f>
        <v>12.903225806451612</v>
      </c>
      <c r="O15" s="347">
        <f>$J$15</f>
        <v>12.903225806451612</v>
      </c>
      <c r="P15" s="347">
        <f>$J$15</f>
        <v>12.903225806451612</v>
      </c>
      <c r="Q15" s="347">
        <f>$J$15</f>
        <v>12.903225806451612</v>
      </c>
      <c r="R15" s="347">
        <f t="shared" ref="R15:T15" si="40">$J$15</f>
        <v>12.903225806451612</v>
      </c>
      <c r="S15" s="347">
        <f t="shared" si="40"/>
        <v>12.903225806451612</v>
      </c>
      <c r="T15" s="347">
        <f t="shared" si="40"/>
        <v>12.903225806451612</v>
      </c>
      <c r="U15" s="481"/>
      <c r="V15" s="933">
        <f>SUM(N15:T15)</f>
        <v>90.322580645161295</v>
      </c>
      <c r="W15" s="618">
        <f>($V$5*K15)*30%</f>
        <v>165.35749352851914</v>
      </c>
      <c r="X15" s="1180">
        <f>W15-V15</f>
        <v>75.034912883357848</v>
      </c>
      <c r="Y15" s="781"/>
      <c r="Z15" s="347">
        <f t="shared" ref="Z15:AF15" si="41">$J$15</f>
        <v>12.903225806451612</v>
      </c>
      <c r="AA15" s="347">
        <f t="shared" si="41"/>
        <v>12.903225806451612</v>
      </c>
      <c r="AB15" s="347">
        <f t="shared" si="41"/>
        <v>12.903225806451612</v>
      </c>
      <c r="AC15" s="347">
        <f t="shared" si="41"/>
        <v>12.903225806451612</v>
      </c>
      <c r="AD15" s="347">
        <f t="shared" si="41"/>
        <v>12.903225806451612</v>
      </c>
      <c r="AE15" s="347">
        <f t="shared" si="41"/>
        <v>12.903225806451612</v>
      </c>
      <c r="AF15" s="347">
        <f t="shared" si="41"/>
        <v>12.903225806451612</v>
      </c>
      <c r="AG15" s="481"/>
      <c r="AH15" s="933">
        <f>SUM(Z15:AF15)</f>
        <v>90.322580645161295</v>
      </c>
      <c r="AI15" s="934">
        <f t="shared" ref="AI15:AI24" si="42">($AH$5*K15)*30%</f>
        <v>142.33582391271247</v>
      </c>
      <c r="AJ15" s="935">
        <f>AI15-AH15</f>
        <v>52.013243267551175</v>
      </c>
      <c r="AK15" s="781"/>
      <c r="AL15" s="483">
        <f t="shared" ref="AL15:AR15" si="43">$J$15</f>
        <v>12.903225806451612</v>
      </c>
      <c r="AM15" s="483">
        <f t="shared" si="43"/>
        <v>12.903225806451612</v>
      </c>
      <c r="AN15" s="483">
        <f t="shared" si="43"/>
        <v>12.903225806451612</v>
      </c>
      <c r="AO15" s="483">
        <f t="shared" si="43"/>
        <v>12.903225806451612</v>
      </c>
      <c r="AP15" s="483">
        <f t="shared" si="43"/>
        <v>12.903225806451612</v>
      </c>
      <c r="AQ15" s="483">
        <f t="shared" si="43"/>
        <v>12.903225806451612</v>
      </c>
      <c r="AR15" s="483">
        <f t="shared" si="43"/>
        <v>12.903225806451612</v>
      </c>
      <c r="AS15" s="781"/>
      <c r="AT15" s="933">
        <f>SUM(AL15:AR15)</f>
        <v>90.322580645161295</v>
      </c>
      <c r="AU15" s="934">
        <f>($AT$5*K15)*30%</f>
        <v>120.47193241306162</v>
      </c>
      <c r="AV15" s="935">
        <f>AU15-AT15</f>
        <v>30.149351767900328</v>
      </c>
      <c r="AW15" s="781"/>
      <c r="AX15" s="483">
        <f t="shared" ref="AX15:BD15" si="44">$J$15</f>
        <v>12.903225806451612</v>
      </c>
      <c r="AY15" s="483">
        <f t="shared" si="44"/>
        <v>12.903225806451612</v>
      </c>
      <c r="AZ15" s="483">
        <f t="shared" si="44"/>
        <v>12.903225806451612</v>
      </c>
      <c r="BA15" s="483">
        <f t="shared" si="44"/>
        <v>12.903225806451612</v>
      </c>
      <c r="BB15" s="483">
        <f t="shared" si="44"/>
        <v>12.903225806451612</v>
      </c>
      <c r="BC15" s="483">
        <f t="shared" si="44"/>
        <v>12.903225806451612</v>
      </c>
      <c r="BD15" s="483">
        <f t="shared" si="44"/>
        <v>12.903225806451612</v>
      </c>
      <c r="BE15" s="781"/>
      <c r="BF15" s="933">
        <f t="shared" ref="BF15:BF24" si="45">SUM(AX15:BD15)</f>
        <v>90.322580645161295</v>
      </c>
      <c r="BG15" s="934">
        <f t="shared" ref="BG15:BG24" si="46">($BF$5*K15)*30%</f>
        <v>179.85728612609014</v>
      </c>
      <c r="BH15" s="935">
        <f>BG15-BF15</f>
        <v>89.534705480928849</v>
      </c>
      <c r="BI15" s="481"/>
      <c r="BJ15" s="347">
        <f t="shared" ref="BJ15:BL15" si="47">$J$15</f>
        <v>12.903225806451612</v>
      </c>
      <c r="BK15" s="347">
        <f t="shared" si="47"/>
        <v>12.903225806451612</v>
      </c>
      <c r="BL15" s="347">
        <f t="shared" si="47"/>
        <v>12.903225806451612</v>
      </c>
      <c r="BM15" s="481"/>
      <c r="BN15" s="933">
        <f t="shared" ref="BN15:BN24" si="48">SUM(BJ15:BL15)</f>
        <v>38.709677419354833</v>
      </c>
      <c r="BO15" s="934">
        <f t="shared" ref="BO15:BO24" si="49">($BN$5*K15)*30%</f>
        <v>73.900898393812568</v>
      </c>
      <c r="BP15" s="935">
        <f>BO15-BN15</f>
        <v>35.191220974457735</v>
      </c>
      <c r="BR15" s="347">
        <v>0</v>
      </c>
      <c r="BS15" s="485">
        <f t="shared" ref="BS15:BS24" si="50">BR15/E15</f>
        <v>0</v>
      </c>
      <c r="BU15" s="933">
        <f t="shared" ref="BU15:BU24" si="51">SUM(N15:T15)+SUM(Z15:AF15)+SUM(AL15:AR15)+SUM(AX15:BD15)+SUM(BJ15:BL15)</f>
        <v>400</v>
      </c>
      <c r="BV15" s="1013">
        <f t="shared" ref="BV15:BV24" si="52">BU15/E15</f>
        <v>1</v>
      </c>
      <c r="BW15" s="482"/>
      <c r="BY15" s="62"/>
      <c r="BZ15" s="62"/>
      <c r="CA15" s="81"/>
      <c r="CB15" s="81"/>
      <c r="CC15" s="81"/>
      <c r="CD15" s="81"/>
      <c r="CE15" s="81"/>
      <c r="CF15" s="81"/>
      <c r="CG15" s="81"/>
    </row>
    <row r="16" spans="1:173" s="255" customFormat="1" x14ac:dyDescent="0.2">
      <c r="B16" s="1622">
        <v>2</v>
      </c>
      <c r="C16" s="1622" t="s">
        <v>22</v>
      </c>
      <c r="D16" s="812"/>
      <c r="E16" s="1627">
        <v>200</v>
      </c>
      <c r="F16" s="1627">
        <f t="shared" si="36"/>
        <v>20</v>
      </c>
      <c r="G16" s="1627">
        <f t="shared" si="37"/>
        <v>13.333333333333334</v>
      </c>
      <c r="H16" s="1627">
        <f t="shared" si="38"/>
        <v>10</v>
      </c>
      <c r="I16" s="1627">
        <f t="shared" si="39"/>
        <v>8</v>
      </c>
      <c r="J16" s="1627">
        <f t="shared" ref="J16:J24" si="53">E16/31</f>
        <v>6.4516129032258061</v>
      </c>
      <c r="K16" s="1628">
        <f t="shared" ref="K16:K24" si="54">E16/$E$26</f>
        <v>0.26253472021674867</v>
      </c>
      <c r="L16" s="410"/>
      <c r="M16" s="411"/>
      <c r="N16" s="40">
        <f>$J$16</f>
        <v>6.4516129032258061</v>
      </c>
      <c r="O16" s="40">
        <f>$J$16</f>
        <v>6.4516129032258061</v>
      </c>
      <c r="P16" s="40">
        <f>$J$16</f>
        <v>6.4516129032258061</v>
      </c>
      <c r="Q16" s="40">
        <f>$J$16</f>
        <v>6.4516129032258061</v>
      </c>
      <c r="R16" s="40">
        <f t="shared" ref="R16:T16" si="55">$J$16</f>
        <v>6.4516129032258061</v>
      </c>
      <c r="S16" s="40">
        <f t="shared" si="55"/>
        <v>6.4516129032258061</v>
      </c>
      <c r="T16" s="40">
        <f t="shared" si="55"/>
        <v>6.4516129032258061</v>
      </c>
      <c r="U16" s="1568"/>
      <c r="V16" s="911">
        <f t="shared" ref="V16:V82" si="56">SUM(N16:T16)</f>
        <v>45.161290322580648</v>
      </c>
      <c r="W16" s="40">
        <f t="shared" ref="W16:W24" si="57">($V$5*K16)*30%</f>
        <v>82.678746764259571</v>
      </c>
      <c r="X16" s="586">
        <f t="shared" ref="X16:X24" si="58">W16-V16</f>
        <v>37.517456441678924</v>
      </c>
      <c r="Y16" s="782"/>
      <c r="Z16" s="40">
        <f t="shared" ref="Z16:AF16" si="59">$J$16</f>
        <v>6.4516129032258061</v>
      </c>
      <c r="AA16" s="40">
        <f t="shared" si="59"/>
        <v>6.4516129032258061</v>
      </c>
      <c r="AB16" s="40">
        <f t="shared" si="59"/>
        <v>6.4516129032258061</v>
      </c>
      <c r="AC16" s="40">
        <f t="shared" si="59"/>
        <v>6.4516129032258061</v>
      </c>
      <c r="AD16" s="40">
        <f t="shared" si="59"/>
        <v>6.4516129032258061</v>
      </c>
      <c r="AE16" s="40">
        <f t="shared" si="59"/>
        <v>6.4516129032258061</v>
      </c>
      <c r="AF16" s="40">
        <f t="shared" si="59"/>
        <v>6.4516129032258061</v>
      </c>
      <c r="AG16" s="1568"/>
      <c r="AH16" s="911">
        <f t="shared" ref="AH16:AH41" si="60">SUM(Z16:AF16)</f>
        <v>45.161290322580648</v>
      </c>
      <c r="AI16" s="1560">
        <f t="shared" si="42"/>
        <v>71.167911956356235</v>
      </c>
      <c r="AJ16" s="936">
        <f t="shared" ref="AJ16:AJ41" si="61">AI16-AH16</f>
        <v>26.006621633775588</v>
      </c>
      <c r="AK16" s="782"/>
      <c r="AL16" s="1560">
        <f t="shared" ref="AL16:AR16" si="62">$J$16</f>
        <v>6.4516129032258061</v>
      </c>
      <c r="AM16" s="1656">
        <f t="shared" si="62"/>
        <v>6.4516129032258061</v>
      </c>
      <c r="AN16" s="1666">
        <f t="shared" si="62"/>
        <v>6.4516129032258061</v>
      </c>
      <c r="AO16" s="1666">
        <f t="shared" si="62"/>
        <v>6.4516129032258061</v>
      </c>
      <c r="AP16" s="1670">
        <f t="shared" si="62"/>
        <v>6.4516129032258061</v>
      </c>
      <c r="AQ16" s="1670">
        <f t="shared" si="62"/>
        <v>6.4516129032258061</v>
      </c>
      <c r="AR16" s="1671">
        <f t="shared" si="62"/>
        <v>6.4516129032258061</v>
      </c>
      <c r="AS16" s="782"/>
      <c r="AT16" s="911">
        <f t="shared" ref="AT16:AT24" si="63">SUM(AL16:AR16)</f>
        <v>45.161290322580648</v>
      </c>
      <c r="AU16" s="1560">
        <f t="shared" ref="AU16:AU24" si="64">($AT$5*K16)*30%</f>
        <v>60.235966206530811</v>
      </c>
      <c r="AV16" s="936">
        <f t="shared" ref="AV16:AV17" si="65">AU16-AT16</f>
        <v>15.074675883950164</v>
      </c>
      <c r="AW16" s="782"/>
      <c r="AX16" s="1560">
        <f t="shared" ref="AX16:BD16" si="66">$J$16</f>
        <v>6.4516129032258061</v>
      </c>
      <c r="AY16" s="1677">
        <f t="shared" si="66"/>
        <v>6.4516129032258061</v>
      </c>
      <c r="AZ16" s="1687">
        <f t="shared" si="66"/>
        <v>6.4516129032258061</v>
      </c>
      <c r="BA16" s="1693">
        <f t="shared" si="66"/>
        <v>6.4516129032258061</v>
      </c>
      <c r="BB16" s="1696">
        <f t="shared" si="66"/>
        <v>6.4516129032258061</v>
      </c>
      <c r="BC16" s="1702">
        <f t="shared" si="66"/>
        <v>6.4516129032258061</v>
      </c>
      <c r="BD16" s="1704">
        <f t="shared" si="66"/>
        <v>6.4516129032258061</v>
      </c>
      <c r="BE16" s="782"/>
      <c r="BF16" s="911">
        <f t="shared" si="45"/>
        <v>45.161290322580648</v>
      </c>
      <c r="BG16" s="1560">
        <f t="shared" si="46"/>
        <v>89.928643063045072</v>
      </c>
      <c r="BH16" s="936">
        <f t="shared" ref="BH16:BH17" si="67">BG16-BF16</f>
        <v>44.767352740464425</v>
      </c>
      <c r="BI16" s="1568"/>
      <c r="BJ16" s="40">
        <f t="shared" ref="BJ16:BL16" si="68">$J$16</f>
        <v>6.4516129032258061</v>
      </c>
      <c r="BK16" s="40">
        <f t="shared" si="68"/>
        <v>6.4516129032258061</v>
      </c>
      <c r="BL16" s="40">
        <f t="shared" si="68"/>
        <v>6.4516129032258061</v>
      </c>
      <c r="BM16" s="1568"/>
      <c r="BN16" s="911">
        <f t="shared" si="48"/>
        <v>19.354838709677416</v>
      </c>
      <c r="BO16" s="1560">
        <f t="shared" si="49"/>
        <v>36.950449196906284</v>
      </c>
      <c r="BP16" s="936">
        <f t="shared" ref="BP16:BP17" si="69">BO16-BN16</f>
        <v>17.595610487228868</v>
      </c>
      <c r="BR16" s="132">
        <v>0</v>
      </c>
      <c r="BS16" s="51">
        <f t="shared" si="50"/>
        <v>0</v>
      </c>
      <c r="BU16" s="925">
        <f t="shared" si="51"/>
        <v>200</v>
      </c>
      <c r="BV16" s="1014">
        <f t="shared" si="52"/>
        <v>1</v>
      </c>
      <c r="BW16" s="62"/>
      <c r="BY16" s="1224"/>
      <c r="BZ16" s="482"/>
      <c r="CA16" s="444"/>
      <c r="CB16" s="438"/>
      <c r="CC16" s="438"/>
      <c r="CD16" s="438"/>
      <c r="CE16" s="438"/>
      <c r="CF16" s="438"/>
      <c r="CG16" s="438"/>
    </row>
    <row r="17" spans="1:86" x14ac:dyDescent="0.2">
      <c r="B17" s="1623">
        <v>3</v>
      </c>
      <c r="C17" s="1623" t="s">
        <v>23</v>
      </c>
      <c r="D17" s="780"/>
      <c r="E17" s="1629">
        <v>58</v>
      </c>
      <c r="F17" s="1629">
        <f t="shared" si="36"/>
        <v>5.8</v>
      </c>
      <c r="G17" s="1629">
        <f t="shared" si="37"/>
        <v>3.8666666666666667</v>
      </c>
      <c r="H17" s="1629">
        <f t="shared" si="38"/>
        <v>2.9</v>
      </c>
      <c r="I17" s="1629">
        <f t="shared" si="39"/>
        <v>2.3199999999999998</v>
      </c>
      <c r="J17" s="1629">
        <f>E17/29</f>
        <v>2</v>
      </c>
      <c r="K17" s="1630">
        <f t="shared" si="54"/>
        <v>7.6135068862857119E-2</v>
      </c>
      <c r="L17" s="200"/>
      <c r="M17" s="28"/>
      <c r="N17" s="5">
        <f>$J$17</f>
        <v>2</v>
      </c>
      <c r="O17" s="5">
        <f>$J$17</f>
        <v>2</v>
      </c>
      <c r="P17" s="5">
        <f>$J$17</f>
        <v>2</v>
      </c>
      <c r="Q17" s="5">
        <f>$J$17</f>
        <v>2</v>
      </c>
      <c r="R17" s="5">
        <f t="shared" ref="R17:T17" si="70">$J$17</f>
        <v>2</v>
      </c>
      <c r="S17" s="5">
        <f t="shared" si="70"/>
        <v>2</v>
      </c>
      <c r="T17" s="5">
        <f t="shared" si="70"/>
        <v>2</v>
      </c>
      <c r="U17" s="1570"/>
      <c r="V17" s="937">
        <f t="shared" si="56"/>
        <v>14</v>
      </c>
      <c r="W17" s="5">
        <f t="shared" si="57"/>
        <v>23.976836561635277</v>
      </c>
      <c r="X17" s="1143">
        <f t="shared" si="58"/>
        <v>9.9768365616352774</v>
      </c>
      <c r="Y17" s="145"/>
      <c r="Z17" s="5">
        <f t="shared" ref="Z17:AF17" si="71">$J$17</f>
        <v>2</v>
      </c>
      <c r="AA17" s="5">
        <f t="shared" si="71"/>
        <v>2</v>
      </c>
      <c r="AB17" s="5">
        <f t="shared" si="71"/>
        <v>2</v>
      </c>
      <c r="AC17" s="5">
        <f t="shared" si="71"/>
        <v>2</v>
      </c>
      <c r="AD17" s="5">
        <f t="shared" si="71"/>
        <v>2</v>
      </c>
      <c r="AE17" s="5">
        <f t="shared" si="71"/>
        <v>2</v>
      </c>
      <c r="AF17" s="5">
        <f t="shared" si="71"/>
        <v>2</v>
      </c>
      <c r="AG17" s="1570"/>
      <c r="AH17" s="937">
        <f t="shared" si="60"/>
        <v>14</v>
      </c>
      <c r="AI17" s="1559">
        <f t="shared" si="42"/>
        <v>20.638694467343306</v>
      </c>
      <c r="AJ17" s="938">
        <f t="shared" si="61"/>
        <v>6.6386944673433064</v>
      </c>
      <c r="AK17" s="145"/>
      <c r="AL17" s="1559">
        <f t="shared" ref="AL17:AR17" si="72">$J$17</f>
        <v>2</v>
      </c>
      <c r="AM17" s="1655">
        <f t="shared" si="72"/>
        <v>2</v>
      </c>
      <c r="AN17" s="1667">
        <f t="shared" si="72"/>
        <v>2</v>
      </c>
      <c r="AO17" s="1667">
        <f t="shared" si="72"/>
        <v>2</v>
      </c>
      <c r="AP17" s="1669">
        <f t="shared" si="72"/>
        <v>2</v>
      </c>
      <c r="AQ17" s="1669">
        <f t="shared" si="72"/>
        <v>2</v>
      </c>
      <c r="AR17" s="1672">
        <f t="shared" si="72"/>
        <v>2</v>
      </c>
      <c r="AS17" s="145"/>
      <c r="AT17" s="937">
        <f t="shared" si="63"/>
        <v>14</v>
      </c>
      <c r="AU17" s="1559">
        <f t="shared" si="64"/>
        <v>17.468430199893934</v>
      </c>
      <c r="AV17" s="938">
        <f t="shared" si="65"/>
        <v>3.468430199893934</v>
      </c>
      <c r="AW17" s="145"/>
      <c r="AX17" s="1559">
        <f t="shared" ref="AX17:BD17" si="73">$J$17</f>
        <v>2</v>
      </c>
      <c r="AY17" s="1676">
        <f t="shared" si="73"/>
        <v>2</v>
      </c>
      <c r="AZ17" s="1688">
        <f t="shared" si="73"/>
        <v>2</v>
      </c>
      <c r="BA17" s="1692">
        <f t="shared" si="73"/>
        <v>2</v>
      </c>
      <c r="BB17" s="1697">
        <f t="shared" si="73"/>
        <v>2</v>
      </c>
      <c r="BC17" s="1701">
        <f t="shared" si="73"/>
        <v>2</v>
      </c>
      <c r="BD17" s="1703">
        <f t="shared" si="73"/>
        <v>2</v>
      </c>
      <c r="BE17" s="145"/>
      <c r="BF17" s="937">
        <f t="shared" si="45"/>
        <v>14</v>
      </c>
      <c r="BG17" s="1559">
        <f t="shared" si="46"/>
        <v>26.079306488283073</v>
      </c>
      <c r="BH17" s="938">
        <f t="shared" si="67"/>
        <v>12.079306488283073</v>
      </c>
      <c r="BI17" s="1570"/>
      <c r="BJ17" s="5">
        <f t="shared" ref="BJ17" si="74">$J$17</f>
        <v>2</v>
      </c>
      <c r="BK17" s="5">
        <v>0</v>
      </c>
      <c r="BL17" s="5">
        <v>0</v>
      </c>
      <c r="BM17" s="1570"/>
      <c r="BN17" s="937">
        <f t="shared" si="48"/>
        <v>2</v>
      </c>
      <c r="BO17" s="1559">
        <f t="shared" si="49"/>
        <v>10.715630267102824</v>
      </c>
      <c r="BP17" s="938">
        <f t="shared" si="69"/>
        <v>8.7156302671028243</v>
      </c>
      <c r="BR17" s="764">
        <v>58</v>
      </c>
      <c r="BS17" s="9">
        <f t="shared" si="50"/>
        <v>1</v>
      </c>
      <c r="BU17" s="937">
        <f t="shared" si="51"/>
        <v>58</v>
      </c>
      <c r="BV17" s="1015">
        <f t="shared" si="52"/>
        <v>1</v>
      </c>
      <c r="BW17" s="29"/>
      <c r="BY17" s="1225"/>
      <c r="BZ17" s="480"/>
      <c r="CA17" s="438"/>
      <c r="CB17" s="444"/>
      <c r="CC17" s="444"/>
      <c r="CD17" s="444"/>
      <c r="CE17" s="444"/>
      <c r="CF17" s="444"/>
      <c r="CG17" s="444"/>
    </row>
    <row r="18" spans="1:86" s="255" customFormat="1" x14ac:dyDescent="0.2">
      <c r="B18" s="1622">
        <v>4</v>
      </c>
      <c r="C18" s="1622" t="s">
        <v>127</v>
      </c>
      <c r="D18" s="812"/>
      <c r="E18" s="1627">
        <v>25.303999999999998</v>
      </c>
      <c r="F18" s="1627">
        <f t="shared" si="36"/>
        <v>2.5303999999999998</v>
      </c>
      <c r="G18" s="1627">
        <f t="shared" si="37"/>
        <v>1.6869333333333332</v>
      </c>
      <c r="H18" s="1627">
        <f t="shared" si="38"/>
        <v>1.2651999999999999</v>
      </c>
      <c r="I18" s="1627">
        <f t="shared" si="39"/>
        <v>1.0121599999999999</v>
      </c>
      <c r="J18" s="1627">
        <f t="shared" si="53"/>
        <v>0.81625806451612903</v>
      </c>
      <c r="K18" s="1628">
        <f t="shared" si="54"/>
        <v>3.3215892801823042E-2</v>
      </c>
      <c r="L18" s="410"/>
      <c r="M18" s="411"/>
      <c r="N18" s="40">
        <f>$J$18</f>
        <v>0.81625806451612903</v>
      </c>
      <c r="O18" s="40">
        <f>$J$18</f>
        <v>0.81625806451612903</v>
      </c>
      <c r="P18" s="40">
        <f>$J$18</f>
        <v>0.81625806451612903</v>
      </c>
      <c r="Q18" s="40">
        <f>$J$18</f>
        <v>0.81625806451612903</v>
      </c>
      <c r="R18" s="40">
        <f t="shared" ref="R18:T18" si="75">$J$18</f>
        <v>0.81625806451612903</v>
      </c>
      <c r="S18" s="40">
        <f t="shared" si="75"/>
        <v>0.81625806451612903</v>
      </c>
      <c r="T18" s="40">
        <f t="shared" si="75"/>
        <v>0.81625806451612903</v>
      </c>
      <c r="U18" s="1568"/>
      <c r="V18" s="911">
        <f t="shared" si="56"/>
        <v>5.7138064516129026</v>
      </c>
      <c r="W18" s="40">
        <f t="shared" si="57"/>
        <v>10.460515040614121</v>
      </c>
      <c r="X18" s="586">
        <f>W18-V18</f>
        <v>4.7467085890012184</v>
      </c>
      <c r="Y18" s="782"/>
      <c r="Z18" s="40">
        <f t="shared" ref="Z18:AF18" si="76">$J$18</f>
        <v>0.81625806451612903</v>
      </c>
      <c r="AA18" s="40">
        <f t="shared" si="76"/>
        <v>0.81625806451612903</v>
      </c>
      <c r="AB18" s="40">
        <f t="shared" si="76"/>
        <v>0.81625806451612903</v>
      </c>
      <c r="AC18" s="40">
        <f t="shared" si="76"/>
        <v>0.81625806451612903</v>
      </c>
      <c r="AD18" s="40">
        <f t="shared" si="76"/>
        <v>0.81625806451612903</v>
      </c>
      <c r="AE18" s="40">
        <f t="shared" si="76"/>
        <v>0.81625806451612903</v>
      </c>
      <c r="AF18" s="40">
        <f t="shared" si="76"/>
        <v>0.81625806451612903</v>
      </c>
      <c r="AG18" s="1568"/>
      <c r="AH18" s="911">
        <f t="shared" si="60"/>
        <v>5.7138064516129026</v>
      </c>
      <c r="AI18" s="1560">
        <f t="shared" si="42"/>
        <v>9.0041642207181898</v>
      </c>
      <c r="AJ18" s="936">
        <f>AI18-AH18</f>
        <v>3.2903577691052872</v>
      </c>
      <c r="AK18" s="782"/>
      <c r="AL18" s="1560">
        <f t="shared" ref="AL18:AR18" si="77">$J$18</f>
        <v>0.81625806451612903</v>
      </c>
      <c r="AM18" s="1656">
        <f t="shared" si="77"/>
        <v>0.81625806451612903</v>
      </c>
      <c r="AN18" s="1666">
        <f t="shared" si="77"/>
        <v>0.81625806451612903</v>
      </c>
      <c r="AO18" s="1666">
        <f t="shared" si="77"/>
        <v>0.81625806451612903</v>
      </c>
      <c r="AP18" s="1670">
        <f t="shared" si="77"/>
        <v>0.81625806451612903</v>
      </c>
      <c r="AQ18" s="1670">
        <f t="shared" si="77"/>
        <v>0.81625806451612903</v>
      </c>
      <c r="AR18" s="1671">
        <f t="shared" si="77"/>
        <v>0.81625806451612903</v>
      </c>
      <c r="AS18" s="782"/>
      <c r="AT18" s="911">
        <f t="shared" si="63"/>
        <v>5.7138064516129026</v>
      </c>
      <c r="AU18" s="1560">
        <f t="shared" si="64"/>
        <v>7.6210544444502775</v>
      </c>
      <c r="AV18" s="936">
        <f>AU18-AT18</f>
        <v>1.9072479928373749</v>
      </c>
      <c r="AW18" s="782"/>
      <c r="AX18" s="1560">
        <f t="shared" ref="AX18:BD18" si="78">$J$18</f>
        <v>0.81625806451612903</v>
      </c>
      <c r="AY18" s="1677">
        <f t="shared" si="78"/>
        <v>0.81625806451612903</v>
      </c>
      <c r="AZ18" s="1687">
        <f t="shared" si="78"/>
        <v>0.81625806451612903</v>
      </c>
      <c r="BA18" s="1693">
        <f t="shared" si="78"/>
        <v>0.81625806451612903</v>
      </c>
      <c r="BB18" s="1696">
        <f t="shared" si="78"/>
        <v>0.81625806451612903</v>
      </c>
      <c r="BC18" s="1702">
        <f t="shared" si="78"/>
        <v>0.81625806451612903</v>
      </c>
      <c r="BD18" s="1704">
        <f t="shared" si="78"/>
        <v>0.81625806451612903</v>
      </c>
      <c r="BE18" s="782"/>
      <c r="BF18" s="911">
        <f t="shared" si="45"/>
        <v>5.7138064516129026</v>
      </c>
      <c r="BG18" s="1560">
        <f t="shared" si="46"/>
        <v>11.377771920336466</v>
      </c>
      <c r="BH18" s="936">
        <f>BG18-BF18</f>
        <v>5.6639654687235632</v>
      </c>
      <c r="BI18" s="1568"/>
      <c r="BJ18" s="40">
        <f t="shared" ref="BJ18:BL18" si="79">$J$18</f>
        <v>0.81625806451612903</v>
      </c>
      <c r="BK18" s="40">
        <f t="shared" si="79"/>
        <v>0.81625806451612903</v>
      </c>
      <c r="BL18" s="40">
        <f t="shared" si="79"/>
        <v>0.81625806451612903</v>
      </c>
      <c r="BM18" s="1568"/>
      <c r="BN18" s="911">
        <f t="shared" si="48"/>
        <v>2.4487741935483873</v>
      </c>
      <c r="BO18" s="1560">
        <f t="shared" si="49"/>
        <v>4.6749708323925834</v>
      </c>
      <c r="BP18" s="936">
        <f>BO18-BN18</f>
        <v>2.2261966388441961</v>
      </c>
      <c r="BR18" s="187">
        <v>25.303999999999998</v>
      </c>
      <c r="BS18" s="51">
        <f t="shared" si="50"/>
        <v>1</v>
      </c>
      <c r="BU18" s="911">
        <f t="shared" si="51"/>
        <v>25.303999999999998</v>
      </c>
      <c r="BV18" s="1016">
        <f t="shared" si="52"/>
        <v>1</v>
      </c>
      <c r="BW18" s="62"/>
      <c r="BY18" s="1226"/>
      <c r="BZ18" s="62"/>
      <c r="CA18" s="1033"/>
      <c r="CB18" s="438"/>
      <c r="CC18" s="438"/>
      <c r="CD18" s="438"/>
      <c r="CE18" s="438"/>
      <c r="CF18" s="438"/>
      <c r="CG18" s="438"/>
    </row>
    <row r="19" spans="1:86" x14ac:dyDescent="0.2">
      <c r="A19" s="432"/>
      <c r="B19" s="1623">
        <v>5</v>
      </c>
      <c r="C19" s="1623" t="s">
        <v>165</v>
      </c>
      <c r="D19" s="780"/>
      <c r="E19" s="1629">
        <v>25.5</v>
      </c>
      <c r="F19" s="1629">
        <f t="shared" si="36"/>
        <v>2.5499999999999998</v>
      </c>
      <c r="G19" s="1629">
        <f t="shared" si="37"/>
        <v>1.7</v>
      </c>
      <c r="H19" s="1629">
        <f t="shared" si="38"/>
        <v>1.2749999999999999</v>
      </c>
      <c r="I19" s="1629">
        <f t="shared" si="39"/>
        <v>1.02</v>
      </c>
      <c r="J19" s="1629">
        <f t="shared" si="53"/>
        <v>0.82258064516129037</v>
      </c>
      <c r="K19" s="1630">
        <f t="shared" si="54"/>
        <v>3.3473176827635454E-2</v>
      </c>
      <c r="L19" s="200"/>
      <c r="M19" s="28"/>
      <c r="N19" s="5">
        <f>$J$19</f>
        <v>0.82258064516129037</v>
      </c>
      <c r="O19" s="5">
        <f>$J$19</f>
        <v>0.82258064516129037</v>
      </c>
      <c r="P19" s="5">
        <f>$J$19</f>
        <v>0.82258064516129037</v>
      </c>
      <c r="Q19" s="5">
        <f>$J$19</f>
        <v>0.82258064516129037</v>
      </c>
      <c r="R19" s="5">
        <f t="shared" ref="R19:T19" si="80">$J$19</f>
        <v>0.82258064516129037</v>
      </c>
      <c r="S19" s="5">
        <f t="shared" si="80"/>
        <v>0.82258064516129037</v>
      </c>
      <c r="T19" s="5">
        <f t="shared" si="80"/>
        <v>0.82258064516129037</v>
      </c>
      <c r="U19" s="1570"/>
      <c r="V19" s="937">
        <f t="shared" si="56"/>
        <v>5.758064516129032</v>
      </c>
      <c r="W19" s="5">
        <f t="shared" si="57"/>
        <v>10.541540212443095</v>
      </c>
      <c r="X19" s="1143">
        <f t="shared" si="58"/>
        <v>4.7834756963140634</v>
      </c>
      <c r="Y19" s="145"/>
      <c r="Z19" s="5">
        <f t="shared" ref="Z19:AF19" si="81">$J$19</f>
        <v>0.82258064516129037</v>
      </c>
      <c r="AA19" s="5">
        <f t="shared" si="81"/>
        <v>0.82258064516129037</v>
      </c>
      <c r="AB19" s="5">
        <f t="shared" si="81"/>
        <v>0.82258064516129037</v>
      </c>
      <c r="AC19" s="5">
        <f t="shared" si="81"/>
        <v>0.82258064516129037</v>
      </c>
      <c r="AD19" s="5">
        <f t="shared" si="81"/>
        <v>0.82258064516129037</v>
      </c>
      <c r="AE19" s="5">
        <f t="shared" si="81"/>
        <v>0.82258064516129037</v>
      </c>
      <c r="AF19" s="5">
        <f t="shared" si="81"/>
        <v>0.82258064516129037</v>
      </c>
      <c r="AG19" s="1570"/>
      <c r="AH19" s="937">
        <f t="shared" si="60"/>
        <v>5.758064516129032</v>
      </c>
      <c r="AI19" s="1559">
        <f t="shared" si="42"/>
        <v>9.0739087744354183</v>
      </c>
      <c r="AJ19" s="938">
        <f t="shared" si="61"/>
        <v>3.3158442583063863</v>
      </c>
      <c r="AK19" s="145"/>
      <c r="AL19" s="1559">
        <f t="shared" ref="AL19:AR19" si="82">$J$19</f>
        <v>0.82258064516129037</v>
      </c>
      <c r="AM19" s="1655">
        <f t="shared" si="82"/>
        <v>0.82258064516129037</v>
      </c>
      <c r="AN19" s="1667">
        <f t="shared" si="82"/>
        <v>0.82258064516129037</v>
      </c>
      <c r="AO19" s="1667">
        <f t="shared" si="82"/>
        <v>0.82258064516129037</v>
      </c>
      <c r="AP19" s="1669">
        <f t="shared" si="82"/>
        <v>0.82258064516129037</v>
      </c>
      <c r="AQ19" s="1669">
        <f t="shared" si="82"/>
        <v>0.82258064516129037</v>
      </c>
      <c r="AR19" s="1672">
        <f t="shared" si="82"/>
        <v>0.82258064516129037</v>
      </c>
      <c r="AS19" s="145"/>
      <c r="AT19" s="937">
        <f t="shared" si="63"/>
        <v>5.758064516129032</v>
      </c>
      <c r="AU19" s="1559">
        <f t="shared" si="64"/>
        <v>7.6800856913326774</v>
      </c>
      <c r="AV19" s="938">
        <f t="shared" ref="AV19:AV24" si="83">AU19-AT19</f>
        <v>1.9220211752036453</v>
      </c>
      <c r="AW19" s="145"/>
      <c r="AX19" s="1559">
        <f t="shared" ref="AX19:BD19" si="84">$J$19</f>
        <v>0.82258064516129037</v>
      </c>
      <c r="AY19" s="1676">
        <f t="shared" si="84"/>
        <v>0.82258064516129037</v>
      </c>
      <c r="AZ19" s="1688">
        <f t="shared" si="84"/>
        <v>0.82258064516129037</v>
      </c>
      <c r="BA19" s="1692">
        <f t="shared" si="84"/>
        <v>0.82258064516129037</v>
      </c>
      <c r="BB19" s="1697">
        <f t="shared" si="84"/>
        <v>0.82258064516129037</v>
      </c>
      <c r="BC19" s="1701">
        <f t="shared" si="84"/>
        <v>0.82258064516129037</v>
      </c>
      <c r="BD19" s="1703">
        <f t="shared" si="84"/>
        <v>0.82258064516129037</v>
      </c>
      <c r="BE19" s="145"/>
      <c r="BF19" s="937">
        <f t="shared" si="45"/>
        <v>5.758064516129032</v>
      </c>
      <c r="BG19" s="1559">
        <f t="shared" si="46"/>
        <v>11.465901990538248</v>
      </c>
      <c r="BH19" s="938">
        <f t="shared" ref="BH19:BH24" si="85">BG19-BF19</f>
        <v>5.7078374744092155</v>
      </c>
      <c r="BI19" s="1570"/>
      <c r="BJ19" s="5">
        <f t="shared" ref="BJ19:BL19" si="86">$J$19</f>
        <v>0.82258064516129037</v>
      </c>
      <c r="BK19" s="5">
        <f t="shared" si="86"/>
        <v>0.82258064516129037</v>
      </c>
      <c r="BL19" s="5">
        <f t="shared" si="86"/>
        <v>0.82258064516129037</v>
      </c>
      <c r="BM19" s="1570"/>
      <c r="BN19" s="937">
        <f t="shared" si="48"/>
        <v>2.467741935483871</v>
      </c>
      <c r="BO19" s="1559">
        <f t="shared" si="49"/>
        <v>4.7111822726055514</v>
      </c>
      <c r="BP19" s="938">
        <f t="shared" ref="BP19:BP24" si="87">BO19-BN19</f>
        <v>2.2434403371216805</v>
      </c>
      <c r="BR19" s="764">
        <v>25.5</v>
      </c>
      <c r="BS19" s="9">
        <f t="shared" si="50"/>
        <v>1</v>
      </c>
      <c r="BU19" s="937">
        <f t="shared" si="51"/>
        <v>25.5</v>
      </c>
      <c r="BV19" s="1015">
        <f t="shared" si="52"/>
        <v>1</v>
      </c>
      <c r="BW19" s="29"/>
      <c r="BY19" s="1319"/>
      <c r="BZ19" s="482"/>
      <c r="CA19" s="1203"/>
      <c r="CB19" s="1565"/>
      <c r="CC19" s="1565"/>
      <c r="CD19" s="1565"/>
      <c r="CE19" s="1565"/>
      <c r="CF19" s="1565"/>
      <c r="CG19" s="1565"/>
    </row>
    <row r="20" spans="1:86" s="255" customFormat="1" x14ac:dyDescent="0.2">
      <c r="A20" s="426"/>
      <c r="B20" s="1622">
        <v>6</v>
      </c>
      <c r="C20" s="1622" t="s">
        <v>43</v>
      </c>
      <c r="D20" s="812"/>
      <c r="E20" s="1627">
        <v>20</v>
      </c>
      <c r="F20" s="1627">
        <f t="shared" si="36"/>
        <v>2</v>
      </c>
      <c r="G20" s="1627">
        <f t="shared" si="37"/>
        <v>1.3333333333333333</v>
      </c>
      <c r="H20" s="1627">
        <f t="shared" si="38"/>
        <v>1</v>
      </c>
      <c r="I20" s="1627">
        <f t="shared" si="39"/>
        <v>0.8</v>
      </c>
      <c r="J20" s="1627">
        <f t="shared" si="53"/>
        <v>0.64516129032258063</v>
      </c>
      <c r="K20" s="1628">
        <f t="shared" si="54"/>
        <v>2.6253472021674867E-2</v>
      </c>
      <c r="L20" s="410"/>
      <c r="M20" s="492"/>
      <c r="N20" s="40">
        <f>$J$20</f>
        <v>0.64516129032258063</v>
      </c>
      <c r="O20" s="40">
        <f>$J$20</f>
        <v>0.64516129032258063</v>
      </c>
      <c r="P20" s="40">
        <f>$J$20</f>
        <v>0.64516129032258063</v>
      </c>
      <c r="Q20" s="40">
        <f>$J$20</f>
        <v>0.64516129032258063</v>
      </c>
      <c r="R20" s="40">
        <f t="shared" ref="R20:T20" si="88">$J$20</f>
        <v>0.64516129032258063</v>
      </c>
      <c r="S20" s="40">
        <f t="shared" si="88"/>
        <v>0.64516129032258063</v>
      </c>
      <c r="T20" s="40">
        <f t="shared" si="88"/>
        <v>0.64516129032258063</v>
      </c>
      <c r="U20" s="1568"/>
      <c r="V20" s="911">
        <f t="shared" si="56"/>
        <v>4.5161290322580641</v>
      </c>
      <c r="W20" s="40">
        <f t="shared" si="57"/>
        <v>8.2678746764259579</v>
      </c>
      <c r="X20" s="586">
        <f t="shared" si="58"/>
        <v>3.7517456441678938</v>
      </c>
      <c r="Y20" s="782"/>
      <c r="Z20" s="40">
        <f t="shared" ref="Z20:AF20" si="89">$J$20</f>
        <v>0.64516129032258063</v>
      </c>
      <c r="AA20" s="40">
        <f t="shared" si="89"/>
        <v>0.64516129032258063</v>
      </c>
      <c r="AB20" s="40">
        <f t="shared" si="89"/>
        <v>0.64516129032258063</v>
      </c>
      <c r="AC20" s="40">
        <f t="shared" si="89"/>
        <v>0.64516129032258063</v>
      </c>
      <c r="AD20" s="40">
        <f t="shared" si="89"/>
        <v>0.64516129032258063</v>
      </c>
      <c r="AE20" s="40">
        <f t="shared" si="89"/>
        <v>0.64516129032258063</v>
      </c>
      <c r="AF20" s="40">
        <f t="shared" si="89"/>
        <v>0.64516129032258063</v>
      </c>
      <c r="AG20" s="1568"/>
      <c r="AH20" s="911">
        <f t="shared" si="60"/>
        <v>4.5161290322580641</v>
      </c>
      <c r="AI20" s="1560">
        <f t="shared" si="42"/>
        <v>7.1167911956356225</v>
      </c>
      <c r="AJ20" s="936">
        <f t="shared" si="61"/>
        <v>2.6006621633775584</v>
      </c>
      <c r="AK20" s="782"/>
      <c r="AL20" s="1560">
        <f t="shared" ref="AL20:AR20" si="90">$J$20</f>
        <v>0.64516129032258063</v>
      </c>
      <c r="AM20" s="1656">
        <f t="shared" si="90"/>
        <v>0.64516129032258063</v>
      </c>
      <c r="AN20" s="1666">
        <f t="shared" si="90"/>
        <v>0.64516129032258063</v>
      </c>
      <c r="AO20" s="1666">
        <f t="shared" si="90"/>
        <v>0.64516129032258063</v>
      </c>
      <c r="AP20" s="1670">
        <f t="shared" si="90"/>
        <v>0.64516129032258063</v>
      </c>
      <c r="AQ20" s="1670">
        <f t="shared" si="90"/>
        <v>0.64516129032258063</v>
      </c>
      <c r="AR20" s="1671">
        <f t="shared" si="90"/>
        <v>0.64516129032258063</v>
      </c>
      <c r="AS20" s="782"/>
      <c r="AT20" s="911">
        <f t="shared" si="63"/>
        <v>4.5161290322580641</v>
      </c>
      <c r="AU20" s="1560">
        <f t="shared" si="64"/>
        <v>6.0235966206530813</v>
      </c>
      <c r="AV20" s="936">
        <f t="shared" si="83"/>
        <v>1.5074675883950173</v>
      </c>
      <c r="AW20" s="782"/>
      <c r="AX20" s="1560">
        <f t="shared" ref="AX20:BD20" si="91">$J$20</f>
        <v>0.64516129032258063</v>
      </c>
      <c r="AY20" s="1677">
        <f t="shared" si="91"/>
        <v>0.64516129032258063</v>
      </c>
      <c r="AZ20" s="1687">
        <f t="shared" si="91"/>
        <v>0.64516129032258063</v>
      </c>
      <c r="BA20" s="1693">
        <f t="shared" si="91"/>
        <v>0.64516129032258063</v>
      </c>
      <c r="BB20" s="1696">
        <f t="shared" si="91"/>
        <v>0.64516129032258063</v>
      </c>
      <c r="BC20" s="1702">
        <f t="shared" si="91"/>
        <v>0.64516129032258063</v>
      </c>
      <c r="BD20" s="1704">
        <f t="shared" si="91"/>
        <v>0.64516129032258063</v>
      </c>
      <c r="BE20" s="782"/>
      <c r="BF20" s="911">
        <f t="shared" si="45"/>
        <v>4.5161290322580641</v>
      </c>
      <c r="BG20" s="1560">
        <f t="shared" si="46"/>
        <v>8.9928643063045079</v>
      </c>
      <c r="BH20" s="936">
        <f t="shared" si="85"/>
        <v>4.4767352740464439</v>
      </c>
      <c r="BI20" s="1568"/>
      <c r="BJ20" s="40">
        <f t="shared" ref="BJ20:BL20" si="92">$J$20</f>
        <v>0.64516129032258063</v>
      </c>
      <c r="BK20" s="40">
        <f t="shared" si="92"/>
        <v>0.64516129032258063</v>
      </c>
      <c r="BL20" s="40">
        <f t="shared" si="92"/>
        <v>0.64516129032258063</v>
      </c>
      <c r="BM20" s="1568"/>
      <c r="BN20" s="911">
        <f t="shared" si="48"/>
        <v>1.935483870967742</v>
      </c>
      <c r="BO20" s="1560">
        <f t="shared" si="49"/>
        <v>3.6950449196906288</v>
      </c>
      <c r="BP20" s="936">
        <f t="shared" si="87"/>
        <v>1.7595610487228868</v>
      </c>
      <c r="BR20" s="187">
        <v>20</v>
      </c>
      <c r="BS20" s="51">
        <f t="shared" si="50"/>
        <v>1</v>
      </c>
      <c r="BU20" s="911">
        <f t="shared" si="51"/>
        <v>20</v>
      </c>
      <c r="BV20" s="1016">
        <f t="shared" si="52"/>
        <v>1</v>
      </c>
      <c r="BW20" s="62"/>
      <c r="BY20" s="1320"/>
      <c r="BZ20" s="29"/>
      <c r="CA20" s="1565"/>
      <c r="CB20" s="81"/>
      <c r="CC20" s="81"/>
      <c r="CD20" s="81"/>
      <c r="CE20" s="81"/>
      <c r="CF20" s="81"/>
      <c r="CG20" s="81"/>
    </row>
    <row r="21" spans="1:86" s="432" customFormat="1" x14ac:dyDescent="0.2">
      <c r="B21" s="1623">
        <v>7</v>
      </c>
      <c r="C21" s="1623" t="s">
        <v>144</v>
      </c>
      <c r="D21" s="780"/>
      <c r="E21" s="1629">
        <v>12</v>
      </c>
      <c r="F21" s="1629">
        <f t="shared" si="36"/>
        <v>1.2</v>
      </c>
      <c r="G21" s="1629">
        <f t="shared" si="37"/>
        <v>0.8</v>
      </c>
      <c r="H21" s="1629">
        <f t="shared" si="38"/>
        <v>0.6</v>
      </c>
      <c r="I21" s="1629">
        <f t="shared" si="39"/>
        <v>0.48</v>
      </c>
      <c r="J21" s="1629">
        <f t="shared" si="53"/>
        <v>0.38709677419354838</v>
      </c>
      <c r="K21" s="1630">
        <f t="shared" si="54"/>
        <v>1.5752083213004919E-2</v>
      </c>
      <c r="L21" s="1398"/>
      <c r="M21" s="28"/>
      <c r="N21" s="347">
        <f>$J$21</f>
        <v>0.38709677419354838</v>
      </c>
      <c r="O21" s="347">
        <f>$J$21</f>
        <v>0.38709677419354838</v>
      </c>
      <c r="P21" s="347">
        <f>$J$21</f>
        <v>0.38709677419354838</v>
      </c>
      <c r="Q21" s="347">
        <f>$J$21</f>
        <v>0.38709677419354838</v>
      </c>
      <c r="R21" s="347">
        <f t="shared" ref="R21:T21" si="93">$J$21</f>
        <v>0.38709677419354838</v>
      </c>
      <c r="S21" s="347">
        <f t="shared" si="93"/>
        <v>0.38709677419354838</v>
      </c>
      <c r="T21" s="347">
        <f t="shared" si="93"/>
        <v>0.38709677419354838</v>
      </c>
      <c r="U21" s="481"/>
      <c r="V21" s="927">
        <f t="shared" si="56"/>
        <v>2.709677419354839</v>
      </c>
      <c r="W21" s="347">
        <f t="shared" si="57"/>
        <v>4.9607248058555742</v>
      </c>
      <c r="X21" s="928">
        <f t="shared" si="58"/>
        <v>2.2510473865007352</v>
      </c>
      <c r="Y21" s="781"/>
      <c r="Z21" s="347">
        <f t="shared" ref="Z21:AF21" si="94">$J$21</f>
        <v>0.38709677419354838</v>
      </c>
      <c r="AA21" s="347">
        <f t="shared" si="94"/>
        <v>0.38709677419354838</v>
      </c>
      <c r="AB21" s="347">
        <f t="shared" si="94"/>
        <v>0.38709677419354838</v>
      </c>
      <c r="AC21" s="347">
        <f t="shared" si="94"/>
        <v>0.38709677419354838</v>
      </c>
      <c r="AD21" s="347">
        <f t="shared" si="94"/>
        <v>0.38709677419354838</v>
      </c>
      <c r="AE21" s="347">
        <f t="shared" si="94"/>
        <v>0.38709677419354838</v>
      </c>
      <c r="AF21" s="347">
        <f t="shared" si="94"/>
        <v>0.38709677419354838</v>
      </c>
      <c r="AG21" s="436"/>
      <c r="AH21" s="927">
        <f t="shared" si="60"/>
        <v>2.709677419354839</v>
      </c>
      <c r="AI21" s="347">
        <f t="shared" si="42"/>
        <v>4.2700747173813731</v>
      </c>
      <c r="AJ21" s="1424">
        <f t="shared" si="61"/>
        <v>1.5603972980265342</v>
      </c>
      <c r="AK21" s="927"/>
      <c r="AL21" s="483">
        <f t="shared" ref="AL21:AR21" si="95">$J$21</f>
        <v>0.38709677419354838</v>
      </c>
      <c r="AM21" s="483">
        <f t="shared" si="95"/>
        <v>0.38709677419354838</v>
      </c>
      <c r="AN21" s="483">
        <f t="shared" si="95"/>
        <v>0.38709677419354838</v>
      </c>
      <c r="AO21" s="483">
        <f t="shared" si="95"/>
        <v>0.38709677419354838</v>
      </c>
      <c r="AP21" s="483">
        <f t="shared" si="95"/>
        <v>0.38709677419354838</v>
      </c>
      <c r="AQ21" s="483">
        <f t="shared" si="95"/>
        <v>0.38709677419354838</v>
      </c>
      <c r="AR21" s="483">
        <f t="shared" si="95"/>
        <v>0.38709677419354838</v>
      </c>
      <c r="AS21" s="347"/>
      <c r="AT21" s="927">
        <f t="shared" si="63"/>
        <v>2.709677419354839</v>
      </c>
      <c r="AU21" s="347">
        <f t="shared" si="64"/>
        <v>3.614157972391848</v>
      </c>
      <c r="AV21" s="1424">
        <f t="shared" si="83"/>
        <v>0.90448055303700903</v>
      </c>
      <c r="AW21" s="927"/>
      <c r="AX21" s="483">
        <f t="shared" ref="AX21:BD21" si="96">$J$21</f>
        <v>0.38709677419354838</v>
      </c>
      <c r="AY21" s="483">
        <f t="shared" si="96"/>
        <v>0.38709677419354838</v>
      </c>
      <c r="AZ21" s="483">
        <f t="shared" si="96"/>
        <v>0.38709677419354838</v>
      </c>
      <c r="BA21" s="483">
        <f t="shared" si="96"/>
        <v>0.38709677419354838</v>
      </c>
      <c r="BB21" s="483">
        <f t="shared" si="96"/>
        <v>0.38709677419354838</v>
      </c>
      <c r="BC21" s="483">
        <f t="shared" si="96"/>
        <v>0.38709677419354838</v>
      </c>
      <c r="BD21" s="483">
        <f t="shared" si="96"/>
        <v>0.38709677419354838</v>
      </c>
      <c r="BE21" s="347"/>
      <c r="BF21" s="927">
        <f t="shared" si="45"/>
        <v>2.709677419354839</v>
      </c>
      <c r="BG21" s="347">
        <f t="shared" si="46"/>
        <v>5.3957185837827044</v>
      </c>
      <c r="BH21" s="1424">
        <f t="shared" si="85"/>
        <v>2.6860411644278654</v>
      </c>
      <c r="BI21" s="1712"/>
      <c r="BJ21" s="347">
        <f t="shared" ref="BJ21:BL21" si="97">$J$21</f>
        <v>0.38709677419354838</v>
      </c>
      <c r="BK21" s="347">
        <f t="shared" si="97"/>
        <v>0.38709677419354838</v>
      </c>
      <c r="BL21" s="347">
        <f t="shared" si="97"/>
        <v>0.38709677419354838</v>
      </c>
      <c r="BM21" s="781"/>
      <c r="BN21" s="927">
        <f t="shared" si="48"/>
        <v>1.161290322580645</v>
      </c>
      <c r="BO21" s="347">
        <f t="shared" si="49"/>
        <v>2.2170269518143773</v>
      </c>
      <c r="BP21" s="1424">
        <f t="shared" si="87"/>
        <v>1.0557366292337322</v>
      </c>
      <c r="BQ21" s="347"/>
      <c r="BR21" s="764">
        <v>12</v>
      </c>
      <c r="BS21" s="485">
        <f t="shared" si="50"/>
        <v>1</v>
      </c>
      <c r="BT21" s="436"/>
      <c r="BU21" s="1425">
        <f t="shared" si="51"/>
        <v>12</v>
      </c>
      <c r="BV21" s="1017">
        <f t="shared" si="52"/>
        <v>1</v>
      </c>
      <c r="BW21" s="1425"/>
      <c r="BX21" s="481"/>
      <c r="BY21" s="481"/>
      <c r="BZ21" s="481"/>
      <c r="CA21" s="481"/>
      <c r="CB21" s="481"/>
      <c r="CC21" s="481"/>
      <c r="CD21" s="481"/>
      <c r="CE21" s="481"/>
      <c r="CF21" s="1565"/>
      <c r="CG21" s="1565"/>
    </row>
    <row r="22" spans="1:86" s="255" customFormat="1" x14ac:dyDescent="0.2">
      <c r="A22" s="426"/>
      <c r="B22" s="1622">
        <v>8</v>
      </c>
      <c r="C22" s="1622" t="s">
        <v>162</v>
      </c>
      <c r="D22" s="812"/>
      <c r="E22" s="1627">
        <v>10</v>
      </c>
      <c r="F22" s="1627">
        <f t="shared" si="36"/>
        <v>1</v>
      </c>
      <c r="G22" s="1627">
        <f t="shared" si="37"/>
        <v>0.66666666666666663</v>
      </c>
      <c r="H22" s="1627">
        <f t="shared" si="38"/>
        <v>0.5</v>
      </c>
      <c r="I22" s="1627">
        <f t="shared" si="39"/>
        <v>0.4</v>
      </c>
      <c r="J22" s="1627">
        <f t="shared" si="53"/>
        <v>0.32258064516129031</v>
      </c>
      <c r="K22" s="1628">
        <f t="shared" si="54"/>
        <v>1.3126736010837433E-2</v>
      </c>
      <c r="L22" s="1399"/>
      <c r="M22" s="492"/>
      <c r="N22" s="40">
        <f>$J$22</f>
        <v>0.32258064516129031</v>
      </c>
      <c r="O22" s="40">
        <f>$J$22</f>
        <v>0.32258064516129031</v>
      </c>
      <c r="P22" s="40">
        <f>$J$22</f>
        <v>0.32258064516129031</v>
      </c>
      <c r="Q22" s="40">
        <f>$J$22</f>
        <v>0.32258064516129031</v>
      </c>
      <c r="R22" s="40">
        <f t="shared" ref="R22:T22" si="98">$J$22</f>
        <v>0.32258064516129031</v>
      </c>
      <c r="S22" s="40">
        <f t="shared" si="98"/>
        <v>0.32258064516129031</v>
      </c>
      <c r="T22" s="40">
        <f t="shared" si="98"/>
        <v>0.32258064516129031</v>
      </c>
      <c r="U22" s="1568"/>
      <c r="V22" s="911">
        <f t="shared" si="56"/>
        <v>2.258064516129032</v>
      </c>
      <c r="W22" s="40">
        <f t="shared" si="57"/>
        <v>4.1339373382129789</v>
      </c>
      <c r="X22" s="586">
        <f t="shared" si="58"/>
        <v>1.8758728220839469</v>
      </c>
      <c r="Y22" s="782"/>
      <c r="Z22" s="40">
        <f t="shared" ref="Z22:AF22" si="99">$J$22</f>
        <v>0.32258064516129031</v>
      </c>
      <c r="AA22" s="40">
        <f t="shared" si="99"/>
        <v>0.32258064516129031</v>
      </c>
      <c r="AB22" s="40">
        <f t="shared" si="99"/>
        <v>0.32258064516129031</v>
      </c>
      <c r="AC22" s="40">
        <f t="shared" si="99"/>
        <v>0.32258064516129031</v>
      </c>
      <c r="AD22" s="40">
        <f t="shared" si="99"/>
        <v>0.32258064516129031</v>
      </c>
      <c r="AE22" s="40">
        <f t="shared" si="99"/>
        <v>0.32258064516129031</v>
      </c>
      <c r="AF22" s="40">
        <f t="shared" si="99"/>
        <v>0.32258064516129031</v>
      </c>
      <c r="AG22" s="1568"/>
      <c r="AH22" s="911">
        <f t="shared" si="60"/>
        <v>2.258064516129032</v>
      </c>
      <c r="AI22" s="1560">
        <f t="shared" si="42"/>
        <v>3.5583955978178112</v>
      </c>
      <c r="AJ22" s="936">
        <f t="shared" si="61"/>
        <v>1.3003310816887792</v>
      </c>
      <c r="AK22" s="782"/>
      <c r="AL22" s="1560">
        <f t="shared" ref="AL22:AR22" si="100">$J$22</f>
        <v>0.32258064516129031</v>
      </c>
      <c r="AM22" s="1656">
        <f t="shared" si="100"/>
        <v>0.32258064516129031</v>
      </c>
      <c r="AN22" s="1666">
        <f t="shared" si="100"/>
        <v>0.32258064516129031</v>
      </c>
      <c r="AO22" s="1666">
        <f t="shared" si="100"/>
        <v>0.32258064516129031</v>
      </c>
      <c r="AP22" s="1670">
        <f t="shared" si="100"/>
        <v>0.32258064516129031</v>
      </c>
      <c r="AQ22" s="1670">
        <f t="shared" si="100"/>
        <v>0.32258064516129031</v>
      </c>
      <c r="AR22" s="1671">
        <f t="shared" si="100"/>
        <v>0.32258064516129031</v>
      </c>
      <c r="AS22" s="782"/>
      <c r="AT22" s="911">
        <f t="shared" si="63"/>
        <v>2.258064516129032</v>
      </c>
      <c r="AU22" s="1560">
        <f t="shared" si="64"/>
        <v>3.0117983103265407</v>
      </c>
      <c r="AV22" s="936">
        <f t="shared" si="83"/>
        <v>0.75373379419750863</v>
      </c>
      <c r="AW22" s="782"/>
      <c r="AX22" s="1560">
        <f t="shared" ref="AX22:BD22" si="101">$J$22</f>
        <v>0.32258064516129031</v>
      </c>
      <c r="AY22" s="1677">
        <f t="shared" si="101"/>
        <v>0.32258064516129031</v>
      </c>
      <c r="AZ22" s="1687">
        <f t="shared" si="101"/>
        <v>0.32258064516129031</v>
      </c>
      <c r="BA22" s="1693">
        <f t="shared" si="101"/>
        <v>0.32258064516129031</v>
      </c>
      <c r="BB22" s="1696">
        <f t="shared" si="101"/>
        <v>0.32258064516129031</v>
      </c>
      <c r="BC22" s="1702">
        <f t="shared" si="101"/>
        <v>0.32258064516129031</v>
      </c>
      <c r="BD22" s="1704">
        <f t="shared" si="101"/>
        <v>0.32258064516129031</v>
      </c>
      <c r="BE22" s="782"/>
      <c r="BF22" s="911">
        <f t="shared" si="45"/>
        <v>2.258064516129032</v>
      </c>
      <c r="BG22" s="1560">
        <f t="shared" si="46"/>
        <v>4.496432153152254</v>
      </c>
      <c r="BH22" s="936">
        <f t="shared" si="85"/>
        <v>2.2383676370232219</v>
      </c>
      <c r="BI22" s="1568"/>
      <c r="BJ22" s="40">
        <f t="shared" ref="BJ22:BL22" si="102">$J$22</f>
        <v>0.32258064516129031</v>
      </c>
      <c r="BK22" s="40">
        <f t="shared" si="102"/>
        <v>0.32258064516129031</v>
      </c>
      <c r="BL22" s="40">
        <f t="shared" si="102"/>
        <v>0.32258064516129031</v>
      </c>
      <c r="BM22" s="1568"/>
      <c r="BN22" s="911">
        <f t="shared" si="48"/>
        <v>0.967741935483871</v>
      </c>
      <c r="BO22" s="1560">
        <f t="shared" si="49"/>
        <v>1.8475224598453144</v>
      </c>
      <c r="BP22" s="936">
        <f t="shared" si="87"/>
        <v>0.87978052436144338</v>
      </c>
      <c r="BR22" s="187">
        <v>10</v>
      </c>
      <c r="BS22" s="51">
        <f t="shared" si="50"/>
        <v>1</v>
      </c>
      <c r="BU22" s="911">
        <f t="shared" si="51"/>
        <v>10</v>
      </c>
      <c r="BV22" s="1016">
        <f t="shared" si="52"/>
        <v>1</v>
      </c>
      <c r="BW22" s="62"/>
      <c r="BY22" s="1565"/>
      <c r="BZ22" s="81"/>
      <c r="CA22" s="81"/>
      <c r="CB22" s="81"/>
      <c r="CC22" s="81"/>
      <c r="CD22" s="81"/>
      <c r="CE22" s="81"/>
      <c r="CF22" s="81"/>
      <c r="CG22" s="81"/>
    </row>
    <row r="23" spans="1:86" s="432" customFormat="1" x14ac:dyDescent="0.2">
      <c r="B23" s="1623">
        <v>9</v>
      </c>
      <c r="C23" s="1624" t="s">
        <v>167</v>
      </c>
      <c r="D23" s="780"/>
      <c r="E23" s="1631">
        <v>10</v>
      </c>
      <c r="F23" s="1631"/>
      <c r="G23" s="1631"/>
      <c r="H23" s="1631"/>
      <c r="I23" s="1631"/>
      <c r="J23" s="1631">
        <f t="shared" si="53"/>
        <v>0.32258064516129031</v>
      </c>
      <c r="K23" s="1632">
        <f t="shared" si="54"/>
        <v>1.3126736010837433E-2</v>
      </c>
      <c r="L23" s="1398"/>
      <c r="M23" s="491"/>
      <c r="N23" s="347">
        <f>$J$23</f>
        <v>0.32258064516129031</v>
      </c>
      <c r="O23" s="347">
        <f>$J$23</f>
        <v>0.32258064516129031</v>
      </c>
      <c r="P23" s="347">
        <f>$J$23</f>
        <v>0.32258064516129031</v>
      </c>
      <c r="Q23" s="347">
        <f>$J$23</f>
        <v>0.32258064516129031</v>
      </c>
      <c r="R23" s="347">
        <f t="shared" ref="R23:T23" si="103">$J$23</f>
        <v>0.32258064516129031</v>
      </c>
      <c r="S23" s="347">
        <f t="shared" si="103"/>
        <v>0.32258064516129031</v>
      </c>
      <c r="T23" s="347">
        <f t="shared" si="103"/>
        <v>0.32258064516129031</v>
      </c>
      <c r="U23" s="481"/>
      <c r="V23" s="927">
        <f t="shared" si="56"/>
        <v>2.258064516129032</v>
      </c>
      <c r="W23" s="347">
        <f t="shared" si="57"/>
        <v>4.1339373382129789</v>
      </c>
      <c r="X23" s="928">
        <f t="shared" si="58"/>
        <v>1.8758728220839469</v>
      </c>
      <c r="Y23" s="781"/>
      <c r="Z23" s="347">
        <f t="shared" ref="Z23:AF23" si="104">$J$23</f>
        <v>0.32258064516129031</v>
      </c>
      <c r="AA23" s="347">
        <f t="shared" si="104"/>
        <v>0.32258064516129031</v>
      </c>
      <c r="AB23" s="347">
        <f t="shared" si="104"/>
        <v>0.32258064516129031</v>
      </c>
      <c r="AC23" s="347">
        <f t="shared" si="104"/>
        <v>0.32258064516129031</v>
      </c>
      <c r="AD23" s="347">
        <f t="shared" si="104"/>
        <v>0.32258064516129031</v>
      </c>
      <c r="AE23" s="347">
        <f t="shared" si="104"/>
        <v>0.32258064516129031</v>
      </c>
      <c r="AF23" s="347">
        <f t="shared" si="104"/>
        <v>0.32258064516129031</v>
      </c>
      <c r="AG23" s="481"/>
      <c r="AH23" s="940">
        <f t="shared" si="60"/>
        <v>2.258064516129032</v>
      </c>
      <c r="AI23" s="667">
        <f t="shared" si="42"/>
        <v>3.5583955978178112</v>
      </c>
      <c r="AJ23" s="941">
        <f t="shared" si="61"/>
        <v>1.3003310816887792</v>
      </c>
      <c r="AK23" s="781"/>
      <c r="AL23" s="667">
        <f t="shared" ref="AL23:AR23" si="105">$J$23</f>
        <v>0.32258064516129031</v>
      </c>
      <c r="AM23" s="667">
        <f t="shared" si="105"/>
        <v>0.32258064516129031</v>
      </c>
      <c r="AN23" s="667">
        <f t="shared" si="105"/>
        <v>0.32258064516129031</v>
      </c>
      <c r="AO23" s="667">
        <f t="shared" si="105"/>
        <v>0.32258064516129031</v>
      </c>
      <c r="AP23" s="667">
        <f t="shared" si="105"/>
        <v>0.32258064516129031</v>
      </c>
      <c r="AQ23" s="667">
        <f t="shared" si="105"/>
        <v>0.32258064516129031</v>
      </c>
      <c r="AR23" s="667">
        <f t="shared" si="105"/>
        <v>0.32258064516129031</v>
      </c>
      <c r="AS23" s="781"/>
      <c r="AT23" s="940">
        <f t="shared" si="63"/>
        <v>2.258064516129032</v>
      </c>
      <c r="AU23" s="667">
        <f t="shared" si="64"/>
        <v>3.0117983103265407</v>
      </c>
      <c r="AV23" s="941">
        <f t="shared" si="83"/>
        <v>0.75373379419750863</v>
      </c>
      <c r="AW23" s="781"/>
      <c r="AX23" s="667">
        <f t="shared" ref="AX23:BD23" si="106">$J$23</f>
        <v>0.32258064516129031</v>
      </c>
      <c r="AY23" s="667">
        <f t="shared" si="106"/>
        <v>0.32258064516129031</v>
      </c>
      <c r="AZ23" s="667">
        <f t="shared" si="106"/>
        <v>0.32258064516129031</v>
      </c>
      <c r="BA23" s="667">
        <f t="shared" si="106"/>
        <v>0.32258064516129031</v>
      </c>
      <c r="BB23" s="667">
        <f t="shared" si="106"/>
        <v>0.32258064516129031</v>
      </c>
      <c r="BC23" s="667">
        <f t="shared" si="106"/>
        <v>0.32258064516129031</v>
      </c>
      <c r="BD23" s="667">
        <f t="shared" si="106"/>
        <v>0.32258064516129031</v>
      </c>
      <c r="BE23" s="781"/>
      <c r="BF23" s="940">
        <f t="shared" si="45"/>
        <v>2.258064516129032</v>
      </c>
      <c r="BG23" s="667">
        <f t="shared" si="46"/>
        <v>4.496432153152254</v>
      </c>
      <c r="BH23" s="941">
        <f t="shared" si="85"/>
        <v>2.2383676370232219</v>
      </c>
      <c r="BI23" s="481"/>
      <c r="BJ23" s="347">
        <f t="shared" ref="BJ23:BL23" si="107">$J$23</f>
        <v>0.32258064516129031</v>
      </c>
      <c r="BK23" s="347">
        <f t="shared" si="107"/>
        <v>0.32258064516129031</v>
      </c>
      <c r="BL23" s="347">
        <f t="shared" si="107"/>
        <v>0.32258064516129031</v>
      </c>
      <c r="BM23" s="481"/>
      <c r="BN23" s="940">
        <f t="shared" si="48"/>
        <v>0.967741935483871</v>
      </c>
      <c r="BO23" s="667">
        <f t="shared" si="49"/>
        <v>1.8475224598453144</v>
      </c>
      <c r="BP23" s="941">
        <f t="shared" si="87"/>
        <v>0.87978052436144338</v>
      </c>
      <c r="BR23" s="764">
        <v>10</v>
      </c>
      <c r="BS23" s="485">
        <f t="shared" si="50"/>
        <v>1</v>
      </c>
      <c r="BU23" s="927">
        <f t="shared" si="51"/>
        <v>10</v>
      </c>
      <c r="BV23" s="1017">
        <f t="shared" si="52"/>
        <v>1</v>
      </c>
      <c r="BW23" s="482"/>
      <c r="BY23" s="81"/>
      <c r="BZ23" s="29"/>
      <c r="CA23" s="1565"/>
      <c r="CB23" s="1565"/>
      <c r="CC23" s="1565"/>
      <c r="CD23" s="1565"/>
      <c r="CE23" s="1565"/>
      <c r="CF23" s="1565"/>
      <c r="CG23" s="1565"/>
    </row>
    <row r="24" spans="1:86" s="426" customFormat="1" ht="15.75" thickBot="1" x14ac:dyDescent="0.25">
      <c r="B24" s="1622">
        <v>10</v>
      </c>
      <c r="C24" s="1622" t="s">
        <v>124</v>
      </c>
      <c r="D24" s="812"/>
      <c r="E24" s="1627">
        <v>1</v>
      </c>
      <c r="F24" s="1627">
        <f>E24/10</f>
        <v>0.1</v>
      </c>
      <c r="G24" s="1627">
        <f>E24/15</f>
        <v>6.6666666666666666E-2</v>
      </c>
      <c r="H24" s="1627">
        <f>E24/20</f>
        <v>0.05</v>
      </c>
      <c r="I24" s="1627">
        <f>E24/25</f>
        <v>0.04</v>
      </c>
      <c r="J24" s="1627">
        <f t="shared" si="53"/>
        <v>3.2258064516129031E-2</v>
      </c>
      <c r="K24" s="1628">
        <f t="shared" si="54"/>
        <v>1.3126736010837434E-3</v>
      </c>
      <c r="L24" s="1399"/>
      <c r="M24" s="492"/>
      <c r="N24" s="132">
        <f>$J$24</f>
        <v>3.2258064516129031E-2</v>
      </c>
      <c r="O24" s="132">
        <f>$J$24</f>
        <v>3.2258064516129031E-2</v>
      </c>
      <c r="P24" s="132">
        <f>$J$24</f>
        <v>3.2258064516129031E-2</v>
      </c>
      <c r="Q24" s="132">
        <f>$J$24</f>
        <v>3.2258064516129031E-2</v>
      </c>
      <c r="R24" s="132">
        <f t="shared" ref="R24:T24" si="108">$J$24</f>
        <v>3.2258064516129031E-2</v>
      </c>
      <c r="S24" s="132">
        <f t="shared" si="108"/>
        <v>3.2258064516129031E-2</v>
      </c>
      <c r="T24" s="132">
        <f t="shared" si="108"/>
        <v>3.2258064516129031E-2</v>
      </c>
      <c r="U24" s="479"/>
      <c r="V24" s="468">
        <f t="shared" si="56"/>
        <v>0.22580645161290322</v>
      </c>
      <c r="W24" s="1194">
        <f t="shared" si="57"/>
        <v>0.4133937338212979</v>
      </c>
      <c r="X24" s="1195">
        <f t="shared" si="58"/>
        <v>0.18758728220839468</v>
      </c>
      <c r="Y24" s="779"/>
      <c r="Z24" s="132">
        <f t="shared" ref="Z24:AF24" si="109">$J$24</f>
        <v>3.2258064516129031E-2</v>
      </c>
      <c r="AA24" s="132">
        <f t="shared" si="109"/>
        <v>3.2258064516129031E-2</v>
      </c>
      <c r="AB24" s="132">
        <f t="shared" si="109"/>
        <v>3.2258064516129031E-2</v>
      </c>
      <c r="AC24" s="132">
        <f t="shared" si="109"/>
        <v>3.2258064516129031E-2</v>
      </c>
      <c r="AD24" s="132">
        <f t="shared" si="109"/>
        <v>3.2258064516129031E-2</v>
      </c>
      <c r="AE24" s="132">
        <f t="shared" si="109"/>
        <v>3.2258064516129031E-2</v>
      </c>
      <c r="AF24" s="132">
        <f t="shared" si="109"/>
        <v>3.2258064516129031E-2</v>
      </c>
      <c r="AG24" s="479"/>
      <c r="AH24" s="468">
        <f t="shared" si="60"/>
        <v>0.22580645161290322</v>
      </c>
      <c r="AI24" s="1172">
        <f t="shared" si="42"/>
        <v>0.35583955978178117</v>
      </c>
      <c r="AJ24" s="1173">
        <f t="shared" si="61"/>
        <v>0.13003310816887795</v>
      </c>
      <c r="AK24" s="779"/>
      <c r="AL24" s="440">
        <f t="shared" ref="AL24:AR24" si="110">$J$24</f>
        <v>3.2258064516129031E-2</v>
      </c>
      <c r="AM24" s="440">
        <f t="shared" si="110"/>
        <v>3.2258064516129031E-2</v>
      </c>
      <c r="AN24" s="440">
        <f t="shared" si="110"/>
        <v>3.2258064516129031E-2</v>
      </c>
      <c r="AO24" s="440">
        <f t="shared" si="110"/>
        <v>3.2258064516129031E-2</v>
      </c>
      <c r="AP24" s="440">
        <f t="shared" si="110"/>
        <v>3.2258064516129031E-2</v>
      </c>
      <c r="AQ24" s="440">
        <f t="shared" si="110"/>
        <v>3.2258064516129031E-2</v>
      </c>
      <c r="AR24" s="440">
        <f t="shared" si="110"/>
        <v>3.2258064516129031E-2</v>
      </c>
      <c r="AS24" s="779"/>
      <c r="AT24" s="468">
        <f t="shared" si="63"/>
        <v>0.22580645161290322</v>
      </c>
      <c r="AU24" s="1172">
        <f t="shared" si="64"/>
        <v>0.30117983103265406</v>
      </c>
      <c r="AV24" s="1173">
        <f t="shared" si="83"/>
        <v>7.5373379419750836E-2</v>
      </c>
      <c r="AW24" s="779"/>
      <c r="AX24" s="440">
        <f t="shared" ref="AX24:BD24" si="111">$J$24</f>
        <v>3.2258064516129031E-2</v>
      </c>
      <c r="AY24" s="440">
        <f t="shared" si="111"/>
        <v>3.2258064516129031E-2</v>
      </c>
      <c r="AZ24" s="440">
        <f t="shared" si="111"/>
        <v>3.2258064516129031E-2</v>
      </c>
      <c r="BA24" s="440">
        <f t="shared" si="111"/>
        <v>3.2258064516129031E-2</v>
      </c>
      <c r="BB24" s="440">
        <f t="shared" si="111"/>
        <v>3.2258064516129031E-2</v>
      </c>
      <c r="BC24" s="440">
        <f t="shared" si="111"/>
        <v>3.2258064516129031E-2</v>
      </c>
      <c r="BD24" s="440">
        <f t="shared" si="111"/>
        <v>3.2258064516129031E-2</v>
      </c>
      <c r="BE24" s="779"/>
      <c r="BF24" s="468">
        <f t="shared" si="45"/>
        <v>0.22580645161290322</v>
      </c>
      <c r="BG24" s="1172">
        <f t="shared" si="46"/>
        <v>0.44964321531522544</v>
      </c>
      <c r="BH24" s="1173">
        <f t="shared" si="85"/>
        <v>0.22383676370232222</v>
      </c>
      <c r="BI24" s="479"/>
      <c r="BJ24" s="132">
        <f t="shared" ref="BJ24:BL24" si="112">$J$24</f>
        <v>3.2258064516129031E-2</v>
      </c>
      <c r="BK24" s="132">
        <f t="shared" si="112"/>
        <v>3.2258064516129031E-2</v>
      </c>
      <c r="BL24" s="132">
        <f t="shared" si="112"/>
        <v>3.2258064516129031E-2</v>
      </c>
      <c r="BM24" s="479"/>
      <c r="BN24" s="468">
        <f t="shared" si="48"/>
        <v>9.6774193548387094E-2</v>
      </c>
      <c r="BO24" s="1172">
        <f t="shared" si="49"/>
        <v>0.18475224598453147</v>
      </c>
      <c r="BP24" s="1173">
        <f t="shared" si="87"/>
        <v>8.7978052436144372E-2</v>
      </c>
      <c r="BR24" s="187">
        <v>1</v>
      </c>
      <c r="BS24" s="641">
        <f t="shared" si="50"/>
        <v>1</v>
      </c>
      <c r="BU24" s="468">
        <f t="shared" si="51"/>
        <v>1</v>
      </c>
      <c r="BV24" s="1196">
        <f t="shared" si="52"/>
        <v>1</v>
      </c>
      <c r="BW24" s="480"/>
      <c r="BY24" s="1228"/>
      <c r="BZ24" s="81"/>
      <c r="CA24" s="81"/>
      <c r="CB24" s="81"/>
      <c r="CC24" s="81"/>
      <c r="CD24" s="81"/>
      <c r="CE24" s="81"/>
      <c r="CF24" s="81"/>
      <c r="CG24" s="81"/>
    </row>
    <row r="25" spans="1:86" s="438" customFormat="1" ht="4.5" customHeight="1" thickBot="1" x14ac:dyDescent="0.25">
      <c r="B25" s="1168"/>
      <c r="C25" s="1168"/>
      <c r="E25" s="429"/>
      <c r="F25" s="429"/>
      <c r="G25" s="429"/>
      <c r="H25" s="429"/>
      <c r="I25" s="429"/>
      <c r="J25" s="429"/>
      <c r="K25" s="1169"/>
      <c r="L25" s="1399"/>
      <c r="M25" s="492"/>
      <c r="N25" s="429"/>
      <c r="O25" s="429"/>
      <c r="P25" s="429"/>
      <c r="Q25" s="429"/>
      <c r="R25" s="429"/>
      <c r="S25" s="429"/>
      <c r="T25" s="429"/>
      <c r="U25" s="479"/>
      <c r="V25" s="479"/>
      <c r="W25" s="479"/>
      <c r="X25" s="479"/>
      <c r="Y25" s="479"/>
      <c r="Z25" s="429"/>
      <c r="AA25" s="429"/>
      <c r="AB25" s="429"/>
      <c r="AC25" s="429"/>
      <c r="AD25" s="429"/>
      <c r="AE25" s="429"/>
      <c r="AF25" s="429"/>
      <c r="AG25" s="479"/>
      <c r="AH25" s="1193"/>
      <c r="AI25" s="1193"/>
      <c r="AJ25" s="1193"/>
      <c r="AK25" s="479"/>
      <c r="AL25" s="429"/>
      <c r="AM25" s="429"/>
      <c r="AN25" s="429"/>
      <c r="AO25" s="429"/>
      <c r="AP25" s="429"/>
      <c r="AQ25" s="429"/>
      <c r="AR25" s="429"/>
      <c r="AS25" s="479"/>
      <c r="AT25" s="1259"/>
      <c r="AU25" s="1259"/>
      <c r="AV25" s="1259"/>
      <c r="AW25" s="479"/>
      <c r="AX25" s="429"/>
      <c r="AY25" s="429"/>
      <c r="AZ25" s="429"/>
      <c r="BA25" s="429"/>
      <c r="BB25" s="429"/>
      <c r="BC25" s="429"/>
      <c r="BD25" s="429"/>
      <c r="BE25" s="479"/>
      <c r="BF25" s="429"/>
      <c r="BG25" s="429"/>
      <c r="BH25" s="429"/>
      <c r="BI25" s="479"/>
      <c r="BJ25" s="429"/>
      <c r="BK25" s="429"/>
      <c r="BL25" s="429"/>
      <c r="BM25" s="479"/>
      <c r="BN25" s="429"/>
      <c r="BO25" s="429"/>
      <c r="BP25" s="429"/>
      <c r="BR25" s="479"/>
      <c r="BS25" s="480"/>
      <c r="BU25" s="479"/>
      <c r="BV25" s="480"/>
      <c r="BW25" s="480"/>
      <c r="BY25" s="1228"/>
      <c r="BZ25" s="271"/>
      <c r="CA25" s="271"/>
      <c r="CB25" s="81"/>
      <c r="CC25" s="81"/>
      <c r="CD25" s="81"/>
      <c r="CE25" s="81"/>
      <c r="CF25" s="81"/>
      <c r="CG25" s="81"/>
    </row>
    <row r="26" spans="1:86" s="833" customFormat="1" ht="15.75" thickBot="1" x14ac:dyDescent="0.25">
      <c r="B26" s="1633"/>
      <c r="C26" s="1634">
        <f>E26*100/30</f>
        <v>2539.3466666666664</v>
      </c>
      <c r="D26" s="835"/>
      <c r="E26" s="1635">
        <f>SUM(E15:E24)</f>
        <v>761.80399999999997</v>
      </c>
      <c r="F26" s="1635">
        <f t="shared" ref="F26:K26" si="113">SUM(F15:F24)</f>
        <v>75.180399999999992</v>
      </c>
      <c r="G26" s="1635">
        <f t="shared" si="113"/>
        <v>50.120266666666673</v>
      </c>
      <c r="H26" s="1635">
        <f t="shared" si="113"/>
        <v>37.590199999999996</v>
      </c>
      <c r="I26" s="1635">
        <f t="shared" si="113"/>
        <v>30.07216</v>
      </c>
      <c r="J26" s="1635">
        <f t="shared" si="113"/>
        <v>24.703354838709679</v>
      </c>
      <c r="K26" s="1636">
        <f t="shared" si="113"/>
        <v>1</v>
      </c>
      <c r="L26" s="1400"/>
      <c r="M26" s="877"/>
      <c r="N26" s="89">
        <f t="shared" ref="N26:T26" si="114">SUM(N15:N24)</f>
        <v>24.703354838709679</v>
      </c>
      <c r="O26" s="89">
        <f t="shared" si="114"/>
        <v>24.703354838709679</v>
      </c>
      <c r="P26" s="89">
        <f t="shared" si="114"/>
        <v>24.703354838709679</v>
      </c>
      <c r="Q26" s="89">
        <f t="shared" si="114"/>
        <v>24.703354838709679</v>
      </c>
      <c r="R26" s="89">
        <f t="shared" si="114"/>
        <v>24.703354838709679</v>
      </c>
      <c r="S26" s="89">
        <f t="shared" si="114"/>
        <v>24.703354838709679</v>
      </c>
      <c r="T26" s="89">
        <f t="shared" si="114"/>
        <v>24.703354838709679</v>
      </c>
      <c r="U26" s="841"/>
      <c r="V26" s="1181">
        <f>SUM(V15:V24)</f>
        <v>172.92348387096774</v>
      </c>
      <c r="W26" s="1182">
        <f>SUM(W15:W24)</f>
        <v>314.92499999999995</v>
      </c>
      <c r="X26" s="1183">
        <f t="shared" ref="X26" si="115">SUM(X15:X24)</f>
        <v>142.00151612903227</v>
      </c>
      <c r="Y26" s="838"/>
      <c r="Z26" s="89">
        <f t="shared" ref="Z26:AA26" si="116">SUM(Z15:Z24)</f>
        <v>24.703354838709679</v>
      </c>
      <c r="AA26" s="89">
        <f t="shared" si="116"/>
        <v>24.703354838709679</v>
      </c>
      <c r="AB26" s="89">
        <f t="shared" ref="AB26:AC26" si="117">SUM(AB15:AB24)</f>
        <v>24.703354838709679</v>
      </c>
      <c r="AC26" s="89">
        <f t="shared" si="117"/>
        <v>24.703354838709679</v>
      </c>
      <c r="AD26" s="89">
        <f t="shared" ref="AD26:AE26" si="118">SUM(AD15:AD24)</f>
        <v>24.703354838709679</v>
      </c>
      <c r="AE26" s="89">
        <f t="shared" si="118"/>
        <v>24.703354838709679</v>
      </c>
      <c r="AF26" s="89">
        <f t="shared" ref="AF26" si="119">SUM(AF15:AF24)</f>
        <v>24.703354838709679</v>
      </c>
      <c r="AG26" s="838"/>
      <c r="AH26" s="1176">
        <f>SUM(AH15:AH24)</f>
        <v>172.92348387096774</v>
      </c>
      <c r="AI26" s="901">
        <f>SUM(AI15:AI24)</f>
        <v>271.08</v>
      </c>
      <c r="AJ26" s="962">
        <f>SUM(AJ15:AJ24)</f>
        <v>98.156516129032269</v>
      </c>
      <c r="AK26" s="838"/>
      <c r="AL26" s="837">
        <f t="shared" ref="AL26:AM26" si="120">SUM(AL15:AL24)</f>
        <v>24.703354838709679</v>
      </c>
      <c r="AM26" s="837">
        <f t="shared" si="120"/>
        <v>24.703354838709679</v>
      </c>
      <c r="AN26" s="837">
        <f t="shared" ref="AN26:AO26" si="121">SUM(AN15:AN24)</f>
        <v>24.703354838709679</v>
      </c>
      <c r="AO26" s="837">
        <f t="shared" si="121"/>
        <v>24.703354838709679</v>
      </c>
      <c r="AP26" s="837">
        <f t="shared" ref="AP26:AQ26" si="122">SUM(AP15:AP24)</f>
        <v>24.703354838709679</v>
      </c>
      <c r="AQ26" s="837">
        <f t="shared" si="122"/>
        <v>24.703354838709679</v>
      </c>
      <c r="AR26" s="837">
        <f t="shared" ref="AR26" si="123">SUM(AR15:AR24)</f>
        <v>24.703354838709679</v>
      </c>
      <c r="AS26" s="838"/>
      <c r="AT26" s="1181">
        <f>SUM(AT15:AT24)</f>
        <v>172.92348387096774</v>
      </c>
      <c r="AU26" s="1260">
        <f>SUM(AU15:AU24)</f>
        <v>229.43999999999997</v>
      </c>
      <c r="AV26" s="1261">
        <f>SUM(AV15:AV24)</f>
        <v>56.51651612903224</v>
      </c>
      <c r="AW26" s="838"/>
      <c r="AX26" s="837">
        <f t="shared" ref="AX26:AY26" si="124">SUM(AX15:AX24)</f>
        <v>24.703354838709679</v>
      </c>
      <c r="AY26" s="837">
        <f t="shared" si="124"/>
        <v>24.703354838709679</v>
      </c>
      <c r="AZ26" s="837">
        <f t="shared" ref="AZ26" si="125">SUM(AZ15:AZ24)</f>
        <v>24.703354838709679</v>
      </c>
      <c r="BA26" s="837">
        <f t="shared" ref="BA26" si="126">SUM(BA15:BA24)</f>
        <v>24.703354838709679</v>
      </c>
      <c r="BB26" s="837">
        <f t="shared" ref="BB26:BC26" si="127">SUM(BB15:BB24)</f>
        <v>24.703354838709679</v>
      </c>
      <c r="BC26" s="837">
        <f t="shared" si="127"/>
        <v>24.703354838709679</v>
      </c>
      <c r="BD26" s="837">
        <f t="shared" ref="BD26" si="128">SUM(BD15:BD24)</f>
        <v>24.703354838709679</v>
      </c>
      <c r="BE26" s="838"/>
      <c r="BF26" s="1181">
        <f>SUM(BF15:BF24)</f>
        <v>172.92348387096774</v>
      </c>
      <c r="BG26" s="1260">
        <f>SUM(BG15:BG24)</f>
        <v>342.53999999999991</v>
      </c>
      <c r="BH26" s="1261">
        <f>SUM(BH15:BH24)</f>
        <v>169.61651612903222</v>
      </c>
      <c r="BI26" s="841"/>
      <c r="BJ26" s="89">
        <f t="shared" ref="BJ26:BK26" si="129">SUM(BJ15:BJ24)</f>
        <v>24.703354838709679</v>
      </c>
      <c r="BK26" s="89">
        <f t="shared" si="129"/>
        <v>22.703354838709679</v>
      </c>
      <c r="BL26" s="89">
        <f t="shared" ref="BL26" si="130">SUM(BL15:BL24)</f>
        <v>22.703354838709679</v>
      </c>
      <c r="BM26" s="841"/>
      <c r="BN26" s="1181">
        <f>SUM(BN15:BN24)</f>
        <v>70.110064516129015</v>
      </c>
      <c r="BO26" s="1260">
        <f>SUM(BO15:BO24)</f>
        <v>140.74499999999998</v>
      </c>
      <c r="BP26" s="1261">
        <f>SUM(BP15:BP24)</f>
        <v>70.634935483870947</v>
      </c>
      <c r="BR26" s="1181">
        <f>SUM(BR15:BR24)</f>
        <v>161.804</v>
      </c>
      <c r="BS26" s="1191">
        <f>BR26/E26</f>
        <v>0.21239583934975401</v>
      </c>
      <c r="BU26" s="1181">
        <f>SUM(BU15:BU24)</f>
        <v>761.80399999999997</v>
      </c>
      <c r="BV26" s="1191">
        <f>BU26/E26</f>
        <v>1</v>
      </c>
      <c r="BW26" s="840"/>
      <c r="BY26" s="182">
        <f>J6-BU26</f>
        <v>536.92599999999982</v>
      </c>
      <c r="BZ26" s="81"/>
      <c r="CA26" s="81"/>
      <c r="CB26" s="271"/>
      <c r="CC26" s="271"/>
      <c r="CD26" s="271"/>
      <c r="CE26" s="271"/>
      <c r="CF26" s="271"/>
      <c r="CG26" s="271"/>
    </row>
    <row r="27" spans="1:86" s="988" customFormat="1" ht="4.5" customHeight="1" thickBot="1" x14ac:dyDescent="0.25">
      <c r="C27" s="1504"/>
      <c r="E27" s="841"/>
      <c r="F27" s="841"/>
      <c r="G27" s="841"/>
      <c r="H27" s="841"/>
      <c r="I27" s="841"/>
      <c r="J27" s="841"/>
      <c r="K27" s="840"/>
      <c r="L27" s="840"/>
      <c r="M27" s="877"/>
      <c r="N27" s="841"/>
      <c r="O27" s="841"/>
      <c r="P27" s="841"/>
      <c r="Q27" s="841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  <c r="AJ27" s="841"/>
      <c r="AK27" s="841"/>
      <c r="AL27" s="841"/>
      <c r="AM27" s="841"/>
      <c r="AN27" s="841"/>
      <c r="AO27" s="841"/>
      <c r="AP27" s="841"/>
      <c r="AQ27" s="841"/>
      <c r="AR27" s="841"/>
      <c r="AS27" s="841"/>
      <c r="AT27" s="841"/>
      <c r="AU27" s="841"/>
      <c r="AV27" s="841"/>
      <c r="AW27" s="841"/>
      <c r="AX27" s="841"/>
      <c r="AY27" s="841"/>
      <c r="AZ27" s="841"/>
      <c r="BA27" s="841"/>
      <c r="BB27" s="841"/>
      <c r="BC27" s="841"/>
      <c r="BD27" s="841"/>
      <c r="BE27" s="841"/>
      <c r="BF27" s="841"/>
      <c r="BG27" s="841"/>
      <c r="BH27" s="841"/>
      <c r="BI27" s="841"/>
      <c r="BJ27" s="841"/>
      <c r="BK27" s="841"/>
      <c r="BL27" s="841"/>
      <c r="BM27" s="841"/>
      <c r="BN27" s="841"/>
      <c r="BO27" s="841"/>
      <c r="BP27" s="841"/>
      <c r="BR27" s="841"/>
      <c r="BS27" s="840"/>
      <c r="BU27" s="841"/>
      <c r="BV27" s="840"/>
      <c r="BW27" s="840"/>
      <c r="BY27" s="29"/>
      <c r="BZ27" s="81"/>
      <c r="CA27" s="81"/>
      <c r="CB27" s="271"/>
      <c r="CC27" s="271"/>
      <c r="CD27" s="271"/>
      <c r="CE27" s="271"/>
      <c r="CF27" s="271"/>
      <c r="CG27" s="271"/>
    </row>
    <row r="28" spans="1:86" s="438" customFormat="1" ht="21" thickBot="1" x14ac:dyDescent="0.25">
      <c r="B28" s="1499"/>
      <c r="C28" s="1532" t="s">
        <v>188</v>
      </c>
      <c r="D28" s="812"/>
      <c r="E28" s="1500"/>
      <c r="F28" s="1500"/>
      <c r="G28" s="1500"/>
      <c r="H28" s="1500"/>
      <c r="I28" s="1500"/>
      <c r="J28" s="1500"/>
      <c r="K28" s="1501"/>
      <c r="L28" s="492"/>
      <c r="M28" s="1463"/>
      <c r="N28" s="4532" t="s">
        <v>186</v>
      </c>
      <c r="O28" s="4533"/>
      <c r="P28" s="4533"/>
      <c r="Q28" s="4533"/>
      <c r="R28" s="4533"/>
      <c r="S28" s="4533"/>
      <c r="T28" s="4534"/>
      <c r="U28" s="479"/>
      <c r="V28" s="4525" t="s">
        <v>186</v>
      </c>
      <c r="W28" s="4526"/>
      <c r="X28" s="4527"/>
      <c r="Y28" s="479"/>
      <c r="Z28" s="4532" t="s">
        <v>186</v>
      </c>
      <c r="AA28" s="4533"/>
      <c r="AB28" s="4533"/>
      <c r="AC28" s="4533"/>
      <c r="AD28" s="4533"/>
      <c r="AE28" s="4533"/>
      <c r="AF28" s="4534"/>
      <c r="AG28" s="479"/>
      <c r="AH28" s="4525" t="s">
        <v>186</v>
      </c>
      <c r="AI28" s="4526"/>
      <c r="AJ28" s="4527"/>
      <c r="AK28" s="479"/>
      <c r="AL28" s="4522" t="s">
        <v>186</v>
      </c>
      <c r="AM28" s="4523"/>
      <c r="AN28" s="4523"/>
      <c r="AO28" s="4523"/>
      <c r="AP28" s="4523"/>
      <c r="AQ28" s="4523"/>
      <c r="AR28" s="4524"/>
      <c r="AS28" s="479"/>
      <c r="AT28" s="4525" t="s">
        <v>186</v>
      </c>
      <c r="AU28" s="4526"/>
      <c r="AV28" s="4527"/>
      <c r="AW28" s="479"/>
      <c r="AX28" s="4522" t="s">
        <v>186</v>
      </c>
      <c r="AY28" s="4523"/>
      <c r="AZ28" s="4523"/>
      <c r="BA28" s="4523"/>
      <c r="BB28" s="4523"/>
      <c r="BC28" s="4523"/>
      <c r="BD28" s="4524"/>
      <c r="BE28" s="479"/>
      <c r="BF28" s="4525" t="s">
        <v>186</v>
      </c>
      <c r="BG28" s="4526"/>
      <c r="BH28" s="4527"/>
      <c r="BI28" s="479"/>
      <c r="BJ28" s="4528" t="s">
        <v>186</v>
      </c>
      <c r="BK28" s="4529"/>
      <c r="BL28" s="4530"/>
      <c r="BM28" s="479"/>
      <c r="BN28" s="4525" t="s">
        <v>186</v>
      </c>
      <c r="BO28" s="4526"/>
      <c r="BP28" s="4527"/>
      <c r="BR28" s="1171"/>
      <c r="BS28" s="1190"/>
      <c r="BU28" s="479"/>
      <c r="BV28" s="480"/>
      <c r="BW28" s="480"/>
      <c r="BY28" s="81"/>
      <c r="BZ28" s="62"/>
      <c r="CA28" s="81"/>
      <c r="CB28" s="81"/>
      <c r="CC28" s="81"/>
      <c r="CD28" s="81"/>
      <c r="CE28" s="81"/>
      <c r="CF28" s="81"/>
      <c r="CG28" s="81"/>
    </row>
    <row r="29" spans="1:86" x14ac:dyDescent="0.2">
      <c r="A29" s="775"/>
      <c r="B29" s="1505">
        <v>11</v>
      </c>
      <c r="C29" s="1505" t="s">
        <v>177</v>
      </c>
      <c r="D29" s="780"/>
      <c r="E29" s="1506">
        <f>13000/12</f>
        <v>1083.3333333333333</v>
      </c>
      <c r="F29" s="1506">
        <f t="shared" ref="F29:F41" si="131">E29/10</f>
        <v>108.33333333333333</v>
      </c>
      <c r="G29" s="1506">
        <f t="shared" ref="G29:G41" si="132">E29/15</f>
        <v>72.222222222222214</v>
      </c>
      <c r="H29" s="1506">
        <f t="shared" ref="H29:H41" si="133">E29/20</f>
        <v>54.166666666666664</v>
      </c>
      <c r="I29" s="1506">
        <f t="shared" ref="I29:I41" si="134">E29/25</f>
        <v>43.333333333333329</v>
      </c>
      <c r="J29" s="1506">
        <f t="shared" ref="J29:J41" si="135">E29/31</f>
        <v>34.946236559139784</v>
      </c>
      <c r="K29" s="1507">
        <f>E29/$E$43</f>
        <v>0.53781234486182361</v>
      </c>
      <c r="L29" s="200"/>
      <c r="M29" s="28"/>
      <c r="N29" s="1497"/>
      <c r="O29" s="1497"/>
      <c r="P29" s="1497"/>
      <c r="Q29" s="1497"/>
      <c r="R29" s="1497"/>
      <c r="S29" s="1497"/>
      <c r="T29" s="1497"/>
      <c r="U29" s="1570"/>
      <c r="V29" s="1537">
        <f>SUM(N29:T29)</f>
        <v>0</v>
      </c>
      <c r="W29" s="1538">
        <f>($V$4*K29)*30%</f>
        <v>0</v>
      </c>
      <c r="X29" s="1539">
        <f>W29-V29</f>
        <v>0</v>
      </c>
      <c r="Y29" s="145"/>
      <c r="Z29" s="1497"/>
      <c r="AA29" s="1497"/>
      <c r="AB29" s="1497"/>
      <c r="AC29" s="1497"/>
      <c r="AD29" s="1497"/>
      <c r="AE29" s="1497"/>
      <c r="AF29" s="1497"/>
      <c r="AG29" s="145"/>
      <c r="AH29" s="1537">
        <f>SUM(Z29:AF29)</f>
        <v>0</v>
      </c>
      <c r="AI29" s="1538">
        <f>($AH$4*K29)*30%</f>
        <v>0</v>
      </c>
      <c r="AJ29" s="1539">
        <f>AI29-AH29</f>
        <v>0</v>
      </c>
      <c r="AK29" s="145"/>
      <c r="AL29" s="1543"/>
      <c r="AM29" s="1543"/>
      <c r="AN29" s="1543"/>
      <c r="AO29" s="1543"/>
      <c r="AP29" s="1543"/>
      <c r="AQ29" s="1543"/>
      <c r="AR29" s="1543"/>
      <c r="AS29" s="145"/>
      <c r="AT29" s="1537">
        <f>SUM(AL29:AR29)</f>
        <v>0</v>
      </c>
      <c r="AU29" s="1538">
        <f>($AT$4*K29)*30%</f>
        <v>0</v>
      </c>
      <c r="AV29" s="1539">
        <f>AU29-AT29</f>
        <v>0</v>
      </c>
      <c r="AW29" s="145"/>
      <c r="AX29" s="1543"/>
      <c r="AY29" s="1543"/>
      <c r="AZ29" s="1543"/>
      <c r="BA29" s="1543"/>
      <c r="BB29" s="1543"/>
      <c r="BC29" s="1543"/>
      <c r="BD29" s="1543"/>
      <c r="BE29" s="145"/>
      <c r="BF29" s="1537">
        <f>SUM(AX29:BD29)</f>
        <v>0</v>
      </c>
      <c r="BG29" s="1538">
        <f>($AT$4*W29)*30%</f>
        <v>0</v>
      </c>
      <c r="BH29" s="1539">
        <f>BG29-BF29</f>
        <v>0</v>
      </c>
      <c r="BI29" s="1570"/>
      <c r="BJ29" s="1497"/>
      <c r="BK29" s="1497"/>
      <c r="BL29" s="1497"/>
      <c r="BM29" s="1710"/>
      <c r="BN29" s="1537">
        <f>SUM(BF29:BL29)</f>
        <v>0</v>
      </c>
      <c r="BO29" s="1538">
        <f>($AT$4*AE29)*30%</f>
        <v>0</v>
      </c>
      <c r="BP29" s="1539">
        <f>BO29-BN29</f>
        <v>0</v>
      </c>
      <c r="BR29" s="5">
        <v>0</v>
      </c>
      <c r="BS29" s="9">
        <f t="shared" ref="BS29:BS41" si="136">BR29/E29</f>
        <v>0</v>
      </c>
      <c r="BU29" s="623">
        <f t="shared" ref="BU29:BU41" si="137">SUM(N29:T29)+SUM(Z29:AF29)+SUM(AL29:AR29)+SUM(AX29:BD29)+SUM(BJ29:BL29)</f>
        <v>0</v>
      </c>
      <c r="BV29" s="590">
        <f t="shared" ref="BV29:BV41" si="138">BU29/E29</f>
        <v>0</v>
      </c>
      <c r="BW29" s="182"/>
      <c r="BY29" s="1565"/>
      <c r="BZ29" s="1575"/>
      <c r="CA29" s="1576"/>
      <c r="CB29" s="1445"/>
      <c r="CC29" s="1445"/>
      <c r="CD29" s="1445"/>
      <c r="CE29" s="1445"/>
      <c r="CF29" s="1445"/>
      <c r="CG29" s="1445"/>
      <c r="CH29" s="1446"/>
    </row>
    <row r="30" spans="1:86" s="255" customFormat="1" x14ac:dyDescent="0.2">
      <c r="B30" s="1499">
        <v>12</v>
      </c>
      <c r="C30" s="1499" t="s">
        <v>172</v>
      </c>
      <c r="D30" s="812"/>
      <c r="E30" s="1500">
        <v>450</v>
      </c>
      <c r="F30" s="1500">
        <f t="shared" si="131"/>
        <v>45</v>
      </c>
      <c r="G30" s="1500">
        <f t="shared" si="132"/>
        <v>30</v>
      </c>
      <c r="H30" s="1500">
        <f t="shared" si="133"/>
        <v>22.5</v>
      </c>
      <c r="I30" s="1500">
        <f t="shared" si="134"/>
        <v>18</v>
      </c>
      <c r="J30" s="1500">
        <f t="shared" si="135"/>
        <v>14.516129032258064</v>
      </c>
      <c r="K30" s="1501">
        <f t="shared" ref="K30:K41" si="139">E30/$E$43</f>
        <v>0.22339897401952674</v>
      </c>
      <c r="L30" s="410"/>
      <c r="M30" s="411"/>
      <c r="N30" s="1500"/>
      <c r="O30" s="1500"/>
      <c r="P30" s="1500"/>
      <c r="Q30" s="1500"/>
      <c r="R30" s="1500"/>
      <c r="S30" s="1500"/>
      <c r="T30" s="1500"/>
      <c r="U30" s="1568"/>
      <c r="V30" s="1540">
        <f>SUM(N30:T30)</f>
        <v>0</v>
      </c>
      <c r="W30" s="1569">
        <f t="shared" ref="W30:W41" si="140">($V$4*K30)*30%</f>
        <v>0</v>
      </c>
      <c r="X30" s="1541">
        <f t="shared" ref="X30:X41" si="141">W30-V30</f>
        <v>0</v>
      </c>
      <c r="Y30" s="782"/>
      <c r="Z30" s="1500"/>
      <c r="AA30" s="1500"/>
      <c r="AB30" s="1500"/>
      <c r="AC30" s="1500"/>
      <c r="AD30" s="1500"/>
      <c r="AE30" s="1500"/>
      <c r="AF30" s="1500"/>
      <c r="AG30" s="782"/>
      <c r="AH30" s="1540">
        <f>SUM(Z30:AF30)</f>
        <v>0</v>
      </c>
      <c r="AI30" s="1569">
        <f t="shared" ref="AI30:AI41" si="142">($AH$4*K30)*30%</f>
        <v>0</v>
      </c>
      <c r="AJ30" s="1541">
        <f>AI30-AH30</f>
        <v>0</v>
      </c>
      <c r="AK30" s="782"/>
      <c r="AL30" s="1569"/>
      <c r="AM30" s="1569"/>
      <c r="AN30" s="1569"/>
      <c r="AO30" s="1569"/>
      <c r="AP30" s="1569"/>
      <c r="AQ30" s="1674"/>
      <c r="AR30" s="1674"/>
      <c r="AS30" s="782"/>
      <c r="AT30" s="1540">
        <f>SUM(AL30:AR30)</f>
        <v>0</v>
      </c>
      <c r="AU30" s="1699">
        <f t="shared" ref="AU30:AU41" si="143">($AT$4*K30)*30%</f>
        <v>0</v>
      </c>
      <c r="AV30" s="1541">
        <f>AU30-AT30</f>
        <v>0</v>
      </c>
      <c r="AW30" s="782"/>
      <c r="AX30" s="1674"/>
      <c r="AY30" s="1680"/>
      <c r="AZ30" s="1695"/>
      <c r="BA30" s="1695"/>
      <c r="BB30" s="1699"/>
      <c r="BC30" s="1706"/>
      <c r="BD30" s="1706"/>
      <c r="BE30" s="782"/>
      <c r="BF30" s="1540">
        <f>SUM(AX30:BD30)</f>
        <v>0</v>
      </c>
      <c r="BG30" s="1706">
        <f t="shared" ref="BG30:BG41" si="144">($AT$4*W30)*30%</f>
        <v>0</v>
      </c>
      <c r="BH30" s="1541">
        <f>BG30-BF30</f>
        <v>0</v>
      </c>
      <c r="BI30" s="1568"/>
      <c r="BJ30" s="1500"/>
      <c r="BK30" s="1500"/>
      <c r="BL30" s="1500"/>
      <c r="BM30" s="946"/>
      <c r="BN30" s="1540">
        <f>SUM(BF30:BL30)</f>
        <v>0</v>
      </c>
      <c r="BO30" s="1713">
        <f t="shared" ref="BO30:BO41" si="145">($AT$4*AE30)*30%</f>
        <v>0</v>
      </c>
      <c r="BP30" s="1541">
        <f>BO30-BN30</f>
        <v>0</v>
      </c>
      <c r="BR30" s="40">
        <v>0</v>
      </c>
      <c r="BS30" s="51">
        <f t="shared" si="136"/>
        <v>0</v>
      </c>
      <c r="BU30" s="911">
        <f t="shared" si="137"/>
        <v>0</v>
      </c>
      <c r="BV30" s="1016">
        <f t="shared" si="138"/>
        <v>0</v>
      </c>
      <c r="BW30" s="62"/>
      <c r="BY30" s="81"/>
      <c r="BZ30" s="1039">
        <v>43677</v>
      </c>
      <c r="CA30" s="480"/>
      <c r="CB30" s="438"/>
      <c r="CC30" s="438"/>
      <c r="CD30" s="438"/>
      <c r="CE30" s="438"/>
      <c r="CF30" s="438"/>
      <c r="CG30" s="438"/>
      <c r="CH30" s="1455"/>
    </row>
    <row r="31" spans="1:86" s="432" customFormat="1" x14ac:dyDescent="0.2">
      <c r="B31" s="1496">
        <v>13</v>
      </c>
      <c r="C31" s="1496" t="s">
        <v>9</v>
      </c>
      <c r="D31" s="780"/>
      <c r="E31" s="1497">
        <v>125</v>
      </c>
      <c r="F31" s="1497">
        <f t="shared" si="131"/>
        <v>12.5</v>
      </c>
      <c r="G31" s="1497">
        <f t="shared" si="132"/>
        <v>8.3333333333333339</v>
      </c>
      <c r="H31" s="1497">
        <f t="shared" si="133"/>
        <v>6.25</v>
      </c>
      <c r="I31" s="1497">
        <f t="shared" si="134"/>
        <v>5</v>
      </c>
      <c r="J31" s="1497">
        <f t="shared" si="135"/>
        <v>4.032258064516129</v>
      </c>
      <c r="K31" s="1498">
        <f t="shared" si="139"/>
        <v>6.2055270560979647E-2</v>
      </c>
      <c r="L31" s="1398"/>
      <c r="M31" s="491"/>
      <c r="N31" s="1497"/>
      <c r="O31" s="1497"/>
      <c r="P31" s="1497"/>
      <c r="Q31" s="1497"/>
      <c r="R31" s="1497"/>
      <c r="S31" s="1497"/>
      <c r="T31" s="1497"/>
      <c r="U31" s="481"/>
      <c r="V31" s="1542">
        <f t="shared" si="56"/>
        <v>0</v>
      </c>
      <c r="W31" s="1543">
        <f t="shared" si="140"/>
        <v>0</v>
      </c>
      <c r="X31" s="1544">
        <f t="shared" si="141"/>
        <v>0</v>
      </c>
      <c r="Y31" s="781"/>
      <c r="Z31" s="1497"/>
      <c r="AA31" s="1497"/>
      <c r="AB31" s="1497"/>
      <c r="AC31" s="1497"/>
      <c r="AD31" s="1497"/>
      <c r="AE31" s="1497"/>
      <c r="AF31" s="1497"/>
      <c r="AG31" s="781"/>
      <c r="AH31" s="1542">
        <f t="shared" si="60"/>
        <v>0</v>
      </c>
      <c r="AI31" s="1543">
        <f t="shared" si="142"/>
        <v>0</v>
      </c>
      <c r="AJ31" s="1544">
        <f t="shared" si="61"/>
        <v>0</v>
      </c>
      <c r="AK31" s="781"/>
      <c r="AL31" s="1543"/>
      <c r="AM31" s="1543"/>
      <c r="AN31" s="1543"/>
      <c r="AO31" s="1543"/>
      <c r="AP31" s="1543"/>
      <c r="AQ31" s="1543"/>
      <c r="AR31" s="1543"/>
      <c r="AS31" s="781"/>
      <c r="AT31" s="1542">
        <f t="shared" ref="AT31:AT41" si="146">SUM(AL31:AR31)</f>
        <v>0</v>
      </c>
      <c r="AU31" s="1543">
        <f t="shared" si="143"/>
        <v>0</v>
      </c>
      <c r="AV31" s="1544">
        <f t="shared" ref="AV31:AV41" si="147">AU31-AT31</f>
        <v>0</v>
      </c>
      <c r="AW31" s="781"/>
      <c r="AX31" s="1543"/>
      <c r="AY31" s="1543"/>
      <c r="AZ31" s="1543"/>
      <c r="BA31" s="1543"/>
      <c r="BB31" s="1543"/>
      <c r="BC31" s="1543"/>
      <c r="BD31" s="1543"/>
      <c r="BE31" s="781"/>
      <c r="BF31" s="1542">
        <f t="shared" ref="BF31:BF41" si="148">SUM(AX31:BD31)</f>
        <v>0</v>
      </c>
      <c r="BG31" s="1543">
        <f t="shared" si="144"/>
        <v>0</v>
      </c>
      <c r="BH31" s="1544">
        <f t="shared" ref="BH31:BH41" si="149">BG31-BF31</f>
        <v>0</v>
      </c>
      <c r="BI31" s="481"/>
      <c r="BJ31" s="1497"/>
      <c r="BK31" s="1497"/>
      <c r="BL31" s="1497"/>
      <c r="BM31" s="921"/>
      <c r="BN31" s="1542">
        <f t="shared" ref="BN31:BN41" si="150">SUM(BF31:BL31)</f>
        <v>0</v>
      </c>
      <c r="BO31" s="1543">
        <f t="shared" si="145"/>
        <v>0</v>
      </c>
      <c r="BP31" s="1544">
        <f t="shared" ref="BP31:BP41" si="151">BO31-BN31</f>
        <v>0</v>
      </c>
      <c r="BR31" s="347">
        <v>0</v>
      </c>
      <c r="BS31" s="485">
        <f t="shared" si="136"/>
        <v>0</v>
      </c>
      <c r="BU31" s="927">
        <f t="shared" si="137"/>
        <v>0</v>
      </c>
      <c r="BV31" s="1017">
        <f t="shared" si="138"/>
        <v>0</v>
      </c>
      <c r="BW31" s="482"/>
      <c r="BY31" s="29"/>
      <c r="BZ31" s="1040">
        <v>43646</v>
      </c>
      <c r="CA31" s="29"/>
      <c r="CB31" s="1574"/>
      <c r="CC31" s="1574"/>
      <c r="CD31" s="1574"/>
      <c r="CE31" s="1574"/>
      <c r="CF31" s="1574"/>
      <c r="CG31" s="1574"/>
      <c r="CH31" s="1060"/>
    </row>
    <row r="32" spans="1:86" s="426" customFormat="1" x14ac:dyDescent="0.2">
      <c r="B32" s="1499">
        <v>14</v>
      </c>
      <c r="C32" s="1499" t="s">
        <v>179</v>
      </c>
      <c r="D32" s="812"/>
      <c r="E32" s="1500">
        <v>75</v>
      </c>
      <c r="F32" s="1500"/>
      <c r="G32" s="1500"/>
      <c r="H32" s="1500"/>
      <c r="I32" s="1500"/>
      <c r="J32" s="1500">
        <f t="shared" si="135"/>
        <v>2.4193548387096775</v>
      </c>
      <c r="K32" s="1501">
        <f t="shared" si="139"/>
        <v>3.7233162336587786E-2</v>
      </c>
      <c r="L32" s="1399"/>
      <c r="M32" s="492"/>
      <c r="N32" s="1500"/>
      <c r="O32" s="1500"/>
      <c r="P32" s="1500"/>
      <c r="Q32" s="1500"/>
      <c r="R32" s="1500"/>
      <c r="S32" s="1500"/>
      <c r="T32" s="1500"/>
      <c r="U32" s="479"/>
      <c r="V32" s="1540">
        <f t="shared" si="56"/>
        <v>0</v>
      </c>
      <c r="W32" s="1569">
        <f t="shared" si="140"/>
        <v>0</v>
      </c>
      <c r="X32" s="1541">
        <f t="shared" si="141"/>
        <v>0</v>
      </c>
      <c r="Y32" s="779"/>
      <c r="Z32" s="1500"/>
      <c r="AA32" s="1500"/>
      <c r="AB32" s="1500"/>
      <c r="AC32" s="1500"/>
      <c r="AD32" s="1500"/>
      <c r="AE32" s="1500"/>
      <c r="AF32" s="1500"/>
      <c r="AG32" s="779"/>
      <c r="AH32" s="1540">
        <f t="shared" si="60"/>
        <v>0</v>
      </c>
      <c r="AI32" s="1569">
        <f t="shared" si="142"/>
        <v>0</v>
      </c>
      <c r="AJ32" s="1541">
        <f t="shared" si="61"/>
        <v>0</v>
      </c>
      <c r="AK32" s="779"/>
      <c r="AL32" s="1569"/>
      <c r="AM32" s="1569"/>
      <c r="AN32" s="1569"/>
      <c r="AO32" s="1569"/>
      <c r="AP32" s="1569"/>
      <c r="AQ32" s="1674"/>
      <c r="AR32" s="1674"/>
      <c r="AS32" s="779"/>
      <c r="AT32" s="1540">
        <f t="shared" si="146"/>
        <v>0</v>
      </c>
      <c r="AU32" s="1699">
        <f t="shared" si="143"/>
        <v>0</v>
      </c>
      <c r="AV32" s="1541">
        <f t="shared" si="147"/>
        <v>0</v>
      </c>
      <c r="AW32" s="779"/>
      <c r="AX32" s="1674"/>
      <c r="AY32" s="1680"/>
      <c r="AZ32" s="1695"/>
      <c r="BA32" s="1695"/>
      <c r="BB32" s="1699"/>
      <c r="BC32" s="1706"/>
      <c r="BD32" s="1706"/>
      <c r="BE32" s="779"/>
      <c r="BF32" s="1540">
        <f t="shared" si="148"/>
        <v>0</v>
      </c>
      <c r="BG32" s="1706">
        <f t="shared" si="144"/>
        <v>0</v>
      </c>
      <c r="BH32" s="1541">
        <f t="shared" si="149"/>
        <v>0</v>
      </c>
      <c r="BI32" s="479"/>
      <c r="BJ32" s="1500"/>
      <c r="BK32" s="1500"/>
      <c r="BL32" s="1500"/>
      <c r="BM32" s="920"/>
      <c r="BN32" s="1540">
        <f t="shared" si="150"/>
        <v>0</v>
      </c>
      <c r="BO32" s="1713">
        <f t="shared" si="145"/>
        <v>0</v>
      </c>
      <c r="BP32" s="1541">
        <f t="shared" si="151"/>
        <v>0</v>
      </c>
      <c r="BR32" s="132">
        <v>0</v>
      </c>
      <c r="BS32" s="641">
        <f t="shared" si="136"/>
        <v>0</v>
      </c>
      <c r="BU32" s="925">
        <f t="shared" si="137"/>
        <v>0</v>
      </c>
      <c r="BV32" s="1014">
        <f t="shared" si="138"/>
        <v>0</v>
      </c>
      <c r="BW32" s="480"/>
      <c r="BY32" s="62"/>
      <c r="BZ32" s="1035">
        <f>BZ30-BZ31</f>
        <v>31</v>
      </c>
      <c r="CA32" s="62"/>
      <c r="CB32" s="81"/>
      <c r="CC32" s="81"/>
      <c r="CD32" s="81"/>
      <c r="CE32" s="81"/>
      <c r="CF32" s="81"/>
      <c r="CG32" s="81"/>
      <c r="CH32" s="1029"/>
    </row>
    <row r="33" spans="1:86" s="432" customFormat="1" x14ac:dyDescent="0.2">
      <c r="B33" s="1496">
        <v>15</v>
      </c>
      <c r="C33" s="1496" t="s">
        <v>180</v>
      </c>
      <c r="D33" s="780"/>
      <c r="E33" s="1497">
        <v>50</v>
      </c>
      <c r="F33" s="1497"/>
      <c r="G33" s="1497"/>
      <c r="H33" s="1497"/>
      <c r="I33" s="1497"/>
      <c r="J33" s="1497">
        <f t="shared" si="135"/>
        <v>1.6129032258064515</v>
      </c>
      <c r="K33" s="1498">
        <f t="shared" si="139"/>
        <v>2.4822108224391858E-2</v>
      </c>
      <c r="L33" s="1398"/>
      <c r="M33" s="491"/>
      <c r="N33" s="1497"/>
      <c r="O33" s="1497"/>
      <c r="P33" s="1497"/>
      <c r="Q33" s="1497"/>
      <c r="R33" s="1497"/>
      <c r="S33" s="1497"/>
      <c r="T33" s="1497"/>
      <c r="U33" s="481"/>
      <c r="V33" s="1542">
        <f t="shared" si="56"/>
        <v>0</v>
      </c>
      <c r="W33" s="1543">
        <f t="shared" si="140"/>
        <v>0</v>
      </c>
      <c r="X33" s="1544">
        <f t="shared" si="141"/>
        <v>0</v>
      </c>
      <c r="Y33" s="781"/>
      <c r="Z33" s="1497"/>
      <c r="AA33" s="1497"/>
      <c r="AB33" s="1497"/>
      <c r="AC33" s="1497"/>
      <c r="AD33" s="1497"/>
      <c r="AE33" s="1497"/>
      <c r="AF33" s="1497"/>
      <c r="AG33" s="781"/>
      <c r="AH33" s="1542">
        <f t="shared" si="60"/>
        <v>0</v>
      </c>
      <c r="AI33" s="1543">
        <f t="shared" si="142"/>
        <v>0</v>
      </c>
      <c r="AJ33" s="1544">
        <f t="shared" si="61"/>
        <v>0</v>
      </c>
      <c r="AK33" s="781"/>
      <c r="AL33" s="1543"/>
      <c r="AM33" s="1543"/>
      <c r="AN33" s="1543"/>
      <c r="AO33" s="1543"/>
      <c r="AP33" s="1543"/>
      <c r="AQ33" s="1543"/>
      <c r="AR33" s="1543"/>
      <c r="AS33" s="781"/>
      <c r="AT33" s="1542">
        <f t="shared" si="146"/>
        <v>0</v>
      </c>
      <c r="AU33" s="1543">
        <f t="shared" si="143"/>
        <v>0</v>
      </c>
      <c r="AV33" s="1544">
        <f t="shared" si="147"/>
        <v>0</v>
      </c>
      <c r="AW33" s="781"/>
      <c r="AX33" s="1543"/>
      <c r="AY33" s="1543"/>
      <c r="AZ33" s="1543"/>
      <c r="BA33" s="1543"/>
      <c r="BB33" s="1543"/>
      <c r="BC33" s="1543"/>
      <c r="BD33" s="1543"/>
      <c r="BE33" s="781"/>
      <c r="BF33" s="1542">
        <f t="shared" si="148"/>
        <v>0</v>
      </c>
      <c r="BG33" s="1543">
        <f t="shared" si="144"/>
        <v>0</v>
      </c>
      <c r="BH33" s="1544">
        <f t="shared" si="149"/>
        <v>0</v>
      </c>
      <c r="BI33" s="481"/>
      <c r="BJ33" s="1497"/>
      <c r="BK33" s="1497"/>
      <c r="BL33" s="1497"/>
      <c r="BM33" s="921"/>
      <c r="BN33" s="1542">
        <f t="shared" si="150"/>
        <v>0</v>
      </c>
      <c r="BO33" s="1543">
        <f t="shared" si="145"/>
        <v>0</v>
      </c>
      <c r="BP33" s="1544">
        <f t="shared" si="151"/>
        <v>0</v>
      </c>
      <c r="BR33" s="347">
        <v>0</v>
      </c>
      <c r="BS33" s="485">
        <f t="shared" si="136"/>
        <v>0</v>
      </c>
      <c r="BU33" s="927">
        <f t="shared" si="137"/>
        <v>0</v>
      </c>
      <c r="BV33" s="1017">
        <f t="shared" si="138"/>
        <v>0</v>
      </c>
      <c r="BW33" s="482"/>
      <c r="BY33" s="29"/>
      <c r="BZ33" s="1040">
        <v>43677</v>
      </c>
      <c r="CA33" s="29"/>
      <c r="CB33" s="1574"/>
      <c r="CC33" s="1574"/>
      <c r="CD33" s="1574"/>
      <c r="CE33" s="1574"/>
      <c r="CF33" s="1574"/>
      <c r="CG33" s="1574"/>
      <c r="CH33" s="1060"/>
    </row>
    <row r="34" spans="1:86" s="255" customFormat="1" x14ac:dyDescent="0.2">
      <c r="A34" s="426"/>
      <c r="B34" s="1499">
        <v>16</v>
      </c>
      <c r="C34" s="1499" t="s">
        <v>43</v>
      </c>
      <c r="D34" s="812"/>
      <c r="E34" s="1500">
        <v>50</v>
      </c>
      <c r="F34" s="1500">
        <f t="shared" si="131"/>
        <v>5</v>
      </c>
      <c r="G34" s="1500">
        <f t="shared" si="132"/>
        <v>3.3333333333333335</v>
      </c>
      <c r="H34" s="1500">
        <f t="shared" si="133"/>
        <v>2.5</v>
      </c>
      <c r="I34" s="1500">
        <f t="shared" si="134"/>
        <v>2</v>
      </c>
      <c r="J34" s="1500">
        <f t="shared" si="135"/>
        <v>1.6129032258064515</v>
      </c>
      <c r="K34" s="1501">
        <f t="shared" si="139"/>
        <v>2.4822108224391858E-2</v>
      </c>
      <c r="L34" s="1399"/>
      <c r="M34" s="411"/>
      <c r="N34" s="1500"/>
      <c r="O34" s="1500"/>
      <c r="P34" s="1500"/>
      <c r="Q34" s="1500"/>
      <c r="R34" s="1500"/>
      <c r="S34" s="1500"/>
      <c r="T34" s="1500"/>
      <c r="U34" s="1568"/>
      <c r="V34" s="1540">
        <f t="shared" si="56"/>
        <v>0</v>
      </c>
      <c r="W34" s="1569">
        <f t="shared" si="140"/>
        <v>0</v>
      </c>
      <c r="X34" s="1541">
        <f t="shared" si="141"/>
        <v>0</v>
      </c>
      <c r="Y34" s="782"/>
      <c r="Z34" s="1500"/>
      <c r="AA34" s="1500"/>
      <c r="AB34" s="1500"/>
      <c r="AC34" s="1500"/>
      <c r="AD34" s="1500"/>
      <c r="AE34" s="1500"/>
      <c r="AF34" s="1500"/>
      <c r="AG34" s="782"/>
      <c r="AH34" s="1540">
        <f t="shared" si="60"/>
        <v>0</v>
      </c>
      <c r="AI34" s="1569">
        <f t="shared" si="142"/>
        <v>0</v>
      </c>
      <c r="AJ34" s="1541">
        <f t="shared" si="61"/>
        <v>0</v>
      </c>
      <c r="AK34" s="782"/>
      <c r="AL34" s="1569"/>
      <c r="AM34" s="1569"/>
      <c r="AN34" s="1569"/>
      <c r="AO34" s="1569"/>
      <c r="AP34" s="1569"/>
      <c r="AQ34" s="1674"/>
      <c r="AR34" s="1674"/>
      <c r="AS34" s="782"/>
      <c r="AT34" s="1540">
        <f t="shared" si="146"/>
        <v>0</v>
      </c>
      <c r="AU34" s="1699">
        <f t="shared" si="143"/>
        <v>0</v>
      </c>
      <c r="AV34" s="1541">
        <f t="shared" si="147"/>
        <v>0</v>
      </c>
      <c r="AW34" s="782"/>
      <c r="AX34" s="1674"/>
      <c r="AY34" s="1680"/>
      <c r="AZ34" s="1695"/>
      <c r="BA34" s="1695"/>
      <c r="BB34" s="1699"/>
      <c r="BC34" s="1706"/>
      <c r="BD34" s="1706"/>
      <c r="BE34" s="782"/>
      <c r="BF34" s="1540">
        <f t="shared" si="148"/>
        <v>0</v>
      </c>
      <c r="BG34" s="1706">
        <f t="shared" si="144"/>
        <v>0</v>
      </c>
      <c r="BH34" s="1541">
        <f t="shared" si="149"/>
        <v>0</v>
      </c>
      <c r="BI34" s="1568"/>
      <c r="BJ34" s="1500"/>
      <c r="BK34" s="1709"/>
      <c r="BL34" s="1709"/>
      <c r="BM34" s="1711"/>
      <c r="BN34" s="1540">
        <f>SUM(BF34:BJ34)</f>
        <v>0</v>
      </c>
      <c r="BO34" s="1713">
        <f t="shared" si="145"/>
        <v>0</v>
      </c>
      <c r="BP34" s="1541">
        <f t="shared" si="151"/>
        <v>0</v>
      </c>
      <c r="BR34" s="40">
        <v>0</v>
      </c>
      <c r="BS34" s="51">
        <f t="shared" si="136"/>
        <v>0</v>
      </c>
      <c r="BU34" s="911">
        <f>SUM(N34:T34)+SUM(Z34:AF34)+SUM(AL34:AR34)+SUM(AX34:BD34)+SUM(BJ34:BJ34)</f>
        <v>0</v>
      </c>
      <c r="BV34" s="1016">
        <f t="shared" si="138"/>
        <v>0</v>
      </c>
      <c r="BW34" s="62"/>
      <c r="BY34" s="270"/>
      <c r="BZ34" s="1043">
        <v>43677</v>
      </c>
      <c r="CA34" s="480"/>
      <c r="CB34" s="438"/>
      <c r="CC34" s="438"/>
      <c r="CD34" s="438"/>
      <c r="CE34" s="438"/>
      <c r="CF34" s="438"/>
      <c r="CG34" s="438"/>
      <c r="CH34" s="1455"/>
    </row>
    <row r="35" spans="1:86" x14ac:dyDescent="0.2">
      <c r="A35" s="432"/>
      <c r="B35" s="1496">
        <v>17</v>
      </c>
      <c r="C35" s="1496" t="s">
        <v>174</v>
      </c>
      <c r="D35" s="780"/>
      <c r="E35" s="1497">
        <v>50</v>
      </c>
      <c r="F35" s="1497">
        <f t="shared" si="131"/>
        <v>5</v>
      </c>
      <c r="G35" s="1497">
        <f t="shared" si="132"/>
        <v>3.3333333333333335</v>
      </c>
      <c r="H35" s="1497">
        <f t="shared" si="133"/>
        <v>2.5</v>
      </c>
      <c r="I35" s="1497">
        <f t="shared" si="134"/>
        <v>2</v>
      </c>
      <c r="J35" s="1497">
        <f t="shared" si="135"/>
        <v>1.6129032258064515</v>
      </c>
      <c r="K35" s="1498">
        <f t="shared" si="139"/>
        <v>2.4822108224391858E-2</v>
      </c>
      <c r="L35" s="200"/>
      <c r="M35" s="491"/>
      <c r="N35" s="1497"/>
      <c r="O35" s="1497"/>
      <c r="P35" s="1497"/>
      <c r="Q35" s="1497"/>
      <c r="R35" s="1497"/>
      <c r="S35" s="1497"/>
      <c r="T35" s="1497"/>
      <c r="U35" s="1570"/>
      <c r="V35" s="1542">
        <f t="shared" si="56"/>
        <v>0</v>
      </c>
      <c r="W35" s="1543">
        <f t="shared" si="140"/>
        <v>0</v>
      </c>
      <c r="X35" s="1544">
        <f t="shared" si="141"/>
        <v>0</v>
      </c>
      <c r="Y35" s="145"/>
      <c r="Z35" s="1497"/>
      <c r="AA35" s="1497"/>
      <c r="AB35" s="1497"/>
      <c r="AC35" s="1497"/>
      <c r="AD35" s="1497"/>
      <c r="AE35" s="1497"/>
      <c r="AF35" s="1497"/>
      <c r="AG35" s="145"/>
      <c r="AH35" s="1542">
        <f t="shared" si="60"/>
        <v>0</v>
      </c>
      <c r="AI35" s="1543">
        <f t="shared" si="142"/>
        <v>0</v>
      </c>
      <c r="AJ35" s="1544">
        <f t="shared" si="61"/>
        <v>0</v>
      </c>
      <c r="AK35" s="145"/>
      <c r="AL35" s="1543"/>
      <c r="AM35" s="1543"/>
      <c r="AN35" s="1543"/>
      <c r="AO35" s="1543"/>
      <c r="AP35" s="1543"/>
      <c r="AQ35" s="1543"/>
      <c r="AR35" s="1543"/>
      <c r="AS35" s="145"/>
      <c r="AT35" s="1542">
        <f t="shared" si="146"/>
        <v>0</v>
      </c>
      <c r="AU35" s="1543">
        <f t="shared" si="143"/>
        <v>0</v>
      </c>
      <c r="AV35" s="1544">
        <f t="shared" si="147"/>
        <v>0</v>
      </c>
      <c r="AW35" s="145"/>
      <c r="AX35" s="1543"/>
      <c r="AY35" s="1543"/>
      <c r="AZ35" s="1543"/>
      <c r="BA35" s="1543"/>
      <c r="BB35" s="1543"/>
      <c r="BC35" s="1543"/>
      <c r="BD35" s="1543"/>
      <c r="BE35" s="145"/>
      <c r="BF35" s="1542">
        <f t="shared" si="148"/>
        <v>0</v>
      </c>
      <c r="BG35" s="1543">
        <f t="shared" si="144"/>
        <v>0</v>
      </c>
      <c r="BH35" s="1544">
        <f t="shared" si="149"/>
        <v>0</v>
      </c>
      <c r="BI35" s="1570"/>
      <c r="BJ35" s="1497"/>
      <c r="BK35" s="1497"/>
      <c r="BL35" s="1497"/>
      <c r="BM35" s="1710"/>
      <c r="BN35" s="1542">
        <f t="shared" si="150"/>
        <v>0</v>
      </c>
      <c r="BO35" s="1543">
        <f t="shared" si="145"/>
        <v>0</v>
      </c>
      <c r="BP35" s="1544">
        <f t="shared" si="151"/>
        <v>0</v>
      </c>
      <c r="BR35" s="5">
        <v>0</v>
      </c>
      <c r="BS35" s="9">
        <f t="shared" si="136"/>
        <v>0</v>
      </c>
      <c r="BU35" s="937">
        <f t="shared" si="137"/>
        <v>0</v>
      </c>
      <c r="BV35" s="1015">
        <f t="shared" si="138"/>
        <v>0</v>
      </c>
      <c r="BW35" s="29"/>
      <c r="BY35" s="29"/>
      <c r="BZ35" s="1449">
        <f>BZ34-BZ33</f>
        <v>0</v>
      </c>
      <c r="CA35" s="482"/>
      <c r="CB35" s="444"/>
      <c r="CC35" s="444"/>
      <c r="CD35" s="444"/>
      <c r="CE35" s="444"/>
      <c r="CF35" s="444"/>
      <c r="CG35" s="444"/>
      <c r="CH35" s="1027"/>
    </row>
    <row r="36" spans="1:86" s="255" customFormat="1" x14ac:dyDescent="0.2">
      <c r="B36" s="1499">
        <v>18</v>
      </c>
      <c r="C36" s="1499" t="s">
        <v>175</v>
      </c>
      <c r="D36" s="812"/>
      <c r="E36" s="1500">
        <v>50</v>
      </c>
      <c r="F36" s="1500">
        <f t="shared" si="131"/>
        <v>5</v>
      </c>
      <c r="G36" s="1500">
        <f t="shared" si="132"/>
        <v>3.3333333333333335</v>
      </c>
      <c r="H36" s="1500">
        <f t="shared" si="133"/>
        <v>2.5</v>
      </c>
      <c r="I36" s="1500">
        <f t="shared" si="134"/>
        <v>2</v>
      </c>
      <c r="J36" s="1500">
        <f t="shared" si="135"/>
        <v>1.6129032258064515</v>
      </c>
      <c r="K36" s="1501">
        <f t="shared" si="139"/>
        <v>2.4822108224391858E-2</v>
      </c>
      <c r="L36" s="1399"/>
      <c r="M36" s="492"/>
      <c r="N36" s="1500"/>
      <c r="O36" s="1500"/>
      <c r="P36" s="1500"/>
      <c r="Q36" s="1500"/>
      <c r="R36" s="1500"/>
      <c r="S36" s="1500"/>
      <c r="T36" s="1500"/>
      <c r="U36" s="1568"/>
      <c r="V36" s="1540">
        <f t="shared" si="56"/>
        <v>0</v>
      </c>
      <c r="W36" s="1569">
        <f t="shared" si="140"/>
        <v>0</v>
      </c>
      <c r="X36" s="1541">
        <f t="shared" si="141"/>
        <v>0</v>
      </c>
      <c r="Y36" s="782"/>
      <c r="Z36" s="1500"/>
      <c r="AA36" s="1500"/>
      <c r="AB36" s="1500"/>
      <c r="AC36" s="1500"/>
      <c r="AD36" s="1500"/>
      <c r="AE36" s="1500"/>
      <c r="AF36" s="1500"/>
      <c r="AG36" s="782"/>
      <c r="AH36" s="1540">
        <f t="shared" si="60"/>
        <v>0</v>
      </c>
      <c r="AI36" s="1569">
        <f t="shared" si="142"/>
        <v>0</v>
      </c>
      <c r="AJ36" s="1541">
        <f t="shared" si="61"/>
        <v>0</v>
      </c>
      <c r="AK36" s="782"/>
      <c r="AL36" s="1569"/>
      <c r="AM36" s="1569"/>
      <c r="AN36" s="1569"/>
      <c r="AO36" s="1569"/>
      <c r="AP36" s="1569"/>
      <c r="AQ36" s="1674"/>
      <c r="AR36" s="1674"/>
      <c r="AS36" s="782"/>
      <c r="AT36" s="1540">
        <f t="shared" si="146"/>
        <v>0</v>
      </c>
      <c r="AU36" s="1699">
        <f t="shared" si="143"/>
        <v>0</v>
      </c>
      <c r="AV36" s="1541">
        <f t="shared" si="147"/>
        <v>0</v>
      </c>
      <c r="AW36" s="782"/>
      <c r="AX36" s="1674"/>
      <c r="AY36" s="1680"/>
      <c r="AZ36" s="1695"/>
      <c r="BA36" s="1695"/>
      <c r="BB36" s="1699"/>
      <c r="BC36" s="1706"/>
      <c r="BD36" s="1706"/>
      <c r="BE36" s="782"/>
      <c r="BF36" s="1540">
        <f t="shared" si="148"/>
        <v>0</v>
      </c>
      <c r="BG36" s="1706">
        <f t="shared" si="144"/>
        <v>0</v>
      </c>
      <c r="BH36" s="1541">
        <f t="shared" si="149"/>
        <v>0</v>
      </c>
      <c r="BI36" s="1568"/>
      <c r="BJ36" s="1500"/>
      <c r="BK36" s="1500"/>
      <c r="BL36" s="1500"/>
      <c r="BM36" s="946"/>
      <c r="BN36" s="1540">
        <f t="shared" si="150"/>
        <v>0</v>
      </c>
      <c r="BO36" s="1713">
        <f t="shared" si="145"/>
        <v>0</v>
      </c>
      <c r="BP36" s="1541">
        <f t="shared" si="151"/>
        <v>0</v>
      </c>
      <c r="BR36" s="40">
        <v>0</v>
      </c>
      <c r="BS36" s="51">
        <f t="shared" si="136"/>
        <v>0</v>
      </c>
      <c r="BU36" s="911">
        <f t="shared" si="137"/>
        <v>0</v>
      </c>
      <c r="BV36" s="1016">
        <f t="shared" si="138"/>
        <v>0</v>
      </c>
      <c r="BW36" s="62"/>
      <c r="BY36" s="62"/>
      <c r="BZ36" s="1039"/>
      <c r="CA36" s="480"/>
      <c r="CB36" s="438"/>
      <c r="CC36" s="438"/>
      <c r="CD36" s="438"/>
      <c r="CE36" s="438"/>
      <c r="CF36" s="438"/>
      <c r="CG36" s="438"/>
      <c r="CH36" s="1455"/>
    </row>
    <row r="37" spans="1:86" x14ac:dyDescent="0.2">
      <c r="B37" s="1496">
        <v>19</v>
      </c>
      <c r="C37" s="1496" t="s">
        <v>162</v>
      </c>
      <c r="D37" s="780"/>
      <c r="E37" s="1497">
        <v>30</v>
      </c>
      <c r="F37" s="1497"/>
      <c r="G37" s="1497"/>
      <c r="H37" s="1497"/>
      <c r="I37" s="1497"/>
      <c r="J37" s="1497">
        <f t="shared" si="135"/>
        <v>0.967741935483871</v>
      </c>
      <c r="K37" s="1498">
        <f t="shared" si="139"/>
        <v>1.4893264934635116E-2</v>
      </c>
      <c r="L37" s="1398"/>
      <c r="M37" s="491"/>
      <c r="N37" s="1497"/>
      <c r="O37" s="1497"/>
      <c r="P37" s="1497"/>
      <c r="Q37" s="1497"/>
      <c r="R37" s="1497"/>
      <c r="S37" s="1497"/>
      <c r="T37" s="1497"/>
      <c r="U37" s="1570"/>
      <c r="V37" s="1545">
        <f t="shared" si="56"/>
        <v>0</v>
      </c>
      <c r="W37" s="1546">
        <f>($V$4*K37)*30%</f>
        <v>0</v>
      </c>
      <c r="X37" s="1547">
        <f t="shared" si="141"/>
        <v>0</v>
      </c>
      <c r="Y37" s="145"/>
      <c r="Z37" s="1497"/>
      <c r="AA37" s="1497"/>
      <c r="AB37" s="1497"/>
      <c r="AC37" s="1497"/>
      <c r="AD37" s="1497"/>
      <c r="AE37" s="1497"/>
      <c r="AF37" s="1497"/>
      <c r="AG37" s="145"/>
      <c r="AH37" s="1545">
        <f t="shared" si="60"/>
        <v>0</v>
      </c>
      <c r="AI37" s="1546">
        <f t="shared" si="142"/>
        <v>0</v>
      </c>
      <c r="AJ37" s="1547">
        <f t="shared" si="61"/>
        <v>0</v>
      </c>
      <c r="AK37" s="145"/>
      <c r="AL37" s="1543"/>
      <c r="AM37" s="1543"/>
      <c r="AN37" s="1543"/>
      <c r="AO37" s="1543"/>
      <c r="AP37" s="1543"/>
      <c r="AQ37" s="1543"/>
      <c r="AR37" s="1543"/>
      <c r="AS37" s="145"/>
      <c r="AT37" s="1545">
        <f t="shared" si="146"/>
        <v>0</v>
      </c>
      <c r="AU37" s="1546">
        <f t="shared" si="143"/>
        <v>0</v>
      </c>
      <c r="AV37" s="1547">
        <f t="shared" si="147"/>
        <v>0</v>
      </c>
      <c r="AW37" s="145"/>
      <c r="AX37" s="1543"/>
      <c r="AY37" s="1543"/>
      <c r="AZ37" s="1543"/>
      <c r="BA37" s="1543"/>
      <c r="BB37" s="1543"/>
      <c r="BC37" s="1543"/>
      <c r="BD37" s="1543"/>
      <c r="BE37" s="145"/>
      <c r="BF37" s="1545">
        <f t="shared" si="148"/>
        <v>0</v>
      </c>
      <c r="BG37" s="1546">
        <f t="shared" si="144"/>
        <v>0</v>
      </c>
      <c r="BH37" s="1547">
        <f t="shared" si="149"/>
        <v>0</v>
      </c>
      <c r="BI37" s="1570"/>
      <c r="BJ37" s="1497"/>
      <c r="BK37" s="1497"/>
      <c r="BL37" s="1497"/>
      <c r="BM37" s="1710"/>
      <c r="BN37" s="1545">
        <f t="shared" si="150"/>
        <v>0</v>
      </c>
      <c r="BO37" s="1546">
        <f t="shared" si="145"/>
        <v>0</v>
      </c>
      <c r="BP37" s="1547">
        <f t="shared" si="151"/>
        <v>0</v>
      </c>
      <c r="BR37" s="5">
        <v>0</v>
      </c>
      <c r="BS37" s="9">
        <f t="shared" si="136"/>
        <v>0</v>
      </c>
      <c r="BU37" s="1075">
        <f t="shared" si="137"/>
        <v>0</v>
      </c>
      <c r="BV37" s="1077">
        <f t="shared" si="138"/>
        <v>0</v>
      </c>
      <c r="BW37" s="29"/>
      <c r="BY37" s="29"/>
      <c r="BZ37" s="1040"/>
      <c r="CA37" s="482"/>
      <c r="CB37" s="444"/>
      <c r="CC37" s="444"/>
      <c r="CD37" s="444"/>
      <c r="CE37" s="444"/>
      <c r="CF37" s="444"/>
      <c r="CG37" s="444"/>
      <c r="CH37" s="1027"/>
    </row>
    <row r="38" spans="1:86" s="255" customFormat="1" x14ac:dyDescent="0.2">
      <c r="B38" s="1499">
        <v>20</v>
      </c>
      <c r="C38" s="1499" t="s">
        <v>173</v>
      </c>
      <c r="D38" s="812"/>
      <c r="E38" s="1500">
        <v>25.5</v>
      </c>
      <c r="F38" s="1500"/>
      <c r="G38" s="1500"/>
      <c r="H38" s="1500"/>
      <c r="I38" s="1500"/>
      <c r="J38" s="1500">
        <f t="shared" si="135"/>
        <v>0.82258064516129037</v>
      </c>
      <c r="K38" s="1501">
        <f t="shared" si="139"/>
        <v>1.2659275194439849E-2</v>
      </c>
      <c r="L38" s="1399"/>
      <c r="M38" s="492"/>
      <c r="N38" s="1500"/>
      <c r="O38" s="1500"/>
      <c r="P38" s="1500"/>
      <c r="Q38" s="1500"/>
      <c r="R38" s="1500"/>
      <c r="S38" s="1500"/>
      <c r="T38" s="1500"/>
      <c r="U38" s="1568"/>
      <c r="V38" s="1548">
        <f t="shared" si="56"/>
        <v>0</v>
      </c>
      <c r="W38" s="1549">
        <f t="shared" si="140"/>
        <v>0</v>
      </c>
      <c r="X38" s="1550">
        <f t="shared" si="141"/>
        <v>0</v>
      </c>
      <c r="Y38" s="782"/>
      <c r="Z38" s="1500"/>
      <c r="AA38" s="1500"/>
      <c r="AB38" s="1500"/>
      <c r="AC38" s="1500"/>
      <c r="AD38" s="1500"/>
      <c r="AE38" s="1500"/>
      <c r="AF38" s="1500"/>
      <c r="AG38" s="782"/>
      <c r="AH38" s="1548">
        <f t="shared" si="60"/>
        <v>0</v>
      </c>
      <c r="AI38" s="1549">
        <f t="shared" si="142"/>
        <v>0</v>
      </c>
      <c r="AJ38" s="1550">
        <f t="shared" si="61"/>
        <v>0</v>
      </c>
      <c r="AK38" s="782"/>
      <c r="AL38" s="1569"/>
      <c r="AM38" s="1569"/>
      <c r="AN38" s="1569"/>
      <c r="AO38" s="1569"/>
      <c r="AP38" s="1569"/>
      <c r="AQ38" s="1674"/>
      <c r="AR38" s="1674"/>
      <c r="AS38" s="782"/>
      <c r="AT38" s="1548">
        <f t="shared" si="146"/>
        <v>0</v>
      </c>
      <c r="AU38" s="1549">
        <f t="shared" si="143"/>
        <v>0</v>
      </c>
      <c r="AV38" s="1550">
        <f t="shared" si="147"/>
        <v>0</v>
      </c>
      <c r="AW38" s="782"/>
      <c r="AX38" s="1674"/>
      <c r="AY38" s="1680"/>
      <c r="AZ38" s="1695"/>
      <c r="BA38" s="1695"/>
      <c r="BB38" s="1699"/>
      <c r="BC38" s="1706"/>
      <c r="BD38" s="1706"/>
      <c r="BE38" s="782"/>
      <c r="BF38" s="1548">
        <f t="shared" si="148"/>
        <v>0</v>
      </c>
      <c r="BG38" s="1549">
        <f t="shared" si="144"/>
        <v>0</v>
      </c>
      <c r="BH38" s="1550">
        <f t="shared" si="149"/>
        <v>0</v>
      </c>
      <c r="BI38" s="1568"/>
      <c r="BJ38" s="1500"/>
      <c r="BK38" s="1500"/>
      <c r="BL38" s="1500"/>
      <c r="BM38" s="946"/>
      <c r="BN38" s="1548">
        <f t="shared" si="150"/>
        <v>0</v>
      </c>
      <c r="BO38" s="1549">
        <f t="shared" si="145"/>
        <v>0</v>
      </c>
      <c r="BP38" s="1550">
        <f t="shared" si="151"/>
        <v>0</v>
      </c>
      <c r="BR38" s="40">
        <v>0</v>
      </c>
      <c r="BS38" s="51">
        <f t="shared" si="136"/>
        <v>0</v>
      </c>
      <c r="BU38" s="1177">
        <f t="shared" si="137"/>
        <v>0</v>
      </c>
      <c r="BV38" s="1468">
        <f t="shared" si="138"/>
        <v>0</v>
      </c>
      <c r="BW38" s="62"/>
      <c r="BY38" s="62"/>
      <c r="BZ38" s="1469"/>
      <c r="CA38" s="480"/>
      <c r="CB38" s="438"/>
      <c r="CC38" s="438"/>
      <c r="CD38" s="438"/>
      <c r="CE38" s="438"/>
      <c r="CF38" s="438"/>
      <c r="CG38" s="438"/>
      <c r="CH38" s="1455"/>
    </row>
    <row r="39" spans="1:86" x14ac:dyDescent="0.2">
      <c r="B39" s="1496">
        <v>21</v>
      </c>
      <c r="C39" s="1496" t="s">
        <v>182</v>
      </c>
      <c r="D39" s="780"/>
      <c r="E39" s="1497">
        <v>12.5</v>
      </c>
      <c r="F39" s="1497"/>
      <c r="G39" s="1497"/>
      <c r="H39" s="1497"/>
      <c r="I39" s="1497"/>
      <c r="J39" s="1497">
        <f t="shared" si="135"/>
        <v>0.40322580645161288</v>
      </c>
      <c r="K39" s="1498">
        <f t="shared" si="139"/>
        <v>6.2055270560979646E-3</v>
      </c>
      <c r="L39" s="1398"/>
      <c r="M39" s="491"/>
      <c r="N39" s="1497"/>
      <c r="O39" s="1497"/>
      <c r="P39" s="1497"/>
      <c r="Q39" s="1497"/>
      <c r="R39" s="1497"/>
      <c r="S39" s="1497"/>
      <c r="T39" s="1497"/>
      <c r="U39" s="1570"/>
      <c r="V39" s="1545">
        <f t="shared" si="56"/>
        <v>0</v>
      </c>
      <c r="W39" s="1546">
        <f t="shared" si="140"/>
        <v>0</v>
      </c>
      <c r="X39" s="1547">
        <f t="shared" si="141"/>
        <v>0</v>
      </c>
      <c r="Y39" s="145"/>
      <c r="Z39" s="1497"/>
      <c r="AA39" s="1497"/>
      <c r="AB39" s="1497"/>
      <c r="AC39" s="1497"/>
      <c r="AD39" s="1497"/>
      <c r="AE39" s="1497"/>
      <c r="AF39" s="1497"/>
      <c r="AG39" s="145"/>
      <c r="AH39" s="1545">
        <f t="shared" si="60"/>
        <v>0</v>
      </c>
      <c r="AI39" s="1546">
        <f t="shared" si="142"/>
        <v>0</v>
      </c>
      <c r="AJ39" s="1547">
        <f t="shared" si="61"/>
        <v>0</v>
      </c>
      <c r="AK39" s="145"/>
      <c r="AL39" s="1543"/>
      <c r="AM39" s="1543"/>
      <c r="AN39" s="1543"/>
      <c r="AO39" s="1543"/>
      <c r="AP39" s="1543"/>
      <c r="AQ39" s="1543"/>
      <c r="AR39" s="1543"/>
      <c r="AS39" s="145"/>
      <c r="AT39" s="1545">
        <f t="shared" si="146"/>
        <v>0</v>
      </c>
      <c r="AU39" s="1546">
        <f t="shared" si="143"/>
        <v>0</v>
      </c>
      <c r="AV39" s="1547">
        <f t="shared" si="147"/>
        <v>0</v>
      </c>
      <c r="AW39" s="145"/>
      <c r="AX39" s="1543"/>
      <c r="AY39" s="1543"/>
      <c r="AZ39" s="1543"/>
      <c r="BA39" s="1543"/>
      <c r="BB39" s="1543"/>
      <c r="BC39" s="1543"/>
      <c r="BD39" s="1543"/>
      <c r="BE39" s="145"/>
      <c r="BF39" s="1545">
        <f t="shared" si="148"/>
        <v>0</v>
      </c>
      <c r="BG39" s="1546">
        <f t="shared" si="144"/>
        <v>0</v>
      </c>
      <c r="BH39" s="1547">
        <f t="shared" si="149"/>
        <v>0</v>
      </c>
      <c r="BI39" s="1570"/>
      <c r="BJ39" s="1497"/>
      <c r="BK39" s="1497"/>
      <c r="BL39" s="1497"/>
      <c r="BM39" s="1710"/>
      <c r="BN39" s="1545">
        <f t="shared" si="150"/>
        <v>0</v>
      </c>
      <c r="BO39" s="1546">
        <f t="shared" si="145"/>
        <v>0</v>
      </c>
      <c r="BP39" s="1547">
        <f t="shared" si="151"/>
        <v>0</v>
      </c>
      <c r="BR39" s="5">
        <v>0</v>
      </c>
      <c r="BS39" s="9">
        <f t="shared" si="136"/>
        <v>0</v>
      </c>
      <c r="BU39" s="1075">
        <f t="shared" si="137"/>
        <v>0</v>
      </c>
      <c r="BV39" s="1077">
        <f t="shared" si="138"/>
        <v>0</v>
      </c>
      <c r="BW39" s="29"/>
      <c r="BY39" s="29"/>
      <c r="BZ39" s="1469"/>
      <c r="CA39" s="482"/>
      <c r="CB39" s="444"/>
      <c r="CC39" s="444"/>
      <c r="CD39" s="444"/>
      <c r="CE39" s="444"/>
      <c r="CF39" s="444"/>
      <c r="CG39" s="444"/>
      <c r="CH39" s="1027"/>
    </row>
    <row r="40" spans="1:86" s="255" customFormat="1" x14ac:dyDescent="0.2">
      <c r="B40" s="1499">
        <v>22</v>
      </c>
      <c r="C40" s="1499" t="s">
        <v>183</v>
      </c>
      <c r="D40" s="812"/>
      <c r="E40" s="1500">
        <v>8</v>
      </c>
      <c r="F40" s="1500"/>
      <c r="G40" s="1500"/>
      <c r="H40" s="1500"/>
      <c r="I40" s="1500"/>
      <c r="J40" s="1500">
        <f t="shared" si="135"/>
        <v>0.25806451612903225</v>
      </c>
      <c r="K40" s="1501">
        <f t="shared" si="139"/>
        <v>3.9715373159026979E-3</v>
      </c>
      <c r="L40" s="1399"/>
      <c r="M40" s="492"/>
      <c r="N40" s="1500"/>
      <c r="O40" s="1500"/>
      <c r="P40" s="1500"/>
      <c r="Q40" s="1500"/>
      <c r="R40" s="1500"/>
      <c r="S40" s="1500"/>
      <c r="T40" s="1500"/>
      <c r="U40" s="1568"/>
      <c r="V40" s="1548">
        <f t="shared" si="56"/>
        <v>0</v>
      </c>
      <c r="W40" s="1549">
        <f t="shared" si="140"/>
        <v>0</v>
      </c>
      <c r="X40" s="1550">
        <f t="shared" si="141"/>
        <v>0</v>
      </c>
      <c r="Y40" s="782"/>
      <c r="Z40" s="1500"/>
      <c r="AA40" s="1500"/>
      <c r="AB40" s="1500"/>
      <c r="AC40" s="1500"/>
      <c r="AD40" s="1500"/>
      <c r="AE40" s="1500"/>
      <c r="AF40" s="1500"/>
      <c r="AG40" s="782"/>
      <c r="AH40" s="1548">
        <f t="shared" si="60"/>
        <v>0</v>
      </c>
      <c r="AI40" s="1549">
        <f t="shared" si="142"/>
        <v>0</v>
      </c>
      <c r="AJ40" s="1550">
        <f t="shared" si="61"/>
        <v>0</v>
      </c>
      <c r="AK40" s="782"/>
      <c r="AL40" s="1569"/>
      <c r="AM40" s="1569"/>
      <c r="AN40" s="1569"/>
      <c r="AO40" s="1569"/>
      <c r="AP40" s="1569"/>
      <c r="AQ40" s="1674"/>
      <c r="AR40" s="1674"/>
      <c r="AS40" s="782"/>
      <c r="AT40" s="1548">
        <f t="shared" si="146"/>
        <v>0</v>
      </c>
      <c r="AU40" s="1549">
        <f t="shared" si="143"/>
        <v>0</v>
      </c>
      <c r="AV40" s="1550">
        <f t="shared" si="147"/>
        <v>0</v>
      </c>
      <c r="AW40" s="782"/>
      <c r="AX40" s="1674"/>
      <c r="AY40" s="1680"/>
      <c r="AZ40" s="1695"/>
      <c r="BA40" s="1695"/>
      <c r="BB40" s="1699"/>
      <c r="BC40" s="1706"/>
      <c r="BD40" s="1706"/>
      <c r="BE40" s="782"/>
      <c r="BF40" s="1548">
        <f t="shared" si="148"/>
        <v>0</v>
      </c>
      <c r="BG40" s="1549">
        <f t="shared" si="144"/>
        <v>0</v>
      </c>
      <c r="BH40" s="1550">
        <f t="shared" si="149"/>
        <v>0</v>
      </c>
      <c r="BI40" s="1568"/>
      <c r="BJ40" s="1500"/>
      <c r="BK40" s="1500"/>
      <c r="BL40" s="1500"/>
      <c r="BM40" s="946"/>
      <c r="BN40" s="1548">
        <f t="shared" si="150"/>
        <v>0</v>
      </c>
      <c r="BO40" s="1549">
        <f t="shared" si="145"/>
        <v>0</v>
      </c>
      <c r="BP40" s="1550">
        <f t="shared" si="151"/>
        <v>0</v>
      </c>
      <c r="BR40" s="40">
        <v>0</v>
      </c>
      <c r="BS40" s="51">
        <f t="shared" si="136"/>
        <v>0</v>
      </c>
      <c r="BU40" s="1177">
        <f t="shared" si="137"/>
        <v>0</v>
      </c>
      <c r="BV40" s="1468">
        <f t="shared" si="138"/>
        <v>0</v>
      </c>
      <c r="BW40" s="62"/>
      <c r="BY40" s="62"/>
      <c r="BZ40" s="1043"/>
      <c r="CA40" s="480"/>
      <c r="CB40" s="438"/>
      <c r="CC40" s="438"/>
      <c r="CD40" s="438"/>
      <c r="CE40" s="438"/>
      <c r="CF40" s="438"/>
      <c r="CG40" s="438"/>
      <c r="CH40" s="1455"/>
    </row>
    <row r="41" spans="1:86" ht="15.75" thickBot="1" x14ac:dyDescent="0.25">
      <c r="B41" s="1496">
        <v>23</v>
      </c>
      <c r="C41" s="1496" t="s">
        <v>184</v>
      </c>
      <c r="D41" s="780"/>
      <c r="E41" s="1497">
        <v>5</v>
      </c>
      <c r="F41" s="1497">
        <f t="shared" si="131"/>
        <v>0.5</v>
      </c>
      <c r="G41" s="1497">
        <f t="shared" si="132"/>
        <v>0.33333333333333331</v>
      </c>
      <c r="H41" s="1497">
        <f t="shared" si="133"/>
        <v>0.25</v>
      </c>
      <c r="I41" s="1497">
        <f t="shared" si="134"/>
        <v>0.2</v>
      </c>
      <c r="J41" s="1497">
        <f t="shared" si="135"/>
        <v>0.16129032258064516</v>
      </c>
      <c r="K41" s="1498">
        <f t="shared" si="139"/>
        <v>2.4822108224391861E-3</v>
      </c>
      <c r="L41" s="1398"/>
      <c r="M41" s="491"/>
      <c r="N41" s="1497"/>
      <c r="O41" s="1497"/>
      <c r="P41" s="1497"/>
      <c r="Q41" s="1497"/>
      <c r="R41" s="1497"/>
      <c r="S41" s="1497"/>
      <c r="T41" s="1497"/>
      <c r="U41" s="1570"/>
      <c r="V41" s="1551">
        <f>SUM(N41:T41)</f>
        <v>0</v>
      </c>
      <c r="W41" s="1552">
        <f t="shared" si="140"/>
        <v>0</v>
      </c>
      <c r="X41" s="1553">
        <f t="shared" si="141"/>
        <v>0</v>
      </c>
      <c r="Y41" s="145"/>
      <c r="Z41" s="1497"/>
      <c r="AA41" s="1497"/>
      <c r="AB41" s="1497"/>
      <c r="AC41" s="1497"/>
      <c r="AD41" s="1497"/>
      <c r="AE41" s="1497"/>
      <c r="AF41" s="1497"/>
      <c r="AG41" s="145"/>
      <c r="AH41" s="1551">
        <f t="shared" si="60"/>
        <v>0</v>
      </c>
      <c r="AI41" s="1552">
        <f t="shared" si="142"/>
        <v>0</v>
      </c>
      <c r="AJ41" s="1553">
        <f t="shared" si="61"/>
        <v>0</v>
      </c>
      <c r="AK41" s="145"/>
      <c r="AL41" s="1543"/>
      <c r="AM41" s="1543"/>
      <c r="AN41" s="1543"/>
      <c r="AO41" s="1543"/>
      <c r="AP41" s="1543"/>
      <c r="AQ41" s="1543"/>
      <c r="AR41" s="1543"/>
      <c r="AS41" s="145"/>
      <c r="AT41" s="1551">
        <f t="shared" si="146"/>
        <v>0</v>
      </c>
      <c r="AU41" s="1552">
        <f t="shared" si="143"/>
        <v>0</v>
      </c>
      <c r="AV41" s="1553">
        <f t="shared" si="147"/>
        <v>0</v>
      </c>
      <c r="AW41" s="145"/>
      <c r="AX41" s="1543"/>
      <c r="AY41" s="1543"/>
      <c r="AZ41" s="1543"/>
      <c r="BA41" s="1543"/>
      <c r="BB41" s="1543"/>
      <c r="BC41" s="1543"/>
      <c r="BD41" s="1543"/>
      <c r="BE41" s="145"/>
      <c r="BF41" s="1551">
        <f t="shared" si="148"/>
        <v>0</v>
      </c>
      <c r="BG41" s="1552">
        <f t="shared" si="144"/>
        <v>0</v>
      </c>
      <c r="BH41" s="1553">
        <f t="shared" si="149"/>
        <v>0</v>
      </c>
      <c r="BI41" s="1570"/>
      <c r="BJ41" s="1497"/>
      <c r="BK41" s="1497"/>
      <c r="BL41" s="1497"/>
      <c r="BM41" s="1710"/>
      <c r="BN41" s="1551">
        <f t="shared" si="150"/>
        <v>0</v>
      </c>
      <c r="BO41" s="1552">
        <f t="shared" si="145"/>
        <v>0</v>
      </c>
      <c r="BP41" s="1553">
        <f t="shared" si="151"/>
        <v>0</v>
      </c>
      <c r="BR41" s="5">
        <v>0</v>
      </c>
      <c r="BS41" s="9">
        <f t="shared" si="136"/>
        <v>0</v>
      </c>
      <c r="BU41" s="630">
        <f t="shared" si="137"/>
        <v>0</v>
      </c>
      <c r="BV41" s="1448">
        <f t="shared" si="138"/>
        <v>0</v>
      </c>
      <c r="BW41" s="29"/>
      <c r="BY41" s="29"/>
      <c r="BZ41" s="1043"/>
      <c r="CA41" s="29"/>
      <c r="CB41" s="1574"/>
      <c r="CC41" s="1574"/>
      <c r="CD41" s="1574"/>
      <c r="CE41" s="1574"/>
      <c r="CF41" s="1574"/>
      <c r="CG41" s="1574"/>
      <c r="CH41" s="1060"/>
    </row>
    <row r="42" spans="1:86" s="1565" customFormat="1" ht="4.5" customHeight="1" thickBot="1" x14ac:dyDescent="0.25">
      <c r="B42" s="150"/>
      <c r="C42" s="1174"/>
      <c r="D42" s="444"/>
      <c r="E42" s="435"/>
      <c r="F42" s="435"/>
      <c r="G42" s="435"/>
      <c r="H42" s="435"/>
      <c r="I42" s="435"/>
      <c r="J42" s="435"/>
      <c r="K42" s="1175"/>
      <c r="L42" s="1398"/>
      <c r="M42" s="491"/>
      <c r="N42" s="37"/>
      <c r="O42" s="37"/>
      <c r="P42" s="37"/>
      <c r="Q42" s="37"/>
      <c r="R42" s="37"/>
      <c r="S42" s="37"/>
      <c r="T42" s="37"/>
      <c r="U42" s="1570"/>
      <c r="V42" s="1570"/>
      <c r="W42" s="1570"/>
      <c r="X42" s="1570"/>
      <c r="Y42" s="1570"/>
      <c r="Z42" s="37"/>
      <c r="AA42" s="37"/>
      <c r="AB42" s="37"/>
      <c r="AC42" s="37"/>
      <c r="AD42" s="37"/>
      <c r="AE42" s="37"/>
      <c r="AF42" s="37"/>
      <c r="AG42" s="1570"/>
      <c r="AH42" s="1570"/>
      <c r="AI42" s="1570"/>
      <c r="AJ42" s="1570"/>
      <c r="AK42" s="1570"/>
      <c r="AL42" s="37"/>
      <c r="AM42" s="37"/>
      <c r="AN42" s="37"/>
      <c r="AO42" s="37"/>
      <c r="AP42" s="37"/>
      <c r="AQ42" s="37"/>
      <c r="AR42" s="37"/>
      <c r="AS42" s="1570"/>
      <c r="AT42" s="1700"/>
      <c r="AU42" s="1700"/>
      <c r="AV42" s="1700"/>
      <c r="AW42" s="1570"/>
      <c r="AX42" s="37"/>
      <c r="AY42" s="37"/>
      <c r="AZ42" s="37"/>
      <c r="BA42" s="37"/>
      <c r="BB42" s="37"/>
      <c r="BC42" s="37"/>
      <c r="BD42" s="37"/>
      <c r="BE42" s="1570"/>
      <c r="BF42" s="1707"/>
      <c r="BG42" s="1707"/>
      <c r="BH42" s="1707"/>
      <c r="BI42" s="1570"/>
      <c r="BJ42" s="24"/>
      <c r="BK42" s="24"/>
      <c r="BL42" s="24"/>
      <c r="BM42" s="1570"/>
      <c r="BN42" s="1714"/>
      <c r="BO42" s="1714"/>
      <c r="BP42" s="1714"/>
      <c r="BR42" s="1570"/>
      <c r="BS42" s="29"/>
      <c r="BU42" s="1450"/>
      <c r="BV42" s="1566"/>
      <c r="BW42" s="29"/>
      <c r="BY42" s="29"/>
      <c r="BZ42" s="1058"/>
      <c r="CA42" s="1451"/>
      <c r="CB42" s="1574"/>
      <c r="CC42" s="1574"/>
      <c r="CD42" s="1574"/>
      <c r="CE42" s="1574"/>
      <c r="CF42" s="1574"/>
      <c r="CG42" s="1574"/>
      <c r="CH42" s="1060"/>
    </row>
    <row r="43" spans="1:86" s="255" customFormat="1" ht="15.75" thickBot="1" x14ac:dyDescent="0.25">
      <c r="B43" s="1499"/>
      <c r="C43" s="1502">
        <f>E43*100/30</f>
        <v>6714.4444444444434</v>
      </c>
      <c r="D43" s="812"/>
      <c r="E43" s="1500">
        <f t="shared" ref="E43:K43" si="152">SUM(E29:E41)</f>
        <v>2014.3333333333333</v>
      </c>
      <c r="F43" s="1500">
        <f t="shared" si="152"/>
        <v>181.33333333333331</v>
      </c>
      <c r="G43" s="1500">
        <f t="shared" si="152"/>
        <v>120.88888888888886</v>
      </c>
      <c r="H43" s="1500">
        <f t="shared" si="152"/>
        <v>90.666666666666657</v>
      </c>
      <c r="I43" s="1500">
        <f t="shared" si="152"/>
        <v>72.533333333333331</v>
      </c>
      <c r="J43" s="1500">
        <f t="shared" si="152"/>
        <v>64.978494623655905</v>
      </c>
      <c r="K43" s="1503">
        <f t="shared" si="152"/>
        <v>1.0000000000000002</v>
      </c>
      <c r="L43" s="1396"/>
      <c r="M43" s="492"/>
      <c r="N43" s="1500">
        <f t="shared" ref="N43:T43" si="153">SUM(N29:N41)</f>
        <v>0</v>
      </c>
      <c r="O43" s="1500">
        <f t="shared" si="153"/>
        <v>0</v>
      </c>
      <c r="P43" s="1500">
        <f t="shared" si="153"/>
        <v>0</v>
      </c>
      <c r="Q43" s="1500">
        <f t="shared" si="153"/>
        <v>0</v>
      </c>
      <c r="R43" s="1500">
        <f t="shared" si="153"/>
        <v>0</v>
      </c>
      <c r="S43" s="1500">
        <f t="shared" si="153"/>
        <v>0</v>
      </c>
      <c r="T43" s="1500">
        <f t="shared" si="153"/>
        <v>0</v>
      </c>
      <c r="U43" s="1568"/>
      <c r="V43" s="1440">
        <f>SUM(V29:V41)</f>
        <v>0</v>
      </c>
      <c r="W43" s="1554">
        <f t="shared" ref="W43:X43" si="154">SUM(W29:W41)</f>
        <v>0</v>
      </c>
      <c r="X43" s="1555">
        <f t="shared" si="154"/>
        <v>0</v>
      </c>
      <c r="Y43" s="782"/>
      <c r="Z43" s="1500">
        <f t="shared" ref="Z43:AF43" si="155">SUM(Z29:Z41)</f>
        <v>0</v>
      </c>
      <c r="AA43" s="1500">
        <f t="shared" si="155"/>
        <v>0</v>
      </c>
      <c r="AB43" s="1500">
        <f t="shared" si="155"/>
        <v>0</v>
      </c>
      <c r="AC43" s="1500">
        <f t="shared" si="155"/>
        <v>0</v>
      </c>
      <c r="AD43" s="1500">
        <f t="shared" si="155"/>
        <v>0</v>
      </c>
      <c r="AE43" s="1500">
        <f t="shared" si="155"/>
        <v>0</v>
      </c>
      <c r="AF43" s="1500">
        <f t="shared" si="155"/>
        <v>0</v>
      </c>
      <c r="AG43" s="782"/>
      <c r="AH43" s="1440">
        <f>SUM(AH29:AH41)</f>
        <v>0</v>
      </c>
      <c r="AI43" s="1554">
        <f>SUM(AI29:AI41)</f>
        <v>0</v>
      </c>
      <c r="AJ43" s="1555">
        <f>SUM(AJ29:AJ41)</f>
        <v>0</v>
      </c>
      <c r="AK43" s="782"/>
      <c r="AL43" s="1569">
        <f t="shared" ref="AL43:AP43" si="156">SUM(AL29:AL41)</f>
        <v>0</v>
      </c>
      <c r="AM43" s="1569">
        <f t="shared" si="156"/>
        <v>0</v>
      </c>
      <c r="AN43" s="1569">
        <f t="shared" si="156"/>
        <v>0</v>
      </c>
      <c r="AO43" s="1569">
        <f t="shared" si="156"/>
        <v>0</v>
      </c>
      <c r="AP43" s="1569">
        <f t="shared" si="156"/>
        <v>0</v>
      </c>
      <c r="AQ43" s="1674">
        <f t="shared" ref="AQ43:AR43" si="157">SUM(AQ29:AQ41)</f>
        <v>0</v>
      </c>
      <c r="AR43" s="1674">
        <f t="shared" si="157"/>
        <v>0</v>
      </c>
      <c r="AS43" s="782"/>
      <c r="AT43" s="1440">
        <f>SUM(AT29:AT41)</f>
        <v>0</v>
      </c>
      <c r="AU43" s="1554">
        <f>SUM(AU29:AU41)</f>
        <v>0</v>
      </c>
      <c r="AV43" s="1555">
        <f>SUM(AV29:AV41)</f>
        <v>0</v>
      </c>
      <c r="AW43" s="782"/>
      <c r="AX43" s="1674">
        <f t="shared" ref="AX43" si="158">SUM(AX29:AX41)</f>
        <v>0</v>
      </c>
      <c r="AY43" s="1680">
        <f t="shared" ref="AY43:AZ43" si="159">SUM(AY29:AY41)</f>
        <v>0</v>
      </c>
      <c r="AZ43" s="1695">
        <f t="shared" si="159"/>
        <v>0</v>
      </c>
      <c r="BA43" s="1695">
        <f t="shared" ref="BA43:BB43" si="160">SUM(BA29:BA41)</f>
        <v>0</v>
      </c>
      <c r="BB43" s="1699">
        <f t="shared" si="160"/>
        <v>0</v>
      </c>
      <c r="BC43" s="1706">
        <f t="shared" ref="BC43:BD43" si="161">SUM(BC29:BC41)</f>
        <v>0</v>
      </c>
      <c r="BD43" s="1706">
        <f t="shared" si="161"/>
        <v>0</v>
      </c>
      <c r="BE43" s="782"/>
      <c r="BF43" s="1440">
        <f>SUM(BF29:BF41)</f>
        <v>0</v>
      </c>
      <c r="BG43" s="1554">
        <f>SUM(BG29:BG41)</f>
        <v>0</v>
      </c>
      <c r="BH43" s="1555">
        <f>SUM(BH29:BH41)</f>
        <v>0</v>
      </c>
      <c r="BI43" s="1568"/>
      <c r="BJ43" s="1500">
        <f t="shared" ref="BJ43:BL43" si="162">SUM(BJ29:BJ41)</f>
        <v>0</v>
      </c>
      <c r="BK43" s="1706">
        <f t="shared" si="162"/>
        <v>0</v>
      </c>
      <c r="BL43" s="1706">
        <f t="shared" si="162"/>
        <v>0</v>
      </c>
      <c r="BM43" s="1568"/>
      <c r="BN43" s="1440">
        <f>SUM(BN29:BN41)</f>
        <v>0</v>
      </c>
      <c r="BO43" s="1554">
        <f>SUM(BO29:BO41)</f>
        <v>0</v>
      </c>
      <c r="BP43" s="1555">
        <f>SUM(BP29:BP41)</f>
        <v>0</v>
      </c>
      <c r="BR43" s="742">
        <f>SUM(BR29:BR41)</f>
        <v>0</v>
      </c>
      <c r="BS43" s="1192">
        <f>BR43/E43</f>
        <v>0</v>
      </c>
      <c r="BU43" s="742">
        <f>SUM(BU29:BU41)</f>
        <v>0</v>
      </c>
      <c r="BV43" s="1192">
        <f>BU43/E43</f>
        <v>0</v>
      </c>
      <c r="BW43" s="62"/>
      <c r="BY43" s="62"/>
      <c r="BZ43" s="1028"/>
      <c r="CA43" s="62" t="s">
        <v>157</v>
      </c>
      <c r="CB43" s="1033">
        <f>BU1</f>
        <v>1</v>
      </c>
      <c r="CC43" s="81"/>
      <c r="CD43" s="81"/>
      <c r="CE43" s="81"/>
      <c r="CF43" s="81"/>
      <c r="CG43" s="81"/>
      <c r="CH43" s="1029"/>
    </row>
    <row r="44" spans="1:86" s="1565" customFormat="1" ht="4.5" customHeight="1" thickBot="1" x14ac:dyDescent="0.25">
      <c r="B44" s="150"/>
      <c r="C44" s="1174"/>
      <c r="D44" s="444"/>
      <c r="E44" s="435"/>
      <c r="F44" s="435"/>
      <c r="G44" s="435"/>
      <c r="H44" s="435"/>
      <c r="I44" s="435"/>
      <c r="J44" s="435"/>
      <c r="K44" s="1175"/>
      <c r="L44" s="1398"/>
      <c r="M44" s="491"/>
      <c r="N44" s="37"/>
      <c r="O44" s="37"/>
      <c r="P44" s="37"/>
      <c r="Q44" s="37"/>
      <c r="R44" s="37"/>
      <c r="S44" s="37"/>
      <c r="T44" s="37"/>
      <c r="U44" s="1570"/>
      <c r="V44" s="1570"/>
      <c r="W44" s="1570"/>
      <c r="X44" s="1570"/>
      <c r="Y44" s="1570"/>
      <c r="Z44" s="37"/>
      <c r="AA44" s="37"/>
      <c r="AB44" s="37"/>
      <c r="AC44" s="37"/>
      <c r="AD44" s="37"/>
      <c r="AE44" s="37"/>
      <c r="AF44" s="37"/>
      <c r="AG44" s="1570"/>
      <c r="AH44" s="1570"/>
      <c r="AI44" s="1570"/>
      <c r="AJ44" s="1570"/>
      <c r="AK44" s="1570"/>
      <c r="AL44" s="37"/>
      <c r="AM44" s="37"/>
      <c r="AN44" s="37"/>
      <c r="AO44" s="37"/>
      <c r="AP44" s="37"/>
      <c r="AQ44" s="37"/>
      <c r="AR44" s="37"/>
      <c r="AS44" s="1570"/>
      <c r="AT44" s="1570"/>
      <c r="AU44" s="1570"/>
      <c r="AV44" s="1570"/>
      <c r="AW44" s="1570"/>
      <c r="AX44" s="37"/>
      <c r="AY44" s="37"/>
      <c r="AZ44" s="37"/>
      <c r="BA44" s="37"/>
      <c r="BB44" s="37"/>
      <c r="BC44" s="37"/>
      <c r="BD44" s="37"/>
      <c r="BE44" s="1570"/>
      <c r="BF44" s="1567"/>
      <c r="BG44" s="1567"/>
      <c r="BH44" s="1567"/>
      <c r="BI44" s="1570"/>
      <c r="BJ44" s="37"/>
      <c r="BK44" s="37"/>
      <c r="BL44" s="37"/>
      <c r="BM44" s="1570"/>
      <c r="BN44" s="1567"/>
      <c r="BO44" s="1567"/>
      <c r="BP44" s="1567"/>
      <c r="BR44" s="1570"/>
      <c r="BS44" s="29"/>
      <c r="BU44" s="1570"/>
      <c r="BV44" s="29"/>
      <c r="BW44" s="29"/>
      <c r="BY44" s="29"/>
      <c r="BZ44" s="1452"/>
      <c r="CA44" s="1574"/>
      <c r="CB44" s="1574"/>
      <c r="CC44" s="1574"/>
      <c r="CD44" s="1574"/>
      <c r="CE44" s="1574"/>
      <c r="CF44" s="1574"/>
      <c r="CG44" s="1574"/>
      <c r="CH44" s="1060"/>
    </row>
    <row r="45" spans="1:86" ht="15.75" thickBot="1" x14ac:dyDescent="0.25">
      <c r="B45" s="3"/>
      <c r="C45" s="3" t="s">
        <v>17</v>
      </c>
      <c r="D45" s="814"/>
      <c r="E45" s="5">
        <f>SUM(E15:E24)+SUM(E29:E41)</f>
        <v>2776.1373333333331</v>
      </c>
      <c r="F45" s="5">
        <f t="shared" ref="F45:J45" si="163">SUM(F15:F24)+SUM(F29:F41)</f>
        <v>256.51373333333333</v>
      </c>
      <c r="G45" s="5">
        <f t="shared" si="163"/>
        <v>171.00915555555554</v>
      </c>
      <c r="H45" s="5">
        <f t="shared" si="163"/>
        <v>128.25686666666667</v>
      </c>
      <c r="I45" s="5">
        <f t="shared" si="163"/>
        <v>102.60549333333333</v>
      </c>
      <c r="J45" s="5">
        <f t="shared" si="163"/>
        <v>89.681849462365591</v>
      </c>
      <c r="K45" s="9">
        <f>E45/E86</f>
        <v>0.47375165674044495</v>
      </c>
      <c r="L45" s="1453"/>
      <c r="M45" s="29"/>
      <c r="N45" s="5">
        <f>SUM(N15:N24)+SUM(N29:N41)</f>
        <v>24.703354838709679</v>
      </c>
      <c r="O45" s="5">
        <f t="shared" ref="O45:S45" si="164">SUM(O15:O24)+SUM(O29:O41)</f>
        <v>24.703354838709679</v>
      </c>
      <c r="P45" s="5">
        <f t="shared" si="164"/>
        <v>24.703354838709679</v>
      </c>
      <c r="Q45" s="5">
        <f t="shared" si="164"/>
        <v>24.703354838709679</v>
      </c>
      <c r="R45" s="5">
        <f t="shared" si="164"/>
        <v>24.703354838709679</v>
      </c>
      <c r="S45" s="5">
        <f t="shared" si="164"/>
        <v>24.703354838709679</v>
      </c>
      <c r="T45" s="5">
        <f>SUM(T15:T24)+SUM(T29:T41)</f>
        <v>24.703354838709679</v>
      </c>
      <c r="U45" s="1570"/>
      <c r="V45" s="1184">
        <f>SUM(V15:V24)+SUM(V29:V41)</f>
        <v>172.92348387096774</v>
      </c>
      <c r="W45" s="1185">
        <f>SUM(W15:W24)+SUM(W29:W41)</f>
        <v>314.92499999999995</v>
      </c>
      <c r="X45" s="1186">
        <f>SUM(X15:X24)+SUM(X29:X41)</f>
        <v>142.00151612903227</v>
      </c>
      <c r="Y45" s="145"/>
      <c r="Z45" s="1559">
        <f t="shared" ref="Z45:AF45" si="165">SUM(Z15:Z24)+SUM(Z29:Z41)</f>
        <v>24.703354838709679</v>
      </c>
      <c r="AA45" s="1559">
        <f t="shared" si="165"/>
        <v>24.703354838709679</v>
      </c>
      <c r="AB45" s="1559">
        <f t="shared" si="165"/>
        <v>24.703354838709679</v>
      </c>
      <c r="AC45" s="1559">
        <f t="shared" si="165"/>
        <v>24.703354838709679</v>
      </c>
      <c r="AD45" s="1559">
        <f t="shared" si="165"/>
        <v>24.703354838709679</v>
      </c>
      <c r="AE45" s="1559">
        <f t="shared" si="165"/>
        <v>24.703354838709679</v>
      </c>
      <c r="AF45" s="1559">
        <f t="shared" si="165"/>
        <v>24.703354838709679</v>
      </c>
      <c r="AG45" s="145"/>
      <c r="AH45" s="1184">
        <f>SUM(Z45:AF45)</f>
        <v>172.92348387096777</v>
      </c>
      <c r="AI45" s="1185">
        <f>SUM(AI15:AI24)+SUM(AI29:AI41)</f>
        <v>271.08</v>
      </c>
      <c r="AJ45" s="1186">
        <f>SUM(AJ15:AJ24)+SUM(AJ29:AJ41)</f>
        <v>98.156516129032269</v>
      </c>
      <c r="AK45" s="145"/>
      <c r="AL45" s="1559">
        <f t="shared" ref="AL45:AR45" si="166">SUM(AL15:AL24)+SUM(AL29:AL41)</f>
        <v>24.703354838709679</v>
      </c>
      <c r="AM45" s="1559">
        <f t="shared" si="166"/>
        <v>24.703354838709679</v>
      </c>
      <c r="AN45" s="1559">
        <f t="shared" si="166"/>
        <v>24.703354838709679</v>
      </c>
      <c r="AO45" s="1559">
        <f t="shared" si="166"/>
        <v>24.703354838709679</v>
      </c>
      <c r="AP45" s="1559">
        <f t="shared" si="166"/>
        <v>24.703354838709679</v>
      </c>
      <c r="AQ45" s="1559">
        <f t="shared" si="166"/>
        <v>24.703354838709679</v>
      </c>
      <c r="AR45" s="1559">
        <f t="shared" si="166"/>
        <v>24.703354838709679</v>
      </c>
      <c r="AS45" s="145"/>
      <c r="AT45" s="1184">
        <f>SUM(AL45:AR45)</f>
        <v>172.92348387096777</v>
      </c>
      <c r="AU45" s="1185">
        <f>SUM(AU15:AU24)+SUM(AU29:AU41)</f>
        <v>229.43999999999997</v>
      </c>
      <c r="AV45" s="1186">
        <f>SUM(AV15:AV24)+SUM(AV29:AV41)</f>
        <v>56.51651612903224</v>
      </c>
      <c r="AW45" s="145"/>
      <c r="AX45" s="1559">
        <f t="shared" ref="AX45:BD45" si="167">SUM(AX15:AX24)+SUM(AX29:AX41)</f>
        <v>24.703354838709679</v>
      </c>
      <c r="AY45" s="1676">
        <f t="shared" ref="AY45" si="168">SUM(AY15:AY24)+SUM(AY29:AY41)</f>
        <v>24.703354838709679</v>
      </c>
      <c r="AZ45" s="1559">
        <f t="shared" si="167"/>
        <v>24.703354838709679</v>
      </c>
      <c r="BA45" s="1559">
        <f t="shared" si="167"/>
        <v>24.703354838709679</v>
      </c>
      <c r="BB45" s="1559">
        <f t="shared" si="167"/>
        <v>24.703354838709679</v>
      </c>
      <c r="BC45" s="1559">
        <f t="shared" si="167"/>
        <v>24.703354838709679</v>
      </c>
      <c r="BD45" s="1559">
        <f t="shared" si="167"/>
        <v>24.703354838709679</v>
      </c>
      <c r="BE45" s="145"/>
      <c r="BF45" s="1184">
        <f>SUM(AX45:BD45)</f>
        <v>172.92348387096777</v>
      </c>
      <c r="BG45" s="1185">
        <f>SUM(BG15:BG24)+SUM(BG29:BG41)</f>
        <v>342.53999999999991</v>
      </c>
      <c r="BH45" s="1186">
        <f>SUM(BH15:BH24)+SUM(BH29:BH41)</f>
        <v>169.61651612903222</v>
      </c>
      <c r="BI45" s="1570"/>
      <c r="BJ45" s="5">
        <f>SUM(BJ15:BJ24)+SUM(BJ29:BJ41)</f>
        <v>24.703354838709679</v>
      </c>
      <c r="BK45" s="5">
        <f>SUM(BK15:BK24)+SUM(BK29:BK41)</f>
        <v>22.703354838709679</v>
      </c>
      <c r="BL45" s="5">
        <f>SUM(BL15:BL24)+SUM(BL29:BL41)</f>
        <v>22.703354838709679</v>
      </c>
      <c r="BM45" s="1570"/>
      <c r="BN45" s="1184">
        <f>SUM(BJ45:BL45)</f>
        <v>70.110064516129029</v>
      </c>
      <c r="BO45" s="1185">
        <f>SUM(BO15:BO24)+SUM(BO29:BO41)</f>
        <v>140.74499999999998</v>
      </c>
      <c r="BP45" s="1186">
        <f>SUM(BP15:BP24)+SUM(BP29:BP41)</f>
        <v>70.634935483870947</v>
      </c>
      <c r="BR45" s="1184">
        <f>SUM(BR15:BR24)+SUM(BR29:BR41)</f>
        <v>161.804</v>
      </c>
      <c r="BS45" s="1189">
        <f>BR45/$E$45</f>
        <v>5.8283860116430365E-2</v>
      </c>
      <c r="BU45" s="1184">
        <f>SUM(BU15:BU24)+SUM(BU29:BU41)</f>
        <v>761.80399999999997</v>
      </c>
      <c r="BV45" s="1189">
        <f>BU45/$E$45</f>
        <v>0.2744114964533455</v>
      </c>
      <c r="BW45" s="29"/>
      <c r="BY45" s="29"/>
      <c r="BZ45" s="1058"/>
      <c r="CA45" s="1574"/>
      <c r="CB45" s="1574"/>
      <c r="CC45" s="1574"/>
      <c r="CD45" s="1574"/>
      <c r="CE45" s="1574"/>
      <c r="CF45" s="1574"/>
      <c r="CG45" s="1574"/>
      <c r="CH45" s="1060"/>
    </row>
    <row r="46" spans="1:86" s="1565" customFormat="1" ht="4.5" customHeight="1" thickBot="1" x14ac:dyDescent="0.25">
      <c r="E46" s="1570"/>
      <c r="F46" s="1570"/>
      <c r="G46" s="1570"/>
      <c r="H46" s="1570"/>
      <c r="I46" s="1570"/>
      <c r="J46" s="1570"/>
      <c r="K46" s="29"/>
      <c r="L46" s="1391"/>
      <c r="M46" s="29"/>
      <c r="N46" s="1570"/>
      <c r="O46" s="1570"/>
      <c r="P46" s="1570"/>
      <c r="Q46" s="1570"/>
      <c r="R46" s="1570"/>
      <c r="S46" s="1570"/>
      <c r="T46" s="1570"/>
      <c r="U46" s="1570"/>
      <c r="V46" s="1570"/>
      <c r="W46" s="1570"/>
      <c r="X46" s="1570"/>
      <c r="Y46" s="1570"/>
      <c r="Z46" s="1570"/>
      <c r="AA46" s="1570"/>
      <c r="AB46" s="1570"/>
      <c r="AC46" s="1570"/>
      <c r="AD46" s="1570"/>
      <c r="AE46" s="1570"/>
      <c r="AF46" s="1570"/>
      <c r="AG46" s="1570"/>
      <c r="AH46" s="1570"/>
      <c r="AI46" s="1570"/>
      <c r="AJ46" s="1570"/>
      <c r="AK46" s="1570"/>
      <c r="AL46" s="1570"/>
      <c r="AM46" s="1570"/>
      <c r="AN46" s="1570"/>
      <c r="AO46" s="1570"/>
      <c r="AP46" s="1570"/>
      <c r="AQ46" s="1570"/>
      <c r="AR46" s="1570"/>
      <c r="AS46" s="1570"/>
      <c r="AT46" s="1570"/>
      <c r="AU46" s="1570"/>
      <c r="AV46" s="1570"/>
      <c r="AW46" s="1570"/>
      <c r="AX46" s="1570"/>
      <c r="AY46" s="1679"/>
      <c r="AZ46" s="1570"/>
      <c r="BA46" s="1570"/>
      <c r="BB46" s="1570"/>
      <c r="BC46" s="1570"/>
      <c r="BD46" s="1570"/>
      <c r="BE46" s="1570"/>
      <c r="BF46" s="1570"/>
      <c r="BG46" s="1570"/>
      <c r="BH46" s="1570"/>
      <c r="BI46" s="1570"/>
      <c r="BJ46" s="1570"/>
      <c r="BK46" s="1570"/>
      <c r="BL46" s="1570"/>
      <c r="BM46" s="1570"/>
      <c r="BN46" s="1570"/>
      <c r="BO46" s="1570"/>
      <c r="BP46" s="1570"/>
      <c r="BR46" s="1570"/>
      <c r="BS46" s="336"/>
      <c r="BU46" s="1570"/>
      <c r="BV46" s="28"/>
      <c r="BW46" s="28"/>
      <c r="BY46" s="29"/>
      <c r="BZ46" s="1447"/>
      <c r="CA46" s="29"/>
      <c r="CB46" s="1574"/>
      <c r="CC46" s="1574"/>
      <c r="CD46" s="1574"/>
      <c r="CE46" s="1574"/>
      <c r="CF46" s="1574"/>
      <c r="CG46" s="1574"/>
      <c r="CH46" s="1060"/>
    </row>
    <row r="47" spans="1:86" s="255" customFormat="1" ht="15.75" thickBot="1" x14ac:dyDescent="0.25">
      <c r="B47" s="574"/>
      <c r="C47" s="820" t="s">
        <v>150</v>
      </c>
      <c r="D47" s="819"/>
      <c r="E47" s="578">
        <f>E45*100/30</f>
        <v>9253.7911111111116</v>
      </c>
      <c r="F47" s="576">
        <f t="shared" ref="F47:I47" si="169">F45*100/30</f>
        <v>855.04577777777774</v>
      </c>
      <c r="G47" s="576">
        <f t="shared" si="169"/>
        <v>570.03051851851853</v>
      </c>
      <c r="H47" s="576">
        <f t="shared" si="169"/>
        <v>427.52288888888887</v>
      </c>
      <c r="I47" s="576">
        <f t="shared" si="169"/>
        <v>342.01831111111107</v>
      </c>
      <c r="J47" s="576">
        <f>J45*100/30</f>
        <v>298.93949820788532</v>
      </c>
      <c r="K47" s="580">
        <f>E47/E84</f>
        <v>0.47375165674044495</v>
      </c>
      <c r="L47" s="1396"/>
      <c r="M47" s="987"/>
      <c r="N47" s="579">
        <f>N9-N26</f>
        <v>27.286645161290323</v>
      </c>
      <c r="O47" s="578">
        <f>O9-O26</f>
        <v>11.836645161290321</v>
      </c>
      <c r="P47" s="578">
        <f t="shared" ref="P47:R47" si="170">P9-P26</f>
        <v>41.296645161290321</v>
      </c>
      <c r="Q47" s="578">
        <f t="shared" si="170"/>
        <v>11.521645161290323</v>
      </c>
      <c r="R47" s="578">
        <f t="shared" si="170"/>
        <v>18.226645161290321</v>
      </c>
      <c r="S47" s="578">
        <f>S9-S26</f>
        <v>20.116645161290322</v>
      </c>
      <c r="T47" s="788">
        <f>T9-T26</f>
        <v>11.716645161290323</v>
      </c>
      <c r="U47" s="479"/>
      <c r="V47" s="579">
        <f>SUM(N47:T47)</f>
        <v>142.00151612903227</v>
      </c>
      <c r="W47" s="578"/>
      <c r="X47" s="788"/>
      <c r="Y47" s="479"/>
      <c r="Z47" s="579">
        <f>Z9-Z26</f>
        <v>29.296645161290321</v>
      </c>
      <c r="AA47" s="578">
        <f t="shared" ref="AA47:AF47" si="171">AA6-AA45</f>
        <v>2.7616451612903212</v>
      </c>
      <c r="AB47" s="578">
        <f t="shared" si="171"/>
        <v>25.111645161290326</v>
      </c>
      <c r="AC47" s="578">
        <f t="shared" si="171"/>
        <v>20.986645161290326</v>
      </c>
      <c r="AD47" s="578">
        <f t="shared" si="171"/>
        <v>-24.703354838709679</v>
      </c>
      <c r="AE47" s="578">
        <f t="shared" si="171"/>
        <v>26.611645161290326</v>
      </c>
      <c r="AF47" s="788">
        <f t="shared" si="171"/>
        <v>18.091645161290323</v>
      </c>
      <c r="AG47" s="479"/>
      <c r="AH47" s="579">
        <f>SUM(Z47:AF47)</f>
        <v>98.156516129032269</v>
      </c>
      <c r="AI47" s="578"/>
      <c r="AJ47" s="788"/>
      <c r="AK47" s="779"/>
      <c r="AL47" s="579">
        <f t="shared" ref="AL47:AR47" si="172">AL6-AL45</f>
        <v>4.5916451612903231</v>
      </c>
      <c r="AM47" s="576">
        <f t="shared" si="172"/>
        <v>13.636645161290318</v>
      </c>
      <c r="AN47" s="576">
        <f t="shared" si="172"/>
        <v>4.9066451612903208</v>
      </c>
      <c r="AO47" s="576">
        <f t="shared" si="172"/>
        <v>4.9216451612903214</v>
      </c>
      <c r="AP47" s="576">
        <f t="shared" si="172"/>
        <v>-9.6733548387096793</v>
      </c>
      <c r="AQ47" s="576">
        <f t="shared" si="172"/>
        <v>5.326645161290319</v>
      </c>
      <c r="AR47" s="788">
        <f t="shared" si="172"/>
        <v>32.806645161290319</v>
      </c>
      <c r="AS47" s="969"/>
      <c r="AT47" s="579">
        <f>SUM(AL47:AR47)</f>
        <v>56.51651612903224</v>
      </c>
      <c r="AU47" s="578"/>
      <c r="AV47" s="788"/>
      <c r="AW47" s="479"/>
      <c r="AX47" s="579">
        <f t="shared" ref="AX47:BD47" si="173">AX6-AX45</f>
        <v>51.646645161290316</v>
      </c>
      <c r="AY47" s="579">
        <f t="shared" ref="AY47" si="174">AY6-AY45</f>
        <v>14.896645161290323</v>
      </c>
      <c r="AZ47" s="576">
        <f t="shared" si="173"/>
        <v>17.926645161290317</v>
      </c>
      <c r="BA47" s="576">
        <f t="shared" si="173"/>
        <v>28.921645161290321</v>
      </c>
      <c r="BB47" s="576">
        <f t="shared" si="173"/>
        <v>27.181645161290319</v>
      </c>
      <c r="BC47" s="576">
        <f t="shared" si="173"/>
        <v>15.01664516129032</v>
      </c>
      <c r="BD47" s="788">
        <f t="shared" si="173"/>
        <v>14.026645161290318</v>
      </c>
      <c r="BE47" s="479"/>
      <c r="BF47" s="579">
        <f>SUM(AX47:BD47)</f>
        <v>169.61651612903222</v>
      </c>
      <c r="BG47" s="578"/>
      <c r="BH47" s="788"/>
      <c r="BJ47" s="579">
        <f>BJ6-BJ45</f>
        <v>14.026645161290318</v>
      </c>
      <c r="BK47" s="578">
        <f>BK6-BK45</f>
        <v>24.906645161290314</v>
      </c>
      <c r="BL47" s="576">
        <f>BL6-BL45</f>
        <v>31.701645161290315</v>
      </c>
      <c r="BM47" s="990"/>
      <c r="BN47" s="992">
        <f>SUM(BJ47:BL47)</f>
        <v>70.634935483870947</v>
      </c>
      <c r="BO47" s="993"/>
      <c r="BP47" s="788"/>
      <c r="BQ47" s="1568"/>
      <c r="BR47" s="992">
        <f>SUM(N47:T47)+SUM(Z47:AF47)+SUM(AL47:AR47)+SUM(AX47:BD47)+SUM(BJ47:BL47)</f>
        <v>536.92599999999993</v>
      </c>
      <c r="BS47" s="580"/>
      <c r="BU47" s="81"/>
      <c r="BV47" s="81"/>
      <c r="BY47" s="62"/>
      <c r="BZ47" s="1028"/>
      <c r="CA47" s="411" t="s">
        <v>155</v>
      </c>
      <c r="CB47" s="62" t="s">
        <v>156</v>
      </c>
      <c r="CC47" s="81"/>
      <c r="CD47" s="81"/>
      <c r="CE47" s="81"/>
      <c r="CF47" s="81"/>
      <c r="CG47" s="81"/>
      <c r="CH47" s="1029"/>
    </row>
    <row r="48" spans="1:86" s="1565" customFormat="1" ht="15" customHeight="1" thickBot="1" x14ac:dyDescent="0.25">
      <c r="C48" s="1565" t="s">
        <v>191</v>
      </c>
      <c r="E48" s="1570"/>
      <c r="F48" s="1570"/>
      <c r="G48" s="1570"/>
      <c r="H48" s="1570"/>
      <c r="I48" s="1570"/>
      <c r="J48" s="1570"/>
      <c r="K48" s="28"/>
      <c r="L48" s="1398"/>
      <c r="M48" s="28"/>
      <c r="N48" s="1570"/>
      <c r="O48" s="1570"/>
      <c r="P48" s="1570"/>
      <c r="Q48" s="1570"/>
      <c r="R48" s="1570"/>
      <c r="S48" s="1570"/>
      <c r="T48" s="1570"/>
      <c r="U48" s="1570"/>
      <c r="V48" s="1570"/>
      <c r="W48" s="1570"/>
      <c r="X48" s="1570"/>
      <c r="Y48" s="1570"/>
      <c r="Z48" s="1570"/>
      <c r="AA48" s="1570"/>
      <c r="AB48" s="1570"/>
      <c r="AC48" s="1570"/>
      <c r="AD48" s="1570"/>
      <c r="AE48" s="1570"/>
      <c r="AF48" s="1570"/>
      <c r="AG48" s="1570"/>
      <c r="AH48" s="1570"/>
      <c r="AI48" s="1570"/>
      <c r="AJ48" s="1570"/>
      <c r="AK48" s="1570"/>
      <c r="AL48" s="1570"/>
      <c r="AM48" s="1570"/>
      <c r="AN48" s="1570"/>
      <c r="AO48" s="1570"/>
      <c r="AP48" s="1570"/>
      <c r="AQ48" s="1570"/>
      <c r="AR48" s="1570"/>
      <c r="AS48" s="1570"/>
      <c r="AT48" s="1570"/>
      <c r="AU48" s="1570"/>
      <c r="AV48" s="1570"/>
      <c r="AW48" s="1570"/>
      <c r="AX48" s="1570"/>
      <c r="AY48" s="1679"/>
      <c r="AZ48" s="1570"/>
      <c r="BA48" s="1570"/>
      <c r="BB48" s="1570"/>
      <c r="BC48" s="1570"/>
      <c r="BD48" s="1570"/>
      <c r="BE48" s="1570"/>
      <c r="BF48" s="1570"/>
      <c r="BG48" s="1570"/>
      <c r="BH48" s="1570"/>
      <c r="BI48" s="1570"/>
      <c r="BJ48" s="1570"/>
      <c r="BK48" s="1570"/>
      <c r="BL48" s="1570"/>
      <c r="BM48" s="1570"/>
      <c r="BN48" s="1570"/>
      <c r="BO48" s="1570"/>
      <c r="BP48" s="1570"/>
      <c r="BQ48" s="1570"/>
      <c r="BR48" s="1570"/>
      <c r="BS48" s="336"/>
      <c r="BU48" s="4531" t="s">
        <v>99</v>
      </c>
      <c r="BV48" s="4531"/>
      <c r="BW48" s="1570"/>
      <c r="BY48" s="29"/>
      <c r="BZ48" s="1036" t="s">
        <v>159</v>
      </c>
      <c r="CA48" s="1198">
        <v>0.5</v>
      </c>
      <c r="CB48" s="1199" t="str">
        <f>IF(CB43&lt;=CA48,CB43," ")</f>
        <v xml:space="preserve"> </v>
      </c>
      <c r="CC48" s="1574"/>
      <c r="CD48" s="1574"/>
      <c r="CE48" s="1574"/>
      <c r="CF48" s="1574"/>
      <c r="CG48" s="1574"/>
      <c r="CH48" s="1060"/>
    </row>
    <row r="49" spans="1:86" s="255" customFormat="1" x14ac:dyDescent="0.2">
      <c r="A49" s="426"/>
      <c r="B49" s="718">
        <v>24</v>
      </c>
      <c r="C49" s="1601" t="s">
        <v>38</v>
      </c>
      <c r="D49" s="819"/>
      <c r="E49" s="818">
        <v>200</v>
      </c>
      <c r="F49" s="720">
        <f t="shared" ref="F49" si="175">E49/10</f>
        <v>20</v>
      </c>
      <c r="G49" s="720">
        <f t="shared" ref="G49" si="176">E49/15</f>
        <v>13.333333333333334</v>
      </c>
      <c r="H49" s="720">
        <f t="shared" ref="H49" si="177">E49/20</f>
        <v>10</v>
      </c>
      <c r="I49" s="720">
        <f t="shared" ref="I49" si="178">E49/25</f>
        <v>8</v>
      </c>
      <c r="J49" s="721">
        <f>E49/31</f>
        <v>6.4516129032258061</v>
      </c>
      <c r="K49" s="1456">
        <f>E49/$E$56</f>
        <v>0.49488291070332757</v>
      </c>
      <c r="L49" s="1399"/>
      <c r="M49" s="492"/>
      <c r="N49" s="725">
        <f>IF(N47&gt;$J$56,$J$49,IF(N47&lt;$J$56,(IF(N47&lt;0,0,N47*$K$49))))</f>
        <v>6.4516129032258061</v>
      </c>
      <c r="O49" s="723">
        <f t="shared" ref="O49:T49" si="179">IF(O47&gt;$J$56,$J$49,IF(O47&lt;$J$56,(IF(O47&lt;0,0,O47*$K$49))))</f>
        <v>5.8577534103818119</v>
      </c>
      <c r="P49" s="723">
        <f t="shared" si="179"/>
        <v>6.4516129032258061</v>
      </c>
      <c r="Q49" s="723">
        <f t="shared" si="179"/>
        <v>5.7018652935102647</v>
      </c>
      <c r="R49" s="723">
        <f t="shared" si="179"/>
        <v>6.4516129032258061</v>
      </c>
      <c r="S49" s="723">
        <f t="shared" si="179"/>
        <v>6.4516129032258061</v>
      </c>
      <c r="T49" s="787">
        <f t="shared" si="179"/>
        <v>5.7983674610974143</v>
      </c>
      <c r="U49" s="479"/>
      <c r="V49" s="725">
        <f t="shared" si="56"/>
        <v>43.164437777892722</v>
      </c>
      <c r="W49" s="723">
        <f>$J$49*7</f>
        <v>45.161290322580641</v>
      </c>
      <c r="X49" s="784">
        <f>V49-W49</f>
        <v>-1.9968525446879184</v>
      </c>
      <c r="Y49" s="479"/>
      <c r="Z49" s="725">
        <f t="shared" ref="Z49:AF49" si="180">IF(Z47&gt;$J$56,$J$49,IF(Z47&lt;$J$56,(IF(Z47&lt;0,0,Z47*$K$49))))</f>
        <v>6.4516129032258061</v>
      </c>
      <c r="AA49" s="723">
        <f t="shared" si="180"/>
        <v>1.3666909957491147</v>
      </c>
      <c r="AB49" s="723">
        <f t="shared" si="180"/>
        <v>6.4516129032258061</v>
      </c>
      <c r="AC49" s="723">
        <f t="shared" ref="AC49" si="181">IF(AC47&gt;$J$56,$J$49,IF(AC47&lt;$J$56,(IF(AC47&lt;0,0,AC47*$K$49))))</f>
        <v>6.4516129032258061</v>
      </c>
      <c r="AD49" s="723">
        <f t="shared" si="180"/>
        <v>0</v>
      </c>
      <c r="AE49" s="723">
        <f t="shared" ref="AE49" si="182">IF(AE47&gt;$J$56,$J$49,IF(AE47&lt;$J$56,(IF(AE47&lt;0,0,AE47*$K$49))))</f>
        <v>6.4516129032258061</v>
      </c>
      <c r="AF49" s="787">
        <f t="shared" si="180"/>
        <v>6.4516129032258061</v>
      </c>
      <c r="AG49" s="479"/>
      <c r="AH49" s="725">
        <f>SUM(Z49:AF49)</f>
        <v>33.624755511878149</v>
      </c>
      <c r="AI49" s="723">
        <f>$J$49*7</f>
        <v>45.161290322580641</v>
      </c>
      <c r="AJ49" s="784">
        <f>AH49-AI49</f>
        <v>-11.536534810702491</v>
      </c>
      <c r="AK49" s="479"/>
      <c r="AL49" s="725">
        <f t="shared" ref="AL49:AR49" si="183">IF(AL47&gt;$J$56,$J$49,IF(AL47&lt;$J$56,(IF(AL47&lt;0,0,AL47*$K$49))))</f>
        <v>2.2723267223362051</v>
      </c>
      <c r="AM49" s="721">
        <f t="shared" ref="AM49" si="184">IF(AM47&gt;$J$56,$J$49,IF(AM47&lt;$J$56,(IF(AM47&lt;0,0,AM47*$K$49))))</f>
        <v>6.4516129032258061</v>
      </c>
      <c r="AN49" s="721">
        <f t="shared" si="183"/>
        <v>2.4282148392077523</v>
      </c>
      <c r="AO49" s="721">
        <f t="shared" si="183"/>
        <v>2.4356380828683024</v>
      </c>
      <c r="AP49" s="721">
        <f t="shared" si="183"/>
        <v>0</v>
      </c>
      <c r="AQ49" s="721">
        <f t="shared" si="183"/>
        <v>2.6360656617031486</v>
      </c>
      <c r="AR49" s="787">
        <f t="shared" si="183"/>
        <v>6.4516129032258061</v>
      </c>
      <c r="AS49" s="479"/>
      <c r="AT49" s="725">
        <f>SUM(AL49:AR49)</f>
        <v>22.675471112567024</v>
      </c>
      <c r="AU49" s="723">
        <f>$J$49*7</f>
        <v>45.161290322580641</v>
      </c>
      <c r="AV49" s="784">
        <f>AT49-AU49</f>
        <v>-22.485819210013616</v>
      </c>
      <c r="AW49" s="479"/>
      <c r="AX49" s="725">
        <f t="shared" ref="AX49:BD49" si="185">IF(AX47&gt;$J$56,$J$49,IF(AX47&lt;$J$56,(IF(AX47&lt;0,0,AX47*$K$49))))</f>
        <v>6.4516129032258061</v>
      </c>
      <c r="AY49" s="723">
        <f t="shared" ref="AY49:AZ49" si="186">IF(AY47&gt;$J$56,$J$49,IF(AY47&lt;$J$56,(IF(AY47&lt;0,0,AY47*$K$49))))</f>
        <v>6.4516129032258061</v>
      </c>
      <c r="AZ49" s="723">
        <f t="shared" si="186"/>
        <v>6.4516129032258061</v>
      </c>
      <c r="BA49" s="721">
        <f t="shared" si="185"/>
        <v>6.4516129032258061</v>
      </c>
      <c r="BB49" s="721">
        <f t="shared" si="185"/>
        <v>6.4516129032258061</v>
      </c>
      <c r="BC49" s="721">
        <f t="shared" si="185"/>
        <v>6.4516129032258061</v>
      </c>
      <c r="BD49" s="787">
        <f t="shared" si="185"/>
        <v>6.4516129032258061</v>
      </c>
      <c r="BE49" s="479"/>
      <c r="BF49" s="725">
        <f>SUM(AX49:BD49)</f>
        <v>45.161290322580648</v>
      </c>
      <c r="BG49" s="723">
        <f>$J$49*7</f>
        <v>45.161290322580641</v>
      </c>
      <c r="BH49" s="784">
        <f>BF49-BG49</f>
        <v>0</v>
      </c>
      <c r="BI49" s="479"/>
      <c r="BJ49" s="725">
        <f t="shared" ref="BJ49:BL49" si="187">IF(BJ47&gt;$J$56,$J$49,IF(BJ47&lt;$J$56,(IF(BJ47&lt;0,0,BJ47*$K$49))))</f>
        <v>6.4516129032258061</v>
      </c>
      <c r="BK49" s="721">
        <f t="shared" si="187"/>
        <v>6.4516129032258061</v>
      </c>
      <c r="BL49" s="787">
        <f t="shared" si="187"/>
        <v>6.4516129032258061</v>
      </c>
      <c r="BM49" s="479"/>
      <c r="BN49" s="725">
        <f t="shared" ref="BN49:BN54" si="188">SUM(BJ49:BL49)</f>
        <v>19.354838709677416</v>
      </c>
      <c r="BO49" s="723">
        <f>$J$49*3</f>
        <v>19.354838709677416</v>
      </c>
      <c r="BP49" s="784">
        <f>BN49-BO49</f>
        <v>0</v>
      </c>
      <c r="BR49" s="1717">
        <f t="shared" ref="BR49:BR55" si="189">E49</f>
        <v>200</v>
      </c>
      <c r="BS49" s="726"/>
      <c r="BU49" s="725">
        <f>SUM(N49:T49)+SUM(Z49:AF49)+SUM(AL49:AR49)+SUM(AX49:BD49)+SUM(BJ49:BL49)</f>
        <v>163.98079343459597</v>
      </c>
      <c r="BV49" s="727">
        <f>BU49/E49</f>
        <v>0.81990396717297986</v>
      </c>
      <c r="BW49" s="4498">
        <f>BV56-BU1</f>
        <v>-0.18009603282702047</v>
      </c>
      <c r="BY49" s="4505"/>
      <c r="BZ49" s="1458" t="s">
        <v>160</v>
      </c>
      <c r="CA49" s="1457">
        <v>0.75</v>
      </c>
      <c r="CB49" s="1458" t="str">
        <f>IF(AND(CB43&gt;CA48,CB43&lt;=CA49),CB43," ")</f>
        <v xml:space="preserve"> </v>
      </c>
      <c r="CC49" s="81"/>
      <c r="CD49" s="81"/>
      <c r="CE49" s="81"/>
      <c r="CF49" s="81"/>
      <c r="CG49" s="81"/>
      <c r="CH49" s="1029"/>
    </row>
    <row r="50" spans="1:86" x14ac:dyDescent="0.2">
      <c r="B50" s="464">
        <v>25</v>
      </c>
      <c r="C50" s="1596" t="s">
        <v>115</v>
      </c>
      <c r="D50" s="1094"/>
      <c r="E50" s="453">
        <v>85</v>
      </c>
      <c r="F50" s="424">
        <f>E50/10</f>
        <v>8.5</v>
      </c>
      <c r="G50" s="424">
        <f>E50/15</f>
        <v>5.666666666666667</v>
      </c>
      <c r="H50" s="424">
        <f>E50/20</f>
        <v>4.25</v>
      </c>
      <c r="I50" s="424">
        <f>E50/25</f>
        <v>3.4</v>
      </c>
      <c r="J50" s="424">
        <f t="shared" ref="J50:J66" si="190">E50/31</f>
        <v>2.7419354838709675</v>
      </c>
      <c r="K50" s="1403">
        <f t="shared" ref="K50:K55" si="191">E50/$E$56</f>
        <v>0.2103252370489142</v>
      </c>
      <c r="L50" s="1398"/>
      <c r="M50" s="491"/>
      <c r="N50" s="459">
        <f>IF(N47&gt;$J$56,$J$50,IF(N47&lt;$J$56,(IF(N47&lt;0,0,N47*$K$50))))</f>
        <v>2.7419354838709675</v>
      </c>
      <c r="O50" s="453">
        <f t="shared" ref="O50:T50" si="192">IF(O47&gt;$J$56,$J$50,IF(O47&lt;$J$56,(IF(O47&lt;0,0,O47*$K$50))))</f>
        <v>2.4895451994122699</v>
      </c>
      <c r="P50" s="453">
        <f t="shared" si="192"/>
        <v>2.7419354838709675</v>
      </c>
      <c r="Q50" s="453">
        <f t="shared" si="192"/>
        <v>2.4232927497418624</v>
      </c>
      <c r="R50" s="453">
        <f t="shared" si="192"/>
        <v>2.7419354838709675</v>
      </c>
      <c r="S50" s="453">
        <f t="shared" si="192"/>
        <v>2.7419354838709675</v>
      </c>
      <c r="T50" s="465">
        <f t="shared" si="192"/>
        <v>2.4643061709664007</v>
      </c>
      <c r="U50" s="481"/>
      <c r="V50" s="459">
        <f t="shared" si="56"/>
        <v>18.344886055604405</v>
      </c>
      <c r="W50" s="453">
        <f>$J$50*7</f>
        <v>19.193548387096772</v>
      </c>
      <c r="X50" s="1454">
        <f t="shared" ref="X50:X66" si="193">V50-W50</f>
        <v>-0.84866233149236692</v>
      </c>
      <c r="Y50" s="481"/>
      <c r="Z50" s="459">
        <f t="shared" ref="Z50:AF50" si="194">IF(Z47&gt;$J$56,$J$50,IF(Z47&lt;$J$56,(IF(Z47&lt;0,0,Z47*$K$50))))</f>
        <v>2.7419354838709675</v>
      </c>
      <c r="AA50" s="453">
        <f t="shared" si="194"/>
        <v>0.58084367319337371</v>
      </c>
      <c r="AB50" s="453">
        <f t="shared" si="194"/>
        <v>2.7419354838709675</v>
      </c>
      <c r="AC50" s="453">
        <f t="shared" ref="AC50" si="195">IF(AC47&gt;$J$56,$J$50,IF(AC47&lt;$J$56,(IF(AC47&lt;0,0,AC47*$K$50))))</f>
        <v>2.7419354838709675</v>
      </c>
      <c r="AD50" s="453">
        <f t="shared" si="194"/>
        <v>0</v>
      </c>
      <c r="AE50" s="453">
        <f t="shared" ref="AE50" si="196">IF(AE47&gt;$J$56,$J$50,IF(AE47&lt;$J$56,(IF(AE47&lt;0,0,AE47*$K$50))))</f>
        <v>2.7419354838709675</v>
      </c>
      <c r="AF50" s="465">
        <f t="shared" si="194"/>
        <v>2.7419354838709675</v>
      </c>
      <c r="AG50" s="481"/>
      <c r="AH50" s="459">
        <f t="shared" ref="AH50:AH66" si="197">SUM(Z50:AF50)</f>
        <v>14.290521092548213</v>
      </c>
      <c r="AI50" s="453">
        <f>$J$50*7</f>
        <v>19.193548387096772</v>
      </c>
      <c r="AJ50" s="1454">
        <f t="shared" ref="AJ50:AJ66" si="198">AH50-AI50</f>
        <v>-4.9030272945485596</v>
      </c>
      <c r="AK50" s="481"/>
      <c r="AL50" s="459">
        <f t="shared" ref="AL50:AR50" si="199">IF(AL47&gt;$J$56,$J$50,IF(AL47&lt;$J$56,(IF(AL47&lt;0,0,AL47*$K$50))))</f>
        <v>0.96573885699288708</v>
      </c>
      <c r="AM50" s="424">
        <f t="shared" ref="AM50" si="200">IF(AM47&gt;$J$56,$J$50,IF(AM47&lt;$J$56,(IF(AM47&lt;0,0,AM47*$K$50))))</f>
        <v>2.7419354838709675</v>
      </c>
      <c r="AN50" s="424">
        <f t="shared" si="199"/>
        <v>1.0319913066632946</v>
      </c>
      <c r="AO50" s="424">
        <f t="shared" si="199"/>
        <v>1.0351461852190285</v>
      </c>
      <c r="AP50" s="424">
        <f t="shared" si="199"/>
        <v>0</v>
      </c>
      <c r="AQ50" s="424">
        <f t="shared" si="199"/>
        <v>1.1203279062238383</v>
      </c>
      <c r="AR50" s="465">
        <f t="shared" si="199"/>
        <v>2.7419354838709675</v>
      </c>
      <c r="AS50" s="481"/>
      <c r="AT50" s="459">
        <f t="shared" ref="AT50:AT55" si="201">SUM(AL50:AR50)</f>
        <v>9.6370752228409842</v>
      </c>
      <c r="AU50" s="453">
        <f>$J$50*7</f>
        <v>19.193548387096772</v>
      </c>
      <c r="AV50" s="1454">
        <f t="shared" ref="AV50:AV55" si="202">AT50-AU50</f>
        <v>-9.5564731642557881</v>
      </c>
      <c r="AW50" s="481"/>
      <c r="AX50" s="459">
        <f t="shared" ref="AX50:BD50" si="203">IF(AX47&gt;$J$56,$J$50,IF(AX47&lt;$J$56,(IF(AX47&lt;0,0,AX47*$K$50))))</f>
        <v>2.7419354838709675</v>
      </c>
      <c r="AY50" s="453">
        <f t="shared" ref="AY50:AZ50" si="204">IF(AY47&gt;$J$56,$J$50,IF(AY47&lt;$J$56,(IF(AY47&lt;0,0,AY47*$K$50))))</f>
        <v>2.7419354838709675</v>
      </c>
      <c r="AZ50" s="453">
        <f t="shared" si="204"/>
        <v>2.7419354838709675</v>
      </c>
      <c r="BA50" s="424">
        <f t="shared" si="203"/>
        <v>2.7419354838709675</v>
      </c>
      <c r="BB50" s="424">
        <f t="shared" si="203"/>
        <v>2.7419354838709675</v>
      </c>
      <c r="BC50" s="424">
        <f t="shared" si="203"/>
        <v>2.7419354838709675</v>
      </c>
      <c r="BD50" s="465">
        <f t="shared" si="203"/>
        <v>2.7419354838709675</v>
      </c>
      <c r="BE50" s="481"/>
      <c r="BF50" s="459">
        <f t="shared" ref="BF50:BF55" si="205">SUM(AX50:BD50)</f>
        <v>19.193548387096772</v>
      </c>
      <c r="BG50" s="453">
        <f>$J$50*7</f>
        <v>19.193548387096772</v>
      </c>
      <c r="BH50" s="1454">
        <f t="shared" ref="BH50:BH55" si="206">BF50-BG50</f>
        <v>0</v>
      </c>
      <c r="BI50" s="481"/>
      <c r="BJ50" s="459">
        <f t="shared" ref="BJ50:BL50" si="207">IF(BJ47&gt;$J$56,$J$50,IF(BJ47&lt;$J$56,(IF(BJ47&lt;0,0,BJ47*$K$50))))</f>
        <v>2.7419354838709675</v>
      </c>
      <c r="BK50" s="424">
        <f t="shared" si="207"/>
        <v>2.7419354838709675</v>
      </c>
      <c r="BL50" s="465">
        <f t="shared" si="207"/>
        <v>2.7419354838709675</v>
      </c>
      <c r="BM50" s="481"/>
      <c r="BN50" s="459">
        <f t="shared" si="188"/>
        <v>8.2258064516129021</v>
      </c>
      <c r="BO50" s="453">
        <f>$J$50*3</f>
        <v>8.2258064516129021</v>
      </c>
      <c r="BP50" s="1454">
        <f t="shared" ref="BP50:BP54" si="208">BN50-BO50</f>
        <v>0</v>
      </c>
      <c r="BR50" s="1212">
        <f t="shared" si="189"/>
        <v>85</v>
      </c>
      <c r="BS50" s="461"/>
      <c r="BU50" s="459">
        <f t="shared" ref="BU50:BU66" si="209">SUM(N50:T50)+SUM(Z50:AF50)+SUM(AL50:AR50)+SUM(AX50:BD50)+SUM(BJ50:BL50)</f>
        <v>69.691837209703266</v>
      </c>
      <c r="BV50" s="486">
        <f t="shared" ref="BV50:BV66" si="210">BU50/E50</f>
        <v>0.81990396717297964</v>
      </c>
      <c r="BW50" s="4499"/>
      <c r="BY50" s="4515"/>
      <c r="BZ50" s="1200" t="s">
        <v>161</v>
      </c>
      <c r="CA50" s="1459">
        <v>1</v>
      </c>
      <c r="CB50" s="1460">
        <f>IF(CB43&gt;CA49,CB43," ")</f>
        <v>1</v>
      </c>
      <c r="CC50" s="1574"/>
      <c r="CD50" s="1574"/>
      <c r="CE50" s="1574"/>
      <c r="CF50" s="1574"/>
      <c r="CG50" s="1574"/>
      <c r="CH50" s="1060"/>
    </row>
    <row r="51" spans="1:86" s="255" customFormat="1" x14ac:dyDescent="0.2">
      <c r="B51" s="462">
        <v>26</v>
      </c>
      <c r="C51" s="1595" t="s">
        <v>117</v>
      </c>
      <c r="D51" s="819"/>
      <c r="E51" s="445">
        <v>37</v>
      </c>
      <c r="F51" s="451">
        <f t="shared" ref="F51:F66" si="211">E51/10</f>
        <v>3.7</v>
      </c>
      <c r="G51" s="451">
        <f t="shared" ref="G51:G66" si="212">E51/15</f>
        <v>2.4666666666666668</v>
      </c>
      <c r="H51" s="451">
        <f t="shared" ref="H51:H66" si="213">E51/20</f>
        <v>1.85</v>
      </c>
      <c r="I51" s="451">
        <f t="shared" ref="I51:I66" si="214">E51/25</f>
        <v>1.48</v>
      </c>
      <c r="J51" s="451">
        <f t="shared" si="190"/>
        <v>1.1935483870967742</v>
      </c>
      <c r="K51" s="1402">
        <f t="shared" si="191"/>
        <v>9.1553338480115598E-2</v>
      </c>
      <c r="L51" s="1399"/>
      <c r="M51" s="492"/>
      <c r="N51" s="458">
        <f>IF(N47&gt;$J$56,$J$51,IF(N47&lt;$J$56,(IF(N47&lt;0,0,N47*$K$51))))</f>
        <v>1.1935483870967742</v>
      </c>
      <c r="O51" s="445">
        <f t="shared" ref="O51:T51" si="215">IF(O47&gt;$J$56,$J$51,IF(O47&lt;$J$56,(IF(O47&lt;0,0,O47*$K$51))))</f>
        <v>1.0836843809206351</v>
      </c>
      <c r="P51" s="445">
        <f t="shared" si="215"/>
        <v>1.1935483870967742</v>
      </c>
      <c r="Q51" s="445">
        <f t="shared" si="215"/>
        <v>1.0548450792993991</v>
      </c>
      <c r="R51" s="445">
        <f t="shared" si="215"/>
        <v>1.1935483870967742</v>
      </c>
      <c r="S51" s="445">
        <f t="shared" si="215"/>
        <v>1.1935483870967742</v>
      </c>
      <c r="T51" s="463">
        <f t="shared" si="215"/>
        <v>1.0726979803030217</v>
      </c>
      <c r="U51" s="479"/>
      <c r="V51" s="458">
        <f t="shared" si="56"/>
        <v>7.9854209889101524</v>
      </c>
      <c r="W51" s="451">
        <f>$J$51*7</f>
        <v>8.3548387096774199</v>
      </c>
      <c r="X51" s="463">
        <f t="shared" si="193"/>
        <v>-0.36941772076726753</v>
      </c>
      <c r="Y51" s="479"/>
      <c r="Z51" s="458">
        <f t="shared" ref="Z51:AF51" si="216">IF(Z47&gt;$J$56,$J$51,IF(Z47&lt;$J$56,(IF(Z47&lt;0,0,Z47*$K$51))))</f>
        <v>1.1935483870967742</v>
      </c>
      <c r="AA51" s="451">
        <f t="shared" si="216"/>
        <v>0.25283783421358619</v>
      </c>
      <c r="AB51" s="451">
        <f t="shared" si="216"/>
        <v>1.1935483870967742</v>
      </c>
      <c r="AC51" s="451">
        <f t="shared" ref="AC51" si="217">IF(AC47&gt;$J$56,$J$51,IF(AC47&lt;$J$56,(IF(AC47&lt;0,0,AC47*$K$51))))</f>
        <v>1.1935483870967742</v>
      </c>
      <c r="AD51" s="451">
        <f t="shared" si="216"/>
        <v>0</v>
      </c>
      <c r="AE51" s="451">
        <f t="shared" ref="AE51" si="218">IF(AE47&gt;$J$56,$J$51,IF(AE47&lt;$J$56,(IF(AE47&lt;0,0,AE47*$K$51))))</f>
        <v>1.1935483870967742</v>
      </c>
      <c r="AF51" s="463">
        <f t="shared" si="216"/>
        <v>1.1935483870967742</v>
      </c>
      <c r="AG51" s="479"/>
      <c r="AH51" s="458">
        <f t="shared" si="197"/>
        <v>6.2205797696974567</v>
      </c>
      <c r="AI51" s="451">
        <f>$J$51*7</f>
        <v>8.3548387096774199</v>
      </c>
      <c r="AJ51" s="463">
        <f t="shared" si="198"/>
        <v>-2.1342589399799632</v>
      </c>
      <c r="AK51" s="479"/>
      <c r="AL51" s="458">
        <f t="shared" ref="AL51:AR51" si="219">IF(AL47&gt;$J$56,$J$51,IF(AL47&lt;$J$56,(IF(AL47&lt;0,0,AL47*$K$51))))</f>
        <v>0.42038044363219795</v>
      </c>
      <c r="AM51" s="451">
        <f t="shared" ref="AM51" si="220">IF(AM47&gt;$J$56,$J$51,IF(AM47&lt;$J$56,(IF(AM47&lt;0,0,AM47*$K$51))))</f>
        <v>1.1935483870967742</v>
      </c>
      <c r="AN51" s="451">
        <f t="shared" si="219"/>
        <v>0.44921974525343411</v>
      </c>
      <c r="AO51" s="451">
        <f t="shared" si="219"/>
        <v>0.45059304533063593</v>
      </c>
      <c r="AP51" s="451">
        <f t="shared" si="219"/>
        <v>0</v>
      </c>
      <c r="AQ51" s="451">
        <f t="shared" si="219"/>
        <v>0.48767214741508252</v>
      </c>
      <c r="AR51" s="463">
        <f t="shared" si="219"/>
        <v>1.1935483870967742</v>
      </c>
      <c r="AS51" s="479"/>
      <c r="AT51" s="458">
        <f t="shared" si="201"/>
        <v>4.1949621558248991</v>
      </c>
      <c r="AU51" s="451">
        <f>$J$51*7</f>
        <v>8.3548387096774199</v>
      </c>
      <c r="AV51" s="463">
        <f t="shared" si="202"/>
        <v>-4.1598765538525209</v>
      </c>
      <c r="AW51" s="479"/>
      <c r="AX51" s="458">
        <f t="shared" ref="AX51:BD51" si="221">IF(AX47&gt;$J$56,$J$51,IF(AX47&lt;$J$56,(IF(AX47&lt;0,0,AX47*$K$51))))</f>
        <v>1.1935483870967742</v>
      </c>
      <c r="AY51" s="445">
        <f t="shared" ref="AY51:AZ51" si="222">IF(AY47&gt;$J$56,$J$51,IF(AY47&lt;$J$56,(IF(AY47&lt;0,0,AY47*$K$51))))</f>
        <v>1.1935483870967742</v>
      </c>
      <c r="AZ51" s="445">
        <f t="shared" si="222"/>
        <v>1.1935483870967742</v>
      </c>
      <c r="BA51" s="451">
        <f t="shared" si="221"/>
        <v>1.1935483870967742</v>
      </c>
      <c r="BB51" s="451">
        <f t="shared" si="221"/>
        <v>1.1935483870967742</v>
      </c>
      <c r="BC51" s="451">
        <f t="shared" si="221"/>
        <v>1.1935483870967742</v>
      </c>
      <c r="BD51" s="463">
        <f t="shared" si="221"/>
        <v>1.1935483870967742</v>
      </c>
      <c r="BE51" s="479"/>
      <c r="BF51" s="458">
        <f t="shared" si="205"/>
        <v>8.3548387096774199</v>
      </c>
      <c r="BG51" s="451">
        <f>$J$51*7</f>
        <v>8.3548387096774199</v>
      </c>
      <c r="BH51" s="463">
        <f t="shared" si="206"/>
        <v>0</v>
      </c>
      <c r="BI51" s="479"/>
      <c r="BJ51" s="458">
        <f t="shared" ref="BJ51:BL51" si="223">IF(BJ47&gt;$J$56,$J$51,IF(BJ47&lt;$J$56,(IF(BJ47&lt;0,0,BJ47*$K$51))))</f>
        <v>1.1935483870967742</v>
      </c>
      <c r="BK51" s="451">
        <f t="shared" si="223"/>
        <v>1.1935483870967742</v>
      </c>
      <c r="BL51" s="463">
        <f t="shared" si="223"/>
        <v>1.1935483870967742</v>
      </c>
      <c r="BM51" s="479"/>
      <c r="BN51" s="458">
        <f t="shared" si="188"/>
        <v>3.580645161290323</v>
      </c>
      <c r="BO51" s="451">
        <f>$J$51*3</f>
        <v>3.580645161290323</v>
      </c>
      <c r="BP51" s="463">
        <f t="shared" si="208"/>
        <v>0</v>
      </c>
      <c r="BR51" s="1716">
        <f t="shared" si="189"/>
        <v>37</v>
      </c>
      <c r="BS51" s="733"/>
      <c r="BU51" s="732">
        <f t="shared" si="209"/>
        <v>30.336446785400252</v>
      </c>
      <c r="BV51" s="734">
        <f t="shared" si="210"/>
        <v>0.81990396717297975</v>
      </c>
      <c r="BW51" s="4499"/>
      <c r="BY51" s="4515"/>
      <c r="BZ51" s="62"/>
      <c r="CA51" s="411" t="s">
        <v>158</v>
      </c>
      <c r="CB51" s="1033">
        <f>MAX(100%,CB43)-CB43</f>
        <v>0</v>
      </c>
      <c r="CC51" s="81"/>
      <c r="CD51" s="81"/>
      <c r="CE51" s="81"/>
      <c r="CF51" s="81"/>
      <c r="CG51" s="81"/>
      <c r="CH51" s="1029"/>
    </row>
    <row r="52" spans="1:86" x14ac:dyDescent="0.2">
      <c r="A52" s="432"/>
      <c r="B52" s="464">
        <v>27</v>
      </c>
      <c r="C52" s="1596" t="s">
        <v>118</v>
      </c>
      <c r="D52" s="1094"/>
      <c r="E52" s="453">
        <v>27.635999999999999</v>
      </c>
      <c r="F52" s="424">
        <f t="shared" si="211"/>
        <v>2.7635999999999998</v>
      </c>
      <c r="G52" s="424">
        <f t="shared" si="212"/>
        <v>1.8424</v>
      </c>
      <c r="H52" s="424">
        <f t="shared" si="213"/>
        <v>1.3817999999999999</v>
      </c>
      <c r="I52" s="424">
        <f t="shared" si="214"/>
        <v>1.10544</v>
      </c>
      <c r="J52" s="424">
        <f t="shared" si="190"/>
        <v>0.89148387096774195</v>
      </c>
      <c r="K52" s="1403">
        <f t="shared" si="191"/>
        <v>6.8382920600985803E-2</v>
      </c>
      <c r="L52" s="1398"/>
      <c r="M52" s="491"/>
      <c r="N52" s="459">
        <f>IF(N47&gt;$J$56,$J$52,IF(N47&lt;$J$56,(IF(N47&lt;0,0,N47*$K$52))))</f>
        <v>0.89148387096774195</v>
      </c>
      <c r="O52" s="453">
        <f t="shared" ref="O52:T52" si="224">IF(O47&gt;$J$56,$J$52,IF(O47&lt;$J$56,(IF(O47&lt;0,0,O47*$K$52))))</f>
        <v>0.80942436624655878</v>
      </c>
      <c r="P52" s="453">
        <f t="shared" si="224"/>
        <v>0.89148387096774195</v>
      </c>
      <c r="Q52" s="453">
        <f t="shared" si="224"/>
        <v>0.78788374625724844</v>
      </c>
      <c r="R52" s="453">
        <f t="shared" si="224"/>
        <v>0.89148387096774195</v>
      </c>
      <c r="S52" s="453">
        <f t="shared" si="224"/>
        <v>0.89148387096774195</v>
      </c>
      <c r="T52" s="465">
        <f t="shared" si="224"/>
        <v>0.80121841577444064</v>
      </c>
      <c r="U52" s="481"/>
      <c r="V52" s="459">
        <f t="shared" si="56"/>
        <v>5.964462012149216</v>
      </c>
      <c r="W52" s="424">
        <f>$J$52*7</f>
        <v>6.2403870967741941</v>
      </c>
      <c r="X52" s="465">
        <f t="shared" si="193"/>
        <v>-0.27592508462497811</v>
      </c>
      <c r="Y52" s="481"/>
      <c r="Z52" s="459">
        <f t="shared" ref="Z52:AF52" si="225">IF(Z47&gt;$J$56,$J$52,IF(Z47&lt;$J$56,(IF(Z47&lt;0,0,Z47*$K$52))))</f>
        <v>0.89148387096774195</v>
      </c>
      <c r="AA52" s="424">
        <f t="shared" si="225"/>
        <v>0.18884936179261266</v>
      </c>
      <c r="AB52" s="424">
        <f t="shared" si="225"/>
        <v>0.89148387096774195</v>
      </c>
      <c r="AC52" s="424">
        <f t="shared" ref="AC52" si="226">IF(AC47&gt;$J$56,$J$52,IF(AC47&lt;$J$56,(IF(AC47&lt;0,0,AC47*$K$52))))</f>
        <v>0.89148387096774195</v>
      </c>
      <c r="AD52" s="424">
        <f t="shared" si="225"/>
        <v>0</v>
      </c>
      <c r="AE52" s="424">
        <f t="shared" ref="AE52" si="227">IF(AE47&gt;$J$56,$J$52,IF(AE47&lt;$J$56,(IF(AE47&lt;0,0,AE47*$K$52))))</f>
        <v>0.89148387096774195</v>
      </c>
      <c r="AF52" s="465">
        <f t="shared" si="225"/>
        <v>0.89148387096774195</v>
      </c>
      <c r="AG52" s="481"/>
      <c r="AH52" s="459">
        <f t="shared" si="197"/>
        <v>4.6462687166313223</v>
      </c>
      <c r="AI52" s="424">
        <f>$J$52*7</f>
        <v>6.2403870967741941</v>
      </c>
      <c r="AJ52" s="465">
        <f t="shared" si="198"/>
        <v>-1.5941183801428718</v>
      </c>
      <c r="AK52" s="481"/>
      <c r="AL52" s="459">
        <f t="shared" ref="AL52:AR52" si="228">IF(AL47&gt;$J$56,$J$52,IF(AL47&lt;$J$56,(IF(AL47&lt;0,0,AL47*$K$52))))</f>
        <v>0.31399010649241682</v>
      </c>
      <c r="AM52" s="424">
        <f t="shared" ref="AM52" si="229">IF(AM47&gt;$J$56,$J$52,IF(AM47&lt;$J$56,(IF(AM47&lt;0,0,AM47*$K$52))))</f>
        <v>0.89148387096774195</v>
      </c>
      <c r="AN52" s="424">
        <f t="shared" si="228"/>
        <v>0.33553072648172716</v>
      </c>
      <c r="AO52" s="424">
        <f t="shared" si="228"/>
        <v>0.33655647029074204</v>
      </c>
      <c r="AP52" s="424">
        <f t="shared" si="228"/>
        <v>0</v>
      </c>
      <c r="AQ52" s="424">
        <f t="shared" si="228"/>
        <v>0.36425155313414109</v>
      </c>
      <c r="AR52" s="465">
        <f t="shared" si="228"/>
        <v>0.89148387096774195</v>
      </c>
      <c r="AS52" s="481"/>
      <c r="AT52" s="459">
        <f t="shared" si="201"/>
        <v>3.1332965983345109</v>
      </c>
      <c r="AU52" s="424">
        <f>$J$52*7</f>
        <v>6.2403870967741941</v>
      </c>
      <c r="AV52" s="465">
        <f t="shared" si="202"/>
        <v>-3.1070904984396832</v>
      </c>
      <c r="AW52" s="481"/>
      <c r="AX52" s="459">
        <f t="shared" ref="AX52:BD52" si="230">IF(AX47&gt;$J$56,$J$52,IF(AX47&lt;$J$56,(IF(AX47&lt;0,0,AX47*$K$52))))</f>
        <v>0.89148387096774195</v>
      </c>
      <c r="AY52" s="453">
        <f t="shared" ref="AY52:AZ52" si="231">IF(AY47&gt;$J$56,$J$52,IF(AY47&lt;$J$56,(IF(AY47&lt;0,0,AY47*$K$52))))</f>
        <v>0.89148387096774195</v>
      </c>
      <c r="AZ52" s="453">
        <f t="shared" si="231"/>
        <v>0.89148387096774195</v>
      </c>
      <c r="BA52" s="424">
        <f t="shared" si="230"/>
        <v>0.89148387096774195</v>
      </c>
      <c r="BB52" s="424">
        <f t="shared" si="230"/>
        <v>0.89148387096774195</v>
      </c>
      <c r="BC52" s="424">
        <f t="shared" si="230"/>
        <v>0.89148387096774195</v>
      </c>
      <c r="BD52" s="465">
        <f t="shared" si="230"/>
        <v>0.89148387096774195</v>
      </c>
      <c r="BE52" s="481"/>
      <c r="BF52" s="459">
        <f t="shared" si="205"/>
        <v>6.2403870967741923</v>
      </c>
      <c r="BG52" s="424">
        <f>$J$52*7</f>
        <v>6.2403870967741941</v>
      </c>
      <c r="BH52" s="465">
        <f t="shared" si="206"/>
        <v>0</v>
      </c>
      <c r="BI52" s="481"/>
      <c r="BJ52" s="459">
        <f t="shared" ref="BJ52:BL52" si="232">IF(BJ47&gt;$J$56,$J$52,IF(BJ47&lt;$J$56,(IF(BJ47&lt;0,0,BJ47*$K$52))))</f>
        <v>0.89148387096774195</v>
      </c>
      <c r="BK52" s="424">
        <f t="shared" si="232"/>
        <v>0.89148387096774195</v>
      </c>
      <c r="BL52" s="465">
        <f t="shared" si="232"/>
        <v>0.89148387096774195</v>
      </c>
      <c r="BM52" s="481"/>
      <c r="BN52" s="459">
        <f t="shared" si="188"/>
        <v>2.6744516129032259</v>
      </c>
      <c r="BO52" s="424">
        <f>$J$52*3</f>
        <v>2.6744516129032259</v>
      </c>
      <c r="BP52" s="465">
        <f t="shared" si="208"/>
        <v>0</v>
      </c>
      <c r="BR52" s="1214">
        <f t="shared" si="189"/>
        <v>27.635999999999999</v>
      </c>
      <c r="BS52" s="730"/>
      <c r="BU52" s="729">
        <f t="shared" si="209"/>
        <v>22.658866036792467</v>
      </c>
      <c r="BV52" s="731">
        <f t="shared" si="210"/>
        <v>0.81990396717297975</v>
      </c>
      <c r="BW52" s="4499"/>
      <c r="BY52" s="4515"/>
      <c r="BZ52" s="29"/>
      <c r="CA52" s="29"/>
      <c r="CB52" s="1574"/>
      <c r="CC52" s="1574"/>
      <c r="CD52" s="1574"/>
      <c r="CE52" s="1574"/>
      <c r="CF52" s="1574"/>
      <c r="CG52" s="1574"/>
      <c r="CH52" s="1060"/>
    </row>
    <row r="53" spans="1:86" s="255" customFormat="1" x14ac:dyDescent="0.2">
      <c r="B53" s="462">
        <v>28</v>
      </c>
      <c r="C53" s="1595" t="s">
        <v>166</v>
      </c>
      <c r="D53" s="819"/>
      <c r="E53" s="445">
        <v>25.5</v>
      </c>
      <c r="F53" s="451">
        <f t="shared" si="211"/>
        <v>2.5499999999999998</v>
      </c>
      <c r="G53" s="451">
        <f t="shared" si="212"/>
        <v>1.7</v>
      </c>
      <c r="H53" s="451">
        <f t="shared" si="213"/>
        <v>1.2749999999999999</v>
      </c>
      <c r="I53" s="451">
        <f t="shared" si="214"/>
        <v>1.02</v>
      </c>
      <c r="J53" s="451">
        <f>E53/31</f>
        <v>0.82258064516129037</v>
      </c>
      <c r="K53" s="1402">
        <f t="shared" si="191"/>
        <v>6.3097571114674261E-2</v>
      </c>
      <c r="L53" s="1399"/>
      <c r="M53" s="492"/>
      <c r="N53" s="458">
        <f>IF(N47&gt;$J$56,$J$53,IF(N47&lt;$J$56,(IF(N47&lt;0,0,N47*$K$53))))</f>
        <v>0.82258064516129037</v>
      </c>
      <c r="O53" s="445">
        <f t="shared" ref="O53:T53" si="233">IF(O47&gt;$J$56,$J$53,IF(O47&lt;$J$56,(IF(O47&lt;0,0,O47*$K$53))))</f>
        <v>0.74686355982368102</v>
      </c>
      <c r="P53" s="445">
        <f t="shared" si="233"/>
        <v>0.82258064516129037</v>
      </c>
      <c r="Q53" s="445">
        <f t="shared" si="233"/>
        <v>0.72698782492255876</v>
      </c>
      <c r="R53" s="445">
        <f t="shared" si="233"/>
        <v>0.82258064516129037</v>
      </c>
      <c r="S53" s="445">
        <f t="shared" si="233"/>
        <v>0.82258064516129037</v>
      </c>
      <c r="T53" s="463">
        <f t="shared" si="233"/>
        <v>0.73929185128992025</v>
      </c>
      <c r="U53" s="479"/>
      <c r="V53" s="458">
        <f t="shared" si="56"/>
        <v>5.503465816681322</v>
      </c>
      <c r="W53" s="451">
        <f>$J$53*7</f>
        <v>5.7580645161290329</v>
      </c>
      <c r="X53" s="463">
        <f t="shared" si="193"/>
        <v>-0.25459869944771096</v>
      </c>
      <c r="Y53" s="479"/>
      <c r="Z53" s="458">
        <f t="shared" ref="Z53:AF53" si="234">IF(Z47&gt;$J$56,$J$53,IF(Z47&lt;$J$56,(IF(Z47&lt;0,0,Z47*$K$53))))</f>
        <v>0.82258064516129037</v>
      </c>
      <c r="AA53" s="451">
        <f t="shared" si="234"/>
        <v>0.17425310195801211</v>
      </c>
      <c r="AB53" s="451">
        <f t="shared" si="234"/>
        <v>0.82258064516129037</v>
      </c>
      <c r="AC53" s="451">
        <f t="shared" ref="AC53" si="235">IF(AC47&gt;$J$56,$J$53,IF(AC47&lt;$J$56,(IF(AC47&lt;0,0,AC47*$K$53))))</f>
        <v>0.82258064516129037</v>
      </c>
      <c r="AD53" s="451">
        <f t="shared" si="234"/>
        <v>0</v>
      </c>
      <c r="AE53" s="451">
        <f t="shared" ref="AE53" si="236">IF(AE47&gt;$J$56,$J$53,IF(AE47&lt;$J$56,(IF(AE47&lt;0,0,AE47*$K$53))))</f>
        <v>0.82258064516129037</v>
      </c>
      <c r="AF53" s="463">
        <f t="shared" si="234"/>
        <v>0.82258064516129037</v>
      </c>
      <c r="AG53" s="479"/>
      <c r="AH53" s="458">
        <f t="shared" si="197"/>
        <v>4.287156327764464</v>
      </c>
      <c r="AI53" s="451">
        <f>$J$53*7</f>
        <v>5.7580645161290329</v>
      </c>
      <c r="AJ53" s="463">
        <f t="shared" si="198"/>
        <v>-1.4709081883645689</v>
      </c>
      <c r="AK53" s="479"/>
      <c r="AL53" s="458">
        <f t="shared" ref="AL53:AR53" si="237">IF(AL47&gt;$J$56,$J$53,IF(AL47&lt;$J$56,(IF(AL47&lt;0,0,AL47*$K$53))))</f>
        <v>0.28972165709786613</v>
      </c>
      <c r="AM53" s="451">
        <f t="shared" ref="AM53" si="238">IF(AM47&gt;$J$56,$J$53,IF(AM47&lt;$J$56,(IF(AM47&lt;0,0,AM47*$K$53))))</f>
        <v>0.82258064516129037</v>
      </c>
      <c r="AN53" s="451">
        <f t="shared" si="237"/>
        <v>0.30959739199898839</v>
      </c>
      <c r="AO53" s="451">
        <f t="shared" si="237"/>
        <v>0.31054385556570852</v>
      </c>
      <c r="AP53" s="451">
        <f t="shared" si="237"/>
        <v>0</v>
      </c>
      <c r="AQ53" s="451">
        <f t="shared" si="237"/>
        <v>0.33609837186715147</v>
      </c>
      <c r="AR53" s="463">
        <f t="shared" si="237"/>
        <v>0.82258064516129037</v>
      </c>
      <c r="AS53" s="479"/>
      <c r="AT53" s="458">
        <f t="shared" si="201"/>
        <v>2.8911225668522955</v>
      </c>
      <c r="AU53" s="451">
        <f>$J$53*7</f>
        <v>5.7580645161290329</v>
      </c>
      <c r="AV53" s="463">
        <f t="shared" si="202"/>
        <v>-2.8669419492767374</v>
      </c>
      <c r="AW53" s="479"/>
      <c r="AX53" s="458">
        <f t="shared" ref="AX53:BD53" si="239">IF(AX47&gt;$J$56,$J$53,IF(AX47&lt;$J$56,(IF(AX47&lt;0,0,AX47*$K$53))))</f>
        <v>0.82258064516129037</v>
      </c>
      <c r="AY53" s="445">
        <f t="shared" ref="AY53:AZ53" si="240">IF(AY47&gt;$J$56,$J$53,IF(AY47&lt;$J$56,(IF(AY47&lt;0,0,AY47*$K$53))))</f>
        <v>0.82258064516129037</v>
      </c>
      <c r="AZ53" s="445">
        <f t="shared" si="240"/>
        <v>0.82258064516129037</v>
      </c>
      <c r="BA53" s="451">
        <f t="shared" si="239"/>
        <v>0.82258064516129037</v>
      </c>
      <c r="BB53" s="451">
        <f t="shared" si="239"/>
        <v>0.82258064516129037</v>
      </c>
      <c r="BC53" s="451">
        <f t="shared" si="239"/>
        <v>0.82258064516129037</v>
      </c>
      <c r="BD53" s="463">
        <f t="shared" si="239"/>
        <v>0.82258064516129037</v>
      </c>
      <c r="BE53" s="479"/>
      <c r="BF53" s="458">
        <f t="shared" si="205"/>
        <v>5.758064516129032</v>
      </c>
      <c r="BG53" s="451">
        <f>$J$53*7</f>
        <v>5.7580645161290329</v>
      </c>
      <c r="BH53" s="463">
        <f t="shared" si="206"/>
        <v>0</v>
      </c>
      <c r="BI53" s="479"/>
      <c r="BJ53" s="458">
        <f t="shared" ref="BJ53:BL53" si="241">IF(BJ47&gt;$J$56,$J$53,IF(BJ47&lt;$J$56,(IF(BJ47&lt;0,0,BJ47*$K$53))))</f>
        <v>0.82258064516129037</v>
      </c>
      <c r="BK53" s="451">
        <f t="shared" si="241"/>
        <v>0.82258064516129037</v>
      </c>
      <c r="BL53" s="463">
        <f t="shared" si="241"/>
        <v>0.82258064516129037</v>
      </c>
      <c r="BM53" s="479"/>
      <c r="BN53" s="458">
        <f t="shared" si="188"/>
        <v>2.467741935483871</v>
      </c>
      <c r="BO53" s="451">
        <f>$J$53*3</f>
        <v>2.467741935483871</v>
      </c>
      <c r="BP53" s="463">
        <f t="shared" si="208"/>
        <v>0</v>
      </c>
      <c r="BR53" s="1716">
        <f t="shared" si="189"/>
        <v>25.5</v>
      </c>
      <c r="BS53" s="733"/>
      <c r="BU53" s="732">
        <f t="shared" si="209"/>
        <v>20.907551162910984</v>
      </c>
      <c r="BV53" s="734">
        <f t="shared" si="210"/>
        <v>0.81990396717297975</v>
      </c>
      <c r="BW53" s="4499"/>
      <c r="BY53" s="4515"/>
      <c r="BZ53" s="62"/>
      <c r="CA53" s="62"/>
      <c r="CB53" s="81"/>
      <c r="CC53" s="81"/>
      <c r="CD53" s="81"/>
      <c r="CE53" s="81"/>
      <c r="CF53" s="81"/>
      <c r="CG53" s="81"/>
      <c r="CH53" s="1029"/>
    </row>
    <row r="54" spans="1:86" ht="15.75" thickBot="1" x14ac:dyDescent="0.25">
      <c r="B54" s="464">
        <v>29</v>
      </c>
      <c r="C54" s="1602" t="s">
        <v>123</v>
      </c>
      <c r="D54" s="1094"/>
      <c r="E54" s="1465">
        <v>25</v>
      </c>
      <c r="F54" s="1464">
        <f t="shared" si="211"/>
        <v>2.5</v>
      </c>
      <c r="G54" s="1464">
        <f t="shared" si="212"/>
        <v>1.6666666666666667</v>
      </c>
      <c r="H54" s="1464">
        <f t="shared" si="213"/>
        <v>1.25</v>
      </c>
      <c r="I54" s="1464">
        <f t="shared" si="214"/>
        <v>1</v>
      </c>
      <c r="J54" s="1464">
        <f t="shared" si="190"/>
        <v>0.80645161290322576</v>
      </c>
      <c r="K54" s="1466">
        <f t="shared" si="191"/>
        <v>6.1860363837915947E-2</v>
      </c>
      <c r="L54" s="1398"/>
      <c r="M54" s="491"/>
      <c r="N54" s="459">
        <f>IF(N47&gt;$J$56,$J$54,IF(N47&lt;$J$56,(IF(N47&lt;0,0,N47*$K$54))))</f>
        <v>0.80645161290322576</v>
      </c>
      <c r="O54" s="453">
        <f t="shared" ref="O54:T54" si="242">IF(O47&gt;$J$56,$J$54,IF(O47&lt;$J$56,(IF(O47&lt;0,0,O47*$K$54))))</f>
        <v>0.73221917629772648</v>
      </c>
      <c r="P54" s="453">
        <f t="shared" si="242"/>
        <v>0.80645161290322576</v>
      </c>
      <c r="Q54" s="453">
        <f t="shared" si="242"/>
        <v>0.71273316168878309</v>
      </c>
      <c r="R54" s="453">
        <f t="shared" si="242"/>
        <v>0.80645161290322576</v>
      </c>
      <c r="S54" s="453">
        <f t="shared" si="242"/>
        <v>0.80645161290322576</v>
      </c>
      <c r="T54" s="465">
        <f t="shared" si="242"/>
        <v>0.72479593263717679</v>
      </c>
      <c r="U54" s="481"/>
      <c r="V54" s="459">
        <f>SUM(N54:T54)</f>
        <v>5.3955547222365903</v>
      </c>
      <c r="W54" s="453">
        <f>$J$54*7</f>
        <v>5.6451612903225801</v>
      </c>
      <c r="X54" s="1454">
        <f t="shared" si="193"/>
        <v>-0.2496065680859898</v>
      </c>
      <c r="Y54" s="481"/>
      <c r="Z54" s="459">
        <f t="shared" ref="Z54:AF54" si="243">IF(Z47&gt;$J$56,$J$54,IF(Z47&lt;$J$56,(IF(Z47&lt;0,0,Z47*$K$54))))</f>
        <v>0.80645161290322576</v>
      </c>
      <c r="AA54" s="453">
        <f t="shared" si="243"/>
        <v>0.17083637446863933</v>
      </c>
      <c r="AB54" s="453">
        <f t="shared" si="243"/>
        <v>0.80645161290322576</v>
      </c>
      <c r="AC54" s="453">
        <f t="shared" ref="AC54" si="244">IF(AC47&gt;$J$56,$J$54,IF(AC47&lt;$J$56,(IF(AC47&lt;0,0,AC47*$K$54))))</f>
        <v>0.80645161290322576</v>
      </c>
      <c r="AD54" s="453">
        <f t="shared" si="243"/>
        <v>0</v>
      </c>
      <c r="AE54" s="453">
        <f t="shared" ref="AE54" si="245">IF(AE47&gt;$J$56,$J$54,IF(AE47&lt;$J$56,(IF(AE47&lt;0,0,AE47*$K$54))))</f>
        <v>0.80645161290322576</v>
      </c>
      <c r="AF54" s="465">
        <f t="shared" si="243"/>
        <v>0.80645161290322576</v>
      </c>
      <c r="AG54" s="481"/>
      <c r="AH54" s="459">
        <f t="shared" si="197"/>
        <v>4.2030944389847686</v>
      </c>
      <c r="AI54" s="453">
        <f>$J$54*7</f>
        <v>5.6451612903225801</v>
      </c>
      <c r="AJ54" s="1454">
        <f t="shared" si="198"/>
        <v>-1.4420668513378114</v>
      </c>
      <c r="AK54" s="481"/>
      <c r="AL54" s="459">
        <f t="shared" ref="AL54:AR54" si="246">IF(AL47&gt;$J$56,$J$54,IF(AL47&lt;$J$56,(IF(AL47&lt;0,0,AL47*$K$54))))</f>
        <v>0.28404084029202564</v>
      </c>
      <c r="AM54" s="424">
        <f t="shared" ref="AM54" si="247">IF(AM47&gt;$J$56,$J$54,IF(AM47&lt;$J$56,(IF(AM47&lt;0,0,AM47*$K$54))))</f>
        <v>0.80645161290322576</v>
      </c>
      <c r="AN54" s="424">
        <f t="shared" si="246"/>
        <v>0.30352685490096903</v>
      </c>
      <c r="AO54" s="424">
        <f t="shared" si="246"/>
        <v>0.3044547603585378</v>
      </c>
      <c r="AP54" s="424">
        <f t="shared" si="246"/>
        <v>0</v>
      </c>
      <c r="AQ54" s="424">
        <f t="shared" si="246"/>
        <v>0.32950820771289357</v>
      </c>
      <c r="AR54" s="465">
        <f t="shared" si="246"/>
        <v>0.80645161290322576</v>
      </c>
      <c r="AS54" s="481"/>
      <c r="AT54" s="459">
        <f t="shared" si="201"/>
        <v>2.834433889070878</v>
      </c>
      <c r="AU54" s="453">
        <f>$J$54*7</f>
        <v>5.6451612903225801</v>
      </c>
      <c r="AV54" s="1454">
        <f t="shared" si="202"/>
        <v>-2.8107274012517021</v>
      </c>
      <c r="AW54" s="481"/>
      <c r="AX54" s="459">
        <f t="shared" ref="AX54:BD54" si="248">IF(AX47&gt;$J$56,$J$54,IF(AX47&lt;$J$56,(IF(AX47&lt;0,0,AX47*$K$54))))</f>
        <v>0.80645161290322576</v>
      </c>
      <c r="AY54" s="453">
        <f t="shared" ref="AY54:AZ54" si="249">IF(AY47&gt;$J$56,$J$54,IF(AY47&lt;$J$56,(IF(AY47&lt;0,0,AY47*$K$54))))</f>
        <v>0.80645161290322576</v>
      </c>
      <c r="AZ54" s="453">
        <f t="shared" si="249"/>
        <v>0.80645161290322576</v>
      </c>
      <c r="BA54" s="424">
        <f t="shared" si="248"/>
        <v>0.80645161290322576</v>
      </c>
      <c r="BB54" s="424">
        <f t="shared" si="248"/>
        <v>0.80645161290322576</v>
      </c>
      <c r="BC54" s="424">
        <f t="shared" si="248"/>
        <v>0.80645161290322576</v>
      </c>
      <c r="BD54" s="465">
        <f t="shared" si="248"/>
        <v>0.80645161290322576</v>
      </c>
      <c r="BE54" s="481"/>
      <c r="BF54" s="459">
        <f t="shared" si="205"/>
        <v>5.645161290322581</v>
      </c>
      <c r="BG54" s="453">
        <f>$J$54*7</f>
        <v>5.6451612903225801</v>
      </c>
      <c r="BH54" s="1454">
        <f t="shared" si="206"/>
        <v>0</v>
      </c>
      <c r="BI54" s="481"/>
      <c r="BJ54" s="459">
        <f t="shared" ref="BJ54:BL54" si="250">IF(BJ47&gt;$J$56,$J$54,IF(BJ47&lt;$J$56,(IF(BJ47&lt;0,0,BJ47*$K$54))))</f>
        <v>0.80645161290322576</v>
      </c>
      <c r="BK54" s="424">
        <f t="shared" si="250"/>
        <v>0.80645161290322576</v>
      </c>
      <c r="BL54" s="465">
        <f t="shared" si="250"/>
        <v>0.80645161290322576</v>
      </c>
      <c r="BM54" s="481"/>
      <c r="BN54" s="459">
        <f t="shared" si="188"/>
        <v>2.419354838709677</v>
      </c>
      <c r="BO54" s="453">
        <f>$J$54*3</f>
        <v>2.419354838709677</v>
      </c>
      <c r="BP54" s="1454">
        <f t="shared" si="208"/>
        <v>0</v>
      </c>
      <c r="BR54" s="1214">
        <f t="shared" si="189"/>
        <v>25</v>
      </c>
      <c r="BS54" s="730"/>
      <c r="BU54" s="729">
        <f t="shared" si="209"/>
        <v>20.497599179324496</v>
      </c>
      <c r="BV54" s="731">
        <f t="shared" si="210"/>
        <v>0.81990396717297986</v>
      </c>
      <c r="BW54" s="4499"/>
      <c r="BY54" s="4515"/>
      <c r="BZ54" s="1641"/>
      <c r="CA54" s="1112"/>
      <c r="CB54" s="1112"/>
      <c r="CC54" s="1112"/>
      <c r="CD54" s="1112"/>
      <c r="CE54" s="1112"/>
      <c r="CF54" s="1112"/>
      <c r="CG54" s="1112"/>
      <c r="CH54" s="1113"/>
    </row>
    <row r="55" spans="1:86" s="255" customFormat="1" ht="15.75" thickBot="1" x14ac:dyDescent="0.25">
      <c r="B55" s="1581">
        <v>30</v>
      </c>
      <c r="C55" s="1603" t="s">
        <v>119</v>
      </c>
      <c r="D55" s="1467"/>
      <c r="E55" s="561">
        <v>4</v>
      </c>
      <c r="F55" s="559">
        <f t="shared" si="211"/>
        <v>0.4</v>
      </c>
      <c r="G55" s="559">
        <f t="shared" si="212"/>
        <v>0.26666666666666666</v>
      </c>
      <c r="H55" s="559">
        <f t="shared" si="213"/>
        <v>0.2</v>
      </c>
      <c r="I55" s="559">
        <f t="shared" si="214"/>
        <v>0.16</v>
      </c>
      <c r="J55" s="559">
        <f t="shared" si="190"/>
        <v>0.12903225806451613</v>
      </c>
      <c r="K55" s="1582">
        <f t="shared" si="191"/>
        <v>9.8976582140665511E-3</v>
      </c>
      <c r="L55" s="1399"/>
      <c r="M55" s="492"/>
      <c r="N55" s="732">
        <f>IF(N47&gt;$J$56,$J$55,IF(N47&lt;$J$56,(IF(N47&lt;0,0,N47*$K$55))))</f>
        <v>0.12903225806451613</v>
      </c>
      <c r="O55" s="561">
        <f t="shared" ref="O55:T55" si="251">IF(O47&gt;$J$56,$J$55,IF(O47&lt;$J$56,(IF(O47&lt;0,0,O47*$K$55))))</f>
        <v>0.11715506820763624</v>
      </c>
      <c r="P55" s="561">
        <f t="shared" si="251"/>
        <v>0.12903225806451613</v>
      </c>
      <c r="Q55" s="561">
        <f t="shared" si="251"/>
        <v>0.1140373058702053</v>
      </c>
      <c r="R55" s="561">
        <f t="shared" si="251"/>
        <v>0.12903225806451613</v>
      </c>
      <c r="S55" s="561">
        <f t="shared" si="251"/>
        <v>0.12903225806451613</v>
      </c>
      <c r="T55" s="563">
        <f t="shared" si="251"/>
        <v>0.11596734922194828</v>
      </c>
      <c r="U55" s="479"/>
      <c r="V55" s="732">
        <f t="shared" ref="V55:V65" si="252">SUM(N55:T55)</f>
        <v>0.86328875555785434</v>
      </c>
      <c r="W55" s="561">
        <f>$J$55*7</f>
        <v>0.90322580645161288</v>
      </c>
      <c r="X55" s="1583">
        <f t="shared" si="193"/>
        <v>-3.9937050893758541E-2</v>
      </c>
      <c r="Y55" s="479"/>
      <c r="Z55" s="732">
        <f t="shared" ref="Z55:AF55" si="253">IF(Z47&gt;$J$56,$J$55,IF(Z47&lt;$J$56,(IF(Z47&lt;0,0,Z47*$K$55))))</f>
        <v>0.12903225806451613</v>
      </c>
      <c r="AA55" s="561">
        <f t="shared" si="253"/>
        <v>2.7333819914982294E-2</v>
      </c>
      <c r="AB55" s="561">
        <f t="shared" si="253"/>
        <v>0.12903225806451613</v>
      </c>
      <c r="AC55" s="561">
        <f t="shared" ref="AC55" si="254">IF(AC47&gt;$J$56,$J$55,IF(AC47&lt;$J$56,(IF(AC47&lt;0,0,AC47*$K$55))))</f>
        <v>0.12903225806451613</v>
      </c>
      <c r="AD55" s="561">
        <f t="shared" si="253"/>
        <v>0</v>
      </c>
      <c r="AE55" s="561">
        <f t="shared" ref="AE55" si="255">IF(AE47&gt;$J$56,$J$55,IF(AE47&lt;$J$56,(IF(AE47&lt;0,0,AE47*$K$55))))</f>
        <v>0.12903225806451613</v>
      </c>
      <c r="AF55" s="563">
        <f t="shared" si="253"/>
        <v>0.12903225806451613</v>
      </c>
      <c r="AG55" s="479"/>
      <c r="AH55" s="732">
        <f t="shared" si="197"/>
        <v>0.67249511023756292</v>
      </c>
      <c r="AI55" s="561">
        <f>$J$55*7</f>
        <v>0.90322580645161288</v>
      </c>
      <c r="AJ55" s="1583">
        <f t="shared" si="198"/>
        <v>-0.23073069621404996</v>
      </c>
      <c r="AK55" s="479"/>
      <c r="AL55" s="732">
        <f t="shared" ref="AL55:AR55" si="256">IF(AL47&gt;$J$56,$J$55,IF(AL47&lt;$J$56,(IF(AL47&lt;0,0,AL47*$K$55))))</f>
        <v>4.5446534446724099E-2</v>
      </c>
      <c r="AM55" s="559">
        <f t="shared" ref="AM55" si="257">IF(AM47&gt;$J$56,$J$55,IF(AM47&lt;$J$56,(IF(AM47&lt;0,0,AM47*$K$55))))</f>
        <v>0.12903225806451613</v>
      </c>
      <c r="AN55" s="559">
        <f t="shared" si="256"/>
        <v>4.8564296784155039E-2</v>
      </c>
      <c r="AO55" s="559">
        <f t="shared" si="256"/>
        <v>4.8712761657366044E-2</v>
      </c>
      <c r="AP55" s="559">
        <f t="shared" si="256"/>
        <v>0</v>
      </c>
      <c r="AQ55" s="559">
        <f t="shared" si="256"/>
        <v>5.2721313234062976E-2</v>
      </c>
      <c r="AR55" s="563">
        <f t="shared" si="256"/>
        <v>0.12903225806451613</v>
      </c>
      <c r="AS55" s="479"/>
      <c r="AT55" s="458">
        <f t="shared" si="201"/>
        <v>0.45350942225134039</v>
      </c>
      <c r="AU55" s="445">
        <f>$J$55*7</f>
        <v>0.90322580645161288</v>
      </c>
      <c r="AV55" s="1080">
        <f t="shared" si="202"/>
        <v>-0.44971638420027249</v>
      </c>
      <c r="AW55" s="479"/>
      <c r="AX55" s="570">
        <f t="shared" ref="AX55:BD55" si="258">IF(AX47&gt;$J$56,$J$55,IF(AX47&lt;$J$56,(IF(AX47&lt;0,0,AX47*$K$55))))</f>
        <v>0.12903225806451613</v>
      </c>
      <c r="AY55" s="561">
        <f t="shared" ref="AY55:AZ55" si="259">IF(AY47&gt;$J$56,$J$55,IF(AY47&lt;$J$56,(IF(AY47&lt;0,0,AY47*$K$55))))</f>
        <v>0.12903225806451613</v>
      </c>
      <c r="AZ55" s="561">
        <f t="shared" si="259"/>
        <v>0.12903225806451613</v>
      </c>
      <c r="BA55" s="559">
        <f t="shared" si="258"/>
        <v>0.12903225806451613</v>
      </c>
      <c r="BB55" s="559">
        <f t="shared" si="258"/>
        <v>0.12903225806451613</v>
      </c>
      <c r="BC55" s="559">
        <f t="shared" si="258"/>
        <v>0.12903225806451613</v>
      </c>
      <c r="BD55" s="563">
        <f t="shared" si="258"/>
        <v>0.12903225806451613</v>
      </c>
      <c r="BE55" s="479"/>
      <c r="BF55" s="458">
        <f t="shared" si="205"/>
        <v>0.90322580645161288</v>
      </c>
      <c r="BG55" s="445">
        <f>$J$55*7</f>
        <v>0.90322580645161288</v>
      </c>
      <c r="BH55" s="1080">
        <f t="shared" si="206"/>
        <v>0</v>
      </c>
      <c r="BI55" s="479"/>
      <c r="BJ55" s="732">
        <f t="shared" ref="BJ55:BL55" si="260">IF(BJ47&gt;$J$56,$J$55,IF(BJ47&lt;$J$56,(IF(BJ47&lt;0,0,BJ47*$K$55))))</f>
        <v>0.12903225806451613</v>
      </c>
      <c r="BK55" s="559">
        <f t="shared" si="260"/>
        <v>0.12903225806451613</v>
      </c>
      <c r="BL55" s="563">
        <f t="shared" si="260"/>
        <v>0.12903225806451613</v>
      </c>
      <c r="BM55" s="479"/>
      <c r="BN55" s="732">
        <f t="shared" ref="BN55" si="261">SUM(BJ55:BL55)</f>
        <v>0.38709677419354838</v>
      </c>
      <c r="BO55" s="561">
        <f>$J$55*3</f>
        <v>0.38709677419354838</v>
      </c>
      <c r="BP55" s="1583">
        <f t="shared" ref="BP55" si="262">BN55-BO55</f>
        <v>0</v>
      </c>
      <c r="BR55" s="1716">
        <f t="shared" si="189"/>
        <v>4</v>
      </c>
      <c r="BS55" s="733"/>
      <c r="BU55" s="732">
        <f t="shared" si="209"/>
        <v>3.279615868691919</v>
      </c>
      <c r="BV55" s="734">
        <f t="shared" si="210"/>
        <v>0.81990396717297975</v>
      </c>
      <c r="BW55" s="4499"/>
      <c r="BY55" s="4515"/>
      <c r="BZ55" s="1024"/>
      <c r="CA55" s="1025"/>
      <c r="CB55" s="1025"/>
      <c r="CC55" s="1025"/>
      <c r="CD55" s="1025"/>
      <c r="CE55" s="1025"/>
      <c r="CF55" s="1025"/>
      <c r="CG55" s="1025"/>
      <c r="CH55" s="1025"/>
    </row>
    <row r="56" spans="1:86" s="224" customFormat="1" ht="15.75" thickBot="1" x14ac:dyDescent="0.25">
      <c r="B56" s="1585"/>
      <c r="C56" s="1586" t="s">
        <v>192</v>
      </c>
      <c r="D56" s="850"/>
      <c r="E56" s="1587">
        <f>SUM(E49:E55)</f>
        <v>404.13600000000002</v>
      </c>
      <c r="F56" s="1588"/>
      <c r="G56" s="1588"/>
      <c r="H56" s="1588"/>
      <c r="I56" s="1588"/>
      <c r="J56" s="1588">
        <f t="shared" ref="J56:K56" si="263">SUM(J49:J55)</f>
        <v>13.036645161290322</v>
      </c>
      <c r="K56" s="1589">
        <f t="shared" si="263"/>
        <v>1</v>
      </c>
      <c r="L56" s="1590"/>
      <c r="M56" s="877"/>
      <c r="N56" s="1587">
        <f>SUM(N49:N55)</f>
        <v>13.036645161290322</v>
      </c>
      <c r="O56" s="1591">
        <f t="shared" ref="O56:S56" si="264">SUM(O49:O55)</f>
        <v>11.836645161290321</v>
      </c>
      <c r="P56" s="1591">
        <f t="shared" si="264"/>
        <v>13.036645161290322</v>
      </c>
      <c r="Q56" s="1591">
        <f t="shared" si="264"/>
        <v>11.521645161290323</v>
      </c>
      <c r="R56" s="1591">
        <f t="shared" si="264"/>
        <v>13.036645161290322</v>
      </c>
      <c r="S56" s="1591">
        <f t="shared" si="264"/>
        <v>13.036645161290322</v>
      </c>
      <c r="T56" s="1592">
        <f>SUM(T49:T55)</f>
        <v>11.716645161290325</v>
      </c>
      <c r="U56" s="841"/>
      <c r="V56" s="1587">
        <f>SUM(V49:V55)</f>
        <v>87.221516129032281</v>
      </c>
      <c r="W56" s="1591">
        <f t="shared" ref="W56" si="265">SUM(W49:W55)</f>
        <v>91.256516129032264</v>
      </c>
      <c r="X56" s="1593">
        <f>SUM(X49:X55)</f>
        <v>-4.0349999999999904</v>
      </c>
      <c r="Y56" s="841"/>
      <c r="Z56" s="1587">
        <f t="shared" ref="Z56:AF56" si="266">SUM(Z49:Z55)</f>
        <v>13.036645161290322</v>
      </c>
      <c r="AA56" s="1591">
        <f t="shared" si="266"/>
        <v>2.7616451612903208</v>
      </c>
      <c r="AB56" s="1591">
        <f t="shared" si="266"/>
        <v>13.036645161290322</v>
      </c>
      <c r="AC56" s="1591">
        <f t="shared" ref="AC56" si="267">SUM(AC49:AC55)</f>
        <v>13.036645161290322</v>
      </c>
      <c r="AD56" s="1591">
        <f t="shared" si="266"/>
        <v>0</v>
      </c>
      <c r="AE56" s="1591">
        <f t="shared" ref="AE56" si="268">SUM(AE49:AE55)</f>
        <v>13.036645161290322</v>
      </c>
      <c r="AF56" s="1592">
        <f t="shared" si="266"/>
        <v>13.036645161290322</v>
      </c>
      <c r="AG56" s="841"/>
      <c r="AH56" s="1587">
        <f>SUM(AH49:AH55)</f>
        <v>67.944870967741934</v>
      </c>
      <c r="AI56" s="1591">
        <f>SUM(AI49:AI55)</f>
        <v>91.256516129032264</v>
      </c>
      <c r="AJ56" s="1593">
        <f>SUM(AJ49:AJ55)</f>
        <v>-23.311645161290318</v>
      </c>
      <c r="AK56" s="841"/>
      <c r="AL56" s="1587">
        <f t="shared" ref="AL56:AR56" si="269">SUM(AL49:AL55)</f>
        <v>4.5916451612903222</v>
      </c>
      <c r="AM56" s="1588">
        <f t="shared" ref="AM56" si="270">SUM(AM49:AM55)</f>
        <v>13.036645161290322</v>
      </c>
      <c r="AN56" s="1588">
        <f t="shared" si="269"/>
        <v>4.9066451612903217</v>
      </c>
      <c r="AO56" s="1588">
        <f t="shared" si="269"/>
        <v>4.9216451612903214</v>
      </c>
      <c r="AP56" s="1588">
        <f t="shared" si="269"/>
        <v>0</v>
      </c>
      <c r="AQ56" s="1588">
        <f t="shared" si="269"/>
        <v>5.3266451612903181</v>
      </c>
      <c r="AR56" s="1592">
        <f t="shared" si="269"/>
        <v>13.036645161290322</v>
      </c>
      <c r="AS56" s="841"/>
      <c r="AT56" s="1587">
        <f>SUM(AT49:AT55)</f>
        <v>45.819870967741934</v>
      </c>
      <c r="AU56" s="1591">
        <f>SUM(AU49:AU55)</f>
        <v>91.256516129032264</v>
      </c>
      <c r="AV56" s="1593">
        <f>SUM(AV49:AV55)</f>
        <v>-45.436645161290322</v>
      </c>
      <c r="AW56" s="841"/>
      <c r="AX56" s="1587">
        <f t="shared" ref="AX56:BD56" si="271">SUM(AX49:AX55)</f>
        <v>13.036645161290322</v>
      </c>
      <c r="AY56" s="1591">
        <f t="shared" ref="AY56:AZ56" si="272">SUM(AY49:AY55)</f>
        <v>13.036645161290322</v>
      </c>
      <c r="AZ56" s="1591">
        <f t="shared" si="272"/>
        <v>13.036645161290322</v>
      </c>
      <c r="BA56" s="1588">
        <f t="shared" si="271"/>
        <v>13.036645161290322</v>
      </c>
      <c r="BB56" s="1588">
        <f t="shared" si="271"/>
        <v>13.036645161290322</v>
      </c>
      <c r="BC56" s="1588">
        <f t="shared" si="271"/>
        <v>13.036645161290322</v>
      </c>
      <c r="BD56" s="1592">
        <f t="shared" si="271"/>
        <v>13.036645161290322</v>
      </c>
      <c r="BE56" s="841"/>
      <c r="BF56" s="1587">
        <f>SUM(BF49:BF55)</f>
        <v>91.256516129032249</v>
      </c>
      <c r="BG56" s="1591">
        <f>SUM(BG49:BG55)</f>
        <v>91.256516129032264</v>
      </c>
      <c r="BH56" s="1593">
        <f>SUM(BH49:BH55)</f>
        <v>0</v>
      </c>
      <c r="BI56" s="841"/>
      <c r="BJ56" s="1587">
        <f t="shared" ref="BJ56:BL56" si="273">SUM(BJ49:BJ55)</f>
        <v>13.036645161290322</v>
      </c>
      <c r="BK56" s="1588">
        <f t="shared" si="273"/>
        <v>13.036645161290322</v>
      </c>
      <c r="BL56" s="1592">
        <f t="shared" si="273"/>
        <v>13.036645161290322</v>
      </c>
      <c r="BM56" s="841"/>
      <c r="BN56" s="1587">
        <f>SUM(BN49:BN55)</f>
        <v>39.10993548387097</v>
      </c>
      <c r="BO56" s="1591">
        <f>SUM(BO49:BO55)</f>
        <v>39.10993548387097</v>
      </c>
      <c r="BP56" s="1593">
        <f>SUM(BP49:BP55)</f>
        <v>0</v>
      </c>
      <c r="BR56" s="1587">
        <f>SUM(BR49:BR55)</f>
        <v>404.13600000000002</v>
      </c>
      <c r="BS56" s="1648"/>
      <c r="BU56" s="1587">
        <f>SUM(BU49:BU55)</f>
        <v>331.35270967741928</v>
      </c>
      <c r="BV56" s="1614">
        <f>BU56/E56</f>
        <v>0.81990396717297953</v>
      </c>
      <c r="BW56" s="4500"/>
      <c r="BY56" s="4506"/>
      <c r="BZ56" s="226"/>
      <c r="CA56" s="271"/>
      <c r="CB56" s="271"/>
      <c r="CC56" s="271"/>
      <c r="CD56" s="271"/>
      <c r="CE56" s="271"/>
      <c r="CF56" s="271"/>
      <c r="CG56" s="271"/>
      <c r="CH56" s="271"/>
    </row>
    <row r="57" spans="1:86" s="438" customFormat="1" ht="4.5" customHeight="1" thickBot="1" x14ac:dyDescent="0.25">
      <c r="E57" s="479"/>
      <c r="F57" s="479"/>
      <c r="G57" s="479"/>
      <c r="H57" s="479"/>
      <c r="I57" s="479"/>
      <c r="J57" s="479"/>
      <c r="K57" s="492"/>
      <c r="L57" s="492"/>
      <c r="M57" s="492"/>
      <c r="N57" s="1171"/>
      <c r="O57" s="1171"/>
      <c r="P57" s="1171"/>
      <c r="Q57" s="1171"/>
      <c r="R57" s="1171"/>
      <c r="S57" s="1171"/>
      <c r="T57" s="1171"/>
      <c r="U57" s="479"/>
      <c r="V57" s="479"/>
      <c r="W57" s="479"/>
      <c r="X57" s="479"/>
      <c r="Y57" s="479"/>
      <c r="Z57" s="1171"/>
      <c r="AA57" s="1171"/>
      <c r="AB57" s="1171"/>
      <c r="AC57" s="1171"/>
      <c r="AD57" s="1171"/>
      <c r="AE57" s="1171"/>
      <c r="AF57" s="1171"/>
      <c r="AG57" s="479"/>
      <c r="AH57" s="479"/>
      <c r="AI57" s="479"/>
      <c r="AJ57" s="479"/>
      <c r="AK57" s="479"/>
      <c r="AL57" s="1171"/>
      <c r="AM57" s="1171"/>
      <c r="AN57" s="1171"/>
      <c r="AO57" s="1171"/>
      <c r="AP57" s="1171"/>
      <c r="AQ57" s="1171"/>
      <c r="AR57" s="1171"/>
      <c r="AS57" s="479"/>
      <c r="AT57" s="1259"/>
      <c r="AU57" s="1259"/>
      <c r="AV57" s="1259"/>
      <c r="AW57" s="479"/>
      <c r="AX57" s="429"/>
      <c r="AY57" s="429"/>
      <c r="AZ57" s="429"/>
      <c r="BA57" s="429"/>
      <c r="BB57" s="429"/>
      <c r="BC57" s="429"/>
      <c r="BD57" s="429"/>
      <c r="BE57" s="479"/>
      <c r="BF57" s="1259"/>
      <c r="BG57" s="1259"/>
      <c r="BH57" s="1259"/>
      <c r="BI57" s="479"/>
      <c r="BJ57" s="479"/>
      <c r="BK57" s="479"/>
      <c r="BL57" s="479"/>
      <c r="BM57" s="479"/>
      <c r="BN57" s="479"/>
      <c r="BO57" s="479"/>
      <c r="BP57" s="479"/>
      <c r="BR57" s="479"/>
      <c r="BS57" s="1613"/>
      <c r="BU57" s="479"/>
      <c r="BV57" s="480"/>
      <c r="BW57" s="1610"/>
      <c r="BZ57" s="480"/>
    </row>
    <row r="58" spans="1:86" s="438" customFormat="1" ht="15.75" thickBot="1" x14ac:dyDescent="0.25">
      <c r="C58" s="438" t="s">
        <v>193</v>
      </c>
      <c r="E58" s="1718">
        <f>K6-E56</f>
        <v>132.78999999999991</v>
      </c>
      <c r="F58" s="479"/>
      <c r="G58" s="479"/>
      <c r="H58" s="479"/>
      <c r="I58" s="479"/>
      <c r="J58" s="479"/>
      <c r="K58" s="492"/>
      <c r="L58" s="1399"/>
      <c r="M58" s="492"/>
      <c r="N58" s="579">
        <f>N47-N56</f>
        <v>14.250000000000002</v>
      </c>
      <c r="O58" s="578">
        <f t="shared" ref="O58:T58" si="274">O47-O56</f>
        <v>0</v>
      </c>
      <c r="P58" s="578">
        <f t="shared" si="274"/>
        <v>28.259999999999998</v>
      </c>
      <c r="Q58" s="578">
        <f t="shared" si="274"/>
        <v>0</v>
      </c>
      <c r="R58" s="578">
        <f t="shared" si="274"/>
        <v>5.1899999999999995</v>
      </c>
      <c r="S58" s="578">
        <f t="shared" si="274"/>
        <v>7.08</v>
      </c>
      <c r="T58" s="788">
        <f t="shared" si="274"/>
        <v>0</v>
      </c>
      <c r="U58" s="479"/>
      <c r="V58" s="479"/>
      <c r="W58" s="479"/>
      <c r="X58" s="479"/>
      <c r="Y58" s="479"/>
      <c r="Z58" s="579">
        <f t="shared" ref="Z58:AF58" si="275">Z47-Z56</f>
        <v>16.259999999999998</v>
      </c>
      <c r="AA58" s="578">
        <f t="shared" si="275"/>
        <v>0</v>
      </c>
      <c r="AB58" s="578">
        <f t="shared" si="275"/>
        <v>12.075000000000005</v>
      </c>
      <c r="AC58" s="578">
        <f t="shared" si="275"/>
        <v>7.9500000000000046</v>
      </c>
      <c r="AD58" s="578">
        <f t="shared" si="275"/>
        <v>-24.703354838709679</v>
      </c>
      <c r="AE58" s="578">
        <f t="shared" ref="AE58" si="276">AE47-AE56</f>
        <v>13.575000000000005</v>
      </c>
      <c r="AF58" s="788">
        <f t="shared" si="275"/>
        <v>5.0550000000000015</v>
      </c>
      <c r="AG58" s="479"/>
      <c r="AH58" s="479"/>
      <c r="AI58" s="479"/>
      <c r="AJ58" s="479"/>
      <c r="AK58" s="479"/>
      <c r="AL58" s="579">
        <f t="shared" ref="AL58:AR58" si="277">AL47-AL56</f>
        <v>0</v>
      </c>
      <c r="AM58" s="578">
        <f t="shared" ref="AM58" si="278">AM47-AM56</f>
        <v>0.59999999999999609</v>
      </c>
      <c r="AN58" s="578">
        <f t="shared" si="277"/>
        <v>0</v>
      </c>
      <c r="AO58" s="578">
        <f t="shared" si="277"/>
        <v>0</v>
      </c>
      <c r="AP58" s="578">
        <f t="shared" si="277"/>
        <v>-9.6733548387096793</v>
      </c>
      <c r="AQ58" s="578">
        <f t="shared" si="277"/>
        <v>0</v>
      </c>
      <c r="AR58" s="788">
        <f t="shared" si="277"/>
        <v>19.769999999999996</v>
      </c>
      <c r="AS58" s="479"/>
      <c r="AT58" s="479"/>
      <c r="AU58" s="479"/>
      <c r="AV58" s="479"/>
      <c r="AW58" s="479"/>
      <c r="AX58" s="579">
        <f t="shared" ref="AX58:BD58" si="279">AX47-AX56</f>
        <v>38.609999999999992</v>
      </c>
      <c r="AY58" s="578">
        <f t="shared" ref="AY58:AZ58" si="280">AY47-AY56</f>
        <v>1.8600000000000012</v>
      </c>
      <c r="AZ58" s="578">
        <f t="shared" si="280"/>
        <v>4.8899999999999952</v>
      </c>
      <c r="BA58" s="578">
        <f t="shared" si="279"/>
        <v>15.885</v>
      </c>
      <c r="BB58" s="578">
        <f t="shared" si="279"/>
        <v>14.144999999999998</v>
      </c>
      <c r="BC58" s="578">
        <f t="shared" si="279"/>
        <v>1.9799999999999986</v>
      </c>
      <c r="BD58" s="788">
        <f t="shared" si="279"/>
        <v>0.98999999999999666</v>
      </c>
      <c r="BE58" s="479"/>
      <c r="BF58" s="479"/>
      <c r="BG58" s="479"/>
      <c r="BH58" s="479"/>
      <c r="BI58" s="479"/>
      <c r="BJ58" s="579">
        <f t="shared" ref="BJ58:BL58" si="281">BJ47-BJ56</f>
        <v>0.98999999999999666</v>
      </c>
      <c r="BK58" s="578">
        <f t="shared" si="281"/>
        <v>11.869999999999992</v>
      </c>
      <c r="BL58" s="788">
        <f t="shared" si="281"/>
        <v>18.664999999999992</v>
      </c>
      <c r="BM58" s="479"/>
      <c r="BN58" s="479"/>
      <c r="BO58" s="479"/>
      <c r="BP58" s="479"/>
      <c r="BR58" s="479"/>
      <c r="BS58" s="1613"/>
      <c r="BU58" s="132"/>
      <c r="BV58" s="170"/>
      <c r="BW58" s="1611"/>
      <c r="BZ58" s="480"/>
    </row>
    <row r="59" spans="1:86" s="438" customFormat="1" ht="4.5" customHeight="1" thickBot="1" x14ac:dyDescent="0.25">
      <c r="E59" s="479"/>
      <c r="F59" s="479"/>
      <c r="G59" s="479"/>
      <c r="H59" s="479"/>
      <c r="I59" s="479"/>
      <c r="J59" s="479"/>
      <c r="K59" s="492"/>
      <c r="L59" s="492"/>
      <c r="M59" s="492"/>
      <c r="N59" s="1259"/>
      <c r="O59" s="1259"/>
      <c r="P59" s="1259"/>
      <c r="Q59" s="1259"/>
      <c r="R59" s="1259"/>
      <c r="S59" s="1259"/>
      <c r="T59" s="1259"/>
      <c r="U59" s="479"/>
      <c r="V59" s="479"/>
      <c r="W59" s="479"/>
      <c r="X59" s="479"/>
      <c r="Y59" s="479"/>
      <c r="Z59" s="429"/>
      <c r="AA59" s="429"/>
      <c r="AB59" s="429"/>
      <c r="AC59" s="429"/>
      <c r="AD59" s="429"/>
      <c r="AE59" s="429"/>
      <c r="AF59" s="429"/>
      <c r="AG59" s="479"/>
      <c r="AH59" s="479"/>
      <c r="AI59" s="479"/>
      <c r="AJ59" s="479"/>
      <c r="AK59" s="479"/>
      <c r="AL59" s="1259"/>
      <c r="AM59" s="1259"/>
      <c r="AN59" s="1259"/>
      <c r="AO59" s="1259"/>
      <c r="AP59" s="1259"/>
      <c r="AQ59" s="1259"/>
      <c r="AR59" s="1259"/>
      <c r="AS59" s="479"/>
      <c r="AT59" s="479"/>
      <c r="AU59" s="479"/>
      <c r="AV59" s="479"/>
      <c r="AW59" s="479"/>
      <c r="AX59" s="1259"/>
      <c r="AY59" s="1259"/>
      <c r="AZ59" s="1259"/>
      <c r="BA59" s="1259"/>
      <c r="BB59" s="1259"/>
      <c r="BC59" s="1259"/>
      <c r="BD59" s="1259"/>
      <c r="BE59" s="479"/>
      <c r="BF59" s="479"/>
      <c r="BG59" s="479"/>
      <c r="BH59" s="479"/>
      <c r="BI59" s="479"/>
      <c r="BJ59" s="479"/>
      <c r="BK59" s="479"/>
      <c r="BL59" s="479"/>
      <c r="BM59" s="479"/>
      <c r="BN59" s="479"/>
      <c r="BO59" s="479"/>
      <c r="BP59" s="479"/>
      <c r="BR59" s="479"/>
      <c r="BS59" s="1613"/>
      <c r="BU59" s="1259"/>
      <c r="BV59" s="1580"/>
      <c r="BW59" s="1612"/>
      <c r="BZ59" s="480"/>
    </row>
    <row r="60" spans="1:86" x14ac:dyDescent="0.2">
      <c r="A60" s="775"/>
      <c r="B60" s="591">
        <v>31</v>
      </c>
      <c r="C60" s="1594" t="s">
        <v>132</v>
      </c>
      <c r="D60" s="444"/>
      <c r="E60" s="599">
        <v>465</v>
      </c>
      <c r="F60" s="594">
        <f t="shared" si="211"/>
        <v>46.5</v>
      </c>
      <c r="G60" s="594">
        <f t="shared" si="212"/>
        <v>31</v>
      </c>
      <c r="H60" s="594">
        <f t="shared" si="213"/>
        <v>23.25</v>
      </c>
      <c r="I60" s="594">
        <f t="shared" si="214"/>
        <v>18.600000000000001</v>
      </c>
      <c r="J60" s="594">
        <f t="shared" si="190"/>
        <v>15</v>
      </c>
      <c r="K60" s="1597">
        <f t="shared" ref="K60:K66" si="282">E60/$E$67</f>
        <v>0.27777777777777779</v>
      </c>
      <c r="L60" s="1398"/>
      <c r="M60" s="491"/>
      <c r="N60" s="599">
        <f>IF(N58&gt;$J$67,$J$60,IF(N58&lt;$J$67,(IF(N58&lt;0,0,N58*$K$60))))</f>
        <v>3.9583333333333339</v>
      </c>
      <c r="O60" s="594">
        <f t="shared" ref="O60:T60" si="283">IF(O58&gt;$J$67,$J$60,IF(O58&lt;$J$67,(IF(O58&lt;0,0,O58*$K$60))))</f>
        <v>0</v>
      </c>
      <c r="P60" s="594">
        <f t="shared" si="283"/>
        <v>7.85</v>
      </c>
      <c r="Q60" s="594">
        <f t="shared" si="283"/>
        <v>0</v>
      </c>
      <c r="R60" s="594">
        <f t="shared" si="283"/>
        <v>1.4416666666666667</v>
      </c>
      <c r="S60" s="594">
        <f t="shared" si="283"/>
        <v>1.9666666666666668</v>
      </c>
      <c r="T60" s="1108">
        <f t="shared" si="283"/>
        <v>0</v>
      </c>
      <c r="U60" s="481"/>
      <c r="V60" s="599">
        <f t="shared" si="252"/>
        <v>15.216666666666667</v>
      </c>
      <c r="W60" s="596">
        <f>$J$60*7</f>
        <v>105</v>
      </c>
      <c r="X60" s="1109">
        <f t="shared" si="193"/>
        <v>-89.783333333333331</v>
      </c>
      <c r="Y60" s="481"/>
      <c r="Z60" s="459">
        <f t="shared" ref="Z60:AF60" si="284">IF(Z58&gt;$J$67,$J$60,IF(Z58&lt;$J$67,(IF(Z58&lt;0,0,Z58*$K$60))))</f>
        <v>4.5166666666666666</v>
      </c>
      <c r="AA60" s="453">
        <f t="shared" si="284"/>
        <v>0</v>
      </c>
      <c r="AB60" s="453">
        <f t="shared" si="284"/>
        <v>3.3541666666666683</v>
      </c>
      <c r="AC60" s="453">
        <f t="shared" si="284"/>
        <v>2.2083333333333348</v>
      </c>
      <c r="AD60" s="453">
        <f t="shared" si="284"/>
        <v>0</v>
      </c>
      <c r="AE60" s="453">
        <f t="shared" ref="AE60" si="285">IF(AE58&gt;$J$67,$J$60,IF(AE58&lt;$J$67,(IF(AE58&lt;0,0,AE58*$K$60))))</f>
        <v>3.7708333333333348</v>
      </c>
      <c r="AF60" s="465">
        <f t="shared" si="284"/>
        <v>1.4041666666666672</v>
      </c>
      <c r="AG60" s="481"/>
      <c r="AH60" s="599">
        <f t="shared" si="197"/>
        <v>15.254166666666672</v>
      </c>
      <c r="AI60" s="596">
        <f>$J$60*7</f>
        <v>105</v>
      </c>
      <c r="AJ60" s="1109">
        <f t="shared" si="198"/>
        <v>-89.745833333333323</v>
      </c>
      <c r="AK60" s="481"/>
      <c r="AL60" s="599">
        <f t="shared" ref="AL60:AR60" si="286">IF(AL58&gt;$J$67,$J$60,IF(AL58&lt;$J$67,(IF(AL58&lt;0,0,AL58*$K$60))))</f>
        <v>0</v>
      </c>
      <c r="AM60" s="594">
        <f t="shared" ref="AM60" si="287">IF(AM58&gt;$J$67,$J$60,IF(AM58&lt;$J$67,(IF(AM58&lt;0,0,AM58*$K$60))))</f>
        <v>0.16666666666666557</v>
      </c>
      <c r="AN60" s="594">
        <f t="shared" si="286"/>
        <v>0</v>
      </c>
      <c r="AO60" s="594">
        <f t="shared" si="286"/>
        <v>0</v>
      </c>
      <c r="AP60" s="594">
        <f t="shared" si="286"/>
        <v>0</v>
      </c>
      <c r="AQ60" s="594">
        <f t="shared" si="286"/>
        <v>0</v>
      </c>
      <c r="AR60" s="1108">
        <f t="shared" si="286"/>
        <v>5.4916666666666654</v>
      </c>
      <c r="AS60" s="481"/>
      <c r="AT60" s="599">
        <f t="shared" ref="AT60:AT66" si="288">SUM(AL60:AR60)</f>
        <v>5.6583333333333306</v>
      </c>
      <c r="AU60" s="596">
        <f>$J$60*7</f>
        <v>105</v>
      </c>
      <c r="AV60" s="1109">
        <f t="shared" ref="AV60:AV66" si="289">AT60-AU60</f>
        <v>-99.341666666666669</v>
      </c>
      <c r="AW60" s="481"/>
      <c r="AX60" s="599">
        <f t="shared" ref="AX60:BD60" si="290">IF(AX58&gt;$J$67,$J$60,IF(AX58&lt;$J$67,(IF(AX58&lt;0,0,AX58*$K$60))))</f>
        <v>10.724999999999998</v>
      </c>
      <c r="AY60" s="1690">
        <f t="shared" ref="AY60:AZ60" si="291">IF(AY58&gt;$J$67,$J$60,IF(AY58&lt;$J$67,(IF(AY58&lt;0,0,AY58*$K$60))))</f>
        <v>0.51666666666666705</v>
      </c>
      <c r="AZ60" s="1690">
        <f t="shared" si="291"/>
        <v>1.3583333333333321</v>
      </c>
      <c r="BA60" s="594">
        <f t="shared" si="290"/>
        <v>4.4125000000000005</v>
      </c>
      <c r="BB60" s="594">
        <f t="shared" si="290"/>
        <v>3.9291666666666663</v>
      </c>
      <c r="BC60" s="594">
        <f t="shared" si="290"/>
        <v>0.5499999999999996</v>
      </c>
      <c r="BD60" s="1108">
        <f t="shared" si="290"/>
        <v>0.27499999999999908</v>
      </c>
      <c r="BE60" s="481"/>
      <c r="BF60" s="599">
        <f t="shared" ref="BF60:BF66" si="292">SUM(AX60:BD60)</f>
        <v>21.766666666666666</v>
      </c>
      <c r="BG60" s="596">
        <f>$J$60*7</f>
        <v>105</v>
      </c>
      <c r="BH60" s="1109">
        <f t="shared" ref="BH60:BH66" si="293">BF60-BG60</f>
        <v>-83.233333333333334</v>
      </c>
      <c r="BI60" s="481"/>
      <c r="BJ60" s="599">
        <f t="shared" ref="BJ60:BL60" si="294">IF(BJ58&gt;$J$67,$J$60,IF(BJ58&lt;$J$67,(IF(BJ58&lt;0,0,BJ58*$K$60))))</f>
        <v>0.27499999999999908</v>
      </c>
      <c r="BK60" s="594">
        <f t="shared" si="294"/>
        <v>3.2972222222222203</v>
      </c>
      <c r="BL60" s="1108">
        <f t="shared" si="294"/>
        <v>5.18472222222222</v>
      </c>
      <c r="BM60" s="481"/>
      <c r="BN60" s="599">
        <f>SUM(BJ60:BL60)</f>
        <v>8.7569444444444393</v>
      </c>
      <c r="BO60" s="596">
        <f>$J$60*3</f>
        <v>45</v>
      </c>
      <c r="BP60" s="1109">
        <f t="shared" ref="BP60:BP66" si="295">BN60-BO60</f>
        <v>-36.243055555555557</v>
      </c>
      <c r="BR60" s="1111"/>
      <c r="BS60" s="1615"/>
      <c r="BU60" s="1111">
        <f>SUM(N60:T60)+SUM(Z60:AF60)+SUM(AL60:AR60)+SUM(AX60:BD60)+SUM(BJ60:BL60)</f>
        <v>66.652777777777771</v>
      </c>
      <c r="BV60" s="1616">
        <f>BU60/E60</f>
        <v>0.14333930704898445</v>
      </c>
      <c r="BW60" s="4498">
        <f>BV67-BU1</f>
        <v>-0.85666069295101555</v>
      </c>
      <c r="BZ60" s="29"/>
      <c r="CA60" s="1574"/>
      <c r="CB60" s="1574"/>
      <c r="CC60" s="1574"/>
      <c r="CD60" s="1574"/>
      <c r="CE60" s="1574"/>
      <c r="CF60" s="1574"/>
      <c r="CG60" s="1574"/>
      <c r="CH60" s="1574"/>
    </row>
    <row r="61" spans="1:86" s="255" customFormat="1" x14ac:dyDescent="0.2">
      <c r="B61" s="462">
        <v>32</v>
      </c>
      <c r="C61" s="1595" t="s">
        <v>121</v>
      </c>
      <c r="D61" s="438"/>
      <c r="E61" s="458">
        <v>350</v>
      </c>
      <c r="F61" s="451">
        <f t="shared" si="211"/>
        <v>35</v>
      </c>
      <c r="G61" s="451">
        <f t="shared" si="212"/>
        <v>23.333333333333332</v>
      </c>
      <c r="H61" s="451">
        <f t="shared" si="213"/>
        <v>17.5</v>
      </c>
      <c r="I61" s="451">
        <f t="shared" si="214"/>
        <v>14</v>
      </c>
      <c r="J61" s="451">
        <f t="shared" si="190"/>
        <v>11.290322580645162</v>
      </c>
      <c r="K61" s="1402">
        <f t="shared" si="282"/>
        <v>0.20908004778972522</v>
      </c>
      <c r="L61" s="1399"/>
      <c r="M61" s="492"/>
      <c r="N61" s="458">
        <f>IF(N58&gt;$J$67,$J$61,IF(N58&lt;$J$67,(IF(N58&lt;0,0,N58*$K$61))))</f>
        <v>2.9793906810035846</v>
      </c>
      <c r="O61" s="451">
        <f t="shared" ref="O61:T61" si="296">IF(O58&gt;$J$67,$J$61,IF(O58&lt;$J$67,(IF(O58&lt;0,0,O58*$K$61))))</f>
        <v>0</v>
      </c>
      <c r="P61" s="451">
        <f t="shared" si="296"/>
        <v>5.908602150537634</v>
      </c>
      <c r="Q61" s="451">
        <f t="shared" si="296"/>
        <v>0</v>
      </c>
      <c r="R61" s="451">
        <f t="shared" si="296"/>
        <v>1.0851254480286738</v>
      </c>
      <c r="S61" s="451">
        <f t="shared" si="296"/>
        <v>1.4802867383512546</v>
      </c>
      <c r="T61" s="463">
        <f t="shared" si="296"/>
        <v>0</v>
      </c>
      <c r="U61" s="479"/>
      <c r="V61" s="458">
        <f t="shared" si="252"/>
        <v>11.453405017921147</v>
      </c>
      <c r="W61" s="445">
        <f>$J$61*7</f>
        <v>79.032258064516128</v>
      </c>
      <c r="X61" s="1080">
        <f t="shared" si="193"/>
        <v>-67.578853046594986</v>
      </c>
      <c r="Y61" s="479"/>
      <c r="Z61" s="458">
        <f t="shared" ref="Z61:AF61" si="297">IF(Z58&gt;$J$67,$J$61,IF(Z58&lt;$J$67,(IF(Z58&lt;0,0,Z58*$K$61))))</f>
        <v>3.3996415770609318</v>
      </c>
      <c r="AA61" s="445">
        <f t="shared" si="297"/>
        <v>0</v>
      </c>
      <c r="AB61" s="445">
        <f t="shared" si="297"/>
        <v>2.5246415770609332</v>
      </c>
      <c r="AC61" s="445">
        <f t="shared" si="297"/>
        <v>1.6621863799283165</v>
      </c>
      <c r="AD61" s="445">
        <f t="shared" si="297"/>
        <v>0</v>
      </c>
      <c r="AE61" s="445">
        <f t="shared" ref="AE61" si="298">IF(AE58&gt;$J$67,$J$61,IF(AE58&lt;$J$67,(IF(AE58&lt;0,0,AE58*$K$61))))</f>
        <v>2.838261648745521</v>
      </c>
      <c r="AF61" s="463">
        <f t="shared" si="297"/>
        <v>1.0568996415770613</v>
      </c>
      <c r="AG61" s="479"/>
      <c r="AH61" s="458">
        <f t="shared" si="197"/>
        <v>11.481630824372763</v>
      </c>
      <c r="AI61" s="445">
        <f>$J$61*7</f>
        <v>79.032258064516128</v>
      </c>
      <c r="AJ61" s="1080">
        <f t="shared" si="198"/>
        <v>-67.55062724014337</v>
      </c>
      <c r="AK61" s="479"/>
      <c r="AL61" s="458">
        <f t="shared" ref="AL61:AR61" si="299">IF(AL58&gt;$J$67,$J$61,IF(AL58&lt;$J$67,(IF(AL58&lt;0,0,AL58*$K$61))))</f>
        <v>0</v>
      </c>
      <c r="AM61" s="451">
        <f t="shared" ref="AM61" si="300">IF(AM58&gt;$J$67,$J$61,IF(AM58&lt;$J$67,(IF(AM58&lt;0,0,AM58*$K$61))))</f>
        <v>0.12544802867383431</v>
      </c>
      <c r="AN61" s="451">
        <f t="shared" si="299"/>
        <v>0</v>
      </c>
      <c r="AO61" s="451">
        <f t="shared" si="299"/>
        <v>0</v>
      </c>
      <c r="AP61" s="451">
        <f t="shared" si="299"/>
        <v>0</v>
      </c>
      <c r="AQ61" s="451">
        <f t="shared" si="299"/>
        <v>0</v>
      </c>
      <c r="AR61" s="463">
        <f t="shared" si="299"/>
        <v>4.1335125448028665</v>
      </c>
      <c r="AS61" s="479"/>
      <c r="AT61" s="458">
        <f t="shared" si="288"/>
        <v>4.2589605734767009</v>
      </c>
      <c r="AU61" s="445">
        <f>$J$61*7</f>
        <v>79.032258064516128</v>
      </c>
      <c r="AV61" s="1080">
        <f t="shared" si="289"/>
        <v>-74.773297491039429</v>
      </c>
      <c r="AW61" s="479"/>
      <c r="AX61" s="458">
        <f t="shared" ref="AX61:BD61" si="301">IF(AX58&gt;$J$67,$J$61,IF(AX58&lt;$J$67,(IF(AX58&lt;0,0,AX58*$K$61))))</f>
        <v>8.07258064516129</v>
      </c>
      <c r="AY61" s="1298">
        <f t="shared" ref="AY61:AZ61" si="302">IF(AY58&gt;$J$67,$J$61,IF(AY58&lt;$J$67,(IF(AY58&lt;0,0,AY58*$K$61))))</f>
        <v>0.38888888888888917</v>
      </c>
      <c r="AZ61" s="1298">
        <f t="shared" si="302"/>
        <v>1.0224014336917553</v>
      </c>
      <c r="BA61" s="451">
        <f t="shared" si="301"/>
        <v>3.321236559139785</v>
      </c>
      <c r="BB61" s="451">
        <f t="shared" si="301"/>
        <v>2.9574372759856629</v>
      </c>
      <c r="BC61" s="451">
        <f t="shared" si="301"/>
        <v>0.41397849462365566</v>
      </c>
      <c r="BD61" s="463">
        <f t="shared" si="301"/>
        <v>0.20698924731182727</v>
      </c>
      <c r="BE61" s="479"/>
      <c r="BF61" s="458">
        <f t="shared" si="292"/>
        <v>16.383512544802866</v>
      </c>
      <c r="BG61" s="445">
        <f>$J$61*7</f>
        <v>79.032258064516128</v>
      </c>
      <c r="BH61" s="1080">
        <f t="shared" si="293"/>
        <v>-62.648745519713259</v>
      </c>
      <c r="BI61" s="479"/>
      <c r="BJ61" s="458">
        <f t="shared" ref="BJ61:BL61" si="303">IF(BJ58&gt;$J$67,$J$61,IF(BJ58&lt;$J$67,(IF(BJ58&lt;0,0,BJ58*$K$61))))</f>
        <v>0.20698924731182727</v>
      </c>
      <c r="BK61" s="451">
        <f t="shared" si="303"/>
        <v>2.4817801672640369</v>
      </c>
      <c r="BL61" s="463">
        <f t="shared" si="303"/>
        <v>3.9024790919952195</v>
      </c>
      <c r="BM61" s="479"/>
      <c r="BN61" s="458">
        <f t="shared" ref="BN61:BN66" si="304">SUM(BJ61:BL61)</f>
        <v>6.591248506571084</v>
      </c>
      <c r="BO61" s="445">
        <f>$J$61*3</f>
        <v>33.870967741935488</v>
      </c>
      <c r="BP61" s="1080">
        <f t="shared" si="295"/>
        <v>-27.279719235364404</v>
      </c>
      <c r="BR61" s="732"/>
      <c r="BS61" s="733"/>
      <c r="BU61" s="732">
        <f t="shared" si="209"/>
        <v>50.168757467144566</v>
      </c>
      <c r="BV61" s="734">
        <f t="shared" si="210"/>
        <v>0.14333930704898448</v>
      </c>
      <c r="BW61" s="4499"/>
      <c r="BZ61" s="62"/>
      <c r="CA61" s="81"/>
      <c r="CB61" s="81"/>
      <c r="CC61" s="81"/>
      <c r="CD61" s="81"/>
      <c r="CE61" s="81"/>
      <c r="CF61" s="81"/>
      <c r="CG61" s="81"/>
      <c r="CH61" s="81"/>
    </row>
    <row r="62" spans="1:86" x14ac:dyDescent="0.2">
      <c r="B62" s="464">
        <v>33</v>
      </c>
      <c r="C62" s="1596" t="s">
        <v>120</v>
      </c>
      <c r="D62" s="444"/>
      <c r="E62" s="459">
        <v>300</v>
      </c>
      <c r="F62" s="424">
        <f t="shared" si="211"/>
        <v>30</v>
      </c>
      <c r="G62" s="424">
        <f t="shared" si="212"/>
        <v>20</v>
      </c>
      <c r="H62" s="424">
        <f t="shared" si="213"/>
        <v>15</v>
      </c>
      <c r="I62" s="424">
        <f t="shared" si="214"/>
        <v>12</v>
      </c>
      <c r="J62" s="424">
        <f t="shared" si="190"/>
        <v>9.67741935483871</v>
      </c>
      <c r="K62" s="1403">
        <f t="shared" si="282"/>
        <v>0.17921146953405018</v>
      </c>
      <c r="L62" s="1398"/>
      <c r="M62" s="491"/>
      <c r="N62" s="459">
        <f>IF(N58&gt;$J$67,$J$62,IF(N58&lt;$J$67,(IF(N58&lt;0,0,N58*$K$62))))</f>
        <v>2.5537634408602155</v>
      </c>
      <c r="O62" s="424">
        <f t="shared" ref="O62:T62" si="305">IF(O58&gt;$J$67,$J$62,IF(O58&lt;$J$67,(IF(O58&lt;0,0,O58*$K$62))))</f>
        <v>0</v>
      </c>
      <c r="P62" s="424">
        <f t="shared" si="305"/>
        <v>5.064516129032258</v>
      </c>
      <c r="Q62" s="424">
        <f t="shared" si="305"/>
        <v>0</v>
      </c>
      <c r="R62" s="424">
        <f t="shared" si="305"/>
        <v>0.93010752688172038</v>
      </c>
      <c r="S62" s="424">
        <f t="shared" si="305"/>
        <v>1.2688172043010753</v>
      </c>
      <c r="T62" s="465">
        <f t="shared" si="305"/>
        <v>0</v>
      </c>
      <c r="U62" s="481"/>
      <c r="V62" s="459">
        <f t="shared" si="252"/>
        <v>9.8172043010752699</v>
      </c>
      <c r="W62" s="453">
        <f>$J$62*7</f>
        <v>67.741935483870975</v>
      </c>
      <c r="X62" s="1454">
        <f t="shared" si="193"/>
        <v>-57.924731182795703</v>
      </c>
      <c r="Y62" s="481"/>
      <c r="Z62" s="459">
        <f t="shared" ref="Z62:AF62" si="306">IF(Z58&gt;$J$67,$J$62,IF(Z58&lt;$J$67,(IF(Z58&lt;0,0,Z58*$K$62))))</f>
        <v>2.9139784946236555</v>
      </c>
      <c r="AA62" s="453">
        <f t="shared" si="306"/>
        <v>0</v>
      </c>
      <c r="AB62" s="453">
        <f t="shared" si="306"/>
        <v>2.1639784946236569</v>
      </c>
      <c r="AC62" s="453">
        <f t="shared" si="306"/>
        <v>1.4247311827956997</v>
      </c>
      <c r="AD62" s="453">
        <f t="shared" si="306"/>
        <v>0</v>
      </c>
      <c r="AE62" s="453">
        <f t="shared" ref="AE62" si="307">IF(AE58&gt;$J$67,$J$62,IF(AE58&lt;$J$67,(IF(AE58&lt;0,0,AE58*$K$62))))</f>
        <v>2.4327956989247319</v>
      </c>
      <c r="AF62" s="465">
        <f t="shared" si="306"/>
        <v>0.90591397849462396</v>
      </c>
      <c r="AG62" s="481"/>
      <c r="AH62" s="459">
        <f t="shared" si="197"/>
        <v>9.8413978494623677</v>
      </c>
      <c r="AI62" s="453">
        <f>$J$62*7</f>
        <v>67.741935483870975</v>
      </c>
      <c r="AJ62" s="1454">
        <f t="shared" si="198"/>
        <v>-57.900537634408607</v>
      </c>
      <c r="AK62" s="481"/>
      <c r="AL62" s="459">
        <f t="shared" ref="AL62:AR62" si="308">IF(AL58&gt;$J$67,$J$62,IF(AL58&lt;$J$67,(IF(AL58&lt;0,0,AL58*$K$62))))</f>
        <v>0</v>
      </c>
      <c r="AM62" s="424">
        <f t="shared" ref="AM62" si="309">IF(AM58&gt;$J$67,$J$62,IF(AM58&lt;$J$67,(IF(AM58&lt;0,0,AM58*$K$62))))</f>
        <v>0.1075268817204294</v>
      </c>
      <c r="AN62" s="424">
        <f t="shared" si="308"/>
        <v>0</v>
      </c>
      <c r="AO62" s="424">
        <f t="shared" si="308"/>
        <v>0</v>
      </c>
      <c r="AP62" s="424">
        <f t="shared" si="308"/>
        <v>0</v>
      </c>
      <c r="AQ62" s="424">
        <f t="shared" si="308"/>
        <v>0</v>
      </c>
      <c r="AR62" s="465">
        <f t="shared" si="308"/>
        <v>3.5430107526881711</v>
      </c>
      <c r="AS62" s="481"/>
      <c r="AT62" s="459">
        <f t="shared" si="288"/>
        <v>3.6505376344086007</v>
      </c>
      <c r="AU62" s="453">
        <f>$J$62*7</f>
        <v>67.741935483870975</v>
      </c>
      <c r="AV62" s="1454">
        <f t="shared" si="289"/>
        <v>-64.091397849462368</v>
      </c>
      <c r="AW62" s="481"/>
      <c r="AX62" s="459">
        <f t="shared" ref="AX62:BD62" si="310">IF(AX58&gt;$J$67,$J$62,IF(AX58&lt;$J$67,(IF(AX58&lt;0,0,AX58*$K$62))))</f>
        <v>6.9193548387096762</v>
      </c>
      <c r="AY62" s="1299">
        <f t="shared" ref="AY62:AZ62" si="311">IF(AY58&gt;$J$67,$J$62,IF(AY58&lt;$J$67,(IF(AY58&lt;0,0,AY58*$K$62))))</f>
        <v>0.33333333333333354</v>
      </c>
      <c r="AZ62" s="1299">
        <f t="shared" si="311"/>
        <v>0.87634408602150449</v>
      </c>
      <c r="BA62" s="424">
        <f t="shared" si="310"/>
        <v>2.846774193548387</v>
      </c>
      <c r="BB62" s="424">
        <f t="shared" si="310"/>
        <v>2.5349462365591395</v>
      </c>
      <c r="BC62" s="424">
        <f t="shared" si="310"/>
        <v>0.3548387096774191</v>
      </c>
      <c r="BD62" s="465">
        <f t="shared" si="310"/>
        <v>0.17741935483870908</v>
      </c>
      <c r="BE62" s="481"/>
      <c r="BF62" s="459">
        <f t="shared" si="292"/>
        <v>14.043010752688168</v>
      </c>
      <c r="BG62" s="453">
        <f>$J$62*7</f>
        <v>67.741935483870975</v>
      </c>
      <c r="BH62" s="1454">
        <f t="shared" si="293"/>
        <v>-53.698924731182807</v>
      </c>
      <c r="BI62" s="481"/>
      <c r="BJ62" s="459">
        <f t="shared" ref="BJ62:BL62" si="312">IF(BJ58&gt;$J$67,$J$62,IF(BJ58&lt;$J$67,(IF(BJ58&lt;0,0,BJ58*$K$62))))</f>
        <v>0.17741935483870908</v>
      </c>
      <c r="BK62" s="424">
        <f t="shared" si="312"/>
        <v>2.1272401433691743</v>
      </c>
      <c r="BL62" s="465">
        <f t="shared" si="312"/>
        <v>3.3449820788530453</v>
      </c>
      <c r="BM62" s="481"/>
      <c r="BN62" s="459">
        <f t="shared" si="304"/>
        <v>5.6496415770609287</v>
      </c>
      <c r="BO62" s="453">
        <f>$J$62*3</f>
        <v>29.032258064516128</v>
      </c>
      <c r="BP62" s="1454">
        <f t="shared" si="295"/>
        <v>-23.382616487455198</v>
      </c>
      <c r="BR62" s="729"/>
      <c r="BS62" s="730"/>
      <c r="BU62" s="729">
        <f t="shared" si="209"/>
        <v>43.001792114695334</v>
      </c>
      <c r="BV62" s="731">
        <f t="shared" si="210"/>
        <v>0.14333930704898445</v>
      </c>
      <c r="BW62" s="4499"/>
      <c r="BZ62" s="29"/>
      <c r="CA62" s="1574"/>
      <c r="CB62" s="1574"/>
      <c r="CC62" s="1574"/>
      <c r="CD62" s="1574"/>
      <c r="CE62" s="1574"/>
      <c r="CF62" s="1574"/>
      <c r="CG62" s="1574"/>
      <c r="CH62" s="1574"/>
    </row>
    <row r="63" spans="1:86" s="255" customFormat="1" x14ac:dyDescent="0.2">
      <c r="A63" s="774"/>
      <c r="B63" s="462">
        <v>34</v>
      </c>
      <c r="C63" s="1595" t="s">
        <v>133</v>
      </c>
      <c r="D63" s="438"/>
      <c r="E63" s="458">
        <v>209</v>
      </c>
      <c r="F63" s="451">
        <f t="shared" si="211"/>
        <v>20.9</v>
      </c>
      <c r="G63" s="451">
        <f t="shared" si="212"/>
        <v>13.933333333333334</v>
      </c>
      <c r="H63" s="451">
        <f t="shared" si="213"/>
        <v>10.45</v>
      </c>
      <c r="I63" s="451">
        <f t="shared" si="214"/>
        <v>8.36</v>
      </c>
      <c r="J63" s="451">
        <f t="shared" si="190"/>
        <v>6.741935483870968</v>
      </c>
      <c r="K63" s="1402">
        <f t="shared" si="282"/>
        <v>0.12485065710872162</v>
      </c>
      <c r="L63" s="1399"/>
      <c r="M63" s="492"/>
      <c r="N63" s="458">
        <f>IF(N58&gt;$J$67,$J$63,IF(N58&lt;$J$67,(IF(N58&lt;0,0,N58*$K$63))))</f>
        <v>1.7791218637992834</v>
      </c>
      <c r="O63" s="451">
        <f t="shared" ref="O63:T63" si="313">IF(O58&gt;$J$67,$J$63,IF(O58&lt;$J$67,(IF(O58&lt;0,0,O58*$K$63))))</f>
        <v>0</v>
      </c>
      <c r="P63" s="451">
        <f t="shared" si="313"/>
        <v>3.5282795698924727</v>
      </c>
      <c r="Q63" s="451">
        <f t="shared" si="313"/>
        <v>0</v>
      </c>
      <c r="R63" s="451">
        <f t="shared" si="313"/>
        <v>0.64797491039426514</v>
      </c>
      <c r="S63" s="451">
        <f t="shared" si="313"/>
        <v>0.88394265232974911</v>
      </c>
      <c r="T63" s="463">
        <f t="shared" si="313"/>
        <v>0</v>
      </c>
      <c r="U63" s="479"/>
      <c r="V63" s="458">
        <f t="shared" si="252"/>
        <v>6.8393189964157699</v>
      </c>
      <c r="W63" s="445">
        <f>$J$63*7</f>
        <v>47.193548387096776</v>
      </c>
      <c r="X63" s="1080">
        <f t="shared" si="193"/>
        <v>-40.354229390681006</v>
      </c>
      <c r="Y63" s="479"/>
      <c r="Z63" s="458">
        <f t="shared" ref="Z63:AF63" si="314">IF(Z58&gt;$J$67,$J$63,IF(Z58&lt;$J$67,(IF(Z58&lt;0,0,Z58*$K$63))))</f>
        <v>2.0300716845878131</v>
      </c>
      <c r="AA63" s="445">
        <f t="shared" si="314"/>
        <v>0</v>
      </c>
      <c r="AB63" s="445">
        <f t="shared" si="314"/>
        <v>1.5075716845878142</v>
      </c>
      <c r="AC63" s="445">
        <f t="shared" si="314"/>
        <v>0.99256272401433743</v>
      </c>
      <c r="AD63" s="445">
        <f t="shared" si="314"/>
        <v>0</v>
      </c>
      <c r="AE63" s="445">
        <f t="shared" ref="AE63" si="315">IF(AE58&gt;$J$67,$J$63,IF(AE58&lt;$J$67,(IF(AE58&lt;0,0,AE58*$K$63))))</f>
        <v>1.6948476702508966</v>
      </c>
      <c r="AF63" s="463">
        <f t="shared" si="314"/>
        <v>0.63112007168458795</v>
      </c>
      <c r="AG63" s="479"/>
      <c r="AH63" s="458">
        <f t="shared" si="197"/>
        <v>6.8561738351254498</v>
      </c>
      <c r="AI63" s="445">
        <f>$J$63*7</f>
        <v>47.193548387096776</v>
      </c>
      <c r="AJ63" s="1080">
        <f t="shared" si="198"/>
        <v>-40.337374551971322</v>
      </c>
      <c r="AK63" s="479"/>
      <c r="AL63" s="458">
        <f t="shared" ref="AL63:AR63" si="316">IF(AL58&gt;$J$67,$J$63,IF(AL58&lt;$J$67,(IF(AL58&lt;0,0,AL58*$K$63))))</f>
        <v>0</v>
      </c>
      <c r="AM63" s="451">
        <f t="shared" ref="AM63" si="317">IF(AM58&gt;$J$67,$J$63,IF(AM58&lt;$J$67,(IF(AM58&lt;0,0,AM58*$K$63))))</f>
        <v>7.491039426523248E-2</v>
      </c>
      <c r="AN63" s="451">
        <f t="shared" si="316"/>
        <v>0</v>
      </c>
      <c r="AO63" s="451">
        <f t="shared" si="316"/>
        <v>0</v>
      </c>
      <c r="AP63" s="451">
        <f t="shared" si="316"/>
        <v>0</v>
      </c>
      <c r="AQ63" s="451">
        <f t="shared" si="316"/>
        <v>0</v>
      </c>
      <c r="AR63" s="463">
        <f t="shared" si="316"/>
        <v>2.4682974910394258</v>
      </c>
      <c r="AS63" s="479"/>
      <c r="AT63" s="458">
        <f t="shared" si="288"/>
        <v>2.5432078853046582</v>
      </c>
      <c r="AU63" s="445">
        <f>$J$63*7</f>
        <v>47.193548387096776</v>
      </c>
      <c r="AV63" s="1080">
        <f t="shared" si="289"/>
        <v>-44.650340501792115</v>
      </c>
      <c r="AW63" s="479"/>
      <c r="AX63" s="458">
        <f t="shared" ref="AX63:BD63" si="318">IF(AX58&gt;$J$67,$J$63,IF(AX58&lt;$J$67,(IF(AX58&lt;0,0,AX58*$K$63))))</f>
        <v>4.8204838709677409</v>
      </c>
      <c r="AY63" s="1298">
        <f t="shared" ref="AY63:AZ63" si="319">IF(AY58&gt;$J$67,$J$63,IF(AY58&lt;$J$67,(IF(AY58&lt;0,0,AY58*$K$63))))</f>
        <v>0.23222222222222236</v>
      </c>
      <c r="AZ63" s="1298">
        <f t="shared" si="319"/>
        <v>0.61051971326164811</v>
      </c>
      <c r="BA63" s="451">
        <f t="shared" si="318"/>
        <v>1.9832526881720429</v>
      </c>
      <c r="BB63" s="451">
        <f t="shared" si="318"/>
        <v>1.766012544802867</v>
      </c>
      <c r="BC63" s="451">
        <f t="shared" si="318"/>
        <v>0.24720430107526864</v>
      </c>
      <c r="BD63" s="463">
        <f t="shared" si="318"/>
        <v>0.12360215053763399</v>
      </c>
      <c r="BE63" s="479"/>
      <c r="BF63" s="458">
        <f t="shared" si="292"/>
        <v>9.7832974910394235</v>
      </c>
      <c r="BG63" s="445">
        <f>$J$63*7</f>
        <v>47.193548387096776</v>
      </c>
      <c r="BH63" s="1080">
        <f t="shared" si="293"/>
        <v>-37.410250896057349</v>
      </c>
      <c r="BI63" s="479"/>
      <c r="BJ63" s="458">
        <f t="shared" ref="BJ63:BL63" si="320">IF(BJ58&gt;$J$67,$J$63,IF(BJ58&lt;$J$67,(IF(BJ58&lt;0,0,BJ58*$K$63))))</f>
        <v>0.12360215053763399</v>
      </c>
      <c r="BK63" s="451">
        <f t="shared" si="320"/>
        <v>1.4819772998805247</v>
      </c>
      <c r="BL63" s="463">
        <f t="shared" si="320"/>
        <v>2.3303375149342882</v>
      </c>
      <c r="BM63" s="479"/>
      <c r="BN63" s="458">
        <f t="shared" si="304"/>
        <v>3.9359169653524466</v>
      </c>
      <c r="BO63" s="445">
        <f>$J$63*3</f>
        <v>20.225806451612904</v>
      </c>
      <c r="BP63" s="1080">
        <f t="shared" si="295"/>
        <v>-16.289889486260456</v>
      </c>
      <c r="BR63" s="732"/>
      <c r="BS63" s="733"/>
      <c r="BU63" s="732">
        <f t="shared" si="209"/>
        <v>29.957915173237748</v>
      </c>
      <c r="BV63" s="734">
        <f t="shared" si="210"/>
        <v>0.14333930704898443</v>
      </c>
      <c r="BW63" s="4499"/>
      <c r="BZ63" s="62"/>
      <c r="CA63" s="81"/>
      <c r="CB63" s="81"/>
      <c r="CC63" s="81"/>
      <c r="CD63" s="81"/>
      <c r="CE63" s="81"/>
      <c r="CF63" s="81"/>
      <c r="CG63" s="81"/>
      <c r="CH63" s="81"/>
    </row>
    <row r="64" spans="1:86" x14ac:dyDescent="0.2">
      <c r="B64" s="464">
        <v>35</v>
      </c>
      <c r="C64" s="1596" t="s">
        <v>4</v>
      </c>
      <c r="D64" s="444"/>
      <c r="E64" s="459">
        <v>150</v>
      </c>
      <c r="F64" s="424">
        <f t="shared" si="211"/>
        <v>15</v>
      </c>
      <c r="G64" s="424">
        <f t="shared" si="212"/>
        <v>10</v>
      </c>
      <c r="H64" s="424">
        <f t="shared" si="213"/>
        <v>7.5</v>
      </c>
      <c r="I64" s="424">
        <f t="shared" si="214"/>
        <v>6</v>
      </c>
      <c r="J64" s="424">
        <f t="shared" si="190"/>
        <v>4.838709677419355</v>
      </c>
      <c r="K64" s="1403">
        <f t="shared" si="282"/>
        <v>8.9605734767025089E-2</v>
      </c>
      <c r="L64" s="1398"/>
      <c r="M64" s="491"/>
      <c r="N64" s="459">
        <f>IF(N58&gt;$J$67,$J$64,IF(N58&lt;$J$67,(IF(N58&lt;0,0,N58*$K$64))))</f>
        <v>1.2768817204301077</v>
      </c>
      <c r="O64" s="424">
        <f t="shared" ref="O64:T64" si="321">IF(O58&gt;$J$67,$J$64,IF(O58&lt;$J$67,(IF(O58&lt;0,0,O58*$K$64))))</f>
        <v>0</v>
      </c>
      <c r="P64" s="424">
        <f t="shared" si="321"/>
        <v>2.532258064516129</v>
      </c>
      <c r="Q64" s="424">
        <f t="shared" si="321"/>
        <v>0</v>
      </c>
      <c r="R64" s="424">
        <f t="shared" si="321"/>
        <v>0.46505376344086019</v>
      </c>
      <c r="S64" s="424">
        <f t="shared" si="321"/>
        <v>0.63440860215053763</v>
      </c>
      <c r="T64" s="465">
        <f t="shared" si="321"/>
        <v>0</v>
      </c>
      <c r="U64" s="481"/>
      <c r="V64" s="459">
        <f t="shared" si="252"/>
        <v>4.9086021505376349</v>
      </c>
      <c r="W64" s="453">
        <f>$J$64*7</f>
        <v>33.870967741935488</v>
      </c>
      <c r="X64" s="1454">
        <f t="shared" si="193"/>
        <v>-28.962365591397852</v>
      </c>
      <c r="Y64" s="481"/>
      <c r="Z64" s="459">
        <f t="shared" ref="Z64:AF64" si="322">IF(Z58&gt;$J$67,$J$64,IF(Z58&lt;$J$67,(IF(Z58&lt;0,0,Z58*$K$64))))</f>
        <v>1.4569892473118278</v>
      </c>
      <c r="AA64" s="453">
        <f t="shared" si="322"/>
        <v>0</v>
      </c>
      <c r="AB64" s="453">
        <f t="shared" si="322"/>
        <v>1.0819892473118284</v>
      </c>
      <c r="AC64" s="453">
        <f t="shared" si="322"/>
        <v>0.71236559139784983</v>
      </c>
      <c r="AD64" s="453">
        <f t="shared" si="322"/>
        <v>0</v>
      </c>
      <c r="AE64" s="453">
        <f t="shared" ref="AE64" si="323">IF(AE58&gt;$J$67,$J$64,IF(AE58&lt;$J$67,(IF(AE58&lt;0,0,AE58*$K$64))))</f>
        <v>1.216397849462366</v>
      </c>
      <c r="AF64" s="465">
        <f t="shared" si="322"/>
        <v>0.45295698924731198</v>
      </c>
      <c r="AG64" s="481"/>
      <c r="AH64" s="459">
        <f t="shared" si="197"/>
        <v>4.9206989247311839</v>
      </c>
      <c r="AI64" s="453">
        <f>$J$64*7</f>
        <v>33.870967741935488</v>
      </c>
      <c r="AJ64" s="1454">
        <f t="shared" si="198"/>
        <v>-28.950268817204304</v>
      </c>
      <c r="AK64" s="481"/>
      <c r="AL64" s="459">
        <f t="shared" ref="AL64:AR64" si="324">IF(AL58&gt;$J$67,$J$64,IF(AL58&lt;$J$67,(IF(AL58&lt;0,0,AL58*$K$64))))</f>
        <v>0</v>
      </c>
      <c r="AM64" s="424">
        <f t="shared" ref="AM64" si="325">IF(AM58&gt;$J$67,$J$64,IF(AM58&lt;$J$67,(IF(AM58&lt;0,0,AM58*$K$64))))</f>
        <v>5.3763440860214701E-2</v>
      </c>
      <c r="AN64" s="424">
        <f t="shared" si="324"/>
        <v>0</v>
      </c>
      <c r="AO64" s="424">
        <f t="shared" si="324"/>
        <v>0</v>
      </c>
      <c r="AP64" s="424">
        <f t="shared" si="324"/>
        <v>0</v>
      </c>
      <c r="AQ64" s="424">
        <f t="shared" si="324"/>
        <v>0</v>
      </c>
      <c r="AR64" s="465">
        <f t="shared" si="324"/>
        <v>1.7715053763440856</v>
      </c>
      <c r="AS64" s="481"/>
      <c r="AT64" s="459">
        <f t="shared" si="288"/>
        <v>1.8252688172043003</v>
      </c>
      <c r="AU64" s="453">
        <f>$J$64*7</f>
        <v>33.870967741935488</v>
      </c>
      <c r="AV64" s="1454">
        <f t="shared" si="289"/>
        <v>-32.045698924731184</v>
      </c>
      <c r="AW64" s="481"/>
      <c r="AX64" s="459">
        <f t="shared" ref="AX64:BD64" si="326">IF(AX58&gt;$J$67,$J$64,IF(AX58&lt;$J$67,(IF(AX58&lt;0,0,AX58*$K$64))))</f>
        <v>3.4596774193548381</v>
      </c>
      <c r="AY64" s="1299">
        <f t="shared" ref="AY64:AZ64" si="327">IF(AY58&gt;$J$67,$J$64,IF(AY58&lt;$J$67,(IF(AY58&lt;0,0,AY58*$K$64))))</f>
        <v>0.16666666666666677</v>
      </c>
      <c r="AZ64" s="1299">
        <f t="shared" si="327"/>
        <v>0.43817204301075224</v>
      </c>
      <c r="BA64" s="424">
        <f t="shared" si="326"/>
        <v>1.4233870967741935</v>
      </c>
      <c r="BB64" s="424">
        <f t="shared" si="326"/>
        <v>1.2674731182795698</v>
      </c>
      <c r="BC64" s="424">
        <f t="shared" si="326"/>
        <v>0.17741935483870955</v>
      </c>
      <c r="BD64" s="465">
        <f t="shared" si="326"/>
        <v>8.8709677419354538E-2</v>
      </c>
      <c r="BE64" s="481"/>
      <c r="BF64" s="459">
        <f t="shared" si="292"/>
        <v>7.0215053763440842</v>
      </c>
      <c r="BG64" s="453">
        <f>$J$64*7</f>
        <v>33.870967741935488</v>
      </c>
      <c r="BH64" s="1454">
        <f t="shared" si="293"/>
        <v>-26.849462365591403</v>
      </c>
      <c r="BI64" s="481"/>
      <c r="BJ64" s="459">
        <f t="shared" ref="BJ64:BL64" si="328">IF(BJ58&gt;$J$67,$J$64,IF(BJ58&lt;$J$67,(IF(BJ58&lt;0,0,BJ58*$K$64))))</f>
        <v>8.8709677419354538E-2</v>
      </c>
      <c r="BK64" s="424">
        <f t="shared" si="328"/>
        <v>1.0636200716845872</v>
      </c>
      <c r="BL64" s="465">
        <f t="shared" si="328"/>
        <v>1.6724910394265227</v>
      </c>
      <c r="BM64" s="481"/>
      <c r="BN64" s="459">
        <f t="shared" si="304"/>
        <v>2.8248207885304644</v>
      </c>
      <c r="BO64" s="453">
        <f>$J$64*3</f>
        <v>14.516129032258064</v>
      </c>
      <c r="BP64" s="1454">
        <f t="shared" si="295"/>
        <v>-11.691308243727599</v>
      </c>
      <c r="BR64" s="729"/>
      <c r="BS64" s="730"/>
      <c r="BU64" s="729">
        <f t="shared" si="209"/>
        <v>21.500896057347667</v>
      </c>
      <c r="BV64" s="731">
        <f t="shared" si="210"/>
        <v>0.14333930704898445</v>
      </c>
      <c r="BW64" s="4499"/>
      <c r="BZ64" s="29"/>
      <c r="CA64" s="1574"/>
      <c r="CB64" s="1574"/>
      <c r="CC64" s="1574"/>
      <c r="CD64" s="1574"/>
      <c r="CE64" s="1574"/>
      <c r="CF64" s="1574"/>
      <c r="CG64" s="1574"/>
      <c r="CH64" s="1574"/>
    </row>
    <row r="65" spans="1:86" s="255" customFormat="1" x14ac:dyDescent="0.2">
      <c r="B65" s="462">
        <v>36</v>
      </c>
      <c r="C65" s="1595" t="s">
        <v>122</v>
      </c>
      <c r="D65" s="438"/>
      <c r="E65" s="458">
        <v>100</v>
      </c>
      <c r="F65" s="451">
        <f t="shared" si="211"/>
        <v>10</v>
      </c>
      <c r="G65" s="451">
        <f t="shared" si="212"/>
        <v>6.666666666666667</v>
      </c>
      <c r="H65" s="451">
        <f t="shared" si="213"/>
        <v>5</v>
      </c>
      <c r="I65" s="451">
        <f t="shared" si="214"/>
        <v>4</v>
      </c>
      <c r="J65" s="451">
        <f t="shared" si="190"/>
        <v>3.225806451612903</v>
      </c>
      <c r="K65" s="1402">
        <f t="shared" si="282"/>
        <v>5.9737156511350059E-2</v>
      </c>
      <c r="L65" s="1399"/>
      <c r="M65" s="492"/>
      <c r="N65" s="458">
        <f>IF(N58&gt;$J$67,$J$65,IF(N58&lt;$J$67,(IF(N58&lt;0,0,N58*$K$65))))</f>
        <v>0.85125448028673845</v>
      </c>
      <c r="O65" s="451">
        <f t="shared" ref="O65:T65" si="329">IF(O58&gt;$J$67,$J$65,IF(O58&lt;$J$67,(IF(O58&lt;0,0,O58*$K$65))))</f>
        <v>0</v>
      </c>
      <c r="P65" s="451">
        <f t="shared" si="329"/>
        <v>1.6881720430107525</v>
      </c>
      <c r="Q65" s="451">
        <f t="shared" si="329"/>
        <v>0</v>
      </c>
      <c r="R65" s="451">
        <f t="shared" si="329"/>
        <v>0.31003584229390679</v>
      </c>
      <c r="S65" s="451">
        <f t="shared" si="329"/>
        <v>0.42293906810035842</v>
      </c>
      <c r="T65" s="463">
        <f t="shared" si="329"/>
        <v>0</v>
      </c>
      <c r="U65" s="479"/>
      <c r="V65" s="458">
        <f t="shared" si="252"/>
        <v>3.2724014336917557</v>
      </c>
      <c r="W65" s="445">
        <f>$J$65*7</f>
        <v>22.58064516129032</v>
      </c>
      <c r="X65" s="1080">
        <f t="shared" si="193"/>
        <v>-19.308243727598565</v>
      </c>
      <c r="Y65" s="479"/>
      <c r="Z65" s="458">
        <f t="shared" ref="Z65:AF65" si="330">IF(Z58&gt;$J$67,$J$65,IF(Z58&lt;$J$67,(IF(Z58&lt;0,0,Z58*$K$65))))</f>
        <v>0.97132616487455181</v>
      </c>
      <c r="AA65" s="445">
        <f t="shared" si="330"/>
        <v>0</v>
      </c>
      <c r="AB65" s="445">
        <f t="shared" si="330"/>
        <v>0.72132616487455226</v>
      </c>
      <c r="AC65" s="445">
        <f t="shared" si="330"/>
        <v>0.47491039426523324</v>
      </c>
      <c r="AD65" s="445">
        <f t="shared" si="330"/>
        <v>0</v>
      </c>
      <c r="AE65" s="445">
        <f t="shared" ref="AE65" si="331">IF(AE58&gt;$J$67,$J$65,IF(AE58&lt;$J$67,(IF(AE58&lt;0,0,AE58*$K$65))))</f>
        <v>0.8109318996415773</v>
      </c>
      <c r="AF65" s="463">
        <f t="shared" si="330"/>
        <v>0.30197132616487465</v>
      </c>
      <c r="AG65" s="479"/>
      <c r="AH65" s="458">
        <f t="shared" si="197"/>
        <v>3.2804659498207891</v>
      </c>
      <c r="AI65" s="445">
        <f>$J$65*7</f>
        <v>22.58064516129032</v>
      </c>
      <c r="AJ65" s="1080">
        <f t="shared" si="198"/>
        <v>-19.30017921146953</v>
      </c>
      <c r="AK65" s="479"/>
      <c r="AL65" s="458">
        <f t="shared" ref="AL65:AR65" si="332">IF(AL58&gt;$J$67,$J$65,IF(AL58&lt;$J$67,(IF(AL58&lt;0,0,AL58*$K$65))))</f>
        <v>0</v>
      </c>
      <c r="AM65" s="451">
        <f t="shared" ref="AM65" si="333">IF(AM58&gt;$J$67,$J$65,IF(AM58&lt;$J$67,(IF(AM58&lt;0,0,AM58*$K$65))))</f>
        <v>3.5842293906809805E-2</v>
      </c>
      <c r="AN65" s="451">
        <f t="shared" si="332"/>
        <v>0</v>
      </c>
      <c r="AO65" s="451">
        <f t="shared" si="332"/>
        <v>0</v>
      </c>
      <c r="AP65" s="451">
        <f t="shared" si="332"/>
        <v>0</v>
      </c>
      <c r="AQ65" s="451">
        <f t="shared" si="332"/>
        <v>0</v>
      </c>
      <c r="AR65" s="463">
        <f t="shared" si="332"/>
        <v>1.1810035842293904</v>
      </c>
      <c r="AS65" s="479"/>
      <c r="AT65" s="458">
        <f t="shared" si="288"/>
        <v>1.2168458781362002</v>
      </c>
      <c r="AU65" s="445">
        <f>$J$65*7</f>
        <v>22.58064516129032</v>
      </c>
      <c r="AV65" s="1080">
        <f t="shared" si="289"/>
        <v>-21.363799283154119</v>
      </c>
      <c r="AW65" s="479"/>
      <c r="AX65" s="458">
        <f t="shared" ref="AX65:BD65" si="334">IF(AX58&gt;$J$67,$J$65,IF(AX58&lt;$J$67,(IF(AX58&lt;0,0,AX58*$K$65))))</f>
        <v>2.3064516129032255</v>
      </c>
      <c r="AY65" s="1298">
        <f t="shared" ref="AY65:AZ65" si="335">IF(AY58&gt;$J$67,$J$65,IF(AY58&lt;$J$67,(IF(AY58&lt;0,0,AY58*$K$65))))</f>
        <v>0.11111111111111119</v>
      </c>
      <c r="AZ65" s="1298">
        <f t="shared" si="335"/>
        <v>0.2921146953405015</v>
      </c>
      <c r="BA65" s="451">
        <f t="shared" si="334"/>
        <v>0.94892473118279563</v>
      </c>
      <c r="BB65" s="451">
        <f t="shared" si="334"/>
        <v>0.84498207885304644</v>
      </c>
      <c r="BC65" s="451">
        <f t="shared" si="334"/>
        <v>0.11827956989247304</v>
      </c>
      <c r="BD65" s="463">
        <f t="shared" si="334"/>
        <v>5.9139784946236361E-2</v>
      </c>
      <c r="BE65" s="479"/>
      <c r="BF65" s="458">
        <f t="shared" si="292"/>
        <v>4.6810035842293889</v>
      </c>
      <c r="BG65" s="445">
        <f>$J$65*7</f>
        <v>22.58064516129032</v>
      </c>
      <c r="BH65" s="1080">
        <f t="shared" si="293"/>
        <v>-17.899641577060933</v>
      </c>
      <c r="BI65" s="479"/>
      <c r="BJ65" s="458">
        <f t="shared" ref="BJ65:BL65" si="336">IF(BJ58&gt;$J$67,$J$65,IF(BJ58&lt;$J$67,(IF(BJ58&lt;0,0,BJ58*$K$65))))</f>
        <v>5.9139784946236361E-2</v>
      </c>
      <c r="BK65" s="451">
        <f t="shared" si="336"/>
        <v>0.70908004778972478</v>
      </c>
      <c r="BL65" s="463">
        <f t="shared" si="336"/>
        <v>1.1149940262843483</v>
      </c>
      <c r="BM65" s="479"/>
      <c r="BN65" s="458">
        <f t="shared" si="304"/>
        <v>1.8832138590203096</v>
      </c>
      <c r="BO65" s="445">
        <f>$J$65*3</f>
        <v>9.6774193548387082</v>
      </c>
      <c r="BP65" s="1080">
        <f t="shared" si="295"/>
        <v>-7.7942054958183986</v>
      </c>
      <c r="BR65" s="732"/>
      <c r="BS65" s="733"/>
      <c r="BU65" s="732">
        <f t="shared" si="209"/>
        <v>14.333930704898442</v>
      </c>
      <c r="BV65" s="734">
        <f t="shared" si="210"/>
        <v>0.14333930704898443</v>
      </c>
      <c r="BW65" s="4499"/>
      <c r="BZ65" s="62"/>
      <c r="CA65" s="81"/>
      <c r="CB65" s="81"/>
      <c r="CC65" s="81"/>
      <c r="CD65" s="81"/>
      <c r="CE65" s="81"/>
      <c r="CF65" s="81"/>
      <c r="CG65" s="81"/>
      <c r="CH65" s="81"/>
    </row>
    <row r="66" spans="1:86" ht="15.75" thickBot="1" x14ac:dyDescent="0.25">
      <c r="B66" s="464">
        <v>37</v>
      </c>
      <c r="C66" s="1596" t="s">
        <v>171</v>
      </c>
      <c r="D66" s="444"/>
      <c r="E66" s="459">
        <v>100</v>
      </c>
      <c r="F66" s="424">
        <f t="shared" si="211"/>
        <v>10</v>
      </c>
      <c r="G66" s="424">
        <f t="shared" si="212"/>
        <v>6.666666666666667</v>
      </c>
      <c r="H66" s="424">
        <f t="shared" si="213"/>
        <v>5</v>
      </c>
      <c r="I66" s="424">
        <f t="shared" si="214"/>
        <v>4</v>
      </c>
      <c r="J66" s="424">
        <f t="shared" si="190"/>
        <v>3.225806451612903</v>
      </c>
      <c r="K66" s="1403">
        <f t="shared" si="282"/>
        <v>5.9737156511350059E-2</v>
      </c>
      <c r="L66" s="1398"/>
      <c r="M66" s="491"/>
      <c r="N66" s="459">
        <f>IF(N58&gt;$J$67,$J$66,IF(N58&lt;$J$67,(IF(N58&lt;0,0,N58*$K$66))))</f>
        <v>0.85125448028673845</v>
      </c>
      <c r="O66" s="424">
        <f t="shared" ref="O66:T66" si="337">IF(O58&gt;$J$67,$J$66,IF(O58&lt;$J$67,(IF(O58&lt;0,0,O58*$K$66))))</f>
        <v>0</v>
      </c>
      <c r="P66" s="424">
        <f t="shared" si="337"/>
        <v>1.6881720430107525</v>
      </c>
      <c r="Q66" s="424">
        <f t="shared" si="337"/>
        <v>0</v>
      </c>
      <c r="R66" s="424">
        <f t="shared" si="337"/>
        <v>0.31003584229390679</v>
      </c>
      <c r="S66" s="424">
        <f t="shared" si="337"/>
        <v>0.42293906810035842</v>
      </c>
      <c r="T66" s="465">
        <f t="shared" si="337"/>
        <v>0</v>
      </c>
      <c r="U66" s="481"/>
      <c r="V66" s="1121">
        <f t="shared" si="56"/>
        <v>3.2724014336917557</v>
      </c>
      <c r="W66" s="1118">
        <f>$J$66*7</f>
        <v>22.58064516129032</v>
      </c>
      <c r="X66" s="1123">
        <f t="shared" si="193"/>
        <v>-19.308243727598565</v>
      </c>
      <c r="Y66" s="481"/>
      <c r="Z66" s="1121">
        <f t="shared" ref="Z66:AF66" si="338">IF(Z58&gt;$J$67,$J$66,IF(Z58&lt;$J$67,(IF(Z58&lt;0,0,Z58*$K$66))))</f>
        <v>0.97132616487455181</v>
      </c>
      <c r="AA66" s="1118">
        <f t="shared" si="338"/>
        <v>0</v>
      </c>
      <c r="AB66" s="1118">
        <f t="shared" si="338"/>
        <v>0.72132616487455226</v>
      </c>
      <c r="AC66" s="1118">
        <f t="shared" si="338"/>
        <v>0.47491039426523324</v>
      </c>
      <c r="AD66" s="1118">
        <f t="shared" si="338"/>
        <v>0</v>
      </c>
      <c r="AE66" s="1118">
        <f t="shared" ref="AE66" si="339">IF(AE58&gt;$J$67,$J$66,IF(AE58&lt;$J$67,(IF(AE58&lt;0,0,AE58*$K$66))))</f>
        <v>0.8109318996415773</v>
      </c>
      <c r="AF66" s="1122">
        <f t="shared" si="338"/>
        <v>0.30197132616487465</v>
      </c>
      <c r="AG66" s="481"/>
      <c r="AH66" s="1121">
        <f t="shared" si="197"/>
        <v>3.2804659498207891</v>
      </c>
      <c r="AI66" s="1118">
        <f>$J$66*7</f>
        <v>22.58064516129032</v>
      </c>
      <c r="AJ66" s="1123">
        <f t="shared" si="198"/>
        <v>-19.30017921146953</v>
      </c>
      <c r="AK66" s="481"/>
      <c r="AL66" s="1124">
        <f t="shared" ref="AL66:AR66" si="340">IF(AL58&gt;$J$67,$J$66,IF(AL58&lt;$J$67,(IF(AL58&lt;0,0,AL58*$K$66))))</f>
        <v>0</v>
      </c>
      <c r="AM66" s="1125">
        <f t="shared" ref="AM66" si="341">IF(AM58&gt;$J$67,$J$66,IF(AM58&lt;$J$67,(IF(AM58&lt;0,0,AM58*$K$66))))</f>
        <v>3.5842293906809805E-2</v>
      </c>
      <c r="AN66" s="1125">
        <f t="shared" si="340"/>
        <v>0</v>
      </c>
      <c r="AO66" s="1125">
        <f t="shared" si="340"/>
        <v>0</v>
      </c>
      <c r="AP66" s="1125">
        <f t="shared" si="340"/>
        <v>0</v>
      </c>
      <c r="AQ66" s="1125">
        <f t="shared" si="340"/>
        <v>0</v>
      </c>
      <c r="AR66" s="1675">
        <f t="shared" si="340"/>
        <v>1.1810035842293904</v>
      </c>
      <c r="AS66" s="481"/>
      <c r="AT66" s="1121">
        <f t="shared" si="288"/>
        <v>1.2168458781362002</v>
      </c>
      <c r="AU66" s="1118">
        <f>$J$66*7</f>
        <v>22.58064516129032</v>
      </c>
      <c r="AV66" s="1123">
        <f t="shared" si="289"/>
        <v>-21.363799283154119</v>
      </c>
      <c r="AW66" s="481"/>
      <c r="AX66" s="1121">
        <f t="shared" ref="AX66:BD66" si="342">IF(AX58&gt;$J$67,$J$66,IF(AX58&lt;$J$67,(IF(AX58&lt;0,0,AX58*$K$66))))</f>
        <v>2.3064516129032255</v>
      </c>
      <c r="AY66" s="1300">
        <f t="shared" ref="AY66:AZ66" si="343">IF(AY58&gt;$J$67,$J$66,IF(AY58&lt;$J$67,(IF(AY58&lt;0,0,AY58*$K$66))))</f>
        <v>0.11111111111111119</v>
      </c>
      <c r="AZ66" s="1300">
        <f t="shared" si="343"/>
        <v>0.2921146953405015</v>
      </c>
      <c r="BA66" s="1119">
        <f t="shared" si="342"/>
        <v>0.94892473118279563</v>
      </c>
      <c r="BB66" s="1119">
        <f t="shared" si="342"/>
        <v>0.84498207885304644</v>
      </c>
      <c r="BC66" s="1119">
        <f t="shared" si="342"/>
        <v>0.11827956989247304</v>
      </c>
      <c r="BD66" s="1122">
        <f t="shared" si="342"/>
        <v>5.9139784946236361E-2</v>
      </c>
      <c r="BE66" s="481"/>
      <c r="BF66" s="1121">
        <f t="shared" si="292"/>
        <v>4.6810035842293889</v>
      </c>
      <c r="BG66" s="1118">
        <f>$J$66*7</f>
        <v>22.58064516129032</v>
      </c>
      <c r="BH66" s="1123">
        <f t="shared" si="293"/>
        <v>-17.899641577060933</v>
      </c>
      <c r="BI66" s="481"/>
      <c r="BJ66" s="729">
        <f t="shared" ref="BJ66:BL66" si="344">IF(BJ58&gt;$J$67,$J$66,IF(BJ58&lt;$J$67,(IF(BJ58&lt;0,0,BJ58*$K$66))))</f>
        <v>5.9139784946236361E-2</v>
      </c>
      <c r="BK66" s="1464">
        <f t="shared" si="344"/>
        <v>0.70908004778972478</v>
      </c>
      <c r="BL66" s="1708">
        <f t="shared" si="344"/>
        <v>1.1149940262843483</v>
      </c>
      <c r="BM66" s="481"/>
      <c r="BN66" s="1121">
        <f t="shared" si="304"/>
        <v>1.8832138590203096</v>
      </c>
      <c r="BO66" s="1118">
        <f>$J$66*3</f>
        <v>9.6774193548387082</v>
      </c>
      <c r="BP66" s="1123">
        <f t="shared" si="295"/>
        <v>-7.7942054958183986</v>
      </c>
      <c r="BR66" s="1124"/>
      <c r="BS66" s="1127"/>
      <c r="BU66" s="1124">
        <f t="shared" si="209"/>
        <v>14.333930704898442</v>
      </c>
      <c r="BV66" s="1128">
        <f t="shared" si="210"/>
        <v>0.14333930704898443</v>
      </c>
      <c r="BW66" s="4499"/>
      <c r="BZ66" s="29"/>
      <c r="CA66" s="29"/>
      <c r="CB66" s="1574"/>
      <c r="CC66" s="1574"/>
      <c r="CD66" s="1574"/>
      <c r="CE66" s="1574"/>
      <c r="CF66" s="1574"/>
      <c r="CG66" s="1574"/>
      <c r="CH66" s="1574"/>
    </row>
    <row r="67" spans="1:86" s="255" customFormat="1" ht="15.75" thickBot="1" x14ac:dyDescent="0.25">
      <c r="B67" s="574"/>
      <c r="C67" s="989" t="s">
        <v>194</v>
      </c>
      <c r="D67" s="819"/>
      <c r="E67" s="579">
        <f>SUM(E60:E66)</f>
        <v>1674</v>
      </c>
      <c r="F67" s="576">
        <f>SUM(F49:F66)</f>
        <v>207.81360000000001</v>
      </c>
      <c r="G67" s="576">
        <f>SUM(G49:G66)</f>
        <v>138.54239999999999</v>
      </c>
      <c r="H67" s="576">
        <f>SUM(H49:H66)</f>
        <v>103.9068</v>
      </c>
      <c r="I67" s="576">
        <f>SUM(I49:I66)</f>
        <v>83.125439999999998</v>
      </c>
      <c r="J67" s="576">
        <f t="shared" ref="J67:K67" si="345">SUM(J60:J66)</f>
        <v>54</v>
      </c>
      <c r="K67" s="1584">
        <f t="shared" si="345"/>
        <v>0.99999999999999989</v>
      </c>
      <c r="L67" s="1399"/>
      <c r="M67" s="492"/>
      <c r="N67" s="579">
        <f>SUM(N60:N66)</f>
        <v>14.250000000000004</v>
      </c>
      <c r="O67" s="578">
        <f t="shared" ref="O67:T67" si="346">SUM(O60:O66)</f>
        <v>0</v>
      </c>
      <c r="P67" s="578">
        <f t="shared" si="346"/>
        <v>28.259999999999994</v>
      </c>
      <c r="Q67" s="578">
        <f t="shared" si="346"/>
        <v>0</v>
      </c>
      <c r="R67" s="578">
        <f t="shared" si="346"/>
        <v>5.1899999999999995</v>
      </c>
      <c r="S67" s="578">
        <f t="shared" si="346"/>
        <v>7.08</v>
      </c>
      <c r="T67" s="788">
        <f t="shared" si="346"/>
        <v>0</v>
      </c>
      <c r="U67" s="479"/>
      <c r="V67" s="579">
        <f>SUM(V60:V66)</f>
        <v>54.779999999999994</v>
      </c>
      <c r="W67" s="578">
        <f t="shared" ref="W67:X67" si="347">SUM(W60:W66)</f>
        <v>378</v>
      </c>
      <c r="X67" s="1010">
        <f t="shared" si="347"/>
        <v>-323.21999999999997</v>
      </c>
      <c r="Y67" s="479"/>
      <c r="Z67" s="579">
        <f t="shared" ref="Z67" si="348">SUM(Z60:Z66)</f>
        <v>16.260000000000002</v>
      </c>
      <c r="AA67" s="578">
        <f t="shared" ref="AA67" si="349">SUM(AA60:AA66)</f>
        <v>0</v>
      </c>
      <c r="AB67" s="578">
        <f t="shared" ref="AB67" si="350">SUM(AB60:AB66)</f>
        <v>12.075000000000005</v>
      </c>
      <c r="AC67" s="578">
        <f t="shared" ref="AC67" si="351">SUM(AC60:AC66)</f>
        <v>7.9500000000000055</v>
      </c>
      <c r="AD67" s="578">
        <f t="shared" ref="AD67:AE67" si="352">SUM(AD60:AD66)</f>
        <v>0</v>
      </c>
      <c r="AE67" s="578">
        <f t="shared" si="352"/>
        <v>13.575000000000005</v>
      </c>
      <c r="AF67" s="788">
        <f t="shared" ref="AF67" si="353">SUM(AF60:AF66)</f>
        <v>5.0550000000000015</v>
      </c>
      <c r="AG67" s="479"/>
      <c r="AH67" s="579">
        <f>SUM(Z67:AF67)</f>
        <v>54.915000000000013</v>
      </c>
      <c r="AI67" s="578">
        <f>SUM(AI49:AI66)</f>
        <v>560.51303225806464</v>
      </c>
      <c r="AJ67" s="1010">
        <f>SUM(AJ49:AJ66)</f>
        <v>-369.70829032258064</v>
      </c>
      <c r="AK67" s="479"/>
      <c r="AL67" s="579">
        <f t="shared" ref="AL67:AR67" si="354">SUM(AL60:AL66)</f>
        <v>0</v>
      </c>
      <c r="AM67" s="576">
        <f t="shared" ref="AM67" si="355">SUM(AM60:AM66)</f>
        <v>0.59999999999999609</v>
      </c>
      <c r="AN67" s="576">
        <f t="shared" si="354"/>
        <v>0</v>
      </c>
      <c r="AO67" s="576">
        <f t="shared" si="354"/>
        <v>0</v>
      </c>
      <c r="AP67" s="576">
        <f t="shared" si="354"/>
        <v>0</v>
      </c>
      <c r="AQ67" s="576">
        <f t="shared" si="354"/>
        <v>0</v>
      </c>
      <c r="AR67" s="788">
        <f t="shared" si="354"/>
        <v>19.769999999999996</v>
      </c>
      <c r="AS67" s="479"/>
      <c r="AT67" s="579">
        <f>SUM(AL67:AR67)</f>
        <v>20.36999999999999</v>
      </c>
      <c r="AU67" s="578">
        <f>SUM(AU49:AU66)</f>
        <v>560.51303225806464</v>
      </c>
      <c r="AV67" s="1010">
        <f>SUM(AV49:AV66)</f>
        <v>-448.50329032258065</v>
      </c>
      <c r="AW67" s="479"/>
      <c r="AX67" s="570">
        <f t="shared" ref="AX67:BD67" si="356">SUM(AX60:AX66)</f>
        <v>38.609999999999992</v>
      </c>
      <c r="AY67" s="1691">
        <f t="shared" ref="AY67:AZ67" si="357">SUM(AY60:AY66)</f>
        <v>1.8600000000000012</v>
      </c>
      <c r="AZ67" s="1691">
        <f t="shared" si="357"/>
        <v>4.8899999999999952</v>
      </c>
      <c r="BA67" s="1683">
        <f t="shared" si="356"/>
        <v>15.885000000000002</v>
      </c>
      <c r="BB67" s="1683">
        <f t="shared" si="356"/>
        <v>14.145</v>
      </c>
      <c r="BC67" s="1683">
        <f t="shared" si="356"/>
        <v>1.9799999999999986</v>
      </c>
      <c r="BD67" s="1684">
        <f t="shared" si="356"/>
        <v>0.98999999999999677</v>
      </c>
      <c r="BE67" s="479"/>
      <c r="BF67" s="570">
        <f>SUM(AX67:BD67)</f>
        <v>78.359999999999985</v>
      </c>
      <c r="BG67" s="1685">
        <f>SUM(BG49:BG66)</f>
        <v>560.51303225806464</v>
      </c>
      <c r="BH67" s="1686">
        <f>SUM(BH49:BH66)</f>
        <v>-299.6400000000001</v>
      </c>
      <c r="BI67" s="479"/>
      <c r="BJ67" s="579">
        <f t="shared" ref="BJ67:BL67" si="358">SUM(BJ60:BJ66)</f>
        <v>0.98999999999999677</v>
      </c>
      <c r="BK67" s="576">
        <f t="shared" si="358"/>
        <v>11.869999999999992</v>
      </c>
      <c r="BL67" s="788">
        <f t="shared" si="358"/>
        <v>18.664999999999992</v>
      </c>
      <c r="BM67" s="479"/>
      <c r="BN67" s="570">
        <f>SUM(BJ67:BL67)</f>
        <v>31.524999999999981</v>
      </c>
      <c r="BO67" s="1685">
        <f>SUM(BO49:BO66)</f>
        <v>240.21987096774194</v>
      </c>
      <c r="BP67" s="1686">
        <f>SUM(BP49:BP66)</f>
        <v>-130.47500000000002</v>
      </c>
      <c r="BR67" s="570">
        <f>X67+AJ67+AV67</f>
        <v>-1141.4315806451611</v>
      </c>
      <c r="BS67" s="1643"/>
      <c r="BU67" s="570">
        <f>SUM(BU60:BU66)</f>
        <v>239.95</v>
      </c>
      <c r="BV67" s="572">
        <f>BU67/E67</f>
        <v>0.14333930704898445</v>
      </c>
      <c r="BW67" s="4500"/>
      <c r="BZ67" s="62"/>
      <c r="CA67" s="81"/>
      <c r="CB67" s="81"/>
      <c r="CC67" s="81"/>
      <c r="CD67" s="81"/>
      <c r="CE67" s="81"/>
      <c r="CF67" s="81"/>
      <c r="CG67" s="81"/>
      <c r="CH67" s="81"/>
    </row>
    <row r="68" spans="1:86" s="81" customFormat="1" ht="4.5" customHeight="1" x14ac:dyDescent="0.2">
      <c r="B68" s="1598"/>
      <c r="C68" s="1598"/>
      <c r="E68" s="1599"/>
      <c r="F68" s="1599"/>
      <c r="G68" s="1599"/>
      <c r="H68" s="1599"/>
      <c r="I68" s="1599"/>
      <c r="J68" s="1599"/>
      <c r="K68" s="1600"/>
      <c r="L68" s="1396"/>
      <c r="M68" s="62"/>
      <c r="N68" s="1599"/>
      <c r="O68" s="1599"/>
      <c r="P68" s="1599"/>
      <c r="Q68" s="1599"/>
      <c r="R68" s="1599"/>
      <c r="S68" s="1599"/>
      <c r="T68" s="1599"/>
      <c r="U68" s="1568"/>
      <c r="V68" s="1568"/>
      <c r="W68" s="1568"/>
      <c r="X68" s="1568"/>
      <c r="Y68" s="1568"/>
      <c r="Z68" s="80"/>
      <c r="AA68" s="80"/>
      <c r="AB68" s="80"/>
      <c r="AC68" s="80"/>
      <c r="AD68" s="80"/>
      <c r="AE68" s="80"/>
      <c r="AF68" s="80"/>
      <c r="AG68" s="1568"/>
      <c r="AH68" s="1568"/>
      <c r="AI68" s="1568"/>
      <c r="AJ68" s="1568"/>
      <c r="AK68" s="1568"/>
      <c r="AL68" s="1599"/>
      <c r="AM68" s="1599"/>
      <c r="AN68" s="1599"/>
      <c r="AO68" s="1599"/>
      <c r="AP68" s="1599"/>
      <c r="AQ68" s="1599"/>
      <c r="AR68" s="1599"/>
      <c r="AS68" s="1568"/>
      <c r="AT68" s="1568"/>
      <c r="AU68" s="1568"/>
      <c r="AV68" s="1568"/>
      <c r="AW68" s="1568"/>
      <c r="AX68" s="1599"/>
      <c r="AY68" s="1599"/>
      <c r="AZ68" s="1599"/>
      <c r="BA68" s="1599"/>
      <c r="BB68" s="1599"/>
      <c r="BC68" s="1599"/>
      <c r="BD68" s="1599"/>
      <c r="BE68" s="1568"/>
      <c r="BF68" s="1568"/>
      <c r="BG68" s="1568"/>
      <c r="BH68" s="1568"/>
      <c r="BI68" s="1568"/>
      <c r="BJ68" s="1599"/>
      <c r="BK68" s="1599"/>
      <c r="BL68" s="1599"/>
      <c r="BM68" s="1568"/>
      <c r="BN68" s="1568"/>
      <c r="BO68" s="1568"/>
      <c r="BP68" s="1568"/>
      <c r="BR68" s="1599"/>
      <c r="BS68" s="1604"/>
      <c r="BU68" s="1599"/>
      <c r="BV68" s="1600"/>
      <c r="BW68" s="62"/>
    </row>
    <row r="69" spans="1:86" s="1574" customFormat="1" ht="15.75" customHeight="1" x14ac:dyDescent="0.2">
      <c r="B69" s="23"/>
      <c r="C69" s="23"/>
      <c r="E69" s="24">
        <f>E56+E67</f>
        <v>2078.136</v>
      </c>
      <c r="F69" s="24">
        <f t="shared" ref="F69:I69" si="359">F56+F67</f>
        <v>207.81360000000001</v>
      </c>
      <c r="G69" s="24">
        <f t="shared" si="359"/>
        <v>138.54239999999999</v>
      </c>
      <c r="H69" s="24">
        <f t="shared" si="359"/>
        <v>103.9068</v>
      </c>
      <c r="I69" s="24">
        <f t="shared" si="359"/>
        <v>83.125439999999998</v>
      </c>
      <c r="J69" s="24">
        <f>J56+J67</f>
        <v>67.036645161290323</v>
      </c>
      <c r="K69" s="1605">
        <f>E71/E84</f>
        <v>0.35463676854553833</v>
      </c>
      <c r="L69" s="1391"/>
      <c r="M69" s="29"/>
      <c r="N69" s="5">
        <f>N58-N67</f>
        <v>0</v>
      </c>
      <c r="O69" s="5">
        <f t="shared" ref="O69:T69" si="360">O58-O67</f>
        <v>0</v>
      </c>
      <c r="P69" s="5">
        <f t="shared" si="360"/>
        <v>0</v>
      </c>
      <c r="Q69" s="5">
        <f t="shared" si="360"/>
        <v>0</v>
      </c>
      <c r="R69" s="5">
        <f t="shared" si="360"/>
        <v>0</v>
      </c>
      <c r="S69" s="5">
        <f t="shared" si="360"/>
        <v>0</v>
      </c>
      <c r="T69" s="5">
        <f t="shared" si="360"/>
        <v>0</v>
      </c>
      <c r="U69" s="1579"/>
      <c r="V69" s="1579"/>
      <c r="W69" s="1579"/>
      <c r="X69" s="1579"/>
      <c r="Y69" s="1579"/>
      <c r="Z69" s="5">
        <f>Z58-Z67</f>
        <v>0</v>
      </c>
      <c r="AA69" s="5">
        <f t="shared" ref="AA69:AF69" si="361">AA58-AA67</f>
        <v>0</v>
      </c>
      <c r="AB69" s="5">
        <f t="shared" si="361"/>
        <v>0</v>
      </c>
      <c r="AC69" s="5">
        <f t="shared" si="361"/>
        <v>0</v>
      </c>
      <c r="AD69" s="5">
        <f t="shared" si="361"/>
        <v>-24.703354838709679</v>
      </c>
      <c r="AE69" s="5">
        <f t="shared" ref="AE69" si="362">AE58-AE67</f>
        <v>0</v>
      </c>
      <c r="AF69" s="5">
        <f t="shared" si="361"/>
        <v>0</v>
      </c>
      <c r="AG69" s="1579"/>
      <c r="AH69" s="1579"/>
      <c r="AI69" s="1579"/>
      <c r="AJ69" s="1579"/>
      <c r="AK69" s="1579"/>
      <c r="AL69" s="5">
        <f>AL58-AL67</f>
        <v>0</v>
      </c>
      <c r="AM69" s="5">
        <f>AM58-AM67</f>
        <v>0</v>
      </c>
      <c r="AN69" s="5">
        <f t="shared" ref="AN69:AR69" si="363">AN58-AN67</f>
        <v>0</v>
      </c>
      <c r="AO69" s="5">
        <f t="shared" si="363"/>
        <v>0</v>
      </c>
      <c r="AP69" s="5">
        <f t="shared" si="363"/>
        <v>-9.6733548387096793</v>
      </c>
      <c r="AQ69" s="5">
        <f t="shared" si="363"/>
        <v>0</v>
      </c>
      <c r="AR69" s="5">
        <f t="shared" si="363"/>
        <v>0</v>
      </c>
      <c r="AS69" s="1579"/>
      <c r="AT69" s="1579"/>
      <c r="AU69" s="1579"/>
      <c r="AV69" s="1579"/>
      <c r="AW69" s="1579"/>
      <c r="AX69" s="5">
        <f>AX58-AX67</f>
        <v>0</v>
      </c>
      <c r="AY69" s="5">
        <f>AY58-AY67</f>
        <v>0</v>
      </c>
      <c r="AZ69" s="5">
        <f t="shared" ref="AZ69:BD69" si="364">AZ58-AZ67</f>
        <v>0</v>
      </c>
      <c r="BA69" s="5">
        <f t="shared" si="364"/>
        <v>0</v>
      </c>
      <c r="BB69" s="5">
        <f t="shared" si="364"/>
        <v>0</v>
      </c>
      <c r="BC69" s="5">
        <f t="shared" si="364"/>
        <v>0</v>
      </c>
      <c r="BD69" s="5">
        <f t="shared" si="364"/>
        <v>0</v>
      </c>
      <c r="BE69" s="1579"/>
      <c r="BF69" s="1579"/>
      <c r="BG69" s="1579"/>
      <c r="BH69" s="1579"/>
      <c r="BI69" s="1579"/>
      <c r="BJ69" s="5">
        <f t="shared" ref="BJ69:BL69" si="365">BJ58-BJ67</f>
        <v>0</v>
      </c>
      <c r="BK69" s="5">
        <f t="shared" si="365"/>
        <v>0</v>
      </c>
      <c r="BL69" s="5">
        <f t="shared" si="365"/>
        <v>0</v>
      </c>
      <c r="BM69" s="1579"/>
      <c r="BN69" s="1579"/>
      <c r="BO69" s="1579"/>
      <c r="BP69" s="1579"/>
      <c r="BR69" s="5"/>
      <c r="BS69" s="15"/>
      <c r="BU69" s="5"/>
      <c r="BV69" s="9"/>
      <c r="BW69" s="29"/>
    </row>
    <row r="70" spans="1:86" s="1574" customFormat="1" ht="4.5" customHeight="1" thickBot="1" x14ac:dyDescent="0.25">
      <c r="B70" s="23"/>
      <c r="C70" s="23"/>
      <c r="E70" s="24"/>
      <c r="F70" s="24"/>
      <c r="G70" s="24"/>
      <c r="H70" s="24"/>
      <c r="I70" s="24"/>
      <c r="J70" s="24"/>
      <c r="K70" s="1605"/>
      <c r="L70" s="1391"/>
      <c r="M70" s="29"/>
      <c r="N70" s="1579"/>
      <c r="O70" s="1579"/>
      <c r="P70" s="1579"/>
      <c r="Q70" s="1579"/>
      <c r="R70" s="1579"/>
      <c r="S70" s="1579"/>
      <c r="T70" s="24"/>
      <c r="U70" s="1579"/>
      <c r="V70" s="1579"/>
      <c r="W70" s="1579"/>
      <c r="X70" s="1579"/>
      <c r="Y70" s="1579"/>
      <c r="Z70" s="37"/>
      <c r="AA70" s="37"/>
      <c r="AB70" s="37"/>
      <c r="AC70" s="37"/>
      <c r="AD70" s="37"/>
      <c r="AE70" s="37"/>
      <c r="AF70" s="37"/>
      <c r="AG70" s="1579"/>
      <c r="AH70" s="1579"/>
      <c r="AI70" s="1579"/>
      <c r="AJ70" s="1579"/>
      <c r="AK70" s="1579"/>
      <c r="AL70" s="37"/>
      <c r="AM70" s="37"/>
      <c r="AN70" s="37"/>
      <c r="AO70" s="37"/>
      <c r="AP70" s="37"/>
      <c r="AQ70" s="37"/>
      <c r="AR70" s="37"/>
      <c r="AS70" s="1579"/>
      <c r="AT70" s="1579"/>
      <c r="AU70" s="1579"/>
      <c r="AV70" s="1579"/>
      <c r="AW70" s="1579"/>
      <c r="AX70" s="37"/>
      <c r="AY70" s="37"/>
      <c r="AZ70" s="37"/>
      <c r="BA70" s="37"/>
      <c r="BB70" s="37"/>
      <c r="BC70" s="37"/>
      <c r="BD70" s="37"/>
      <c r="BE70" s="1579"/>
      <c r="BF70" s="1579"/>
      <c r="BG70" s="1579"/>
      <c r="BH70" s="1579"/>
      <c r="BI70" s="1579"/>
      <c r="BJ70" s="37"/>
      <c r="BK70" s="37"/>
      <c r="BL70" s="37"/>
      <c r="BM70" s="1579"/>
      <c r="BN70" s="1579"/>
      <c r="BO70" s="1579"/>
      <c r="BP70" s="1579"/>
      <c r="BR70" s="37"/>
      <c r="BS70" s="406"/>
      <c r="BU70" s="37"/>
      <c r="BV70" s="607"/>
      <c r="BW70" s="29"/>
    </row>
    <row r="71" spans="1:86" s="255" customFormat="1" ht="15.75" thickBot="1" x14ac:dyDescent="0.25">
      <c r="B71" s="43"/>
      <c r="C71" s="43" t="s">
        <v>151</v>
      </c>
      <c r="D71" s="813"/>
      <c r="E71" s="40">
        <f>(E67+E56)*100/30</f>
        <v>6927.12</v>
      </c>
      <c r="F71" s="40">
        <f>F45+F67</f>
        <v>464.32733333333334</v>
      </c>
      <c r="G71" s="40">
        <f>G45+G67</f>
        <v>309.55155555555552</v>
      </c>
      <c r="H71" s="40">
        <f>H45+H67</f>
        <v>232.16366666666667</v>
      </c>
      <c r="I71" s="40">
        <f>I45+I67</f>
        <v>185.73093333333333</v>
      </c>
      <c r="J71" s="40">
        <f>J67*100/30</f>
        <v>180</v>
      </c>
      <c r="K71" s="51">
        <f>E71/E84</f>
        <v>0.35463676854553833</v>
      </c>
      <c r="L71" s="1396"/>
      <c r="M71" s="62"/>
      <c r="N71" s="1008">
        <f>$J$69</f>
        <v>67.036645161290323</v>
      </c>
      <c r="O71" s="1008">
        <f t="shared" ref="O71:T71" si="366">$J$69</f>
        <v>67.036645161290323</v>
      </c>
      <c r="P71" s="1008">
        <f t="shared" si="366"/>
        <v>67.036645161290323</v>
      </c>
      <c r="Q71" s="1008">
        <f t="shared" si="366"/>
        <v>67.036645161290323</v>
      </c>
      <c r="R71" s="1008">
        <f t="shared" si="366"/>
        <v>67.036645161290323</v>
      </c>
      <c r="S71" s="1008">
        <f t="shared" si="366"/>
        <v>67.036645161290323</v>
      </c>
      <c r="T71" s="1008">
        <f t="shared" si="366"/>
        <v>67.036645161290323</v>
      </c>
      <c r="U71" s="1578"/>
      <c r="V71" s="952">
        <f t="shared" si="56"/>
        <v>469.25651612903226</v>
      </c>
      <c r="W71" s="953"/>
      <c r="X71" s="954"/>
      <c r="Y71" s="782"/>
      <c r="Z71" s="1571">
        <f t="shared" ref="Z71:AF71" si="367">$J$69</f>
        <v>67.036645161290323</v>
      </c>
      <c r="AA71" s="1571">
        <f t="shared" si="367"/>
        <v>67.036645161290323</v>
      </c>
      <c r="AB71" s="1617">
        <f t="shared" si="367"/>
        <v>67.036645161290323</v>
      </c>
      <c r="AC71" s="1639">
        <f t="shared" si="367"/>
        <v>67.036645161290323</v>
      </c>
      <c r="AD71" s="1646">
        <f t="shared" si="367"/>
        <v>67.036645161290323</v>
      </c>
      <c r="AE71" s="1649">
        <f t="shared" si="367"/>
        <v>67.036645161290323</v>
      </c>
      <c r="AF71" s="1652">
        <f t="shared" si="367"/>
        <v>67.036645161290323</v>
      </c>
      <c r="AG71" s="782"/>
      <c r="AH71" s="952">
        <f t="shared" ref="AH71" si="368">SUM(Z71:AF71)</f>
        <v>469.25651612903226</v>
      </c>
      <c r="AI71" s="953"/>
      <c r="AJ71" s="954"/>
      <c r="AK71" s="782"/>
      <c r="AL71" s="1571">
        <f t="shared" ref="AL71:AR71" si="369">$J$69</f>
        <v>67.036645161290323</v>
      </c>
      <c r="AM71" s="1571">
        <f t="shared" si="369"/>
        <v>67.036645161290323</v>
      </c>
      <c r="AN71" s="1666">
        <f t="shared" si="369"/>
        <v>67.036645161290323</v>
      </c>
      <c r="AO71" s="1666">
        <f t="shared" si="369"/>
        <v>67.036645161290323</v>
      </c>
      <c r="AP71" s="1671">
        <f t="shared" si="369"/>
        <v>67.036645161290323</v>
      </c>
      <c r="AQ71" s="1671">
        <f t="shared" si="369"/>
        <v>67.036645161290323</v>
      </c>
      <c r="AR71" s="1571">
        <f t="shared" si="369"/>
        <v>67.036645161290323</v>
      </c>
      <c r="AS71" s="782"/>
      <c r="AT71" s="952">
        <f t="shared" ref="AT71:AT72" si="370">SUM(AL71:AR71)</f>
        <v>469.25651612903226</v>
      </c>
      <c r="AU71" s="953"/>
      <c r="AV71" s="954"/>
      <c r="AW71" s="782"/>
      <c r="AX71" s="40">
        <f t="shared" ref="AX71:BD71" si="371">$J$69</f>
        <v>67.036645161290323</v>
      </c>
      <c r="AY71" s="40">
        <f t="shared" si="371"/>
        <v>67.036645161290323</v>
      </c>
      <c r="AZ71" s="40">
        <f t="shared" si="371"/>
        <v>67.036645161290323</v>
      </c>
      <c r="BA71" s="40">
        <f t="shared" si="371"/>
        <v>67.036645161290323</v>
      </c>
      <c r="BB71" s="40">
        <f t="shared" si="371"/>
        <v>67.036645161290323</v>
      </c>
      <c r="BC71" s="40">
        <f t="shared" si="371"/>
        <v>67.036645161290323</v>
      </c>
      <c r="BD71" s="40">
        <f t="shared" si="371"/>
        <v>67.036645161290323</v>
      </c>
      <c r="BE71" s="782"/>
      <c r="BF71" s="952">
        <f t="shared" ref="BF71:BF72" si="372">SUM(AX71:BD71)</f>
        <v>469.25651612903226</v>
      </c>
      <c r="BG71" s="953"/>
      <c r="BH71" s="954"/>
      <c r="BI71" s="1578"/>
      <c r="BJ71" s="40">
        <f t="shared" ref="BJ71:BK71" si="373">$J$69</f>
        <v>67.036645161290323</v>
      </c>
      <c r="BK71" s="40">
        <f t="shared" si="373"/>
        <v>67.036645161290323</v>
      </c>
      <c r="BL71" s="40"/>
      <c r="BM71" s="1578"/>
      <c r="BN71" s="952">
        <f>SUM(BJ71:BL71)</f>
        <v>134.07329032258065</v>
      </c>
      <c r="BO71" s="953"/>
      <c r="BP71" s="954"/>
      <c r="BR71" s="40">
        <f>SUM(N71:T71)+SUM(Z71:AF71)+SUM(AL71:AR71)+SUM(AX71:BD71)+SUM(BJ71:BL71)</f>
        <v>2011.0993548387096</v>
      </c>
      <c r="BS71" s="74"/>
      <c r="BU71" s="40"/>
      <c r="BV71" s="51"/>
      <c r="BW71" s="62"/>
    </row>
    <row r="72" spans="1:86" s="1573" customFormat="1" ht="15.75" thickBot="1" x14ac:dyDescent="0.25">
      <c r="B72" s="1092"/>
      <c r="C72" s="1093" t="s">
        <v>149</v>
      </c>
      <c r="D72" s="1094"/>
      <c r="E72" s="1095"/>
      <c r="F72" s="1096"/>
      <c r="G72" s="1096"/>
      <c r="H72" s="1096"/>
      <c r="I72" s="1096"/>
      <c r="J72" s="1096"/>
      <c r="K72" s="1165"/>
      <c r="L72" s="1401"/>
      <c r="M72" s="1098"/>
      <c r="N72" s="1558">
        <f>IF(N69&gt;$J$69,N69-$J$69,IF(N69&lt;$J$69,(IF(N69&lt;0,-67.037,N69-N71))))</f>
        <v>-67.036645161290323</v>
      </c>
      <c r="O72" s="1096">
        <f t="shared" ref="O72:T72" si="374">IF(O69&gt;$J$69,O69-$J$69,IF(O69&lt;$J$69,(IF(O69&lt;0,-67.037,O69-O71))))</f>
        <v>-67.036645161290323</v>
      </c>
      <c r="P72" s="1096">
        <f t="shared" si="374"/>
        <v>-67.036645161290323</v>
      </c>
      <c r="Q72" s="1096">
        <f t="shared" si="374"/>
        <v>-67.036645161290323</v>
      </c>
      <c r="R72" s="1096">
        <f t="shared" si="374"/>
        <v>-67.036645161290323</v>
      </c>
      <c r="S72" s="1096">
        <f t="shared" si="374"/>
        <v>-67.036645161290323</v>
      </c>
      <c r="T72" s="1100">
        <f t="shared" si="374"/>
        <v>-67.036645161290323</v>
      </c>
      <c r="U72" s="481"/>
      <c r="V72" s="1099">
        <f>SUM(N72:T72)</f>
        <v>-469.25651612903226</v>
      </c>
      <c r="W72" s="1095"/>
      <c r="X72" s="1100"/>
      <c r="Y72" s="481"/>
      <c r="Z72" s="1099">
        <f t="shared" ref="Z72:AA72" si="375">IF(Z69&gt;$J$69,Z69-$J$69,IF(Z69&lt;$J$69,(IF(Z69&lt;0,-67.037,Z69-Z71))))</f>
        <v>-67.036645161290323</v>
      </c>
      <c r="AA72" s="1096">
        <f t="shared" si="375"/>
        <v>-67.036645161290323</v>
      </c>
      <c r="AB72" s="1096">
        <f t="shared" ref="AB72:AC72" si="376">IF(AB69&gt;$J$69,AB69-$J$69,IF(AB69&lt;$J$69,(IF(AB69&lt;0,-67.037,AB69-AB71))))</f>
        <v>-67.036645161290323</v>
      </c>
      <c r="AC72" s="1096">
        <f t="shared" si="376"/>
        <v>-67.036645161290323</v>
      </c>
      <c r="AD72" s="1096">
        <f t="shared" ref="AD72:AE72" si="377">IF(AD69&gt;$J$69,AD69-$J$69,IF(AD69&lt;$J$69,(IF(AD69&lt;0,-67.037,AD69-AD71))))</f>
        <v>-67.037000000000006</v>
      </c>
      <c r="AE72" s="1096">
        <f t="shared" si="377"/>
        <v>-67.036645161290323</v>
      </c>
      <c r="AF72" s="1096">
        <f t="shared" ref="AF72" si="378">IF(AF69&gt;$J$69,AF69-$J$69,IF(AF69&lt;$J$69,(IF(AF69&lt;0,-67.037,AF69-AF71))))</f>
        <v>-67.036645161290323</v>
      </c>
      <c r="AG72" s="481"/>
      <c r="AH72" s="1099">
        <f>SUM(Z72:AF72)</f>
        <v>-469.25687096774197</v>
      </c>
      <c r="AI72" s="1095"/>
      <c r="AJ72" s="1100"/>
      <c r="AK72" s="781"/>
      <c r="AL72" s="1099">
        <f t="shared" ref="AL72" si="379">IF(AL69&gt;$J$69,AL69-$J$69,IF(AL69&lt;$J$69,(IF(AL69&lt;0,-67.037,AL69-AL71))))</f>
        <v>-67.036645161290323</v>
      </c>
      <c r="AM72" s="1095">
        <f t="shared" ref="AM72:AO72" si="380">IF(AM69&gt;$J$69,AM69-$J$69,IF(AM69&lt;$J$69,(IF(AM69&lt;0,-67.037,AM69-AM71))))</f>
        <v>-67.036645161290323</v>
      </c>
      <c r="AN72" s="1095">
        <f t="shared" si="380"/>
        <v>-67.036645161290323</v>
      </c>
      <c r="AO72" s="1095">
        <f t="shared" si="380"/>
        <v>-67.036645161290323</v>
      </c>
      <c r="AP72" s="1095">
        <f t="shared" ref="AP72:AQ72" si="381">IF(AP69&gt;$J$69,AP69-$J$69,IF(AP69&lt;$J$69,(IF(AP69&lt;0,-67.037,AP69-AP71))))</f>
        <v>-67.037000000000006</v>
      </c>
      <c r="AQ72" s="1095">
        <f t="shared" si="381"/>
        <v>-67.036645161290323</v>
      </c>
      <c r="AR72" s="1095">
        <f t="shared" ref="AR72" si="382">IF(AR69&gt;$J$69,AR69-$J$69,IF(AR69&lt;$J$69,(IF(AR69&lt;0,-67.037,AR69-AR71))))</f>
        <v>-67.036645161290323</v>
      </c>
      <c r="AS72" s="1101"/>
      <c r="AT72" s="1099">
        <f t="shared" si="370"/>
        <v>-469.25687096774197</v>
      </c>
      <c r="AU72" s="1095"/>
      <c r="AV72" s="1100"/>
      <c r="AW72" s="481"/>
      <c r="AX72" s="1099">
        <f>IF(AX69&gt;$J$69,AX69-$J$69,IF(AX69&lt;$J$69,(IF(AX69&lt;0,-68.65,AX69-AX71))))</f>
        <v>-67.036645161290323</v>
      </c>
      <c r="AY72" s="1095">
        <f>IF(AY69&gt;$J$69,AY69-$J$69,IF(AY69&lt;$J$69,(IF(AY69&lt;0,-68.65,AY69-AY71))))</f>
        <v>-67.036645161290323</v>
      </c>
      <c r="AZ72" s="1095">
        <f>IF(AZ69&gt;$J$69,AZ69-$J$69,IF(AZ69&lt;$J$69,(IF(AZ69&lt;0,-68.65,AZ69-AZ71))))</f>
        <v>-67.036645161290323</v>
      </c>
      <c r="BA72" s="1095">
        <f>IF(BA69&gt;$J$69,BA69-$J$69,IF(BA69&lt;$J$69,(IF(BA69&lt;0,-68.65,BA69-BA71))))</f>
        <v>-67.036645161290323</v>
      </c>
      <c r="BB72" s="1095">
        <f>IF(BB69&gt;$J$69,BB69-$J$69,IF(BB69&lt;$J$69,(IF(BB69&lt;0,-68.65,BB69-BB71))))</f>
        <v>-67.036645161290323</v>
      </c>
      <c r="BC72" s="1095">
        <f t="shared" ref="BC72:BD72" si="383">IF(BC69&gt;$J$69,BC69-$J$69,IF(BC69&lt;$J$69,(IF(BC69&lt;0,-68.65,BC69-BC71))))</f>
        <v>-67.036645161290323</v>
      </c>
      <c r="BD72" s="1100">
        <f t="shared" si="383"/>
        <v>-67.036645161290323</v>
      </c>
      <c r="BE72" s="481"/>
      <c r="BF72" s="1099">
        <f t="shared" si="372"/>
        <v>-469.25651612903226</v>
      </c>
      <c r="BG72" s="1095"/>
      <c r="BH72" s="1100"/>
      <c r="BJ72" s="1099">
        <f t="shared" ref="BJ72" si="384">IF(BJ69&gt;$J$69,BJ69-$J$69,IF(BJ69&lt;$J$69,(IF(BJ69&lt;0,-68.65,BJ69-BJ71))))</f>
        <v>-67.036645161290323</v>
      </c>
      <c r="BK72" s="1095">
        <f t="shared" ref="BK72" si="385">IF(BK69&gt;$J$69,BK69-$J$69,IF(BK69&lt;$J$69,(IF(BK69&lt;0,-68.65,BK69-BK71))))</f>
        <v>-67.036645161290323</v>
      </c>
      <c r="BL72" s="1095">
        <f>IF(BL47&gt;$J$67,BL47-BL67,IF(BL47&lt;$J$67,(IF(BL47&lt;0,-54.161,BL47-BL71))))</f>
        <v>31.701645161290315</v>
      </c>
      <c r="BM72" s="1103"/>
      <c r="BN72" s="1104">
        <f>SUM(BJ72:BL72)</f>
        <v>-102.37164516129033</v>
      </c>
      <c r="BO72" s="1133"/>
      <c r="BP72" s="1132"/>
      <c r="BQ72" s="1579"/>
      <c r="BR72" s="1104">
        <f>SUM(N72:T72)+SUM(Z72:AF72)+SUM(AL72:AR72)+SUM(AX72:BD72)+SUM(BJ72:BL72)</f>
        <v>-1979.398419354839</v>
      </c>
      <c r="BS72" s="1105"/>
    </row>
    <row r="73" spans="1:86" s="432" customFormat="1" ht="15.75" thickBot="1" x14ac:dyDescent="0.25">
      <c r="B73" s="444"/>
      <c r="C73" s="444"/>
      <c r="D73" s="444"/>
      <c r="E73" s="481"/>
      <c r="F73" s="481"/>
      <c r="G73" s="481"/>
      <c r="H73" s="481"/>
      <c r="I73" s="481"/>
      <c r="J73" s="481"/>
      <c r="K73" s="1098"/>
      <c r="L73" s="1401"/>
      <c r="M73" s="1098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2"/>
    </row>
    <row r="74" spans="1:86" s="426" customFormat="1" x14ac:dyDescent="0.2">
      <c r="A74" s="810"/>
      <c r="B74" s="427">
        <v>38</v>
      </c>
      <c r="C74" s="427" t="s">
        <v>74</v>
      </c>
      <c r="D74" s="812"/>
      <c r="E74" s="132">
        <f>E86-(E45+E56+E67)</f>
        <v>1005.626666666667</v>
      </c>
      <c r="F74" s="132">
        <f t="shared" ref="F74:F81" si="386">E74/10</f>
        <v>100.5626666666667</v>
      </c>
      <c r="G74" s="132">
        <f t="shared" ref="G74:G75" si="387">E74/15</f>
        <v>67.041777777777796</v>
      </c>
      <c r="H74" s="132">
        <f t="shared" ref="H74:H75" si="388">E74/20</f>
        <v>50.28133333333335</v>
      </c>
      <c r="I74" s="132">
        <f t="shared" ref="I74:I75" si="389">E74/25</f>
        <v>40.225066666666677</v>
      </c>
      <c r="J74" s="132">
        <f>E74/31</f>
        <v>32.439569892473131</v>
      </c>
      <c r="K74" s="641">
        <f>E74/E86</f>
        <v>0.17161157471401681</v>
      </c>
      <c r="L74" s="1396"/>
      <c r="M74" s="480"/>
      <c r="N74" s="132">
        <f>$J$74</f>
        <v>32.439569892473131</v>
      </c>
      <c r="O74" s="132">
        <f>$J$74</f>
        <v>32.439569892473131</v>
      </c>
      <c r="P74" s="132">
        <f>$J$74</f>
        <v>32.439569892473131</v>
      </c>
      <c r="Q74" s="132">
        <f>$J$74</f>
        <v>32.439569892473131</v>
      </c>
      <c r="R74" s="132">
        <f t="shared" ref="R74:T74" si="390">$J$74</f>
        <v>32.439569892473131</v>
      </c>
      <c r="S74" s="132">
        <f t="shared" si="390"/>
        <v>32.439569892473131</v>
      </c>
      <c r="T74" s="132">
        <f t="shared" si="390"/>
        <v>32.439569892473131</v>
      </c>
      <c r="U74" s="479"/>
      <c r="V74" s="467">
        <f t="shared" si="56"/>
        <v>227.07698924731187</v>
      </c>
      <c r="W74" s="1419"/>
      <c r="X74" s="1420"/>
      <c r="Y74" s="779"/>
      <c r="Z74" s="440">
        <f t="shared" ref="Z74:AF74" si="391">$J$74</f>
        <v>32.439569892473131</v>
      </c>
      <c r="AA74" s="440">
        <f t="shared" si="391"/>
        <v>32.439569892473131</v>
      </c>
      <c r="AB74" s="440">
        <f t="shared" si="391"/>
        <v>32.439569892473131</v>
      </c>
      <c r="AC74" s="440">
        <f t="shared" si="391"/>
        <v>32.439569892473131</v>
      </c>
      <c r="AD74" s="440">
        <f t="shared" si="391"/>
        <v>32.439569892473131</v>
      </c>
      <c r="AE74" s="440">
        <f t="shared" si="391"/>
        <v>32.439569892473131</v>
      </c>
      <c r="AF74" s="440">
        <f t="shared" si="391"/>
        <v>32.439569892473131</v>
      </c>
      <c r="AG74" s="779"/>
      <c r="AH74" s="467">
        <f t="shared" ref="AH74:AH75" si="392">SUM(Z74:AF74)</f>
        <v>227.07698924731187</v>
      </c>
      <c r="AI74" s="1419"/>
      <c r="AJ74" s="1420"/>
      <c r="AK74" s="779"/>
      <c r="AL74" s="440">
        <f t="shared" ref="AL74:AR74" si="393">$J$74</f>
        <v>32.439569892473131</v>
      </c>
      <c r="AM74" s="440">
        <f t="shared" si="393"/>
        <v>32.439569892473131</v>
      </c>
      <c r="AN74" s="440">
        <f t="shared" si="393"/>
        <v>32.439569892473131</v>
      </c>
      <c r="AO74" s="440">
        <f t="shared" si="393"/>
        <v>32.439569892473131</v>
      </c>
      <c r="AP74" s="440">
        <f t="shared" si="393"/>
        <v>32.439569892473131</v>
      </c>
      <c r="AQ74" s="440">
        <f t="shared" si="393"/>
        <v>32.439569892473131</v>
      </c>
      <c r="AR74" s="440">
        <f t="shared" si="393"/>
        <v>32.439569892473131</v>
      </c>
      <c r="AS74" s="779"/>
      <c r="AT74" s="467">
        <f t="shared" ref="AT74:AT77" si="394">SUM(AL74:AR74)</f>
        <v>227.07698924731187</v>
      </c>
      <c r="AU74" s="1419"/>
      <c r="AV74" s="1420"/>
      <c r="AW74" s="779"/>
      <c r="AX74" s="440">
        <f t="shared" ref="AX74:BD74" si="395">$J$74</f>
        <v>32.439569892473131</v>
      </c>
      <c r="AY74" s="440">
        <f t="shared" si="395"/>
        <v>32.439569892473131</v>
      </c>
      <c r="AZ74" s="440">
        <f t="shared" si="395"/>
        <v>32.439569892473131</v>
      </c>
      <c r="BA74" s="440">
        <f t="shared" si="395"/>
        <v>32.439569892473131</v>
      </c>
      <c r="BB74" s="440">
        <f t="shared" si="395"/>
        <v>32.439569892473131</v>
      </c>
      <c r="BC74" s="440">
        <f t="shared" si="395"/>
        <v>32.439569892473131</v>
      </c>
      <c r="BD74" s="440">
        <f t="shared" si="395"/>
        <v>32.439569892473131</v>
      </c>
      <c r="BE74" s="779"/>
      <c r="BF74" s="467">
        <f t="shared" ref="BF74:BF75" si="396">SUM(AX74:BD74)</f>
        <v>227.07698924731187</v>
      </c>
      <c r="BG74" s="1419"/>
      <c r="BH74" s="1420"/>
      <c r="BI74" s="479"/>
      <c r="BJ74" s="132">
        <f t="shared" ref="BJ74:BK74" si="397">$J$74</f>
        <v>32.439569892473131</v>
      </c>
      <c r="BK74" s="440">
        <f t="shared" si="397"/>
        <v>32.439569892473131</v>
      </c>
      <c r="BL74" s="440"/>
      <c r="BM74" s="479"/>
      <c r="BN74" s="467">
        <f>SUM(BJ74:BL74)</f>
        <v>64.879139784946261</v>
      </c>
      <c r="BO74" s="1419"/>
      <c r="BP74" s="1420"/>
      <c r="BR74" s="132">
        <f>SUM(N74:T74)+SUM(Z74:AF74)+SUM(AL74:AR74)+SUM(AX74:BD74)+SUM(BJ74:BL74)</f>
        <v>973.18709677419372</v>
      </c>
      <c r="BS74" s="641">
        <f>BR74/E74</f>
        <v>0.96774193548387077</v>
      </c>
      <c r="BU74" s="1608"/>
      <c r="BV74" s="1609"/>
      <c r="BW74" s="492"/>
    </row>
    <row r="75" spans="1:86" s="1574" customFormat="1" ht="15.75" thickBot="1" x14ac:dyDescent="0.25">
      <c r="B75" s="3"/>
      <c r="C75" s="3" t="s">
        <v>153</v>
      </c>
      <c r="D75" s="814"/>
      <c r="E75" s="5">
        <f>E74*100/30</f>
        <v>3352.0888888888899</v>
      </c>
      <c r="F75" s="5">
        <f t="shared" si="386"/>
        <v>335.20888888888896</v>
      </c>
      <c r="G75" s="5">
        <f t="shared" si="387"/>
        <v>223.47259259259266</v>
      </c>
      <c r="H75" s="5">
        <f t="shared" si="388"/>
        <v>167.60444444444448</v>
      </c>
      <c r="I75" s="5">
        <f t="shared" si="389"/>
        <v>134.08355555555559</v>
      </c>
      <c r="J75" s="5">
        <f>J74*100/30</f>
        <v>108.13189964157711</v>
      </c>
      <c r="K75" s="9">
        <f>E75/E84</f>
        <v>0.17161157471401678</v>
      </c>
      <c r="L75" s="1391"/>
      <c r="M75" s="29"/>
      <c r="N75" s="5">
        <f>$J$75</f>
        <v>108.13189964157711</v>
      </c>
      <c r="O75" s="5">
        <f>$J$75</f>
        <v>108.13189964157711</v>
      </c>
      <c r="P75" s="5">
        <f>$J$75</f>
        <v>108.13189964157711</v>
      </c>
      <c r="Q75" s="5">
        <f>$J$75</f>
        <v>108.13189964157711</v>
      </c>
      <c r="R75" s="5">
        <f t="shared" ref="R75:T75" si="398">$J$75</f>
        <v>108.13189964157711</v>
      </c>
      <c r="S75" s="5">
        <f t="shared" si="398"/>
        <v>108.13189964157711</v>
      </c>
      <c r="T75" s="5">
        <f t="shared" si="398"/>
        <v>108.13189964157711</v>
      </c>
      <c r="U75" s="1579"/>
      <c r="V75" s="630">
        <f t="shared" si="56"/>
        <v>756.92329749103976</v>
      </c>
      <c r="W75" s="628"/>
      <c r="X75" s="629"/>
      <c r="Y75" s="145"/>
      <c r="Z75" s="1572">
        <f t="shared" ref="Z75:AF75" si="399">$J$75</f>
        <v>108.13189964157711</v>
      </c>
      <c r="AA75" s="1572">
        <f t="shared" si="399"/>
        <v>108.13189964157711</v>
      </c>
      <c r="AB75" s="1618">
        <f t="shared" si="399"/>
        <v>108.13189964157711</v>
      </c>
      <c r="AC75" s="1640">
        <f t="shared" si="399"/>
        <v>108.13189964157711</v>
      </c>
      <c r="AD75" s="1645">
        <f t="shared" si="399"/>
        <v>108.13189964157711</v>
      </c>
      <c r="AE75" s="1650">
        <f t="shared" si="399"/>
        <v>108.13189964157711</v>
      </c>
      <c r="AF75" s="1653">
        <f t="shared" si="399"/>
        <v>108.13189964157711</v>
      </c>
      <c r="AG75" s="145"/>
      <c r="AH75" s="630">
        <f t="shared" si="392"/>
        <v>756.92329749103976</v>
      </c>
      <c r="AI75" s="628"/>
      <c r="AJ75" s="629"/>
      <c r="AK75" s="145"/>
      <c r="AL75" s="1572">
        <f t="shared" ref="AL75:AR75" si="400">$J$75</f>
        <v>108.13189964157711</v>
      </c>
      <c r="AM75" s="1572">
        <f t="shared" si="400"/>
        <v>108.13189964157711</v>
      </c>
      <c r="AN75" s="1667">
        <f t="shared" si="400"/>
        <v>108.13189964157711</v>
      </c>
      <c r="AO75" s="1667">
        <f t="shared" si="400"/>
        <v>108.13189964157711</v>
      </c>
      <c r="AP75" s="1672">
        <f t="shared" si="400"/>
        <v>108.13189964157711</v>
      </c>
      <c r="AQ75" s="1672">
        <f t="shared" si="400"/>
        <v>108.13189964157711</v>
      </c>
      <c r="AR75" s="1572">
        <f t="shared" si="400"/>
        <v>108.13189964157711</v>
      </c>
      <c r="AS75" s="145"/>
      <c r="AT75" s="630">
        <f t="shared" si="394"/>
        <v>756.92329749103976</v>
      </c>
      <c r="AU75" s="628"/>
      <c r="AV75" s="629"/>
      <c r="AW75" s="145"/>
      <c r="AX75" s="1572">
        <f t="shared" ref="AX75:BD75" si="401">$J$75</f>
        <v>108.13189964157711</v>
      </c>
      <c r="AY75" s="1676">
        <f t="shared" si="401"/>
        <v>108.13189964157711</v>
      </c>
      <c r="AZ75" s="1688">
        <f t="shared" si="401"/>
        <v>108.13189964157711</v>
      </c>
      <c r="BA75" s="1692">
        <f t="shared" si="401"/>
        <v>108.13189964157711</v>
      </c>
      <c r="BB75" s="1697">
        <f t="shared" si="401"/>
        <v>108.13189964157711</v>
      </c>
      <c r="BC75" s="1703">
        <f t="shared" si="401"/>
        <v>108.13189964157711</v>
      </c>
      <c r="BD75" s="1703">
        <f t="shared" si="401"/>
        <v>108.13189964157711</v>
      </c>
      <c r="BE75" s="145"/>
      <c r="BF75" s="630">
        <f t="shared" si="396"/>
        <v>756.92329749103976</v>
      </c>
      <c r="BG75" s="628"/>
      <c r="BH75" s="629"/>
      <c r="BI75" s="1579"/>
      <c r="BJ75" s="5">
        <f t="shared" ref="BJ75:BK75" si="402">$J$75</f>
        <v>108.13189964157711</v>
      </c>
      <c r="BK75" s="1572">
        <f t="shared" si="402"/>
        <v>108.13189964157711</v>
      </c>
      <c r="BL75" s="1572"/>
      <c r="BM75" s="1579"/>
      <c r="BN75" s="630">
        <f>SUM(BJ75:BL75)</f>
        <v>216.26379928315421</v>
      </c>
      <c r="BO75" s="628"/>
      <c r="BP75" s="629"/>
      <c r="BQ75" s="1573"/>
      <c r="BR75" s="5">
        <f>SUM(N75:T75)+SUM(Z75:AF75)+SUM(AL75:AR75)+SUM(AX75:BD75)+SUM(BJ75:BL75)</f>
        <v>3243.9569892473132</v>
      </c>
      <c r="BS75" s="9">
        <f>BR75/E75</f>
        <v>0.96774193548387111</v>
      </c>
      <c r="BT75" s="1573"/>
      <c r="BU75" s="1606"/>
      <c r="BV75" s="1607"/>
      <c r="BW75" s="28"/>
      <c r="BX75" s="1573"/>
    </row>
    <row r="76" spans="1:86" s="1574" customFormat="1" ht="4.5" customHeight="1" thickBot="1" x14ac:dyDescent="0.25">
      <c r="B76" s="18"/>
      <c r="C76" s="18"/>
      <c r="E76" s="1577"/>
      <c r="F76" s="1577"/>
      <c r="G76" s="1577"/>
      <c r="H76" s="1577"/>
      <c r="I76" s="1577"/>
      <c r="J76" s="1577"/>
      <c r="K76" s="21"/>
      <c r="L76" s="1391"/>
      <c r="M76" s="29"/>
      <c r="N76" s="1577"/>
      <c r="O76" s="1577"/>
      <c r="P76" s="1577"/>
      <c r="Q76" s="1577"/>
      <c r="R76" s="1577"/>
      <c r="S76" s="1577"/>
      <c r="T76" s="1577"/>
      <c r="U76" s="1579"/>
      <c r="V76" s="1579"/>
      <c r="W76" s="1579"/>
      <c r="X76" s="1579"/>
      <c r="Y76" s="1579"/>
      <c r="Z76" s="1577"/>
      <c r="AA76" s="1577"/>
      <c r="AB76" s="1619"/>
      <c r="AC76" s="1642"/>
      <c r="AD76" s="1647"/>
      <c r="AE76" s="1651"/>
      <c r="AF76" s="1654"/>
      <c r="AG76" s="1579"/>
      <c r="AH76" s="1579"/>
      <c r="AI76" s="1579"/>
      <c r="AJ76" s="1579"/>
      <c r="AK76" s="1579"/>
      <c r="AL76" s="1577"/>
      <c r="AM76" s="1577"/>
      <c r="AN76" s="1668"/>
      <c r="AO76" s="1668"/>
      <c r="AP76" s="1673"/>
      <c r="AQ76" s="1673"/>
      <c r="AR76" s="1577"/>
      <c r="AS76" s="1579"/>
      <c r="AT76" s="1579"/>
      <c r="AU76" s="1579"/>
      <c r="AV76" s="1579"/>
      <c r="AW76" s="1579"/>
      <c r="AX76" s="1577"/>
      <c r="AY76" s="1678"/>
      <c r="AZ76" s="1689"/>
      <c r="BA76" s="1694"/>
      <c r="BB76" s="1698"/>
      <c r="BC76" s="1705"/>
      <c r="BD76" s="1705"/>
      <c r="BE76" s="1579"/>
      <c r="BF76" s="1579"/>
      <c r="BG76" s="1579"/>
      <c r="BH76" s="1579"/>
      <c r="BI76" s="1579"/>
      <c r="BJ76" s="1577"/>
      <c r="BK76" s="1577"/>
      <c r="BL76" s="1577"/>
      <c r="BM76" s="1579"/>
      <c r="BN76" s="1579"/>
      <c r="BO76" s="1579"/>
      <c r="BP76" s="1579"/>
      <c r="BQ76" s="1573"/>
      <c r="BR76" s="1577"/>
      <c r="BS76" s="21"/>
      <c r="BT76" s="1573"/>
      <c r="BU76" s="1579"/>
      <c r="BV76" s="28"/>
      <c r="BW76" s="28"/>
      <c r="BX76" s="1573"/>
    </row>
    <row r="77" spans="1:86" s="255" customFormat="1" ht="15.75" thickBot="1" x14ac:dyDescent="0.25">
      <c r="B77" s="574"/>
      <c r="C77" s="820" t="s">
        <v>154</v>
      </c>
      <c r="D77" s="819"/>
      <c r="E77" s="578"/>
      <c r="F77" s="576"/>
      <c r="G77" s="576"/>
      <c r="H77" s="576"/>
      <c r="I77" s="576"/>
      <c r="J77" s="576"/>
      <c r="K77" s="1404"/>
      <c r="L77" s="1088"/>
      <c r="M77" s="987"/>
      <c r="N77" s="1557">
        <f>IF(N72&gt;$J$74,N72-N74,IF(N72&lt;$J$74,(IF(N72&lt;0,-32.282,N72-N74))))</f>
        <v>-32.281999999999996</v>
      </c>
      <c r="O77" s="576">
        <f t="shared" ref="O77:T77" si="403">IF(O72&gt;$J$74,O72-O74,IF(O72&lt;$J$74,(IF(O72&lt;0,-32.282,O72-O74))))</f>
        <v>-32.281999999999996</v>
      </c>
      <c r="P77" s="576">
        <f t="shared" si="403"/>
        <v>-32.281999999999996</v>
      </c>
      <c r="Q77" s="576">
        <f t="shared" si="403"/>
        <v>-32.281999999999996</v>
      </c>
      <c r="R77" s="576">
        <f t="shared" si="403"/>
        <v>-32.281999999999996</v>
      </c>
      <c r="S77" s="576">
        <f t="shared" si="403"/>
        <v>-32.281999999999996</v>
      </c>
      <c r="T77" s="788">
        <f t="shared" si="403"/>
        <v>-32.281999999999996</v>
      </c>
      <c r="U77" s="479"/>
      <c r="V77" s="579">
        <f>SUM(N77:T77)</f>
        <v>-225.97399999999993</v>
      </c>
      <c r="W77" s="578"/>
      <c r="X77" s="788"/>
      <c r="Y77" s="479"/>
      <c r="Z77" s="579">
        <f>IF(Z72&gt;$J$74,Z72-Z74,IF(Z72&lt;$J$74,(IF(Z72&lt;0,-32.282,Z72-Z74))))</f>
        <v>-32.281999999999996</v>
      </c>
      <c r="AA77" s="576">
        <f t="shared" ref="AA77:AB77" si="404">IF(AA72&gt;$J$74,AA72-AA74,IF(AA72&lt;$J$74,(IF(AA72&lt;0,-32.282,AA72-AA74))))</f>
        <v>-32.281999999999996</v>
      </c>
      <c r="AB77" s="576">
        <f t="shared" si="404"/>
        <v>-32.281999999999996</v>
      </c>
      <c r="AC77" s="576">
        <f t="shared" ref="AC77:AD77" si="405">IF(AC72&gt;$J$74,AC72-AC74,IF(AC72&lt;$J$74,(IF(AC72&lt;0,-32.282,AC72-AC74))))</f>
        <v>-32.281999999999996</v>
      </c>
      <c r="AD77" s="576">
        <f t="shared" si="405"/>
        <v>-32.281999999999996</v>
      </c>
      <c r="AE77" s="576">
        <f t="shared" ref="AE77:AF77" si="406">IF(AE72&gt;$J$74,AE72-AE74,IF(AE72&lt;$J$74,(IF(AE72&lt;0,-32.282,AE72-AE74))))</f>
        <v>-32.281999999999996</v>
      </c>
      <c r="AF77" s="576">
        <f t="shared" si="406"/>
        <v>-32.281999999999996</v>
      </c>
      <c r="AG77" s="479"/>
      <c r="AH77" s="579">
        <f>SUM(Z77:AF77)</f>
        <v>-225.97399999999993</v>
      </c>
      <c r="AI77" s="578"/>
      <c r="AJ77" s="788"/>
      <c r="AK77" s="779"/>
      <c r="AL77" s="579">
        <f t="shared" ref="AL77" si="407">IF(AL72&gt;$J$74,AL72-AL74,IF(AL72&lt;$J$74,(IF(AL72&lt;0,-32.282,AL72-AL74))))</f>
        <v>-32.281999999999996</v>
      </c>
      <c r="AM77" s="578">
        <f t="shared" ref="AM77:AO77" si="408">IF(AM72&gt;$J$74,AM72-AM74,IF(AM72&lt;$J$74,(IF(AM72&lt;0,-32.282,AM72-AM74))))</f>
        <v>-32.281999999999996</v>
      </c>
      <c r="AN77" s="578">
        <f t="shared" si="408"/>
        <v>-32.281999999999996</v>
      </c>
      <c r="AO77" s="578">
        <f t="shared" si="408"/>
        <v>-32.281999999999996</v>
      </c>
      <c r="AP77" s="578">
        <f t="shared" ref="AP77:AQ77" si="409">IF(AP72&gt;$J$74,AP72-AP74,IF(AP72&lt;$J$74,(IF(AP72&lt;0,-32.282,AP72-AP74))))</f>
        <v>-32.281999999999996</v>
      </c>
      <c r="AQ77" s="578">
        <f t="shared" si="409"/>
        <v>-32.281999999999996</v>
      </c>
      <c r="AR77" s="578">
        <f t="shared" ref="AR77" si="410">IF(AR72&gt;$J$74,AR72-AR74,IF(AR72&lt;$J$74,(IF(AR72&lt;0,-32.282,AR72-AR74))))</f>
        <v>-32.281999999999996</v>
      </c>
      <c r="AS77" s="969"/>
      <c r="AT77" s="579">
        <f t="shared" si="394"/>
        <v>-225.97399999999993</v>
      </c>
      <c r="AU77" s="578"/>
      <c r="AV77" s="788"/>
      <c r="AW77" s="479"/>
      <c r="AX77" s="579">
        <f>IF(AX72&gt;$J$74,AX72-AX74,IF(AX72&lt;$J$74,(IF(AX72&lt;0,-32.314,AX72-AX74))))</f>
        <v>-32.314</v>
      </c>
      <c r="AY77" s="578">
        <f>IF(AY72&gt;$J$74,AY72-AY74,IF(AY72&lt;$J$74,(IF(AY72&lt;0,-32.314,AY72-AY74))))</f>
        <v>-32.314</v>
      </c>
      <c r="AZ77" s="578">
        <f>IF(AZ72&gt;$J$74,AZ72-AZ74,IF(AZ72&lt;$J$74,(IF(AZ72&lt;0,-32.314,AZ72-AZ74))))</f>
        <v>-32.314</v>
      </c>
      <c r="BA77" s="578">
        <f>IF(BA72&gt;$J$74,BA72-BA74,IF(BA72&lt;$J$74,(IF(BA72&lt;0,-32.314,BA72-BA74))))</f>
        <v>-32.314</v>
      </c>
      <c r="BB77" s="578">
        <f>IF(BB72&gt;$J$74,BB72-BB74,IF(BB72&lt;$J$74,(IF(BB72&lt;0,-32.314,BB72-BB74))))</f>
        <v>-32.314</v>
      </c>
      <c r="BC77" s="578">
        <f t="shared" ref="BC77:BD77" si="411">IF(BC72&gt;$J$74,BC72-BC74,IF(BC72&lt;$J$74,(IF(BC72&lt;0,-32.314,BC72-BC74))))</f>
        <v>-32.314</v>
      </c>
      <c r="BD77" s="788">
        <f t="shared" si="411"/>
        <v>-32.314</v>
      </c>
      <c r="BE77" s="479"/>
      <c r="BF77" s="579">
        <f t="shared" ref="BF77" si="412">SUM(AX77:BD77)</f>
        <v>-226.19799999999998</v>
      </c>
      <c r="BG77" s="578"/>
      <c r="BH77" s="788"/>
      <c r="BJ77" s="579">
        <f t="shared" ref="BJ77" si="413">IF(BJ72&gt;$J$74,BJ72-BJ74,IF(BJ72&lt;$J$74,(IF(BJ72&lt;0,-32.314,BJ72-BJ74))))</f>
        <v>-32.314</v>
      </c>
      <c r="BK77" s="578">
        <f t="shared" ref="BK77" si="414">IF(BK72&gt;$J$74,BK72-BK74,IF(BK72&lt;$J$74,(IF(BK72&lt;0,-32.314,BK72-BK74))))</f>
        <v>-32.314</v>
      </c>
      <c r="BL77" s="578">
        <f t="shared" ref="BL77" si="415">IF(BL72&gt;$J$74,BL72-BL74,IF(BL72&lt;$J$74,(IF(BL72&lt;0,-6.642,BL72-BL74))))</f>
        <v>31.701645161290315</v>
      </c>
      <c r="BM77" s="990"/>
      <c r="BN77" s="992">
        <f>SUM(BJ77:BL77)</f>
        <v>-32.926354838709685</v>
      </c>
      <c r="BO77" s="991"/>
      <c r="BP77" s="989"/>
      <c r="BQ77" s="1578"/>
      <c r="BR77" s="992">
        <f>SUM(N77:T77)+SUM(Z77:AF77)+SUM(AL77:AR77)+SUM(AX77:BD77)+SUM(BJ77:BL77)</f>
        <v>-937.04635483870948</v>
      </c>
      <c r="BS77" s="580">
        <f>BR77/E74</f>
        <v>-0.93180340766491454</v>
      </c>
    </row>
    <row r="78" spans="1:86" s="432" customFormat="1" ht="15.75" thickBot="1" x14ac:dyDescent="0.25">
      <c r="B78" s="444"/>
      <c r="C78" s="444"/>
      <c r="D78" s="444"/>
      <c r="E78" s="481"/>
      <c r="F78" s="481"/>
      <c r="G78" s="481"/>
      <c r="H78" s="481"/>
      <c r="I78" s="481"/>
      <c r="J78" s="481"/>
      <c r="K78" s="1098"/>
      <c r="L78" s="1401"/>
      <c r="M78" s="1098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2"/>
    </row>
    <row r="79" spans="1:86" s="1574" customFormat="1" ht="15.75" thickBot="1" x14ac:dyDescent="0.25">
      <c r="B79" s="616"/>
      <c r="C79" s="1134" t="s">
        <v>181</v>
      </c>
      <c r="E79" s="933">
        <f>E47</f>
        <v>9253.7911111111116</v>
      </c>
      <c r="F79" s="645">
        <f t="shared" si="386"/>
        <v>925.37911111111111</v>
      </c>
      <c r="G79" s="648">
        <f t="shared" ref="G79:G81" si="416">E79/15</f>
        <v>616.91940740740745</v>
      </c>
      <c r="H79" s="652">
        <f>E79/20</f>
        <v>462.68955555555556</v>
      </c>
      <c r="I79" s="656">
        <f t="shared" ref="I79:I81" si="417">E79/25</f>
        <v>370.15164444444446</v>
      </c>
      <c r="J79" s="660">
        <f>E79/31</f>
        <v>298.50939068100359</v>
      </c>
      <c r="K79" s="1135">
        <f>J79*30%</f>
        <v>89.552817204301078</v>
      </c>
      <c r="L79" s="1401"/>
      <c r="M79" s="1098"/>
      <c r="N79" s="623" t="str">
        <f>IF(N47&gt;0,"0.000",N47)</f>
        <v>0.000</v>
      </c>
      <c r="O79" s="1136" t="str">
        <f t="shared" ref="O79:T79" si="418">IF(O47&gt;0,"0.000",O47)</f>
        <v>0.000</v>
      </c>
      <c r="P79" s="1136" t="str">
        <f t="shared" si="418"/>
        <v>0.000</v>
      </c>
      <c r="Q79" s="1136" t="str">
        <f t="shared" si="418"/>
        <v>0.000</v>
      </c>
      <c r="R79" s="1136" t="str">
        <f t="shared" si="418"/>
        <v>0.000</v>
      </c>
      <c r="S79" s="1136" t="str">
        <f t="shared" si="418"/>
        <v>0.000</v>
      </c>
      <c r="T79" s="622" t="str">
        <f t="shared" si="418"/>
        <v>0.000</v>
      </c>
      <c r="U79" s="1579"/>
      <c r="V79" s="623">
        <f t="shared" si="56"/>
        <v>0</v>
      </c>
      <c r="W79" s="1136"/>
      <c r="X79" s="622"/>
      <c r="Y79" s="1579"/>
      <c r="Z79" s="623" t="str">
        <f t="shared" ref="Z79:AF79" si="419">IF(Z47&gt;0,"0.000",Z47)</f>
        <v>0.000</v>
      </c>
      <c r="AA79" s="1136" t="str">
        <f t="shared" si="419"/>
        <v>0.000</v>
      </c>
      <c r="AB79" s="1136" t="str">
        <f t="shared" si="419"/>
        <v>0.000</v>
      </c>
      <c r="AC79" s="1136" t="str">
        <f t="shared" si="419"/>
        <v>0.000</v>
      </c>
      <c r="AD79" s="1136">
        <f t="shared" si="419"/>
        <v>-24.703354838709679</v>
      </c>
      <c r="AE79" s="1136" t="str">
        <f t="shared" si="419"/>
        <v>0.000</v>
      </c>
      <c r="AF79" s="622" t="str">
        <f t="shared" si="419"/>
        <v>0.000</v>
      </c>
      <c r="AG79" s="1579"/>
      <c r="AH79" s="623">
        <f t="shared" ref="AH79:AH82" si="420">SUM(Z79:AF79)</f>
        <v>-24.703354838709679</v>
      </c>
      <c r="AI79" s="1136"/>
      <c r="AJ79" s="622"/>
      <c r="AK79" s="1579"/>
      <c r="AL79" s="623" t="str">
        <f t="shared" ref="AL79:AR79" si="421">IF(AL47&gt;0,"0.000",AL47)</f>
        <v>0.000</v>
      </c>
      <c r="AM79" s="1136" t="str">
        <f t="shared" si="421"/>
        <v>0.000</v>
      </c>
      <c r="AN79" s="1136" t="str">
        <f t="shared" si="421"/>
        <v>0.000</v>
      </c>
      <c r="AO79" s="1136" t="str">
        <f t="shared" si="421"/>
        <v>0.000</v>
      </c>
      <c r="AP79" s="1136">
        <f t="shared" si="421"/>
        <v>-9.6733548387096793</v>
      </c>
      <c r="AQ79" s="1136" t="str">
        <f t="shared" si="421"/>
        <v>0.000</v>
      </c>
      <c r="AR79" s="622" t="str">
        <f t="shared" si="421"/>
        <v>0.000</v>
      </c>
      <c r="AS79" s="1579"/>
      <c r="AT79" s="623">
        <f t="shared" ref="AT79:AT82" si="422">SUM(AL79:AR79)</f>
        <v>-9.6733548387096793</v>
      </c>
      <c r="AU79" s="1136"/>
      <c r="AV79" s="622"/>
      <c r="AW79" s="1579"/>
      <c r="AX79" s="623" t="str">
        <f t="shared" ref="AX79:BD79" si="423">IF(AX47&gt;0,"0.000",AX47)</f>
        <v>0.000</v>
      </c>
      <c r="AY79" s="1136" t="str">
        <f t="shared" si="423"/>
        <v>0.000</v>
      </c>
      <c r="AZ79" s="1136" t="str">
        <f t="shared" si="423"/>
        <v>0.000</v>
      </c>
      <c r="BA79" s="1136" t="str">
        <f t="shared" si="423"/>
        <v>0.000</v>
      </c>
      <c r="BB79" s="1136" t="str">
        <f t="shared" si="423"/>
        <v>0.000</v>
      </c>
      <c r="BC79" s="1136" t="str">
        <f t="shared" si="423"/>
        <v>0.000</v>
      </c>
      <c r="BD79" s="622" t="str">
        <f t="shared" si="423"/>
        <v>0.000</v>
      </c>
      <c r="BE79" s="1579"/>
      <c r="BF79" s="623">
        <f t="shared" ref="BF79:BF82" si="424">SUM(AX79:BD79)</f>
        <v>0</v>
      </c>
      <c r="BG79" s="1136"/>
      <c r="BH79" s="622"/>
      <c r="BI79" s="1579"/>
      <c r="BJ79" s="623" t="str">
        <f>IF(BJ47&gt;0,"0.000",BJ47)</f>
        <v>0.000</v>
      </c>
      <c r="BK79" s="1130" t="str">
        <f>IF(BK47&gt;0,"0.000",BK47)</f>
        <v>0.000</v>
      </c>
      <c r="BL79" s="1130" t="str">
        <f>IF(BL47&gt;0,"0.000",BL47)</f>
        <v>0.000</v>
      </c>
      <c r="BM79" s="1579"/>
      <c r="BN79" s="623">
        <f>SUM(BJ79:BL79)</f>
        <v>0</v>
      </c>
      <c r="BO79" s="1136"/>
      <c r="BP79" s="622"/>
      <c r="BQ79" s="1573"/>
      <c r="BR79" s="623">
        <f>SUM(N79:T79)+SUM(Z79:AF79)+SUM(AL79:AR79)+SUM(AX79:BD79)+SUM(BJ79:BL79)</f>
        <v>-34.376709677419356</v>
      </c>
      <c r="BS79" s="622"/>
      <c r="BT79" s="1573"/>
      <c r="BU79" s="511"/>
      <c r="BV79" s="29"/>
      <c r="BW79" s="29"/>
    </row>
    <row r="80" spans="1:86" s="255" customFormat="1" ht="15.75" thickBot="1" x14ac:dyDescent="0.25">
      <c r="B80" s="585"/>
      <c r="C80" s="985" t="s">
        <v>143</v>
      </c>
      <c r="D80" s="81"/>
      <c r="E80" s="925">
        <f>E71</f>
        <v>6927.12</v>
      </c>
      <c r="F80" s="97">
        <f t="shared" si="386"/>
        <v>692.71199999999999</v>
      </c>
      <c r="G80" s="649">
        <f t="shared" si="416"/>
        <v>461.80799999999999</v>
      </c>
      <c r="H80" s="653">
        <f t="shared" ref="H80:H81" si="425">E80/20</f>
        <v>346.35599999999999</v>
      </c>
      <c r="I80" s="657">
        <f t="shared" si="417"/>
        <v>277.08479999999997</v>
      </c>
      <c r="J80" s="661">
        <f>E80/31</f>
        <v>223.45548387096773</v>
      </c>
      <c r="K80" s="986">
        <f>J80*30%</f>
        <v>67.036645161290309</v>
      </c>
      <c r="L80" s="1088"/>
      <c r="M80" s="987"/>
      <c r="N80" s="911">
        <f t="shared" ref="N80:T80" si="426">IF(N72&gt;0,"0.000",N72)</f>
        <v>-67.036645161290323</v>
      </c>
      <c r="O80" s="40">
        <f t="shared" si="426"/>
        <v>-67.036645161290323</v>
      </c>
      <c r="P80" s="40">
        <f t="shared" si="426"/>
        <v>-67.036645161290323</v>
      </c>
      <c r="Q80" s="40">
        <f t="shared" si="426"/>
        <v>-67.036645161290323</v>
      </c>
      <c r="R80" s="40">
        <f t="shared" si="426"/>
        <v>-67.036645161290323</v>
      </c>
      <c r="S80" s="40">
        <f t="shared" si="426"/>
        <v>-67.036645161290323</v>
      </c>
      <c r="T80" s="586">
        <f t="shared" si="426"/>
        <v>-67.036645161290323</v>
      </c>
      <c r="U80" s="1578"/>
      <c r="V80" s="911">
        <f t="shared" si="56"/>
        <v>-469.25651612903226</v>
      </c>
      <c r="W80" s="40"/>
      <c r="X80" s="586"/>
      <c r="Y80" s="1578"/>
      <c r="Z80" s="911">
        <f t="shared" ref="Z80:AF80" si="427">IF(Z72&gt;0,"0.000",Z72)</f>
        <v>-67.036645161290323</v>
      </c>
      <c r="AA80" s="40">
        <f t="shared" si="427"/>
        <v>-67.036645161290323</v>
      </c>
      <c r="AB80" s="40">
        <f t="shared" si="427"/>
        <v>-67.036645161290323</v>
      </c>
      <c r="AC80" s="40">
        <f t="shared" si="427"/>
        <v>-67.036645161290323</v>
      </c>
      <c r="AD80" s="40">
        <f t="shared" si="427"/>
        <v>-67.037000000000006</v>
      </c>
      <c r="AE80" s="40">
        <f t="shared" si="427"/>
        <v>-67.036645161290323</v>
      </c>
      <c r="AF80" s="586">
        <f t="shared" si="427"/>
        <v>-67.036645161290323</v>
      </c>
      <c r="AG80" s="1578"/>
      <c r="AH80" s="911">
        <f t="shared" si="420"/>
        <v>-469.25687096774197</v>
      </c>
      <c r="AI80" s="40"/>
      <c r="AJ80" s="586"/>
      <c r="AK80" s="1578"/>
      <c r="AL80" s="911">
        <f t="shared" ref="AL80:AR80" si="428">IF(AL72&gt;0,"0.000",AL72)</f>
        <v>-67.036645161290323</v>
      </c>
      <c r="AM80" s="40">
        <f t="shared" si="428"/>
        <v>-67.036645161290323</v>
      </c>
      <c r="AN80" s="40">
        <f t="shared" si="428"/>
        <v>-67.036645161290323</v>
      </c>
      <c r="AO80" s="40">
        <f t="shared" si="428"/>
        <v>-67.036645161290323</v>
      </c>
      <c r="AP80" s="40">
        <f t="shared" si="428"/>
        <v>-67.037000000000006</v>
      </c>
      <c r="AQ80" s="40">
        <f t="shared" si="428"/>
        <v>-67.036645161290323</v>
      </c>
      <c r="AR80" s="586">
        <f t="shared" si="428"/>
        <v>-67.036645161290323</v>
      </c>
      <c r="AS80" s="1578"/>
      <c r="AT80" s="911">
        <f t="shared" si="422"/>
        <v>-469.25687096774197</v>
      </c>
      <c r="AU80" s="40"/>
      <c r="AV80" s="586"/>
      <c r="AW80" s="1578"/>
      <c r="AX80" s="911">
        <f t="shared" ref="AX80:BD80" si="429">IF(AX72&gt;0,"0.000",AX72)</f>
        <v>-67.036645161290323</v>
      </c>
      <c r="AY80" s="40">
        <f t="shared" si="429"/>
        <v>-67.036645161290323</v>
      </c>
      <c r="AZ80" s="40">
        <f t="shared" si="429"/>
        <v>-67.036645161290323</v>
      </c>
      <c r="BA80" s="40">
        <f t="shared" si="429"/>
        <v>-67.036645161290323</v>
      </c>
      <c r="BB80" s="40">
        <f t="shared" si="429"/>
        <v>-67.036645161290323</v>
      </c>
      <c r="BC80" s="40">
        <f t="shared" si="429"/>
        <v>-67.036645161290323</v>
      </c>
      <c r="BD80" s="586">
        <f t="shared" si="429"/>
        <v>-67.036645161290323</v>
      </c>
      <c r="BE80" s="1578"/>
      <c r="BF80" s="911">
        <f t="shared" si="424"/>
        <v>-469.25651612903226</v>
      </c>
      <c r="BG80" s="40"/>
      <c r="BH80" s="586"/>
      <c r="BI80" s="1578"/>
      <c r="BJ80" s="911">
        <f>IF(BJ72&gt;0,"0.000",BJ72)</f>
        <v>-67.036645161290323</v>
      </c>
      <c r="BK80" s="1571">
        <f>IF(BK72&gt;0,"0.000",BK72)</f>
        <v>-67.036645161290323</v>
      </c>
      <c r="BL80" s="1571" t="str">
        <f>IF(BL72&gt;0,"0.000",BL72)</f>
        <v>0.000</v>
      </c>
      <c r="BM80" s="1578"/>
      <c r="BN80" s="911">
        <f>SUM(BJ80:BL80)</f>
        <v>-134.07329032258065</v>
      </c>
      <c r="BO80" s="40"/>
      <c r="BP80" s="586"/>
      <c r="BR80" s="587">
        <f>SUM(N80:T80)+SUM(Z80:AF80)+SUM(AL80:AR80)+SUM(AX80:BD80)+SUM(BJ80:BL80)</f>
        <v>-2011.1000645161294</v>
      </c>
      <c r="BS80" s="586"/>
      <c r="BU80" s="742"/>
      <c r="BV80" s="743"/>
      <c r="BW80" s="744"/>
    </row>
    <row r="81" spans="2:75" s="1573" customFormat="1" x14ac:dyDescent="0.2">
      <c r="B81" s="1137"/>
      <c r="C81" s="1138" t="s">
        <v>178</v>
      </c>
      <c r="D81" s="1574"/>
      <c r="E81" s="927">
        <f>E75</f>
        <v>3352.0888888888899</v>
      </c>
      <c r="F81" s="99">
        <f t="shared" si="386"/>
        <v>335.20888888888896</v>
      </c>
      <c r="G81" s="1139">
        <f t="shared" si="416"/>
        <v>223.47259259259266</v>
      </c>
      <c r="H81" s="1140">
        <f t="shared" si="425"/>
        <v>167.60444444444448</v>
      </c>
      <c r="I81" s="1141">
        <f t="shared" si="417"/>
        <v>134.08355555555559</v>
      </c>
      <c r="J81" s="1142">
        <f>E81/31</f>
        <v>108.13189964157709</v>
      </c>
      <c r="K81" s="497">
        <f>J81*30%</f>
        <v>32.439569892473124</v>
      </c>
      <c r="L81" s="1401"/>
      <c r="M81" s="1098"/>
      <c r="N81" s="937">
        <f t="shared" ref="N81:T81" si="430">IF(N77&gt;0,"0.000",N77)</f>
        <v>-32.281999999999996</v>
      </c>
      <c r="O81" s="5">
        <f t="shared" si="430"/>
        <v>-32.281999999999996</v>
      </c>
      <c r="P81" s="5">
        <f t="shared" si="430"/>
        <v>-32.281999999999996</v>
      </c>
      <c r="Q81" s="5">
        <f t="shared" si="430"/>
        <v>-32.281999999999996</v>
      </c>
      <c r="R81" s="5">
        <f t="shared" si="430"/>
        <v>-32.281999999999996</v>
      </c>
      <c r="S81" s="5">
        <f t="shared" si="430"/>
        <v>-32.281999999999996</v>
      </c>
      <c r="T81" s="1143">
        <f t="shared" si="430"/>
        <v>-32.281999999999996</v>
      </c>
      <c r="U81" s="1579"/>
      <c r="V81" s="937">
        <f t="shared" si="56"/>
        <v>-225.97399999999993</v>
      </c>
      <c r="W81" s="5"/>
      <c r="X81" s="1143"/>
      <c r="Y81" s="1579"/>
      <c r="Z81" s="937">
        <f t="shared" ref="Z81:AF81" si="431">IF(Z77&gt;0,"0.000",Z77)</f>
        <v>-32.281999999999996</v>
      </c>
      <c r="AA81" s="5">
        <f t="shared" si="431"/>
        <v>-32.281999999999996</v>
      </c>
      <c r="AB81" s="5">
        <f t="shared" si="431"/>
        <v>-32.281999999999996</v>
      </c>
      <c r="AC81" s="5">
        <f t="shared" si="431"/>
        <v>-32.281999999999996</v>
      </c>
      <c r="AD81" s="5">
        <f t="shared" si="431"/>
        <v>-32.281999999999996</v>
      </c>
      <c r="AE81" s="5">
        <f t="shared" si="431"/>
        <v>-32.281999999999996</v>
      </c>
      <c r="AF81" s="1143">
        <f t="shared" si="431"/>
        <v>-32.281999999999996</v>
      </c>
      <c r="AG81" s="1579"/>
      <c r="AH81" s="937">
        <f t="shared" si="420"/>
        <v>-225.97399999999993</v>
      </c>
      <c r="AI81" s="5"/>
      <c r="AJ81" s="1143"/>
      <c r="AK81" s="1579"/>
      <c r="AL81" s="937">
        <f t="shared" ref="AL81:AR81" si="432">IF(AL77&gt;0,"0.000",AL77)</f>
        <v>-32.281999999999996</v>
      </c>
      <c r="AM81" s="5">
        <f t="shared" si="432"/>
        <v>-32.281999999999996</v>
      </c>
      <c r="AN81" s="5">
        <f t="shared" si="432"/>
        <v>-32.281999999999996</v>
      </c>
      <c r="AO81" s="5">
        <f t="shared" si="432"/>
        <v>-32.281999999999996</v>
      </c>
      <c r="AP81" s="5">
        <f t="shared" si="432"/>
        <v>-32.281999999999996</v>
      </c>
      <c r="AQ81" s="5">
        <f t="shared" si="432"/>
        <v>-32.281999999999996</v>
      </c>
      <c r="AR81" s="1143">
        <f t="shared" si="432"/>
        <v>-32.281999999999996</v>
      </c>
      <c r="AS81" s="1579"/>
      <c r="AT81" s="937">
        <f t="shared" si="422"/>
        <v>-225.97399999999993</v>
      </c>
      <c r="AU81" s="5"/>
      <c r="AV81" s="1143"/>
      <c r="AW81" s="1579"/>
      <c r="AX81" s="937">
        <f t="shared" ref="AX81:BD81" si="433">IF(AX77&gt;0,"0.000",AX77)</f>
        <v>-32.314</v>
      </c>
      <c r="AY81" s="5">
        <f t="shared" si="433"/>
        <v>-32.314</v>
      </c>
      <c r="AZ81" s="5">
        <f t="shared" si="433"/>
        <v>-32.314</v>
      </c>
      <c r="BA81" s="5">
        <f t="shared" si="433"/>
        <v>-32.314</v>
      </c>
      <c r="BB81" s="5">
        <f t="shared" si="433"/>
        <v>-32.314</v>
      </c>
      <c r="BC81" s="5">
        <f t="shared" si="433"/>
        <v>-32.314</v>
      </c>
      <c r="BD81" s="1143">
        <f t="shared" si="433"/>
        <v>-32.314</v>
      </c>
      <c r="BE81" s="1579"/>
      <c r="BF81" s="937">
        <f t="shared" si="424"/>
        <v>-226.19799999999998</v>
      </c>
      <c r="BG81" s="5"/>
      <c r="BH81" s="1143"/>
      <c r="BI81" s="1579"/>
      <c r="BJ81" s="937">
        <f>IF(BJ77&gt;0,"0.000",BJ77)</f>
        <v>-32.314</v>
      </c>
      <c r="BK81" s="1572">
        <f>IF(BK77&gt;0,"0.000",BK77)</f>
        <v>-32.314</v>
      </c>
      <c r="BL81" s="1572" t="str">
        <f>IF(BL77&gt;0,"0.000",BL77)</f>
        <v>0.000</v>
      </c>
      <c r="BM81" s="1579"/>
      <c r="BN81" s="937">
        <f>SUM(BJ81:BL81)</f>
        <v>-64.628</v>
      </c>
      <c r="BO81" s="5"/>
      <c r="BP81" s="1143"/>
      <c r="BR81" s="937">
        <f>SUM(N81:T81)+SUM(Z81:AF81)+SUM(AL81:AR81)+SUM(AX81:BD81)+SUM(BJ81:BL81)</f>
        <v>-968.74799999999982</v>
      </c>
      <c r="BS81" s="1143"/>
      <c r="BU81" s="1579"/>
      <c r="BV81" s="182"/>
      <c r="BW81" s="182"/>
    </row>
    <row r="82" spans="2:75" s="255" customFormat="1" ht="15.75" thickBot="1" x14ac:dyDescent="0.25">
      <c r="B82" s="1001"/>
      <c r="C82" s="1002" t="s">
        <v>195</v>
      </c>
      <c r="D82" s="81"/>
      <c r="E82" s="468"/>
      <c r="F82" s="1003"/>
      <c r="G82" s="1004"/>
      <c r="H82" s="1005"/>
      <c r="I82" s="1006"/>
      <c r="J82" s="1007"/>
      <c r="K82" s="498"/>
      <c r="L82" s="1088"/>
      <c r="M82" s="987"/>
      <c r="N82" s="957" t="str">
        <f t="shared" ref="N82:T82" si="434">IF(N77&lt;0,"0.000",N77)</f>
        <v>0.000</v>
      </c>
      <c r="O82" s="1008" t="str">
        <f t="shared" si="434"/>
        <v>0.000</v>
      </c>
      <c r="P82" s="1008" t="str">
        <f t="shared" si="434"/>
        <v>0.000</v>
      </c>
      <c r="Q82" s="1008" t="str">
        <f t="shared" si="434"/>
        <v>0.000</v>
      </c>
      <c r="R82" s="1008" t="str">
        <f t="shared" si="434"/>
        <v>0.000</v>
      </c>
      <c r="S82" s="1008" t="str">
        <f t="shared" si="434"/>
        <v>0.000</v>
      </c>
      <c r="T82" s="1009" t="str">
        <f t="shared" si="434"/>
        <v>0.000</v>
      </c>
      <c r="U82" s="1578"/>
      <c r="V82" s="957">
        <f t="shared" si="56"/>
        <v>0</v>
      </c>
      <c r="W82" s="1008"/>
      <c r="X82" s="1009"/>
      <c r="Y82" s="1578"/>
      <c r="Z82" s="957" t="str">
        <f t="shared" ref="Z82:AF82" si="435">IF(Z77&lt;0,"0.000",Z77)</f>
        <v>0.000</v>
      </c>
      <c r="AA82" s="1008" t="str">
        <f t="shared" si="435"/>
        <v>0.000</v>
      </c>
      <c r="AB82" s="1008" t="str">
        <f t="shared" si="435"/>
        <v>0.000</v>
      </c>
      <c r="AC82" s="1008" t="str">
        <f t="shared" si="435"/>
        <v>0.000</v>
      </c>
      <c r="AD82" s="1008" t="str">
        <f t="shared" si="435"/>
        <v>0.000</v>
      </c>
      <c r="AE82" s="1008" t="str">
        <f t="shared" si="435"/>
        <v>0.000</v>
      </c>
      <c r="AF82" s="1009" t="str">
        <f t="shared" si="435"/>
        <v>0.000</v>
      </c>
      <c r="AG82" s="1578"/>
      <c r="AH82" s="957">
        <f t="shared" si="420"/>
        <v>0</v>
      </c>
      <c r="AI82" s="1008"/>
      <c r="AJ82" s="1009"/>
      <c r="AK82" s="1578"/>
      <c r="AL82" s="957" t="str">
        <f t="shared" ref="AL82:AR82" si="436">IF(AL77&lt;0,"0.000",AL77)</f>
        <v>0.000</v>
      </c>
      <c r="AM82" s="1008" t="str">
        <f t="shared" si="436"/>
        <v>0.000</v>
      </c>
      <c r="AN82" s="1008" t="str">
        <f t="shared" si="436"/>
        <v>0.000</v>
      </c>
      <c r="AO82" s="1008" t="str">
        <f t="shared" si="436"/>
        <v>0.000</v>
      </c>
      <c r="AP82" s="1008" t="str">
        <f t="shared" si="436"/>
        <v>0.000</v>
      </c>
      <c r="AQ82" s="1008" t="str">
        <f t="shared" si="436"/>
        <v>0.000</v>
      </c>
      <c r="AR82" s="1009" t="str">
        <f t="shared" si="436"/>
        <v>0.000</v>
      </c>
      <c r="AS82" s="1578"/>
      <c r="AT82" s="957">
        <f t="shared" si="422"/>
        <v>0</v>
      </c>
      <c r="AU82" s="1008"/>
      <c r="AV82" s="1009"/>
      <c r="AW82" s="1578"/>
      <c r="AX82" s="957" t="str">
        <f t="shared" ref="AX82:BD82" si="437">IF(AX77&lt;0,"0.000",AX77)</f>
        <v>0.000</v>
      </c>
      <c r="AY82" s="1008" t="str">
        <f t="shared" si="437"/>
        <v>0.000</v>
      </c>
      <c r="AZ82" s="1008" t="str">
        <f t="shared" si="437"/>
        <v>0.000</v>
      </c>
      <c r="BA82" s="1008" t="str">
        <f t="shared" si="437"/>
        <v>0.000</v>
      </c>
      <c r="BB82" s="1008" t="str">
        <f t="shared" si="437"/>
        <v>0.000</v>
      </c>
      <c r="BC82" s="1008" t="str">
        <f t="shared" si="437"/>
        <v>0.000</v>
      </c>
      <c r="BD82" s="1009" t="str">
        <f t="shared" si="437"/>
        <v>0.000</v>
      </c>
      <c r="BE82" s="1578"/>
      <c r="BF82" s="957">
        <f t="shared" si="424"/>
        <v>0</v>
      </c>
      <c r="BG82" s="1008"/>
      <c r="BH82" s="1009"/>
      <c r="BI82" s="1578"/>
      <c r="BJ82" s="957" t="str">
        <f>IF(BJ77&lt;0,"0.000",BJ77)</f>
        <v>0.000</v>
      </c>
      <c r="BK82" s="958" t="str">
        <f>IF(BK77&lt;0,"0.000",BK77)</f>
        <v>0.000</v>
      </c>
      <c r="BL82" s="958">
        <f>IF(BL77&lt;0,"0.000",BL77)</f>
        <v>31.701645161290315</v>
      </c>
      <c r="BM82" s="1578"/>
      <c r="BN82" s="957">
        <f>SUM(BJ82:BL82)</f>
        <v>31.701645161290315</v>
      </c>
      <c r="BO82" s="1008"/>
      <c r="BP82" s="1009"/>
      <c r="BR82" s="957">
        <f>SUM(N82:T82)+SUM(Z82:AF82)+SUM(AL82:AR82)+SUM(AX82:BD82)+SUM(BJ82:BL82)</f>
        <v>31.701645161290315</v>
      </c>
      <c r="BS82" s="1009"/>
      <c r="BU82" s="1578"/>
      <c r="BV82" s="975"/>
      <c r="BW82" s="975"/>
    </row>
    <row r="83" spans="2:75" s="1573" customFormat="1" ht="4.5" customHeight="1" thickBot="1" x14ac:dyDescent="0.25">
      <c r="D83" s="1574"/>
      <c r="K83" s="29"/>
      <c r="L83" s="1391"/>
      <c r="M83" s="29"/>
      <c r="U83" s="1574"/>
      <c r="Y83" s="1574"/>
      <c r="AG83" s="1574"/>
      <c r="AK83" s="1574"/>
      <c r="AS83" s="1574"/>
      <c r="AW83" s="1574"/>
      <c r="BE83" s="1574"/>
    </row>
    <row r="84" spans="2:75" s="1573" customFormat="1" ht="15.75" thickBot="1" x14ac:dyDescent="0.25">
      <c r="B84" s="1092"/>
      <c r="C84" s="1093"/>
      <c r="D84" s="1094"/>
      <c r="E84" s="1095">
        <v>19533</v>
      </c>
      <c r="F84" s="1096"/>
      <c r="G84" s="1096"/>
      <c r="H84" s="1096"/>
      <c r="I84" s="1096"/>
      <c r="J84" s="1096">
        <f>E84/31</f>
        <v>630.09677419354841</v>
      </c>
      <c r="K84" s="1165">
        <f>J84*30%</f>
        <v>189.02903225806452</v>
      </c>
      <c r="L84" s="1401"/>
      <c r="M84" s="1098"/>
      <c r="N84" s="1099">
        <f>SUM(N79:N82)</f>
        <v>-99.31864516129032</v>
      </c>
      <c r="O84" s="1095">
        <f t="shared" ref="O84:T84" si="438">SUM(O79:O82)</f>
        <v>-99.31864516129032</v>
      </c>
      <c r="P84" s="1095">
        <f t="shared" si="438"/>
        <v>-99.31864516129032</v>
      </c>
      <c r="Q84" s="1095">
        <f t="shared" si="438"/>
        <v>-99.31864516129032</v>
      </c>
      <c r="R84" s="1095">
        <f t="shared" si="438"/>
        <v>-99.31864516129032</v>
      </c>
      <c r="S84" s="1095">
        <f t="shared" si="438"/>
        <v>-99.31864516129032</v>
      </c>
      <c r="T84" s="1100">
        <f t="shared" si="438"/>
        <v>-99.31864516129032</v>
      </c>
      <c r="U84" s="481"/>
      <c r="V84" s="1099">
        <f>SUM(N84:T84)</f>
        <v>-695.23051612903225</v>
      </c>
      <c r="W84" s="1095"/>
      <c r="X84" s="1100"/>
      <c r="Y84" s="481"/>
      <c r="Z84" s="1099">
        <f t="shared" ref="Z84:AF84" si="439">SUM(Z79:Z82)</f>
        <v>-99.31864516129032</v>
      </c>
      <c r="AA84" s="1095">
        <f t="shared" si="439"/>
        <v>-99.31864516129032</v>
      </c>
      <c r="AB84" s="1095">
        <f t="shared" si="439"/>
        <v>-99.31864516129032</v>
      </c>
      <c r="AC84" s="1095">
        <f t="shared" si="439"/>
        <v>-99.31864516129032</v>
      </c>
      <c r="AD84" s="1095">
        <f t="shared" si="439"/>
        <v>-124.02235483870969</v>
      </c>
      <c r="AE84" s="1095">
        <f t="shared" si="439"/>
        <v>-99.31864516129032</v>
      </c>
      <c r="AF84" s="1100">
        <f t="shared" si="439"/>
        <v>-99.31864516129032</v>
      </c>
      <c r="AG84" s="481"/>
      <c r="AH84" s="1099">
        <f>SUM(Z84:AF84)</f>
        <v>-719.93422580645154</v>
      </c>
      <c r="AI84" s="1095"/>
      <c r="AJ84" s="1100"/>
      <c r="AK84" s="781"/>
      <c r="AL84" s="1099">
        <f t="shared" ref="AL84:AR84" si="440">SUM(AL79:AL82)</f>
        <v>-99.31864516129032</v>
      </c>
      <c r="AM84" s="1096">
        <f t="shared" si="440"/>
        <v>-99.31864516129032</v>
      </c>
      <c r="AN84" s="1096">
        <f t="shared" si="440"/>
        <v>-99.31864516129032</v>
      </c>
      <c r="AO84" s="1096">
        <f t="shared" si="440"/>
        <v>-99.31864516129032</v>
      </c>
      <c r="AP84" s="1096">
        <f t="shared" si="440"/>
        <v>-108.99235483870969</v>
      </c>
      <c r="AQ84" s="1096">
        <f t="shared" si="440"/>
        <v>-99.31864516129032</v>
      </c>
      <c r="AR84" s="1100">
        <f t="shared" si="440"/>
        <v>-99.31864516129032</v>
      </c>
      <c r="AS84" s="1101"/>
      <c r="AT84" s="1099">
        <f>SUM(AL84:AR84)</f>
        <v>-704.90422580645156</v>
      </c>
      <c r="AU84" s="1095"/>
      <c r="AV84" s="1100"/>
      <c r="AW84" s="481"/>
      <c r="AX84" s="1099">
        <f t="shared" ref="AX84:BD84" si="441">SUM(AX79:AX82)</f>
        <v>-99.350645161290316</v>
      </c>
      <c r="AY84" s="1096">
        <f t="shared" si="441"/>
        <v>-99.350645161290316</v>
      </c>
      <c r="AZ84" s="1096">
        <f t="shared" si="441"/>
        <v>-99.350645161290316</v>
      </c>
      <c r="BA84" s="1096">
        <f t="shared" si="441"/>
        <v>-99.350645161290316</v>
      </c>
      <c r="BB84" s="1096">
        <f t="shared" si="441"/>
        <v>-99.350645161290316</v>
      </c>
      <c r="BC84" s="1096">
        <f t="shared" si="441"/>
        <v>-99.350645161290316</v>
      </c>
      <c r="BD84" s="1100">
        <f t="shared" si="441"/>
        <v>-99.350645161290316</v>
      </c>
      <c r="BE84" s="481"/>
      <c r="BF84" s="1099">
        <f>SUM(AX84:BD84)</f>
        <v>-695.4545161290323</v>
      </c>
      <c r="BG84" s="1095"/>
      <c r="BH84" s="1100"/>
      <c r="BJ84" s="1099">
        <f t="shared" ref="BJ84:BL84" si="442">SUM(BJ79:BJ82)</f>
        <v>-99.350645161290316</v>
      </c>
      <c r="BK84" s="1095">
        <f t="shared" ref="BK84" si="443">SUM(BK79:BK82)</f>
        <v>-99.350645161290316</v>
      </c>
      <c r="BL84" s="1095">
        <f t="shared" si="442"/>
        <v>31.701645161290315</v>
      </c>
      <c r="BM84" s="1103"/>
      <c r="BN84" s="1104">
        <f>SUM(BJ84:BL84)</f>
        <v>-166.99964516129032</v>
      </c>
      <c r="BO84" s="1133"/>
      <c r="BP84" s="1132"/>
      <c r="BQ84" s="1579"/>
      <c r="BR84" s="1104">
        <f>SUM(N84:T84)+SUM(Z84:AF84)+SUM(AL84:AR84)+SUM(AX84:BD84)+SUM(BJ84:BL84)</f>
        <v>-2982.5231290322577</v>
      </c>
      <c r="BS84" s="1105"/>
    </row>
    <row r="85" spans="2:75" s="1573" customFormat="1" ht="4.5" customHeight="1" thickBot="1" x14ac:dyDescent="0.25">
      <c r="D85" s="1574"/>
      <c r="K85" s="1574"/>
      <c r="L85" s="1397"/>
      <c r="M85" s="444"/>
      <c r="U85" s="1574"/>
      <c r="Y85" s="1574"/>
      <c r="AG85" s="1574"/>
      <c r="AK85" s="1574"/>
      <c r="AS85" s="1574"/>
      <c r="AW85" s="1574"/>
      <c r="BE85" s="1574"/>
    </row>
    <row r="86" spans="2:75" s="255" customFormat="1" ht="15.75" thickBot="1" x14ac:dyDescent="0.25">
      <c r="B86" s="574"/>
      <c r="C86" s="820"/>
      <c r="D86" s="819"/>
      <c r="E86" s="578">
        <f>E84*30%</f>
        <v>5859.9</v>
      </c>
      <c r="F86" s="576"/>
      <c r="G86" s="576"/>
      <c r="H86" s="576"/>
      <c r="I86" s="576"/>
      <c r="J86" s="576"/>
      <c r="K86" s="1404"/>
      <c r="L86" s="1088"/>
      <c r="M86" s="987"/>
      <c r="N86" s="579">
        <f>N84*100/30</f>
        <v>-331.06215053763441</v>
      </c>
      <c r="O86" s="578">
        <f t="shared" ref="O86:U86" si="444">O84*100/30</f>
        <v>-331.06215053763441</v>
      </c>
      <c r="P86" s="578">
        <f t="shared" si="444"/>
        <v>-331.06215053763441</v>
      </c>
      <c r="Q86" s="578">
        <f t="shared" si="444"/>
        <v>-331.06215053763441</v>
      </c>
      <c r="R86" s="578">
        <f t="shared" si="444"/>
        <v>-331.06215053763441</v>
      </c>
      <c r="S86" s="578">
        <f t="shared" si="444"/>
        <v>-331.06215053763441</v>
      </c>
      <c r="T86" s="1010">
        <f t="shared" si="444"/>
        <v>-331.06215053763441</v>
      </c>
      <c r="U86" s="969">
        <f t="shared" si="444"/>
        <v>0</v>
      </c>
      <c r="V86" s="579">
        <f>SUM(N86:T86)</f>
        <v>-2317.4350537634409</v>
      </c>
      <c r="W86" s="578"/>
      <c r="X86" s="788"/>
      <c r="Y86" s="479"/>
      <c r="Z86" s="579">
        <f t="shared" ref="Z86:AF86" si="445">Z84*100/30</f>
        <v>-331.06215053763441</v>
      </c>
      <c r="AA86" s="578">
        <f t="shared" si="445"/>
        <v>-331.06215053763441</v>
      </c>
      <c r="AB86" s="578">
        <f t="shared" si="445"/>
        <v>-331.06215053763441</v>
      </c>
      <c r="AC86" s="578">
        <f t="shared" si="445"/>
        <v>-331.06215053763441</v>
      </c>
      <c r="AD86" s="578">
        <f t="shared" si="445"/>
        <v>-413.40784946236562</v>
      </c>
      <c r="AE86" s="578">
        <f t="shared" si="445"/>
        <v>-331.06215053763441</v>
      </c>
      <c r="AF86" s="788">
        <f t="shared" si="445"/>
        <v>-331.06215053763441</v>
      </c>
      <c r="AG86" s="479"/>
      <c r="AH86" s="579">
        <f>SUM(Z86:AF86)</f>
        <v>-2399.780752688172</v>
      </c>
      <c r="AI86" s="578"/>
      <c r="AJ86" s="788"/>
      <c r="AK86" s="779"/>
      <c r="AL86" s="579">
        <f t="shared" ref="AL86:AR86" si="446">AL84*100/30</f>
        <v>-331.06215053763441</v>
      </c>
      <c r="AM86" s="576">
        <f t="shared" si="446"/>
        <v>-331.06215053763441</v>
      </c>
      <c r="AN86" s="576">
        <f t="shared" si="446"/>
        <v>-331.06215053763441</v>
      </c>
      <c r="AO86" s="576">
        <f t="shared" si="446"/>
        <v>-331.06215053763441</v>
      </c>
      <c r="AP86" s="576">
        <f t="shared" si="446"/>
        <v>-363.30784946236565</v>
      </c>
      <c r="AQ86" s="576">
        <f t="shared" si="446"/>
        <v>-331.06215053763441</v>
      </c>
      <c r="AR86" s="788">
        <f t="shared" si="446"/>
        <v>-331.06215053763441</v>
      </c>
      <c r="AS86" s="969"/>
      <c r="AT86" s="579">
        <f>SUM(AL86:AR86)</f>
        <v>-2349.6807526881721</v>
      </c>
      <c r="AU86" s="578"/>
      <c r="AV86" s="788"/>
      <c r="AW86" s="479"/>
      <c r="AX86" s="579">
        <f t="shared" ref="AX86:BD86" si="447">AX84*100/30</f>
        <v>-331.16881720430109</v>
      </c>
      <c r="AY86" s="576">
        <f t="shared" si="447"/>
        <v>-331.16881720430109</v>
      </c>
      <c r="AZ86" s="576">
        <f t="shared" si="447"/>
        <v>-331.16881720430109</v>
      </c>
      <c r="BA86" s="576">
        <f t="shared" si="447"/>
        <v>-331.16881720430109</v>
      </c>
      <c r="BB86" s="576">
        <f t="shared" si="447"/>
        <v>-331.16881720430109</v>
      </c>
      <c r="BC86" s="576">
        <f t="shared" si="447"/>
        <v>-331.16881720430109</v>
      </c>
      <c r="BD86" s="788">
        <f t="shared" si="447"/>
        <v>-331.16881720430109</v>
      </c>
      <c r="BE86" s="479"/>
      <c r="BF86" s="579">
        <f>SUM(AX86:BD86)</f>
        <v>-2318.1817204301078</v>
      </c>
      <c r="BG86" s="578"/>
      <c r="BH86" s="788"/>
      <c r="BJ86" s="579">
        <f t="shared" ref="BJ86:BL86" si="448">BJ84*100/30</f>
        <v>-331.16881720430109</v>
      </c>
      <c r="BK86" s="578">
        <f t="shared" ref="BK86" si="449">BK84*100/30</f>
        <v>-331.16881720430109</v>
      </c>
      <c r="BL86" s="578">
        <f t="shared" si="448"/>
        <v>105.67215053763439</v>
      </c>
      <c r="BM86" s="990"/>
      <c r="BN86" s="992">
        <f>SUM(BJ86:BL86)</f>
        <v>-556.66548387096782</v>
      </c>
      <c r="BO86" s="991"/>
      <c r="BP86" s="989"/>
      <c r="BQ86" s="1578"/>
      <c r="BR86" s="992">
        <f>SUM(N86:T86)+SUM(Z86:AF86)+SUM(AL86:AR86)+SUM(AX86:BD86)+SUM(BJ86:BL86)</f>
        <v>-9941.7437634408616</v>
      </c>
      <c r="BS86" s="580"/>
    </row>
    <row r="89" spans="2:75" x14ac:dyDescent="0.2">
      <c r="P89" s="1490">
        <v>0.375</v>
      </c>
      <c r="Q89" s="1491">
        <v>1</v>
      </c>
      <c r="R89" s="1491">
        <f>Q89-P89</f>
        <v>0.625</v>
      </c>
      <c r="S89" s="171">
        <f>725/15</f>
        <v>48.333333333333336</v>
      </c>
      <c r="T89" s="171">
        <f>S89/7.5</f>
        <v>6.4444444444444446</v>
      </c>
      <c r="U89" s="1570"/>
      <c r="V89" s="171">
        <f>T89*15</f>
        <v>96.666666666666671</v>
      </c>
    </row>
    <row r="90" spans="2:75" x14ac:dyDescent="0.2">
      <c r="AM90" s="171"/>
    </row>
  </sheetData>
  <mergeCells count="33">
    <mergeCell ref="BY49:BY56"/>
    <mergeCell ref="BN2:BP2"/>
    <mergeCell ref="C1:C2"/>
    <mergeCell ref="E1:K1"/>
    <mergeCell ref="BQ1:BR1"/>
    <mergeCell ref="BS1:BT1"/>
    <mergeCell ref="E2:K2"/>
    <mergeCell ref="N2:T2"/>
    <mergeCell ref="V2:X2"/>
    <mergeCell ref="Z2:AF2"/>
    <mergeCell ref="AH2:AJ2"/>
    <mergeCell ref="AL2:AR2"/>
    <mergeCell ref="AT2:AV2"/>
    <mergeCell ref="AX2:BD2"/>
    <mergeCell ref="BF2:BH2"/>
    <mergeCell ref="BJ2:BL2"/>
    <mergeCell ref="AT28:AV28"/>
    <mergeCell ref="BW49:BW56"/>
    <mergeCell ref="BW60:BW67"/>
    <mergeCell ref="BU48:BV48"/>
    <mergeCell ref="N28:T28"/>
    <mergeCell ref="V28:X28"/>
    <mergeCell ref="Z28:AF28"/>
    <mergeCell ref="AH28:AJ28"/>
    <mergeCell ref="AL28:AR28"/>
    <mergeCell ref="BR2:BR12"/>
    <mergeCell ref="BS2:BS12"/>
    <mergeCell ref="BU14:BV14"/>
    <mergeCell ref="BU1:BW2"/>
    <mergeCell ref="AX28:BD28"/>
    <mergeCell ref="BF28:BH28"/>
    <mergeCell ref="BJ28:BL28"/>
    <mergeCell ref="BN28:BP28"/>
  </mergeCells>
  <conditionalFormatting sqref="BS80">
    <cfRule type="cellIs" dxfId="374" priority="1" operator="greaterThan">
      <formula>0</formula>
    </cfRule>
    <cfRule type="cellIs" dxfId="373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200-00005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(7-19)'!N77:N77</xm:f>
              <xm:sqref>N78</xm:sqref>
            </x14:sparkline>
            <x14:sparkline>
              <xm:f>'E&amp;M + RAWABI INCOME (7-19)'!O77:O77</xm:f>
              <xm:sqref>O78</xm:sqref>
            </x14:sparkline>
            <x14:sparkline>
              <xm:f>'E&amp;M + RAWABI INCOME (7-19)'!P77:P77</xm:f>
              <xm:sqref>P78</xm:sqref>
            </x14:sparkline>
            <x14:sparkline>
              <xm:f>'E&amp;M + RAWABI INCOME (7-19)'!Q77:Q77</xm:f>
              <xm:sqref>Q78</xm:sqref>
            </x14:sparkline>
            <x14:sparkline>
              <xm:f>'E&amp;M + RAWABI INCOME (7-19)'!R77:R77</xm:f>
              <xm:sqref>R78</xm:sqref>
            </x14:sparkline>
            <x14:sparkline>
              <xm:f>'E&amp;M + RAWABI INCOME (7-19)'!S77:S77</xm:f>
              <xm:sqref>S78</xm:sqref>
            </x14:sparkline>
            <x14:sparkline>
              <xm:f>'E&amp;M + RAWABI INCOME (7-19)'!T77:T77</xm:f>
              <xm:sqref>T78</xm:sqref>
            </x14:sparkline>
            <x14:sparkline>
              <xm:f>'E&amp;M + RAWABI INCOME (7-19)'!V77:V77</xm:f>
              <xm:sqref>V78</xm:sqref>
            </x14:sparkline>
            <x14:sparkline>
              <xm:f>'E&amp;M + RAWABI INCOME (7-19)'!W77:W77</xm:f>
              <xm:sqref>W78</xm:sqref>
            </x14:sparkline>
            <x14:sparkline>
              <xm:f>'E&amp;M + RAWABI INCOME (7-19)'!X77:X77</xm:f>
              <xm:sqref>X78</xm:sqref>
            </x14:sparkline>
            <x14:sparkline>
              <xm:f>'E&amp;M + RAWABI INCOME (7-19)'!Y77:Y77</xm:f>
              <xm:sqref>Y78</xm:sqref>
            </x14:sparkline>
            <x14:sparkline>
              <xm:f>'E&amp;M + RAWABI INCOME (7-19)'!Z77:Z77</xm:f>
              <xm:sqref>Z78</xm:sqref>
            </x14:sparkline>
            <x14:sparkline>
              <xm:f>'E&amp;M + RAWABI INCOME (7-19)'!AA77:AA77</xm:f>
              <xm:sqref>AA78</xm:sqref>
            </x14:sparkline>
            <x14:sparkline>
              <xm:f>'E&amp;M + RAWABI INCOME (7-19)'!AB77:AB77</xm:f>
              <xm:sqref>AB78</xm:sqref>
            </x14:sparkline>
            <x14:sparkline>
              <xm:f>'E&amp;M + RAWABI INCOME (7-19)'!AC77:AC77</xm:f>
              <xm:sqref>AC78</xm:sqref>
            </x14:sparkline>
            <x14:sparkline>
              <xm:f>'E&amp;M + RAWABI INCOME (7-19)'!AD77:AD77</xm:f>
              <xm:sqref>AD78</xm:sqref>
            </x14:sparkline>
            <x14:sparkline>
              <xm:f>'E&amp;M + RAWABI INCOME (7-19)'!AE77:AE77</xm:f>
              <xm:sqref>AE78</xm:sqref>
            </x14:sparkline>
            <x14:sparkline>
              <xm:f>'E&amp;M + RAWABI INCOME (7-19)'!AF77:AF77</xm:f>
              <xm:sqref>AF78</xm:sqref>
            </x14:sparkline>
            <x14:sparkline>
              <xm:f>'E&amp;M + RAWABI INCOME (7-19)'!AG77:AG77</xm:f>
              <xm:sqref>AG78</xm:sqref>
            </x14:sparkline>
            <x14:sparkline>
              <xm:f>'E&amp;M + RAWABI INCOME (7-19)'!AH77:AH77</xm:f>
              <xm:sqref>AH78</xm:sqref>
            </x14:sparkline>
            <x14:sparkline>
              <xm:f>'E&amp;M + RAWABI INCOME (7-19)'!AI77:AI77</xm:f>
              <xm:sqref>AI78</xm:sqref>
            </x14:sparkline>
            <x14:sparkline>
              <xm:f>'E&amp;M + RAWABI INCOME (7-19)'!AJ77:AJ77</xm:f>
              <xm:sqref>AJ78</xm:sqref>
            </x14:sparkline>
            <x14:sparkline>
              <xm:f>'E&amp;M + RAWABI INCOME (7-19)'!AK77:AK77</xm:f>
              <xm:sqref>AK78</xm:sqref>
            </x14:sparkline>
            <x14:sparkline>
              <xm:f>'E&amp;M + RAWABI INCOME (7-19)'!AL77:AL77</xm:f>
              <xm:sqref>AL78</xm:sqref>
            </x14:sparkline>
            <x14:sparkline>
              <xm:f>'E&amp;M + RAWABI INCOME (7-19)'!AM77:AM77</xm:f>
              <xm:sqref>AM78</xm:sqref>
            </x14:sparkline>
            <x14:sparkline>
              <xm:f>'E&amp;M + RAWABI INCOME (7-19)'!AN77:AN77</xm:f>
              <xm:sqref>AN78</xm:sqref>
            </x14:sparkline>
            <x14:sparkline>
              <xm:f>'E&amp;M + RAWABI INCOME (7-19)'!AO77:AO77</xm:f>
              <xm:sqref>AO78</xm:sqref>
            </x14:sparkline>
            <x14:sparkline>
              <xm:f>'E&amp;M + RAWABI INCOME (7-19)'!AP77:AP77</xm:f>
              <xm:sqref>AP78</xm:sqref>
            </x14:sparkline>
            <x14:sparkline>
              <xm:f>'E&amp;M + RAWABI INCOME (7-19)'!AQ77:AQ77</xm:f>
              <xm:sqref>AQ78</xm:sqref>
            </x14:sparkline>
            <x14:sparkline>
              <xm:f>'E&amp;M + RAWABI INCOME (7-19)'!AR77:AR77</xm:f>
              <xm:sqref>AR78</xm:sqref>
            </x14:sparkline>
            <x14:sparkline>
              <xm:f>'E&amp;M + RAWABI INCOME (7-19)'!AS77:AS77</xm:f>
              <xm:sqref>AS78</xm:sqref>
            </x14:sparkline>
            <x14:sparkline>
              <xm:f>'E&amp;M + RAWABI INCOME (7-19)'!AT77:AT77</xm:f>
              <xm:sqref>AT78</xm:sqref>
            </x14:sparkline>
            <x14:sparkline>
              <xm:f>'E&amp;M + RAWABI INCOME (7-19)'!AU77:AU77</xm:f>
              <xm:sqref>AU78</xm:sqref>
            </x14:sparkline>
            <x14:sparkline>
              <xm:f>'E&amp;M + RAWABI INCOME (7-19)'!AV77:AV77</xm:f>
              <xm:sqref>AV78</xm:sqref>
            </x14:sparkline>
            <x14:sparkline>
              <xm:f>'E&amp;M + RAWABI INCOME (7-19)'!AW77:AW77</xm:f>
              <xm:sqref>AW78</xm:sqref>
            </x14:sparkline>
            <x14:sparkline>
              <xm:f>'E&amp;M + RAWABI INCOME (7-19)'!AX77:AX77</xm:f>
              <xm:sqref>AX78</xm:sqref>
            </x14:sparkline>
            <x14:sparkline>
              <xm:f>'E&amp;M + RAWABI INCOME (7-19)'!AY77:AY77</xm:f>
              <xm:sqref>AY78</xm:sqref>
            </x14:sparkline>
            <x14:sparkline>
              <xm:f>'E&amp;M + RAWABI INCOME (7-19)'!AZ77:AZ77</xm:f>
              <xm:sqref>AZ78</xm:sqref>
            </x14:sparkline>
            <x14:sparkline>
              <xm:f>'E&amp;M + RAWABI INCOME (7-19)'!BA77:BA77</xm:f>
              <xm:sqref>BA78</xm:sqref>
            </x14:sparkline>
            <x14:sparkline>
              <xm:f>'E&amp;M + RAWABI INCOME (7-19)'!BB77:BB77</xm:f>
              <xm:sqref>BB78</xm:sqref>
            </x14:sparkline>
            <x14:sparkline>
              <xm:f>'E&amp;M + RAWABI INCOME (7-19)'!BC77:BC77</xm:f>
              <xm:sqref>BC78</xm:sqref>
            </x14:sparkline>
            <x14:sparkline>
              <xm:f>'E&amp;M + RAWABI INCOME (7-19)'!BD77:BD77</xm:f>
              <xm:sqref>BD78</xm:sqref>
            </x14:sparkline>
            <x14:sparkline>
              <xm:f>'E&amp;M + RAWABI INCOME (7-19)'!BE77:BE77</xm:f>
              <xm:sqref>BE78</xm:sqref>
            </x14:sparkline>
            <x14:sparkline>
              <xm:f>'E&amp;M + RAWABI INCOME (7-19)'!BF77:BF77</xm:f>
              <xm:sqref>BF78</xm:sqref>
            </x14:sparkline>
            <x14:sparkline>
              <xm:f>'E&amp;M + RAWABI INCOME (7-19)'!BG77:BG77</xm:f>
              <xm:sqref>BG78</xm:sqref>
            </x14:sparkline>
            <x14:sparkline>
              <xm:f>'E&amp;M + RAWABI INCOME (7-19)'!BH77:BH77</xm:f>
              <xm:sqref>BH78</xm:sqref>
            </x14:sparkline>
            <x14:sparkline>
              <xm:f>'E&amp;M + RAWABI INCOME (7-19)'!BI77:BI77</xm:f>
              <xm:sqref>BI78</xm:sqref>
            </x14:sparkline>
            <x14:sparkline>
              <xm:f>'E&amp;M + RAWABI INCOME (7-19)'!BJ77:BJ77</xm:f>
              <xm:sqref>BJ78</xm:sqref>
            </x14:sparkline>
            <x14:sparkline>
              <xm:f>'E&amp;M + RAWABI INCOME (7-19)'!BK77:BK77</xm:f>
              <xm:sqref>BK78</xm:sqref>
            </x14:sparkline>
            <x14:sparkline>
              <xm:f>'E&amp;M + RAWABI INCOME (7-19)'!BL77:BL77</xm:f>
              <xm:sqref>BL78</xm:sqref>
            </x14:sparkline>
            <x14:sparkline>
              <xm:f>'E&amp;M + RAWABI INCOME (7-19)'!BM77:BM77</xm:f>
              <xm:sqref>BM78</xm:sqref>
            </x14:sparkline>
            <x14:sparkline>
              <xm:f>'E&amp;M + RAWABI INCOME (7-19)'!BN77:BN77</xm:f>
              <xm:sqref>BN78</xm:sqref>
            </x14:sparkline>
            <x14:sparkline>
              <xm:f>'E&amp;M + RAWABI INCOME (7-19)'!BO77:BO77</xm:f>
              <xm:sqref>BO78</xm:sqref>
            </x14:sparkline>
            <x14:sparkline>
              <xm:f>'E&amp;M + RAWABI INCOME (7-19)'!BP77:BP77</xm:f>
              <xm:sqref>BP78</xm:sqref>
            </x14:sparkline>
            <x14:sparkline>
              <xm:f>'E&amp;M + RAWABI INCOME (7-19)'!BR77:BR77</xm:f>
              <xm:sqref>BR78</xm:sqref>
            </x14:sparkline>
          </x14:sparklines>
        </x14:sparklineGroup>
        <x14:sparklineGroup type="stacked" displayEmptyCellsAs="gap" negative="1" xr2:uid="{00000000-0003-0000-1200-00005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(7-19)'!N72:N72</xm:f>
              <xm:sqref>N73</xm:sqref>
            </x14:sparkline>
            <x14:sparkline>
              <xm:f>'E&amp;M + RAWABI INCOME (7-19)'!V72:V72</xm:f>
              <xm:sqref>V73</xm:sqref>
            </x14:sparkline>
            <x14:sparkline>
              <xm:f>'E&amp;M + RAWABI INCOME (7-19)'!W72:W72</xm:f>
              <xm:sqref>W73</xm:sqref>
            </x14:sparkline>
            <x14:sparkline>
              <xm:f>'E&amp;M + RAWABI INCOME (7-19)'!X72:X72</xm:f>
              <xm:sqref>X73</xm:sqref>
            </x14:sparkline>
            <x14:sparkline>
              <xm:f>'E&amp;M + RAWABI INCOME (7-19)'!Y72:Y72</xm:f>
              <xm:sqref>Y73</xm:sqref>
            </x14:sparkline>
            <x14:sparkline>
              <xm:f>'E&amp;M + RAWABI INCOME (7-19)'!Z72:Z72</xm:f>
              <xm:sqref>Z73</xm:sqref>
            </x14:sparkline>
            <x14:sparkline>
              <xm:f>'E&amp;M + RAWABI INCOME (7-19)'!AA72:AA72</xm:f>
              <xm:sqref>AA73</xm:sqref>
            </x14:sparkline>
            <x14:sparkline>
              <xm:f>'E&amp;M + RAWABI INCOME (7-19)'!AG72:AG72</xm:f>
              <xm:sqref>AG73</xm:sqref>
            </x14:sparkline>
            <x14:sparkline>
              <xm:f>'E&amp;M + RAWABI INCOME (7-19)'!AH72:AH72</xm:f>
              <xm:sqref>AH73</xm:sqref>
            </x14:sparkline>
            <x14:sparkline>
              <xm:f>'E&amp;M + RAWABI INCOME (7-19)'!AI72:AI72</xm:f>
              <xm:sqref>AI73</xm:sqref>
            </x14:sparkline>
            <x14:sparkline>
              <xm:f>'E&amp;M + RAWABI INCOME (7-19)'!AJ72:AJ72</xm:f>
              <xm:sqref>AJ73</xm:sqref>
            </x14:sparkline>
            <x14:sparkline>
              <xm:f>'E&amp;M + RAWABI INCOME (7-19)'!AK72:AK72</xm:f>
              <xm:sqref>AK73</xm:sqref>
            </x14:sparkline>
            <x14:sparkline>
              <xm:f>'E&amp;M + RAWABI INCOME (7-19)'!AL72:AL72</xm:f>
              <xm:sqref>AL73</xm:sqref>
            </x14:sparkline>
            <x14:sparkline>
              <xm:f>'E&amp;M + RAWABI INCOME (7-19)'!AS72:AS72</xm:f>
              <xm:sqref>AS73</xm:sqref>
            </x14:sparkline>
            <x14:sparkline>
              <xm:f>'E&amp;M + RAWABI INCOME (7-19)'!AT72:AT72</xm:f>
              <xm:sqref>AT73</xm:sqref>
            </x14:sparkline>
            <x14:sparkline>
              <xm:f>'E&amp;M + RAWABI INCOME (7-19)'!AU72:AU72</xm:f>
              <xm:sqref>AU73</xm:sqref>
            </x14:sparkline>
            <x14:sparkline>
              <xm:f>'E&amp;M + RAWABI INCOME (7-19)'!AV72:AV72</xm:f>
              <xm:sqref>AV73</xm:sqref>
            </x14:sparkline>
            <x14:sparkline>
              <xm:f>'E&amp;M + RAWABI INCOME (7-19)'!AW72:AW72</xm:f>
              <xm:sqref>AW73</xm:sqref>
            </x14:sparkline>
            <x14:sparkline>
              <xm:f>'E&amp;M + RAWABI INCOME (7-19)'!AX72:AX72</xm:f>
              <xm:sqref>AX73</xm:sqref>
            </x14:sparkline>
            <x14:sparkline>
              <xm:f>'E&amp;M + RAWABI INCOME (7-19)'!BE72:BE72</xm:f>
              <xm:sqref>BE73</xm:sqref>
            </x14:sparkline>
            <x14:sparkline>
              <xm:f>'E&amp;M + RAWABI INCOME (7-19)'!BF72:BF72</xm:f>
              <xm:sqref>BF73</xm:sqref>
            </x14:sparkline>
            <x14:sparkline>
              <xm:f>'E&amp;M + RAWABI INCOME (7-19)'!BG72:BG72</xm:f>
              <xm:sqref>BG73</xm:sqref>
            </x14:sparkline>
            <x14:sparkline>
              <xm:f>'E&amp;M + RAWABI INCOME (7-19)'!BH72:BH72</xm:f>
              <xm:sqref>BH73</xm:sqref>
            </x14:sparkline>
            <x14:sparkline>
              <xm:f>'E&amp;M + RAWABI INCOME (7-19)'!BI72:BI72</xm:f>
              <xm:sqref>BI73</xm:sqref>
            </x14:sparkline>
            <x14:sparkline>
              <xm:f>'E&amp;M + RAWABI INCOME (7-19)'!BJ72:BJ72</xm:f>
              <xm:sqref>BJ73</xm:sqref>
            </x14:sparkline>
            <x14:sparkline>
              <xm:f>'E&amp;M + RAWABI INCOME (7-19)'!BK72:BK72</xm:f>
              <xm:sqref>BK73</xm:sqref>
            </x14:sparkline>
            <x14:sparkline>
              <xm:f>'E&amp;M + RAWABI INCOME (7-19)'!BL72:BL72</xm:f>
              <xm:sqref>BL73</xm:sqref>
            </x14:sparkline>
            <x14:sparkline>
              <xm:f>'E&amp;M + RAWABI INCOME (7-19)'!BM72:BM72</xm:f>
              <xm:sqref>BM73</xm:sqref>
            </x14:sparkline>
            <x14:sparkline>
              <xm:f>'E&amp;M + RAWABI INCOME (7-19)'!BN72:BN72</xm:f>
              <xm:sqref>BN73</xm:sqref>
            </x14:sparkline>
            <x14:sparkline>
              <xm:f>'E&amp;M + RAWABI INCOME (7-19)'!BO72:BO72</xm:f>
              <xm:sqref>BO73</xm:sqref>
            </x14:sparkline>
            <x14:sparkline>
              <xm:f>'E&amp;M + RAWABI INCOME (7-19)'!BP72:BP72</xm:f>
              <xm:sqref>BP73</xm:sqref>
            </x14:sparkline>
            <x14:sparkline>
              <xm:f>'E&amp;M + RAWABI INCOME (7-19)'!BR72:BR72</xm:f>
              <xm:sqref>BR73</xm:sqref>
            </x14:sparkline>
            <x14:sparkline>
              <xm:f>'E&amp;M + RAWABI INCOME (7-19)'!AM72:AM72</xm:f>
              <xm:sqref>AM73</xm:sqref>
            </x14:sparkline>
            <x14:sparkline>
              <xm:f>'E&amp;M + RAWABI INCOME (7-19)'!AR72:AR72</xm:f>
              <xm:sqref>AR73</xm:sqref>
            </x14:sparkline>
            <x14:sparkline>
              <xm:f>'E&amp;M + RAWABI INCOME (7-19)'!T72:T72</xm:f>
              <xm:sqref>T73</xm:sqref>
            </x14:sparkline>
            <x14:sparkline>
              <xm:f>'E&amp;M + RAWABI INCOME (7-19)'!O72:O72</xm:f>
              <xm:sqref>O73</xm:sqref>
            </x14:sparkline>
            <x14:sparkline>
              <xm:f>'E&amp;M + RAWABI INCOME (7-19)'!P72:P72</xm:f>
              <xm:sqref>P73</xm:sqref>
            </x14:sparkline>
            <x14:sparkline>
              <xm:f>'E&amp;M + RAWABI INCOME (7-19)'!Q72:Q72</xm:f>
              <xm:sqref>Q73</xm:sqref>
            </x14:sparkline>
            <x14:sparkline>
              <xm:f>'E&amp;M + RAWABI INCOME (7-19)'!R72:R72</xm:f>
              <xm:sqref>R73</xm:sqref>
            </x14:sparkline>
            <x14:sparkline>
              <xm:f>'E&amp;M + RAWABI INCOME (7-19)'!S72:S72</xm:f>
              <xm:sqref>S73</xm:sqref>
            </x14:sparkline>
            <x14:sparkline>
              <xm:f>'E&amp;M + RAWABI INCOME (7-19)'!AB72:AB72</xm:f>
              <xm:sqref>AB73</xm:sqref>
            </x14:sparkline>
            <x14:sparkline>
              <xm:f>'E&amp;M + RAWABI INCOME (7-19)'!AC72:AC72</xm:f>
              <xm:sqref>AC73</xm:sqref>
            </x14:sparkline>
            <x14:sparkline>
              <xm:f>'E&amp;M + RAWABI INCOME (7-19)'!AD72:AD72</xm:f>
              <xm:sqref>AD73</xm:sqref>
            </x14:sparkline>
            <x14:sparkline>
              <xm:f>'E&amp;M + RAWABI INCOME (7-19)'!AE72:AE72</xm:f>
              <xm:sqref>AE73</xm:sqref>
            </x14:sparkline>
            <x14:sparkline>
              <xm:f>'E&amp;M + RAWABI INCOME (7-19)'!AF72:AF72</xm:f>
              <xm:sqref>AF73</xm:sqref>
            </x14:sparkline>
            <x14:sparkline>
              <xm:f>'E&amp;M + RAWABI INCOME (7-19)'!AN72:AN72</xm:f>
              <xm:sqref>AN73</xm:sqref>
            </x14:sparkline>
            <x14:sparkline>
              <xm:f>'E&amp;M + RAWABI INCOME (7-19)'!AO72:AO72</xm:f>
              <xm:sqref>AO73</xm:sqref>
            </x14:sparkline>
            <x14:sparkline>
              <xm:f>'E&amp;M + RAWABI INCOME (7-19)'!AP72:AP72</xm:f>
              <xm:sqref>AP73</xm:sqref>
            </x14:sparkline>
            <x14:sparkline>
              <xm:f>'E&amp;M + RAWABI INCOME (7-19)'!AQ72:AQ72</xm:f>
              <xm:sqref>AQ73</xm:sqref>
            </x14:sparkline>
            <x14:sparkline>
              <xm:f>'E&amp;M + RAWABI INCOME (7-19)'!AY72:AY72</xm:f>
              <xm:sqref>AY73</xm:sqref>
            </x14:sparkline>
            <x14:sparkline>
              <xm:f>'E&amp;M + RAWABI INCOME (7-19)'!AZ72:AZ72</xm:f>
              <xm:sqref>AZ73</xm:sqref>
            </x14:sparkline>
            <x14:sparkline>
              <xm:f>'E&amp;M + RAWABI INCOME (7-19)'!BA72:BA72</xm:f>
              <xm:sqref>BA73</xm:sqref>
            </x14:sparkline>
            <x14:sparkline>
              <xm:f>'E&amp;M + RAWABI INCOME (7-19)'!BB72:BB72</xm:f>
              <xm:sqref>BB73</xm:sqref>
            </x14:sparkline>
            <x14:sparkline>
              <xm:f>'E&amp;M + RAWABI INCOME (7-19)'!BC72:BC72</xm:f>
              <xm:sqref>BC73</xm:sqref>
            </x14:sparkline>
            <x14:sparkline>
              <xm:f>'E&amp;M + RAWABI INCOME (7-19)'!BD72:BD72</xm:f>
              <xm:sqref>BD73</xm:sqref>
            </x14:sparkline>
          </x14:sparklines>
        </x14:sparklineGroup>
        <x14:sparklineGroup type="stacked" displayEmptyCellsAs="gap" negative="1" xr2:uid="{00000000-0003-0000-1200-00005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+ RAWABI INCOME (7-19)'!BQ47:BQ47</xm:f>
              <xm:sqref>BQ48</xm:sqref>
            </x14:sparkline>
          </x14:sparklines>
        </x14:sparklineGroup>
        <x14:sparklineGroup type="stacked" displayEmptyCellsAs="gap" negative="1" xr2:uid="{00000000-0003-0000-1200-00005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(7-19)'!BQ72:BQ72</xm:f>
              <xm:sqref>BQ73</xm:sqref>
            </x14:sparkline>
          </x14:sparklines>
        </x14:sparklineGroup>
        <x14:sparklineGroup type="stacked" displayEmptyCellsAs="gap" negative="1" xr2:uid="{00000000-0003-0000-1200-00005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(7-19)'!BQ77:BQ77</xm:f>
              <xm:sqref>BQ78</xm:sqref>
            </x14:sparkline>
          </x14:sparklines>
        </x14:sparklineGroup>
        <x14:sparklineGroup type="stacked" displayEmptyCellsAs="gap" negative="1" xr2:uid="{00000000-0003-0000-1200-00005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(7-19)'!BR79:BR79</xm:f>
              <xm:sqref>BS79</xm:sqref>
            </x14:sparkline>
          </x14:sparklines>
        </x14:sparklineGroup>
        <x14:sparklineGroup type="stacked" displayEmptyCellsAs="gap" negative="1" xr2:uid="{00000000-0003-0000-1200-00005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(7-19)'!BR80:BR80</xm:f>
              <xm:sqref>BS80</xm:sqref>
            </x14:sparkline>
          </x14:sparklines>
        </x14:sparklineGroup>
        <x14:sparklineGroup type="stacked" displayEmptyCellsAs="gap" negative="1" xr2:uid="{00000000-0003-0000-1200-00005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'E&amp;M + RAWABI INCOME (7-19)'!Y47:Y47</xm:f>
              <xm:sqref>Y48</xm:sqref>
            </x14:sparkline>
            <x14:sparkline>
              <xm:f>'E&amp;M + RAWABI INCOME (7-19)'!AG47:AG47</xm:f>
              <xm:sqref>AG48</xm:sqref>
            </x14:sparkline>
            <x14:sparkline>
              <xm:f>'E&amp;M + RAWABI INCOME (7-19)'!AI47:AI47</xm:f>
              <xm:sqref>AI48</xm:sqref>
            </x14:sparkline>
            <x14:sparkline>
              <xm:f>'E&amp;M + RAWABI INCOME (7-19)'!AJ47:AJ47</xm:f>
              <xm:sqref>AJ48</xm:sqref>
            </x14:sparkline>
            <x14:sparkline>
              <xm:f>'E&amp;M + RAWABI INCOME (7-19)'!AK47:AK47</xm:f>
              <xm:sqref>AK48</xm:sqref>
            </x14:sparkline>
            <x14:sparkline>
              <xm:f>'E&amp;M + RAWABI INCOME (7-19)'!AL47:AL47</xm:f>
              <xm:sqref>AL48</xm:sqref>
            </x14:sparkline>
            <x14:sparkline>
              <xm:f>'E&amp;M + RAWABI INCOME (7-19)'!AM47:AM47</xm:f>
              <xm:sqref>AM48</xm:sqref>
            </x14:sparkline>
            <x14:sparkline>
              <xm:f>'E&amp;M + RAWABI INCOME (7-19)'!AN47:AN47</xm:f>
              <xm:sqref>AN48</xm:sqref>
            </x14:sparkline>
            <x14:sparkline>
              <xm:f>'E&amp;M + RAWABI INCOME (7-19)'!AO47:AO47</xm:f>
              <xm:sqref>AO48</xm:sqref>
            </x14:sparkline>
            <x14:sparkline>
              <xm:f>'E&amp;M + RAWABI INCOME (7-19)'!AP47:AP47</xm:f>
              <xm:sqref>AP48</xm:sqref>
            </x14:sparkline>
            <x14:sparkline>
              <xm:f>'E&amp;M + RAWABI INCOME (7-19)'!AQ47:AQ47</xm:f>
              <xm:sqref>AQ48</xm:sqref>
            </x14:sparkline>
            <x14:sparkline>
              <xm:f>'E&amp;M + RAWABI INCOME (7-19)'!AR47:AR47</xm:f>
              <xm:sqref>AR48</xm:sqref>
            </x14:sparkline>
            <x14:sparkline>
              <xm:f>'E&amp;M + RAWABI INCOME (7-19)'!AS47:AS47</xm:f>
              <xm:sqref>AS48</xm:sqref>
            </x14:sparkline>
            <x14:sparkline>
              <xm:f>'E&amp;M + RAWABI INCOME (7-19)'!AT47:AT47</xm:f>
              <xm:sqref>AT48</xm:sqref>
            </x14:sparkline>
            <x14:sparkline>
              <xm:f>'E&amp;M + RAWABI INCOME (7-19)'!AU47:AU47</xm:f>
              <xm:sqref>AU48</xm:sqref>
            </x14:sparkline>
            <x14:sparkline>
              <xm:f>'E&amp;M + RAWABI INCOME (7-19)'!AV47:AV47</xm:f>
              <xm:sqref>AV48</xm:sqref>
            </x14:sparkline>
            <x14:sparkline>
              <xm:f>'E&amp;M + RAWABI INCOME (7-19)'!AW47:AW47</xm:f>
              <xm:sqref>AW48</xm:sqref>
            </x14:sparkline>
            <x14:sparkline>
              <xm:f>'E&amp;M + RAWABI INCOME (7-19)'!AX47:AX47</xm:f>
              <xm:sqref>AX48</xm:sqref>
            </x14:sparkline>
            <x14:sparkline>
              <xm:f>'E&amp;M + RAWABI INCOME (7-19)'!AZ47:AZ47</xm:f>
              <xm:sqref>AZ48</xm:sqref>
            </x14:sparkline>
            <x14:sparkline>
              <xm:f>'E&amp;M + RAWABI INCOME (7-19)'!BA47:BA47</xm:f>
              <xm:sqref>BA48</xm:sqref>
            </x14:sparkline>
            <x14:sparkline>
              <xm:f>'E&amp;M + RAWABI INCOME (7-19)'!BB47:BB47</xm:f>
              <xm:sqref>BB48</xm:sqref>
            </x14:sparkline>
            <x14:sparkline>
              <xm:f>'E&amp;M + RAWABI INCOME (7-19)'!BC47:BC47</xm:f>
              <xm:sqref>BC48</xm:sqref>
            </x14:sparkline>
            <x14:sparkline>
              <xm:f>'E&amp;M + RAWABI INCOME (7-19)'!BD47:BD47</xm:f>
              <xm:sqref>BD48</xm:sqref>
            </x14:sparkline>
            <x14:sparkline>
              <xm:f>'E&amp;M + RAWABI INCOME (7-19)'!BE47:BE47</xm:f>
              <xm:sqref>BE48</xm:sqref>
            </x14:sparkline>
            <x14:sparkline>
              <xm:f>'E&amp;M + RAWABI INCOME (7-19)'!BF47:BF47</xm:f>
              <xm:sqref>BF48</xm:sqref>
            </x14:sparkline>
            <x14:sparkline>
              <xm:f>'E&amp;M + RAWABI INCOME (7-19)'!BG47:BG47</xm:f>
              <xm:sqref>BG48</xm:sqref>
            </x14:sparkline>
            <x14:sparkline>
              <xm:f>'E&amp;M + RAWABI INCOME (7-19)'!BH47:BH47</xm:f>
              <xm:sqref>BH48</xm:sqref>
            </x14:sparkline>
            <x14:sparkline>
              <xm:f>'E&amp;M + RAWABI INCOME (7-19)'!BI47:BI47</xm:f>
              <xm:sqref>BI48</xm:sqref>
            </x14:sparkline>
            <x14:sparkline>
              <xm:f>'E&amp;M + RAWABI INCOME (7-19)'!BJ47:BJ47</xm:f>
              <xm:sqref>BJ48</xm:sqref>
            </x14:sparkline>
            <x14:sparkline>
              <xm:f>'E&amp;M + RAWABI INCOME (7-19)'!BK47:BK47</xm:f>
              <xm:sqref>BK48</xm:sqref>
            </x14:sparkline>
            <x14:sparkline>
              <xm:f>'E&amp;M + RAWABI INCOME (7-19)'!BL47:BL47</xm:f>
              <xm:sqref>BL48</xm:sqref>
            </x14:sparkline>
            <x14:sparkline>
              <xm:f>'E&amp;M + RAWABI INCOME (7-19)'!BM47:BM47</xm:f>
              <xm:sqref>BM48</xm:sqref>
            </x14:sparkline>
            <x14:sparkline>
              <xm:f>'E&amp;M + RAWABI INCOME (7-19)'!BN47:BN47</xm:f>
              <xm:sqref>BN48</xm:sqref>
            </x14:sparkline>
            <x14:sparkline>
              <xm:f>'E&amp;M + RAWABI INCOME (7-19)'!BO47:BO47</xm:f>
              <xm:sqref>BO48</xm:sqref>
            </x14:sparkline>
            <x14:sparkline>
              <xm:f>'E&amp;M + RAWABI INCOME (7-19)'!BP47:BP47</xm:f>
              <xm:sqref>BP48</xm:sqref>
            </x14:sparkline>
            <x14:sparkline>
              <xm:f>'E&amp;M + RAWABI INCOME (7-19)'!AY47:AY47</xm:f>
              <xm:sqref>AY48</xm:sqref>
            </x14:sparkline>
          </x14:sparklines>
        </x14:sparklineGroup>
        <x14:sparklineGroup type="stacked" displayEmptyCellsAs="gap" negative="1" xr2:uid="{00000000-0003-0000-1200-00005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(7-19)'!U47:U47</xm:f>
              <xm:sqref>U48</xm:sqref>
            </x14:sparkline>
          </x14:sparklines>
        </x14:sparklineGroup>
        <x14:sparklineGroup type="stacked" displayEmptyCellsAs="gap" negative="1" xr2:uid="{00000000-0003-0000-1200-00005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(7-19)'!U72:U72</xm:f>
              <xm:sqref>U73</xm:sqref>
            </x14:sparkline>
          </x14:sparklines>
        </x14:sparklineGroup>
        <x14:sparklineGroup type="stacked" displayEmptyCellsAs="gap" negative="1" xr2:uid="{00000000-0003-0000-1200-00004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(7-19)'!U77:U77</xm:f>
              <xm:sqref>U78</xm:sqref>
            </x14:sparkline>
          </x14:sparklines>
        </x14:sparklineGroup>
        <x14:sparklineGroup type="stacked" displayEmptyCellsAs="gap" negative="1" xr2:uid="{00000000-0003-0000-1200-00004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(7-19)'!BR81:BR81</xm:f>
              <xm:sqref>BS81</xm:sqref>
            </x14:sparkline>
          </x14:sparklines>
        </x14:sparklineGroup>
        <x14:sparklineGroup type="stacked" displayEmptyCellsAs="gap" negative="1" xr2:uid="{00000000-0003-0000-1200-00004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(7-19)'!BR82:BR82</xm:f>
              <xm:sqref>BS82</xm:sqref>
            </x14:sparkline>
          </x14:sparklines>
        </x14:sparklineGroup>
        <x14:sparklineGroup type="stacked" displayEmptyCellsAs="gap" negative="1" xr2:uid="{00000000-0003-0000-1200-00004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(7-19)'!Z47:Z47</xm:f>
              <xm:sqref>Z48</xm:sqref>
            </x14:sparkline>
            <x14:sparkline>
              <xm:f>'E&amp;M + RAWABI INCOME (7-19)'!AA47:AA47</xm:f>
              <xm:sqref>AA48</xm:sqref>
            </x14:sparkline>
            <x14:sparkline>
              <xm:f>'E&amp;M + RAWABI INCOME (7-19)'!AB47:AB47</xm:f>
              <xm:sqref>AB48</xm:sqref>
            </x14:sparkline>
            <x14:sparkline>
              <xm:f>'E&amp;M + RAWABI INCOME (7-19)'!AC47:AC47</xm:f>
              <xm:sqref>AC48</xm:sqref>
            </x14:sparkline>
            <x14:sparkline>
              <xm:f>'E&amp;M + RAWABI INCOME (7-19)'!AD47:AD47</xm:f>
              <xm:sqref>AD48</xm:sqref>
            </x14:sparkline>
            <x14:sparkline>
              <xm:f>'E&amp;M + RAWABI INCOME (7-19)'!AE47:AE47</xm:f>
              <xm:sqref>AE48</xm:sqref>
            </x14:sparkline>
            <x14:sparkline>
              <xm:f>'E&amp;M + RAWABI INCOME (7-19)'!AF47:AF47</xm:f>
              <xm:sqref>AF48</xm:sqref>
            </x14:sparkline>
          </x14:sparklines>
        </x14:sparklineGroup>
        <x14:sparklineGroup type="stacked" displayEmptyCellsAs="gap" negative="1" xr2:uid="{00000000-0003-0000-1200-00004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(7-19)'!BR47:BR47</xm:f>
              <xm:sqref>BR48</xm:sqref>
            </x14:sparkline>
          </x14:sparklines>
        </x14:sparklineGroup>
        <x14:sparklineGroup type="stacked" displayEmptyCellsAs="gap" negative="1" xr2:uid="{00000000-0003-0000-1200-00004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(7-19)'!BR47:BR47</xm:f>
              <xm:sqref>BS47</xm:sqref>
            </x14:sparkline>
          </x14:sparklines>
        </x14:sparklineGroup>
        <x14:sparklineGroup type="stacked" displayEmptyCellsAs="gap" negative="1" xr2:uid="{00000000-0003-0000-1200-00004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(7-19)'!N47:N47</xm:f>
              <xm:sqref>N48</xm:sqref>
            </x14:sparkline>
            <x14:sparkline>
              <xm:f>'E&amp;M + RAWABI INCOME (7-19)'!O47:O47</xm:f>
              <xm:sqref>O48</xm:sqref>
            </x14:sparkline>
            <x14:sparkline>
              <xm:f>'E&amp;M + RAWABI INCOME (7-19)'!P47:P47</xm:f>
              <xm:sqref>P48</xm:sqref>
            </x14:sparkline>
            <x14:sparkline>
              <xm:f>'E&amp;M + RAWABI INCOME (7-19)'!Q47:Q47</xm:f>
              <xm:sqref>Q48</xm:sqref>
            </x14:sparkline>
            <x14:sparkline>
              <xm:f>'E&amp;M + RAWABI INCOME (7-19)'!R47:R47</xm:f>
              <xm:sqref>R48</xm:sqref>
            </x14:sparkline>
            <x14:sparkline>
              <xm:f>'E&amp;M + RAWABI INCOME (7-19)'!S47:S47</xm:f>
              <xm:sqref>S48</xm:sqref>
            </x14:sparkline>
            <x14:sparkline>
              <xm:f>'E&amp;M + RAWABI INCOME (7-19)'!T47:T47</xm:f>
              <xm:sqref>T48</xm:sqref>
            </x14:sparkline>
          </x14:sparklines>
        </x14:sparklineGroup>
        <x14:sparklineGroup type="stacked" displayEmptyCellsAs="gap" negative="1" xr2:uid="{00000000-0003-0000-1200-00004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(7-19)'!V47:V47</xm:f>
              <xm:sqref>V48</xm:sqref>
            </x14:sparkline>
            <x14:sparkline>
              <xm:f>'E&amp;M + RAWABI INCOME (7-19)'!W47:W47</xm:f>
              <xm:sqref>W48</xm:sqref>
            </x14:sparkline>
            <x14:sparkline>
              <xm:f>'E&amp;M + RAWABI INCOME (7-19)'!X47:X47</xm:f>
              <xm:sqref>X48</xm:sqref>
            </x14:sparkline>
          </x14:sparklines>
        </x14:sparklineGroup>
        <x14:sparklineGroup type="stacked" displayEmptyCellsAs="gap" negative="1" xr2:uid="{00000000-0003-0000-1200-00004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'E&amp;M + RAWABI INCOME (7-19)'!AH47:AH47</xm:f>
              <xm:sqref>AH48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AT40"/>
  <sheetViews>
    <sheetView zoomScale="80" zoomScaleNormal="80" workbookViewId="0">
      <pane xSplit="6" ySplit="12" topLeftCell="G13" activePane="bottomRight" state="frozen"/>
      <selection pane="topRight" activeCell="G1" sqref="G1"/>
      <selection pane="bottomLeft" activeCell="A8" sqref="A8"/>
      <selection pane="bottomRight" activeCell="C32" sqref="C32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37" style="2" bestFit="1" customWidth="1"/>
    <col min="4" max="4" width="10.375" style="2" bestFit="1" customWidth="1"/>
    <col min="5" max="5" width="10.375" style="2" customWidth="1"/>
    <col min="6" max="6" width="9.875" style="2" bestFit="1" customWidth="1"/>
    <col min="7" max="37" width="9.125" style="2"/>
    <col min="38" max="38" width="1.75" style="2" customWidth="1"/>
    <col min="39" max="39" width="9.125" style="2" customWidth="1"/>
    <col min="40" max="40" width="1.75" style="2" customWidth="1"/>
    <col min="41" max="41" width="10" style="2" bestFit="1" customWidth="1"/>
    <col min="42" max="42" width="10.25" style="2" customWidth="1"/>
    <col min="43" max="43" width="1.875" style="2" customWidth="1"/>
    <col min="44" max="45" width="10.125" style="2" bestFit="1" customWidth="1"/>
    <col min="46" max="46" width="8.625" style="2" bestFit="1" customWidth="1"/>
    <col min="47" max="16384" width="9.125" style="2"/>
  </cols>
  <sheetData>
    <row r="2" spans="2:46" ht="18" x14ac:dyDescent="0.2">
      <c r="C2" s="53" t="s">
        <v>40</v>
      </c>
      <c r="AR2" s="69">
        <f>AR3-AR5</f>
        <v>670.98814229249001</v>
      </c>
      <c r="AS2" s="69">
        <f>AR2/4</f>
        <v>167.7470355731225</v>
      </c>
      <c r="AT2" s="69"/>
    </row>
    <row r="3" spans="2:46" ht="18" x14ac:dyDescent="0.2">
      <c r="C3" s="53" t="s">
        <v>41</v>
      </c>
      <c r="AR3" s="69">
        <f>AR5/23*27</f>
        <v>4529.169960474308</v>
      </c>
      <c r="AS3" s="69">
        <f>AR3*27.5%</f>
        <v>1245.5217391304348</v>
      </c>
      <c r="AT3" s="69">
        <f>AS3-D26</f>
        <v>184.52173913043475</v>
      </c>
    </row>
    <row r="5" spans="2:46" s="49" customFormat="1" ht="15" customHeight="1" x14ac:dyDescent="0.2">
      <c r="C5" s="43" t="s">
        <v>35</v>
      </c>
      <c r="D5" s="40"/>
      <c r="E5" s="40"/>
      <c r="F5" s="51"/>
      <c r="G5" s="40">
        <v>150.4</v>
      </c>
      <c r="H5" s="40">
        <v>150.35</v>
      </c>
      <c r="I5" s="40">
        <v>187.85</v>
      </c>
      <c r="J5" s="40">
        <v>187.7</v>
      </c>
      <c r="K5" s="40">
        <v>150.75</v>
      </c>
      <c r="L5" s="40">
        <v>0</v>
      </c>
      <c r="M5" s="40">
        <v>231.5</v>
      </c>
      <c r="N5" s="40">
        <v>153.44999999999999</v>
      </c>
      <c r="O5" s="40">
        <v>186.55</v>
      </c>
      <c r="P5" s="40">
        <v>119.1</v>
      </c>
      <c r="Q5" s="40">
        <v>136.94999999999999</v>
      </c>
      <c r="R5" s="40">
        <v>210.9</v>
      </c>
      <c r="S5" s="40">
        <v>0</v>
      </c>
      <c r="T5" s="40">
        <v>121.3</v>
      </c>
      <c r="U5" s="40">
        <v>105</v>
      </c>
      <c r="V5" s="40">
        <v>131.19999999999999</v>
      </c>
      <c r="W5" s="40">
        <v>115.1</v>
      </c>
      <c r="X5" s="40">
        <v>95.65</v>
      </c>
      <c r="Y5" s="40">
        <v>162.69999999999999</v>
      </c>
      <c r="Z5" s="40">
        <v>0</v>
      </c>
      <c r="AA5" s="40">
        <v>162.5</v>
      </c>
      <c r="AB5" s="40">
        <v>90</v>
      </c>
      <c r="AC5" s="40">
        <v>137.9</v>
      </c>
      <c r="AD5" s="40">
        <v>120</v>
      </c>
      <c r="AE5" s="40">
        <v>152.30000000000001</v>
      </c>
      <c r="AF5" s="40">
        <v>207.2</v>
      </c>
      <c r="AG5" s="40">
        <v>0</v>
      </c>
      <c r="AH5" s="40">
        <v>126.7</v>
      </c>
      <c r="AI5" s="40">
        <v>90.05</v>
      </c>
      <c r="AJ5" s="40">
        <v>140.75</v>
      </c>
      <c r="AK5" s="40">
        <v>135.85</v>
      </c>
      <c r="AL5" s="50"/>
      <c r="AM5" s="4424" t="s">
        <v>54</v>
      </c>
      <c r="AN5" s="50"/>
      <c r="AO5" s="40">
        <f>SUM(G5:AK5)</f>
        <v>3959.7</v>
      </c>
      <c r="AP5" s="42"/>
      <c r="AR5" s="40">
        <f>D30</f>
        <v>3858.181818181818</v>
      </c>
      <c r="AS5" s="42">
        <f>AR5-AO5</f>
        <v>-101.5181818181818</v>
      </c>
      <c r="AT5" s="42">
        <f>AS5/1</f>
        <v>-101.5181818181818</v>
      </c>
    </row>
    <row r="6" spans="2:46" s="13" customFormat="1" ht="4.5" customHeight="1" x14ac:dyDescent="0.2">
      <c r="C6" s="33"/>
      <c r="D6" s="34"/>
      <c r="E6" s="34"/>
      <c r="F6" s="35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6"/>
      <c r="AM6" s="4425"/>
      <c r="AN6" s="36"/>
      <c r="AO6" s="37"/>
      <c r="AP6" s="38"/>
      <c r="AR6" s="37"/>
      <c r="AS6" s="38"/>
      <c r="AT6" s="38"/>
    </row>
    <row r="7" spans="2:46" s="47" customFormat="1" ht="15" x14ac:dyDescent="0.2">
      <c r="C7" s="44" t="s">
        <v>36</v>
      </c>
      <c r="D7" s="45"/>
      <c r="E7" s="45"/>
      <c r="F7" s="52"/>
      <c r="G7" s="45">
        <f>G5*27.5%</f>
        <v>41.360000000000007</v>
      </c>
      <c r="H7" s="45">
        <f t="shared" ref="H7:M7" si="0">H5*27.5%</f>
        <v>41.346250000000005</v>
      </c>
      <c r="I7" s="45">
        <f t="shared" si="0"/>
        <v>51.658750000000005</v>
      </c>
      <c r="J7" s="45">
        <f t="shared" si="0"/>
        <v>51.6175</v>
      </c>
      <c r="K7" s="45">
        <f t="shared" si="0"/>
        <v>41.456250000000004</v>
      </c>
      <c r="L7" s="45">
        <f t="shared" si="0"/>
        <v>0</v>
      </c>
      <c r="M7" s="45">
        <f t="shared" si="0"/>
        <v>63.662500000000009</v>
      </c>
      <c r="N7" s="45">
        <f>N5*27.5%</f>
        <v>42.198749999999997</v>
      </c>
      <c r="O7" s="45">
        <f>O5*27.5%</f>
        <v>51.30125000000001</v>
      </c>
      <c r="P7" s="45">
        <f t="shared" ref="P7:AK7" si="1">P5*27.5%</f>
        <v>32.752499999999998</v>
      </c>
      <c r="Q7" s="45">
        <f t="shared" si="1"/>
        <v>37.661250000000003</v>
      </c>
      <c r="R7" s="45">
        <f t="shared" si="1"/>
        <v>57.997500000000009</v>
      </c>
      <c r="S7" s="45">
        <f t="shared" si="1"/>
        <v>0</v>
      </c>
      <c r="T7" s="45">
        <f t="shared" si="1"/>
        <v>33.357500000000002</v>
      </c>
      <c r="U7" s="45">
        <f t="shared" si="1"/>
        <v>28.875000000000004</v>
      </c>
      <c r="V7" s="45">
        <f t="shared" si="1"/>
        <v>36.08</v>
      </c>
      <c r="W7" s="45">
        <f t="shared" si="1"/>
        <v>31.6525</v>
      </c>
      <c r="X7" s="45">
        <f t="shared" si="1"/>
        <v>26.303750000000004</v>
      </c>
      <c r="Y7" s="45">
        <f t="shared" si="1"/>
        <v>44.7425</v>
      </c>
      <c r="Z7" s="45">
        <f t="shared" si="1"/>
        <v>0</v>
      </c>
      <c r="AA7" s="45">
        <f t="shared" si="1"/>
        <v>44.687500000000007</v>
      </c>
      <c r="AB7" s="45">
        <f t="shared" si="1"/>
        <v>24.750000000000004</v>
      </c>
      <c r="AC7" s="45">
        <f t="shared" si="1"/>
        <v>37.922500000000007</v>
      </c>
      <c r="AD7" s="45">
        <f t="shared" si="1"/>
        <v>33</v>
      </c>
      <c r="AE7" s="45">
        <f t="shared" si="1"/>
        <v>41.882500000000007</v>
      </c>
      <c r="AF7" s="45">
        <f t="shared" si="1"/>
        <v>56.980000000000004</v>
      </c>
      <c r="AG7" s="45">
        <f t="shared" si="1"/>
        <v>0</v>
      </c>
      <c r="AH7" s="45">
        <f t="shared" si="1"/>
        <v>34.842500000000001</v>
      </c>
      <c r="AI7" s="45">
        <f t="shared" si="1"/>
        <v>24.763750000000002</v>
      </c>
      <c r="AJ7" s="45">
        <f t="shared" si="1"/>
        <v>38.706250000000004</v>
      </c>
      <c r="AK7" s="45">
        <f t="shared" si="1"/>
        <v>37.358750000000001</v>
      </c>
      <c r="AL7" s="48"/>
      <c r="AM7" s="4425"/>
      <c r="AN7" s="48"/>
      <c r="AO7" s="45">
        <f>SUM(G7:AK7)</f>
        <v>1088.9175000000002</v>
      </c>
      <c r="AP7" s="46"/>
      <c r="AR7" s="45"/>
      <c r="AS7" s="46"/>
      <c r="AT7" s="46"/>
    </row>
    <row r="8" spans="2:46" ht="4.5" customHeight="1" x14ac:dyDescent="0.2">
      <c r="AM8" s="4425"/>
    </row>
    <row r="9" spans="2:46" ht="15" x14ac:dyDescent="0.2">
      <c r="C9" s="3" t="s">
        <v>15</v>
      </c>
      <c r="D9" s="6"/>
      <c r="E9" s="6"/>
      <c r="F9" s="8"/>
      <c r="G9" s="5">
        <f>G7</f>
        <v>41.360000000000007</v>
      </c>
      <c r="H9" s="5">
        <f>H7</f>
        <v>41.346250000000005</v>
      </c>
      <c r="I9" s="5">
        <f t="shared" ref="I9:AK9" si="2">I7</f>
        <v>51.658750000000005</v>
      </c>
      <c r="J9" s="5">
        <f t="shared" si="2"/>
        <v>51.6175</v>
      </c>
      <c r="K9" s="5">
        <f t="shared" si="2"/>
        <v>41.456250000000004</v>
      </c>
      <c r="L9" s="5">
        <f t="shared" si="2"/>
        <v>0</v>
      </c>
      <c r="M9" s="5">
        <f t="shared" si="2"/>
        <v>63.662500000000009</v>
      </c>
      <c r="N9" s="5">
        <f t="shared" si="2"/>
        <v>42.198749999999997</v>
      </c>
      <c r="O9" s="5">
        <f t="shared" si="2"/>
        <v>51.30125000000001</v>
      </c>
      <c r="P9" s="5">
        <f t="shared" si="2"/>
        <v>32.752499999999998</v>
      </c>
      <c r="Q9" s="5">
        <f t="shared" si="2"/>
        <v>37.661250000000003</v>
      </c>
      <c r="R9" s="5">
        <f t="shared" si="2"/>
        <v>57.997500000000009</v>
      </c>
      <c r="S9" s="5">
        <f t="shared" si="2"/>
        <v>0</v>
      </c>
      <c r="T9" s="5">
        <f t="shared" si="2"/>
        <v>33.357500000000002</v>
      </c>
      <c r="U9" s="5">
        <f t="shared" si="2"/>
        <v>28.875000000000004</v>
      </c>
      <c r="V9" s="5">
        <f t="shared" si="2"/>
        <v>36.08</v>
      </c>
      <c r="W9" s="5">
        <f t="shared" si="2"/>
        <v>31.6525</v>
      </c>
      <c r="X9" s="5">
        <f t="shared" si="2"/>
        <v>26.303750000000004</v>
      </c>
      <c r="Y9" s="5">
        <f t="shared" si="2"/>
        <v>44.7425</v>
      </c>
      <c r="Z9" s="5">
        <f t="shared" si="2"/>
        <v>0</v>
      </c>
      <c r="AA9" s="5">
        <f t="shared" si="2"/>
        <v>44.687500000000007</v>
      </c>
      <c r="AB9" s="5">
        <f t="shared" si="2"/>
        <v>24.750000000000004</v>
      </c>
      <c r="AC9" s="5">
        <f t="shared" si="2"/>
        <v>37.922500000000007</v>
      </c>
      <c r="AD9" s="5">
        <f t="shared" si="2"/>
        <v>33</v>
      </c>
      <c r="AE9" s="5">
        <f t="shared" si="2"/>
        <v>41.882500000000007</v>
      </c>
      <c r="AF9" s="5">
        <f t="shared" si="2"/>
        <v>56.980000000000004</v>
      </c>
      <c r="AG9" s="5">
        <f t="shared" si="2"/>
        <v>0</v>
      </c>
      <c r="AH9" s="5">
        <f t="shared" si="2"/>
        <v>34.842500000000001</v>
      </c>
      <c r="AI9" s="5">
        <f t="shared" si="2"/>
        <v>24.763750000000002</v>
      </c>
      <c r="AJ9" s="5">
        <f t="shared" si="2"/>
        <v>38.706250000000004</v>
      </c>
      <c r="AK9" s="5">
        <f t="shared" si="2"/>
        <v>37.358750000000001</v>
      </c>
      <c r="AM9" s="4425"/>
      <c r="AO9" s="5">
        <f>SUM(G9:AK9)</f>
        <v>1088.9175000000002</v>
      </c>
      <c r="AP9" s="59">
        <f>AO9/D26</f>
        <v>1.0263124410933084</v>
      </c>
      <c r="AR9" s="5">
        <f>AO9-D26</f>
        <v>27.917500000000246</v>
      </c>
      <c r="AS9" s="63"/>
      <c r="AT9" s="63"/>
    </row>
    <row r="10" spans="2:46" ht="4.5" customHeight="1" x14ac:dyDescent="0.2">
      <c r="AM10" s="4425"/>
    </row>
    <row r="11" spans="2:46" ht="15" customHeight="1" x14ac:dyDescent="0.2">
      <c r="G11" s="5" t="s">
        <v>47</v>
      </c>
      <c r="H11" s="5" t="s">
        <v>48</v>
      </c>
      <c r="I11" s="5" t="s">
        <v>49</v>
      </c>
      <c r="J11" s="5" t="s">
        <v>50</v>
      </c>
      <c r="K11" s="5" t="s">
        <v>51</v>
      </c>
      <c r="L11" s="54" t="s">
        <v>45</v>
      </c>
      <c r="M11" s="5" t="s">
        <v>46</v>
      </c>
      <c r="N11" s="5" t="s">
        <v>47</v>
      </c>
      <c r="O11" s="5" t="s">
        <v>48</v>
      </c>
      <c r="P11" s="5" t="s">
        <v>49</v>
      </c>
      <c r="Q11" s="5" t="s">
        <v>50</v>
      </c>
      <c r="R11" s="5" t="s">
        <v>51</v>
      </c>
      <c r="S11" s="54" t="s">
        <v>45</v>
      </c>
      <c r="T11" s="5" t="s">
        <v>46</v>
      </c>
      <c r="U11" s="5" t="s">
        <v>47</v>
      </c>
      <c r="V11" s="5" t="s">
        <v>48</v>
      </c>
      <c r="W11" s="5" t="s">
        <v>49</v>
      </c>
      <c r="X11" s="5" t="s">
        <v>50</v>
      </c>
      <c r="Y11" s="5" t="s">
        <v>51</v>
      </c>
      <c r="Z11" s="54" t="s">
        <v>45</v>
      </c>
      <c r="AA11" s="5" t="s">
        <v>46</v>
      </c>
      <c r="AB11" s="5" t="s">
        <v>47</v>
      </c>
      <c r="AC11" s="5" t="s">
        <v>48</v>
      </c>
      <c r="AD11" s="5" t="s">
        <v>49</v>
      </c>
      <c r="AE11" s="5" t="s">
        <v>50</v>
      </c>
      <c r="AF11" s="5" t="s">
        <v>51</v>
      </c>
      <c r="AG11" s="54" t="s">
        <v>45</v>
      </c>
      <c r="AH11" s="5" t="s">
        <v>46</v>
      </c>
      <c r="AI11" s="5" t="s">
        <v>47</v>
      </c>
      <c r="AJ11" s="5" t="s">
        <v>48</v>
      </c>
      <c r="AK11" s="5" t="s">
        <v>49</v>
      </c>
      <c r="AM11" s="4425"/>
    </row>
    <row r="12" spans="2:46" x14ac:dyDescent="0.2">
      <c r="B12" s="1" t="s">
        <v>0</v>
      </c>
      <c r="C12" s="1" t="s">
        <v>1</v>
      </c>
      <c r="D12" s="1" t="s">
        <v>24</v>
      </c>
      <c r="E12" s="1" t="s">
        <v>25</v>
      </c>
      <c r="F12" s="1" t="s">
        <v>2</v>
      </c>
      <c r="G12" s="1">
        <v>1</v>
      </c>
      <c r="H12" s="1">
        <v>2</v>
      </c>
      <c r="I12" s="1">
        <v>3</v>
      </c>
      <c r="J12" s="1">
        <v>4</v>
      </c>
      <c r="K12" s="1">
        <v>5</v>
      </c>
      <c r="L12" s="1">
        <v>6</v>
      </c>
      <c r="M12" s="1">
        <v>7</v>
      </c>
      <c r="N12" s="1">
        <v>8</v>
      </c>
      <c r="O12" s="1">
        <v>9</v>
      </c>
      <c r="P12" s="1">
        <v>10</v>
      </c>
      <c r="Q12" s="1">
        <v>11</v>
      </c>
      <c r="R12" s="1">
        <v>12</v>
      </c>
      <c r="S12" s="1">
        <v>13</v>
      </c>
      <c r="T12" s="1">
        <v>14</v>
      </c>
      <c r="U12" s="1">
        <v>15</v>
      </c>
      <c r="V12" s="1">
        <v>16</v>
      </c>
      <c r="W12" s="1">
        <v>17</v>
      </c>
      <c r="X12" s="1">
        <v>18</v>
      </c>
      <c r="Y12" s="1">
        <v>19</v>
      </c>
      <c r="Z12" s="1">
        <v>20</v>
      </c>
      <c r="AA12" s="1">
        <v>21</v>
      </c>
      <c r="AB12" s="1">
        <v>22</v>
      </c>
      <c r="AC12" s="1">
        <v>23</v>
      </c>
      <c r="AD12" s="1">
        <v>24</v>
      </c>
      <c r="AE12" s="1">
        <v>25</v>
      </c>
      <c r="AF12" s="1">
        <v>26</v>
      </c>
      <c r="AG12" s="1">
        <v>27</v>
      </c>
      <c r="AH12" s="1">
        <v>28</v>
      </c>
      <c r="AI12" s="1">
        <v>29</v>
      </c>
      <c r="AJ12" s="1">
        <v>30</v>
      </c>
      <c r="AK12" s="1">
        <v>31</v>
      </c>
      <c r="AM12" s="4426"/>
      <c r="AO12" s="1" t="s">
        <v>7</v>
      </c>
      <c r="AP12" s="1" t="s">
        <v>2</v>
      </c>
      <c r="AR12" s="1"/>
      <c r="AS12" s="1"/>
      <c r="AT12" s="1"/>
    </row>
    <row r="13" spans="2:46" ht="4.5" customHeight="1" x14ac:dyDescent="0.2">
      <c r="AM13" s="4"/>
    </row>
    <row r="14" spans="2:46" ht="15" customHeight="1" x14ac:dyDescent="0.2">
      <c r="B14" s="13"/>
      <c r="C14" s="16" t="s">
        <v>19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M14" s="4"/>
    </row>
    <row r="15" spans="2:46" ht="15" x14ac:dyDescent="0.2">
      <c r="B15" s="1">
        <v>1</v>
      </c>
      <c r="C15" s="1" t="s">
        <v>21</v>
      </c>
      <c r="D15" s="6">
        <v>400</v>
      </c>
      <c r="E15" s="6">
        <f t="shared" ref="E15:E25" si="3">D15/27</f>
        <v>14.814814814814815</v>
      </c>
      <c r="F15" s="10">
        <f t="shared" ref="F15:F25" si="4">D15/$D$26</f>
        <v>0.3770028275212064</v>
      </c>
      <c r="G15" s="6">
        <f>$E$15</f>
        <v>14.814814814814815</v>
      </c>
      <c r="H15" s="6">
        <f>$E$15</f>
        <v>14.814814814814815</v>
      </c>
      <c r="I15" s="6">
        <f>$E$15</f>
        <v>14.814814814814815</v>
      </c>
      <c r="J15" s="6">
        <f>$E$15</f>
        <v>14.814814814814815</v>
      </c>
      <c r="K15" s="6">
        <f>$E$15</f>
        <v>14.814814814814815</v>
      </c>
      <c r="L15" s="6">
        <v>0</v>
      </c>
      <c r="M15" s="6">
        <f t="shared" ref="M15:R15" si="5">$E$15</f>
        <v>14.814814814814815</v>
      </c>
      <c r="N15" s="6">
        <f t="shared" si="5"/>
        <v>14.814814814814815</v>
      </c>
      <c r="O15" s="6">
        <f t="shared" si="5"/>
        <v>14.814814814814815</v>
      </c>
      <c r="P15" s="6">
        <f t="shared" si="5"/>
        <v>14.814814814814815</v>
      </c>
      <c r="Q15" s="6">
        <f t="shared" si="5"/>
        <v>14.814814814814815</v>
      </c>
      <c r="R15" s="6">
        <f t="shared" si="5"/>
        <v>14.814814814814815</v>
      </c>
      <c r="S15" s="6">
        <v>0</v>
      </c>
      <c r="T15" s="6">
        <f t="shared" ref="T15:Y15" si="6">$E$15</f>
        <v>14.814814814814815</v>
      </c>
      <c r="U15" s="6">
        <f t="shared" si="6"/>
        <v>14.814814814814815</v>
      </c>
      <c r="V15" s="6">
        <f t="shared" si="6"/>
        <v>14.814814814814815</v>
      </c>
      <c r="W15" s="6">
        <f t="shared" si="6"/>
        <v>14.814814814814815</v>
      </c>
      <c r="X15" s="6">
        <f t="shared" si="6"/>
        <v>14.814814814814815</v>
      </c>
      <c r="Y15" s="6">
        <f t="shared" si="6"/>
        <v>14.814814814814815</v>
      </c>
      <c r="Z15" s="6">
        <v>0</v>
      </c>
      <c r="AA15" s="6">
        <f t="shared" ref="AA15:AF15" si="7">$E$15</f>
        <v>14.814814814814815</v>
      </c>
      <c r="AB15" s="6">
        <f t="shared" si="7"/>
        <v>14.814814814814815</v>
      </c>
      <c r="AC15" s="6">
        <f t="shared" si="7"/>
        <v>14.814814814814815</v>
      </c>
      <c r="AD15" s="6">
        <f t="shared" si="7"/>
        <v>14.814814814814815</v>
      </c>
      <c r="AE15" s="6">
        <f t="shared" si="7"/>
        <v>14.814814814814815</v>
      </c>
      <c r="AF15" s="6">
        <f t="shared" si="7"/>
        <v>14.814814814814815</v>
      </c>
      <c r="AG15" s="6">
        <v>0</v>
      </c>
      <c r="AH15" s="6">
        <f>$E$15</f>
        <v>14.814814814814815</v>
      </c>
      <c r="AI15" s="6">
        <f>$E$15</f>
        <v>14.814814814814815</v>
      </c>
      <c r="AJ15" s="6">
        <f>$E$15</f>
        <v>14.814814814814815</v>
      </c>
      <c r="AK15" s="6">
        <f>$E$15</f>
        <v>14.814814814814815</v>
      </c>
      <c r="AM15" s="40">
        <v>400</v>
      </c>
      <c r="AO15" s="5">
        <f>SUM(G15:AK15)</f>
        <v>400.00000000000017</v>
      </c>
      <c r="AP15" s="10">
        <f t="shared" ref="AP15:AP20" si="8">AO15/$AO$26</f>
        <v>0.37700282752120651</v>
      </c>
      <c r="AR15" s="14"/>
      <c r="AS15" s="60"/>
      <c r="AT15" s="60"/>
    </row>
    <row r="16" spans="2:46" ht="15" x14ac:dyDescent="0.2">
      <c r="B16" s="1">
        <v>2</v>
      </c>
      <c r="C16" s="1" t="s">
        <v>22</v>
      </c>
      <c r="D16" s="6">
        <v>200</v>
      </c>
      <c r="E16" s="6">
        <f t="shared" si="3"/>
        <v>7.4074074074074074</v>
      </c>
      <c r="F16" s="10">
        <f t="shared" si="4"/>
        <v>0.1885014137606032</v>
      </c>
      <c r="G16" s="6">
        <f>$E$16</f>
        <v>7.4074074074074074</v>
      </c>
      <c r="H16" s="6">
        <f>$E$16</f>
        <v>7.4074074074074074</v>
      </c>
      <c r="I16" s="6">
        <f>$E$16</f>
        <v>7.4074074074074074</v>
      </c>
      <c r="J16" s="6">
        <f>$E$16</f>
        <v>7.4074074074074074</v>
      </c>
      <c r="K16" s="6">
        <f>$E$16</f>
        <v>7.4074074074074074</v>
      </c>
      <c r="L16" s="6">
        <v>0</v>
      </c>
      <c r="M16" s="6">
        <f t="shared" ref="M16:R16" si="9">$E$16</f>
        <v>7.4074074074074074</v>
      </c>
      <c r="N16" s="6">
        <f t="shared" si="9"/>
        <v>7.4074074074074074</v>
      </c>
      <c r="O16" s="6">
        <f t="shared" si="9"/>
        <v>7.4074074074074074</v>
      </c>
      <c r="P16" s="6">
        <f t="shared" si="9"/>
        <v>7.4074074074074074</v>
      </c>
      <c r="Q16" s="6">
        <f t="shared" si="9"/>
        <v>7.4074074074074074</v>
      </c>
      <c r="R16" s="6">
        <f t="shared" si="9"/>
        <v>7.4074074074074074</v>
      </c>
      <c r="S16" s="6">
        <v>0</v>
      </c>
      <c r="T16" s="6">
        <f t="shared" ref="T16:Y16" si="10">$E$16</f>
        <v>7.4074074074074074</v>
      </c>
      <c r="U16" s="6">
        <f t="shared" si="10"/>
        <v>7.4074074074074074</v>
      </c>
      <c r="V16" s="6">
        <f t="shared" si="10"/>
        <v>7.4074074074074074</v>
      </c>
      <c r="W16" s="6">
        <f t="shared" si="10"/>
        <v>7.4074074074074074</v>
      </c>
      <c r="X16" s="6">
        <f t="shared" si="10"/>
        <v>7.4074074074074074</v>
      </c>
      <c r="Y16" s="6">
        <f t="shared" si="10"/>
        <v>7.4074074074074074</v>
      </c>
      <c r="Z16" s="6">
        <v>0</v>
      </c>
      <c r="AA16" s="6">
        <f t="shared" ref="AA16:AF16" si="11">$E$16</f>
        <v>7.4074074074074074</v>
      </c>
      <c r="AB16" s="6">
        <f t="shared" si="11"/>
        <v>7.4074074074074074</v>
      </c>
      <c r="AC16" s="6">
        <f t="shared" si="11"/>
        <v>7.4074074074074074</v>
      </c>
      <c r="AD16" s="6">
        <f t="shared" si="11"/>
        <v>7.4074074074074074</v>
      </c>
      <c r="AE16" s="6">
        <f t="shared" si="11"/>
        <v>7.4074074074074074</v>
      </c>
      <c r="AF16" s="6">
        <f t="shared" si="11"/>
        <v>7.4074074074074074</v>
      </c>
      <c r="AG16" s="6">
        <v>0</v>
      </c>
      <c r="AH16" s="6">
        <f>$E$16</f>
        <v>7.4074074074074074</v>
      </c>
      <c r="AI16" s="6">
        <f>$E$16</f>
        <v>7.4074074074074074</v>
      </c>
      <c r="AJ16" s="6">
        <f>$E$16</f>
        <v>7.4074074074074074</v>
      </c>
      <c r="AK16" s="6">
        <f>$E$16</f>
        <v>7.4074074074074074</v>
      </c>
      <c r="AM16" s="40">
        <v>200</v>
      </c>
      <c r="AO16" s="5">
        <f t="shared" ref="AO16:AO25" si="12">SUM(G16:AK16)</f>
        <v>200.00000000000009</v>
      </c>
      <c r="AP16" s="10">
        <f t="shared" si="8"/>
        <v>0.18850141376060325</v>
      </c>
      <c r="AR16" s="14"/>
      <c r="AS16" s="60"/>
      <c r="AT16" s="60"/>
    </row>
    <row r="17" spans="2:46" ht="15" x14ac:dyDescent="0.2">
      <c r="B17" s="1">
        <v>3</v>
      </c>
      <c r="C17" s="1" t="s">
        <v>38</v>
      </c>
      <c r="D17" s="6">
        <v>171</v>
      </c>
      <c r="E17" s="6">
        <f t="shared" si="3"/>
        <v>6.333333333333333</v>
      </c>
      <c r="F17" s="10">
        <f t="shared" si="4"/>
        <v>0.16116870876531575</v>
      </c>
      <c r="G17" s="6">
        <f>$E$17</f>
        <v>6.333333333333333</v>
      </c>
      <c r="H17" s="6">
        <f>$E$17</f>
        <v>6.333333333333333</v>
      </c>
      <c r="I17" s="6">
        <f>$E$17</f>
        <v>6.333333333333333</v>
      </c>
      <c r="J17" s="6">
        <f>$E$17</f>
        <v>6.333333333333333</v>
      </c>
      <c r="K17" s="6">
        <f>$E$17</f>
        <v>6.333333333333333</v>
      </c>
      <c r="L17" s="6">
        <v>0</v>
      </c>
      <c r="M17" s="6">
        <f t="shared" ref="M17:R17" si="13">$E$17</f>
        <v>6.333333333333333</v>
      </c>
      <c r="N17" s="6">
        <f t="shared" si="13"/>
        <v>6.333333333333333</v>
      </c>
      <c r="O17" s="6">
        <f t="shared" si="13"/>
        <v>6.333333333333333</v>
      </c>
      <c r="P17" s="6">
        <f t="shared" si="13"/>
        <v>6.333333333333333</v>
      </c>
      <c r="Q17" s="6">
        <f t="shared" si="13"/>
        <v>6.333333333333333</v>
      </c>
      <c r="R17" s="6">
        <f t="shared" si="13"/>
        <v>6.333333333333333</v>
      </c>
      <c r="S17" s="6">
        <v>0</v>
      </c>
      <c r="T17" s="6">
        <f t="shared" ref="T17:Y17" si="14">$E$17</f>
        <v>6.333333333333333</v>
      </c>
      <c r="U17" s="6">
        <f t="shared" si="14"/>
        <v>6.333333333333333</v>
      </c>
      <c r="V17" s="6">
        <f t="shared" si="14"/>
        <v>6.333333333333333</v>
      </c>
      <c r="W17" s="6">
        <f t="shared" si="14"/>
        <v>6.333333333333333</v>
      </c>
      <c r="X17" s="6">
        <f t="shared" si="14"/>
        <v>6.333333333333333</v>
      </c>
      <c r="Y17" s="6">
        <f t="shared" si="14"/>
        <v>6.333333333333333</v>
      </c>
      <c r="Z17" s="6">
        <v>0</v>
      </c>
      <c r="AA17" s="6">
        <f t="shared" ref="AA17:AF17" si="15">$E$17</f>
        <v>6.333333333333333</v>
      </c>
      <c r="AB17" s="6">
        <f t="shared" si="15"/>
        <v>6.333333333333333</v>
      </c>
      <c r="AC17" s="6">
        <f t="shared" si="15"/>
        <v>6.333333333333333</v>
      </c>
      <c r="AD17" s="6">
        <f t="shared" si="15"/>
        <v>6.333333333333333</v>
      </c>
      <c r="AE17" s="6">
        <f t="shared" si="15"/>
        <v>6.333333333333333</v>
      </c>
      <c r="AF17" s="6">
        <f t="shared" si="15"/>
        <v>6.333333333333333</v>
      </c>
      <c r="AG17" s="6">
        <v>0</v>
      </c>
      <c r="AH17" s="6">
        <f>$E$17</f>
        <v>6.333333333333333</v>
      </c>
      <c r="AI17" s="6">
        <f>$E$17</f>
        <v>6.333333333333333</v>
      </c>
      <c r="AJ17" s="6">
        <f>$E$17</f>
        <v>6.333333333333333</v>
      </c>
      <c r="AK17" s="6">
        <f>$E$17</f>
        <v>6.333333333333333</v>
      </c>
      <c r="AM17" s="40">
        <v>171</v>
      </c>
      <c r="AO17" s="5">
        <f t="shared" si="12"/>
        <v>171.00000000000003</v>
      </c>
      <c r="AP17" s="10">
        <f t="shared" si="8"/>
        <v>0.16116870876531572</v>
      </c>
      <c r="AR17" s="14"/>
      <c r="AS17" s="60"/>
      <c r="AT17" s="60"/>
    </row>
    <row r="18" spans="2:46" ht="15" x14ac:dyDescent="0.2">
      <c r="B18" s="1">
        <v>4</v>
      </c>
      <c r="C18" s="1" t="s">
        <v>39</v>
      </c>
      <c r="D18" s="6">
        <v>55</v>
      </c>
      <c r="E18" s="6">
        <f t="shared" si="3"/>
        <v>2.0370370370370372</v>
      </c>
      <c r="F18" s="10">
        <f t="shared" si="4"/>
        <v>5.1837888784165884E-2</v>
      </c>
      <c r="G18" s="6">
        <f>$E$18</f>
        <v>2.0370370370370372</v>
      </c>
      <c r="H18" s="6">
        <f>$E$18</f>
        <v>2.0370370370370372</v>
      </c>
      <c r="I18" s="6">
        <f>$E$18</f>
        <v>2.0370370370370372</v>
      </c>
      <c r="J18" s="6">
        <f>$E$18</f>
        <v>2.0370370370370372</v>
      </c>
      <c r="K18" s="6">
        <f>$E$18</f>
        <v>2.0370370370370372</v>
      </c>
      <c r="L18" s="6">
        <v>0</v>
      </c>
      <c r="M18" s="6">
        <f t="shared" ref="M18:R18" si="16">$E$18</f>
        <v>2.0370370370370372</v>
      </c>
      <c r="N18" s="6">
        <f t="shared" si="16"/>
        <v>2.0370370370370372</v>
      </c>
      <c r="O18" s="6">
        <f t="shared" si="16"/>
        <v>2.0370370370370372</v>
      </c>
      <c r="P18" s="6">
        <f t="shared" si="16"/>
        <v>2.0370370370370372</v>
      </c>
      <c r="Q18" s="6">
        <f t="shared" si="16"/>
        <v>2.0370370370370372</v>
      </c>
      <c r="R18" s="6">
        <f t="shared" si="16"/>
        <v>2.0370370370370372</v>
      </c>
      <c r="S18" s="6">
        <v>0</v>
      </c>
      <c r="T18" s="6">
        <f t="shared" ref="T18:Y18" si="17">$E$18</f>
        <v>2.0370370370370372</v>
      </c>
      <c r="U18" s="6">
        <f t="shared" si="17"/>
        <v>2.0370370370370372</v>
      </c>
      <c r="V18" s="6">
        <f t="shared" si="17"/>
        <v>2.0370370370370372</v>
      </c>
      <c r="W18" s="6">
        <f t="shared" si="17"/>
        <v>2.0370370370370372</v>
      </c>
      <c r="X18" s="6">
        <f t="shared" si="17"/>
        <v>2.0370370370370372</v>
      </c>
      <c r="Y18" s="6">
        <f t="shared" si="17"/>
        <v>2.0370370370370372</v>
      </c>
      <c r="Z18" s="6">
        <v>0</v>
      </c>
      <c r="AA18" s="6">
        <f t="shared" ref="AA18:AF18" si="18">$E$18</f>
        <v>2.0370370370370372</v>
      </c>
      <c r="AB18" s="6">
        <f t="shared" si="18"/>
        <v>2.0370370370370372</v>
      </c>
      <c r="AC18" s="6">
        <f t="shared" si="18"/>
        <v>2.0370370370370372</v>
      </c>
      <c r="AD18" s="6">
        <f t="shared" si="18"/>
        <v>2.0370370370370372</v>
      </c>
      <c r="AE18" s="6">
        <f t="shared" si="18"/>
        <v>2.0370370370370372</v>
      </c>
      <c r="AF18" s="6">
        <f t="shared" si="18"/>
        <v>2.0370370370370372</v>
      </c>
      <c r="AG18" s="6">
        <v>0</v>
      </c>
      <c r="AH18" s="6">
        <f>$E$18</f>
        <v>2.0370370370370372</v>
      </c>
      <c r="AI18" s="6">
        <f>$E$18</f>
        <v>2.0370370370370372</v>
      </c>
      <c r="AJ18" s="6">
        <f>$E$18</f>
        <v>2.0370370370370372</v>
      </c>
      <c r="AK18" s="6">
        <f>$E$18</f>
        <v>2.0370370370370372</v>
      </c>
      <c r="AM18" s="40">
        <v>55</v>
      </c>
      <c r="AO18" s="5">
        <f t="shared" si="12"/>
        <v>55.000000000000021</v>
      </c>
      <c r="AP18" s="10">
        <f t="shared" si="8"/>
        <v>5.1837888784165891E-2</v>
      </c>
      <c r="AR18" s="14"/>
      <c r="AS18" s="60"/>
      <c r="AT18" s="60"/>
    </row>
    <row r="19" spans="2:46" ht="15" x14ac:dyDescent="0.2">
      <c r="B19" s="1">
        <v>5</v>
      </c>
      <c r="C19" s="1" t="s">
        <v>23</v>
      </c>
      <c r="D19" s="6">
        <v>54</v>
      </c>
      <c r="E19" s="6">
        <f t="shared" si="3"/>
        <v>2</v>
      </c>
      <c r="F19" s="10">
        <f t="shared" si="4"/>
        <v>5.0895381715362863E-2</v>
      </c>
      <c r="G19" s="6">
        <f>$E$19</f>
        <v>2</v>
      </c>
      <c r="H19" s="6">
        <f>$E$19</f>
        <v>2</v>
      </c>
      <c r="I19" s="6">
        <f>$E$19</f>
        <v>2</v>
      </c>
      <c r="J19" s="6">
        <f>$E$19</f>
        <v>2</v>
      </c>
      <c r="K19" s="6">
        <f>$E$19</f>
        <v>2</v>
      </c>
      <c r="L19" s="6">
        <v>0</v>
      </c>
      <c r="M19" s="6">
        <f t="shared" ref="M19:R19" si="19">$E$19</f>
        <v>2</v>
      </c>
      <c r="N19" s="6">
        <f t="shared" si="19"/>
        <v>2</v>
      </c>
      <c r="O19" s="6">
        <f t="shared" si="19"/>
        <v>2</v>
      </c>
      <c r="P19" s="6">
        <f t="shared" si="19"/>
        <v>2</v>
      </c>
      <c r="Q19" s="6">
        <f t="shared" si="19"/>
        <v>2</v>
      </c>
      <c r="R19" s="6">
        <f t="shared" si="19"/>
        <v>2</v>
      </c>
      <c r="S19" s="6">
        <v>0</v>
      </c>
      <c r="T19" s="6">
        <f t="shared" ref="T19:Y19" si="20">$E$19</f>
        <v>2</v>
      </c>
      <c r="U19" s="6">
        <f t="shared" si="20"/>
        <v>2</v>
      </c>
      <c r="V19" s="6">
        <f t="shared" si="20"/>
        <v>2</v>
      </c>
      <c r="W19" s="6">
        <f t="shared" si="20"/>
        <v>2</v>
      </c>
      <c r="X19" s="6">
        <f t="shared" si="20"/>
        <v>2</v>
      </c>
      <c r="Y19" s="6">
        <f t="shared" si="20"/>
        <v>2</v>
      </c>
      <c r="Z19" s="6">
        <v>0</v>
      </c>
      <c r="AA19" s="6">
        <f t="shared" ref="AA19:AF19" si="21">$E$19</f>
        <v>2</v>
      </c>
      <c r="AB19" s="6">
        <f t="shared" si="21"/>
        <v>2</v>
      </c>
      <c r="AC19" s="6">
        <f t="shared" si="21"/>
        <v>2</v>
      </c>
      <c r="AD19" s="6">
        <f t="shared" si="21"/>
        <v>2</v>
      </c>
      <c r="AE19" s="6">
        <f t="shared" si="21"/>
        <v>2</v>
      </c>
      <c r="AF19" s="6">
        <f t="shared" si="21"/>
        <v>2</v>
      </c>
      <c r="AG19" s="6">
        <v>0</v>
      </c>
      <c r="AH19" s="6">
        <f>$E$19</f>
        <v>2</v>
      </c>
      <c r="AI19" s="6">
        <f>$E$19</f>
        <v>2</v>
      </c>
      <c r="AJ19" s="6">
        <f>$E$19</f>
        <v>2</v>
      </c>
      <c r="AK19" s="6">
        <f>$E$19</f>
        <v>2</v>
      </c>
      <c r="AM19" s="40">
        <v>54</v>
      </c>
      <c r="AO19" s="5">
        <f t="shared" si="12"/>
        <v>54</v>
      </c>
      <c r="AP19" s="10">
        <f t="shared" si="8"/>
        <v>5.0895381715362856E-2</v>
      </c>
      <c r="AR19" s="14"/>
      <c r="AS19" s="60"/>
      <c r="AT19" s="60"/>
    </row>
    <row r="20" spans="2:46" ht="15" x14ac:dyDescent="0.2">
      <c r="B20" s="1">
        <v>6</v>
      </c>
      <c r="C20" s="1" t="s">
        <v>59</v>
      </c>
      <c r="D20" s="6">
        <v>50</v>
      </c>
      <c r="E20" s="6">
        <f t="shared" si="3"/>
        <v>1.8518518518518519</v>
      </c>
      <c r="F20" s="10">
        <f t="shared" si="4"/>
        <v>4.71253534401508E-2</v>
      </c>
      <c r="G20" s="6">
        <f>$E$20</f>
        <v>1.8518518518518519</v>
      </c>
      <c r="H20" s="6">
        <f>$E$20</f>
        <v>1.8518518518518519</v>
      </c>
      <c r="I20" s="6">
        <f>$E$20</f>
        <v>1.8518518518518519</v>
      </c>
      <c r="J20" s="6">
        <f>$E$20</f>
        <v>1.8518518518518519</v>
      </c>
      <c r="K20" s="6">
        <f>$E$20</f>
        <v>1.8518518518518519</v>
      </c>
      <c r="L20" s="6">
        <v>0</v>
      </c>
      <c r="M20" s="6">
        <f t="shared" ref="M20:R20" si="22">$E$20</f>
        <v>1.8518518518518519</v>
      </c>
      <c r="N20" s="6">
        <f t="shared" si="22"/>
        <v>1.8518518518518519</v>
      </c>
      <c r="O20" s="6">
        <f t="shared" si="22"/>
        <v>1.8518518518518519</v>
      </c>
      <c r="P20" s="6">
        <f t="shared" si="22"/>
        <v>1.8518518518518519</v>
      </c>
      <c r="Q20" s="6">
        <f t="shared" si="22"/>
        <v>1.8518518518518519</v>
      </c>
      <c r="R20" s="6">
        <f t="shared" si="22"/>
        <v>1.8518518518518519</v>
      </c>
      <c r="S20" s="6">
        <v>0</v>
      </c>
      <c r="T20" s="6">
        <f t="shared" ref="T20:Y20" si="23">$E$20</f>
        <v>1.8518518518518519</v>
      </c>
      <c r="U20" s="6">
        <f t="shared" si="23"/>
        <v>1.8518518518518519</v>
      </c>
      <c r="V20" s="6">
        <f t="shared" si="23"/>
        <v>1.8518518518518519</v>
      </c>
      <c r="W20" s="6">
        <f t="shared" si="23"/>
        <v>1.8518518518518519</v>
      </c>
      <c r="X20" s="6">
        <f t="shared" si="23"/>
        <v>1.8518518518518519</v>
      </c>
      <c r="Y20" s="6">
        <f t="shared" si="23"/>
        <v>1.8518518518518519</v>
      </c>
      <c r="Z20" s="6">
        <v>0</v>
      </c>
      <c r="AA20" s="6">
        <f t="shared" ref="AA20:AF20" si="24">$E$20</f>
        <v>1.8518518518518519</v>
      </c>
      <c r="AB20" s="6">
        <f t="shared" si="24"/>
        <v>1.8518518518518519</v>
      </c>
      <c r="AC20" s="6">
        <f t="shared" si="24"/>
        <v>1.8518518518518519</v>
      </c>
      <c r="AD20" s="6">
        <f t="shared" si="24"/>
        <v>1.8518518518518519</v>
      </c>
      <c r="AE20" s="6">
        <f t="shared" si="24"/>
        <v>1.8518518518518519</v>
      </c>
      <c r="AF20" s="6">
        <f t="shared" si="24"/>
        <v>1.8518518518518519</v>
      </c>
      <c r="AG20" s="6">
        <v>0</v>
      </c>
      <c r="AH20" s="6">
        <f>$E$20</f>
        <v>1.8518518518518519</v>
      </c>
      <c r="AI20" s="6">
        <f>$E$20</f>
        <v>1.8518518518518519</v>
      </c>
      <c r="AJ20" s="6">
        <f>$E$20</f>
        <v>1.8518518518518519</v>
      </c>
      <c r="AK20" s="6">
        <f>$E$20</f>
        <v>1.8518518518518519</v>
      </c>
      <c r="AM20" s="40">
        <v>50</v>
      </c>
      <c r="AO20" s="5">
        <f t="shared" si="12"/>
        <v>50.000000000000021</v>
      </c>
      <c r="AP20" s="10">
        <f t="shared" si="8"/>
        <v>4.7125353440150813E-2</v>
      </c>
      <c r="AR20" s="14"/>
      <c r="AS20" s="60"/>
      <c r="AT20" s="60"/>
    </row>
    <row r="21" spans="2:46" ht="15" x14ac:dyDescent="0.2">
      <c r="B21" s="1">
        <v>7</v>
      </c>
      <c r="C21" s="1" t="s">
        <v>60</v>
      </c>
      <c r="D21" s="6">
        <v>44</v>
      </c>
      <c r="E21" s="6">
        <f t="shared" si="3"/>
        <v>1.6296296296296295</v>
      </c>
      <c r="F21" s="10">
        <f t="shared" si="4"/>
        <v>4.1470311027332708E-2</v>
      </c>
      <c r="G21" s="6">
        <f>$E$21</f>
        <v>1.6296296296296295</v>
      </c>
      <c r="H21" s="6">
        <f>$E$21</f>
        <v>1.6296296296296295</v>
      </c>
      <c r="I21" s="6">
        <f>$E$21</f>
        <v>1.6296296296296295</v>
      </c>
      <c r="J21" s="6">
        <f>$E$21</f>
        <v>1.6296296296296295</v>
      </c>
      <c r="K21" s="6">
        <f>$E$21</f>
        <v>1.6296296296296295</v>
      </c>
      <c r="L21" s="6">
        <v>0</v>
      </c>
      <c r="M21" s="6">
        <f t="shared" ref="M21:R21" si="25">$E$21</f>
        <v>1.6296296296296295</v>
      </c>
      <c r="N21" s="6">
        <f t="shared" si="25"/>
        <v>1.6296296296296295</v>
      </c>
      <c r="O21" s="6">
        <f t="shared" si="25"/>
        <v>1.6296296296296295</v>
      </c>
      <c r="P21" s="6">
        <f t="shared" si="25"/>
        <v>1.6296296296296295</v>
      </c>
      <c r="Q21" s="6">
        <f t="shared" si="25"/>
        <v>1.6296296296296295</v>
      </c>
      <c r="R21" s="6">
        <f t="shared" si="25"/>
        <v>1.6296296296296295</v>
      </c>
      <c r="S21" s="6">
        <v>0</v>
      </c>
      <c r="T21" s="6">
        <f t="shared" ref="T21:Y21" si="26">$E$21</f>
        <v>1.6296296296296295</v>
      </c>
      <c r="U21" s="6">
        <f t="shared" si="26"/>
        <v>1.6296296296296295</v>
      </c>
      <c r="V21" s="6">
        <f t="shared" si="26"/>
        <v>1.6296296296296295</v>
      </c>
      <c r="W21" s="6">
        <f t="shared" si="26"/>
        <v>1.6296296296296295</v>
      </c>
      <c r="X21" s="6">
        <f t="shared" si="26"/>
        <v>1.6296296296296295</v>
      </c>
      <c r="Y21" s="6">
        <f t="shared" si="26"/>
        <v>1.6296296296296295</v>
      </c>
      <c r="Z21" s="6">
        <v>0</v>
      </c>
      <c r="AA21" s="6">
        <f t="shared" ref="AA21:AF21" si="27">$E$21</f>
        <v>1.6296296296296295</v>
      </c>
      <c r="AB21" s="6">
        <f t="shared" si="27"/>
        <v>1.6296296296296295</v>
      </c>
      <c r="AC21" s="6">
        <f t="shared" si="27"/>
        <v>1.6296296296296295</v>
      </c>
      <c r="AD21" s="6">
        <f t="shared" si="27"/>
        <v>1.6296296296296295</v>
      </c>
      <c r="AE21" s="6">
        <f t="shared" si="27"/>
        <v>1.6296296296296295</v>
      </c>
      <c r="AF21" s="6">
        <f t="shared" si="27"/>
        <v>1.6296296296296295</v>
      </c>
      <c r="AG21" s="6">
        <v>0</v>
      </c>
      <c r="AH21" s="6">
        <f>$E$21</f>
        <v>1.6296296296296295</v>
      </c>
      <c r="AI21" s="6">
        <f>$E$21</f>
        <v>1.6296296296296295</v>
      </c>
      <c r="AJ21" s="6">
        <f>$E$21</f>
        <v>1.6296296296296295</v>
      </c>
      <c r="AK21" s="6">
        <f>$E$21</f>
        <v>1.6296296296296295</v>
      </c>
      <c r="AM21" s="40">
        <v>44</v>
      </c>
      <c r="AO21" s="5">
        <f t="shared" si="12"/>
        <v>43.999999999999972</v>
      </c>
      <c r="AP21" s="10">
        <f t="shared" ref="AP21:AP23" si="28">AO21/$AO$26</f>
        <v>4.1470311027332667E-2</v>
      </c>
      <c r="AR21" s="14"/>
      <c r="AS21" s="60"/>
      <c r="AT21" s="60"/>
    </row>
    <row r="22" spans="2:46" ht="15" x14ac:dyDescent="0.2">
      <c r="B22" s="1">
        <v>8</v>
      </c>
      <c r="C22" s="1" t="s">
        <v>43</v>
      </c>
      <c r="D22" s="6">
        <v>27</v>
      </c>
      <c r="E22" s="6">
        <f t="shared" si="3"/>
        <v>1</v>
      </c>
      <c r="F22" s="10">
        <f t="shared" si="4"/>
        <v>2.5447690857681431E-2</v>
      </c>
      <c r="G22" s="6">
        <f>$E$22</f>
        <v>1</v>
      </c>
      <c r="H22" s="6">
        <f>$E$22</f>
        <v>1</v>
      </c>
      <c r="I22" s="6">
        <f>$E$22</f>
        <v>1</v>
      </c>
      <c r="J22" s="6">
        <f>$E$22</f>
        <v>1</v>
      </c>
      <c r="K22" s="6">
        <f>$E$22</f>
        <v>1</v>
      </c>
      <c r="L22" s="6">
        <v>0</v>
      </c>
      <c r="M22" s="6">
        <f t="shared" ref="M22:R22" si="29">$E$22</f>
        <v>1</v>
      </c>
      <c r="N22" s="6">
        <f t="shared" si="29"/>
        <v>1</v>
      </c>
      <c r="O22" s="6">
        <f t="shared" si="29"/>
        <v>1</v>
      </c>
      <c r="P22" s="6">
        <f t="shared" si="29"/>
        <v>1</v>
      </c>
      <c r="Q22" s="6">
        <f t="shared" si="29"/>
        <v>1</v>
      </c>
      <c r="R22" s="6">
        <f t="shared" si="29"/>
        <v>1</v>
      </c>
      <c r="S22" s="6">
        <v>0</v>
      </c>
      <c r="T22" s="6">
        <f t="shared" ref="T22:Y22" si="30">$E$22</f>
        <v>1</v>
      </c>
      <c r="U22" s="6">
        <f t="shared" si="30"/>
        <v>1</v>
      </c>
      <c r="V22" s="6">
        <f t="shared" si="30"/>
        <v>1</v>
      </c>
      <c r="W22" s="6">
        <f t="shared" si="30"/>
        <v>1</v>
      </c>
      <c r="X22" s="6">
        <f t="shared" si="30"/>
        <v>1</v>
      </c>
      <c r="Y22" s="6">
        <f t="shared" si="30"/>
        <v>1</v>
      </c>
      <c r="Z22" s="6">
        <v>0</v>
      </c>
      <c r="AA22" s="6">
        <f t="shared" ref="AA22:AF22" si="31">$E$22</f>
        <v>1</v>
      </c>
      <c r="AB22" s="6">
        <f t="shared" si="31"/>
        <v>1</v>
      </c>
      <c r="AC22" s="6">
        <f t="shared" si="31"/>
        <v>1</v>
      </c>
      <c r="AD22" s="6">
        <f t="shared" si="31"/>
        <v>1</v>
      </c>
      <c r="AE22" s="6">
        <f t="shared" si="31"/>
        <v>1</v>
      </c>
      <c r="AF22" s="6">
        <f t="shared" si="31"/>
        <v>1</v>
      </c>
      <c r="AG22" s="6">
        <v>0</v>
      </c>
      <c r="AH22" s="6">
        <f>$E$22</f>
        <v>1</v>
      </c>
      <c r="AI22" s="6">
        <f>$E$22</f>
        <v>1</v>
      </c>
      <c r="AJ22" s="6">
        <f>$E$22</f>
        <v>1</v>
      </c>
      <c r="AK22" s="6">
        <f>$E$22</f>
        <v>1</v>
      </c>
      <c r="AM22" s="40">
        <v>27</v>
      </c>
      <c r="AO22" s="5">
        <f t="shared" si="12"/>
        <v>27</v>
      </c>
      <c r="AP22" s="10">
        <f t="shared" si="28"/>
        <v>2.5447690857681428E-2</v>
      </c>
      <c r="AR22" s="14"/>
      <c r="AS22" s="60"/>
      <c r="AT22" s="60"/>
    </row>
    <row r="23" spans="2:46" ht="15" x14ac:dyDescent="0.2">
      <c r="B23" s="1">
        <v>9</v>
      </c>
      <c r="C23" s="1" t="s">
        <v>37</v>
      </c>
      <c r="D23" s="6">
        <v>25</v>
      </c>
      <c r="E23" s="6">
        <f t="shared" si="3"/>
        <v>0.92592592592592593</v>
      </c>
      <c r="F23" s="10">
        <f t="shared" si="4"/>
        <v>2.35626767200754E-2</v>
      </c>
      <c r="G23" s="6">
        <f>$E$23</f>
        <v>0.92592592592592593</v>
      </c>
      <c r="H23" s="6">
        <f>$E$23</f>
        <v>0.92592592592592593</v>
      </c>
      <c r="I23" s="6">
        <f>$E$23</f>
        <v>0.92592592592592593</v>
      </c>
      <c r="J23" s="6">
        <f>$E$23</f>
        <v>0.92592592592592593</v>
      </c>
      <c r="K23" s="6">
        <f>$E$23</f>
        <v>0.92592592592592593</v>
      </c>
      <c r="L23" s="6">
        <v>0</v>
      </c>
      <c r="M23" s="6">
        <f t="shared" ref="M23:R23" si="32">$E$23</f>
        <v>0.92592592592592593</v>
      </c>
      <c r="N23" s="6">
        <f t="shared" si="32"/>
        <v>0.92592592592592593</v>
      </c>
      <c r="O23" s="6">
        <f t="shared" si="32"/>
        <v>0.92592592592592593</v>
      </c>
      <c r="P23" s="6">
        <f t="shared" si="32"/>
        <v>0.92592592592592593</v>
      </c>
      <c r="Q23" s="6">
        <f t="shared" si="32"/>
        <v>0.92592592592592593</v>
      </c>
      <c r="R23" s="6">
        <f t="shared" si="32"/>
        <v>0.92592592592592593</v>
      </c>
      <c r="S23" s="6">
        <v>0</v>
      </c>
      <c r="T23" s="6">
        <f t="shared" ref="T23:Y23" si="33">$E$23</f>
        <v>0.92592592592592593</v>
      </c>
      <c r="U23" s="6">
        <f t="shared" si="33"/>
        <v>0.92592592592592593</v>
      </c>
      <c r="V23" s="6">
        <f t="shared" si="33"/>
        <v>0.92592592592592593</v>
      </c>
      <c r="W23" s="6">
        <f t="shared" si="33"/>
        <v>0.92592592592592593</v>
      </c>
      <c r="X23" s="6">
        <f t="shared" si="33"/>
        <v>0.92592592592592593</v>
      </c>
      <c r="Y23" s="6">
        <f t="shared" si="33"/>
        <v>0.92592592592592593</v>
      </c>
      <c r="Z23" s="6">
        <v>0</v>
      </c>
      <c r="AA23" s="6">
        <f t="shared" ref="AA23:AF23" si="34">$E$23</f>
        <v>0.92592592592592593</v>
      </c>
      <c r="AB23" s="6">
        <f t="shared" si="34"/>
        <v>0.92592592592592593</v>
      </c>
      <c r="AC23" s="6">
        <f t="shared" si="34"/>
        <v>0.92592592592592593</v>
      </c>
      <c r="AD23" s="6">
        <f t="shared" si="34"/>
        <v>0.92592592592592593</v>
      </c>
      <c r="AE23" s="6">
        <f t="shared" si="34"/>
        <v>0.92592592592592593</v>
      </c>
      <c r="AF23" s="6">
        <f t="shared" si="34"/>
        <v>0.92592592592592593</v>
      </c>
      <c r="AG23" s="6">
        <v>0</v>
      </c>
      <c r="AH23" s="6">
        <f>$E$23</f>
        <v>0.92592592592592593</v>
      </c>
      <c r="AI23" s="6">
        <f>$E$23</f>
        <v>0.92592592592592593</v>
      </c>
      <c r="AJ23" s="6">
        <f>$E$23</f>
        <v>0.92592592592592593</v>
      </c>
      <c r="AK23" s="6">
        <f>$E$23</f>
        <v>0.92592592592592593</v>
      </c>
      <c r="AM23" s="40">
        <v>25</v>
      </c>
      <c r="AO23" s="5">
        <f t="shared" si="12"/>
        <v>25.000000000000011</v>
      </c>
      <c r="AP23" s="10">
        <f t="shared" si="28"/>
        <v>2.3562676720075407E-2</v>
      </c>
      <c r="AR23" s="14"/>
      <c r="AS23" s="60"/>
      <c r="AT23" s="60"/>
    </row>
    <row r="24" spans="2:46" ht="15" x14ac:dyDescent="0.2">
      <c r="B24" s="1">
        <v>10</v>
      </c>
      <c r="C24" s="1" t="s">
        <v>16</v>
      </c>
      <c r="D24" s="6">
        <v>25</v>
      </c>
      <c r="E24" s="6">
        <f t="shared" si="3"/>
        <v>0.92592592592592593</v>
      </c>
      <c r="F24" s="10">
        <f t="shared" si="4"/>
        <v>2.35626767200754E-2</v>
      </c>
      <c r="G24" s="6">
        <f>$E$24</f>
        <v>0.92592592592592593</v>
      </c>
      <c r="H24" s="6">
        <f>$E$24</f>
        <v>0.92592592592592593</v>
      </c>
      <c r="I24" s="6">
        <f>$E$24</f>
        <v>0.92592592592592593</v>
      </c>
      <c r="J24" s="6">
        <f>$E$24</f>
        <v>0.92592592592592593</v>
      </c>
      <c r="K24" s="6">
        <f>$E$24</f>
        <v>0.92592592592592593</v>
      </c>
      <c r="L24" s="6">
        <v>0</v>
      </c>
      <c r="M24" s="6">
        <f t="shared" ref="M24:R24" si="35">$E$24</f>
        <v>0.92592592592592593</v>
      </c>
      <c r="N24" s="6">
        <f t="shared" si="35"/>
        <v>0.92592592592592593</v>
      </c>
      <c r="O24" s="6">
        <f t="shared" si="35"/>
        <v>0.92592592592592593</v>
      </c>
      <c r="P24" s="6">
        <f t="shared" si="35"/>
        <v>0.92592592592592593</v>
      </c>
      <c r="Q24" s="6">
        <f t="shared" si="35"/>
        <v>0.92592592592592593</v>
      </c>
      <c r="R24" s="6">
        <f t="shared" si="35"/>
        <v>0.92592592592592593</v>
      </c>
      <c r="S24" s="6">
        <v>0</v>
      </c>
      <c r="T24" s="6">
        <f t="shared" ref="T24:Y24" si="36">$E$24</f>
        <v>0.92592592592592593</v>
      </c>
      <c r="U24" s="6">
        <f t="shared" si="36"/>
        <v>0.92592592592592593</v>
      </c>
      <c r="V24" s="6">
        <f t="shared" si="36"/>
        <v>0.92592592592592593</v>
      </c>
      <c r="W24" s="6">
        <f t="shared" si="36"/>
        <v>0.92592592592592593</v>
      </c>
      <c r="X24" s="6">
        <f t="shared" si="36"/>
        <v>0.92592592592592593</v>
      </c>
      <c r="Y24" s="6">
        <f t="shared" si="36"/>
        <v>0.92592592592592593</v>
      </c>
      <c r="Z24" s="6">
        <v>0</v>
      </c>
      <c r="AA24" s="6">
        <f t="shared" ref="AA24:AF24" si="37">$E$24</f>
        <v>0.92592592592592593</v>
      </c>
      <c r="AB24" s="6">
        <f t="shared" si="37"/>
        <v>0.92592592592592593</v>
      </c>
      <c r="AC24" s="6">
        <f t="shared" si="37"/>
        <v>0.92592592592592593</v>
      </c>
      <c r="AD24" s="6">
        <f t="shared" si="37"/>
        <v>0.92592592592592593</v>
      </c>
      <c r="AE24" s="6">
        <f t="shared" si="37"/>
        <v>0.92592592592592593</v>
      </c>
      <c r="AF24" s="6">
        <f t="shared" si="37"/>
        <v>0.92592592592592593</v>
      </c>
      <c r="AG24" s="6">
        <v>0</v>
      </c>
      <c r="AH24" s="6">
        <f>$E$24</f>
        <v>0.92592592592592593</v>
      </c>
      <c r="AI24" s="6">
        <f>$E$24</f>
        <v>0.92592592592592593</v>
      </c>
      <c r="AJ24" s="6">
        <f>$E$24</f>
        <v>0.92592592592592593</v>
      </c>
      <c r="AK24" s="6">
        <f>$E$24</f>
        <v>0.92592592592592593</v>
      </c>
      <c r="AM24" s="40">
        <v>25</v>
      </c>
      <c r="AO24" s="5">
        <f t="shared" si="12"/>
        <v>25.000000000000011</v>
      </c>
      <c r="AP24" s="10">
        <f>AO24/$AO$26</f>
        <v>2.3562676720075407E-2</v>
      </c>
      <c r="AR24" s="14"/>
      <c r="AS24" s="60"/>
      <c r="AT24" s="60"/>
    </row>
    <row r="25" spans="2:46" ht="15" x14ac:dyDescent="0.2">
      <c r="B25" s="1">
        <v>11</v>
      </c>
      <c r="C25" s="1" t="s">
        <v>10</v>
      </c>
      <c r="D25" s="6">
        <v>10</v>
      </c>
      <c r="E25" s="6">
        <f t="shared" si="3"/>
        <v>0.37037037037037035</v>
      </c>
      <c r="F25" s="10">
        <f t="shared" si="4"/>
        <v>9.4250706880301596E-3</v>
      </c>
      <c r="G25" s="6">
        <f>$E$25</f>
        <v>0.37037037037037035</v>
      </c>
      <c r="H25" s="6">
        <f>$E$25</f>
        <v>0.37037037037037035</v>
      </c>
      <c r="I25" s="6">
        <f>$E$25</f>
        <v>0.37037037037037035</v>
      </c>
      <c r="J25" s="6">
        <f>$E$25</f>
        <v>0.37037037037037035</v>
      </c>
      <c r="K25" s="6">
        <f>$E$25</f>
        <v>0.37037037037037035</v>
      </c>
      <c r="L25" s="6">
        <v>0</v>
      </c>
      <c r="M25" s="6">
        <f t="shared" ref="M25:R25" si="38">$E$25</f>
        <v>0.37037037037037035</v>
      </c>
      <c r="N25" s="6">
        <f t="shared" si="38"/>
        <v>0.37037037037037035</v>
      </c>
      <c r="O25" s="6">
        <f t="shared" si="38"/>
        <v>0.37037037037037035</v>
      </c>
      <c r="P25" s="6">
        <f t="shared" si="38"/>
        <v>0.37037037037037035</v>
      </c>
      <c r="Q25" s="6">
        <f t="shared" si="38"/>
        <v>0.37037037037037035</v>
      </c>
      <c r="R25" s="6">
        <f t="shared" si="38"/>
        <v>0.37037037037037035</v>
      </c>
      <c r="S25" s="6">
        <v>0</v>
      </c>
      <c r="T25" s="6">
        <f t="shared" ref="T25:Y25" si="39">$E$25</f>
        <v>0.37037037037037035</v>
      </c>
      <c r="U25" s="6">
        <f t="shared" si="39"/>
        <v>0.37037037037037035</v>
      </c>
      <c r="V25" s="6">
        <f t="shared" si="39"/>
        <v>0.37037037037037035</v>
      </c>
      <c r="W25" s="6">
        <f t="shared" si="39"/>
        <v>0.37037037037037035</v>
      </c>
      <c r="X25" s="6">
        <f t="shared" si="39"/>
        <v>0.37037037037037035</v>
      </c>
      <c r="Y25" s="6">
        <f t="shared" si="39"/>
        <v>0.37037037037037035</v>
      </c>
      <c r="Z25" s="6">
        <v>0</v>
      </c>
      <c r="AA25" s="6">
        <f t="shared" ref="AA25:AF25" si="40">$E$25</f>
        <v>0.37037037037037035</v>
      </c>
      <c r="AB25" s="6">
        <f t="shared" si="40"/>
        <v>0.37037037037037035</v>
      </c>
      <c r="AC25" s="6">
        <f t="shared" si="40"/>
        <v>0.37037037037037035</v>
      </c>
      <c r="AD25" s="6">
        <f t="shared" si="40"/>
        <v>0.37037037037037035</v>
      </c>
      <c r="AE25" s="6">
        <f t="shared" si="40"/>
        <v>0.37037037037037035</v>
      </c>
      <c r="AF25" s="6">
        <f t="shared" si="40"/>
        <v>0.37037037037037035</v>
      </c>
      <c r="AG25" s="6">
        <v>0</v>
      </c>
      <c r="AH25" s="6">
        <f>$E$25</f>
        <v>0.37037037037037035</v>
      </c>
      <c r="AI25" s="6">
        <f>$E$25</f>
        <v>0.37037037037037035</v>
      </c>
      <c r="AJ25" s="6">
        <f>$E$25</f>
        <v>0.37037037037037035</v>
      </c>
      <c r="AK25" s="6">
        <f>$E$25</f>
        <v>0.37037037037037035</v>
      </c>
      <c r="AM25" s="40">
        <v>10</v>
      </c>
      <c r="AO25" s="5">
        <f t="shared" si="12"/>
        <v>9.9999999999999982</v>
      </c>
      <c r="AP25" s="10">
        <f>AO25/$AO$26</f>
        <v>9.4250706880301561E-3</v>
      </c>
      <c r="AR25" s="14"/>
      <c r="AS25" s="60"/>
      <c r="AT25" s="60"/>
    </row>
    <row r="26" spans="2:46" ht="15" x14ac:dyDescent="0.2">
      <c r="B26" s="1"/>
      <c r="C26" s="3" t="s">
        <v>17</v>
      </c>
      <c r="D26" s="5">
        <f t="shared" ref="D26:AK26" si="41">SUM(D15:D25)</f>
        <v>1061</v>
      </c>
      <c r="E26" s="5">
        <f t="shared" si="41"/>
        <v>39.296296296296298</v>
      </c>
      <c r="F26" s="15">
        <f t="shared" si="41"/>
        <v>0.99999999999999989</v>
      </c>
      <c r="G26" s="5">
        <f t="shared" si="41"/>
        <v>39.296296296296298</v>
      </c>
      <c r="H26" s="5">
        <f t="shared" si="41"/>
        <v>39.296296296296298</v>
      </c>
      <c r="I26" s="5">
        <f t="shared" si="41"/>
        <v>39.296296296296298</v>
      </c>
      <c r="J26" s="5">
        <f t="shared" si="41"/>
        <v>39.296296296296298</v>
      </c>
      <c r="K26" s="5">
        <f t="shared" si="41"/>
        <v>39.296296296296298</v>
      </c>
      <c r="L26" s="5">
        <f t="shared" si="41"/>
        <v>0</v>
      </c>
      <c r="M26" s="5">
        <f t="shared" si="41"/>
        <v>39.296296296296298</v>
      </c>
      <c r="N26" s="5">
        <f t="shared" si="41"/>
        <v>39.296296296296298</v>
      </c>
      <c r="O26" s="5">
        <f t="shared" si="41"/>
        <v>39.296296296296298</v>
      </c>
      <c r="P26" s="5">
        <f t="shared" si="41"/>
        <v>39.296296296296298</v>
      </c>
      <c r="Q26" s="5">
        <f t="shared" si="41"/>
        <v>39.296296296296298</v>
      </c>
      <c r="R26" s="5">
        <f t="shared" si="41"/>
        <v>39.296296296296298</v>
      </c>
      <c r="S26" s="5">
        <f t="shared" si="41"/>
        <v>0</v>
      </c>
      <c r="T26" s="5">
        <f t="shared" si="41"/>
        <v>39.296296296296298</v>
      </c>
      <c r="U26" s="5">
        <f t="shared" si="41"/>
        <v>39.296296296296298</v>
      </c>
      <c r="V26" s="5">
        <f t="shared" si="41"/>
        <v>39.296296296296298</v>
      </c>
      <c r="W26" s="5">
        <f t="shared" si="41"/>
        <v>39.296296296296298</v>
      </c>
      <c r="X26" s="5">
        <f t="shared" si="41"/>
        <v>39.296296296296298</v>
      </c>
      <c r="Y26" s="5">
        <f t="shared" si="41"/>
        <v>39.296296296296298</v>
      </c>
      <c r="Z26" s="5">
        <f t="shared" si="41"/>
        <v>0</v>
      </c>
      <c r="AA26" s="5">
        <f t="shared" si="41"/>
        <v>39.296296296296298</v>
      </c>
      <c r="AB26" s="5">
        <f t="shared" si="41"/>
        <v>39.296296296296298</v>
      </c>
      <c r="AC26" s="5">
        <f t="shared" si="41"/>
        <v>39.296296296296298</v>
      </c>
      <c r="AD26" s="5">
        <f t="shared" si="41"/>
        <v>39.296296296296298</v>
      </c>
      <c r="AE26" s="5">
        <f t="shared" si="41"/>
        <v>39.296296296296298</v>
      </c>
      <c r="AF26" s="5">
        <f t="shared" si="41"/>
        <v>39.296296296296298</v>
      </c>
      <c r="AG26" s="5">
        <f t="shared" si="41"/>
        <v>0</v>
      </c>
      <c r="AH26" s="5">
        <f t="shared" si="41"/>
        <v>39.296296296296298</v>
      </c>
      <c r="AI26" s="5">
        <f t="shared" si="41"/>
        <v>39.296296296296298</v>
      </c>
      <c r="AJ26" s="5">
        <f t="shared" si="41"/>
        <v>39.296296296296298</v>
      </c>
      <c r="AK26" s="5">
        <f t="shared" si="41"/>
        <v>39.296296296296298</v>
      </c>
      <c r="AL26" s="4"/>
      <c r="AM26" s="40">
        <f t="shared" ref="AM26" si="42">SUM(AM15:AM25)</f>
        <v>1061</v>
      </c>
      <c r="AN26" s="4"/>
      <c r="AO26" s="5">
        <f>SUM(AO15:AO25)</f>
        <v>1061.0000000000002</v>
      </c>
      <c r="AP26" s="9">
        <f>SUM(AP15:AP25)</f>
        <v>1</v>
      </c>
      <c r="AR26" s="14">
        <f>AO26-AM26</f>
        <v>0</v>
      </c>
      <c r="AS26" s="29"/>
      <c r="AT26" s="29"/>
    </row>
    <row r="27" spans="2:46" s="13" customFormat="1" ht="15" x14ac:dyDescent="0.2">
      <c r="B27" s="17"/>
      <c r="C27" s="18"/>
      <c r="D27" s="19"/>
      <c r="E27" s="19"/>
      <c r="F27" s="20"/>
      <c r="G27" s="19"/>
      <c r="H27" s="19"/>
      <c r="I27" s="19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6"/>
      <c r="AM27" s="71"/>
      <c r="AN27" s="16"/>
      <c r="AO27" s="19"/>
      <c r="AP27" s="21"/>
      <c r="AR27" s="14"/>
      <c r="AS27" s="29"/>
      <c r="AT27" s="29"/>
    </row>
    <row r="28" spans="2:46" s="58" customFormat="1" ht="15" x14ac:dyDescent="0.2">
      <c r="B28" s="55"/>
      <c r="C28" s="43" t="s">
        <v>27</v>
      </c>
      <c r="D28" s="56"/>
      <c r="E28" s="56"/>
      <c r="F28" s="57"/>
      <c r="G28" s="40">
        <f t="shared" ref="G28:AK28" si="43">G9-G26</f>
        <v>2.0637037037037089</v>
      </c>
      <c r="H28" s="40">
        <f t="shared" si="43"/>
        <v>2.0499537037037072</v>
      </c>
      <c r="I28" s="40">
        <f t="shared" si="43"/>
        <v>12.362453703703707</v>
      </c>
      <c r="J28" s="40">
        <f t="shared" si="43"/>
        <v>12.321203703703702</v>
      </c>
      <c r="K28" s="40">
        <f t="shared" si="43"/>
        <v>2.1599537037037067</v>
      </c>
      <c r="L28" s="40">
        <f t="shared" si="43"/>
        <v>0</v>
      </c>
      <c r="M28" s="40">
        <f t="shared" si="43"/>
        <v>24.366203703703711</v>
      </c>
      <c r="N28" s="40">
        <f t="shared" si="43"/>
        <v>2.9024537037036993</v>
      </c>
      <c r="O28" s="40">
        <f t="shared" si="43"/>
        <v>12.004953703703713</v>
      </c>
      <c r="P28" s="40">
        <f t="shared" si="43"/>
        <v>-6.5437962962962999</v>
      </c>
      <c r="Q28" s="40">
        <f t="shared" si="43"/>
        <v>-1.6350462962962951</v>
      </c>
      <c r="R28" s="40">
        <f t="shared" si="43"/>
        <v>18.701203703703712</v>
      </c>
      <c r="S28" s="40">
        <f t="shared" si="43"/>
        <v>0</v>
      </c>
      <c r="T28" s="40">
        <f t="shared" si="43"/>
        <v>-5.9387962962962959</v>
      </c>
      <c r="U28" s="40">
        <f t="shared" si="43"/>
        <v>-10.421296296296294</v>
      </c>
      <c r="V28" s="40">
        <f t="shared" si="43"/>
        <v>-3.2162962962962993</v>
      </c>
      <c r="W28" s="40">
        <f t="shared" si="43"/>
        <v>-7.6437962962962978</v>
      </c>
      <c r="X28" s="40">
        <f>X9-X26</f>
        <v>-12.992546296296293</v>
      </c>
      <c r="Y28" s="40">
        <f t="shared" si="43"/>
        <v>5.4462037037037021</v>
      </c>
      <c r="Z28" s="40">
        <f t="shared" si="43"/>
        <v>0</v>
      </c>
      <c r="AA28" s="40">
        <f t="shared" si="43"/>
        <v>5.3912037037037095</v>
      </c>
      <c r="AB28" s="40">
        <f t="shared" si="43"/>
        <v>-14.546296296296294</v>
      </c>
      <c r="AC28" s="40">
        <f t="shared" si="43"/>
        <v>-1.3737962962962911</v>
      </c>
      <c r="AD28" s="40">
        <f t="shared" si="43"/>
        <v>-6.2962962962962976</v>
      </c>
      <c r="AE28" s="40">
        <f t="shared" si="43"/>
        <v>2.5862037037037098</v>
      </c>
      <c r="AF28" s="40">
        <f t="shared" si="43"/>
        <v>17.683703703703706</v>
      </c>
      <c r="AG28" s="40">
        <f t="shared" si="43"/>
        <v>0</v>
      </c>
      <c r="AH28" s="40">
        <f t="shared" si="43"/>
        <v>-4.4537962962962965</v>
      </c>
      <c r="AI28" s="40">
        <f t="shared" si="43"/>
        <v>-14.532546296296296</v>
      </c>
      <c r="AJ28" s="40">
        <f t="shared" si="43"/>
        <v>-0.59004629629629335</v>
      </c>
      <c r="AK28" s="40">
        <f t="shared" si="43"/>
        <v>-1.937546296296297</v>
      </c>
      <c r="AL28" s="49"/>
      <c r="AM28" s="40"/>
      <c r="AN28" s="49"/>
      <c r="AO28" s="40">
        <f>SUM(G28:AK28)</f>
        <v>27.917500000000075</v>
      </c>
      <c r="AP28" s="51"/>
      <c r="AR28" s="61"/>
      <c r="AS28" s="62"/>
      <c r="AT28" s="62"/>
    </row>
    <row r="29" spans="2:46" s="13" customFormat="1" ht="15" x14ac:dyDescent="0.2">
      <c r="C29" s="16"/>
      <c r="D29" s="14"/>
      <c r="E29" s="14"/>
      <c r="F29" s="28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4"/>
      <c r="AM29" s="4"/>
      <c r="AN29" s="4"/>
      <c r="AO29" s="14"/>
      <c r="AP29" s="29"/>
    </row>
    <row r="30" spans="2:46" x14ac:dyDescent="0.2">
      <c r="D30" s="2">
        <f>D26*100/27.5</f>
        <v>3858.181818181818</v>
      </c>
      <c r="O30" s="7"/>
    </row>
    <row r="40" spans="22:22" x14ac:dyDescent="0.2">
      <c r="V40" s="7"/>
    </row>
  </sheetData>
  <sortState xmlns:xlrd2="http://schemas.microsoft.com/office/spreadsheetml/2017/richdata2" ref="C15:F25">
    <sortCondition descending="1" ref="F25"/>
  </sortState>
  <mergeCells count="1">
    <mergeCell ref="AM5:AM1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FR102"/>
  <sheetViews>
    <sheetView zoomScale="80" zoomScaleNormal="80" zoomScaleSheetLayoutView="80" workbookViewId="0">
      <pane xSplit="12" ySplit="13" topLeftCell="M14" activePane="bottomRight" state="frozen"/>
      <selection activeCell="BT4" sqref="BT4:BT5"/>
      <selection pane="topRight" activeCell="BT4" sqref="BT4:BT5"/>
      <selection pane="bottomLeft" activeCell="BT4" sqref="BT4:BT5"/>
      <selection pane="bottomRight" activeCell="BT4" sqref="BT4:BT5"/>
    </sheetView>
  </sheetViews>
  <sheetFormatPr defaultColWidth="9.125" defaultRowHeight="16.5" x14ac:dyDescent="0.2"/>
  <cols>
    <col min="1" max="1" width="1.75" style="1719" customWidth="1"/>
    <col min="2" max="2" width="4.75" style="1719" customWidth="1"/>
    <col min="3" max="3" width="59.75" style="1719" bestFit="1" customWidth="1"/>
    <col min="4" max="4" width="0.875" style="1923" customWidth="1"/>
    <col min="5" max="5" width="13.75" style="1719" bestFit="1" customWidth="1"/>
    <col min="6" max="9" width="10.875" style="1719" hidden="1" customWidth="1"/>
    <col min="10" max="10" width="10.875" style="1719" bestFit="1" customWidth="1"/>
    <col min="11" max="11" width="12" style="1719" bestFit="1" customWidth="1"/>
    <col min="12" max="12" width="0.875" style="1719" customWidth="1"/>
    <col min="13" max="13" width="0.875" style="1923" customWidth="1"/>
    <col min="14" max="20" width="8.875" style="1719" hidden="1" customWidth="1"/>
    <col min="21" max="21" width="0.875" style="1923" customWidth="1"/>
    <col min="22" max="22" width="10.125" style="1719" bestFit="1" customWidth="1"/>
    <col min="23" max="23" width="9.625" style="1719" bestFit="1" customWidth="1"/>
    <col min="24" max="24" width="9.375" style="1719" bestFit="1" customWidth="1"/>
    <col min="25" max="25" width="0.875" style="1923" customWidth="1"/>
    <col min="26" max="27" width="8.125" style="1719" hidden="1" customWidth="1"/>
    <col min="28" max="28" width="9.25" style="1719" hidden="1" customWidth="1"/>
    <col min="29" max="29" width="6" style="1719" hidden="1" customWidth="1"/>
    <col min="30" max="30" width="8.875" style="1719" hidden="1" customWidth="1"/>
    <col min="31" max="32" width="8.125" style="1719" hidden="1" customWidth="1"/>
    <col min="33" max="33" width="0.875" style="1923" customWidth="1"/>
    <col min="34" max="34" width="10.125" style="1719" bestFit="1" customWidth="1"/>
    <col min="35" max="36" width="9.375" style="1719" bestFit="1" customWidth="1"/>
    <col min="37" max="37" width="0.875" style="1923" customWidth="1"/>
    <col min="38" max="44" width="8.875" style="1719" hidden="1" customWidth="1"/>
    <col min="45" max="45" width="0.875" style="1923" customWidth="1"/>
    <col min="46" max="46" width="10.125" style="1719" bestFit="1" customWidth="1"/>
    <col min="47" max="47" width="9.625" style="1719" bestFit="1" customWidth="1"/>
    <col min="48" max="48" width="9.375" style="1719" bestFit="1" customWidth="1"/>
    <col min="49" max="49" width="0.875" style="1923" customWidth="1"/>
    <col min="50" max="50" width="9" style="1719" hidden="1" customWidth="1"/>
    <col min="51" max="55" width="8.875" style="1719" hidden="1" customWidth="1"/>
    <col min="56" max="56" width="9.125" style="1719" hidden="1" customWidth="1"/>
    <col min="57" max="57" width="0.875" style="1923" customWidth="1"/>
    <col min="58" max="58" width="10" style="1719" bestFit="1" customWidth="1"/>
    <col min="59" max="59" width="9.25" style="1719" bestFit="1" customWidth="1"/>
    <col min="60" max="60" width="9" style="1719" bestFit="1" customWidth="1"/>
    <col min="61" max="61" width="0.875" style="1719" customWidth="1"/>
    <col min="62" max="64" width="9" style="1719" hidden="1" customWidth="1"/>
    <col min="65" max="65" width="0.875" style="1719" customWidth="1"/>
    <col min="66" max="67" width="9.125" style="1719" customWidth="1"/>
    <col min="68" max="68" width="10" style="1719" bestFit="1" customWidth="1"/>
    <col min="69" max="69" width="0.875" style="1719" customWidth="1"/>
    <col min="70" max="71" width="10" style="1719" bestFit="1" customWidth="1"/>
    <col min="72" max="72" width="0.875" style="1719" customWidth="1"/>
    <col min="73" max="73" width="10.375" style="1719" bestFit="1" customWidth="1"/>
    <col min="74" max="74" width="10.25" style="1719" bestFit="1" customWidth="1"/>
    <col min="75" max="75" width="0.875" style="1923" customWidth="1"/>
    <col min="76" max="76" width="10.375" style="1719" bestFit="1" customWidth="1"/>
    <col min="77" max="77" width="1.875" style="1719" customWidth="1"/>
    <col min="78" max="78" width="12.25" style="1719" bestFit="1" customWidth="1"/>
    <col min="79" max="79" width="11.25" style="1719" bestFit="1" customWidth="1"/>
    <col min="80" max="80" width="13.125" style="1719" bestFit="1" customWidth="1"/>
    <col min="81" max="81" width="14.625" style="1719" bestFit="1" customWidth="1"/>
    <col min="82" max="82" width="12" style="1719" customWidth="1"/>
    <col min="83" max="83" width="12" style="1719" bestFit="1" customWidth="1"/>
    <col min="84" max="84" width="10.875" style="1719" customWidth="1"/>
    <col min="85" max="85" width="10" style="1719" bestFit="1" customWidth="1"/>
    <col min="86" max="86" width="13" style="1719" bestFit="1" customWidth="1"/>
    <col min="87" max="87" width="12" style="1719" bestFit="1" customWidth="1"/>
    <col min="88" max="88" width="12.125" style="1719" bestFit="1" customWidth="1"/>
    <col min="89" max="89" width="11" style="1719" bestFit="1" customWidth="1"/>
    <col min="90" max="91" width="9.125" style="1719" customWidth="1"/>
    <col min="92" max="16384" width="9.125" style="1719"/>
  </cols>
  <sheetData>
    <row r="1" spans="2:174" s="1726" customFormat="1" ht="18" x14ac:dyDescent="0.2">
      <c r="C1" s="4558" t="s">
        <v>196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535" t="s">
        <v>145</v>
      </c>
      <c r="BK1" s="4536"/>
      <c r="BL1" s="4537"/>
      <c r="BN1" s="4541" t="s">
        <v>146</v>
      </c>
      <c r="BO1" s="4542"/>
      <c r="BP1" s="4543"/>
      <c r="BR1" s="4613" t="s">
        <v>54</v>
      </c>
      <c r="BS1" s="4579" t="s">
        <v>61</v>
      </c>
      <c r="BU1" s="4582">
        <f>CA35/31</f>
        <v>1</v>
      </c>
      <c r="BV1" s="4583"/>
      <c r="BW1" s="4583"/>
      <c r="BX1" s="4584"/>
      <c r="BZ1" s="2454">
        <f>BU3/CA35*31</f>
        <v>19622.417000000001</v>
      </c>
      <c r="CA1" s="2455">
        <f>BZ1*30%</f>
        <v>5886.7251000000006</v>
      </c>
      <c r="CB1" s="2456">
        <f>CA1-E50</f>
        <v>2680.1917666666677</v>
      </c>
      <c r="CC1" s="2460">
        <f>CB1/3</f>
        <v>893.39725555555594</v>
      </c>
      <c r="CD1" s="4570"/>
      <c r="CE1" s="4566"/>
      <c r="CF1" s="4568"/>
      <c r="CH1" s="4570"/>
      <c r="CI1" s="4566"/>
      <c r="CJ1" s="4568"/>
    </row>
    <row r="2" spans="2:174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1721"/>
      <c r="N2" s="4575"/>
      <c r="O2" s="4576"/>
      <c r="P2" s="4576"/>
      <c r="Q2" s="4576"/>
      <c r="R2" s="4576"/>
      <c r="S2" s="4576"/>
      <c r="T2" s="4577"/>
      <c r="U2" s="2258"/>
      <c r="V2" s="4544"/>
      <c r="W2" s="4545"/>
      <c r="X2" s="4546"/>
      <c r="Y2" s="2258"/>
      <c r="Z2" s="4575"/>
      <c r="AA2" s="4576"/>
      <c r="AB2" s="4576"/>
      <c r="AC2" s="4576"/>
      <c r="AD2" s="4576"/>
      <c r="AE2" s="4576"/>
      <c r="AF2" s="4577"/>
      <c r="AG2" s="2258"/>
      <c r="AH2" s="4544"/>
      <c r="AI2" s="4545"/>
      <c r="AJ2" s="4546"/>
      <c r="AK2" s="2258"/>
      <c r="AL2" s="4575"/>
      <c r="AM2" s="4576"/>
      <c r="AN2" s="4576"/>
      <c r="AO2" s="4576"/>
      <c r="AP2" s="4576"/>
      <c r="AQ2" s="4576"/>
      <c r="AR2" s="4577"/>
      <c r="AS2" s="2258"/>
      <c r="AT2" s="4544"/>
      <c r="AU2" s="4545"/>
      <c r="AV2" s="4546"/>
      <c r="AW2" s="2258"/>
      <c r="AX2" s="4575"/>
      <c r="AY2" s="4576"/>
      <c r="AZ2" s="4576"/>
      <c r="BA2" s="4576"/>
      <c r="BB2" s="4576"/>
      <c r="BC2" s="4576"/>
      <c r="BD2" s="4577"/>
      <c r="BE2" s="2258"/>
      <c r="BF2" s="4544"/>
      <c r="BG2" s="4545"/>
      <c r="BH2" s="4546"/>
      <c r="BI2" s="1724"/>
      <c r="BJ2" s="4538"/>
      <c r="BK2" s="4539"/>
      <c r="BL2" s="4540"/>
      <c r="BM2" s="1724"/>
      <c r="BN2" s="4544"/>
      <c r="BO2" s="4545"/>
      <c r="BP2" s="4546"/>
      <c r="BR2" s="4614"/>
      <c r="BS2" s="4580"/>
      <c r="BU2" s="4585"/>
      <c r="BV2" s="4586"/>
      <c r="BW2" s="4586"/>
      <c r="BX2" s="4587"/>
      <c r="BZ2" s="2457">
        <f>BU6/CA35*31</f>
        <v>3585.55</v>
      </c>
      <c r="CA2" s="2458">
        <f>BZ2*30%</f>
        <v>1075.665</v>
      </c>
      <c r="CB2" s="2459">
        <f>CA2-E29</f>
        <v>236.61500000000001</v>
      </c>
      <c r="CC2" s="1755"/>
      <c r="CD2" s="4571"/>
      <c r="CE2" s="4567"/>
      <c r="CF2" s="4569"/>
      <c r="CG2" s="1725"/>
      <c r="CH2" s="4571"/>
      <c r="CI2" s="4567"/>
      <c r="CJ2" s="4569"/>
      <c r="CK2" s="1725"/>
    </row>
    <row r="3" spans="2:174" s="1726" customFormat="1" ht="17.25" customHeight="1" x14ac:dyDescent="0.2">
      <c r="C3" s="2259" t="s">
        <v>189</v>
      </c>
      <c r="D3" s="1727"/>
      <c r="E3" s="2260"/>
      <c r="F3" s="2260"/>
      <c r="G3" s="2260"/>
      <c r="H3" s="2260"/>
      <c r="I3" s="2260"/>
      <c r="J3" s="2261">
        <f>BU3</f>
        <v>19622.417000000001</v>
      </c>
      <c r="K3" s="2469">
        <f>BU3/31</f>
        <v>632.98119354838718</v>
      </c>
      <c r="L3" s="1730"/>
      <c r="M3" s="1731"/>
      <c r="N3" s="1732">
        <v>530</v>
      </c>
      <c r="O3" s="1732">
        <v>585.54999999999995</v>
      </c>
      <c r="P3" s="1732">
        <v>535</v>
      </c>
      <c r="Q3" s="1732">
        <v>630</v>
      </c>
      <c r="R3" s="1732">
        <v>585</v>
      </c>
      <c r="S3" s="1732">
        <v>591.85</v>
      </c>
      <c r="T3" s="1732">
        <v>799.60400000000004</v>
      </c>
      <c r="U3" s="1733"/>
      <c r="V3" s="2207">
        <f>SUM(N3:T3)</f>
        <v>4257.0039999999999</v>
      </c>
      <c r="W3" s="2275">
        <f>($J$50*100/30)*7</f>
        <v>2493.9703703703699</v>
      </c>
      <c r="X3" s="2277">
        <f>V3-W3</f>
        <v>1763.03362962963</v>
      </c>
      <c r="Y3" s="1737"/>
      <c r="Z3" s="1732">
        <v>627.99199999999996</v>
      </c>
      <c r="AA3" s="1732">
        <v>878.60500000000002</v>
      </c>
      <c r="AB3" s="1732">
        <v>1022.55</v>
      </c>
      <c r="AC3" s="2265">
        <v>0</v>
      </c>
      <c r="AD3" s="1732">
        <v>486.5</v>
      </c>
      <c r="AE3" s="1732">
        <v>628.4</v>
      </c>
      <c r="AF3" s="1732">
        <v>434.8</v>
      </c>
      <c r="AG3" s="1738"/>
      <c r="AH3" s="2207">
        <f>SUM(Z3:AF3)</f>
        <v>4078.8470000000002</v>
      </c>
      <c r="AI3" s="2275">
        <f>($J$50*100/30)*6</f>
        <v>2137.6888888888884</v>
      </c>
      <c r="AJ3" s="2277">
        <f>AH3-AI3</f>
        <v>1941.1581111111118</v>
      </c>
      <c r="AK3" s="1738"/>
      <c r="AL3" s="1732">
        <v>864.06</v>
      </c>
      <c r="AM3" s="1732">
        <v>520</v>
      </c>
      <c r="AN3" s="1732">
        <v>747.7</v>
      </c>
      <c r="AO3" s="1732">
        <v>603.95000000000005</v>
      </c>
      <c r="AP3" s="1732">
        <v>764.08</v>
      </c>
      <c r="AQ3" s="1732">
        <v>637.91</v>
      </c>
      <c r="AR3" s="1732">
        <v>489.048</v>
      </c>
      <c r="AS3" s="2205"/>
      <c r="AT3" s="2207">
        <f>SUM(AL3:AR3)</f>
        <v>4626.7479999999996</v>
      </c>
      <c r="AU3" s="2275">
        <f>($J$50*100/30)*7</f>
        <v>2493.9703703703699</v>
      </c>
      <c r="AV3" s="2277">
        <f>AT3-AU3</f>
        <v>2132.7776296296297</v>
      </c>
      <c r="AW3" s="2205"/>
      <c r="AX3" s="1732">
        <v>495.09800000000001</v>
      </c>
      <c r="AY3" s="1732">
        <v>644.72500000000002</v>
      </c>
      <c r="AZ3" s="1732">
        <v>896.35</v>
      </c>
      <c r="BA3" s="1732">
        <v>491.05</v>
      </c>
      <c r="BB3" s="1732">
        <v>687.05</v>
      </c>
      <c r="BC3" s="1732">
        <v>808.98199999999997</v>
      </c>
      <c r="BD3" s="1732">
        <v>602</v>
      </c>
      <c r="BE3" s="2205"/>
      <c r="BF3" s="2207">
        <f>SUM(AX3:BD3)</f>
        <v>4625.2550000000001</v>
      </c>
      <c r="BG3" s="2275">
        <f>($J$50*100/30)*7</f>
        <v>2493.9703703703699</v>
      </c>
      <c r="BH3" s="2277">
        <f>BF3-BG3</f>
        <v>2131.2846296296302</v>
      </c>
      <c r="BI3" s="1861"/>
      <c r="BJ3" s="1732">
        <v>632.048</v>
      </c>
      <c r="BK3" s="1732">
        <v>718.95</v>
      </c>
      <c r="BL3" s="1732">
        <v>683.56500000000005</v>
      </c>
      <c r="BM3" s="1861"/>
      <c r="BN3" s="2207">
        <f>SUM(BJ3:BL3)</f>
        <v>2034.5630000000001</v>
      </c>
      <c r="BO3" s="2275">
        <f>($J$50*100/30)*3</f>
        <v>1068.8444444444442</v>
      </c>
      <c r="BP3" s="2277">
        <f>BN3-BO3</f>
        <v>965.71855555555589</v>
      </c>
      <c r="BR3" s="4614"/>
      <c r="BS3" s="4580"/>
      <c r="BU3" s="2345">
        <f>SUM(N3:T3)+SUM(Z3:AF3)+SUM(AL3:AR3)+SUM(AX3:BD3)+SUM(BJ3:BL3)</f>
        <v>19622.417000000001</v>
      </c>
      <c r="BV3" s="2346">
        <f>BU3/BZ3</f>
        <v>1.8358533930724776</v>
      </c>
      <c r="BW3" s="1997"/>
      <c r="BX3" s="2347">
        <f>BU3/CA35*30</f>
        <v>18989.435806451616</v>
      </c>
      <c r="BY3" s="1740"/>
      <c r="BZ3" s="2327">
        <f>C50</f>
        <v>10688.444444444442</v>
      </c>
      <c r="CA3" s="2328">
        <f>BZ3-BU3</f>
        <v>-8933.9725555555597</v>
      </c>
      <c r="CB3" s="2329" t="e">
        <f>CA3/CA42</f>
        <v>#DIV/0!</v>
      </c>
      <c r="CC3" s="1741"/>
      <c r="CD3" s="2333"/>
      <c r="CE3" s="2334"/>
      <c r="CF3" s="2335"/>
      <c r="CG3" s="1742"/>
      <c r="CH3" s="2333"/>
      <c r="CI3" s="2334"/>
      <c r="CJ3" s="2335"/>
      <c r="CK3" s="1742"/>
    </row>
    <row r="4" spans="2:174" ht="17.25" customHeight="1" thickBot="1" x14ac:dyDescent="0.25">
      <c r="C4" s="1743" t="s">
        <v>210</v>
      </c>
      <c r="D4" s="1744"/>
      <c r="E4" s="1745"/>
      <c r="F4" s="1745"/>
      <c r="G4" s="1745"/>
      <c r="H4" s="1745"/>
      <c r="I4" s="1745"/>
      <c r="J4" s="1746">
        <f>BU4</f>
        <v>5888.0601000000006</v>
      </c>
      <c r="K4" s="2382">
        <f>BU9</f>
        <v>893.84225555555543</v>
      </c>
      <c r="L4" s="1720"/>
      <c r="M4" s="1721"/>
      <c r="N4" s="1747">
        <v>163</v>
      </c>
      <c r="O4" s="1747">
        <v>173</v>
      </c>
      <c r="P4" s="1747">
        <f>P3*30%</f>
        <v>160.5</v>
      </c>
      <c r="Q4" s="1747">
        <f>Q3*30%</f>
        <v>189</v>
      </c>
      <c r="R4" s="1747">
        <f>R3*30%</f>
        <v>175.5</v>
      </c>
      <c r="S4" s="1747">
        <f t="shared" ref="S4:T4" si="0">S3*30%</f>
        <v>177.55500000000001</v>
      </c>
      <c r="T4" s="1747">
        <f t="shared" si="0"/>
        <v>239.88120000000001</v>
      </c>
      <c r="U4" s="1748"/>
      <c r="V4" s="2021">
        <f>SUM(N4:T4)</f>
        <v>1278.4362000000001</v>
      </c>
      <c r="W4" s="1786">
        <f>W3*30%</f>
        <v>748.1911111111109</v>
      </c>
      <c r="X4" s="2278">
        <f>X3*30%</f>
        <v>528.91008888888894</v>
      </c>
      <c r="Y4" s="1722"/>
      <c r="Z4" s="1747">
        <f t="shared" ref="Z4:AB4" si="1">Z3*30%</f>
        <v>188.39759999999998</v>
      </c>
      <c r="AA4" s="1747">
        <f t="shared" si="1"/>
        <v>263.58150000000001</v>
      </c>
      <c r="AB4" s="1747">
        <f t="shared" si="1"/>
        <v>306.76499999999999</v>
      </c>
      <c r="AC4" s="2264">
        <f t="shared" ref="AC4:AF4" si="2">AC3*30%</f>
        <v>0</v>
      </c>
      <c r="AD4" s="1747">
        <f t="shared" si="2"/>
        <v>145.94999999999999</v>
      </c>
      <c r="AE4" s="1747">
        <f t="shared" si="2"/>
        <v>188.51999999999998</v>
      </c>
      <c r="AF4" s="1747">
        <f t="shared" si="2"/>
        <v>130.44</v>
      </c>
      <c r="AG4" s="1723"/>
      <c r="AH4" s="2021">
        <f>SUM(Z4:AF4)</f>
        <v>1223.6541</v>
      </c>
      <c r="AI4" s="1786">
        <f>AI3*30%</f>
        <v>641.3066666666665</v>
      </c>
      <c r="AJ4" s="2278">
        <f>AJ3*30%</f>
        <v>582.34743333333347</v>
      </c>
      <c r="AK4" s="1723"/>
      <c r="AL4" s="1747">
        <f t="shared" ref="AL4:AO4" si="3">AL3*30%</f>
        <v>259.21799999999996</v>
      </c>
      <c r="AM4" s="1747">
        <f t="shared" si="3"/>
        <v>156</v>
      </c>
      <c r="AN4" s="1747">
        <f t="shared" si="3"/>
        <v>224.31</v>
      </c>
      <c r="AO4" s="1747">
        <f t="shared" si="3"/>
        <v>181.185</v>
      </c>
      <c r="AP4" s="1747">
        <f t="shared" ref="AP4:AR4" si="4">AP3*30%</f>
        <v>229.22400000000002</v>
      </c>
      <c r="AQ4" s="1747">
        <f t="shared" si="4"/>
        <v>191.37299999999999</v>
      </c>
      <c r="AR4" s="1747">
        <f t="shared" si="4"/>
        <v>146.71439999999998</v>
      </c>
      <c r="AS4" s="2039"/>
      <c r="AT4" s="2021">
        <f>SUM(AL4:AR4)</f>
        <v>1388.0244</v>
      </c>
      <c r="AU4" s="1786">
        <f>AU3*30%</f>
        <v>748.1911111111109</v>
      </c>
      <c r="AV4" s="2278">
        <f>AV3*30%</f>
        <v>639.83328888888889</v>
      </c>
      <c r="AW4" s="2039"/>
      <c r="AX4" s="1747">
        <f t="shared" ref="AX4:AY4" si="5">AX3*30%</f>
        <v>148.52940000000001</v>
      </c>
      <c r="AY4" s="1747">
        <f t="shared" si="5"/>
        <v>193.41749999999999</v>
      </c>
      <c r="AZ4" s="1747">
        <f t="shared" ref="AZ4:BA4" si="6">AZ3*30%</f>
        <v>268.90499999999997</v>
      </c>
      <c r="BA4" s="1747">
        <f t="shared" si="6"/>
        <v>147.315</v>
      </c>
      <c r="BB4" s="1747">
        <f t="shared" ref="BB4:BC4" si="7">BB3*30%</f>
        <v>206.11499999999998</v>
      </c>
      <c r="BC4" s="1747">
        <f t="shared" si="7"/>
        <v>242.69459999999998</v>
      </c>
      <c r="BD4" s="1747">
        <f t="shared" ref="BD4" si="8">BD3*30%</f>
        <v>180.6</v>
      </c>
      <c r="BE4" s="2039"/>
      <c r="BF4" s="2021">
        <f>SUM(AX4:BD4)</f>
        <v>1387.5764999999999</v>
      </c>
      <c r="BG4" s="1786">
        <f>BG3*30%</f>
        <v>748.1911111111109</v>
      </c>
      <c r="BH4" s="2278">
        <f>BH3*30%</f>
        <v>639.385388888889</v>
      </c>
      <c r="BI4" s="1994"/>
      <c r="BJ4" s="1747">
        <f t="shared" ref="BJ4:BK4" si="9">BJ3*30%</f>
        <v>189.61439999999999</v>
      </c>
      <c r="BK4" s="1747">
        <f t="shared" si="9"/>
        <v>215.685</v>
      </c>
      <c r="BL4" s="1747">
        <f t="shared" ref="BL4" si="10">BL3*30%</f>
        <v>205.06950000000001</v>
      </c>
      <c r="BM4" s="1994"/>
      <c r="BN4" s="2021">
        <f>SUM(BJ4:BL4)</f>
        <v>610.36889999999994</v>
      </c>
      <c r="BO4" s="1786">
        <f>BO3*30%</f>
        <v>320.65333333333325</v>
      </c>
      <c r="BP4" s="2278">
        <f>BP3*30%</f>
        <v>289.71556666666675</v>
      </c>
      <c r="BR4" s="4614"/>
      <c r="BS4" s="4580"/>
      <c r="BU4" s="2326">
        <f>SUM(N4:T4)+SUM(Z4:AF4)+SUM(AL4:AR4)+SUM(AX4:BD4)+SUM(BJ4:BL4)</f>
        <v>5888.0601000000006</v>
      </c>
      <c r="BV4" s="2022">
        <f>BU4/E50</f>
        <v>1.8362697305501272</v>
      </c>
      <c r="BW4" s="1993"/>
      <c r="BX4" s="2342">
        <f>BX3-BZ1</f>
        <v>-632.98119354838491</v>
      </c>
      <c r="BY4" s="1754"/>
      <c r="BZ4" s="2330">
        <f>BU4-E50</f>
        <v>2681.5267666666678</v>
      </c>
      <c r="CA4" s="2331" t="e">
        <f>BZ4/CA42</f>
        <v>#DIV/0!</v>
      </c>
      <c r="CB4" s="2332" t="e">
        <f>CA4*100/30</f>
        <v>#DIV/0!</v>
      </c>
      <c r="CC4" s="1755"/>
      <c r="CD4" s="2336"/>
      <c r="CE4" s="2337"/>
      <c r="CF4" s="2338"/>
      <c r="CG4" s="1725"/>
      <c r="CH4" s="2336"/>
      <c r="CI4" s="2337"/>
      <c r="CJ4" s="2338"/>
      <c r="CK4" s="1725"/>
    </row>
    <row r="5" spans="2:174" s="1923" customFormat="1" ht="5.25" customHeight="1" thickBot="1" x14ac:dyDescent="0.25">
      <c r="C5" s="2273"/>
      <c r="D5" s="1800"/>
      <c r="E5" s="1804"/>
      <c r="F5" s="1804"/>
      <c r="G5" s="1804"/>
      <c r="H5" s="1804"/>
      <c r="I5" s="1804"/>
      <c r="J5" s="1803"/>
      <c r="K5" s="2272"/>
      <c r="L5" s="1721"/>
      <c r="M5" s="1721"/>
      <c r="N5" s="2026"/>
      <c r="O5" s="2026"/>
      <c r="P5" s="2026"/>
      <c r="Q5" s="2026"/>
      <c r="R5" s="2026"/>
      <c r="S5" s="2026"/>
      <c r="T5" s="2026"/>
      <c r="U5" s="1994"/>
      <c r="V5" s="2269"/>
      <c r="W5" s="1801"/>
      <c r="X5" s="2269"/>
      <c r="Y5" s="2258"/>
      <c r="Z5" s="2026"/>
      <c r="AA5" s="2026"/>
      <c r="AB5" s="2026"/>
      <c r="AC5" s="1803"/>
      <c r="AD5" s="2026"/>
      <c r="AE5" s="2026"/>
      <c r="AF5" s="2026"/>
      <c r="AG5" s="2258"/>
      <c r="AH5" s="2269"/>
      <c r="AI5" s="1801"/>
      <c r="AJ5" s="2269"/>
      <c r="AK5" s="2258"/>
      <c r="AL5" s="2026"/>
      <c r="AM5" s="2026"/>
      <c r="AN5" s="2026"/>
      <c r="AO5" s="2026"/>
      <c r="AP5" s="2026"/>
      <c r="AQ5" s="2026"/>
      <c r="AR5" s="2026"/>
      <c r="AS5" s="1994"/>
      <c r="AT5" s="2269"/>
      <c r="AU5" s="1801"/>
      <c r="AV5" s="2269"/>
      <c r="AW5" s="1994"/>
      <c r="AX5" s="2026"/>
      <c r="AY5" s="2026"/>
      <c r="AZ5" s="2026"/>
      <c r="BA5" s="2026"/>
      <c r="BB5" s="2026"/>
      <c r="BC5" s="2026"/>
      <c r="BD5" s="2026"/>
      <c r="BE5" s="1994"/>
      <c r="BF5" s="2269"/>
      <c r="BG5" s="1801"/>
      <c r="BH5" s="2269"/>
      <c r="BI5" s="1994"/>
      <c r="BJ5" s="2026"/>
      <c r="BK5" s="2023"/>
      <c r="BL5" s="2023"/>
      <c r="BM5" s="1994"/>
      <c r="BN5" s="2269"/>
      <c r="BO5" s="1801"/>
      <c r="BP5" s="2269"/>
      <c r="BR5" s="4614"/>
      <c r="BS5" s="4580"/>
      <c r="BU5" s="1805"/>
      <c r="BV5" s="1993"/>
      <c r="BW5" s="1993"/>
      <c r="BX5" s="2325"/>
      <c r="BY5" s="1994"/>
      <c r="BZ5" s="2270"/>
      <c r="CA5" s="2270"/>
      <c r="CB5" s="2270"/>
      <c r="CC5" s="1755"/>
      <c r="CD5" s="2271"/>
      <c r="CE5" s="2271"/>
      <c r="CF5" s="2271"/>
      <c r="CG5" s="1725"/>
      <c r="CH5" s="2271"/>
      <c r="CI5" s="2271"/>
      <c r="CJ5" s="2271"/>
      <c r="CK5" s="1725"/>
    </row>
    <row r="6" spans="2:174" s="1756" customFormat="1" ht="17.25" customHeight="1" x14ac:dyDescent="0.2">
      <c r="C6" s="1757" t="s">
        <v>185</v>
      </c>
      <c r="D6" s="1727"/>
      <c r="E6" s="1758"/>
      <c r="F6" s="1758"/>
      <c r="G6" s="1758"/>
      <c r="H6" s="1758"/>
      <c r="I6" s="1758"/>
      <c r="J6" s="1759">
        <f>BU6</f>
        <v>3585.55</v>
      </c>
      <c r="K6" s="2470">
        <f>J6/CA35*31/31*13/7</f>
        <v>214.802534562212</v>
      </c>
      <c r="L6" s="1760"/>
      <c r="M6" s="1761"/>
      <c r="N6" s="1735">
        <v>142</v>
      </c>
      <c r="O6" s="1735">
        <v>0</v>
      </c>
      <c r="P6" s="1735">
        <v>120</v>
      </c>
      <c r="Q6" s="1735">
        <v>84.7</v>
      </c>
      <c r="R6" s="1735">
        <v>99.85</v>
      </c>
      <c r="S6" s="1735">
        <v>184.75</v>
      </c>
      <c r="T6" s="1735">
        <v>109.7</v>
      </c>
      <c r="U6" s="1762"/>
      <c r="V6" s="1771">
        <f>SUM(N6:T6)</f>
        <v>741</v>
      </c>
      <c r="W6" s="2275">
        <f>($J$29*100/30)*6</f>
        <v>671.2399999999999</v>
      </c>
      <c r="X6" s="2276">
        <f>V6-W6</f>
        <v>69.760000000000105</v>
      </c>
      <c r="Y6" s="1764"/>
      <c r="Z6" s="1735">
        <v>217.9</v>
      </c>
      <c r="AA6" s="1735">
        <v>231.4</v>
      </c>
      <c r="AB6" s="1735">
        <v>432.6</v>
      </c>
      <c r="AC6" s="2265">
        <v>0</v>
      </c>
      <c r="AD6" s="1735">
        <v>64</v>
      </c>
      <c r="AE6" s="2265">
        <v>0</v>
      </c>
      <c r="AF6" s="1735">
        <v>164.85</v>
      </c>
      <c r="AG6" s="1765"/>
      <c r="AH6" s="1771">
        <f>SUM(Z6:AF6)</f>
        <v>1110.75</v>
      </c>
      <c r="AI6" s="2275">
        <f>($J$29*100/30)*5</f>
        <v>559.36666666666656</v>
      </c>
      <c r="AJ6" s="2276">
        <f>AH6-AI6</f>
        <v>551.38333333333344</v>
      </c>
      <c r="AK6" s="1765"/>
      <c r="AL6" s="1735">
        <v>161.6</v>
      </c>
      <c r="AM6" s="2265">
        <v>0</v>
      </c>
      <c r="AN6" s="1735">
        <v>151.69999999999999</v>
      </c>
      <c r="AO6" s="1735">
        <v>124.7</v>
      </c>
      <c r="AP6" s="1735">
        <v>123.4</v>
      </c>
      <c r="AQ6" s="1735">
        <v>103.25</v>
      </c>
      <c r="AR6" s="1735">
        <v>98.5</v>
      </c>
      <c r="AS6" s="2287"/>
      <c r="AT6" s="1771">
        <f>SUM(AL6:AR6)</f>
        <v>763.15</v>
      </c>
      <c r="AU6" s="2275">
        <f>($J$29*100/30)*6</f>
        <v>671.2399999999999</v>
      </c>
      <c r="AV6" s="2276">
        <f>AT6-AU6</f>
        <v>91.910000000000082</v>
      </c>
      <c r="AW6" s="2287"/>
      <c r="AX6" s="1735">
        <v>126.55</v>
      </c>
      <c r="AY6" s="2265">
        <v>0</v>
      </c>
      <c r="AZ6" s="1735">
        <v>204.2</v>
      </c>
      <c r="BA6" s="1735">
        <v>122</v>
      </c>
      <c r="BB6" s="1735">
        <v>156.5</v>
      </c>
      <c r="BC6" s="1735">
        <v>69.5</v>
      </c>
      <c r="BD6" s="1735">
        <v>81.599999999999994</v>
      </c>
      <c r="BE6" s="2287"/>
      <c r="BF6" s="1771">
        <f>SUM(AX6:BD6)</f>
        <v>760.35</v>
      </c>
      <c r="BG6" s="2275">
        <f>($J$29*100/30)*6</f>
        <v>671.2399999999999</v>
      </c>
      <c r="BH6" s="2276">
        <f>BF6-BG6</f>
        <v>89.110000000000127</v>
      </c>
      <c r="BI6" s="1814"/>
      <c r="BJ6" s="1735">
        <v>108.05</v>
      </c>
      <c r="BK6" s="2265">
        <v>0</v>
      </c>
      <c r="BL6" s="1735">
        <v>102.25</v>
      </c>
      <c r="BM6" s="1814"/>
      <c r="BN6" s="1771">
        <f>SUM(BJ6:BL6)</f>
        <v>210.3</v>
      </c>
      <c r="BO6" s="2275">
        <f>($J$29*100/30)*2</f>
        <v>223.74666666666664</v>
      </c>
      <c r="BP6" s="2276">
        <f>BN6-BO6</f>
        <v>-13.44666666666663</v>
      </c>
      <c r="BQ6" s="1767"/>
      <c r="BR6" s="4614"/>
      <c r="BS6" s="4580"/>
      <c r="BT6" s="1767"/>
      <c r="BU6" s="1771">
        <f>SUM(N6:T6)+SUM(Z6:AF6)+SUM(AL6:AR6)+SUM(AX6:BD6)+SUM(BJ6:BL6)</f>
        <v>3585.55</v>
      </c>
      <c r="BV6" s="2340">
        <f>BU6/BZ6</f>
        <v>1.2820034562898517</v>
      </c>
      <c r="BW6" s="1830"/>
      <c r="BX6" s="2343">
        <f>BU6/CA35*26</f>
        <v>3007.235483870968</v>
      </c>
      <c r="BY6" s="1770"/>
      <c r="BZ6" s="1771">
        <f>C29</f>
        <v>2796.8333333333335</v>
      </c>
      <c r="CA6" s="1772">
        <f>BZ6-BU6</f>
        <v>-788.7166666666667</v>
      </c>
      <c r="CB6" s="1773" t="e">
        <f>CA6/CA42</f>
        <v>#DIV/0!</v>
      </c>
      <c r="CC6" s="1774"/>
      <c r="CD6" s="1771"/>
      <c r="CE6" s="1772"/>
      <c r="CF6" s="1773"/>
      <c r="CG6" s="1775"/>
      <c r="CH6" s="1771"/>
      <c r="CI6" s="1772"/>
      <c r="CJ6" s="1773"/>
      <c r="CK6" s="1775"/>
      <c r="CL6" s="1776"/>
      <c r="CM6" s="1776"/>
      <c r="CN6" s="1776"/>
      <c r="CO6" s="1776"/>
      <c r="CP6" s="1776"/>
      <c r="CQ6" s="1776"/>
      <c r="CR6" s="1776"/>
      <c r="CS6" s="1776"/>
      <c r="CT6" s="1776"/>
      <c r="CU6" s="1776"/>
      <c r="CV6" s="1776"/>
      <c r="CW6" s="1776"/>
      <c r="CX6" s="1776"/>
      <c r="CY6" s="1776"/>
      <c r="CZ6" s="1776"/>
      <c r="DA6" s="1776"/>
      <c r="DB6" s="1776"/>
      <c r="DC6" s="1776"/>
      <c r="DD6" s="1776"/>
      <c r="DE6" s="1776"/>
      <c r="DF6" s="1776"/>
      <c r="DG6" s="1776"/>
      <c r="DH6" s="1776"/>
      <c r="DI6" s="1776"/>
      <c r="DJ6" s="1776"/>
      <c r="DK6" s="1776"/>
      <c r="DL6" s="1776"/>
      <c r="DM6" s="1776"/>
      <c r="DN6" s="1776"/>
      <c r="DO6" s="1776"/>
      <c r="DP6" s="1776"/>
      <c r="DQ6" s="1776"/>
      <c r="DR6" s="1776"/>
      <c r="DS6" s="1776"/>
      <c r="DT6" s="1776"/>
      <c r="DU6" s="1776"/>
      <c r="DV6" s="1776"/>
      <c r="DW6" s="1776"/>
      <c r="DX6" s="1776"/>
      <c r="DY6" s="1776"/>
      <c r="DZ6" s="1776"/>
      <c r="EA6" s="1776"/>
      <c r="EB6" s="1776"/>
      <c r="EC6" s="1776"/>
      <c r="ED6" s="1776"/>
      <c r="EE6" s="1776"/>
      <c r="EF6" s="1776"/>
      <c r="EG6" s="1776"/>
      <c r="EH6" s="1776"/>
      <c r="EI6" s="1776"/>
      <c r="EJ6" s="1776"/>
      <c r="EK6" s="1776"/>
      <c r="EL6" s="1776"/>
      <c r="EM6" s="1776"/>
      <c r="EN6" s="1776"/>
      <c r="EO6" s="1776"/>
      <c r="EP6" s="1776"/>
      <c r="EQ6" s="1776"/>
      <c r="ER6" s="1776"/>
      <c r="ES6" s="1776"/>
      <c r="ET6" s="1776"/>
      <c r="EU6" s="1776"/>
      <c r="EV6" s="1776"/>
      <c r="EW6" s="1776"/>
      <c r="EX6" s="1776"/>
      <c r="EY6" s="1776"/>
      <c r="EZ6" s="1776"/>
      <c r="FA6" s="1776"/>
      <c r="FB6" s="1776"/>
      <c r="FC6" s="1776"/>
      <c r="FD6" s="1776"/>
      <c r="FE6" s="1776"/>
      <c r="FF6" s="1776"/>
      <c r="FG6" s="1776"/>
      <c r="FH6" s="1776"/>
      <c r="FI6" s="1776"/>
      <c r="FJ6" s="1776"/>
      <c r="FK6" s="1776"/>
      <c r="FL6" s="1776"/>
      <c r="FM6" s="1776"/>
      <c r="FN6" s="1776"/>
      <c r="FO6" s="1776"/>
      <c r="FP6" s="1776"/>
      <c r="FQ6" s="1776"/>
      <c r="FR6" s="1776"/>
    </row>
    <row r="7" spans="2:174" s="1777" customFormat="1" ht="17.25" customHeight="1" thickBot="1" x14ac:dyDescent="0.25">
      <c r="C7" s="1778" t="s">
        <v>176</v>
      </c>
      <c r="D7" s="1744"/>
      <c r="E7" s="1779"/>
      <c r="F7" s="1779"/>
      <c r="G7" s="1779"/>
      <c r="H7" s="1779"/>
      <c r="I7" s="1779"/>
      <c r="J7" s="1780">
        <f>BU7</f>
        <v>1075.665</v>
      </c>
      <c r="K7" s="1781">
        <f>X7+AJ7+AV7+BH7+BP7</f>
        <v>236.61500000000009</v>
      </c>
      <c r="L7" s="1782"/>
      <c r="M7" s="1783"/>
      <c r="N7" s="1750">
        <f>N6*30%</f>
        <v>42.6</v>
      </c>
      <c r="O7" s="1750">
        <f>O6*30%</f>
        <v>0</v>
      </c>
      <c r="P7" s="1750">
        <f>P6*30%</f>
        <v>36</v>
      </c>
      <c r="Q7" s="1750">
        <f>Q6*30%</f>
        <v>25.41</v>
      </c>
      <c r="R7" s="1750">
        <f t="shared" ref="R7:T7" si="11">R6*30%</f>
        <v>29.954999999999998</v>
      </c>
      <c r="S7" s="1750">
        <f t="shared" si="11"/>
        <v>55.424999999999997</v>
      </c>
      <c r="T7" s="1750">
        <f t="shared" si="11"/>
        <v>32.909999999999997</v>
      </c>
      <c r="U7" s="1784"/>
      <c r="V7" s="1785">
        <f>SUM(N7:T7)</f>
        <v>222.29999999999998</v>
      </c>
      <c r="W7" s="1786">
        <f>W6*30%</f>
        <v>201.37199999999996</v>
      </c>
      <c r="X7" s="1787">
        <f>X6*30%</f>
        <v>20.928000000000029</v>
      </c>
      <c r="Y7" s="1788"/>
      <c r="Z7" s="1750">
        <f t="shared" ref="Z7:AB7" si="12">Z6*30%</f>
        <v>65.37</v>
      </c>
      <c r="AA7" s="1750">
        <f t="shared" si="12"/>
        <v>69.42</v>
      </c>
      <c r="AB7" s="1750">
        <f t="shared" si="12"/>
        <v>129.78</v>
      </c>
      <c r="AC7" s="2264">
        <f t="shared" ref="AC7:AF7" si="13">AC6*30%</f>
        <v>0</v>
      </c>
      <c r="AD7" s="1750">
        <f t="shared" si="13"/>
        <v>19.2</v>
      </c>
      <c r="AE7" s="2264">
        <f t="shared" si="13"/>
        <v>0</v>
      </c>
      <c r="AF7" s="1750">
        <f t="shared" si="13"/>
        <v>49.454999999999998</v>
      </c>
      <c r="AG7" s="1789"/>
      <c r="AH7" s="1785">
        <f>SUM(Z7:AF7)</f>
        <v>333.22500000000002</v>
      </c>
      <c r="AI7" s="1786">
        <f>AI6*30%</f>
        <v>167.80999999999997</v>
      </c>
      <c r="AJ7" s="1787">
        <f>AJ6*30%</f>
        <v>165.41500000000002</v>
      </c>
      <c r="AK7" s="1789"/>
      <c r="AL7" s="1750">
        <f t="shared" ref="AL7:AO7" si="14">AL6*30%</f>
        <v>48.48</v>
      </c>
      <c r="AM7" s="2264">
        <f t="shared" si="14"/>
        <v>0</v>
      </c>
      <c r="AN7" s="1750">
        <f t="shared" si="14"/>
        <v>45.51</v>
      </c>
      <c r="AO7" s="1750">
        <f t="shared" si="14"/>
        <v>37.409999999999997</v>
      </c>
      <c r="AP7" s="1750">
        <f t="shared" ref="AP7:AR7" si="15">AP6*30%</f>
        <v>37.020000000000003</v>
      </c>
      <c r="AQ7" s="1750">
        <f t="shared" si="15"/>
        <v>30.974999999999998</v>
      </c>
      <c r="AR7" s="1750">
        <f t="shared" si="15"/>
        <v>29.549999999999997</v>
      </c>
      <c r="AS7" s="2288"/>
      <c r="AT7" s="1785">
        <f>SUM(AL7:AR7)</f>
        <v>228.94499999999999</v>
      </c>
      <c r="AU7" s="1786">
        <f>AU6*30%</f>
        <v>201.37199999999996</v>
      </c>
      <c r="AV7" s="1787">
        <f>AT7-AU7</f>
        <v>27.573000000000036</v>
      </c>
      <c r="AW7" s="2288"/>
      <c r="AX7" s="1750">
        <f t="shared" ref="AX7:AY7" si="16">AX6*30%</f>
        <v>37.964999999999996</v>
      </c>
      <c r="AY7" s="2264">
        <f t="shared" si="16"/>
        <v>0</v>
      </c>
      <c r="AZ7" s="1750">
        <f t="shared" ref="AZ7:BA7" si="17">AZ6*30%</f>
        <v>61.259999999999991</v>
      </c>
      <c r="BA7" s="1750">
        <f t="shared" si="17"/>
        <v>36.6</v>
      </c>
      <c r="BB7" s="1750">
        <f t="shared" ref="BB7:BC7" si="18">BB6*30%</f>
        <v>46.949999999999996</v>
      </c>
      <c r="BC7" s="1750">
        <f t="shared" si="18"/>
        <v>20.849999999999998</v>
      </c>
      <c r="BD7" s="1750">
        <f t="shared" ref="BD7" si="19">BD6*30%</f>
        <v>24.479999999999997</v>
      </c>
      <c r="BE7" s="2288"/>
      <c r="BF7" s="1785">
        <f>SUM(AX7:BD7)</f>
        <v>228.10499999999996</v>
      </c>
      <c r="BG7" s="1786">
        <f>BG6*30%</f>
        <v>201.37199999999996</v>
      </c>
      <c r="BH7" s="1787">
        <f>BF7-BG7</f>
        <v>26.733000000000004</v>
      </c>
      <c r="BI7" s="1801"/>
      <c r="BJ7" s="1750">
        <f t="shared" ref="BJ7" si="20">BJ6*30%</f>
        <v>32.414999999999999</v>
      </c>
      <c r="BK7" s="2264">
        <f>BK6*30%</f>
        <v>0</v>
      </c>
      <c r="BL7" s="1750">
        <f>BL6*30%</f>
        <v>30.674999999999997</v>
      </c>
      <c r="BM7" s="1801"/>
      <c r="BN7" s="1785">
        <f>SUM(BJ7:BL7)</f>
        <v>63.089999999999996</v>
      </c>
      <c r="BO7" s="1786">
        <f>BO6*30%</f>
        <v>67.123999999999995</v>
      </c>
      <c r="BP7" s="1787">
        <f>BN7-BO7</f>
        <v>-4.0339999999999989</v>
      </c>
      <c r="BQ7" s="1792"/>
      <c r="BR7" s="4614"/>
      <c r="BS7" s="4580"/>
      <c r="BT7" s="1792"/>
      <c r="BU7" s="1793">
        <f>SUM(N7:T7)+SUM(Z7:AF7)+SUM(AL7:AR7)+SUM(AX7:BD7)+SUM(BJ7:BL7)</f>
        <v>1075.665</v>
      </c>
      <c r="BV7" s="2341">
        <f>BU7/E29</f>
        <v>1.2820034562898517</v>
      </c>
      <c r="BW7" s="1802"/>
      <c r="BX7" s="2344">
        <f>BX6-BZ2</f>
        <v>-578.3145161290322</v>
      </c>
      <c r="BY7" s="1795"/>
      <c r="BZ7" s="1785">
        <f>BU7-E29</f>
        <v>236.61500000000001</v>
      </c>
      <c r="CA7" s="1796" t="e">
        <f>BZ7/CA42</f>
        <v>#DIV/0!</v>
      </c>
      <c r="CB7" s="1794" t="e">
        <f>CA7*100%/30%</f>
        <v>#DIV/0!</v>
      </c>
      <c r="CC7" s="1797"/>
      <c r="CD7" s="1785"/>
      <c r="CE7" s="1796"/>
      <c r="CF7" s="1794"/>
      <c r="CG7" s="1798"/>
      <c r="CH7" s="1785"/>
      <c r="CI7" s="1796"/>
      <c r="CJ7" s="1794"/>
      <c r="CK7" s="1798"/>
      <c r="CL7" s="1799"/>
      <c r="CM7" s="1799"/>
      <c r="CN7" s="1799"/>
      <c r="CO7" s="1799"/>
      <c r="CP7" s="1799"/>
      <c r="CQ7" s="1799"/>
      <c r="CR7" s="1799"/>
      <c r="CS7" s="1799"/>
      <c r="CT7" s="1799"/>
      <c r="CU7" s="1799"/>
      <c r="CV7" s="1799"/>
      <c r="CW7" s="1799"/>
      <c r="CX7" s="1799"/>
      <c r="CY7" s="1799"/>
      <c r="CZ7" s="1799"/>
      <c r="DA7" s="1799"/>
      <c r="DB7" s="1799"/>
      <c r="DC7" s="1799"/>
      <c r="DD7" s="1799"/>
      <c r="DE7" s="1799"/>
      <c r="DF7" s="1799"/>
      <c r="DG7" s="1799"/>
      <c r="DH7" s="1799"/>
      <c r="DI7" s="1799"/>
      <c r="DJ7" s="1799"/>
      <c r="DK7" s="1799"/>
      <c r="DL7" s="1799"/>
      <c r="DM7" s="1799"/>
      <c r="DN7" s="1799"/>
      <c r="DO7" s="1799"/>
      <c r="DP7" s="1799"/>
      <c r="DQ7" s="1799"/>
      <c r="DR7" s="1799"/>
      <c r="DS7" s="1799"/>
      <c r="DT7" s="1799"/>
      <c r="DU7" s="1799"/>
      <c r="DV7" s="1799"/>
      <c r="DW7" s="1799"/>
      <c r="DX7" s="1799"/>
      <c r="DY7" s="1799"/>
      <c r="DZ7" s="1799"/>
      <c r="EA7" s="1799"/>
      <c r="EB7" s="1799"/>
      <c r="EC7" s="1799"/>
      <c r="ED7" s="1799"/>
      <c r="EE7" s="1799"/>
      <c r="EF7" s="1799"/>
      <c r="EG7" s="1799"/>
      <c r="EH7" s="1799"/>
      <c r="EI7" s="1799"/>
      <c r="EJ7" s="1799"/>
      <c r="EK7" s="1799"/>
      <c r="EL7" s="1799"/>
      <c r="EM7" s="1799"/>
      <c r="EN7" s="1799"/>
      <c r="EO7" s="1799"/>
      <c r="EP7" s="1799"/>
      <c r="EQ7" s="1799"/>
      <c r="ER7" s="1799"/>
      <c r="ES7" s="1799"/>
      <c r="ET7" s="1799"/>
      <c r="EU7" s="1799"/>
      <c r="EV7" s="1799"/>
      <c r="EW7" s="1799"/>
      <c r="EX7" s="1799"/>
      <c r="EY7" s="1799"/>
      <c r="EZ7" s="1799"/>
      <c r="FA7" s="1799"/>
      <c r="FB7" s="1799"/>
      <c r="FC7" s="1799"/>
      <c r="FD7" s="1799"/>
      <c r="FE7" s="1799"/>
      <c r="FF7" s="1799"/>
      <c r="FG7" s="1799"/>
      <c r="FH7" s="1799"/>
      <c r="FI7" s="1799"/>
      <c r="FJ7" s="1799"/>
      <c r="FK7" s="1799"/>
      <c r="FL7" s="1799"/>
      <c r="FM7" s="1799"/>
      <c r="FN7" s="1799"/>
      <c r="FO7" s="1799"/>
      <c r="FP7" s="1799"/>
      <c r="FQ7" s="1799"/>
      <c r="FR7" s="1799"/>
    </row>
    <row r="8" spans="2:174" s="1800" customFormat="1" ht="4.5" customHeight="1" thickBot="1" x14ac:dyDescent="0.25">
      <c r="E8" s="1791"/>
      <c r="F8" s="1791"/>
      <c r="G8" s="1791"/>
      <c r="H8" s="1791"/>
      <c r="I8" s="1791"/>
      <c r="J8" s="1801"/>
      <c r="K8" s="1802"/>
      <c r="L8" s="1782"/>
      <c r="M8" s="1783"/>
      <c r="N8" s="1803"/>
      <c r="O8" s="1803"/>
      <c r="P8" s="1803"/>
      <c r="Q8" s="1803"/>
      <c r="R8" s="1803"/>
      <c r="S8" s="1803"/>
      <c r="T8" s="1803"/>
      <c r="U8" s="1801"/>
      <c r="V8" s="1801"/>
      <c r="W8" s="1801"/>
      <c r="X8" s="1801"/>
      <c r="Y8" s="1791"/>
      <c r="Z8" s="1803"/>
      <c r="AA8" s="1803"/>
      <c r="AB8" s="1803"/>
      <c r="AC8" s="1803"/>
      <c r="AD8" s="1803"/>
      <c r="AE8" s="1803"/>
      <c r="AF8" s="1803"/>
      <c r="AG8" s="1791"/>
      <c r="AH8" s="1801"/>
      <c r="AI8" s="1801"/>
      <c r="AJ8" s="1801"/>
      <c r="AK8" s="1791"/>
      <c r="AL8" s="1803"/>
      <c r="AM8" s="1803"/>
      <c r="AN8" s="1803"/>
      <c r="AO8" s="1803"/>
      <c r="AP8" s="1803"/>
      <c r="AQ8" s="1803"/>
      <c r="AR8" s="1803"/>
      <c r="AS8" s="1801"/>
      <c r="AT8" s="1801"/>
      <c r="AU8" s="1801"/>
      <c r="AV8" s="1801"/>
      <c r="AW8" s="1801"/>
      <c r="AX8" s="1803"/>
      <c r="AY8" s="1803"/>
      <c r="AZ8" s="1803"/>
      <c r="BA8" s="1803"/>
      <c r="BB8" s="1803"/>
      <c r="BC8" s="1803"/>
      <c r="BD8" s="1803"/>
      <c r="BE8" s="1801"/>
      <c r="BF8" s="1801"/>
      <c r="BG8" s="1801"/>
      <c r="BH8" s="1801"/>
      <c r="BI8" s="1801"/>
      <c r="BJ8" s="1803"/>
      <c r="BK8" s="1803"/>
      <c r="BL8" s="1803"/>
      <c r="BM8" s="1801"/>
      <c r="BN8" s="1801"/>
      <c r="BO8" s="1801"/>
      <c r="BP8" s="1801"/>
      <c r="BQ8" s="1791"/>
      <c r="BR8" s="4614"/>
      <c r="BS8" s="4580"/>
      <c r="BT8" s="1791"/>
      <c r="BU8" s="1801"/>
      <c r="BV8" s="1802"/>
      <c r="BW8" s="1802"/>
      <c r="BX8" s="1805"/>
      <c r="BY8" s="1806"/>
      <c r="BZ8" s="1801"/>
      <c r="CA8" s="1805"/>
      <c r="CB8" s="1805"/>
      <c r="CC8" s="1797"/>
      <c r="CD8" s="1791"/>
      <c r="CE8" s="1791"/>
      <c r="CF8" s="1807"/>
      <c r="CG8" s="1808"/>
      <c r="CH8" s="1791"/>
      <c r="CI8" s="1791"/>
      <c r="CJ8" s="1807"/>
      <c r="CK8" s="1808"/>
      <c r="CL8" s="1809"/>
      <c r="CM8" s="1809"/>
      <c r="CN8" s="1809"/>
      <c r="CO8" s="1809"/>
      <c r="CP8" s="1809"/>
      <c r="CQ8" s="1809"/>
      <c r="CR8" s="1809"/>
      <c r="CS8" s="1809"/>
      <c r="CT8" s="1809"/>
      <c r="CU8" s="1809"/>
      <c r="CV8" s="1809"/>
      <c r="CW8" s="1809"/>
      <c r="CX8" s="1809"/>
      <c r="CY8" s="1809"/>
      <c r="CZ8" s="1809"/>
      <c r="DA8" s="1809"/>
      <c r="DB8" s="1809"/>
      <c r="DC8" s="1809"/>
      <c r="DD8" s="1809"/>
      <c r="DE8" s="1809"/>
      <c r="DF8" s="1809"/>
      <c r="DG8" s="1809"/>
      <c r="DH8" s="1809"/>
      <c r="DI8" s="1809"/>
      <c r="DJ8" s="1809"/>
      <c r="DK8" s="1809"/>
      <c r="DL8" s="1809"/>
      <c r="DM8" s="1809"/>
      <c r="DN8" s="1809"/>
      <c r="DO8" s="1809"/>
      <c r="DP8" s="1809"/>
      <c r="DQ8" s="1809"/>
      <c r="DR8" s="1809"/>
      <c r="DS8" s="1809"/>
      <c r="DT8" s="1809"/>
      <c r="DU8" s="1809"/>
      <c r="DV8" s="1809"/>
      <c r="DW8" s="1809"/>
      <c r="DX8" s="1809"/>
      <c r="DY8" s="1809"/>
      <c r="DZ8" s="1809"/>
      <c r="EA8" s="1809"/>
      <c r="EB8" s="1809"/>
      <c r="EC8" s="1809"/>
      <c r="ED8" s="1809"/>
      <c r="EE8" s="1809"/>
      <c r="EF8" s="1809"/>
      <c r="EG8" s="1809"/>
      <c r="EH8" s="1809"/>
      <c r="EI8" s="1809"/>
      <c r="EJ8" s="1809"/>
      <c r="EK8" s="1809"/>
      <c r="EL8" s="1809"/>
      <c r="EM8" s="1809"/>
      <c r="EN8" s="1809"/>
      <c r="EO8" s="1809"/>
      <c r="EP8" s="1809"/>
      <c r="EQ8" s="1809"/>
      <c r="ER8" s="1809"/>
      <c r="ES8" s="1809"/>
      <c r="ET8" s="1809"/>
      <c r="EU8" s="1809"/>
      <c r="EV8" s="1809"/>
      <c r="EW8" s="1809"/>
      <c r="EX8" s="1809"/>
      <c r="EY8" s="1809"/>
      <c r="EZ8" s="1809"/>
      <c r="FA8" s="1809"/>
      <c r="FB8" s="1809"/>
      <c r="FC8" s="1809"/>
      <c r="FD8" s="1809"/>
      <c r="FE8" s="1809"/>
      <c r="FF8" s="1809"/>
      <c r="FG8" s="1809"/>
      <c r="FH8" s="1809"/>
      <c r="FI8" s="1809"/>
      <c r="FJ8" s="1809"/>
      <c r="FK8" s="1809"/>
      <c r="FL8" s="1809"/>
      <c r="FM8" s="1809"/>
      <c r="FN8" s="1809"/>
      <c r="FO8" s="1809"/>
      <c r="FP8" s="1809"/>
      <c r="FQ8" s="1809"/>
      <c r="FR8" s="1809"/>
    </row>
    <row r="9" spans="2:174" s="1810" customFormat="1" ht="17.25" customHeight="1" x14ac:dyDescent="0.2">
      <c r="C9" s="1811" t="s">
        <v>190</v>
      </c>
      <c r="D9" s="1727"/>
      <c r="E9" s="1812"/>
      <c r="F9" s="1812"/>
      <c r="G9" s="1812"/>
      <c r="H9" s="1812"/>
      <c r="I9" s="1812"/>
      <c r="J9" s="1813">
        <f>BU9</f>
        <v>893.84225555555543</v>
      </c>
      <c r="K9" s="4564">
        <f>BR54</f>
        <v>1130.4572555555558</v>
      </c>
      <c r="L9" s="1760"/>
      <c r="M9" s="1761"/>
      <c r="N9" s="1735">
        <f>(N4-N50)/3</f>
        <v>18.705185185185186</v>
      </c>
      <c r="O9" s="1735">
        <f>(O4-O50)/3</f>
        <v>22.038518518518519</v>
      </c>
      <c r="P9" s="1735">
        <f>(P4-P50)/3</f>
        <v>17.871851851851854</v>
      </c>
      <c r="Q9" s="1735">
        <f>(Q4-Q50)/3</f>
        <v>27.371851851851854</v>
      </c>
      <c r="R9" s="1735">
        <f>(R4-R50)/3</f>
        <v>22.871851851851854</v>
      </c>
      <c r="S9" s="1735">
        <f t="shared" ref="S9:T9" si="21">(S4-S50)/3</f>
        <v>23.556851851851857</v>
      </c>
      <c r="T9" s="1735">
        <f t="shared" si="21"/>
        <v>44.332251851851858</v>
      </c>
      <c r="U9" s="1814"/>
      <c r="V9" s="1771">
        <f>SUM(N9:T9)</f>
        <v>176.74836296296297</v>
      </c>
      <c r="W9" s="1815"/>
      <c r="X9" s="1816"/>
      <c r="Y9" s="1764"/>
      <c r="Z9" s="1735">
        <f>(Z4-Z50)/3</f>
        <v>27.171051851851846</v>
      </c>
      <c r="AA9" s="1735">
        <f t="shared" ref="AA9" si="22">(AA4-AA50)/3</f>
        <v>52.232351851851853</v>
      </c>
      <c r="AB9" s="1735">
        <f>(AB4-AB50)/3</f>
        <v>66.626851851851839</v>
      </c>
      <c r="AC9" s="2265">
        <f>(AC4-AC50)/3</f>
        <v>0</v>
      </c>
      <c r="AD9" s="1735">
        <f>(AD4-AD50)/3</f>
        <v>13.021851851851849</v>
      </c>
      <c r="AE9" s="1735">
        <f t="shared" ref="AE9:AF9" si="23">(AE4-AE50)/3</f>
        <v>27.211851851851847</v>
      </c>
      <c r="AF9" s="1735">
        <f t="shared" si="23"/>
        <v>7.8518518518518521</v>
      </c>
      <c r="AG9" s="1764"/>
      <c r="AH9" s="1771">
        <f>SUM(Z9:AF9)</f>
        <v>194.1158111111111</v>
      </c>
      <c r="AI9" s="1815"/>
      <c r="AJ9" s="1816"/>
      <c r="AK9" s="1764"/>
      <c r="AL9" s="1735">
        <f>(AL4-AL50)/3</f>
        <v>50.777851851851835</v>
      </c>
      <c r="AM9" s="1735">
        <f>(AM4-AM50)/3</f>
        <v>16.371851851851854</v>
      </c>
      <c r="AN9" s="1735">
        <f t="shared" ref="AN9" si="24">(AN4-AN50)/3</f>
        <v>39.141851851851854</v>
      </c>
      <c r="AO9" s="1735">
        <f t="shared" ref="AO9:AR9" si="25">(AO4-AO50)/3</f>
        <v>24.766851851851854</v>
      </c>
      <c r="AP9" s="1735">
        <f t="shared" si="25"/>
        <v>40.779851851851859</v>
      </c>
      <c r="AQ9" s="1735">
        <f t="shared" si="25"/>
        <v>28.162851851851851</v>
      </c>
      <c r="AR9" s="1735">
        <f t="shared" si="25"/>
        <v>13.276651851851847</v>
      </c>
      <c r="AS9" s="2289"/>
      <c r="AT9" s="1771">
        <f>SUM(AL9:AR9)</f>
        <v>213.27776296296295</v>
      </c>
      <c r="AU9" s="1815"/>
      <c r="AV9" s="1816"/>
      <c r="AW9" s="2289"/>
      <c r="AX9" s="1735">
        <f t="shared" ref="AX9:AY9" si="26">(AX4-AX50)/3</f>
        <v>13.881651851851856</v>
      </c>
      <c r="AY9" s="1735">
        <f t="shared" si="26"/>
        <v>28.844351851851851</v>
      </c>
      <c r="AZ9" s="1735">
        <f t="shared" ref="AZ9:BA9" si="27">(AZ4-AZ50)/3</f>
        <v>54.006851851851842</v>
      </c>
      <c r="BA9" s="1735">
        <f t="shared" si="27"/>
        <v>13.476851851851853</v>
      </c>
      <c r="BB9" s="1735">
        <f t="shared" ref="BB9:BC9" si="28">(BB4-BB50)/3</f>
        <v>33.076851851851849</v>
      </c>
      <c r="BC9" s="1735">
        <f t="shared" si="28"/>
        <v>45.270051851851839</v>
      </c>
      <c r="BD9" s="1735">
        <f t="shared" ref="BD9" si="29">(BD4-BD50)/3</f>
        <v>24.57185185185185</v>
      </c>
      <c r="BE9" s="2289"/>
      <c r="BF9" s="1771">
        <f>SUM(AX9:BD9)</f>
        <v>213.12846296296291</v>
      </c>
      <c r="BG9" s="1815"/>
      <c r="BH9" s="1816"/>
      <c r="BI9" s="1814"/>
      <c r="BJ9" s="1735">
        <f t="shared" ref="BJ9:BK9" si="30">(BJ4-BJ50)/3</f>
        <v>27.57665185185185</v>
      </c>
      <c r="BK9" s="1735">
        <f t="shared" si="30"/>
        <v>36.266851851851854</v>
      </c>
      <c r="BL9" s="1735">
        <f t="shared" ref="BL9" si="31">(BL4-BL50)/3</f>
        <v>32.728351851851855</v>
      </c>
      <c r="BM9" s="1814"/>
      <c r="BN9" s="1771">
        <f>SUM(BJ9:BL9)</f>
        <v>96.571855555555558</v>
      </c>
      <c r="BO9" s="1815"/>
      <c r="BP9" s="1816"/>
      <c r="BQ9" s="1766"/>
      <c r="BR9" s="4614"/>
      <c r="BS9" s="4580"/>
      <c r="BT9" s="1766"/>
      <c r="BU9" s="1771">
        <f>SUM(N9:T9)+SUM(Z9:AF9)+SUM(AL9:AR9)+SUM(AX9:BD9)+SUM(BJ9:BL9)</f>
        <v>893.84225555555543</v>
      </c>
      <c r="BV9" s="2340"/>
      <c r="BW9" s="1830"/>
      <c r="BX9" s="2348">
        <v>1</v>
      </c>
      <c r="BY9" s="1817"/>
      <c r="BZ9" s="4578" t="s">
        <v>226</v>
      </c>
      <c r="CA9" s="4578"/>
      <c r="CB9" s="1818"/>
      <c r="CC9" s="1774"/>
      <c r="CD9" s="1766"/>
      <c r="CE9" s="1766"/>
      <c r="CF9" s="1819"/>
      <c r="CG9" s="1820"/>
      <c r="CH9" s="1766"/>
      <c r="CI9" s="1766"/>
      <c r="CJ9" s="1819"/>
      <c r="CK9" s="1820"/>
      <c r="CL9" s="1821"/>
      <c r="CM9" s="1821"/>
      <c r="CN9" s="1821"/>
      <c r="CO9" s="1821"/>
      <c r="CP9" s="1821"/>
      <c r="CQ9" s="1821"/>
      <c r="CR9" s="1821"/>
      <c r="CS9" s="1821"/>
      <c r="CT9" s="1821"/>
      <c r="CU9" s="1821"/>
      <c r="CV9" s="1821"/>
      <c r="CW9" s="1821"/>
      <c r="CX9" s="1821"/>
      <c r="CY9" s="1821"/>
      <c r="CZ9" s="1821"/>
      <c r="DA9" s="1821"/>
      <c r="DB9" s="1821"/>
      <c r="DC9" s="1821"/>
      <c r="DD9" s="1821"/>
      <c r="DE9" s="1821"/>
      <c r="DF9" s="1821"/>
      <c r="DG9" s="1821"/>
      <c r="DH9" s="1821"/>
      <c r="DI9" s="1821"/>
      <c r="DJ9" s="1821"/>
      <c r="DK9" s="1821"/>
      <c r="DL9" s="1821"/>
      <c r="DM9" s="1821"/>
      <c r="DN9" s="1821"/>
      <c r="DO9" s="1821"/>
      <c r="DP9" s="1821"/>
      <c r="DQ9" s="1821"/>
      <c r="DR9" s="1821"/>
      <c r="DS9" s="1821"/>
      <c r="DT9" s="1821"/>
      <c r="DU9" s="1821"/>
      <c r="DV9" s="1821"/>
      <c r="DW9" s="1821"/>
      <c r="DX9" s="1821"/>
      <c r="DY9" s="1821"/>
      <c r="DZ9" s="1821"/>
      <c r="EA9" s="1821"/>
      <c r="EB9" s="1821"/>
      <c r="EC9" s="1821"/>
      <c r="ED9" s="1821"/>
      <c r="EE9" s="1821"/>
      <c r="EF9" s="1821"/>
      <c r="EG9" s="1821"/>
      <c r="EH9" s="1821"/>
      <c r="EI9" s="1821"/>
      <c r="EJ9" s="1821"/>
      <c r="EK9" s="1821"/>
      <c r="EL9" s="1821"/>
      <c r="EM9" s="1821"/>
      <c r="EN9" s="1821"/>
      <c r="EO9" s="1821"/>
      <c r="EP9" s="1821"/>
      <c r="EQ9" s="1821"/>
      <c r="ER9" s="1821"/>
      <c r="ES9" s="1821"/>
      <c r="ET9" s="1821"/>
      <c r="EU9" s="1821"/>
      <c r="EV9" s="1821"/>
      <c r="EW9" s="1821"/>
      <c r="EX9" s="1821"/>
      <c r="EY9" s="1821"/>
      <c r="EZ9" s="1821"/>
      <c r="FA9" s="1821"/>
      <c r="FB9" s="1821"/>
      <c r="FC9" s="1821"/>
      <c r="FD9" s="1821"/>
      <c r="FE9" s="1821"/>
      <c r="FF9" s="1821"/>
      <c r="FG9" s="1821"/>
      <c r="FH9" s="1821"/>
      <c r="FI9" s="1821"/>
      <c r="FJ9" s="1821"/>
      <c r="FK9" s="1821"/>
      <c r="FL9" s="1821"/>
      <c r="FM9" s="1821"/>
      <c r="FN9" s="1821"/>
      <c r="FO9" s="1821"/>
      <c r="FP9" s="1821"/>
      <c r="FQ9" s="1821"/>
      <c r="FR9" s="1821"/>
    </row>
    <row r="10" spans="2:174" s="1777" customFormat="1" ht="17.25" customHeight="1" thickBot="1" x14ac:dyDescent="0.25">
      <c r="C10" s="1822" t="s">
        <v>169</v>
      </c>
      <c r="D10" s="1744"/>
      <c r="E10" s="1823"/>
      <c r="F10" s="1823"/>
      <c r="G10" s="1823"/>
      <c r="H10" s="1823"/>
      <c r="I10" s="1823"/>
      <c r="J10" s="1824">
        <f>BU10</f>
        <v>1969.5072555555555</v>
      </c>
      <c r="K10" s="4565">
        <f t="shared" ref="K10" si="32">BR57</f>
        <v>0</v>
      </c>
      <c r="L10" s="1782"/>
      <c r="M10" s="1783"/>
      <c r="N10" s="1750">
        <f t="shared" ref="N10" si="33">N9+N7</f>
        <v>61.305185185185188</v>
      </c>
      <c r="O10" s="1750">
        <f>O9+O7</f>
        <v>22.038518518518519</v>
      </c>
      <c r="P10" s="1750">
        <f>P9+P7</f>
        <v>53.871851851851858</v>
      </c>
      <c r="Q10" s="1750">
        <f>Q9+Q7</f>
        <v>52.781851851851854</v>
      </c>
      <c r="R10" s="1750">
        <f t="shared" ref="R10:T10" si="34">R9+R7</f>
        <v>52.826851851851856</v>
      </c>
      <c r="S10" s="1750">
        <f t="shared" si="34"/>
        <v>78.981851851851857</v>
      </c>
      <c r="T10" s="1750">
        <f t="shared" si="34"/>
        <v>77.242251851851847</v>
      </c>
      <c r="U10" s="1801"/>
      <c r="V10" s="1785">
        <f>SUM(N10:T10)</f>
        <v>399.04836296296298</v>
      </c>
      <c r="W10" s="1825"/>
      <c r="X10" s="1826"/>
      <c r="Y10" s="1788"/>
      <c r="Z10" s="1750">
        <f t="shared" ref="Z10:AB10" si="35">Z9+Z7</f>
        <v>92.541051851851847</v>
      </c>
      <c r="AA10" s="1750">
        <f t="shared" si="35"/>
        <v>121.65235185185185</v>
      </c>
      <c r="AB10" s="1750">
        <f t="shared" si="35"/>
        <v>196.40685185185185</v>
      </c>
      <c r="AC10" s="2264">
        <f t="shared" ref="AC10" si="36">AC9+AC7</f>
        <v>0</v>
      </c>
      <c r="AD10" s="1750">
        <f t="shared" ref="AD10:AF10" si="37">AD9+AD7</f>
        <v>32.221851851851852</v>
      </c>
      <c r="AE10" s="1750">
        <f t="shared" si="37"/>
        <v>27.211851851851847</v>
      </c>
      <c r="AF10" s="1750">
        <f t="shared" si="37"/>
        <v>57.306851851851853</v>
      </c>
      <c r="AG10" s="1788"/>
      <c r="AH10" s="1785">
        <f>SUM(Z10:AF10)</f>
        <v>527.34081111111118</v>
      </c>
      <c r="AI10" s="1825"/>
      <c r="AJ10" s="1826"/>
      <c r="AK10" s="1788"/>
      <c r="AL10" s="1750">
        <f t="shared" ref="AL10:AM10" si="38">AL9+AL7</f>
        <v>99.257851851851825</v>
      </c>
      <c r="AM10" s="1750">
        <f t="shared" si="38"/>
        <v>16.371851851851854</v>
      </c>
      <c r="AN10" s="1750">
        <f t="shared" ref="AN10:AO10" si="39">AN9+AN7</f>
        <v>84.651851851851859</v>
      </c>
      <c r="AO10" s="1750">
        <f t="shared" si="39"/>
        <v>62.17685185185185</v>
      </c>
      <c r="AP10" s="1750">
        <f t="shared" ref="AP10:AR10" si="40">AP9+AP7</f>
        <v>77.799851851851855</v>
      </c>
      <c r="AQ10" s="1750">
        <f t="shared" si="40"/>
        <v>59.137851851851849</v>
      </c>
      <c r="AR10" s="1750">
        <f t="shared" si="40"/>
        <v>42.826651851851842</v>
      </c>
      <c r="AS10" s="2290"/>
      <c r="AT10" s="1785">
        <f>SUM(AL10:AR10)</f>
        <v>442.22276296296297</v>
      </c>
      <c r="AU10" s="1825"/>
      <c r="AV10" s="1826"/>
      <c r="AW10" s="2290"/>
      <c r="AX10" s="1750">
        <f t="shared" ref="AX10:AY10" si="41">AX9+AX7</f>
        <v>51.846651851851853</v>
      </c>
      <c r="AY10" s="1750">
        <f t="shared" si="41"/>
        <v>28.844351851851851</v>
      </c>
      <c r="AZ10" s="1750">
        <f t="shared" ref="AZ10:BA10" si="42">AZ9+AZ7</f>
        <v>115.26685185185184</v>
      </c>
      <c r="BA10" s="1750">
        <f t="shared" si="42"/>
        <v>50.076851851851856</v>
      </c>
      <c r="BB10" s="1750">
        <f t="shared" ref="BB10:BC10" si="43">BB9+BB7</f>
        <v>80.026851851851845</v>
      </c>
      <c r="BC10" s="1750">
        <f t="shared" si="43"/>
        <v>66.120051851851841</v>
      </c>
      <c r="BD10" s="1750">
        <f t="shared" ref="BD10" si="44">BD9+BD7</f>
        <v>49.05185185185185</v>
      </c>
      <c r="BE10" s="2290"/>
      <c r="BF10" s="1785">
        <f>SUM(AX10:BD10)</f>
        <v>441.2334629629629</v>
      </c>
      <c r="BG10" s="1825"/>
      <c r="BH10" s="1826"/>
      <c r="BI10" s="1801"/>
      <c r="BJ10" s="1750">
        <f t="shared" ref="BJ10:BK10" si="45">BJ9+BJ7</f>
        <v>59.991651851851849</v>
      </c>
      <c r="BK10" s="1750">
        <f t="shared" si="45"/>
        <v>36.266851851851854</v>
      </c>
      <c r="BL10" s="1750">
        <f t="shared" ref="BL10" si="46">BL9+BL7</f>
        <v>63.403351851851852</v>
      </c>
      <c r="BM10" s="1801"/>
      <c r="BN10" s="1785">
        <f>SUM(BJ10:BL10)</f>
        <v>159.66185555555555</v>
      </c>
      <c r="BO10" s="1825"/>
      <c r="BP10" s="1826"/>
      <c r="BQ10" s="1792"/>
      <c r="BR10" s="4614"/>
      <c r="BS10" s="4580"/>
      <c r="BT10" s="1792"/>
      <c r="BU10" s="1793">
        <f>SUM(N10:T10)+SUM(Z10:AF10)+SUM(AL10:AR10)+SUM(AX10:BD10)+SUM(BJ10:BL10)</f>
        <v>1969.5072555555555</v>
      </c>
      <c r="BV10" s="2341"/>
      <c r="BW10" s="1802"/>
      <c r="BX10" s="2349">
        <v>6</v>
      </c>
      <c r="BY10" s="1795"/>
      <c r="BZ10" s="4578"/>
      <c r="CA10" s="4578"/>
      <c r="CB10" s="1805"/>
      <c r="CC10" s="1797"/>
      <c r="CD10" s="1791"/>
      <c r="CE10" s="1791"/>
      <c r="CF10" s="1807"/>
      <c r="CG10" s="1798"/>
      <c r="CH10" s="1791"/>
      <c r="CI10" s="1791"/>
      <c r="CJ10" s="1807"/>
      <c r="CK10" s="1798"/>
      <c r="CL10" s="1799"/>
      <c r="CM10" s="1799"/>
      <c r="CN10" s="1799"/>
      <c r="CO10" s="1799"/>
      <c r="CP10" s="1799"/>
      <c r="CQ10" s="1799"/>
      <c r="CR10" s="1799"/>
      <c r="CS10" s="1799"/>
      <c r="CT10" s="1799"/>
      <c r="CU10" s="1799"/>
      <c r="CV10" s="1799"/>
      <c r="CW10" s="1799"/>
      <c r="CX10" s="1799"/>
      <c r="CY10" s="1799"/>
      <c r="CZ10" s="1799"/>
      <c r="DA10" s="1799"/>
      <c r="DB10" s="1799"/>
      <c r="DC10" s="1799"/>
      <c r="DD10" s="1799"/>
      <c r="DE10" s="1799"/>
      <c r="DF10" s="1799"/>
      <c r="DG10" s="1799"/>
      <c r="DH10" s="1799"/>
      <c r="DI10" s="1799"/>
      <c r="DJ10" s="1799"/>
      <c r="DK10" s="1799"/>
      <c r="DL10" s="1799"/>
      <c r="DM10" s="1799"/>
      <c r="DN10" s="1799"/>
      <c r="DO10" s="1799"/>
      <c r="DP10" s="1799"/>
      <c r="DQ10" s="1799"/>
      <c r="DR10" s="1799"/>
      <c r="DS10" s="1799"/>
      <c r="DT10" s="1799"/>
      <c r="DU10" s="1799"/>
      <c r="DV10" s="1799"/>
      <c r="DW10" s="1799"/>
      <c r="DX10" s="1799"/>
      <c r="DY10" s="1799"/>
      <c r="DZ10" s="1799"/>
      <c r="EA10" s="1799"/>
      <c r="EB10" s="1799"/>
      <c r="EC10" s="1799"/>
      <c r="ED10" s="1799"/>
      <c r="EE10" s="1799"/>
      <c r="EF10" s="1799"/>
      <c r="EG10" s="1799"/>
      <c r="EH10" s="1799"/>
      <c r="EI10" s="1799"/>
      <c r="EJ10" s="1799"/>
      <c r="EK10" s="1799"/>
      <c r="EL10" s="1799"/>
      <c r="EM10" s="1799"/>
      <c r="EN10" s="1799"/>
      <c r="EO10" s="1799"/>
      <c r="EP10" s="1799"/>
      <c r="EQ10" s="1799"/>
      <c r="ER10" s="1799"/>
      <c r="ES10" s="1799"/>
      <c r="ET10" s="1799"/>
      <c r="EU10" s="1799"/>
      <c r="EV10" s="1799"/>
      <c r="EW10" s="1799"/>
      <c r="EX10" s="1799"/>
      <c r="EY10" s="1799"/>
      <c r="EZ10" s="1799"/>
      <c r="FA10" s="1799"/>
      <c r="FB10" s="1799"/>
      <c r="FC10" s="1799"/>
      <c r="FD10" s="1799"/>
      <c r="FE10" s="1799"/>
      <c r="FF10" s="1799"/>
      <c r="FG10" s="1799"/>
      <c r="FH10" s="1799"/>
      <c r="FI10" s="1799"/>
      <c r="FJ10" s="1799"/>
      <c r="FK10" s="1799"/>
      <c r="FL10" s="1799"/>
      <c r="FM10" s="1799"/>
      <c r="FN10" s="1799"/>
      <c r="FO10" s="1799"/>
      <c r="FP10" s="1799"/>
      <c r="FQ10" s="1799"/>
      <c r="FR10" s="1799"/>
    </row>
    <row r="11" spans="2:174" s="1800" customFormat="1" ht="4.5" customHeight="1" thickBot="1" x14ac:dyDescent="0.25">
      <c r="E11" s="1791"/>
      <c r="F11" s="1791"/>
      <c r="G11" s="1791"/>
      <c r="H11" s="1791"/>
      <c r="I11" s="1791"/>
      <c r="J11" s="1791"/>
      <c r="K11" s="1783"/>
      <c r="L11" s="1782"/>
      <c r="M11" s="1783"/>
      <c r="N11" s="1803"/>
      <c r="O11" s="1803"/>
      <c r="P11" s="1803"/>
      <c r="Q11" s="1803"/>
      <c r="R11" s="1803"/>
      <c r="S11" s="1803"/>
      <c r="T11" s="1803"/>
      <c r="U11" s="1801"/>
      <c r="V11" s="1801"/>
      <c r="W11" s="1801"/>
      <c r="X11" s="1801"/>
      <c r="Y11" s="1791"/>
      <c r="Z11" s="1803"/>
      <c r="AA11" s="1803"/>
      <c r="AB11" s="1803"/>
      <c r="AC11" s="1803"/>
      <c r="AD11" s="1803"/>
      <c r="AE11" s="1803"/>
      <c r="AF11" s="1803"/>
      <c r="AG11" s="1791"/>
      <c r="AH11" s="1801"/>
      <c r="AI11" s="1801"/>
      <c r="AJ11" s="1801"/>
      <c r="AK11" s="1791"/>
      <c r="AL11" s="1803"/>
      <c r="AM11" s="1803"/>
      <c r="AN11" s="1803"/>
      <c r="AO11" s="1803"/>
      <c r="AP11" s="1803"/>
      <c r="AQ11" s="1803"/>
      <c r="AR11" s="1803"/>
      <c r="AS11" s="1801"/>
      <c r="AT11" s="1801"/>
      <c r="AU11" s="1801"/>
      <c r="AV11" s="1801"/>
      <c r="AW11" s="1801"/>
      <c r="AX11" s="1803"/>
      <c r="AY11" s="1803"/>
      <c r="AZ11" s="1803"/>
      <c r="BA11" s="1803"/>
      <c r="BB11" s="1803"/>
      <c r="BC11" s="1803"/>
      <c r="BD11" s="1803"/>
      <c r="BE11" s="1801"/>
      <c r="BF11" s="1801"/>
      <c r="BG11" s="1801"/>
      <c r="BH11" s="1801"/>
      <c r="BI11" s="1801"/>
      <c r="BJ11" s="1803"/>
      <c r="BK11" s="1803"/>
      <c r="BL11" s="1803"/>
      <c r="BM11" s="1801"/>
      <c r="BN11" s="1801"/>
      <c r="BO11" s="1801"/>
      <c r="BP11" s="1801"/>
      <c r="BQ11" s="1791"/>
      <c r="BR11" s="4614"/>
      <c r="BS11" s="4580"/>
      <c r="BT11" s="1791"/>
      <c r="BU11" s="1801"/>
      <c r="BV11" s="1802"/>
      <c r="BW11" s="1802"/>
      <c r="BX11" s="1805"/>
      <c r="BY11" s="1806"/>
      <c r="BZ11" s="1801"/>
      <c r="CA11" s="1805"/>
      <c r="CB11" s="1805"/>
      <c r="CC11" s="1797"/>
      <c r="CD11" s="1791"/>
      <c r="CE11" s="1791"/>
      <c r="CF11" s="1807"/>
      <c r="CG11" s="1808"/>
      <c r="CH11" s="1791"/>
      <c r="CI11" s="1791"/>
      <c r="CJ11" s="1807"/>
      <c r="CK11" s="1808"/>
      <c r="CL11" s="1809"/>
      <c r="CM11" s="1809"/>
      <c r="CN11" s="1809"/>
      <c r="CO11" s="1809"/>
      <c r="CP11" s="1809"/>
      <c r="CQ11" s="1809"/>
      <c r="CR11" s="1809"/>
      <c r="CS11" s="1809"/>
      <c r="CT11" s="1809"/>
      <c r="CU11" s="1809"/>
      <c r="CV11" s="1809"/>
      <c r="CW11" s="1809"/>
      <c r="CX11" s="1809"/>
      <c r="CY11" s="1809"/>
      <c r="CZ11" s="1809"/>
      <c r="DA11" s="1809"/>
      <c r="DB11" s="1809"/>
      <c r="DC11" s="1809"/>
      <c r="DD11" s="1809"/>
      <c r="DE11" s="1809"/>
      <c r="DF11" s="1809"/>
      <c r="DG11" s="1809"/>
      <c r="DH11" s="1809"/>
      <c r="DI11" s="1809"/>
      <c r="DJ11" s="1809"/>
      <c r="DK11" s="1809"/>
      <c r="DL11" s="1809"/>
      <c r="DM11" s="1809"/>
      <c r="DN11" s="1809"/>
      <c r="DO11" s="1809"/>
      <c r="DP11" s="1809"/>
      <c r="DQ11" s="1809"/>
      <c r="DR11" s="1809"/>
      <c r="DS11" s="1809"/>
      <c r="DT11" s="1809"/>
      <c r="DU11" s="1809"/>
      <c r="DV11" s="1809"/>
      <c r="DW11" s="1809"/>
      <c r="DX11" s="1809"/>
      <c r="DY11" s="1809"/>
      <c r="DZ11" s="1809"/>
      <c r="EA11" s="1809"/>
      <c r="EB11" s="1809"/>
      <c r="EC11" s="1809"/>
      <c r="ED11" s="1809"/>
      <c r="EE11" s="1809"/>
      <c r="EF11" s="1809"/>
      <c r="EG11" s="1809"/>
      <c r="EH11" s="1809"/>
      <c r="EI11" s="1809"/>
      <c r="EJ11" s="1809"/>
      <c r="EK11" s="1809"/>
      <c r="EL11" s="1809"/>
      <c r="EM11" s="1809"/>
      <c r="EN11" s="1809"/>
      <c r="EO11" s="1809"/>
      <c r="EP11" s="1809"/>
      <c r="EQ11" s="1809"/>
      <c r="ER11" s="1809"/>
      <c r="ES11" s="1809"/>
      <c r="ET11" s="1809"/>
      <c r="EU11" s="1809"/>
      <c r="EV11" s="1809"/>
      <c r="EW11" s="1809"/>
      <c r="EX11" s="1809"/>
      <c r="EY11" s="1809"/>
      <c r="EZ11" s="1809"/>
      <c r="FA11" s="1809"/>
      <c r="FB11" s="1809"/>
      <c r="FC11" s="1809"/>
      <c r="FD11" s="1809"/>
      <c r="FE11" s="1809"/>
      <c r="FF11" s="1809"/>
      <c r="FG11" s="1809"/>
      <c r="FH11" s="1809"/>
      <c r="FI11" s="1809"/>
      <c r="FJ11" s="1809"/>
      <c r="FK11" s="1809"/>
      <c r="FL11" s="1809"/>
      <c r="FM11" s="1809"/>
      <c r="FN11" s="1809"/>
      <c r="FO11" s="1809"/>
      <c r="FP11" s="1809"/>
      <c r="FQ11" s="1809"/>
      <c r="FR11" s="1809"/>
    </row>
    <row r="12" spans="2:174" s="1756" customFormat="1" ht="15" customHeight="1" x14ac:dyDescent="0.2">
      <c r="C12" s="1810"/>
      <c r="D12" s="1810"/>
      <c r="K12" s="1810"/>
      <c r="L12" s="1827"/>
      <c r="M12" s="1810"/>
      <c r="N12" s="1735" t="s">
        <v>51</v>
      </c>
      <c r="O12" s="1828" t="s">
        <v>45</v>
      </c>
      <c r="P12" s="1735" t="s">
        <v>46</v>
      </c>
      <c r="Q12" s="1735" t="s">
        <v>47</v>
      </c>
      <c r="R12" s="1735" t="s">
        <v>48</v>
      </c>
      <c r="S12" s="1735" t="s">
        <v>49</v>
      </c>
      <c r="T12" s="1735" t="s">
        <v>50</v>
      </c>
      <c r="U12" s="1814"/>
      <c r="V12" s="1771"/>
      <c r="W12" s="1815"/>
      <c r="X12" s="1816"/>
      <c r="Y12" s="1764"/>
      <c r="Z12" s="1735" t="s">
        <v>51</v>
      </c>
      <c r="AA12" s="1828" t="s">
        <v>45</v>
      </c>
      <c r="AB12" s="1735" t="s">
        <v>46</v>
      </c>
      <c r="AC12" s="2265" t="s">
        <v>47</v>
      </c>
      <c r="AD12" s="1735" t="s">
        <v>48</v>
      </c>
      <c r="AE12" s="2265" t="s">
        <v>49</v>
      </c>
      <c r="AF12" s="1735" t="s">
        <v>50</v>
      </c>
      <c r="AG12" s="1764"/>
      <c r="AH12" s="1771"/>
      <c r="AI12" s="1815"/>
      <c r="AJ12" s="1829"/>
      <c r="AK12" s="1764"/>
      <c r="AL12" s="1735" t="s">
        <v>51</v>
      </c>
      <c r="AM12" s="1828" t="s">
        <v>45</v>
      </c>
      <c r="AN12" s="1735" t="s">
        <v>46</v>
      </c>
      <c r="AO12" s="1735" t="s">
        <v>47</v>
      </c>
      <c r="AP12" s="1735" t="s">
        <v>48</v>
      </c>
      <c r="AQ12" s="1735" t="s">
        <v>49</v>
      </c>
      <c r="AR12" s="1735" t="s">
        <v>50</v>
      </c>
      <c r="AS12" s="2289"/>
      <c r="AT12" s="1771"/>
      <c r="AU12" s="1815"/>
      <c r="AV12" s="1816"/>
      <c r="AW12" s="2289"/>
      <c r="AX12" s="1735" t="s">
        <v>51</v>
      </c>
      <c r="AY12" s="1828" t="s">
        <v>45</v>
      </c>
      <c r="AZ12" s="1735" t="s">
        <v>46</v>
      </c>
      <c r="BA12" s="1735" t="s">
        <v>47</v>
      </c>
      <c r="BB12" s="1735" t="s">
        <v>48</v>
      </c>
      <c r="BC12" s="1735" t="s">
        <v>49</v>
      </c>
      <c r="BD12" s="1735" t="s">
        <v>50</v>
      </c>
      <c r="BE12" s="2289"/>
      <c r="BF12" s="1771"/>
      <c r="BG12" s="1815"/>
      <c r="BH12" s="1816"/>
      <c r="BI12" s="1814"/>
      <c r="BJ12" s="1735" t="s">
        <v>51</v>
      </c>
      <c r="BK12" s="1735" t="s">
        <v>45</v>
      </c>
      <c r="BL12" s="1735" t="s">
        <v>46</v>
      </c>
      <c r="BM12" s="1814"/>
      <c r="BN12" s="1771"/>
      <c r="BO12" s="1815"/>
      <c r="BP12" s="1816"/>
      <c r="BR12" s="4614"/>
      <c r="BS12" s="4580"/>
      <c r="BU12" s="1814"/>
      <c r="BV12" s="1830"/>
      <c r="BW12" s="1830"/>
      <c r="BX12" s="1818"/>
      <c r="BY12" s="1770"/>
      <c r="BZ12" s="2262">
        <f>BV4-BU1</f>
        <v>0.83626973055012721</v>
      </c>
      <c r="CA12" s="4607"/>
      <c r="CB12" s="4608" t="s">
        <v>101</v>
      </c>
      <c r="CC12" s="1831"/>
      <c r="CD12" s="1832"/>
      <c r="CE12" s="1832"/>
      <c r="CF12" s="1833"/>
      <c r="CG12" s="1776"/>
      <c r="CH12" s="1776"/>
      <c r="CI12" s="1776"/>
      <c r="CJ12" s="1834"/>
      <c r="CK12" s="1776"/>
      <c r="CL12" s="1776"/>
      <c r="CM12" s="1776"/>
      <c r="CN12" s="1776"/>
      <c r="CO12" s="1776"/>
      <c r="CP12" s="1776"/>
      <c r="CQ12" s="1776"/>
      <c r="CR12" s="1776"/>
      <c r="CS12" s="1776"/>
      <c r="CT12" s="1776"/>
      <c r="CU12" s="1776"/>
      <c r="CV12" s="1776"/>
      <c r="CW12" s="1776"/>
      <c r="CX12" s="1776"/>
      <c r="CY12" s="1776"/>
      <c r="CZ12" s="1776"/>
      <c r="DA12" s="1776"/>
      <c r="DB12" s="1776"/>
      <c r="DC12" s="1776"/>
      <c r="DD12" s="1776"/>
      <c r="DE12" s="1776"/>
      <c r="DF12" s="1776"/>
      <c r="DG12" s="1776"/>
      <c r="DH12" s="1776"/>
      <c r="DI12" s="1776"/>
      <c r="DJ12" s="1776"/>
      <c r="DK12" s="1776"/>
      <c r="DL12" s="1776"/>
      <c r="DM12" s="1776"/>
      <c r="DN12" s="1776"/>
      <c r="DO12" s="1776"/>
      <c r="DP12" s="1776"/>
      <c r="DQ12" s="1776"/>
      <c r="DR12" s="1776"/>
      <c r="DS12" s="1776"/>
      <c r="DT12" s="1776"/>
      <c r="DU12" s="1776"/>
      <c r="DV12" s="1776"/>
      <c r="DW12" s="1776"/>
      <c r="DX12" s="1776"/>
      <c r="DY12" s="1776"/>
      <c r="DZ12" s="1776"/>
      <c r="EA12" s="1776"/>
      <c r="EB12" s="1776"/>
      <c r="EC12" s="1776"/>
      <c r="ED12" s="1776"/>
      <c r="EE12" s="1776"/>
      <c r="EF12" s="1776"/>
      <c r="EG12" s="1776"/>
      <c r="EH12" s="1776"/>
      <c r="EI12" s="1776"/>
      <c r="EJ12" s="1776"/>
      <c r="EK12" s="1776"/>
      <c r="EL12" s="1776"/>
      <c r="EM12" s="1776"/>
      <c r="EN12" s="1776"/>
      <c r="EO12" s="1776"/>
      <c r="EP12" s="1776"/>
      <c r="EQ12" s="1776"/>
      <c r="ER12" s="1776"/>
      <c r="ES12" s="1776"/>
      <c r="ET12" s="1776"/>
      <c r="EU12" s="1776"/>
      <c r="EV12" s="1776"/>
      <c r="EW12" s="1776"/>
      <c r="EX12" s="1776"/>
      <c r="EY12" s="1776"/>
      <c r="EZ12" s="1776"/>
      <c r="FA12" s="1776"/>
      <c r="FB12" s="1776"/>
      <c r="FC12" s="1776"/>
      <c r="FD12" s="1776"/>
      <c r="FE12" s="1776"/>
      <c r="FF12" s="1776"/>
      <c r="FG12" s="1776"/>
      <c r="FH12" s="1776"/>
      <c r="FI12" s="1776"/>
      <c r="FJ12" s="1776"/>
      <c r="FK12" s="1776"/>
      <c r="FL12" s="1776"/>
      <c r="FM12" s="1776"/>
      <c r="FN12" s="1776"/>
      <c r="FO12" s="1776"/>
      <c r="FP12" s="1776"/>
      <c r="FQ12" s="1776"/>
      <c r="FR12" s="1776"/>
    </row>
    <row r="13" spans="2:174" s="1777" customFormat="1" ht="17.25" thickBot="1" x14ac:dyDescent="0.25">
      <c r="B13" s="1835" t="s">
        <v>0</v>
      </c>
      <c r="C13" s="1836" t="s">
        <v>1</v>
      </c>
      <c r="D13" s="1744"/>
      <c r="E13" s="1836" t="s">
        <v>24</v>
      </c>
      <c r="F13" s="1837" t="s">
        <v>108</v>
      </c>
      <c r="G13" s="1838" t="s">
        <v>109</v>
      </c>
      <c r="H13" s="1839" t="s">
        <v>110</v>
      </c>
      <c r="I13" s="1840" t="s">
        <v>111</v>
      </c>
      <c r="J13" s="1841" t="s">
        <v>107</v>
      </c>
      <c r="K13" s="1836" t="s">
        <v>2</v>
      </c>
      <c r="L13" s="1842"/>
      <c r="M13" s="1800"/>
      <c r="N13" s="1835">
        <v>1</v>
      </c>
      <c r="O13" s="1835">
        <v>2</v>
      </c>
      <c r="P13" s="1835">
        <v>3</v>
      </c>
      <c r="Q13" s="1835">
        <v>4</v>
      </c>
      <c r="R13" s="1835">
        <v>5</v>
      </c>
      <c r="S13" s="1835">
        <v>6</v>
      </c>
      <c r="T13" s="1835">
        <v>7</v>
      </c>
      <c r="U13" s="1843"/>
      <c r="V13" s="1844"/>
      <c r="W13" s="1845"/>
      <c r="X13" s="1846"/>
      <c r="Y13" s="1847"/>
      <c r="Z13" s="1835">
        <v>8</v>
      </c>
      <c r="AA13" s="1835">
        <v>9</v>
      </c>
      <c r="AB13" s="1835">
        <v>10</v>
      </c>
      <c r="AC13" s="2267">
        <v>11</v>
      </c>
      <c r="AD13" s="1835">
        <v>12</v>
      </c>
      <c r="AE13" s="2267">
        <v>13</v>
      </c>
      <c r="AF13" s="1835">
        <v>14</v>
      </c>
      <c r="AG13" s="1744"/>
      <c r="AH13" s="1844"/>
      <c r="AI13" s="1845"/>
      <c r="AJ13" s="1846"/>
      <c r="AK13" s="1744"/>
      <c r="AL13" s="1835">
        <v>15</v>
      </c>
      <c r="AM13" s="1835">
        <v>16</v>
      </c>
      <c r="AN13" s="1835">
        <v>17</v>
      </c>
      <c r="AO13" s="1835">
        <v>18</v>
      </c>
      <c r="AP13" s="1835">
        <v>19</v>
      </c>
      <c r="AQ13" s="1835">
        <v>20</v>
      </c>
      <c r="AR13" s="1835">
        <v>21</v>
      </c>
      <c r="AS13" s="2291"/>
      <c r="AT13" s="1844"/>
      <c r="AU13" s="1845"/>
      <c r="AV13" s="1846"/>
      <c r="AW13" s="2291"/>
      <c r="AX13" s="1835">
        <v>21</v>
      </c>
      <c r="AY13" s="1835">
        <v>23</v>
      </c>
      <c r="AZ13" s="1835">
        <v>24</v>
      </c>
      <c r="BA13" s="1835">
        <v>25</v>
      </c>
      <c r="BB13" s="1835">
        <v>26</v>
      </c>
      <c r="BC13" s="1835">
        <v>27</v>
      </c>
      <c r="BD13" s="1835">
        <v>28</v>
      </c>
      <c r="BE13" s="2291"/>
      <c r="BF13" s="1844"/>
      <c r="BG13" s="1845"/>
      <c r="BH13" s="1846"/>
      <c r="BI13" s="1806"/>
      <c r="BJ13" s="1835">
        <v>29</v>
      </c>
      <c r="BK13" s="1835">
        <v>30</v>
      </c>
      <c r="BL13" s="1835">
        <v>31</v>
      </c>
      <c r="BM13" s="1806"/>
      <c r="BN13" s="1844"/>
      <c r="BO13" s="1845"/>
      <c r="BP13" s="1846"/>
      <c r="BR13" s="4615"/>
      <c r="BS13" s="4581"/>
      <c r="BU13" s="1835" t="s">
        <v>7</v>
      </c>
      <c r="BV13" s="1835" t="s">
        <v>2</v>
      </c>
      <c r="BW13" s="1806"/>
      <c r="BX13" s="1806"/>
      <c r="BY13" s="1795"/>
      <c r="BZ13" s="2263">
        <f>BV7-BU1</f>
        <v>0.28200345628985168</v>
      </c>
      <c r="CA13" s="4607"/>
      <c r="CB13" s="4608"/>
      <c r="CC13" s="1848"/>
      <c r="CD13" s="1799"/>
      <c r="CE13" s="1799"/>
      <c r="CF13" s="1799"/>
      <c r="CG13" s="1799"/>
      <c r="CH13" s="1799"/>
      <c r="CI13" s="1799"/>
      <c r="CJ13" s="1799"/>
      <c r="CK13" s="1799"/>
      <c r="CL13" s="1799"/>
      <c r="CM13" s="1799"/>
      <c r="CN13" s="1799"/>
      <c r="CO13" s="1799"/>
      <c r="CP13" s="1799"/>
      <c r="CQ13" s="1799"/>
      <c r="CR13" s="1799"/>
      <c r="CS13" s="1799"/>
      <c r="CT13" s="1799"/>
      <c r="CU13" s="1799"/>
      <c r="CV13" s="1799"/>
      <c r="CW13" s="1799"/>
      <c r="CX13" s="1799"/>
      <c r="CY13" s="1799"/>
      <c r="CZ13" s="1799"/>
      <c r="DA13" s="1799"/>
      <c r="DB13" s="1799"/>
      <c r="DC13" s="1799"/>
      <c r="DD13" s="1799"/>
      <c r="DE13" s="1799"/>
      <c r="DF13" s="1799"/>
      <c r="DG13" s="1799"/>
      <c r="DH13" s="1799"/>
      <c r="DI13" s="1799"/>
      <c r="DJ13" s="1799"/>
      <c r="DK13" s="1799"/>
      <c r="DL13" s="1799"/>
      <c r="DM13" s="1799"/>
      <c r="DN13" s="1799"/>
      <c r="DO13" s="1799"/>
      <c r="DP13" s="1799"/>
      <c r="DQ13" s="1799"/>
      <c r="DR13" s="1799"/>
      <c r="DS13" s="1799"/>
      <c r="DT13" s="1799"/>
      <c r="DU13" s="1799"/>
      <c r="DV13" s="1799"/>
      <c r="DW13" s="1799"/>
      <c r="DX13" s="1799"/>
      <c r="DY13" s="1799"/>
      <c r="DZ13" s="1799"/>
      <c r="EA13" s="1799"/>
      <c r="EB13" s="1799"/>
      <c r="EC13" s="1799"/>
      <c r="ED13" s="1799"/>
      <c r="EE13" s="1799"/>
      <c r="EF13" s="1799"/>
      <c r="EG13" s="1799"/>
      <c r="EH13" s="1799"/>
      <c r="EI13" s="1799"/>
      <c r="EJ13" s="1799"/>
      <c r="EK13" s="1799"/>
      <c r="EL13" s="1799"/>
      <c r="EM13" s="1799"/>
      <c r="EN13" s="1799"/>
      <c r="EO13" s="1799"/>
      <c r="EP13" s="1799"/>
      <c r="EQ13" s="1799"/>
      <c r="ER13" s="1799"/>
      <c r="ES13" s="1799"/>
      <c r="ET13" s="1799"/>
      <c r="EU13" s="1799"/>
      <c r="EV13" s="1799"/>
      <c r="EW13" s="1799"/>
      <c r="EX13" s="1799"/>
      <c r="EY13" s="1799"/>
      <c r="EZ13" s="1799"/>
      <c r="FA13" s="1799"/>
      <c r="FB13" s="1799"/>
      <c r="FC13" s="1799"/>
      <c r="FD13" s="1799"/>
      <c r="FE13" s="1799"/>
      <c r="FF13" s="1799"/>
      <c r="FG13" s="1799"/>
      <c r="FH13" s="1799"/>
      <c r="FI13" s="1799"/>
      <c r="FJ13" s="1799"/>
      <c r="FK13" s="1799"/>
      <c r="FL13" s="1799"/>
      <c r="FM13" s="1799"/>
      <c r="FN13" s="1799"/>
      <c r="FO13" s="1799"/>
      <c r="FP13" s="1799"/>
      <c r="FQ13" s="1799"/>
      <c r="FR13" s="1799"/>
    </row>
    <row r="14" spans="2:174" s="1777" customFormat="1" ht="4.5" customHeight="1" x14ac:dyDescent="0.2">
      <c r="B14" s="1806"/>
      <c r="C14" s="1800"/>
      <c r="D14" s="1800"/>
      <c r="E14" s="1800"/>
      <c r="F14" s="1849"/>
      <c r="G14" s="1850"/>
      <c r="H14" s="1851"/>
      <c r="I14" s="1852"/>
      <c r="J14" s="1800"/>
      <c r="K14" s="1800"/>
      <c r="L14" s="1842"/>
      <c r="M14" s="1800"/>
      <c r="N14" s="1806"/>
      <c r="O14" s="1806"/>
      <c r="P14" s="1806"/>
      <c r="Q14" s="1806"/>
      <c r="R14" s="1806"/>
      <c r="S14" s="1806"/>
      <c r="T14" s="1806"/>
      <c r="U14" s="1806"/>
      <c r="V14" s="1806"/>
      <c r="W14" s="1806"/>
      <c r="X14" s="1806"/>
      <c r="Y14" s="1800"/>
      <c r="Z14" s="1806"/>
      <c r="AA14" s="1806"/>
      <c r="AB14" s="1806"/>
      <c r="AC14" s="1806"/>
      <c r="AD14" s="1806"/>
      <c r="AE14" s="1806"/>
      <c r="AF14" s="1806"/>
      <c r="AG14" s="1800"/>
      <c r="AH14" s="1806"/>
      <c r="AI14" s="1806"/>
      <c r="AJ14" s="1806"/>
      <c r="AK14" s="1800"/>
      <c r="AL14" s="1806"/>
      <c r="AM14" s="1806"/>
      <c r="AN14" s="1806"/>
      <c r="AO14" s="1806"/>
      <c r="AP14" s="1806"/>
      <c r="AQ14" s="1806"/>
      <c r="AR14" s="1806"/>
      <c r="AS14" s="1806"/>
      <c r="AT14" s="1806"/>
      <c r="AU14" s="1806"/>
      <c r="AV14" s="1806"/>
      <c r="AW14" s="1806"/>
      <c r="AX14" s="1806"/>
      <c r="AY14" s="1806"/>
      <c r="AZ14" s="1806"/>
      <c r="BA14" s="1806"/>
      <c r="BB14" s="1806"/>
      <c r="BC14" s="1806"/>
      <c r="BD14" s="1806"/>
      <c r="BE14" s="1806"/>
      <c r="BF14" s="1806"/>
      <c r="BG14" s="1806"/>
      <c r="BH14" s="1806"/>
      <c r="BI14" s="1806"/>
      <c r="BJ14" s="1806"/>
      <c r="BK14" s="1806"/>
      <c r="BL14" s="1806"/>
      <c r="BM14" s="1806"/>
      <c r="BN14" s="1806"/>
      <c r="BO14" s="1806"/>
      <c r="BP14" s="1806"/>
      <c r="BR14" s="1853"/>
      <c r="BS14" s="1854"/>
      <c r="BU14" s="1800"/>
      <c r="BV14" s="1800"/>
      <c r="BW14" s="1800"/>
      <c r="BX14" s="1800"/>
      <c r="BZ14" s="1855"/>
      <c r="CA14" s="1800"/>
      <c r="CB14" s="1800"/>
      <c r="CC14" s="1856"/>
      <c r="CD14" s="1800"/>
      <c r="CE14" s="1800"/>
      <c r="CF14" s="1800"/>
      <c r="CG14" s="1800"/>
      <c r="CH14" s="1800"/>
      <c r="CI14" s="1800"/>
      <c r="CJ14" s="1800"/>
      <c r="CK14" s="1800"/>
      <c r="CL14" s="1800"/>
      <c r="CM14" s="1800"/>
      <c r="CN14" s="1800"/>
      <c r="CO14" s="1800"/>
      <c r="CP14" s="1800"/>
      <c r="CQ14" s="1800"/>
      <c r="CR14" s="1800"/>
      <c r="CS14" s="1800"/>
      <c r="CT14" s="1800"/>
      <c r="CU14" s="1800"/>
      <c r="CV14" s="1800"/>
      <c r="CW14" s="1800"/>
      <c r="CX14" s="1800"/>
      <c r="CY14" s="1800"/>
      <c r="CZ14" s="1800"/>
      <c r="DA14" s="1800"/>
      <c r="DB14" s="1800"/>
      <c r="DC14" s="1800"/>
      <c r="DD14" s="1800"/>
      <c r="DE14" s="1800"/>
      <c r="DF14" s="1800"/>
      <c r="DG14" s="1800"/>
      <c r="DH14" s="1800"/>
      <c r="DI14" s="1800"/>
      <c r="DJ14" s="1800"/>
      <c r="DK14" s="1800"/>
      <c r="DL14" s="1800"/>
      <c r="DM14" s="1800"/>
      <c r="DN14" s="1800"/>
      <c r="DO14" s="1800"/>
      <c r="DP14" s="1800"/>
      <c r="DQ14" s="1800"/>
      <c r="DR14" s="1800"/>
      <c r="DS14" s="1800"/>
      <c r="DT14" s="1800"/>
      <c r="DU14" s="1800"/>
      <c r="DV14" s="1800"/>
      <c r="DW14" s="1800"/>
      <c r="DX14" s="1800"/>
      <c r="DY14" s="1800"/>
      <c r="DZ14" s="1800"/>
      <c r="EA14" s="1800"/>
      <c r="EB14" s="1800"/>
      <c r="EC14" s="1800"/>
      <c r="ED14" s="1800"/>
      <c r="EE14" s="1800"/>
      <c r="EF14" s="1800"/>
      <c r="EG14" s="1800"/>
      <c r="EH14" s="1800"/>
      <c r="EI14" s="1800"/>
      <c r="EJ14" s="1800"/>
      <c r="EK14" s="1800"/>
      <c r="EL14" s="1800"/>
      <c r="EM14" s="1800"/>
      <c r="EN14" s="1800"/>
      <c r="EO14" s="1800"/>
      <c r="EP14" s="1800"/>
      <c r="EQ14" s="1800"/>
      <c r="ER14" s="1800"/>
      <c r="ES14" s="1800"/>
      <c r="ET14" s="1800"/>
      <c r="EU14" s="1800"/>
      <c r="EV14" s="1800"/>
      <c r="EW14" s="1800"/>
      <c r="EX14" s="1800"/>
      <c r="EY14" s="1800"/>
      <c r="EZ14" s="1800"/>
      <c r="FA14" s="1800"/>
      <c r="FB14" s="1800"/>
      <c r="FC14" s="1800"/>
      <c r="FD14" s="1800"/>
      <c r="FE14" s="1800"/>
      <c r="FF14" s="1800"/>
      <c r="FG14" s="1800"/>
      <c r="FH14" s="1800"/>
      <c r="FI14" s="1800"/>
      <c r="FJ14" s="1800"/>
      <c r="FK14" s="1800"/>
      <c r="FL14" s="1800"/>
      <c r="FM14" s="1800"/>
      <c r="FN14" s="1800"/>
      <c r="FO14" s="1800"/>
      <c r="FP14" s="1800"/>
      <c r="FQ14" s="1800"/>
      <c r="FR14" s="1800"/>
    </row>
    <row r="15" spans="2:174" s="1726" customFormat="1" ht="21" thickBot="1" x14ac:dyDescent="0.25">
      <c r="B15" s="1857"/>
      <c r="C15" s="1858" t="s">
        <v>170</v>
      </c>
      <c r="D15" s="1727"/>
      <c r="E15" s="1857"/>
      <c r="F15" s="1857"/>
      <c r="G15" s="1857"/>
      <c r="H15" s="1857"/>
      <c r="I15" s="1857"/>
      <c r="J15" s="1759">
        <f>J29*100/30</f>
        <v>111.87333333333332</v>
      </c>
      <c r="K15" s="1857"/>
      <c r="L15" s="1859"/>
      <c r="M15" s="1860"/>
      <c r="N15" s="1861"/>
      <c r="O15" s="1861"/>
      <c r="P15" s="1861"/>
      <c r="Q15" s="1861"/>
      <c r="R15" s="1861"/>
      <c r="S15" s="1861"/>
      <c r="T15" s="1861"/>
      <c r="U15" s="1861"/>
      <c r="V15" s="1861"/>
      <c r="W15" s="1861"/>
      <c r="X15" s="1861"/>
      <c r="Y15" s="1860"/>
      <c r="Z15" s="1861"/>
      <c r="AA15" s="1861"/>
      <c r="AB15" s="1861"/>
      <c r="AC15" s="4605" t="s">
        <v>224</v>
      </c>
      <c r="AD15" s="4605"/>
      <c r="AE15" s="4605"/>
      <c r="AF15" s="4605"/>
      <c r="AG15" s="1860"/>
      <c r="AH15" s="1861"/>
      <c r="AI15" s="1861"/>
      <c r="AJ15" s="1861"/>
      <c r="AK15" s="1860"/>
      <c r="AL15" s="1861"/>
      <c r="AM15" s="1861"/>
      <c r="AN15" s="1861"/>
      <c r="AO15" s="1861"/>
      <c r="AP15" s="1861"/>
      <c r="AQ15" s="1861"/>
      <c r="AR15" s="1861"/>
      <c r="AS15" s="1861"/>
      <c r="AT15" s="1861"/>
      <c r="AU15" s="1861"/>
      <c r="AV15" s="1861"/>
      <c r="AW15" s="1861"/>
      <c r="AX15" s="1861"/>
      <c r="AY15" s="1861"/>
      <c r="AZ15" s="1861"/>
      <c r="BA15" s="1861"/>
      <c r="BB15" s="1861"/>
      <c r="BC15" s="1861"/>
      <c r="BD15" s="1861"/>
      <c r="BE15" s="1861"/>
      <c r="BF15" s="1861"/>
      <c r="BG15" s="1861"/>
      <c r="BH15" s="1861"/>
      <c r="BI15" s="1861"/>
      <c r="BJ15" s="1861"/>
      <c r="BK15" s="1861"/>
      <c r="BL15" s="1861"/>
      <c r="BM15" s="1861"/>
      <c r="BN15" s="1861"/>
      <c r="BO15" s="1861"/>
      <c r="BP15" s="1861"/>
      <c r="BU15" s="4612" t="s">
        <v>99</v>
      </c>
      <c r="BV15" s="4612"/>
      <c r="BW15" s="1860"/>
      <c r="BX15" s="1862"/>
      <c r="BZ15" s="1862"/>
    </row>
    <row r="16" spans="2:174" s="1777" customFormat="1" x14ac:dyDescent="0.2">
      <c r="B16" s="1863">
        <v>1</v>
      </c>
      <c r="C16" s="1863" t="s">
        <v>216</v>
      </c>
      <c r="D16" s="1744"/>
      <c r="E16" s="1864">
        <v>400</v>
      </c>
      <c r="F16" s="1864">
        <f t="shared" ref="F16:F25" si="47">E16/10</f>
        <v>40</v>
      </c>
      <c r="G16" s="1864">
        <f t="shared" ref="G16:G25" si="48">E16/15</f>
        <v>26.666666666666668</v>
      </c>
      <c r="H16" s="1864">
        <f t="shared" ref="H16:H25" si="49">E16/20</f>
        <v>20</v>
      </c>
      <c r="I16" s="1864">
        <f t="shared" ref="I16:I25" si="50">E16/25</f>
        <v>16</v>
      </c>
      <c r="J16" s="1864">
        <f t="shared" ref="J16:J27" si="51">E16/25</f>
        <v>16</v>
      </c>
      <c r="K16" s="1865">
        <f>E16/$E$29</f>
        <v>0.47672963470591745</v>
      </c>
      <c r="L16" s="1866"/>
      <c r="M16" s="1867"/>
      <c r="N16" s="1780">
        <f>$J$16</f>
        <v>16</v>
      </c>
      <c r="O16" s="4602" t="s">
        <v>231</v>
      </c>
      <c r="P16" s="1780">
        <f>$J$16</f>
        <v>16</v>
      </c>
      <c r="Q16" s="1780">
        <f>$J$16</f>
        <v>16</v>
      </c>
      <c r="R16" s="1780">
        <f t="shared" ref="R16:T16" si="52">$J$16</f>
        <v>16</v>
      </c>
      <c r="S16" s="1780">
        <f t="shared" si="52"/>
        <v>16</v>
      </c>
      <c r="T16" s="1780">
        <f t="shared" si="52"/>
        <v>16</v>
      </c>
      <c r="U16" s="1801"/>
      <c r="V16" s="1868">
        <f>SUM(N16:T16)</f>
        <v>96</v>
      </c>
      <c r="W16" s="1869">
        <f>($V$6*K16)*30%</f>
        <v>105.97699779512544</v>
      </c>
      <c r="X16" s="1870">
        <f>W16-V16</f>
        <v>9.9769977951254418</v>
      </c>
      <c r="Y16" s="1788"/>
      <c r="Z16" s="1780">
        <f t="shared" ref="Z16:AF16" si="53">$J$16</f>
        <v>16</v>
      </c>
      <c r="AA16" s="1780">
        <f t="shared" si="53"/>
        <v>16</v>
      </c>
      <c r="AB16" s="1780">
        <f t="shared" si="53"/>
        <v>16</v>
      </c>
      <c r="AC16" s="4602" t="s">
        <v>231</v>
      </c>
      <c r="AD16" s="1780">
        <f t="shared" si="53"/>
        <v>16</v>
      </c>
      <c r="AE16" s="4602" t="s">
        <v>231</v>
      </c>
      <c r="AF16" s="1780">
        <f t="shared" si="53"/>
        <v>16</v>
      </c>
      <c r="AG16" s="1791"/>
      <c r="AH16" s="1868">
        <f>SUM(Z16:AF16)</f>
        <v>80</v>
      </c>
      <c r="AI16" s="1869">
        <f>($AH$6*K16)*30%</f>
        <v>158.85823252487933</v>
      </c>
      <c r="AJ16" s="1870">
        <f>AI16-AH16</f>
        <v>78.858232524879327</v>
      </c>
      <c r="AK16" s="1788"/>
      <c r="AL16" s="1780">
        <f t="shared" ref="AL16:AR16" si="54">$J$16</f>
        <v>16</v>
      </c>
      <c r="AM16" s="4590" t="s">
        <v>231</v>
      </c>
      <c r="AN16" s="1780">
        <f t="shared" si="54"/>
        <v>16</v>
      </c>
      <c r="AO16" s="1780">
        <f t="shared" si="54"/>
        <v>16</v>
      </c>
      <c r="AP16" s="1780">
        <f t="shared" si="54"/>
        <v>16</v>
      </c>
      <c r="AQ16" s="1780">
        <f t="shared" si="54"/>
        <v>16</v>
      </c>
      <c r="AR16" s="1780">
        <f t="shared" si="54"/>
        <v>16</v>
      </c>
      <c r="AS16" s="2290"/>
      <c r="AT16" s="1868">
        <f>SUM(AL16:AR16)</f>
        <v>96</v>
      </c>
      <c r="AU16" s="1869">
        <f>($AT$6*K16)*30%</f>
        <v>109.14486621774626</v>
      </c>
      <c r="AV16" s="1870">
        <f>AU16-AT16</f>
        <v>13.144866217746255</v>
      </c>
      <c r="AW16" s="2290"/>
      <c r="AX16" s="1780">
        <f t="shared" ref="AX16:BD16" si="55">$J$16</f>
        <v>16</v>
      </c>
      <c r="AY16" s="4599" t="s">
        <v>231</v>
      </c>
      <c r="AZ16" s="1780">
        <f t="shared" si="55"/>
        <v>16</v>
      </c>
      <c r="BA16" s="1780">
        <f t="shared" si="55"/>
        <v>16</v>
      </c>
      <c r="BB16" s="1780">
        <f t="shared" si="55"/>
        <v>16</v>
      </c>
      <c r="BC16" s="1780">
        <f t="shared" si="55"/>
        <v>16</v>
      </c>
      <c r="BD16" s="1780">
        <f t="shared" si="55"/>
        <v>16</v>
      </c>
      <c r="BE16" s="2290"/>
      <c r="BF16" s="1868">
        <f t="shared" ref="BF16:BF27" si="56">SUM(AX16:BD16)</f>
        <v>96</v>
      </c>
      <c r="BG16" s="1869">
        <f>($BF$6*K16)*30%</f>
        <v>108.7444133245933</v>
      </c>
      <c r="BH16" s="1870">
        <f>BG16-BF16</f>
        <v>12.744413324593296</v>
      </c>
      <c r="BI16" s="1801"/>
      <c r="BJ16" s="1780">
        <f t="shared" ref="BJ16:BL16" si="57">$J$16</f>
        <v>16</v>
      </c>
      <c r="BK16" s="4599" t="s">
        <v>231</v>
      </c>
      <c r="BL16" s="2292">
        <f t="shared" si="57"/>
        <v>16</v>
      </c>
      <c r="BM16" s="1801"/>
      <c r="BN16" s="1868">
        <f>SUM(BJ16:BL16)</f>
        <v>32</v>
      </c>
      <c r="BO16" s="1869">
        <f t="shared" ref="BO16:BO27" si="58">($BN$6*K16)*30%</f>
        <v>30.076872653596332</v>
      </c>
      <c r="BP16" s="1870">
        <f>BO16-BN16</f>
        <v>-1.9231273464036676</v>
      </c>
      <c r="BR16" s="1750">
        <v>0</v>
      </c>
      <c r="BS16" s="1871">
        <f t="shared" ref="BS16:BS27" si="59">BR16/E16</f>
        <v>0</v>
      </c>
      <c r="BT16" s="1795"/>
      <c r="BU16" s="2559">
        <f>SUM(N16:T16)+SUM(Z16:AF16)+SUM(AL16:AR16)+SUM(AX16:BD16)+SUM(BJ16:BL16)</f>
        <v>400</v>
      </c>
      <c r="BV16" s="1873">
        <f>BU16/E16</f>
        <v>1</v>
      </c>
      <c r="BW16" s="1802"/>
      <c r="BX16" s="1783"/>
      <c r="BZ16" s="2252">
        <f>50*3</f>
        <v>150</v>
      </c>
      <c r="CA16" s="1874"/>
      <c r="CB16" s="1860"/>
      <c r="CC16" s="1860"/>
      <c r="CD16" s="1860"/>
      <c r="CE16" s="1860"/>
      <c r="CF16" s="1860"/>
      <c r="CG16" s="1860"/>
      <c r="CH16" s="1860"/>
    </row>
    <row r="17" spans="1:87" s="1726" customFormat="1" x14ac:dyDescent="0.2">
      <c r="B17" s="1857">
        <v>2</v>
      </c>
      <c r="C17" s="1857" t="s">
        <v>217</v>
      </c>
      <c r="D17" s="1727"/>
      <c r="E17" s="1759">
        <v>217.75</v>
      </c>
      <c r="F17" s="1759">
        <f t="shared" si="47"/>
        <v>21.774999999999999</v>
      </c>
      <c r="G17" s="1759">
        <f t="shared" si="48"/>
        <v>14.516666666666667</v>
      </c>
      <c r="H17" s="1759">
        <f t="shared" si="49"/>
        <v>10.887499999999999</v>
      </c>
      <c r="I17" s="1759">
        <f t="shared" si="50"/>
        <v>8.7100000000000009</v>
      </c>
      <c r="J17" s="1759">
        <f t="shared" si="51"/>
        <v>8.7100000000000009</v>
      </c>
      <c r="K17" s="1875">
        <f>E17/$E$29</f>
        <v>0.25951969489303378</v>
      </c>
      <c r="L17" s="1876"/>
      <c r="M17" s="1877"/>
      <c r="N17" s="1759">
        <f>$J$17</f>
        <v>8.7100000000000009</v>
      </c>
      <c r="O17" s="4603"/>
      <c r="P17" s="1759">
        <f>$J$17</f>
        <v>8.7100000000000009</v>
      </c>
      <c r="Q17" s="1759">
        <f>$J$17</f>
        <v>8.7100000000000009</v>
      </c>
      <c r="R17" s="1759">
        <f t="shared" ref="R17:T17" si="60">$J$17</f>
        <v>8.7100000000000009</v>
      </c>
      <c r="S17" s="1759">
        <f t="shared" si="60"/>
        <v>8.7100000000000009</v>
      </c>
      <c r="T17" s="1759">
        <f t="shared" si="60"/>
        <v>8.7100000000000009</v>
      </c>
      <c r="U17" s="1878"/>
      <c r="V17" s="1879">
        <f t="shared" ref="V17:V93" si="61">SUM(N17:T17)</f>
        <v>52.260000000000005</v>
      </c>
      <c r="W17" s="1759">
        <f t="shared" ref="W17:W26" si="62">($V$6*K17)*30%</f>
        <v>57.69122817472141</v>
      </c>
      <c r="X17" s="1880">
        <f t="shared" ref="X17:X26" si="63">W17-V17</f>
        <v>5.4312281747214044</v>
      </c>
      <c r="Y17" s="1881"/>
      <c r="Z17" s="1759">
        <f t="shared" ref="Z17:AF17" si="64">$J$17</f>
        <v>8.7100000000000009</v>
      </c>
      <c r="AA17" s="1759">
        <f t="shared" si="64"/>
        <v>8.7100000000000009</v>
      </c>
      <c r="AB17" s="1759">
        <f t="shared" si="64"/>
        <v>8.7100000000000009</v>
      </c>
      <c r="AC17" s="4603"/>
      <c r="AD17" s="1759">
        <f t="shared" si="64"/>
        <v>8.7100000000000009</v>
      </c>
      <c r="AE17" s="4603"/>
      <c r="AF17" s="1759">
        <f t="shared" si="64"/>
        <v>8.7100000000000009</v>
      </c>
      <c r="AG17" s="1862"/>
      <c r="AH17" s="1879">
        <f t="shared" ref="AH17:AH48" si="65">SUM(Z17:AF17)</f>
        <v>43.550000000000004</v>
      </c>
      <c r="AI17" s="1759">
        <f>($AH$6*K17)*30%</f>
        <v>86.478450330731178</v>
      </c>
      <c r="AJ17" s="1880">
        <f t="shared" ref="AJ17:AJ48" si="66">AI17-AH17</f>
        <v>42.928450330731174</v>
      </c>
      <c r="AK17" s="1881"/>
      <c r="AL17" s="1759">
        <f t="shared" ref="AL17:AR17" si="67">$J$17</f>
        <v>8.7100000000000009</v>
      </c>
      <c r="AM17" s="4591"/>
      <c r="AN17" s="1759">
        <f t="shared" si="67"/>
        <v>8.7100000000000009</v>
      </c>
      <c r="AO17" s="1759">
        <f t="shared" si="67"/>
        <v>8.7100000000000009</v>
      </c>
      <c r="AP17" s="1759">
        <f t="shared" si="67"/>
        <v>8.7100000000000009</v>
      </c>
      <c r="AQ17" s="1759">
        <f t="shared" si="67"/>
        <v>8.7100000000000009</v>
      </c>
      <c r="AR17" s="1759">
        <f t="shared" si="67"/>
        <v>8.7100000000000009</v>
      </c>
      <c r="AS17" s="2293"/>
      <c r="AT17" s="1879">
        <f t="shared" ref="AT17:AT27" si="68">SUM(AL17:AR17)</f>
        <v>52.260000000000005</v>
      </c>
      <c r="AU17" s="1759">
        <f t="shared" ref="AU17:AU27" si="69">($AT$6*K17)*30%</f>
        <v>59.415736547285618</v>
      </c>
      <c r="AV17" s="1880">
        <f t="shared" ref="AV17" si="70">AU17-AT17</f>
        <v>7.1557365472856134</v>
      </c>
      <c r="AW17" s="2293"/>
      <c r="AX17" s="1759">
        <f t="shared" ref="AX17:BD17" si="71">$J$17</f>
        <v>8.7100000000000009</v>
      </c>
      <c r="AY17" s="4600"/>
      <c r="AZ17" s="1759">
        <f t="shared" si="71"/>
        <v>8.7100000000000009</v>
      </c>
      <c r="BA17" s="1759">
        <f t="shared" si="71"/>
        <v>8.7100000000000009</v>
      </c>
      <c r="BB17" s="1759">
        <f t="shared" si="71"/>
        <v>8.7100000000000009</v>
      </c>
      <c r="BC17" s="1759">
        <f t="shared" si="71"/>
        <v>8.7100000000000009</v>
      </c>
      <c r="BD17" s="1759">
        <f t="shared" si="71"/>
        <v>8.7100000000000009</v>
      </c>
      <c r="BE17" s="2293"/>
      <c r="BF17" s="1879">
        <f t="shared" si="56"/>
        <v>52.260000000000005</v>
      </c>
      <c r="BG17" s="1759">
        <f t="shared" ref="BG17:BG27" si="72">($BF$6*K17)*30%</f>
        <v>59.197740003575468</v>
      </c>
      <c r="BH17" s="1880">
        <f t="shared" ref="BH17" si="73">BG17-BF17</f>
        <v>6.9377400035754633</v>
      </c>
      <c r="BI17" s="1878"/>
      <c r="BJ17" s="1759">
        <f t="shared" ref="BJ17:BL17" si="74">$J$17</f>
        <v>8.7100000000000009</v>
      </c>
      <c r="BK17" s="4600"/>
      <c r="BL17" s="2294">
        <f t="shared" si="74"/>
        <v>8.7100000000000009</v>
      </c>
      <c r="BM17" s="1878"/>
      <c r="BN17" s="1879">
        <f t="shared" ref="BN17:BN27" si="75">SUM(BJ17:BL17)</f>
        <v>17.420000000000002</v>
      </c>
      <c r="BO17" s="1759">
        <f t="shared" si="58"/>
        <v>16.3730975508015</v>
      </c>
      <c r="BP17" s="1880">
        <f t="shared" ref="BP17" si="76">BO17-BN17</f>
        <v>-1.0469024491985017</v>
      </c>
      <c r="BR17" s="1732">
        <v>0</v>
      </c>
      <c r="BS17" s="1882">
        <f t="shared" si="59"/>
        <v>0</v>
      </c>
      <c r="BT17" s="1740"/>
      <c r="BU17" s="2555">
        <f>SUM(N17:T17)+SUM(Z17:AF17)+SUM(AL17:AR17)+SUM(AX17:BD17)+SUM(BJ17:BL17)</f>
        <v>217.75</v>
      </c>
      <c r="BV17" s="1883">
        <f t="shared" ref="BV17:BV27" si="77">BU17/E17</f>
        <v>1</v>
      </c>
      <c r="BW17" s="1830"/>
      <c r="BX17" s="1874"/>
      <c r="BZ17" s="1862">
        <f>20*22</f>
        <v>440</v>
      </c>
      <c r="CA17" s="1783"/>
      <c r="CB17" s="1800"/>
      <c r="CC17" s="1810"/>
      <c r="CD17" s="1810"/>
      <c r="CE17" s="1810"/>
      <c r="CF17" s="1810"/>
      <c r="CG17" s="1810"/>
      <c r="CH17" s="1810"/>
    </row>
    <row r="18" spans="1:87" s="1885" customFormat="1" x14ac:dyDescent="0.2">
      <c r="B18" s="1886">
        <v>3</v>
      </c>
      <c r="C18" s="1887" t="s">
        <v>222</v>
      </c>
      <c r="D18" s="1888"/>
      <c r="E18" s="1889">
        <v>117</v>
      </c>
      <c r="F18" s="1889"/>
      <c r="G18" s="1889"/>
      <c r="H18" s="1889"/>
      <c r="I18" s="1889"/>
      <c r="J18" s="1889">
        <f t="shared" si="51"/>
        <v>4.68</v>
      </c>
      <c r="K18" s="1890">
        <f t="shared" ref="K18:K19" si="78">E18/$E$29</f>
        <v>0.13944341815148084</v>
      </c>
      <c r="L18" s="1891"/>
      <c r="M18" s="1892"/>
      <c r="N18" s="1889">
        <f>$J$18</f>
        <v>4.68</v>
      </c>
      <c r="O18" s="4603"/>
      <c r="P18" s="1889">
        <f>$J$18</f>
        <v>4.68</v>
      </c>
      <c r="Q18" s="1889">
        <f>$J$18</f>
        <v>4.68</v>
      </c>
      <c r="R18" s="1889">
        <f t="shared" ref="R18:T18" si="79">$J$18</f>
        <v>4.68</v>
      </c>
      <c r="S18" s="1889">
        <f t="shared" si="79"/>
        <v>4.68</v>
      </c>
      <c r="T18" s="1889">
        <f t="shared" si="79"/>
        <v>4.68</v>
      </c>
      <c r="U18" s="1893"/>
      <c r="V18" s="1894">
        <f>SUM(N18:T18)</f>
        <v>28.08</v>
      </c>
      <c r="W18" s="1889">
        <f>($V$6*K18)*30%</f>
        <v>30.99827185507419</v>
      </c>
      <c r="X18" s="1895">
        <f>W18-V18</f>
        <v>2.9182718550741917</v>
      </c>
      <c r="Y18" s="1896"/>
      <c r="Z18" s="1889">
        <f t="shared" ref="Z18:AF18" si="80">$J$18</f>
        <v>4.68</v>
      </c>
      <c r="AA18" s="1889">
        <f t="shared" si="80"/>
        <v>4.68</v>
      </c>
      <c r="AB18" s="1889">
        <f t="shared" si="80"/>
        <v>4.68</v>
      </c>
      <c r="AC18" s="4603"/>
      <c r="AD18" s="1889">
        <f t="shared" si="80"/>
        <v>4.68</v>
      </c>
      <c r="AE18" s="4603"/>
      <c r="AF18" s="1889">
        <f t="shared" si="80"/>
        <v>4.68</v>
      </c>
      <c r="AG18" s="1897"/>
      <c r="AH18" s="1894">
        <f>SUM(Z18:AF18)</f>
        <v>23.4</v>
      </c>
      <c r="AI18" s="1889">
        <f t="shared" ref="AI18:AI19" si="81">($AH$6*K18)*30%</f>
        <v>46.466033013527202</v>
      </c>
      <c r="AJ18" s="1895">
        <f>AI18-AH18</f>
        <v>23.066033013527203</v>
      </c>
      <c r="AK18" s="1896"/>
      <c r="AL18" s="1889">
        <f t="shared" ref="AL18:AR18" si="82">$J$18</f>
        <v>4.68</v>
      </c>
      <c r="AM18" s="4591"/>
      <c r="AN18" s="1889">
        <f t="shared" si="82"/>
        <v>4.68</v>
      </c>
      <c r="AO18" s="1889">
        <f t="shared" si="82"/>
        <v>4.68</v>
      </c>
      <c r="AP18" s="1889">
        <f t="shared" si="82"/>
        <v>4.68</v>
      </c>
      <c r="AQ18" s="1889">
        <f t="shared" si="82"/>
        <v>4.68</v>
      </c>
      <c r="AR18" s="1889">
        <f t="shared" si="82"/>
        <v>4.68</v>
      </c>
      <c r="AS18" s="2295"/>
      <c r="AT18" s="1894">
        <f>SUM(AL18:AR18)</f>
        <v>28.08</v>
      </c>
      <c r="AU18" s="1889">
        <f>($AT$6*K18)*30%</f>
        <v>31.924873368690776</v>
      </c>
      <c r="AV18" s="1895">
        <f>AU18-AT18</f>
        <v>3.8448733686907772</v>
      </c>
      <c r="AW18" s="2295"/>
      <c r="AX18" s="1889">
        <f t="shared" ref="AX18:BD18" si="83">$J$18</f>
        <v>4.68</v>
      </c>
      <c r="AY18" s="4600"/>
      <c r="AZ18" s="1889">
        <f t="shared" si="83"/>
        <v>4.68</v>
      </c>
      <c r="BA18" s="1889">
        <f t="shared" si="83"/>
        <v>4.68</v>
      </c>
      <c r="BB18" s="1889">
        <f t="shared" si="83"/>
        <v>4.68</v>
      </c>
      <c r="BC18" s="1889">
        <f t="shared" si="83"/>
        <v>4.68</v>
      </c>
      <c r="BD18" s="1889">
        <f t="shared" si="83"/>
        <v>4.68</v>
      </c>
      <c r="BE18" s="2295"/>
      <c r="BF18" s="1894">
        <f t="shared" ref="BF18:BF19" si="84">SUM(AX18:BD18)</f>
        <v>28.08</v>
      </c>
      <c r="BG18" s="1889">
        <f t="shared" ref="BG18:BG19" si="85">($BF$6*K18)*30%</f>
        <v>31.807740897443537</v>
      </c>
      <c r="BH18" s="1895">
        <f>BG18-BF18</f>
        <v>3.7277408974435389</v>
      </c>
      <c r="BI18" s="1893"/>
      <c r="BJ18" s="1889">
        <f t="shared" ref="BJ18:BL18" si="86">$J$18</f>
        <v>4.68</v>
      </c>
      <c r="BK18" s="4600"/>
      <c r="BL18" s="2296">
        <f t="shared" si="86"/>
        <v>4.68</v>
      </c>
      <c r="BM18" s="1893"/>
      <c r="BN18" s="1894">
        <f t="shared" ref="BN18:BN19" si="87">SUM(BJ18:BL18)</f>
        <v>9.36</v>
      </c>
      <c r="BO18" s="1889">
        <f t="shared" ref="BO18" si="88">($BN$6*K18)*30%</f>
        <v>8.7974852511769264</v>
      </c>
      <c r="BP18" s="1895">
        <f>BO18-BN18</f>
        <v>-0.56251474882307306</v>
      </c>
      <c r="BR18" s="1898">
        <v>0</v>
      </c>
      <c r="BS18" s="1899">
        <f t="shared" ref="BS18:BS19" si="89">BR18/E18</f>
        <v>0</v>
      </c>
      <c r="BT18" s="1900"/>
      <c r="BU18" s="2556">
        <f t="shared" ref="BU18:BU19" si="90">SUM(N18:T18)+SUM(Z18:AF18)+SUM(AL18:AR18)+SUM(AX18:BD18)+SUM(BJ18:BL18)</f>
        <v>117</v>
      </c>
      <c r="BV18" s="1902">
        <f>BU18/E18</f>
        <v>1</v>
      </c>
      <c r="BW18" s="1962"/>
      <c r="BX18" s="1903"/>
      <c r="BZ18" s="1897">
        <f>10*24</f>
        <v>240</v>
      </c>
      <c r="CA18" s="1905"/>
      <c r="CB18" s="1906"/>
      <c r="CC18" s="1906"/>
      <c r="CD18" s="1906"/>
      <c r="CE18" s="1906"/>
      <c r="CF18" s="1906"/>
      <c r="CG18" s="1906"/>
      <c r="CH18" s="1906"/>
    </row>
    <row r="19" spans="1:87" s="1726" customFormat="1" x14ac:dyDescent="0.2">
      <c r="B19" s="1857">
        <v>4</v>
      </c>
      <c r="C19" s="1857" t="s">
        <v>223</v>
      </c>
      <c r="D19" s="1727"/>
      <c r="E19" s="1759">
        <v>35</v>
      </c>
      <c r="F19" s="1759"/>
      <c r="G19" s="1759"/>
      <c r="H19" s="1759"/>
      <c r="I19" s="1759"/>
      <c r="J19" s="1759">
        <f t="shared" si="51"/>
        <v>1.4</v>
      </c>
      <c r="K19" s="1875">
        <f t="shared" si="78"/>
        <v>4.1713843036767777E-2</v>
      </c>
      <c r="L19" s="1876"/>
      <c r="M19" s="1877"/>
      <c r="N19" s="1759">
        <f>$J$19</f>
        <v>1.4</v>
      </c>
      <c r="O19" s="4603"/>
      <c r="P19" s="1759">
        <f>$J$19</f>
        <v>1.4</v>
      </c>
      <c r="Q19" s="1759">
        <f>$J$19</f>
        <v>1.4</v>
      </c>
      <c r="R19" s="1759">
        <f t="shared" ref="R19:T19" si="91">$J$19</f>
        <v>1.4</v>
      </c>
      <c r="S19" s="1759">
        <f t="shared" si="91"/>
        <v>1.4</v>
      </c>
      <c r="T19" s="1759">
        <f t="shared" si="91"/>
        <v>1.4</v>
      </c>
      <c r="U19" s="1878"/>
      <c r="V19" s="1879">
        <f>SUM(N19:T19)</f>
        <v>8.4</v>
      </c>
      <c r="W19" s="1759">
        <f>($V$6*K19)*30%</f>
        <v>9.2729873070734765</v>
      </c>
      <c r="X19" s="1880">
        <f>W19-V19</f>
        <v>0.87298730707347616</v>
      </c>
      <c r="Y19" s="1881"/>
      <c r="Z19" s="1759">
        <f t="shared" ref="Z19:AF19" si="92">$J$19</f>
        <v>1.4</v>
      </c>
      <c r="AA19" s="1759">
        <f t="shared" si="92"/>
        <v>1.4</v>
      </c>
      <c r="AB19" s="1759">
        <f t="shared" si="92"/>
        <v>1.4</v>
      </c>
      <c r="AC19" s="4603"/>
      <c r="AD19" s="1759">
        <f t="shared" si="92"/>
        <v>1.4</v>
      </c>
      <c r="AE19" s="4603"/>
      <c r="AF19" s="1759">
        <f t="shared" si="92"/>
        <v>1.4</v>
      </c>
      <c r="AG19" s="1862"/>
      <c r="AH19" s="1879">
        <f t="shared" ref="AH19" si="93">SUM(Z19:AF19)</f>
        <v>7</v>
      </c>
      <c r="AI19" s="1759">
        <f t="shared" si="81"/>
        <v>13.900095345926943</v>
      </c>
      <c r="AJ19" s="1880">
        <f t="shared" ref="AJ19" si="94">AI19-AH19</f>
        <v>6.9000953459269425</v>
      </c>
      <c r="AK19" s="1881"/>
      <c r="AL19" s="1759">
        <f t="shared" ref="AL19:AR19" si="95">$J$19</f>
        <v>1.4</v>
      </c>
      <c r="AM19" s="4591"/>
      <c r="AN19" s="1759">
        <f t="shared" si="95"/>
        <v>1.4</v>
      </c>
      <c r="AO19" s="1759">
        <f t="shared" si="95"/>
        <v>1.4</v>
      </c>
      <c r="AP19" s="1759">
        <f t="shared" si="95"/>
        <v>1.4</v>
      </c>
      <c r="AQ19" s="1759">
        <f t="shared" si="95"/>
        <v>1.4</v>
      </c>
      <c r="AR19" s="1759">
        <f t="shared" si="95"/>
        <v>1.4</v>
      </c>
      <c r="AS19" s="2293"/>
      <c r="AT19" s="1879">
        <f t="shared" ref="AT19" si="96">SUM(AL19:AR19)</f>
        <v>8.4</v>
      </c>
      <c r="AU19" s="1759">
        <f t="shared" ref="AU19" si="97">($AT$6*K19)*30%</f>
        <v>9.550175794052798</v>
      </c>
      <c r="AV19" s="1880">
        <f t="shared" ref="AV19" si="98">AU19-AT19</f>
        <v>1.1501757940527977</v>
      </c>
      <c r="AW19" s="2293"/>
      <c r="AX19" s="1759">
        <f t="shared" ref="AX19:BD19" si="99">$J$19</f>
        <v>1.4</v>
      </c>
      <c r="AY19" s="4600"/>
      <c r="AZ19" s="1759">
        <f t="shared" si="99"/>
        <v>1.4</v>
      </c>
      <c r="BA19" s="1759">
        <f t="shared" si="99"/>
        <v>1.4</v>
      </c>
      <c r="BB19" s="1759">
        <f t="shared" si="99"/>
        <v>1.4</v>
      </c>
      <c r="BC19" s="1759">
        <f t="shared" si="99"/>
        <v>1.4</v>
      </c>
      <c r="BD19" s="1759">
        <f t="shared" si="99"/>
        <v>1.4</v>
      </c>
      <c r="BE19" s="2293"/>
      <c r="BF19" s="1879">
        <f t="shared" si="84"/>
        <v>8.4</v>
      </c>
      <c r="BG19" s="1759">
        <f t="shared" si="85"/>
        <v>9.5151361659019145</v>
      </c>
      <c r="BH19" s="1880">
        <f t="shared" ref="BH19" si="100">BG19-BF19</f>
        <v>1.1151361659019141</v>
      </c>
      <c r="BI19" s="1878"/>
      <c r="BJ19" s="1759">
        <f t="shared" ref="BJ19:BL19" si="101">$J$19</f>
        <v>1.4</v>
      </c>
      <c r="BK19" s="4600"/>
      <c r="BL19" s="2294">
        <f t="shared" si="101"/>
        <v>1.4</v>
      </c>
      <c r="BM19" s="1878"/>
      <c r="BN19" s="1879">
        <f t="shared" si="87"/>
        <v>2.8</v>
      </c>
      <c r="BO19" s="1759">
        <f>($BN$6*K19)*30%</f>
        <v>2.6317263571896787</v>
      </c>
      <c r="BP19" s="1880">
        <f t="shared" ref="BP19" si="102">BO19-BN19</f>
        <v>-0.16827364281032109</v>
      </c>
      <c r="BR19" s="1732">
        <v>0</v>
      </c>
      <c r="BS19" s="1882">
        <f t="shared" si="89"/>
        <v>0</v>
      </c>
      <c r="BT19" s="1740"/>
      <c r="BU19" s="2555">
        <f t="shared" si="90"/>
        <v>35</v>
      </c>
      <c r="BV19" s="1883">
        <f t="shared" ref="BV19" si="103">BU19/E19</f>
        <v>1</v>
      </c>
      <c r="BW19" s="1830"/>
      <c r="BX19" s="1874"/>
      <c r="BZ19" s="1862">
        <f>5*37</f>
        <v>185</v>
      </c>
      <c r="CA19" s="1761"/>
      <c r="CB19" s="1810"/>
      <c r="CC19" s="1810"/>
      <c r="CD19" s="1810"/>
      <c r="CE19" s="1810"/>
      <c r="CF19" s="1810"/>
      <c r="CG19" s="1810"/>
      <c r="CH19" s="1810"/>
    </row>
    <row r="20" spans="1:87" x14ac:dyDescent="0.2">
      <c r="B20" s="1863">
        <v>5</v>
      </c>
      <c r="C20" s="1907" t="s">
        <v>211</v>
      </c>
      <c r="D20" s="1744"/>
      <c r="E20" s="1780">
        <v>27.8</v>
      </c>
      <c r="F20" s="1780"/>
      <c r="G20" s="1780"/>
      <c r="H20" s="1780"/>
      <c r="I20" s="1780"/>
      <c r="J20" s="1780">
        <f t="shared" si="51"/>
        <v>1.1120000000000001</v>
      </c>
      <c r="K20" s="1908">
        <f t="shared" ref="K20" si="104">E20/$E$29</f>
        <v>3.3132709612061259E-2</v>
      </c>
      <c r="L20" s="1909"/>
      <c r="M20" s="1910"/>
      <c r="N20" s="1780">
        <f>$J$20</f>
        <v>1.1120000000000001</v>
      </c>
      <c r="O20" s="4603"/>
      <c r="P20" s="1780">
        <f t="shared" ref="P20:T20" si="105">$J$20</f>
        <v>1.1120000000000001</v>
      </c>
      <c r="Q20" s="1780">
        <f t="shared" si="105"/>
        <v>1.1120000000000001</v>
      </c>
      <c r="R20" s="1780">
        <f t="shared" si="105"/>
        <v>1.1120000000000001</v>
      </c>
      <c r="S20" s="1780">
        <f t="shared" si="105"/>
        <v>1.1120000000000001</v>
      </c>
      <c r="T20" s="1780">
        <f t="shared" si="105"/>
        <v>1.1120000000000001</v>
      </c>
      <c r="U20" s="1911"/>
      <c r="V20" s="1912">
        <f>SUM(N20:T20)</f>
        <v>6.6720000000000006</v>
      </c>
      <c r="W20" s="1780">
        <f>($V$6*K20)*30%</f>
        <v>7.3654013467612174</v>
      </c>
      <c r="X20" s="1913">
        <f>W20-V20</f>
        <v>0.69340134676121679</v>
      </c>
      <c r="Y20" s="1914"/>
      <c r="Z20" s="1780">
        <f t="shared" ref="Z20:AB20" si="106">$J$20</f>
        <v>1.1120000000000001</v>
      </c>
      <c r="AA20" s="1780">
        <f t="shared" si="106"/>
        <v>1.1120000000000001</v>
      </c>
      <c r="AB20" s="1780">
        <f t="shared" si="106"/>
        <v>1.1120000000000001</v>
      </c>
      <c r="AC20" s="4603"/>
      <c r="AD20" s="1780">
        <f>$J$20</f>
        <v>1.1120000000000001</v>
      </c>
      <c r="AE20" s="4603"/>
      <c r="AF20" s="1780">
        <f>$J$20</f>
        <v>1.1120000000000001</v>
      </c>
      <c r="AG20" s="1915"/>
      <c r="AH20" s="1912">
        <f t="shared" ref="AH20" si="107">SUM(Z20:AF20)</f>
        <v>5.5600000000000005</v>
      </c>
      <c r="AI20" s="1780">
        <f t="shared" ref="AI20" si="108">($AH$6*K20)*30%</f>
        <v>11.040647160479113</v>
      </c>
      <c r="AJ20" s="1913">
        <f t="shared" ref="AJ20" si="109">AI20-AH20</f>
        <v>5.480647160479112</v>
      </c>
      <c r="AK20" s="1914"/>
      <c r="AL20" s="1780">
        <f>$J$20</f>
        <v>1.1120000000000001</v>
      </c>
      <c r="AM20" s="4591"/>
      <c r="AN20" s="1780">
        <f>$J$20</f>
        <v>1.1120000000000001</v>
      </c>
      <c r="AO20" s="1780">
        <f>$J$20</f>
        <v>1.1120000000000001</v>
      </c>
      <c r="AP20" s="1780">
        <f>$J$20</f>
        <v>1.1120000000000001</v>
      </c>
      <c r="AQ20" s="1780">
        <f>$J$20</f>
        <v>1.1120000000000001</v>
      </c>
      <c r="AR20" s="1780">
        <f>$J$20</f>
        <v>1.1120000000000001</v>
      </c>
      <c r="AS20" s="2297"/>
      <c r="AT20" s="1912">
        <f t="shared" ref="AT20" si="110">SUM(AL20:AR20)</f>
        <v>6.6720000000000006</v>
      </c>
      <c r="AU20" s="1780">
        <f t="shared" ref="AU20" si="111">($AT$6*K20)*30%</f>
        <v>7.5855682021333646</v>
      </c>
      <c r="AV20" s="1913">
        <f t="shared" ref="AV20" si="112">AU20-AT20</f>
        <v>0.91356820213336398</v>
      </c>
      <c r="AW20" s="2297"/>
      <c r="AX20" s="1780">
        <f>$J$20</f>
        <v>1.1120000000000001</v>
      </c>
      <c r="AY20" s="4600"/>
      <c r="AZ20" s="1780">
        <f>$J$20</f>
        <v>1.1120000000000001</v>
      </c>
      <c r="BA20" s="1780">
        <f>$J$20</f>
        <v>1.1120000000000001</v>
      </c>
      <c r="BB20" s="1780">
        <f>$J$20</f>
        <v>1.1120000000000001</v>
      </c>
      <c r="BC20" s="1780">
        <f>$J$20</f>
        <v>1.1120000000000001</v>
      </c>
      <c r="BD20" s="1780">
        <f>$J$20</f>
        <v>1.1120000000000001</v>
      </c>
      <c r="BE20" s="2297"/>
      <c r="BF20" s="1912">
        <f t="shared" ref="BF20" si="113">SUM(AX20:BD20)</f>
        <v>6.6720000000000006</v>
      </c>
      <c r="BG20" s="1780">
        <f t="shared" ref="BG20" si="114">($BF$6*K20)*30%</f>
        <v>7.5577367260592334</v>
      </c>
      <c r="BH20" s="1913">
        <f t="shared" ref="BH20" si="115">BG20-BF20</f>
        <v>0.88573672605923282</v>
      </c>
      <c r="BI20" s="2269"/>
      <c r="BJ20" s="1780">
        <f>$J$20</f>
        <v>1.1120000000000001</v>
      </c>
      <c r="BK20" s="4600"/>
      <c r="BL20" s="2292">
        <f>$J$20</f>
        <v>1.1120000000000001</v>
      </c>
      <c r="BM20" s="2269"/>
      <c r="BN20" s="1912">
        <f t="shared" ref="BN20" si="116">SUM(BJ20:BL20)</f>
        <v>2.2240000000000002</v>
      </c>
      <c r="BO20" s="1780">
        <f>($BN$6*K20)*30%</f>
        <v>2.0903426494249446</v>
      </c>
      <c r="BP20" s="1913">
        <f t="shared" ref="BP20" si="117">BO20-BN20</f>
        <v>-0.13365735057505557</v>
      </c>
      <c r="BR20" s="1747">
        <v>0</v>
      </c>
      <c r="BS20" s="1752">
        <f t="shared" ref="BS20" si="118">BR20/E20</f>
        <v>0</v>
      </c>
      <c r="BT20" s="1754"/>
      <c r="BU20" s="2558">
        <f t="shared" ref="BU20" si="119">SUM(N20:T20)+SUM(Z20:AF20)+SUM(AL20:AR20)+SUM(AX20:BD20)+SUM(BJ20:BL20)</f>
        <v>27.800000000000004</v>
      </c>
      <c r="BV20" s="1753">
        <f t="shared" ref="BV20" si="120">BU20/E20</f>
        <v>1.0000000000000002</v>
      </c>
      <c r="BW20" s="1993"/>
      <c r="BX20" s="1916"/>
      <c r="BZ20" s="2553">
        <v>56</v>
      </c>
      <c r="CA20" s="1761"/>
      <c r="CB20" s="1810"/>
      <c r="CC20" s="1800"/>
      <c r="CD20" s="1800"/>
      <c r="CE20" s="1800"/>
      <c r="CF20" s="1800"/>
      <c r="CG20" s="1800"/>
      <c r="CH20" s="1800"/>
    </row>
    <row r="21" spans="1:87" s="1726" customFormat="1" x14ac:dyDescent="0.2">
      <c r="B21" s="1857">
        <v>6</v>
      </c>
      <c r="C21" s="1857" t="s">
        <v>218</v>
      </c>
      <c r="D21" s="1727"/>
      <c r="E21" s="1759">
        <v>25.5</v>
      </c>
      <c r="F21" s="1759">
        <f t="shared" si="47"/>
        <v>2.5499999999999998</v>
      </c>
      <c r="G21" s="1759">
        <f t="shared" si="48"/>
        <v>1.7</v>
      </c>
      <c r="H21" s="1759">
        <f t="shared" si="49"/>
        <v>1.2749999999999999</v>
      </c>
      <c r="I21" s="1759">
        <f t="shared" si="50"/>
        <v>1.02</v>
      </c>
      <c r="J21" s="1759">
        <f t="shared" si="51"/>
        <v>1.02</v>
      </c>
      <c r="K21" s="1875">
        <f t="shared" ref="K21:K27" si="121">E21/$E$29</f>
        <v>3.0391514212502236E-2</v>
      </c>
      <c r="L21" s="1876"/>
      <c r="M21" s="1877"/>
      <c r="N21" s="1759">
        <f>$J$21</f>
        <v>1.02</v>
      </c>
      <c r="O21" s="4603"/>
      <c r="P21" s="1759">
        <f>$J$21</f>
        <v>1.02</v>
      </c>
      <c r="Q21" s="1759">
        <f>$J$21</f>
        <v>1.02</v>
      </c>
      <c r="R21" s="1759">
        <f t="shared" ref="R21:T21" si="122">$J$21</f>
        <v>1.02</v>
      </c>
      <c r="S21" s="1759">
        <f t="shared" si="122"/>
        <v>1.02</v>
      </c>
      <c r="T21" s="1759">
        <f t="shared" si="122"/>
        <v>1.02</v>
      </c>
      <c r="U21" s="1878"/>
      <c r="V21" s="1879">
        <f t="shared" si="61"/>
        <v>6.1199999999999992</v>
      </c>
      <c r="W21" s="1759">
        <f t="shared" si="62"/>
        <v>6.756033609439247</v>
      </c>
      <c r="X21" s="1880">
        <f>W21-V21</f>
        <v>0.6360336094392478</v>
      </c>
      <c r="Y21" s="1881"/>
      <c r="Z21" s="1759">
        <f t="shared" ref="Z21:AF21" si="123">$J$21</f>
        <v>1.02</v>
      </c>
      <c r="AA21" s="1759">
        <f t="shared" si="123"/>
        <v>1.02</v>
      </c>
      <c r="AB21" s="1759">
        <f t="shared" si="123"/>
        <v>1.02</v>
      </c>
      <c r="AC21" s="4603"/>
      <c r="AD21" s="1759">
        <f t="shared" si="123"/>
        <v>1.02</v>
      </c>
      <c r="AE21" s="4603"/>
      <c r="AF21" s="1759">
        <f t="shared" si="123"/>
        <v>1.02</v>
      </c>
      <c r="AG21" s="1862"/>
      <c r="AH21" s="1879">
        <f t="shared" si="65"/>
        <v>5.0999999999999996</v>
      </c>
      <c r="AI21" s="1759">
        <f>($AH$6*K21)*30%</f>
        <v>10.127212323461057</v>
      </c>
      <c r="AJ21" s="1880">
        <f>AI21-AH21</f>
        <v>5.0272123234610575</v>
      </c>
      <c r="AK21" s="1881"/>
      <c r="AL21" s="1759">
        <f t="shared" ref="AL21:AR21" si="124">$J$21</f>
        <v>1.02</v>
      </c>
      <c r="AM21" s="4591"/>
      <c r="AN21" s="1759">
        <f t="shared" si="124"/>
        <v>1.02</v>
      </c>
      <c r="AO21" s="1759">
        <f t="shared" si="124"/>
        <v>1.02</v>
      </c>
      <c r="AP21" s="1759">
        <f t="shared" si="124"/>
        <v>1.02</v>
      </c>
      <c r="AQ21" s="1759">
        <f t="shared" si="124"/>
        <v>1.02</v>
      </c>
      <c r="AR21" s="1759">
        <f t="shared" si="124"/>
        <v>1.02</v>
      </c>
      <c r="AS21" s="2293"/>
      <c r="AT21" s="1879">
        <f t="shared" si="68"/>
        <v>6.1199999999999992</v>
      </c>
      <c r="AU21" s="1759">
        <f t="shared" si="69"/>
        <v>6.9579852213813238</v>
      </c>
      <c r="AV21" s="1880">
        <f>AU21-AT21</f>
        <v>0.83798522138132459</v>
      </c>
      <c r="AW21" s="2293"/>
      <c r="AX21" s="1759">
        <f t="shared" ref="AX21:BD21" si="125">$J$21</f>
        <v>1.02</v>
      </c>
      <c r="AY21" s="4600"/>
      <c r="AZ21" s="1759">
        <f t="shared" si="125"/>
        <v>1.02</v>
      </c>
      <c r="BA21" s="1759">
        <f t="shared" si="125"/>
        <v>1.02</v>
      </c>
      <c r="BB21" s="1759">
        <f t="shared" si="125"/>
        <v>1.02</v>
      </c>
      <c r="BC21" s="1759">
        <f t="shared" si="125"/>
        <v>1.02</v>
      </c>
      <c r="BD21" s="1759">
        <f t="shared" si="125"/>
        <v>1.02</v>
      </c>
      <c r="BE21" s="2293"/>
      <c r="BF21" s="1879">
        <f t="shared" si="56"/>
        <v>6.1199999999999992</v>
      </c>
      <c r="BG21" s="1759">
        <f t="shared" si="72"/>
        <v>6.9324563494428224</v>
      </c>
      <c r="BH21" s="1880">
        <f>BG21-BF21</f>
        <v>0.81245634944282319</v>
      </c>
      <c r="BI21" s="1878"/>
      <c r="BJ21" s="1759">
        <f t="shared" ref="BJ21:BL21" si="126">$J$21</f>
        <v>1.02</v>
      </c>
      <c r="BK21" s="4600"/>
      <c r="BL21" s="2294">
        <f t="shared" si="126"/>
        <v>1.02</v>
      </c>
      <c r="BM21" s="1878"/>
      <c r="BN21" s="1879">
        <f t="shared" si="75"/>
        <v>2.04</v>
      </c>
      <c r="BO21" s="1759">
        <f t="shared" si="58"/>
        <v>1.9174006316667662</v>
      </c>
      <c r="BP21" s="1880">
        <f>BO21-BN21</f>
        <v>-0.12259936833323382</v>
      </c>
      <c r="BR21" s="1732">
        <v>0</v>
      </c>
      <c r="BS21" s="1882">
        <f t="shared" si="59"/>
        <v>0</v>
      </c>
      <c r="BT21" s="1740"/>
      <c r="BU21" s="2555">
        <f t="shared" ref="BU21:BU27" si="127">SUM(N21:T21)+SUM(Z21:AF21)+SUM(AL21:AR21)+SUM(AX21:BD21)+SUM(BJ21:BL21)</f>
        <v>25.499999999999993</v>
      </c>
      <c r="BV21" s="1918">
        <f t="shared" si="77"/>
        <v>0.99999999999999967</v>
      </c>
      <c r="BW21" s="1997"/>
      <c r="BX21" s="1874"/>
      <c r="BZ21" s="1766">
        <v>10</v>
      </c>
      <c r="CA21" s="1874"/>
      <c r="CB21" s="1920"/>
      <c r="CC21" s="1810"/>
      <c r="CD21" s="1810"/>
      <c r="CE21" s="1810"/>
      <c r="CF21" s="1810"/>
      <c r="CG21" s="1810"/>
      <c r="CH21" s="1810"/>
    </row>
    <row r="22" spans="1:87" x14ac:dyDescent="0.2">
      <c r="A22" s="1777"/>
      <c r="B22" s="1863">
        <v>7</v>
      </c>
      <c r="C22" s="1907" t="s">
        <v>235</v>
      </c>
      <c r="D22" s="1744"/>
      <c r="E22" s="1780">
        <v>0</v>
      </c>
      <c r="F22" s="1780">
        <f t="shared" si="47"/>
        <v>0</v>
      </c>
      <c r="G22" s="1780">
        <f t="shared" si="48"/>
        <v>0</v>
      </c>
      <c r="H22" s="1780">
        <f t="shared" si="49"/>
        <v>0</v>
      </c>
      <c r="I22" s="1780">
        <f t="shared" si="50"/>
        <v>0</v>
      </c>
      <c r="J22" s="1780">
        <f t="shared" si="51"/>
        <v>0</v>
      </c>
      <c r="K22" s="1908">
        <f t="shared" si="121"/>
        <v>0</v>
      </c>
      <c r="L22" s="1909"/>
      <c r="M22" s="1910"/>
      <c r="N22" s="1780">
        <f>$J$22</f>
        <v>0</v>
      </c>
      <c r="O22" s="4603"/>
      <c r="P22" s="1780">
        <f>$J$22</f>
        <v>0</v>
      </c>
      <c r="Q22" s="1780">
        <f>$J$22</f>
        <v>0</v>
      </c>
      <c r="R22" s="1780">
        <f t="shared" ref="R22:T22" si="128">$J$22</f>
        <v>0</v>
      </c>
      <c r="S22" s="1780">
        <f t="shared" si="128"/>
        <v>0</v>
      </c>
      <c r="T22" s="1780">
        <f t="shared" si="128"/>
        <v>0</v>
      </c>
      <c r="U22" s="1911"/>
      <c r="V22" s="1912">
        <f t="shared" si="61"/>
        <v>0</v>
      </c>
      <c r="W22" s="1780">
        <f t="shared" si="62"/>
        <v>0</v>
      </c>
      <c r="X22" s="1913">
        <f t="shared" si="63"/>
        <v>0</v>
      </c>
      <c r="Y22" s="1914"/>
      <c r="Z22" s="1780">
        <f t="shared" ref="Z22:AF22" si="129">$J$22</f>
        <v>0</v>
      </c>
      <c r="AA22" s="1780">
        <f t="shared" si="129"/>
        <v>0</v>
      </c>
      <c r="AB22" s="1780">
        <f t="shared" si="129"/>
        <v>0</v>
      </c>
      <c r="AC22" s="4603"/>
      <c r="AD22" s="1780">
        <f t="shared" si="129"/>
        <v>0</v>
      </c>
      <c r="AE22" s="4603"/>
      <c r="AF22" s="1780">
        <f t="shared" si="129"/>
        <v>0</v>
      </c>
      <c r="AG22" s="1915"/>
      <c r="AH22" s="1912">
        <f t="shared" si="65"/>
        <v>0</v>
      </c>
      <c r="AI22" s="1780">
        <f t="shared" ref="AI22:AI27" si="130">($AH$6*K22)*30%</f>
        <v>0</v>
      </c>
      <c r="AJ22" s="1913">
        <f t="shared" si="66"/>
        <v>0</v>
      </c>
      <c r="AK22" s="1914"/>
      <c r="AL22" s="1780">
        <f t="shared" ref="AL22:AR22" si="131">$J$22</f>
        <v>0</v>
      </c>
      <c r="AM22" s="4591"/>
      <c r="AN22" s="1780">
        <f t="shared" si="131"/>
        <v>0</v>
      </c>
      <c r="AO22" s="1780">
        <f t="shared" si="131"/>
        <v>0</v>
      </c>
      <c r="AP22" s="1780">
        <f t="shared" si="131"/>
        <v>0</v>
      </c>
      <c r="AQ22" s="1780">
        <f t="shared" si="131"/>
        <v>0</v>
      </c>
      <c r="AR22" s="1780">
        <f t="shared" si="131"/>
        <v>0</v>
      </c>
      <c r="AS22" s="2297"/>
      <c r="AT22" s="1912">
        <f t="shared" si="68"/>
        <v>0</v>
      </c>
      <c r="AU22" s="1780">
        <f t="shared" si="69"/>
        <v>0</v>
      </c>
      <c r="AV22" s="1913">
        <f t="shared" ref="AV22:AV27" si="132">AU22-AT22</f>
        <v>0</v>
      </c>
      <c r="AW22" s="2297"/>
      <c r="AX22" s="1780">
        <f t="shared" ref="AX22:BD22" si="133">$J$22</f>
        <v>0</v>
      </c>
      <c r="AY22" s="4600"/>
      <c r="AZ22" s="1780">
        <f t="shared" si="133"/>
        <v>0</v>
      </c>
      <c r="BA22" s="1780">
        <f t="shared" si="133"/>
        <v>0</v>
      </c>
      <c r="BB22" s="1780">
        <f t="shared" si="133"/>
        <v>0</v>
      </c>
      <c r="BC22" s="1780">
        <f t="shared" si="133"/>
        <v>0</v>
      </c>
      <c r="BD22" s="1780">
        <f t="shared" si="133"/>
        <v>0</v>
      </c>
      <c r="BE22" s="2297"/>
      <c r="BF22" s="1912">
        <f t="shared" si="56"/>
        <v>0</v>
      </c>
      <c r="BG22" s="1780">
        <f t="shared" si="72"/>
        <v>0</v>
      </c>
      <c r="BH22" s="1913">
        <f t="shared" ref="BH22:BH27" si="134">BG22-BF22</f>
        <v>0</v>
      </c>
      <c r="BI22" s="2269"/>
      <c r="BJ22" s="1780">
        <f t="shared" ref="BJ22:BL22" si="135">$J$22</f>
        <v>0</v>
      </c>
      <c r="BK22" s="4600"/>
      <c r="BL22" s="2292">
        <f t="shared" si="135"/>
        <v>0</v>
      </c>
      <c r="BM22" s="2269"/>
      <c r="BN22" s="1912">
        <f t="shared" si="75"/>
        <v>0</v>
      </c>
      <c r="BO22" s="1780">
        <f t="shared" si="58"/>
        <v>0</v>
      </c>
      <c r="BP22" s="1913">
        <f t="shared" ref="BP22:BP34" si="136">BO22-BN22</f>
        <v>0</v>
      </c>
      <c r="BR22" s="1747">
        <v>0</v>
      </c>
      <c r="BS22" s="1752" t="e">
        <f t="shared" si="59"/>
        <v>#DIV/0!</v>
      </c>
      <c r="BT22" s="1754"/>
      <c r="BU22" s="2558">
        <f t="shared" si="127"/>
        <v>0</v>
      </c>
      <c r="BV22" s="1753" t="e">
        <f t="shared" si="77"/>
        <v>#DIV/0!</v>
      </c>
      <c r="BW22" s="1993"/>
      <c r="BX22" s="1916"/>
      <c r="BZ22" s="2554">
        <f>SUM(BZ16:BZ21)</f>
        <v>1081</v>
      </c>
      <c r="CA22" s="1783"/>
      <c r="CB22" s="1922"/>
      <c r="CC22" s="1923"/>
      <c r="CD22" s="1923"/>
      <c r="CE22" s="1923"/>
      <c r="CF22" s="1923"/>
      <c r="CG22" s="1923"/>
      <c r="CH22" s="1923"/>
    </row>
    <row r="23" spans="1:87" s="1726" customFormat="1" x14ac:dyDescent="0.2">
      <c r="A23" s="1756"/>
      <c r="B23" s="1857">
        <v>8</v>
      </c>
      <c r="C23" s="1857" t="s">
        <v>219</v>
      </c>
      <c r="D23" s="1727"/>
      <c r="E23" s="1759">
        <v>12</v>
      </c>
      <c r="F23" s="1759">
        <f t="shared" si="47"/>
        <v>1.2</v>
      </c>
      <c r="G23" s="1759">
        <f t="shared" si="48"/>
        <v>0.8</v>
      </c>
      <c r="H23" s="1759">
        <f t="shared" si="49"/>
        <v>0.6</v>
      </c>
      <c r="I23" s="1759">
        <f t="shared" si="50"/>
        <v>0.48</v>
      </c>
      <c r="J23" s="1759">
        <f t="shared" si="51"/>
        <v>0.48</v>
      </c>
      <c r="K23" s="1875">
        <f t="shared" si="121"/>
        <v>1.4301889041177523E-2</v>
      </c>
      <c r="L23" s="1876"/>
      <c r="M23" s="1924"/>
      <c r="N23" s="1759">
        <f>$J$23</f>
        <v>0.48</v>
      </c>
      <c r="O23" s="4603"/>
      <c r="P23" s="1759">
        <f>$J$23</f>
        <v>0.48</v>
      </c>
      <c r="Q23" s="1759">
        <f>$J$23</f>
        <v>0.48</v>
      </c>
      <c r="R23" s="1759">
        <f t="shared" ref="R23:T23" si="137">$J$23</f>
        <v>0.48</v>
      </c>
      <c r="S23" s="1759">
        <f t="shared" si="137"/>
        <v>0.48</v>
      </c>
      <c r="T23" s="1759">
        <f t="shared" si="137"/>
        <v>0.48</v>
      </c>
      <c r="U23" s="1878"/>
      <c r="V23" s="1879">
        <f t="shared" si="61"/>
        <v>2.88</v>
      </c>
      <c r="W23" s="1759">
        <f t="shared" si="62"/>
        <v>3.1793099338537631</v>
      </c>
      <c r="X23" s="1880">
        <f t="shared" si="63"/>
        <v>0.29930993385376325</v>
      </c>
      <c r="Y23" s="1881"/>
      <c r="Z23" s="1759">
        <f t="shared" ref="Z23:AF23" si="138">$J$23</f>
        <v>0.48</v>
      </c>
      <c r="AA23" s="1759">
        <f t="shared" si="138"/>
        <v>0.48</v>
      </c>
      <c r="AB23" s="1759">
        <f t="shared" si="138"/>
        <v>0.48</v>
      </c>
      <c r="AC23" s="4603"/>
      <c r="AD23" s="1759">
        <f t="shared" si="138"/>
        <v>0.48</v>
      </c>
      <c r="AE23" s="4603"/>
      <c r="AF23" s="1759">
        <f t="shared" si="138"/>
        <v>0.48</v>
      </c>
      <c r="AG23" s="1862"/>
      <c r="AH23" s="1879">
        <f>SUM(Z23:AF23)</f>
        <v>2.4</v>
      </c>
      <c r="AI23" s="1759">
        <f t="shared" si="130"/>
        <v>4.7657469757463797</v>
      </c>
      <c r="AJ23" s="1880">
        <f t="shared" si="66"/>
        <v>2.3657469757463798</v>
      </c>
      <c r="AK23" s="1881"/>
      <c r="AL23" s="1759">
        <f t="shared" ref="AL23:AR23" si="139">$J$23</f>
        <v>0.48</v>
      </c>
      <c r="AM23" s="4591"/>
      <c r="AN23" s="1759">
        <f t="shared" si="139"/>
        <v>0.48</v>
      </c>
      <c r="AO23" s="1759">
        <f t="shared" si="139"/>
        <v>0.48</v>
      </c>
      <c r="AP23" s="1759">
        <f t="shared" si="139"/>
        <v>0.48</v>
      </c>
      <c r="AQ23" s="1759">
        <f t="shared" si="139"/>
        <v>0.48</v>
      </c>
      <c r="AR23" s="1759">
        <f t="shared" si="139"/>
        <v>0.48</v>
      </c>
      <c r="AS23" s="2293"/>
      <c r="AT23" s="1879">
        <f t="shared" si="68"/>
        <v>2.88</v>
      </c>
      <c r="AU23" s="1759">
        <f t="shared" si="69"/>
        <v>3.2743459865323881</v>
      </c>
      <c r="AV23" s="1880">
        <f t="shared" si="132"/>
        <v>0.39434598653238817</v>
      </c>
      <c r="AW23" s="2293"/>
      <c r="AX23" s="1759">
        <f t="shared" ref="AX23:BD23" si="140">$J$23</f>
        <v>0.48</v>
      </c>
      <c r="AY23" s="4600"/>
      <c r="AZ23" s="1759">
        <f t="shared" si="140"/>
        <v>0.48</v>
      </c>
      <c r="BA23" s="1759">
        <f t="shared" si="140"/>
        <v>0.48</v>
      </c>
      <c r="BB23" s="1759">
        <f t="shared" si="140"/>
        <v>0.48</v>
      </c>
      <c r="BC23" s="1759">
        <f t="shared" si="140"/>
        <v>0.48</v>
      </c>
      <c r="BD23" s="1759">
        <f t="shared" si="140"/>
        <v>0.48</v>
      </c>
      <c r="BE23" s="2293"/>
      <c r="BF23" s="1879">
        <f t="shared" si="56"/>
        <v>2.88</v>
      </c>
      <c r="BG23" s="1759">
        <f t="shared" si="72"/>
        <v>3.2623323997377991</v>
      </c>
      <c r="BH23" s="1880">
        <f t="shared" si="134"/>
        <v>0.3823323997377992</v>
      </c>
      <c r="BI23" s="1878"/>
      <c r="BJ23" s="1759">
        <f t="shared" ref="BJ23:BL23" si="141">$J$23</f>
        <v>0.48</v>
      </c>
      <c r="BK23" s="4600"/>
      <c r="BL23" s="2294">
        <f t="shared" si="141"/>
        <v>0.48</v>
      </c>
      <c r="BM23" s="1878"/>
      <c r="BN23" s="1879">
        <f t="shared" si="75"/>
        <v>0.96</v>
      </c>
      <c r="BO23" s="1759">
        <f t="shared" si="58"/>
        <v>0.90230617960788995</v>
      </c>
      <c r="BP23" s="1880">
        <f t="shared" si="136"/>
        <v>-5.7693820392110018E-2</v>
      </c>
      <c r="BR23" s="1732">
        <v>0</v>
      </c>
      <c r="BS23" s="1882">
        <f t="shared" si="59"/>
        <v>0</v>
      </c>
      <c r="BT23" s="1740"/>
      <c r="BU23" s="2555">
        <f t="shared" si="127"/>
        <v>12</v>
      </c>
      <c r="BV23" s="1918">
        <f t="shared" si="77"/>
        <v>1</v>
      </c>
      <c r="BW23" s="1997"/>
      <c r="BX23" s="1874"/>
      <c r="BZ23" s="1862">
        <f>E29+236.216</f>
        <v>1075.2660000000001</v>
      </c>
      <c r="CA23" s="2447"/>
      <c r="CB23" s="1923"/>
      <c r="CC23" s="1860"/>
      <c r="CD23" s="1860"/>
      <c r="CE23" s="1860"/>
      <c r="CF23" s="1860"/>
      <c r="CG23" s="1860"/>
      <c r="CH23" s="1860"/>
    </row>
    <row r="24" spans="1:87" s="1777" customFormat="1" x14ac:dyDescent="0.2">
      <c r="B24" s="1863">
        <v>9</v>
      </c>
      <c r="C24" s="1907" t="s">
        <v>204</v>
      </c>
      <c r="D24" s="1744"/>
      <c r="E24" s="1780">
        <v>0</v>
      </c>
      <c r="F24" s="1780">
        <f t="shared" si="47"/>
        <v>0</v>
      </c>
      <c r="G24" s="1780">
        <f t="shared" si="48"/>
        <v>0</v>
      </c>
      <c r="H24" s="1780">
        <f t="shared" si="49"/>
        <v>0</v>
      </c>
      <c r="I24" s="1780">
        <f t="shared" si="50"/>
        <v>0</v>
      </c>
      <c r="J24" s="1780">
        <f t="shared" si="51"/>
        <v>0</v>
      </c>
      <c r="K24" s="1908">
        <f t="shared" si="121"/>
        <v>0</v>
      </c>
      <c r="L24" s="1866"/>
      <c r="M24" s="1910"/>
      <c r="N24" s="1780">
        <f>$J$24</f>
        <v>0</v>
      </c>
      <c r="O24" s="4603"/>
      <c r="P24" s="1780">
        <f>$J$24</f>
        <v>0</v>
      </c>
      <c r="Q24" s="1780">
        <f>$J$24</f>
        <v>0</v>
      </c>
      <c r="R24" s="1780">
        <f t="shared" ref="R24:T24" si="142">$J$24</f>
        <v>0</v>
      </c>
      <c r="S24" s="1780">
        <f t="shared" si="142"/>
        <v>0</v>
      </c>
      <c r="T24" s="1780">
        <f t="shared" si="142"/>
        <v>0</v>
      </c>
      <c r="U24" s="1801"/>
      <c r="V24" s="1912">
        <f t="shared" si="61"/>
        <v>0</v>
      </c>
      <c r="W24" s="1780">
        <f t="shared" si="62"/>
        <v>0</v>
      </c>
      <c r="X24" s="1913">
        <f t="shared" si="63"/>
        <v>0</v>
      </c>
      <c r="Y24" s="1788"/>
      <c r="Z24" s="1780">
        <f t="shared" ref="Z24:AF24" si="143">$J$24</f>
        <v>0</v>
      </c>
      <c r="AA24" s="1780">
        <f t="shared" si="143"/>
        <v>0</v>
      </c>
      <c r="AB24" s="1780">
        <f t="shared" si="143"/>
        <v>0</v>
      </c>
      <c r="AC24" s="4603"/>
      <c r="AD24" s="1780">
        <f t="shared" si="143"/>
        <v>0</v>
      </c>
      <c r="AE24" s="4603"/>
      <c r="AF24" s="1780">
        <f t="shared" si="143"/>
        <v>0</v>
      </c>
      <c r="AG24" s="1926"/>
      <c r="AH24" s="1912">
        <f t="shared" si="65"/>
        <v>0</v>
      </c>
      <c r="AI24" s="1780">
        <f t="shared" si="130"/>
        <v>0</v>
      </c>
      <c r="AJ24" s="1913">
        <f t="shared" si="66"/>
        <v>0</v>
      </c>
      <c r="AK24" s="1927"/>
      <c r="AL24" s="1780">
        <f t="shared" ref="AL24:AR24" si="144">$J$24</f>
        <v>0</v>
      </c>
      <c r="AM24" s="4591"/>
      <c r="AN24" s="1780">
        <f t="shared" si="144"/>
        <v>0</v>
      </c>
      <c r="AO24" s="1780">
        <f t="shared" si="144"/>
        <v>0</v>
      </c>
      <c r="AP24" s="1780">
        <f t="shared" si="144"/>
        <v>0</v>
      </c>
      <c r="AQ24" s="1780">
        <f t="shared" si="144"/>
        <v>0</v>
      </c>
      <c r="AR24" s="1780">
        <f t="shared" si="144"/>
        <v>0</v>
      </c>
      <c r="AS24" s="1750"/>
      <c r="AT24" s="1912">
        <f t="shared" si="68"/>
        <v>0</v>
      </c>
      <c r="AU24" s="1780">
        <f t="shared" si="69"/>
        <v>0</v>
      </c>
      <c r="AV24" s="1913">
        <f t="shared" si="132"/>
        <v>0</v>
      </c>
      <c r="AW24" s="1935"/>
      <c r="AX24" s="1780">
        <f t="shared" ref="AX24:BD24" si="145">$J$24</f>
        <v>0</v>
      </c>
      <c r="AY24" s="4600"/>
      <c r="AZ24" s="1780">
        <f t="shared" si="145"/>
        <v>0</v>
      </c>
      <c r="BA24" s="1780">
        <f t="shared" si="145"/>
        <v>0</v>
      </c>
      <c r="BB24" s="1780">
        <f t="shared" si="145"/>
        <v>0</v>
      </c>
      <c r="BC24" s="1780">
        <f t="shared" si="145"/>
        <v>0</v>
      </c>
      <c r="BD24" s="1780">
        <f t="shared" si="145"/>
        <v>0</v>
      </c>
      <c r="BE24" s="1750"/>
      <c r="BF24" s="1912">
        <f t="shared" si="56"/>
        <v>0</v>
      </c>
      <c r="BG24" s="1780">
        <f t="shared" si="72"/>
        <v>0</v>
      </c>
      <c r="BH24" s="1913">
        <f t="shared" si="134"/>
        <v>0</v>
      </c>
      <c r="BI24" s="1935"/>
      <c r="BJ24" s="2292">
        <f t="shared" ref="BJ24:BL24" si="146">$J$24</f>
        <v>0</v>
      </c>
      <c r="BK24" s="4600"/>
      <c r="BL24" s="1780">
        <f t="shared" si="146"/>
        <v>0</v>
      </c>
      <c r="BM24" s="2290"/>
      <c r="BN24" s="1912">
        <f t="shared" si="75"/>
        <v>0</v>
      </c>
      <c r="BO24" s="1780">
        <f t="shared" si="58"/>
        <v>0</v>
      </c>
      <c r="BP24" s="1913">
        <f t="shared" si="136"/>
        <v>0</v>
      </c>
      <c r="BQ24" s="1790"/>
      <c r="BR24" s="1750">
        <v>0</v>
      </c>
      <c r="BS24" s="1871" t="e">
        <f t="shared" si="59"/>
        <v>#DIV/0!</v>
      </c>
      <c r="BT24" s="1928"/>
      <c r="BU24" s="2557">
        <f t="shared" si="127"/>
        <v>0</v>
      </c>
      <c r="BV24" s="1930" t="e">
        <f t="shared" si="77"/>
        <v>#DIV/0!</v>
      </c>
      <c r="BW24" s="1802"/>
      <c r="BX24" s="1791"/>
      <c r="BY24" s="1791"/>
      <c r="BZ24" s="1791">
        <f>BZ22-BZ23</f>
        <v>5.7339999999999236</v>
      </c>
      <c r="CA24" s="1791"/>
      <c r="CB24" s="1791"/>
      <c r="CC24" s="1791"/>
      <c r="CD24" s="1791"/>
      <c r="CE24" s="1791"/>
      <c r="CF24" s="1791"/>
      <c r="CG24" s="1923"/>
      <c r="CH24" s="1923"/>
    </row>
    <row r="25" spans="1:87" s="1726" customFormat="1" x14ac:dyDescent="0.2">
      <c r="A25" s="1756"/>
      <c r="B25" s="1857">
        <v>10</v>
      </c>
      <c r="C25" s="1857" t="s">
        <v>220</v>
      </c>
      <c r="D25" s="1727"/>
      <c r="E25" s="1759">
        <v>0</v>
      </c>
      <c r="F25" s="1759">
        <f t="shared" si="47"/>
        <v>0</v>
      </c>
      <c r="G25" s="1759">
        <f t="shared" si="48"/>
        <v>0</v>
      </c>
      <c r="H25" s="1759">
        <f t="shared" si="49"/>
        <v>0</v>
      </c>
      <c r="I25" s="1759">
        <f t="shared" si="50"/>
        <v>0</v>
      </c>
      <c r="J25" s="1759">
        <f t="shared" si="51"/>
        <v>0</v>
      </c>
      <c r="K25" s="1875">
        <f t="shared" si="121"/>
        <v>0</v>
      </c>
      <c r="L25" s="1931"/>
      <c r="M25" s="1924"/>
      <c r="N25" s="1759">
        <f>$J$25</f>
        <v>0</v>
      </c>
      <c r="O25" s="4603"/>
      <c r="P25" s="1759">
        <f>$J$25</f>
        <v>0</v>
      </c>
      <c r="Q25" s="1759">
        <f>$J$25</f>
        <v>0</v>
      </c>
      <c r="R25" s="1759">
        <f t="shared" ref="R25:T25" si="147">$J$25</f>
        <v>0</v>
      </c>
      <c r="S25" s="1759">
        <f t="shared" si="147"/>
        <v>0</v>
      </c>
      <c r="T25" s="1759">
        <f t="shared" si="147"/>
        <v>0</v>
      </c>
      <c r="U25" s="1878"/>
      <c r="V25" s="1879">
        <f t="shared" si="61"/>
        <v>0</v>
      </c>
      <c r="W25" s="1759">
        <f t="shared" si="62"/>
        <v>0</v>
      </c>
      <c r="X25" s="1880">
        <f t="shared" si="63"/>
        <v>0</v>
      </c>
      <c r="Y25" s="1881"/>
      <c r="Z25" s="1759">
        <f t="shared" ref="Z25:AF25" si="148">$J$25</f>
        <v>0</v>
      </c>
      <c r="AA25" s="1759">
        <f t="shared" si="148"/>
        <v>0</v>
      </c>
      <c r="AB25" s="1759">
        <f t="shared" si="148"/>
        <v>0</v>
      </c>
      <c r="AC25" s="4603"/>
      <c r="AD25" s="1759">
        <f t="shared" si="148"/>
        <v>0</v>
      </c>
      <c r="AE25" s="4603"/>
      <c r="AF25" s="1759">
        <f t="shared" si="148"/>
        <v>0</v>
      </c>
      <c r="AG25" s="1862"/>
      <c r="AH25" s="1879">
        <f t="shared" si="65"/>
        <v>0</v>
      </c>
      <c r="AI25" s="1759">
        <f t="shared" si="130"/>
        <v>0</v>
      </c>
      <c r="AJ25" s="1880">
        <f t="shared" si="66"/>
        <v>0</v>
      </c>
      <c r="AK25" s="1881"/>
      <c r="AL25" s="1759">
        <f t="shared" ref="AL25:AR25" si="149">$J$25</f>
        <v>0</v>
      </c>
      <c r="AM25" s="4591"/>
      <c r="AN25" s="1759">
        <f t="shared" si="149"/>
        <v>0</v>
      </c>
      <c r="AO25" s="1759">
        <f t="shared" si="149"/>
        <v>0</v>
      </c>
      <c r="AP25" s="1759">
        <f t="shared" si="149"/>
        <v>0</v>
      </c>
      <c r="AQ25" s="1759">
        <f t="shared" si="149"/>
        <v>0</v>
      </c>
      <c r="AR25" s="1759">
        <f t="shared" si="149"/>
        <v>0</v>
      </c>
      <c r="AS25" s="2293"/>
      <c r="AT25" s="1879">
        <f t="shared" si="68"/>
        <v>0</v>
      </c>
      <c r="AU25" s="1759">
        <f t="shared" si="69"/>
        <v>0</v>
      </c>
      <c r="AV25" s="1880">
        <f t="shared" si="132"/>
        <v>0</v>
      </c>
      <c r="AW25" s="2293"/>
      <c r="AX25" s="1759">
        <f t="shared" ref="AX25:BD25" si="150">$J$25</f>
        <v>0</v>
      </c>
      <c r="AY25" s="4600"/>
      <c r="AZ25" s="1759">
        <f t="shared" si="150"/>
        <v>0</v>
      </c>
      <c r="BA25" s="1759">
        <f t="shared" si="150"/>
        <v>0</v>
      </c>
      <c r="BB25" s="1759">
        <f t="shared" si="150"/>
        <v>0</v>
      </c>
      <c r="BC25" s="1759">
        <f t="shared" si="150"/>
        <v>0</v>
      </c>
      <c r="BD25" s="1759">
        <f t="shared" si="150"/>
        <v>0</v>
      </c>
      <c r="BE25" s="2293"/>
      <c r="BF25" s="1879">
        <f t="shared" si="56"/>
        <v>0</v>
      </c>
      <c r="BG25" s="1759">
        <f t="shared" si="72"/>
        <v>0</v>
      </c>
      <c r="BH25" s="1880">
        <f t="shared" si="134"/>
        <v>0</v>
      </c>
      <c r="BI25" s="1878"/>
      <c r="BJ25" s="1759">
        <f t="shared" ref="BJ25:BL25" si="151">$J$25</f>
        <v>0</v>
      </c>
      <c r="BK25" s="4600"/>
      <c r="BL25" s="2294">
        <f t="shared" si="151"/>
        <v>0</v>
      </c>
      <c r="BM25" s="1878"/>
      <c r="BN25" s="1879">
        <f t="shared" si="75"/>
        <v>0</v>
      </c>
      <c r="BO25" s="1759">
        <f t="shared" si="58"/>
        <v>0</v>
      </c>
      <c r="BP25" s="1880">
        <f t="shared" si="136"/>
        <v>0</v>
      </c>
      <c r="BR25" s="1732">
        <v>0</v>
      </c>
      <c r="BS25" s="1882" t="e">
        <f t="shared" si="59"/>
        <v>#DIV/0!</v>
      </c>
      <c r="BT25" s="1740"/>
      <c r="BU25" s="2555">
        <f t="shared" si="127"/>
        <v>0</v>
      </c>
      <c r="BV25" s="1918" t="e">
        <f t="shared" si="77"/>
        <v>#DIV/0!</v>
      </c>
      <c r="BW25" s="1997"/>
      <c r="BX25" s="1874"/>
      <c r="BZ25" s="1915"/>
      <c r="CA25" s="1860"/>
      <c r="CB25" s="1860"/>
      <c r="CC25" s="1860"/>
      <c r="CD25" s="1860"/>
      <c r="CE25" s="1860"/>
      <c r="CF25" s="1860"/>
      <c r="CG25" s="1860"/>
      <c r="CH25" s="1860"/>
    </row>
    <row r="26" spans="1:87" s="1777" customFormat="1" x14ac:dyDescent="0.2">
      <c r="B26" s="1863">
        <v>11</v>
      </c>
      <c r="C26" s="1932" t="s">
        <v>221</v>
      </c>
      <c r="D26" s="1744"/>
      <c r="E26" s="1933">
        <v>4</v>
      </c>
      <c r="F26" s="1933"/>
      <c r="G26" s="1933"/>
      <c r="H26" s="1933"/>
      <c r="I26" s="1933"/>
      <c r="J26" s="1933">
        <f t="shared" si="51"/>
        <v>0.16</v>
      </c>
      <c r="K26" s="1934">
        <f t="shared" si="121"/>
        <v>4.7672963470591747E-3</v>
      </c>
      <c r="L26" s="1866"/>
      <c r="M26" s="1867"/>
      <c r="N26" s="1780">
        <f>$J$26</f>
        <v>0.16</v>
      </c>
      <c r="O26" s="4603"/>
      <c r="P26" s="1780">
        <f>$J$26</f>
        <v>0.16</v>
      </c>
      <c r="Q26" s="1780">
        <f>$J$26</f>
        <v>0.16</v>
      </c>
      <c r="R26" s="1780">
        <f t="shared" ref="R26:T26" si="152">$J$26</f>
        <v>0.16</v>
      </c>
      <c r="S26" s="1780">
        <f t="shared" si="152"/>
        <v>0.16</v>
      </c>
      <c r="T26" s="1780">
        <f t="shared" si="152"/>
        <v>0.16</v>
      </c>
      <c r="U26" s="1801"/>
      <c r="V26" s="1912">
        <f t="shared" si="61"/>
        <v>0.96000000000000008</v>
      </c>
      <c r="W26" s="1780">
        <f t="shared" si="62"/>
        <v>1.0597699779512546</v>
      </c>
      <c r="X26" s="1913">
        <f t="shared" si="63"/>
        <v>9.9769977951254529E-2</v>
      </c>
      <c r="Y26" s="1788"/>
      <c r="Z26" s="1780">
        <f t="shared" ref="Z26:AF26" si="153">$J$26</f>
        <v>0.16</v>
      </c>
      <c r="AA26" s="1780">
        <f t="shared" si="153"/>
        <v>0.16</v>
      </c>
      <c r="AB26" s="1780">
        <f t="shared" si="153"/>
        <v>0.16</v>
      </c>
      <c r="AC26" s="4603"/>
      <c r="AD26" s="1780">
        <f t="shared" si="153"/>
        <v>0.16</v>
      </c>
      <c r="AE26" s="4603"/>
      <c r="AF26" s="1780">
        <f t="shared" si="153"/>
        <v>0.16</v>
      </c>
      <c r="AG26" s="1791"/>
      <c r="AH26" s="1912">
        <f>SUM(Z26:AF26)</f>
        <v>0.8</v>
      </c>
      <c r="AI26" s="1780">
        <f>($AH$6*K26)*30%</f>
        <v>1.5885823252487934</v>
      </c>
      <c r="AJ26" s="1913">
        <f t="shared" si="66"/>
        <v>0.78858232524879335</v>
      </c>
      <c r="AK26" s="1788"/>
      <c r="AL26" s="1780">
        <f t="shared" ref="AL26:AR26" si="154">$J$26</f>
        <v>0.16</v>
      </c>
      <c r="AM26" s="4591"/>
      <c r="AN26" s="1780">
        <f t="shared" si="154"/>
        <v>0.16</v>
      </c>
      <c r="AO26" s="1780">
        <f t="shared" si="154"/>
        <v>0.16</v>
      </c>
      <c r="AP26" s="1780">
        <f t="shared" si="154"/>
        <v>0.16</v>
      </c>
      <c r="AQ26" s="1780">
        <f t="shared" si="154"/>
        <v>0.16</v>
      </c>
      <c r="AR26" s="1780">
        <f t="shared" si="154"/>
        <v>0.16</v>
      </c>
      <c r="AS26" s="2290"/>
      <c r="AT26" s="1912">
        <f t="shared" si="68"/>
        <v>0.96000000000000008</v>
      </c>
      <c r="AU26" s="1780">
        <f t="shared" si="69"/>
        <v>1.0914486621774626</v>
      </c>
      <c r="AV26" s="1913">
        <f t="shared" si="132"/>
        <v>0.13144866217746254</v>
      </c>
      <c r="AW26" s="2290"/>
      <c r="AX26" s="1780">
        <f t="shared" ref="AX26:BD26" si="155">$J$26</f>
        <v>0.16</v>
      </c>
      <c r="AY26" s="4600"/>
      <c r="AZ26" s="1780">
        <f t="shared" si="155"/>
        <v>0.16</v>
      </c>
      <c r="BA26" s="1780">
        <f t="shared" si="155"/>
        <v>0.16</v>
      </c>
      <c r="BB26" s="1780">
        <f t="shared" si="155"/>
        <v>0.16</v>
      </c>
      <c r="BC26" s="1780">
        <f t="shared" si="155"/>
        <v>0.16</v>
      </c>
      <c r="BD26" s="1780">
        <f t="shared" si="155"/>
        <v>0.16</v>
      </c>
      <c r="BE26" s="2290"/>
      <c r="BF26" s="1912">
        <f t="shared" si="56"/>
        <v>0.96000000000000008</v>
      </c>
      <c r="BG26" s="1780">
        <f t="shared" si="72"/>
        <v>1.087444133245933</v>
      </c>
      <c r="BH26" s="1913">
        <f t="shared" si="134"/>
        <v>0.12744413324593296</v>
      </c>
      <c r="BI26" s="1801"/>
      <c r="BJ26" s="1933">
        <f t="shared" ref="BJ26:BL26" si="156">$J$26</f>
        <v>0.16</v>
      </c>
      <c r="BK26" s="4600"/>
      <c r="BL26" s="2298">
        <f t="shared" si="156"/>
        <v>0.16</v>
      </c>
      <c r="BM26" s="1801"/>
      <c r="BN26" s="1912">
        <f t="shared" si="75"/>
        <v>0.32</v>
      </c>
      <c r="BO26" s="1780">
        <f t="shared" si="58"/>
        <v>0.30076872653596337</v>
      </c>
      <c r="BP26" s="1913">
        <f t="shared" si="136"/>
        <v>-1.9231273464036636E-2</v>
      </c>
      <c r="BR26" s="1750">
        <v>0</v>
      </c>
      <c r="BS26" s="1871">
        <f t="shared" si="59"/>
        <v>0</v>
      </c>
      <c r="BT26" s="1795"/>
      <c r="BU26" s="2558">
        <f t="shared" si="127"/>
        <v>4</v>
      </c>
      <c r="BV26" s="1930">
        <f t="shared" si="77"/>
        <v>1</v>
      </c>
      <c r="BW26" s="1802"/>
      <c r="BX26" s="1783"/>
      <c r="BZ26" s="1862"/>
      <c r="CA26" s="1916"/>
      <c r="CB26" s="1923"/>
      <c r="CC26" s="1923"/>
      <c r="CD26" s="1923"/>
      <c r="CE26" s="1923"/>
      <c r="CF26" s="1923"/>
      <c r="CG26" s="1923"/>
      <c r="CH26" s="1923"/>
    </row>
    <row r="27" spans="1:87" s="1756" customFormat="1" ht="17.25" thickBot="1" x14ac:dyDescent="0.25">
      <c r="B27" s="1857">
        <v>12</v>
      </c>
      <c r="C27" s="1857"/>
      <c r="D27" s="1727"/>
      <c r="E27" s="1759">
        <v>0</v>
      </c>
      <c r="F27" s="1759">
        <f>E27/10</f>
        <v>0</v>
      </c>
      <c r="G27" s="1759">
        <f>E27/15</f>
        <v>0</v>
      </c>
      <c r="H27" s="1759">
        <f>E27/20</f>
        <v>0</v>
      </c>
      <c r="I27" s="1759">
        <f>E27/25</f>
        <v>0</v>
      </c>
      <c r="J27" s="1759">
        <f t="shared" si="51"/>
        <v>0</v>
      </c>
      <c r="K27" s="1875">
        <f t="shared" si="121"/>
        <v>0</v>
      </c>
      <c r="L27" s="1931"/>
      <c r="M27" s="1924"/>
      <c r="N27" s="1759">
        <f>$J$27</f>
        <v>0</v>
      </c>
      <c r="O27" s="4604"/>
      <c r="P27" s="1759">
        <f>$J$27</f>
        <v>0</v>
      </c>
      <c r="Q27" s="1759">
        <f>$J$27</f>
        <v>0</v>
      </c>
      <c r="R27" s="1759">
        <f t="shared" ref="R27:T27" si="157">$J$27</f>
        <v>0</v>
      </c>
      <c r="S27" s="1759">
        <f t="shared" si="157"/>
        <v>0</v>
      </c>
      <c r="T27" s="1759">
        <f t="shared" si="157"/>
        <v>0</v>
      </c>
      <c r="U27" s="1814"/>
      <c r="V27" s="1936">
        <f t="shared" si="61"/>
        <v>0</v>
      </c>
      <c r="W27" s="1937">
        <f>($V$6*K27)*30%</f>
        <v>0</v>
      </c>
      <c r="X27" s="1938">
        <f>W27-V27</f>
        <v>0</v>
      </c>
      <c r="Y27" s="1764"/>
      <c r="Z27" s="1759">
        <f t="shared" ref="Z27:AF27" si="158">$J$27</f>
        <v>0</v>
      </c>
      <c r="AA27" s="1759">
        <f t="shared" si="158"/>
        <v>0</v>
      </c>
      <c r="AB27" s="1759">
        <f t="shared" si="158"/>
        <v>0</v>
      </c>
      <c r="AC27" s="4604"/>
      <c r="AD27" s="1759">
        <f t="shared" si="158"/>
        <v>0</v>
      </c>
      <c r="AE27" s="4604"/>
      <c r="AF27" s="1759">
        <f t="shared" si="158"/>
        <v>0</v>
      </c>
      <c r="AG27" s="1766"/>
      <c r="AH27" s="1936">
        <f t="shared" si="65"/>
        <v>0</v>
      </c>
      <c r="AI27" s="1937">
        <f t="shared" si="130"/>
        <v>0</v>
      </c>
      <c r="AJ27" s="1938">
        <f t="shared" si="66"/>
        <v>0</v>
      </c>
      <c r="AK27" s="1764"/>
      <c r="AL27" s="1759">
        <f t="shared" ref="AL27:AR27" si="159">$J$27</f>
        <v>0</v>
      </c>
      <c r="AM27" s="4592"/>
      <c r="AN27" s="1759">
        <f t="shared" si="159"/>
        <v>0</v>
      </c>
      <c r="AO27" s="1759">
        <f t="shared" si="159"/>
        <v>0</v>
      </c>
      <c r="AP27" s="1759">
        <f t="shared" si="159"/>
        <v>0</v>
      </c>
      <c r="AQ27" s="1759">
        <f t="shared" si="159"/>
        <v>0</v>
      </c>
      <c r="AR27" s="1759">
        <f t="shared" si="159"/>
        <v>0</v>
      </c>
      <c r="AS27" s="2289"/>
      <c r="AT27" s="1936">
        <f t="shared" si="68"/>
        <v>0</v>
      </c>
      <c r="AU27" s="1937">
        <f t="shared" si="69"/>
        <v>0</v>
      </c>
      <c r="AV27" s="1938">
        <f t="shared" si="132"/>
        <v>0</v>
      </c>
      <c r="AW27" s="2289"/>
      <c r="AX27" s="1759">
        <f t="shared" ref="AX27:BD27" si="160">$J$27</f>
        <v>0</v>
      </c>
      <c r="AY27" s="4601"/>
      <c r="AZ27" s="1759">
        <f t="shared" si="160"/>
        <v>0</v>
      </c>
      <c r="BA27" s="1759">
        <f t="shared" si="160"/>
        <v>0</v>
      </c>
      <c r="BB27" s="1759">
        <f t="shared" si="160"/>
        <v>0</v>
      </c>
      <c r="BC27" s="1759">
        <f t="shared" si="160"/>
        <v>0</v>
      </c>
      <c r="BD27" s="1759">
        <f t="shared" si="160"/>
        <v>0</v>
      </c>
      <c r="BE27" s="2289"/>
      <c r="BF27" s="1936">
        <f t="shared" si="56"/>
        <v>0</v>
      </c>
      <c r="BG27" s="1937">
        <f t="shared" si="72"/>
        <v>0</v>
      </c>
      <c r="BH27" s="1938">
        <f t="shared" si="134"/>
        <v>0</v>
      </c>
      <c r="BI27" s="1814"/>
      <c r="BJ27" s="1759">
        <f t="shared" ref="BJ27:BL27" si="161">$J$27</f>
        <v>0</v>
      </c>
      <c r="BK27" s="4601"/>
      <c r="BL27" s="2294">
        <f t="shared" si="161"/>
        <v>0</v>
      </c>
      <c r="BM27" s="1814"/>
      <c r="BN27" s="1936">
        <f t="shared" si="75"/>
        <v>0</v>
      </c>
      <c r="BO27" s="1937">
        <f t="shared" si="58"/>
        <v>0</v>
      </c>
      <c r="BP27" s="1938">
        <f t="shared" si="136"/>
        <v>0</v>
      </c>
      <c r="BR27" s="1735">
        <v>0</v>
      </c>
      <c r="BS27" s="1768" t="e">
        <f t="shared" si="59"/>
        <v>#DIV/0!</v>
      </c>
      <c r="BT27" s="1770"/>
      <c r="BU27" s="1939">
        <f t="shared" si="127"/>
        <v>0</v>
      </c>
      <c r="BV27" s="1940" t="e">
        <f t="shared" si="77"/>
        <v>#DIV/0!</v>
      </c>
      <c r="BW27" s="1830"/>
      <c r="BX27" s="1761"/>
      <c r="BZ27" s="2247"/>
      <c r="CA27" s="1860"/>
      <c r="CB27" s="1860"/>
      <c r="CC27" s="1860"/>
      <c r="CD27" s="1860"/>
      <c r="CE27" s="1860"/>
      <c r="CF27" s="1860"/>
      <c r="CG27" s="1860"/>
      <c r="CH27" s="1860"/>
    </row>
    <row r="28" spans="1:87" s="1810" customFormat="1" ht="4.5" customHeight="1" thickBot="1" x14ac:dyDescent="0.25">
      <c r="B28" s="1942"/>
      <c r="C28" s="1943"/>
      <c r="E28" s="1944"/>
      <c r="F28" s="1944"/>
      <c r="G28" s="1944"/>
      <c r="H28" s="1944"/>
      <c r="I28" s="1944"/>
      <c r="J28" s="1944"/>
      <c r="K28" s="1945"/>
      <c r="L28" s="1931"/>
      <c r="M28" s="1924"/>
      <c r="N28" s="1944"/>
      <c r="O28" s="1944"/>
      <c r="P28" s="1944"/>
      <c r="Q28" s="1944"/>
      <c r="R28" s="1944"/>
      <c r="S28" s="1944"/>
      <c r="T28" s="1944"/>
      <c r="U28" s="1814"/>
      <c r="V28" s="1814"/>
      <c r="W28" s="1814"/>
      <c r="X28" s="1814"/>
      <c r="Y28" s="1766"/>
      <c r="Z28" s="1944"/>
      <c r="AA28" s="1944"/>
      <c r="AB28" s="1944"/>
      <c r="AC28" s="1944"/>
      <c r="AD28" s="1944"/>
      <c r="AE28" s="1944"/>
      <c r="AF28" s="1944"/>
      <c r="AG28" s="1766"/>
      <c r="AH28" s="1814"/>
      <c r="AI28" s="1814"/>
      <c r="AJ28" s="1814"/>
      <c r="AK28" s="1766"/>
      <c r="AL28" s="1944"/>
      <c r="AM28" s="1944"/>
      <c r="AN28" s="1944"/>
      <c r="AO28" s="1944"/>
      <c r="AP28" s="1944"/>
      <c r="AQ28" s="1944"/>
      <c r="AR28" s="1944"/>
      <c r="AS28" s="1814"/>
      <c r="AT28" s="1814"/>
      <c r="AU28" s="1814"/>
      <c r="AV28" s="1814"/>
      <c r="AW28" s="1814"/>
      <c r="AX28" s="1944"/>
      <c r="AY28" s="1944"/>
      <c r="AZ28" s="1944"/>
      <c r="BA28" s="1944"/>
      <c r="BB28" s="1944"/>
      <c r="BC28" s="1944"/>
      <c r="BD28" s="1944"/>
      <c r="BE28" s="1814"/>
      <c r="BF28" s="1814"/>
      <c r="BG28" s="1814"/>
      <c r="BH28" s="1814"/>
      <c r="BI28" s="1814"/>
      <c r="BJ28" s="1944"/>
      <c r="BK28" s="1944"/>
      <c r="BL28" s="1944"/>
      <c r="BM28" s="1814"/>
      <c r="BN28" s="1814"/>
      <c r="BO28" s="1814"/>
      <c r="BP28" s="1814"/>
      <c r="BR28" s="1814"/>
      <c r="BS28" s="1830"/>
      <c r="BT28" s="1817"/>
      <c r="BU28" s="1814"/>
      <c r="BV28" s="1830"/>
      <c r="BW28" s="1830"/>
      <c r="BX28" s="1761"/>
      <c r="BZ28" s="2247"/>
      <c r="CA28" s="1946"/>
      <c r="CB28" s="1946"/>
      <c r="CC28" s="1860"/>
      <c r="CD28" s="1860"/>
      <c r="CE28" s="1860"/>
      <c r="CF28" s="1860"/>
      <c r="CG28" s="1860"/>
      <c r="CH28" s="1860"/>
    </row>
    <row r="29" spans="1:87" s="1947" customFormat="1" ht="17.25" thickBot="1" x14ac:dyDescent="0.25">
      <c r="B29" s="1887"/>
      <c r="C29" s="2384">
        <f>E29*100/30</f>
        <v>2796.8333333333335</v>
      </c>
      <c r="D29" s="1888"/>
      <c r="E29" s="1889">
        <f>SUM(E16:E27)</f>
        <v>839.05</v>
      </c>
      <c r="F29" s="1889">
        <f t="shared" ref="F29:K29" si="162">SUM(F16:F27)</f>
        <v>65.525000000000006</v>
      </c>
      <c r="G29" s="1889">
        <f t="shared" si="162"/>
        <v>43.683333333333337</v>
      </c>
      <c r="H29" s="1889">
        <f t="shared" si="162"/>
        <v>32.762500000000003</v>
      </c>
      <c r="I29" s="1889">
        <f t="shared" si="162"/>
        <v>26.21</v>
      </c>
      <c r="J29" s="1889">
        <f t="shared" si="162"/>
        <v>33.561999999999998</v>
      </c>
      <c r="K29" s="1948">
        <f t="shared" si="162"/>
        <v>1</v>
      </c>
      <c r="L29" s="1949"/>
      <c r="M29" s="1950"/>
      <c r="N29" s="1889">
        <f>SUM(N16:N27)</f>
        <v>33.561999999999998</v>
      </c>
      <c r="O29" s="2243">
        <f>SUM(O16:O27)</f>
        <v>0</v>
      </c>
      <c r="P29" s="1889">
        <f>SUM(P16:P27)</f>
        <v>33.561999999999998</v>
      </c>
      <c r="Q29" s="1889">
        <f>SUM(Q16:Q27)</f>
        <v>33.561999999999998</v>
      </c>
      <c r="R29" s="1889">
        <f t="shared" ref="R29:T29" si="163">SUM(R16:R27)</f>
        <v>33.561999999999998</v>
      </c>
      <c r="S29" s="1889">
        <f t="shared" si="163"/>
        <v>33.561999999999998</v>
      </c>
      <c r="T29" s="1889">
        <f t="shared" si="163"/>
        <v>33.561999999999998</v>
      </c>
      <c r="U29" s="1951"/>
      <c r="V29" s="1952">
        <f>SUM(V16:V27)</f>
        <v>201.37199999999999</v>
      </c>
      <c r="W29" s="1953">
        <f>SUM(W16:W27)</f>
        <v>222.29999999999998</v>
      </c>
      <c r="X29" s="1954">
        <f t="shared" ref="X29" si="164">SUM(X16:X27)</f>
        <v>20.927999999999997</v>
      </c>
      <c r="Y29" s="1955"/>
      <c r="Z29" s="1889">
        <f t="shared" ref="Z29:AB29" si="165">SUM(Z16:Z27)</f>
        <v>33.561999999999998</v>
      </c>
      <c r="AA29" s="1889">
        <f t="shared" si="165"/>
        <v>33.561999999999998</v>
      </c>
      <c r="AB29" s="1889">
        <f t="shared" si="165"/>
        <v>33.561999999999998</v>
      </c>
      <c r="AC29" s="2243">
        <f t="shared" ref="AC29:AD29" si="166">SUM(AC16:AC27)</f>
        <v>0</v>
      </c>
      <c r="AD29" s="1889">
        <f t="shared" si="166"/>
        <v>33.561999999999998</v>
      </c>
      <c r="AE29" s="2243">
        <f t="shared" ref="AE29:AF29" si="167">SUM(AE16:AE27)</f>
        <v>0</v>
      </c>
      <c r="AF29" s="1889">
        <f t="shared" si="167"/>
        <v>33.561999999999998</v>
      </c>
      <c r="AG29" s="1955"/>
      <c r="AH29" s="1952">
        <f>SUM(AH16:AH27)</f>
        <v>167.81000000000003</v>
      </c>
      <c r="AI29" s="1953">
        <f>SUM(AI16:AI27)</f>
        <v>333.22499999999997</v>
      </c>
      <c r="AJ29" s="1954">
        <f>SUM(AJ16:AJ27)</f>
        <v>165.41500000000002</v>
      </c>
      <c r="AK29" s="1955"/>
      <c r="AL29" s="1889">
        <f t="shared" ref="AL29" si="168">SUM(AL16:AL27)</f>
        <v>33.561999999999998</v>
      </c>
      <c r="AM29" s="2243">
        <f t="shared" ref="AM29:AN29" si="169">SUM(AM16:AM27)</f>
        <v>0</v>
      </c>
      <c r="AN29" s="1889">
        <f t="shared" si="169"/>
        <v>33.561999999999998</v>
      </c>
      <c r="AO29" s="1889">
        <f t="shared" ref="AO29:AP29" si="170">SUM(AO16:AO27)</f>
        <v>33.561999999999998</v>
      </c>
      <c r="AP29" s="1889">
        <f t="shared" si="170"/>
        <v>33.561999999999998</v>
      </c>
      <c r="AQ29" s="1889">
        <f t="shared" ref="AQ29:AR29" si="171">SUM(AQ16:AQ27)</f>
        <v>33.561999999999998</v>
      </c>
      <c r="AR29" s="1889">
        <f t="shared" si="171"/>
        <v>33.561999999999998</v>
      </c>
      <c r="AS29" s="2299"/>
      <c r="AT29" s="1952">
        <f>SUM(AT16:AT27)</f>
        <v>201.37199999999999</v>
      </c>
      <c r="AU29" s="1953">
        <f>SUM(AU16:AU27)</f>
        <v>228.94500000000002</v>
      </c>
      <c r="AV29" s="1954">
        <f>SUM(AV16:AV27)</f>
        <v>27.572999999999983</v>
      </c>
      <c r="AW29" s="2299"/>
      <c r="AX29" s="1889">
        <f t="shared" ref="AX29:AZ29" si="172">SUM(AX16:AX27)</f>
        <v>33.561999999999998</v>
      </c>
      <c r="AY29" s="2243">
        <f t="shared" ref="AY29" si="173">SUM(AY16:AY27)</f>
        <v>0</v>
      </c>
      <c r="AZ29" s="1889">
        <f t="shared" si="172"/>
        <v>33.561999999999998</v>
      </c>
      <c r="BA29" s="1889">
        <f t="shared" ref="BA29:BB29" si="174">SUM(BA16:BA27)</f>
        <v>33.561999999999998</v>
      </c>
      <c r="BB29" s="1889">
        <f t="shared" si="174"/>
        <v>33.561999999999998</v>
      </c>
      <c r="BC29" s="1889">
        <f t="shared" ref="BC29:BD29" si="175">SUM(BC16:BC27)</f>
        <v>33.561999999999998</v>
      </c>
      <c r="BD29" s="1889">
        <f t="shared" si="175"/>
        <v>33.561999999999998</v>
      </c>
      <c r="BE29" s="2299"/>
      <c r="BF29" s="1952">
        <f>SUM(BF16:BF27)</f>
        <v>201.37199999999999</v>
      </c>
      <c r="BG29" s="1953">
        <f>SUM(BG16:BG27)</f>
        <v>228.10499999999999</v>
      </c>
      <c r="BH29" s="1954">
        <f>SUM(BH16:BH27)</f>
        <v>26.733000000000001</v>
      </c>
      <c r="BI29" s="1951"/>
      <c r="BJ29" s="1889">
        <f t="shared" ref="BJ29:BL29" si="176">SUM(BJ16:BJ27)</f>
        <v>33.561999999999998</v>
      </c>
      <c r="BK29" s="2243">
        <f t="shared" ref="BK29" si="177">SUM(BK16:BK27)</f>
        <v>0</v>
      </c>
      <c r="BL29" s="1889">
        <f t="shared" si="176"/>
        <v>33.561999999999998</v>
      </c>
      <c r="BM29" s="1951"/>
      <c r="BN29" s="1952">
        <f>SUM(BN16:BN27)</f>
        <v>67.123999999999995</v>
      </c>
      <c r="BO29" s="1953">
        <f>SUM(BO16:BO27)</f>
        <v>63.089999999999996</v>
      </c>
      <c r="BP29" s="1954">
        <f>SUM(BP16:BP27)</f>
        <v>-4.0339999999999998</v>
      </c>
      <c r="BR29" s="1957">
        <f>SUM(BR16:BR27)</f>
        <v>0</v>
      </c>
      <c r="BS29" s="1958">
        <f>BR29/E29</f>
        <v>0</v>
      </c>
      <c r="BT29" s="1959"/>
      <c r="BU29" s="1957">
        <f>SUM(BU16:BU27)</f>
        <v>839.05</v>
      </c>
      <c r="BV29" s="1958">
        <f>BU29/E29</f>
        <v>1</v>
      </c>
      <c r="BW29" s="1962"/>
      <c r="BX29" s="1905"/>
      <c r="BZ29" s="1977"/>
      <c r="CA29" s="1860"/>
      <c r="CB29" s="1860"/>
      <c r="CC29" s="1946"/>
      <c r="CD29" s="1946"/>
      <c r="CE29" s="1946"/>
      <c r="CF29" s="1946"/>
      <c r="CG29" s="1946"/>
      <c r="CH29" s="1946"/>
    </row>
    <row r="30" spans="1:87" s="1906" customFormat="1" ht="4.5" customHeight="1" x14ac:dyDescent="0.2">
      <c r="B30" s="1960"/>
      <c r="C30" s="1961"/>
      <c r="E30" s="1951"/>
      <c r="F30" s="1951"/>
      <c r="G30" s="1951"/>
      <c r="H30" s="1951"/>
      <c r="I30" s="1951"/>
      <c r="J30" s="1951"/>
      <c r="K30" s="1962"/>
      <c r="L30" s="1905"/>
      <c r="M30" s="1950"/>
      <c r="N30" s="1951"/>
      <c r="O30" s="1951"/>
      <c r="P30" s="1951"/>
      <c r="Q30" s="1951"/>
      <c r="R30" s="1951"/>
      <c r="S30" s="1951"/>
      <c r="T30" s="1951"/>
      <c r="U30" s="1951"/>
      <c r="V30" s="1951"/>
      <c r="W30" s="1951"/>
      <c r="X30" s="1951"/>
      <c r="Y30" s="1956"/>
      <c r="Z30" s="1951"/>
      <c r="AA30" s="1951"/>
      <c r="AB30" s="1951"/>
      <c r="AC30" s="1951"/>
      <c r="AD30" s="1951"/>
      <c r="AE30" s="1951"/>
      <c r="AF30" s="1951"/>
      <c r="AG30" s="1956"/>
      <c r="AH30" s="1951"/>
      <c r="AI30" s="1951"/>
      <c r="AJ30" s="1951"/>
      <c r="AK30" s="1956"/>
      <c r="AL30" s="1951"/>
      <c r="AM30" s="1951"/>
      <c r="AN30" s="1951"/>
      <c r="AO30" s="1951"/>
      <c r="AP30" s="1951"/>
      <c r="AQ30" s="1951"/>
      <c r="AR30" s="1951"/>
      <c r="AS30" s="1951"/>
      <c r="AT30" s="1951"/>
      <c r="AU30" s="1951"/>
      <c r="AV30" s="1951"/>
      <c r="AW30" s="1951"/>
      <c r="AX30" s="1951"/>
      <c r="AY30" s="1951"/>
      <c r="AZ30" s="1951"/>
      <c r="BA30" s="1951"/>
      <c r="BB30" s="1951"/>
      <c r="BC30" s="1951"/>
      <c r="BD30" s="1951"/>
      <c r="BE30" s="1951"/>
      <c r="BF30" s="1951"/>
      <c r="BG30" s="1951"/>
      <c r="BH30" s="1951"/>
      <c r="BI30" s="1951"/>
      <c r="BJ30" s="1951"/>
      <c r="BK30" s="1951"/>
      <c r="BL30" s="1951"/>
      <c r="BM30" s="1951"/>
      <c r="BN30" s="1951"/>
      <c r="BO30" s="1951"/>
      <c r="BP30" s="1951"/>
      <c r="BR30" s="1951"/>
      <c r="BS30" s="1962"/>
      <c r="BT30" s="1960"/>
      <c r="BU30" s="1951"/>
      <c r="BV30" s="1962"/>
      <c r="BW30" s="1962"/>
      <c r="BX30" s="1905"/>
      <c r="BZ30" s="1916"/>
      <c r="CA30" s="1860"/>
      <c r="CB30" s="1860"/>
      <c r="CC30" s="1946"/>
      <c r="CD30" s="1946"/>
      <c r="CE30" s="1946"/>
      <c r="CF30" s="1946"/>
      <c r="CG30" s="1946"/>
      <c r="CH30" s="1946"/>
    </row>
    <row r="31" spans="1:87" s="1810" customFormat="1" ht="21" thickBot="1" x14ac:dyDescent="0.25">
      <c r="B31" s="1963"/>
      <c r="C31" s="1964" t="s">
        <v>188</v>
      </c>
      <c r="D31" s="1727"/>
      <c r="E31" s="1728"/>
      <c r="F31" s="1728"/>
      <c r="G31" s="1728"/>
      <c r="H31" s="1728"/>
      <c r="I31" s="1728"/>
      <c r="J31" s="1728">
        <f>J50*100/30</f>
        <v>356.28148148148142</v>
      </c>
      <c r="K31" s="2383">
        <f>J31*4</f>
        <v>1425.1259259259257</v>
      </c>
      <c r="L31" s="1924"/>
      <c r="M31" s="1966"/>
      <c r="N31" s="4589"/>
      <c r="O31" s="4589"/>
      <c r="P31" s="4589"/>
      <c r="Q31" s="4589"/>
      <c r="R31" s="4589"/>
      <c r="S31" s="4589"/>
      <c r="T31" s="4589"/>
      <c r="U31" s="1814"/>
      <c r="V31" s="4588"/>
      <c r="W31" s="4588"/>
      <c r="X31" s="4588"/>
      <c r="Y31" s="1766"/>
      <c r="Z31" s="2266"/>
      <c r="AA31" s="2266"/>
      <c r="AB31" s="2266"/>
      <c r="AC31" s="2266"/>
      <c r="AD31" s="2266"/>
      <c r="AE31" s="2266"/>
      <c r="AF31" s="2266"/>
      <c r="AG31" s="1766"/>
      <c r="AH31" s="4588"/>
      <c r="AI31" s="4588"/>
      <c r="AJ31" s="4588"/>
      <c r="AK31" s="1766"/>
      <c r="AL31" s="4589"/>
      <c r="AM31" s="4589"/>
      <c r="AN31" s="4589"/>
      <c r="AO31" s="4589"/>
      <c r="AP31" s="4589"/>
      <c r="AQ31" s="4589"/>
      <c r="AR31" s="4589"/>
      <c r="AS31" s="1814"/>
      <c r="AT31" s="4588"/>
      <c r="AU31" s="4588"/>
      <c r="AV31" s="4588"/>
      <c r="AW31" s="1814"/>
      <c r="AX31" s="4589"/>
      <c r="AY31" s="4589"/>
      <c r="AZ31" s="4589"/>
      <c r="BA31" s="4589"/>
      <c r="BB31" s="4589"/>
      <c r="BC31" s="4589"/>
      <c r="BD31" s="4589"/>
      <c r="BE31" s="1814"/>
      <c r="BF31" s="4588"/>
      <c r="BG31" s="4588"/>
      <c r="BH31" s="4588"/>
      <c r="BI31" s="1814"/>
      <c r="BJ31" s="4589"/>
      <c r="BK31" s="4589"/>
      <c r="BL31" s="4589"/>
      <c r="BM31" s="1814"/>
      <c r="BN31" s="4588"/>
      <c r="BO31" s="4588"/>
      <c r="BP31" s="4588"/>
      <c r="BR31" s="1967"/>
      <c r="BS31" s="1968"/>
      <c r="BT31" s="1817"/>
      <c r="BU31" s="1814"/>
      <c r="BV31" s="1830"/>
      <c r="BW31" s="1830"/>
      <c r="BX31" s="1761"/>
      <c r="BZ31" s="1860"/>
      <c r="CA31" s="1874"/>
      <c r="CB31" s="1860"/>
      <c r="CC31" s="1860"/>
      <c r="CD31" s="1860"/>
      <c r="CE31" s="1860"/>
      <c r="CF31" s="1860"/>
      <c r="CG31" s="1860"/>
      <c r="CH31" s="1860"/>
    </row>
    <row r="32" spans="1:87" x14ac:dyDescent="0.2">
      <c r="A32" s="1777"/>
      <c r="B32" s="1969">
        <v>13</v>
      </c>
      <c r="C32" s="1969" t="s">
        <v>197</v>
      </c>
      <c r="D32" s="1744"/>
      <c r="E32" s="1970">
        <f>13000/12</f>
        <v>1083.3333333333333</v>
      </c>
      <c r="F32" s="1970">
        <f>E32/10</f>
        <v>108.33333333333333</v>
      </c>
      <c r="G32" s="1970">
        <f>E32/15</f>
        <v>72.222222222222214</v>
      </c>
      <c r="H32" s="1970">
        <f>E32/20</f>
        <v>54.166666666666664</v>
      </c>
      <c r="I32" s="1970">
        <f>E32/25</f>
        <v>43.333333333333329</v>
      </c>
      <c r="J32" s="1970">
        <f t="shared" ref="J32:J48" si="178">E32/30</f>
        <v>36.111111111111107</v>
      </c>
      <c r="K32" s="1971">
        <f t="shared" ref="K32:K48" si="179">E32/$E$50</f>
        <v>0.33785188573329455</v>
      </c>
      <c r="L32" s="1909"/>
      <c r="M32" s="1910"/>
      <c r="N32" s="1746">
        <f>$J$32</f>
        <v>36.111111111111107</v>
      </c>
      <c r="O32" s="1746">
        <f>$J$32</f>
        <v>36.111111111111107</v>
      </c>
      <c r="P32" s="1746">
        <f>$J$32</f>
        <v>36.111111111111107</v>
      </c>
      <c r="Q32" s="1746">
        <f>$J$32</f>
        <v>36.111111111111107</v>
      </c>
      <c r="R32" s="1746">
        <f t="shared" ref="R32:T32" si="180">$J$32</f>
        <v>36.111111111111107</v>
      </c>
      <c r="S32" s="1746">
        <f t="shared" si="180"/>
        <v>36.111111111111107</v>
      </c>
      <c r="T32" s="1746">
        <f t="shared" si="180"/>
        <v>36.111111111111107</v>
      </c>
      <c r="U32" s="1911"/>
      <c r="V32" s="1972">
        <f>SUM(N32:T32)</f>
        <v>252.77777777777777</v>
      </c>
      <c r="W32" s="1973">
        <f>($V$3*K32)*30%</f>
        <v>431.47104869225331</v>
      </c>
      <c r="X32" s="1974">
        <f>W32-V32</f>
        <v>178.69327091447553</v>
      </c>
      <c r="Y32" s="1914"/>
      <c r="Z32" s="1746">
        <f t="shared" ref="Z32:AF32" si="181">$J$32</f>
        <v>36.111111111111107</v>
      </c>
      <c r="AA32" s="1746">
        <f t="shared" si="181"/>
        <v>36.111111111111107</v>
      </c>
      <c r="AB32" s="1746">
        <f t="shared" si="181"/>
        <v>36.111111111111107</v>
      </c>
      <c r="AC32" s="4602" t="s">
        <v>231</v>
      </c>
      <c r="AD32" s="1746">
        <f t="shared" si="181"/>
        <v>36.111111111111107</v>
      </c>
      <c r="AE32" s="1746">
        <f t="shared" si="181"/>
        <v>36.111111111111107</v>
      </c>
      <c r="AF32" s="1746">
        <f t="shared" si="181"/>
        <v>36.111111111111107</v>
      </c>
      <c r="AG32" s="1914"/>
      <c r="AH32" s="1972">
        <f>SUM(Z32:AF32)</f>
        <v>216.66666666666666</v>
      </c>
      <c r="AI32" s="1973">
        <f>($AH$3*K32)*30%</f>
        <v>413.4138451702774</v>
      </c>
      <c r="AJ32" s="1974">
        <f>AI32-AH32</f>
        <v>196.74717850361074</v>
      </c>
      <c r="AK32" s="1914"/>
      <c r="AL32" s="1990">
        <f t="shared" ref="AL32:AR32" si="182">$J$32</f>
        <v>36.111111111111107</v>
      </c>
      <c r="AM32" s="1990">
        <f t="shared" si="182"/>
        <v>36.111111111111107</v>
      </c>
      <c r="AN32" s="1990">
        <f t="shared" si="182"/>
        <v>36.111111111111107</v>
      </c>
      <c r="AO32" s="1990">
        <f t="shared" si="182"/>
        <v>36.111111111111107</v>
      </c>
      <c r="AP32" s="1990">
        <f t="shared" si="182"/>
        <v>36.111111111111107</v>
      </c>
      <c r="AQ32" s="1990">
        <f t="shared" si="182"/>
        <v>36.111111111111107</v>
      </c>
      <c r="AR32" s="1990">
        <f t="shared" si="182"/>
        <v>36.111111111111107</v>
      </c>
      <c r="AS32" s="2297"/>
      <c r="AT32" s="1972">
        <f>SUM(AL32:AR32)</f>
        <v>252.77777777777777</v>
      </c>
      <c r="AU32" s="1973">
        <f>($AT$3*K32)*30%</f>
        <v>468.9466609838247</v>
      </c>
      <c r="AV32" s="1974">
        <f>AU32-AT32</f>
        <v>216.16888320604693</v>
      </c>
      <c r="AW32" s="2297"/>
      <c r="AX32" s="1990">
        <f t="shared" ref="AX32:BD32" si="183">$J$32</f>
        <v>36.111111111111107</v>
      </c>
      <c r="AY32" s="1990">
        <f t="shared" si="183"/>
        <v>36.111111111111107</v>
      </c>
      <c r="AZ32" s="1990">
        <f t="shared" si="183"/>
        <v>36.111111111111107</v>
      </c>
      <c r="BA32" s="1990">
        <f t="shared" si="183"/>
        <v>36.111111111111107</v>
      </c>
      <c r="BB32" s="1990">
        <f t="shared" si="183"/>
        <v>36.111111111111107</v>
      </c>
      <c r="BC32" s="1990">
        <f t="shared" si="183"/>
        <v>36.111111111111107</v>
      </c>
      <c r="BD32" s="1990">
        <f t="shared" si="183"/>
        <v>36.111111111111107</v>
      </c>
      <c r="BE32" s="2297"/>
      <c r="BF32" s="1972">
        <f>SUM(AX32:BD32)</f>
        <v>252.77777777777777</v>
      </c>
      <c r="BG32" s="1973">
        <f>($BF$3*K32)*30%</f>
        <v>468.79533712420482</v>
      </c>
      <c r="BH32" s="1974">
        <f>BG32-BF32</f>
        <v>216.01755934642705</v>
      </c>
      <c r="BI32" s="2269"/>
      <c r="BJ32" s="1746">
        <f t="shared" ref="BJ32" si="184">$J$32</f>
        <v>36.111111111111107</v>
      </c>
      <c r="BK32" s="1990">
        <v>36.111111111111107</v>
      </c>
      <c r="BL32" s="1990">
        <v>36.111111111111107</v>
      </c>
      <c r="BM32" s="2269"/>
      <c r="BN32" s="1972">
        <f t="shared" ref="BN32:BN34" si="185">SUM(BJ32:BL32)</f>
        <v>108.33333333333331</v>
      </c>
      <c r="BO32" s="1973">
        <f>($BN$3*K32)*30%</f>
        <v>206.21428385795667</v>
      </c>
      <c r="BP32" s="1974">
        <f>BO32-BN32</f>
        <v>97.880950524623358</v>
      </c>
      <c r="BR32" s="1747">
        <v>0</v>
      </c>
      <c r="BS32" s="1752">
        <f t="shared" ref="BS32:BS48" si="186">BR32/E32</f>
        <v>0</v>
      </c>
      <c r="BT32" s="1754"/>
      <c r="BU32" s="1975">
        <f>SUM(N32:T32)+SUM(Z32:AF32)+SUM(AL32:AR32)+SUM(AX32:BD32)+SUM(BJ32:BL32)</f>
        <v>1083.3333333333333</v>
      </c>
      <c r="BV32" s="1976">
        <f>BU32/E32</f>
        <v>1</v>
      </c>
      <c r="BW32" s="1993"/>
      <c r="BX32" s="1977"/>
      <c r="BZ32" s="1923"/>
      <c r="CA32" s="1978"/>
      <c r="CB32" s="1979"/>
      <c r="CC32" s="1980"/>
      <c r="CD32" s="1980"/>
      <c r="CE32" s="1980"/>
      <c r="CF32" s="1980"/>
      <c r="CG32" s="1980"/>
      <c r="CH32" s="1980"/>
      <c r="CI32" s="1981"/>
    </row>
    <row r="33" spans="1:87" s="1726" customFormat="1" x14ac:dyDescent="0.2">
      <c r="B33" s="1963">
        <v>14</v>
      </c>
      <c r="C33" s="1963" t="s">
        <v>214</v>
      </c>
      <c r="D33" s="1727"/>
      <c r="E33" s="1728">
        <f>370+320+63</f>
        <v>753</v>
      </c>
      <c r="F33" s="1728">
        <f>E33/10</f>
        <v>75.3</v>
      </c>
      <c r="G33" s="1728">
        <f>E33/15</f>
        <v>50.2</v>
      </c>
      <c r="H33" s="1728">
        <f>E33/20</f>
        <v>37.65</v>
      </c>
      <c r="I33" s="1728">
        <f>E33/25</f>
        <v>30.12</v>
      </c>
      <c r="J33" s="1728">
        <f t="shared" si="178"/>
        <v>25.1</v>
      </c>
      <c r="K33" s="1965">
        <f t="shared" si="179"/>
        <v>0.2348330491912346</v>
      </c>
      <c r="L33" s="1876"/>
      <c r="M33" s="1877"/>
      <c r="N33" s="1728">
        <f>$J$33</f>
        <v>25.1</v>
      </c>
      <c r="O33" s="1728">
        <f>$J$33</f>
        <v>25.1</v>
      </c>
      <c r="P33" s="1728">
        <f>$J$33</f>
        <v>25.1</v>
      </c>
      <c r="Q33" s="1728">
        <f>$J$33</f>
        <v>25.1</v>
      </c>
      <c r="R33" s="1728">
        <f t="shared" ref="R33:T33" si="187">$J$33</f>
        <v>25.1</v>
      </c>
      <c r="S33" s="1728">
        <f t="shared" si="187"/>
        <v>25.1</v>
      </c>
      <c r="T33" s="1728">
        <f t="shared" si="187"/>
        <v>25.1</v>
      </c>
      <c r="U33" s="1878"/>
      <c r="V33" s="1982">
        <f>SUM(N33:T33)</f>
        <v>175.7</v>
      </c>
      <c r="W33" s="1983">
        <f t="shared" ref="W33:W48" si="188">($V$3*K33)*30%</f>
        <v>299.90556892178472</v>
      </c>
      <c r="X33" s="1984">
        <f t="shared" ref="X33:X48" si="189">W33-V33</f>
        <v>124.20556892178473</v>
      </c>
      <c r="Y33" s="1881"/>
      <c r="Z33" s="1728">
        <f t="shared" ref="Z33:AF33" si="190">$J$33</f>
        <v>25.1</v>
      </c>
      <c r="AA33" s="1728">
        <f t="shared" si="190"/>
        <v>25.1</v>
      </c>
      <c r="AB33" s="1728">
        <f t="shared" si="190"/>
        <v>25.1</v>
      </c>
      <c r="AC33" s="4603"/>
      <c r="AD33" s="1728">
        <f t="shared" si="190"/>
        <v>25.1</v>
      </c>
      <c r="AE33" s="1728">
        <f t="shared" si="190"/>
        <v>25.1</v>
      </c>
      <c r="AF33" s="1728">
        <f t="shared" si="190"/>
        <v>25.1</v>
      </c>
      <c r="AG33" s="1881"/>
      <c r="AH33" s="1982">
        <f>SUM(Z33:AF33)</f>
        <v>150.6</v>
      </c>
      <c r="AI33" s="1983">
        <f t="shared" ref="AI33:AI48" si="191">($AH$3*K33)*30%</f>
        <v>287.35442345835594</v>
      </c>
      <c r="AJ33" s="1984">
        <f>AI33-AH33</f>
        <v>136.75442345835594</v>
      </c>
      <c r="AK33" s="1881"/>
      <c r="AL33" s="2268">
        <f t="shared" ref="AL33:AR33" si="192">$J$33</f>
        <v>25.1</v>
      </c>
      <c r="AM33" s="2268">
        <f t="shared" si="192"/>
        <v>25.1</v>
      </c>
      <c r="AN33" s="2268">
        <f t="shared" si="192"/>
        <v>25.1</v>
      </c>
      <c r="AO33" s="2268">
        <f t="shared" si="192"/>
        <v>25.1</v>
      </c>
      <c r="AP33" s="2268">
        <f t="shared" si="192"/>
        <v>25.1</v>
      </c>
      <c r="AQ33" s="2268">
        <f t="shared" si="192"/>
        <v>25.1</v>
      </c>
      <c r="AR33" s="2268">
        <f t="shared" si="192"/>
        <v>25.1</v>
      </c>
      <c r="AS33" s="2293"/>
      <c r="AT33" s="1982">
        <f>SUM(AL33:AR33)</f>
        <v>175.7</v>
      </c>
      <c r="AU33" s="2268">
        <f t="shared" ref="AU33:AU48" si="193">($AT$3*K33)*30%</f>
        <v>325.95400220383385</v>
      </c>
      <c r="AV33" s="1984">
        <f>AU33-AT33</f>
        <v>150.25400220383386</v>
      </c>
      <c r="AW33" s="2293"/>
      <c r="AX33" s="2268">
        <f t="shared" ref="AX33:BD33" si="194">$J$33</f>
        <v>25.1</v>
      </c>
      <c r="AY33" s="2268">
        <f t="shared" si="194"/>
        <v>25.1</v>
      </c>
      <c r="AZ33" s="2268">
        <f t="shared" si="194"/>
        <v>25.1</v>
      </c>
      <c r="BA33" s="2268">
        <f t="shared" si="194"/>
        <v>25.1</v>
      </c>
      <c r="BB33" s="2268">
        <f t="shared" si="194"/>
        <v>25.1</v>
      </c>
      <c r="BC33" s="2268">
        <f t="shared" si="194"/>
        <v>25.1</v>
      </c>
      <c r="BD33" s="2268">
        <f t="shared" si="194"/>
        <v>25.1</v>
      </c>
      <c r="BE33" s="2293"/>
      <c r="BF33" s="1982">
        <f>SUM(AX33:BD33)</f>
        <v>175.7</v>
      </c>
      <c r="BG33" s="2268">
        <f t="shared" ref="BG33:BG48" si="195">($BF$3*K33)*30%</f>
        <v>325.84882048110109</v>
      </c>
      <c r="BH33" s="1984">
        <f>BG33-BF33</f>
        <v>150.1488204811011</v>
      </c>
      <c r="BI33" s="1878"/>
      <c r="BJ33" s="1728">
        <f t="shared" ref="BJ33" si="196">$J$33</f>
        <v>25.1</v>
      </c>
      <c r="BK33" s="2268">
        <v>25.1</v>
      </c>
      <c r="BL33" s="2268">
        <v>25.1</v>
      </c>
      <c r="BM33" s="1878"/>
      <c r="BN33" s="1982">
        <f t="shared" si="185"/>
        <v>75.300000000000011</v>
      </c>
      <c r="BO33" s="2268">
        <f>($BN$3*K33)*30%</f>
        <v>143.33478991849975</v>
      </c>
      <c r="BP33" s="1984">
        <f>BO33-BN33</f>
        <v>68.03478991849974</v>
      </c>
      <c r="BR33" s="1732">
        <v>0</v>
      </c>
      <c r="BS33" s="1882">
        <f t="shared" si="186"/>
        <v>0</v>
      </c>
      <c r="BT33" s="1740"/>
      <c r="BU33" s="1734">
        <f t="shared" ref="BU33:BU48" si="197">SUM(N33:T33)+SUM(Z33:AF33)+SUM(AL33:AR33)+SUM(AX33:BD33)+SUM(BJ33:BL33)</f>
        <v>753</v>
      </c>
      <c r="BV33" s="1918">
        <f t="shared" ref="BV33:BV48" si="198">BU33/E33</f>
        <v>1</v>
      </c>
      <c r="BW33" s="1997"/>
      <c r="BX33" s="1874"/>
      <c r="BZ33" s="1860"/>
      <c r="CA33" s="1985">
        <v>43708</v>
      </c>
      <c r="CB33" s="1830"/>
      <c r="CC33" s="1817"/>
      <c r="CD33" s="1810"/>
      <c r="CE33" s="1810"/>
      <c r="CF33" s="1810"/>
      <c r="CG33" s="1810"/>
      <c r="CH33" s="1810"/>
      <c r="CI33" s="1986"/>
    </row>
    <row r="34" spans="1:87" s="1777" customFormat="1" x14ac:dyDescent="0.2">
      <c r="B34" s="1969">
        <v>15</v>
      </c>
      <c r="C34" s="1987" t="s">
        <v>198</v>
      </c>
      <c r="D34" s="1744"/>
      <c r="E34" s="1746">
        <v>450</v>
      </c>
      <c r="F34" s="1746">
        <f>E34/10</f>
        <v>45</v>
      </c>
      <c r="G34" s="1746">
        <f>E34/15</f>
        <v>30</v>
      </c>
      <c r="H34" s="1746">
        <f>E34/20</f>
        <v>22.5</v>
      </c>
      <c r="I34" s="1746">
        <f>E34/25</f>
        <v>18</v>
      </c>
      <c r="J34" s="1746">
        <f t="shared" si="178"/>
        <v>15</v>
      </c>
      <c r="K34" s="1988">
        <f t="shared" si="179"/>
        <v>0.1403384756122916</v>
      </c>
      <c r="L34" s="1866"/>
      <c r="M34" s="1867"/>
      <c r="N34" s="1746">
        <f>$J$34</f>
        <v>15</v>
      </c>
      <c r="O34" s="1746">
        <f>$J$34</f>
        <v>15</v>
      </c>
      <c r="P34" s="1746">
        <f>$J$34</f>
        <v>15</v>
      </c>
      <c r="Q34" s="1746">
        <f>$J$34</f>
        <v>15</v>
      </c>
      <c r="R34" s="1746">
        <f t="shared" ref="R34:T34" si="199">$J$34</f>
        <v>15</v>
      </c>
      <c r="S34" s="1746">
        <f t="shared" si="199"/>
        <v>15</v>
      </c>
      <c r="T34" s="1746">
        <f t="shared" si="199"/>
        <v>15</v>
      </c>
      <c r="U34" s="1801"/>
      <c r="V34" s="1989">
        <f>SUM(N34:T34)</f>
        <v>105</v>
      </c>
      <c r="W34" s="1990">
        <f t="shared" si="188"/>
        <v>179.22643561062833</v>
      </c>
      <c r="X34" s="1991">
        <f t="shared" si="189"/>
        <v>74.226435610628329</v>
      </c>
      <c r="Y34" s="1788"/>
      <c r="Z34" s="1746">
        <f t="shared" ref="Z34:AF34" si="200">$J$34</f>
        <v>15</v>
      </c>
      <c r="AA34" s="1746">
        <f t="shared" si="200"/>
        <v>15</v>
      </c>
      <c r="AB34" s="1746">
        <f t="shared" si="200"/>
        <v>15</v>
      </c>
      <c r="AC34" s="4603"/>
      <c r="AD34" s="1746">
        <f t="shared" si="200"/>
        <v>15</v>
      </c>
      <c r="AE34" s="1746">
        <f t="shared" si="200"/>
        <v>15</v>
      </c>
      <c r="AF34" s="1746">
        <f t="shared" si="200"/>
        <v>15</v>
      </c>
      <c r="AG34" s="1788"/>
      <c r="AH34" s="1989">
        <f t="shared" si="65"/>
        <v>90</v>
      </c>
      <c r="AI34" s="1990">
        <f t="shared" si="191"/>
        <v>171.72575107073064</v>
      </c>
      <c r="AJ34" s="1991">
        <f t="shared" si="66"/>
        <v>81.725751070730638</v>
      </c>
      <c r="AK34" s="1788"/>
      <c r="AL34" s="1990">
        <f t="shared" ref="AL34:AR34" si="201">$J$34</f>
        <v>15</v>
      </c>
      <c r="AM34" s="1990">
        <f t="shared" si="201"/>
        <v>15</v>
      </c>
      <c r="AN34" s="1990">
        <f t="shared" si="201"/>
        <v>15</v>
      </c>
      <c r="AO34" s="1990">
        <f t="shared" si="201"/>
        <v>15</v>
      </c>
      <c r="AP34" s="1990">
        <f t="shared" si="201"/>
        <v>15</v>
      </c>
      <c r="AQ34" s="1990">
        <f t="shared" si="201"/>
        <v>15</v>
      </c>
      <c r="AR34" s="1990">
        <f t="shared" si="201"/>
        <v>15</v>
      </c>
      <c r="AS34" s="2290"/>
      <c r="AT34" s="1989">
        <f t="shared" ref="AT34:AT48" si="202">SUM(AL34:AR34)</f>
        <v>105</v>
      </c>
      <c r="AU34" s="1990">
        <f t="shared" si="193"/>
        <v>194.79322840866564</v>
      </c>
      <c r="AV34" s="1991">
        <f t="shared" ref="AV34:AV48" si="203">AU34-AT34</f>
        <v>89.793228408665641</v>
      </c>
      <c r="AW34" s="2290"/>
      <c r="AX34" s="1990">
        <f t="shared" ref="AX34:BD34" si="204">$J$34</f>
        <v>15</v>
      </c>
      <c r="AY34" s="1990">
        <f t="shared" si="204"/>
        <v>15</v>
      </c>
      <c r="AZ34" s="1990">
        <f t="shared" si="204"/>
        <v>15</v>
      </c>
      <c r="BA34" s="1990">
        <f t="shared" si="204"/>
        <v>15</v>
      </c>
      <c r="BB34" s="1990">
        <f t="shared" si="204"/>
        <v>15</v>
      </c>
      <c r="BC34" s="1990">
        <f t="shared" si="204"/>
        <v>15</v>
      </c>
      <c r="BD34" s="1990">
        <f t="shared" si="204"/>
        <v>15</v>
      </c>
      <c r="BE34" s="2290"/>
      <c r="BF34" s="1989">
        <f t="shared" ref="BF34:BF48" si="205">SUM(AX34:BD34)</f>
        <v>105</v>
      </c>
      <c r="BG34" s="1990">
        <f t="shared" si="195"/>
        <v>194.73037080543895</v>
      </c>
      <c r="BH34" s="1991">
        <f t="shared" ref="BH34:BH48" si="206">BG34-BF34</f>
        <v>89.730370805438952</v>
      </c>
      <c r="BI34" s="1801"/>
      <c r="BJ34" s="1746">
        <f t="shared" ref="BJ34" si="207">$J$34</f>
        <v>15</v>
      </c>
      <c r="BK34" s="1990">
        <v>15</v>
      </c>
      <c r="BL34" s="1990">
        <v>15</v>
      </c>
      <c r="BM34" s="1801"/>
      <c r="BN34" s="1989">
        <f t="shared" si="185"/>
        <v>45</v>
      </c>
      <c r="BO34" s="1990">
        <f t="shared" ref="BO34:BO48" si="208">($BN$3*K34)*30%</f>
        <v>85.65824098715126</v>
      </c>
      <c r="BP34" s="1991">
        <f t="shared" si="136"/>
        <v>40.65824098715126</v>
      </c>
      <c r="BR34" s="1750">
        <v>0</v>
      </c>
      <c r="BS34" s="1871">
        <f t="shared" si="186"/>
        <v>0</v>
      </c>
      <c r="BT34" s="1795"/>
      <c r="BU34" s="1935">
        <f t="shared" si="197"/>
        <v>450</v>
      </c>
      <c r="BV34" s="1930">
        <f t="shared" si="198"/>
        <v>1</v>
      </c>
      <c r="BW34" s="1802"/>
      <c r="BX34" s="1783"/>
      <c r="BZ34" s="1916"/>
      <c r="CA34" s="1992">
        <v>43677</v>
      </c>
      <c r="CB34" s="1993"/>
      <c r="CC34" s="1994"/>
      <c r="CD34" s="1923"/>
      <c r="CE34" s="1923"/>
      <c r="CF34" s="1923"/>
      <c r="CG34" s="1923"/>
      <c r="CH34" s="1923"/>
      <c r="CI34" s="1995"/>
    </row>
    <row r="35" spans="1:87" s="1756" customFormat="1" x14ac:dyDescent="0.2">
      <c r="B35" s="1963">
        <v>16</v>
      </c>
      <c r="C35" s="1963" t="s">
        <v>211</v>
      </c>
      <c r="D35" s="1727"/>
      <c r="E35" s="1728">
        <v>300</v>
      </c>
      <c r="F35" s="1728"/>
      <c r="G35" s="1728"/>
      <c r="H35" s="1728"/>
      <c r="I35" s="1728"/>
      <c r="J35" s="1728">
        <f t="shared" si="178"/>
        <v>10</v>
      </c>
      <c r="K35" s="1965">
        <f t="shared" si="179"/>
        <v>9.3558983741527726E-2</v>
      </c>
      <c r="L35" s="1931"/>
      <c r="M35" s="1924"/>
      <c r="N35" s="1728">
        <f>$J$35</f>
        <v>10</v>
      </c>
      <c r="O35" s="1728">
        <f>$J$35</f>
        <v>10</v>
      </c>
      <c r="P35" s="1728">
        <f>$J$35</f>
        <v>10</v>
      </c>
      <c r="Q35" s="1728">
        <f>$J$35</f>
        <v>10</v>
      </c>
      <c r="R35" s="1728">
        <f t="shared" ref="R35:T35" si="209">$J$35</f>
        <v>10</v>
      </c>
      <c r="S35" s="1728">
        <f t="shared" si="209"/>
        <v>10</v>
      </c>
      <c r="T35" s="1728">
        <f t="shared" si="209"/>
        <v>10</v>
      </c>
      <c r="U35" s="1814"/>
      <c r="V35" s="1982">
        <f t="shared" ref="V35:V36" si="210">SUM(N35:T35)</f>
        <v>70</v>
      </c>
      <c r="W35" s="1983">
        <f t="shared" si="188"/>
        <v>119.48429040708554</v>
      </c>
      <c r="X35" s="1984">
        <f t="shared" ref="X35:X36" si="211">W35-V35</f>
        <v>49.484290407085538</v>
      </c>
      <c r="Y35" s="1764"/>
      <c r="Z35" s="1728">
        <f t="shared" ref="Z35:AF35" si="212">$J$35</f>
        <v>10</v>
      </c>
      <c r="AA35" s="1728">
        <f t="shared" si="212"/>
        <v>10</v>
      </c>
      <c r="AB35" s="1728">
        <f t="shared" si="212"/>
        <v>10</v>
      </c>
      <c r="AC35" s="4603"/>
      <c r="AD35" s="1728">
        <f t="shared" si="212"/>
        <v>10</v>
      </c>
      <c r="AE35" s="1728">
        <f t="shared" si="212"/>
        <v>10</v>
      </c>
      <c r="AF35" s="1728">
        <f t="shared" si="212"/>
        <v>10</v>
      </c>
      <c r="AG35" s="1764"/>
      <c r="AH35" s="1982">
        <f t="shared" ref="AH35:AH36" si="213">SUM(Z35:AF35)</f>
        <v>60</v>
      </c>
      <c r="AI35" s="1983">
        <f t="shared" si="191"/>
        <v>114.48383404715374</v>
      </c>
      <c r="AJ35" s="1984">
        <f t="shared" ref="AJ35:AJ36" si="214">AI35-AH35</f>
        <v>54.483834047153735</v>
      </c>
      <c r="AK35" s="1764"/>
      <c r="AL35" s="2268">
        <f t="shared" ref="AL35:AR35" si="215">$J$35</f>
        <v>10</v>
      </c>
      <c r="AM35" s="2268">
        <f t="shared" si="215"/>
        <v>10</v>
      </c>
      <c r="AN35" s="2268">
        <f t="shared" si="215"/>
        <v>10</v>
      </c>
      <c r="AO35" s="2268">
        <f t="shared" si="215"/>
        <v>10</v>
      </c>
      <c r="AP35" s="2268">
        <f t="shared" si="215"/>
        <v>10</v>
      </c>
      <c r="AQ35" s="2268">
        <f t="shared" si="215"/>
        <v>10</v>
      </c>
      <c r="AR35" s="2268">
        <f t="shared" si="215"/>
        <v>10</v>
      </c>
      <c r="AS35" s="2289"/>
      <c r="AT35" s="1982">
        <f t="shared" ref="AT35:AT36" si="216">SUM(AL35:AR35)</f>
        <v>70</v>
      </c>
      <c r="AU35" s="2268">
        <f t="shared" si="193"/>
        <v>129.86215227244375</v>
      </c>
      <c r="AV35" s="1984">
        <f t="shared" ref="AV35:AV36" si="217">AU35-AT35</f>
        <v>59.862152272443751</v>
      </c>
      <c r="AW35" s="2289"/>
      <c r="AX35" s="2268">
        <f t="shared" ref="AX35:BD35" si="218">$J$35</f>
        <v>10</v>
      </c>
      <c r="AY35" s="2268">
        <f t="shared" si="218"/>
        <v>10</v>
      </c>
      <c r="AZ35" s="2268">
        <f t="shared" si="218"/>
        <v>10</v>
      </c>
      <c r="BA35" s="2268">
        <f t="shared" si="218"/>
        <v>10</v>
      </c>
      <c r="BB35" s="2268">
        <f t="shared" si="218"/>
        <v>10</v>
      </c>
      <c r="BC35" s="2268">
        <f t="shared" si="218"/>
        <v>10</v>
      </c>
      <c r="BD35" s="2268">
        <f t="shared" si="218"/>
        <v>10</v>
      </c>
      <c r="BE35" s="2289"/>
      <c r="BF35" s="1982">
        <f t="shared" ref="BF35:BF36" si="219">SUM(AX35:BD35)</f>
        <v>70</v>
      </c>
      <c r="BG35" s="2268">
        <f t="shared" si="195"/>
        <v>129.82024720362594</v>
      </c>
      <c r="BH35" s="1984">
        <f t="shared" ref="BH35:BH36" si="220">BG35-BF35</f>
        <v>59.820247203625939</v>
      </c>
      <c r="BI35" s="1814"/>
      <c r="BJ35" s="1728">
        <f t="shared" ref="BJ35" si="221">$J$35</f>
        <v>10</v>
      </c>
      <c r="BK35" s="2268">
        <v>10</v>
      </c>
      <c r="BL35" s="2268">
        <v>10</v>
      </c>
      <c r="BM35" s="1814"/>
      <c r="BN35" s="1982">
        <f t="shared" ref="BN35:BN39" si="222">SUM(BJ35:BL35)</f>
        <v>30</v>
      </c>
      <c r="BO35" s="2268">
        <f t="shared" si="208"/>
        <v>57.105493991434166</v>
      </c>
      <c r="BP35" s="1984">
        <f>BO35-BN35</f>
        <v>27.105493991434166</v>
      </c>
      <c r="BR35" s="1735">
        <v>0</v>
      </c>
      <c r="BS35" s="1768">
        <f t="shared" ref="BS35:BS36" si="223">BR35/E35</f>
        <v>0</v>
      </c>
      <c r="BT35" s="1770"/>
      <c r="BU35" s="1763">
        <f t="shared" ref="BU35:BU36" si="224">SUM(N35:T35)+SUM(Z35:AF35)+SUM(AL35:AR35)+SUM(AX35:BD35)+SUM(BJ35:BL35)</f>
        <v>300</v>
      </c>
      <c r="BV35" s="1883">
        <f t="shared" ref="BV35:BV36" si="225">BU35/E35</f>
        <v>1</v>
      </c>
      <c r="BW35" s="1830"/>
      <c r="BX35" s="1761"/>
      <c r="BZ35" s="1874"/>
      <c r="CA35" s="1996">
        <f>CA33-CA34</f>
        <v>31</v>
      </c>
      <c r="CB35" s="1997"/>
      <c r="CC35" s="1861"/>
      <c r="CD35" s="1860"/>
      <c r="CE35" s="1860"/>
      <c r="CF35" s="1860"/>
      <c r="CG35" s="1860"/>
      <c r="CH35" s="1860"/>
      <c r="CI35" s="1998"/>
    </row>
    <row r="36" spans="1:87" s="1947" customFormat="1" x14ac:dyDescent="0.2">
      <c r="B36" s="1999">
        <v>17</v>
      </c>
      <c r="C36" s="2000" t="s">
        <v>230</v>
      </c>
      <c r="D36" s="1888"/>
      <c r="E36" s="2001">
        <v>250</v>
      </c>
      <c r="F36" s="2001"/>
      <c r="G36" s="2001"/>
      <c r="H36" s="2001"/>
      <c r="I36" s="2001"/>
      <c r="J36" s="2001">
        <f t="shared" si="178"/>
        <v>8.3333333333333339</v>
      </c>
      <c r="K36" s="2002">
        <f t="shared" si="179"/>
        <v>7.7965819784606441E-2</v>
      </c>
      <c r="L36" s="2003"/>
      <c r="M36" s="1950"/>
      <c r="N36" s="2001">
        <f>$J$36</f>
        <v>8.3333333333333339</v>
      </c>
      <c r="O36" s="2001">
        <f>$J$36</f>
        <v>8.3333333333333339</v>
      </c>
      <c r="P36" s="2001">
        <f>$J$36</f>
        <v>8.3333333333333339</v>
      </c>
      <c r="Q36" s="2001">
        <f>$J$36</f>
        <v>8.3333333333333339</v>
      </c>
      <c r="R36" s="2001">
        <f t="shared" ref="R36:T36" si="226">$J$36</f>
        <v>8.3333333333333339</v>
      </c>
      <c r="S36" s="2001">
        <f t="shared" si="226"/>
        <v>8.3333333333333339</v>
      </c>
      <c r="T36" s="2001">
        <f t="shared" si="226"/>
        <v>8.3333333333333339</v>
      </c>
      <c r="U36" s="1951"/>
      <c r="V36" s="2004">
        <f t="shared" si="210"/>
        <v>58.333333333333343</v>
      </c>
      <c r="W36" s="2005">
        <f t="shared" si="188"/>
        <v>99.570242005904618</v>
      </c>
      <c r="X36" s="2006">
        <f t="shared" si="211"/>
        <v>41.236908672571275</v>
      </c>
      <c r="Y36" s="1955"/>
      <c r="Z36" s="2001">
        <f t="shared" ref="Z36:AF36" si="227">$J$36</f>
        <v>8.3333333333333339</v>
      </c>
      <c r="AA36" s="2001">
        <f t="shared" si="227"/>
        <v>8.3333333333333339</v>
      </c>
      <c r="AB36" s="2001">
        <f t="shared" si="227"/>
        <v>8.3333333333333339</v>
      </c>
      <c r="AC36" s="4603"/>
      <c r="AD36" s="2001">
        <f t="shared" si="227"/>
        <v>8.3333333333333339</v>
      </c>
      <c r="AE36" s="2001">
        <f t="shared" si="227"/>
        <v>8.3333333333333339</v>
      </c>
      <c r="AF36" s="2001">
        <f t="shared" si="227"/>
        <v>8.3333333333333339</v>
      </c>
      <c r="AG36" s="1955"/>
      <c r="AH36" s="2004">
        <f t="shared" si="213"/>
        <v>50.000000000000007</v>
      </c>
      <c r="AI36" s="2005">
        <f t="shared" si="191"/>
        <v>95.403195039294786</v>
      </c>
      <c r="AJ36" s="2006">
        <f t="shared" si="214"/>
        <v>45.403195039294779</v>
      </c>
      <c r="AK36" s="1955"/>
      <c r="AL36" s="2005">
        <f t="shared" ref="AL36:AR36" si="228">$J$36</f>
        <v>8.3333333333333339</v>
      </c>
      <c r="AM36" s="2005">
        <f t="shared" si="228"/>
        <v>8.3333333333333339</v>
      </c>
      <c r="AN36" s="2005">
        <f t="shared" si="228"/>
        <v>8.3333333333333339</v>
      </c>
      <c r="AO36" s="2005">
        <f t="shared" si="228"/>
        <v>8.3333333333333339</v>
      </c>
      <c r="AP36" s="2005">
        <f t="shared" si="228"/>
        <v>8.3333333333333339</v>
      </c>
      <c r="AQ36" s="2005">
        <f t="shared" si="228"/>
        <v>8.3333333333333339</v>
      </c>
      <c r="AR36" s="2005">
        <f t="shared" si="228"/>
        <v>8.3333333333333339</v>
      </c>
      <c r="AS36" s="2299"/>
      <c r="AT36" s="2004">
        <f t="shared" si="216"/>
        <v>58.333333333333343</v>
      </c>
      <c r="AU36" s="2005">
        <f t="shared" si="193"/>
        <v>108.21846022703646</v>
      </c>
      <c r="AV36" s="2006">
        <f t="shared" si="217"/>
        <v>49.885126893703116</v>
      </c>
      <c r="AW36" s="2299"/>
      <c r="AX36" s="2005">
        <f t="shared" ref="AX36:BD36" si="229">$J$36</f>
        <v>8.3333333333333339</v>
      </c>
      <c r="AY36" s="2005">
        <f t="shared" si="229"/>
        <v>8.3333333333333339</v>
      </c>
      <c r="AZ36" s="2005">
        <f t="shared" si="229"/>
        <v>8.3333333333333339</v>
      </c>
      <c r="BA36" s="2005">
        <f t="shared" si="229"/>
        <v>8.3333333333333339</v>
      </c>
      <c r="BB36" s="2005">
        <f t="shared" si="229"/>
        <v>8.3333333333333339</v>
      </c>
      <c r="BC36" s="2005">
        <f t="shared" si="229"/>
        <v>8.3333333333333339</v>
      </c>
      <c r="BD36" s="2005">
        <f t="shared" si="229"/>
        <v>8.3333333333333339</v>
      </c>
      <c r="BE36" s="2299"/>
      <c r="BF36" s="2004">
        <f t="shared" si="219"/>
        <v>58.333333333333343</v>
      </c>
      <c r="BG36" s="2005">
        <f t="shared" si="195"/>
        <v>108.18353933635495</v>
      </c>
      <c r="BH36" s="2006">
        <f t="shared" si="220"/>
        <v>49.850206003021611</v>
      </c>
      <c r="BI36" s="1951"/>
      <c r="BJ36" s="2001">
        <f t="shared" ref="BJ36" si="230">$J$36</f>
        <v>8.3333333333333339</v>
      </c>
      <c r="BK36" s="2005">
        <v>8.3333333333333339</v>
      </c>
      <c r="BL36" s="2005">
        <v>8.3333333333333339</v>
      </c>
      <c r="BM36" s="1951"/>
      <c r="BN36" s="2004">
        <f t="shared" si="222"/>
        <v>25</v>
      </c>
      <c r="BO36" s="2005">
        <f t="shared" si="208"/>
        <v>47.587911659528473</v>
      </c>
      <c r="BP36" s="2006">
        <f>BO36-BN36</f>
        <v>22.587911659528473</v>
      </c>
      <c r="BR36" s="2007">
        <v>0</v>
      </c>
      <c r="BS36" s="2008">
        <f t="shared" si="223"/>
        <v>0</v>
      </c>
      <c r="BT36" s="1959"/>
      <c r="BU36" s="1901">
        <f t="shared" si="224"/>
        <v>250.00000000000003</v>
      </c>
      <c r="BV36" s="1902">
        <f t="shared" si="225"/>
        <v>1.0000000000000002</v>
      </c>
      <c r="BW36" s="1962"/>
      <c r="BX36" s="1905"/>
      <c r="BZ36" s="1903"/>
      <c r="CA36" s="2009"/>
      <c r="CB36" s="2010"/>
      <c r="CC36" s="2011"/>
      <c r="CD36" s="1946"/>
      <c r="CE36" s="1946"/>
      <c r="CF36" s="1946"/>
      <c r="CG36" s="1946"/>
      <c r="CH36" s="1946"/>
      <c r="CI36" s="2012"/>
    </row>
    <row r="37" spans="1:87" s="1756" customFormat="1" x14ac:dyDescent="0.2">
      <c r="B37" s="1963">
        <v>18</v>
      </c>
      <c r="C37" s="1963" t="s">
        <v>199</v>
      </c>
      <c r="D37" s="1727"/>
      <c r="E37" s="1728">
        <v>150</v>
      </c>
      <c r="F37" s="1728"/>
      <c r="G37" s="1728"/>
      <c r="H37" s="1728"/>
      <c r="I37" s="1728"/>
      <c r="J37" s="1728">
        <f t="shared" si="178"/>
        <v>5</v>
      </c>
      <c r="K37" s="1965">
        <f t="shared" si="179"/>
        <v>4.6779491870763863E-2</v>
      </c>
      <c r="L37" s="1931"/>
      <c r="M37" s="1924"/>
      <c r="N37" s="1728">
        <f>$J$37</f>
        <v>5</v>
      </c>
      <c r="O37" s="1728">
        <f t="shared" ref="O37:T37" si="231">$J$37</f>
        <v>5</v>
      </c>
      <c r="P37" s="1728">
        <f t="shared" si="231"/>
        <v>5</v>
      </c>
      <c r="Q37" s="1728">
        <f t="shared" si="231"/>
        <v>5</v>
      </c>
      <c r="R37" s="1728">
        <f t="shared" si="231"/>
        <v>5</v>
      </c>
      <c r="S37" s="1728">
        <f t="shared" si="231"/>
        <v>5</v>
      </c>
      <c r="T37" s="1728">
        <f t="shared" si="231"/>
        <v>5</v>
      </c>
      <c r="U37" s="1814"/>
      <c r="V37" s="1982">
        <f t="shared" ref="V37" si="232">SUM(N37:T37)</f>
        <v>35</v>
      </c>
      <c r="W37" s="1983">
        <f t="shared" si="188"/>
        <v>59.742145203542769</v>
      </c>
      <c r="X37" s="1984">
        <f t="shared" ref="X37" si="233">W37-V37</f>
        <v>24.742145203542769</v>
      </c>
      <c r="Y37" s="1764"/>
      <c r="Z37" s="1728">
        <f t="shared" ref="Z37:AF37" si="234">$J$37</f>
        <v>5</v>
      </c>
      <c r="AA37" s="1728">
        <f t="shared" si="234"/>
        <v>5</v>
      </c>
      <c r="AB37" s="1728">
        <f t="shared" si="234"/>
        <v>5</v>
      </c>
      <c r="AC37" s="4603"/>
      <c r="AD37" s="1728">
        <f t="shared" si="234"/>
        <v>5</v>
      </c>
      <c r="AE37" s="1728">
        <f t="shared" si="234"/>
        <v>5</v>
      </c>
      <c r="AF37" s="1728">
        <f t="shared" si="234"/>
        <v>5</v>
      </c>
      <c r="AG37" s="1764"/>
      <c r="AH37" s="1982">
        <f t="shared" ref="AH37" si="235">SUM(Z37:AF37)</f>
        <v>30</v>
      </c>
      <c r="AI37" s="1983">
        <f>($AH$3*K37)*30%</f>
        <v>57.241917023576868</v>
      </c>
      <c r="AJ37" s="1984">
        <f t="shared" ref="AJ37" si="236">AI37-AH37</f>
        <v>27.241917023576868</v>
      </c>
      <c r="AK37" s="1764"/>
      <c r="AL37" s="2268">
        <f t="shared" ref="AL37:AR37" si="237">$J$37</f>
        <v>5</v>
      </c>
      <c r="AM37" s="2268">
        <f t="shared" si="237"/>
        <v>5</v>
      </c>
      <c r="AN37" s="2268">
        <f t="shared" si="237"/>
        <v>5</v>
      </c>
      <c r="AO37" s="2268">
        <f t="shared" si="237"/>
        <v>5</v>
      </c>
      <c r="AP37" s="2268">
        <f t="shared" si="237"/>
        <v>5</v>
      </c>
      <c r="AQ37" s="2268">
        <f t="shared" si="237"/>
        <v>5</v>
      </c>
      <c r="AR37" s="2268">
        <f t="shared" si="237"/>
        <v>5</v>
      </c>
      <c r="AS37" s="2289"/>
      <c r="AT37" s="1982">
        <f t="shared" ref="AT37:AT38" si="238">SUM(AL37:AR37)</f>
        <v>35</v>
      </c>
      <c r="AU37" s="2268">
        <f t="shared" si="193"/>
        <v>64.931076136221876</v>
      </c>
      <c r="AV37" s="1984">
        <f t="shared" ref="AV37:AV38" si="239">AU37-AT37</f>
        <v>29.931076136221876</v>
      </c>
      <c r="AW37" s="2289"/>
      <c r="AX37" s="2268">
        <f t="shared" ref="AX37:BD37" si="240">$J$37</f>
        <v>5</v>
      </c>
      <c r="AY37" s="2268">
        <f t="shared" si="240"/>
        <v>5</v>
      </c>
      <c r="AZ37" s="2268">
        <f t="shared" si="240"/>
        <v>5</v>
      </c>
      <c r="BA37" s="2268">
        <f t="shared" si="240"/>
        <v>5</v>
      </c>
      <c r="BB37" s="2268">
        <f t="shared" si="240"/>
        <v>5</v>
      </c>
      <c r="BC37" s="2268">
        <f t="shared" si="240"/>
        <v>5</v>
      </c>
      <c r="BD37" s="2268">
        <f t="shared" si="240"/>
        <v>5</v>
      </c>
      <c r="BE37" s="2289"/>
      <c r="BF37" s="1982">
        <f t="shared" ref="BF37:BF38" si="241">SUM(AX37:BD37)</f>
        <v>35</v>
      </c>
      <c r="BG37" s="2268">
        <f t="shared" ref="BG37:BG38" si="242">($BF$3*K37)*30%</f>
        <v>64.91012360181297</v>
      </c>
      <c r="BH37" s="1984">
        <f t="shared" ref="BH37:BH38" si="243">BG37-BF37</f>
        <v>29.91012360181297</v>
      </c>
      <c r="BI37" s="1814"/>
      <c r="BJ37" s="1728">
        <f t="shared" ref="BJ37" si="244">$J$37</f>
        <v>5</v>
      </c>
      <c r="BK37" s="2268">
        <v>5</v>
      </c>
      <c r="BL37" s="2268">
        <v>5</v>
      </c>
      <c r="BM37" s="1814"/>
      <c r="BN37" s="1982">
        <f t="shared" ref="BN37:BN38" si="245">SUM(BJ37:BL37)</f>
        <v>15</v>
      </c>
      <c r="BO37" s="2268">
        <f t="shared" si="208"/>
        <v>28.552746995717083</v>
      </c>
      <c r="BP37" s="1984">
        <f t="shared" ref="BP37:BP38" si="246">BO37-BN37</f>
        <v>13.552746995717083</v>
      </c>
      <c r="BR37" s="1735">
        <v>0</v>
      </c>
      <c r="BS37" s="1768">
        <f t="shared" ref="BS37" si="247">BR37/E37</f>
        <v>0</v>
      </c>
      <c r="BT37" s="1770"/>
      <c r="BU37" s="1763">
        <f t="shared" ref="BU37" si="248">SUM(N37:T37)+SUM(Z37:AF37)+SUM(AL37:AR37)+SUM(AX37:BD37)+SUM(BJ37:BL37)</f>
        <v>150</v>
      </c>
      <c r="BV37" s="1883">
        <f t="shared" ref="BV37" si="249">BU37/E37</f>
        <v>1</v>
      </c>
      <c r="BW37" s="1830"/>
      <c r="BX37" s="1761"/>
      <c r="BZ37" s="1874"/>
      <c r="CA37" s="1985"/>
      <c r="CB37" s="1997"/>
      <c r="CC37" s="1861"/>
      <c r="CD37" s="1860"/>
      <c r="CE37" s="1860"/>
      <c r="CF37" s="1860"/>
      <c r="CG37" s="1860"/>
      <c r="CH37" s="1860"/>
      <c r="CI37" s="1998"/>
    </row>
    <row r="38" spans="1:87" s="1947" customFormat="1" x14ac:dyDescent="0.2">
      <c r="B38" s="1999">
        <v>19</v>
      </c>
      <c r="C38" s="2000" t="s">
        <v>202</v>
      </c>
      <c r="D38" s="1888"/>
      <c r="E38" s="2001">
        <v>100</v>
      </c>
      <c r="F38" s="2001">
        <f>E38/10</f>
        <v>10</v>
      </c>
      <c r="G38" s="2001">
        <f>E38/15</f>
        <v>6.666666666666667</v>
      </c>
      <c r="H38" s="2001">
        <f>E38/20</f>
        <v>5</v>
      </c>
      <c r="I38" s="2001">
        <f>E38/25</f>
        <v>4</v>
      </c>
      <c r="J38" s="2001">
        <f t="shared" si="178"/>
        <v>3.3333333333333335</v>
      </c>
      <c r="K38" s="2002">
        <f t="shared" si="179"/>
        <v>3.1186327913842578E-2</v>
      </c>
      <c r="L38" s="2003"/>
      <c r="M38" s="1950"/>
      <c r="N38" s="2001">
        <f>$J$38</f>
        <v>3.3333333333333335</v>
      </c>
      <c r="O38" s="2001">
        <f t="shared" ref="O38:T38" si="250">$J$38</f>
        <v>3.3333333333333335</v>
      </c>
      <c r="P38" s="2001">
        <f t="shared" si="250"/>
        <v>3.3333333333333335</v>
      </c>
      <c r="Q38" s="2001">
        <f t="shared" si="250"/>
        <v>3.3333333333333335</v>
      </c>
      <c r="R38" s="2001">
        <f t="shared" si="250"/>
        <v>3.3333333333333335</v>
      </c>
      <c r="S38" s="2001">
        <f t="shared" si="250"/>
        <v>3.3333333333333335</v>
      </c>
      <c r="T38" s="2001">
        <f t="shared" si="250"/>
        <v>3.3333333333333335</v>
      </c>
      <c r="U38" s="1951"/>
      <c r="V38" s="2004">
        <f t="shared" ref="V38" si="251">SUM(N38:T38)</f>
        <v>23.333333333333332</v>
      </c>
      <c r="W38" s="2005">
        <f t="shared" si="188"/>
        <v>39.828096802361848</v>
      </c>
      <c r="X38" s="2006">
        <f t="shared" ref="X38" si="252">W38-V38</f>
        <v>16.494763469028516</v>
      </c>
      <c r="Y38" s="1955"/>
      <c r="Z38" s="2001">
        <f>$J$38</f>
        <v>3.3333333333333335</v>
      </c>
      <c r="AA38" s="2001">
        <f t="shared" ref="AA38:AF38" si="253">$J$38</f>
        <v>3.3333333333333335</v>
      </c>
      <c r="AB38" s="2001">
        <f t="shared" si="253"/>
        <v>3.3333333333333335</v>
      </c>
      <c r="AC38" s="4603"/>
      <c r="AD38" s="2001">
        <f t="shared" si="253"/>
        <v>3.3333333333333335</v>
      </c>
      <c r="AE38" s="2001">
        <f t="shared" si="253"/>
        <v>3.3333333333333335</v>
      </c>
      <c r="AF38" s="2001">
        <f t="shared" si="253"/>
        <v>3.3333333333333335</v>
      </c>
      <c r="AG38" s="1955"/>
      <c r="AH38" s="2004">
        <f t="shared" ref="AH38" si="254">SUM(Z38:AF38)</f>
        <v>20</v>
      </c>
      <c r="AI38" s="2005">
        <f t="shared" si="191"/>
        <v>38.161278015717919</v>
      </c>
      <c r="AJ38" s="2006">
        <f t="shared" ref="AJ38" si="255">AI38-AH38</f>
        <v>18.161278015717919</v>
      </c>
      <c r="AK38" s="1955"/>
      <c r="AL38" s="2005">
        <f t="shared" ref="AL38:AR38" si="256">$J$38</f>
        <v>3.3333333333333335</v>
      </c>
      <c r="AM38" s="2005">
        <f t="shared" si="256"/>
        <v>3.3333333333333335</v>
      </c>
      <c r="AN38" s="2005">
        <f t="shared" si="256"/>
        <v>3.3333333333333335</v>
      </c>
      <c r="AO38" s="2005">
        <f t="shared" si="256"/>
        <v>3.3333333333333335</v>
      </c>
      <c r="AP38" s="2005">
        <f t="shared" si="256"/>
        <v>3.3333333333333335</v>
      </c>
      <c r="AQ38" s="2005">
        <f t="shared" si="256"/>
        <v>3.3333333333333335</v>
      </c>
      <c r="AR38" s="2005">
        <f t="shared" si="256"/>
        <v>3.3333333333333335</v>
      </c>
      <c r="AS38" s="2299"/>
      <c r="AT38" s="2004">
        <f t="shared" si="238"/>
        <v>23.333333333333332</v>
      </c>
      <c r="AU38" s="2005">
        <f t="shared" si="193"/>
        <v>43.287384090814591</v>
      </c>
      <c r="AV38" s="2006">
        <f t="shared" si="239"/>
        <v>19.954050757481259</v>
      </c>
      <c r="AW38" s="2299"/>
      <c r="AX38" s="2005">
        <f t="shared" ref="AX38:BD38" si="257">$J$38</f>
        <v>3.3333333333333335</v>
      </c>
      <c r="AY38" s="2005">
        <f t="shared" si="257"/>
        <v>3.3333333333333335</v>
      </c>
      <c r="AZ38" s="2005">
        <f t="shared" si="257"/>
        <v>3.3333333333333335</v>
      </c>
      <c r="BA38" s="2005">
        <f t="shared" si="257"/>
        <v>3.3333333333333335</v>
      </c>
      <c r="BB38" s="2005">
        <f t="shared" si="257"/>
        <v>3.3333333333333335</v>
      </c>
      <c r="BC38" s="2005">
        <f t="shared" si="257"/>
        <v>3.3333333333333335</v>
      </c>
      <c r="BD38" s="2005">
        <f t="shared" si="257"/>
        <v>3.3333333333333335</v>
      </c>
      <c r="BE38" s="2299"/>
      <c r="BF38" s="2004">
        <f t="shared" si="241"/>
        <v>23.333333333333332</v>
      </c>
      <c r="BG38" s="2005">
        <f t="shared" si="242"/>
        <v>43.273415734541985</v>
      </c>
      <c r="BH38" s="2006">
        <f t="shared" si="243"/>
        <v>19.940082401208652</v>
      </c>
      <c r="BI38" s="1951"/>
      <c r="BJ38" s="2001">
        <f t="shared" ref="BJ38" si="258">$J$38</f>
        <v>3.3333333333333335</v>
      </c>
      <c r="BK38" s="2005">
        <v>3.3333333333333335</v>
      </c>
      <c r="BL38" s="2005">
        <v>3.3333333333333335</v>
      </c>
      <c r="BM38" s="1951"/>
      <c r="BN38" s="2004">
        <f t="shared" si="245"/>
        <v>10</v>
      </c>
      <c r="BO38" s="2005">
        <f t="shared" si="208"/>
        <v>19.03516466381139</v>
      </c>
      <c r="BP38" s="2006">
        <f t="shared" si="246"/>
        <v>9.0351646638113898</v>
      </c>
      <c r="BR38" s="2007">
        <v>0</v>
      </c>
      <c r="BS38" s="2008">
        <f t="shared" ref="BS38" si="259">BR38/E38</f>
        <v>0</v>
      </c>
      <c r="BT38" s="1959"/>
      <c r="BU38" s="1901">
        <f t="shared" ref="BU38" si="260">SUM(N38:T38)+SUM(Z38:AF38)+SUM(AL38:AR38)+SUM(AX38:BD38)+SUM(BJ38:BL38)</f>
        <v>99.999999999999986</v>
      </c>
      <c r="BV38" s="1902">
        <f t="shared" ref="BV38" si="261">BU38/E38</f>
        <v>0.99999999999999989</v>
      </c>
      <c r="BW38" s="1962"/>
      <c r="BX38" s="1905"/>
      <c r="BZ38" s="1903"/>
      <c r="CA38" s="2009"/>
      <c r="CB38" s="2010"/>
      <c r="CC38" s="2011"/>
      <c r="CD38" s="1946"/>
      <c r="CE38" s="1946"/>
      <c r="CF38" s="1946"/>
      <c r="CG38" s="1946"/>
      <c r="CH38" s="1946"/>
      <c r="CI38" s="2012"/>
    </row>
    <row r="39" spans="1:87" s="1756" customFormat="1" x14ac:dyDescent="0.2">
      <c r="B39" s="1963">
        <v>20</v>
      </c>
      <c r="C39" s="1963" t="s">
        <v>235</v>
      </c>
      <c r="D39" s="1727"/>
      <c r="E39" s="1728">
        <v>50</v>
      </c>
      <c r="F39" s="1728">
        <f>E39/10</f>
        <v>5</v>
      </c>
      <c r="G39" s="1728">
        <f>E39/15</f>
        <v>3.3333333333333335</v>
      </c>
      <c r="H39" s="1728">
        <f>E39/20</f>
        <v>2.5</v>
      </c>
      <c r="I39" s="1728">
        <f>E39/25</f>
        <v>2</v>
      </c>
      <c r="J39" s="1728">
        <f t="shared" si="178"/>
        <v>1.6666666666666667</v>
      </c>
      <c r="K39" s="1965">
        <f t="shared" si="179"/>
        <v>1.5593163956921289E-2</v>
      </c>
      <c r="L39" s="1931"/>
      <c r="M39" s="1924"/>
      <c r="N39" s="1728">
        <f>$J$39</f>
        <v>1.6666666666666667</v>
      </c>
      <c r="O39" s="1728">
        <f>$J$39</f>
        <v>1.6666666666666667</v>
      </c>
      <c r="P39" s="1728">
        <f>$J$39</f>
        <v>1.6666666666666667</v>
      </c>
      <c r="Q39" s="1728">
        <f>$J$39</f>
        <v>1.6666666666666667</v>
      </c>
      <c r="R39" s="1728">
        <f t="shared" ref="R39:T39" si="262">$J$39</f>
        <v>1.6666666666666667</v>
      </c>
      <c r="S39" s="1728">
        <f t="shared" si="262"/>
        <v>1.6666666666666667</v>
      </c>
      <c r="T39" s="1728">
        <f t="shared" si="262"/>
        <v>1.6666666666666667</v>
      </c>
      <c r="U39" s="1814"/>
      <c r="V39" s="1982">
        <f t="shared" si="61"/>
        <v>11.666666666666666</v>
      </c>
      <c r="W39" s="2268">
        <f t="shared" si="188"/>
        <v>19.914048401180924</v>
      </c>
      <c r="X39" s="1984">
        <f t="shared" si="189"/>
        <v>8.2473817345142582</v>
      </c>
      <c r="Y39" s="1764"/>
      <c r="Z39" s="1728">
        <f t="shared" ref="Z39:AF39" si="263">$J$39</f>
        <v>1.6666666666666667</v>
      </c>
      <c r="AA39" s="1728">
        <f t="shared" si="263"/>
        <v>1.6666666666666667</v>
      </c>
      <c r="AB39" s="1728">
        <f t="shared" si="263"/>
        <v>1.6666666666666667</v>
      </c>
      <c r="AC39" s="4603"/>
      <c r="AD39" s="1728">
        <f t="shared" si="263"/>
        <v>1.6666666666666667</v>
      </c>
      <c r="AE39" s="1728">
        <f t="shared" si="263"/>
        <v>1.6666666666666667</v>
      </c>
      <c r="AF39" s="1728">
        <f t="shared" si="263"/>
        <v>1.6666666666666667</v>
      </c>
      <c r="AG39" s="1764"/>
      <c r="AH39" s="1982">
        <f t="shared" si="65"/>
        <v>10</v>
      </c>
      <c r="AI39" s="2268">
        <f t="shared" si="191"/>
        <v>19.080639007858959</v>
      </c>
      <c r="AJ39" s="1984">
        <f t="shared" si="66"/>
        <v>9.0806390078589594</v>
      </c>
      <c r="AK39" s="1764"/>
      <c r="AL39" s="2268">
        <f t="shared" ref="AL39:AR39" si="264">$J$39</f>
        <v>1.6666666666666667</v>
      </c>
      <c r="AM39" s="2268">
        <f t="shared" si="264"/>
        <v>1.6666666666666667</v>
      </c>
      <c r="AN39" s="2268">
        <f t="shared" si="264"/>
        <v>1.6666666666666667</v>
      </c>
      <c r="AO39" s="2268">
        <f t="shared" si="264"/>
        <v>1.6666666666666667</v>
      </c>
      <c r="AP39" s="2268">
        <f t="shared" si="264"/>
        <v>1.6666666666666667</v>
      </c>
      <c r="AQ39" s="2268">
        <f t="shared" si="264"/>
        <v>1.6666666666666667</v>
      </c>
      <c r="AR39" s="2268">
        <f t="shared" si="264"/>
        <v>1.6666666666666667</v>
      </c>
      <c r="AS39" s="2289"/>
      <c r="AT39" s="1982">
        <f t="shared" si="202"/>
        <v>11.666666666666666</v>
      </c>
      <c r="AU39" s="2268">
        <f t="shared" si="193"/>
        <v>21.643692045407295</v>
      </c>
      <c r="AV39" s="1984">
        <f t="shared" si="203"/>
        <v>9.9770253787406293</v>
      </c>
      <c r="AW39" s="2289"/>
      <c r="AX39" s="2268">
        <f t="shared" ref="AX39:BD39" si="265">$J$39</f>
        <v>1.6666666666666667</v>
      </c>
      <c r="AY39" s="2268">
        <f t="shared" si="265"/>
        <v>1.6666666666666667</v>
      </c>
      <c r="AZ39" s="2268">
        <f t="shared" si="265"/>
        <v>1.6666666666666667</v>
      </c>
      <c r="BA39" s="2268">
        <f t="shared" si="265"/>
        <v>1.6666666666666667</v>
      </c>
      <c r="BB39" s="2268">
        <f t="shared" si="265"/>
        <v>1.6666666666666667</v>
      </c>
      <c r="BC39" s="2268">
        <f t="shared" si="265"/>
        <v>1.6666666666666667</v>
      </c>
      <c r="BD39" s="2268">
        <f t="shared" si="265"/>
        <v>1.6666666666666667</v>
      </c>
      <c r="BE39" s="2289"/>
      <c r="BF39" s="1982">
        <f t="shared" si="205"/>
        <v>11.666666666666666</v>
      </c>
      <c r="BG39" s="2268">
        <f t="shared" si="195"/>
        <v>21.636707867270992</v>
      </c>
      <c r="BH39" s="1984">
        <f t="shared" si="206"/>
        <v>9.9700412006043262</v>
      </c>
      <c r="BI39" s="1814"/>
      <c r="BJ39" s="1728">
        <f t="shared" ref="BJ39" si="266">$J$39</f>
        <v>1.6666666666666667</v>
      </c>
      <c r="BK39" s="2268">
        <v>1.6666666666666667</v>
      </c>
      <c r="BL39" s="2268">
        <v>1.6666666666666667</v>
      </c>
      <c r="BM39" s="1814"/>
      <c r="BN39" s="1982">
        <f t="shared" si="222"/>
        <v>5</v>
      </c>
      <c r="BO39" s="2268">
        <f t="shared" si="208"/>
        <v>9.5175823319056949</v>
      </c>
      <c r="BP39" s="1984">
        <f t="shared" ref="BP39" si="267">BO39-BN39</f>
        <v>4.5175823319056949</v>
      </c>
      <c r="BR39" s="1735">
        <v>0</v>
      </c>
      <c r="BS39" s="1768">
        <f t="shared" si="186"/>
        <v>0</v>
      </c>
      <c r="BT39" s="2473"/>
      <c r="BU39" s="1763">
        <f t="shared" si="197"/>
        <v>49.999999999999993</v>
      </c>
      <c r="BV39" s="1883">
        <f t="shared" si="198"/>
        <v>0.99999999999999989</v>
      </c>
      <c r="BW39" s="1830"/>
      <c r="BX39" s="1761"/>
      <c r="BZ39" s="2474"/>
      <c r="CA39" s="2013"/>
      <c r="CB39" s="1997"/>
      <c r="CC39" s="1861"/>
      <c r="CD39" s="1860"/>
      <c r="CE39" s="1860"/>
      <c r="CF39" s="1860"/>
      <c r="CG39" s="1860"/>
      <c r="CH39" s="1860"/>
      <c r="CI39" s="1998"/>
    </row>
    <row r="40" spans="1:87" s="1947" customFormat="1" x14ac:dyDescent="0.2">
      <c r="B40" s="1999">
        <v>21</v>
      </c>
      <c r="C40" s="2000" t="s">
        <v>205</v>
      </c>
      <c r="D40" s="1888"/>
      <c r="E40" s="2001">
        <v>25.5</v>
      </c>
      <c r="F40" s="2001"/>
      <c r="G40" s="2001"/>
      <c r="H40" s="2001"/>
      <c r="I40" s="2001"/>
      <c r="J40" s="2001">
        <f t="shared" si="178"/>
        <v>0.85</v>
      </c>
      <c r="K40" s="2002">
        <f t="shared" si="179"/>
        <v>7.9525136180298561E-3</v>
      </c>
      <c r="L40" s="2003"/>
      <c r="M40" s="1950"/>
      <c r="N40" s="2001">
        <f>$J$40</f>
        <v>0.85</v>
      </c>
      <c r="O40" s="2001">
        <f>$J$40</f>
        <v>0.85</v>
      </c>
      <c r="P40" s="2001">
        <f>$J$40</f>
        <v>0.85</v>
      </c>
      <c r="Q40" s="2001">
        <f>$J$40</f>
        <v>0.85</v>
      </c>
      <c r="R40" s="2001">
        <f t="shared" ref="R40:T40" si="268">$J$40</f>
        <v>0.85</v>
      </c>
      <c r="S40" s="2001">
        <f t="shared" si="268"/>
        <v>0.85</v>
      </c>
      <c r="T40" s="2001">
        <f t="shared" si="268"/>
        <v>0.85</v>
      </c>
      <c r="U40" s="1951"/>
      <c r="V40" s="2004">
        <f t="shared" si="61"/>
        <v>5.9499999999999993</v>
      </c>
      <c r="W40" s="2005">
        <f t="shared" si="188"/>
        <v>10.15616468460227</v>
      </c>
      <c r="X40" s="2006">
        <f t="shared" si="189"/>
        <v>4.2061646846022711</v>
      </c>
      <c r="Y40" s="1955"/>
      <c r="Z40" s="2001">
        <f t="shared" ref="Z40:AF40" si="269">$J$40</f>
        <v>0.85</v>
      </c>
      <c r="AA40" s="2001">
        <f t="shared" si="269"/>
        <v>0.85</v>
      </c>
      <c r="AB40" s="2001">
        <f t="shared" si="269"/>
        <v>0.85</v>
      </c>
      <c r="AC40" s="4603"/>
      <c r="AD40" s="2001">
        <f t="shared" si="269"/>
        <v>0.85</v>
      </c>
      <c r="AE40" s="2001">
        <f t="shared" si="269"/>
        <v>0.85</v>
      </c>
      <c r="AF40" s="2001">
        <f t="shared" si="269"/>
        <v>0.85</v>
      </c>
      <c r="AG40" s="1955"/>
      <c r="AH40" s="2004">
        <f t="shared" si="65"/>
        <v>5.0999999999999996</v>
      </c>
      <c r="AI40" s="2005">
        <f t="shared" si="191"/>
        <v>9.731125894008068</v>
      </c>
      <c r="AJ40" s="2006">
        <f t="shared" si="66"/>
        <v>4.6311258940080684</v>
      </c>
      <c r="AK40" s="1955"/>
      <c r="AL40" s="2005">
        <f t="shared" ref="AL40:AR40" si="270">$J$40</f>
        <v>0.85</v>
      </c>
      <c r="AM40" s="2005">
        <f t="shared" si="270"/>
        <v>0.85</v>
      </c>
      <c r="AN40" s="2005">
        <f t="shared" si="270"/>
        <v>0.85</v>
      </c>
      <c r="AO40" s="2005">
        <f t="shared" si="270"/>
        <v>0.85</v>
      </c>
      <c r="AP40" s="2005">
        <f t="shared" si="270"/>
        <v>0.85</v>
      </c>
      <c r="AQ40" s="2005">
        <f t="shared" si="270"/>
        <v>0.85</v>
      </c>
      <c r="AR40" s="2005">
        <f t="shared" si="270"/>
        <v>0.85</v>
      </c>
      <c r="AS40" s="2299"/>
      <c r="AT40" s="2004">
        <f t="shared" si="202"/>
        <v>5.9499999999999993</v>
      </c>
      <c r="AU40" s="2005">
        <f t="shared" si="193"/>
        <v>11.03828294315772</v>
      </c>
      <c r="AV40" s="2006">
        <f t="shared" si="203"/>
        <v>5.0882829431577203</v>
      </c>
      <c r="AW40" s="2299"/>
      <c r="AX40" s="2005">
        <f t="shared" ref="AX40:BD40" si="271">$J$40</f>
        <v>0.85</v>
      </c>
      <c r="AY40" s="2005">
        <f t="shared" si="271"/>
        <v>0.85</v>
      </c>
      <c r="AZ40" s="2005">
        <f t="shared" si="271"/>
        <v>0.85</v>
      </c>
      <c r="BA40" s="2005">
        <f t="shared" si="271"/>
        <v>0.85</v>
      </c>
      <c r="BB40" s="2005">
        <f t="shared" si="271"/>
        <v>0.85</v>
      </c>
      <c r="BC40" s="2005">
        <f t="shared" si="271"/>
        <v>0.85</v>
      </c>
      <c r="BD40" s="2005">
        <f t="shared" si="271"/>
        <v>0.85</v>
      </c>
      <c r="BE40" s="2299"/>
      <c r="BF40" s="2004">
        <f t="shared" si="205"/>
        <v>5.9499999999999993</v>
      </c>
      <c r="BG40" s="2005">
        <f t="shared" si="195"/>
        <v>11.034721012308205</v>
      </c>
      <c r="BH40" s="2006">
        <f t="shared" si="206"/>
        <v>5.0847210123082061</v>
      </c>
      <c r="BI40" s="1951"/>
      <c r="BJ40" s="2001">
        <f t="shared" ref="BJ40" si="272">$J$40</f>
        <v>0.85</v>
      </c>
      <c r="BK40" s="2005">
        <v>0.85</v>
      </c>
      <c r="BL40" s="2005">
        <v>0.85</v>
      </c>
      <c r="BM40" s="1951"/>
      <c r="BN40" s="2004">
        <f t="shared" ref="BN40:BN48" si="273">SUM(BJ40:BL40)</f>
        <v>2.5499999999999998</v>
      </c>
      <c r="BO40" s="2005">
        <f t="shared" si="208"/>
        <v>4.8539669892719033</v>
      </c>
      <c r="BP40" s="2006">
        <f t="shared" ref="BP40:BP48" si="274">BO40-BN40</f>
        <v>2.3039669892719035</v>
      </c>
      <c r="BR40" s="2007">
        <v>0</v>
      </c>
      <c r="BS40" s="2008">
        <f t="shared" si="186"/>
        <v>0</v>
      </c>
      <c r="BT40" s="1959"/>
      <c r="BU40" s="1901">
        <f t="shared" si="197"/>
        <v>25.5</v>
      </c>
      <c r="BV40" s="1902">
        <f t="shared" si="198"/>
        <v>1</v>
      </c>
      <c r="BW40" s="1962"/>
      <c r="BX40" s="1905"/>
      <c r="BZ40" s="2475"/>
      <c r="CA40" s="2009">
        <v>43708</v>
      </c>
      <c r="CB40" s="2010"/>
      <c r="CC40" s="2011"/>
      <c r="CD40" s="1946"/>
      <c r="CE40" s="1946"/>
      <c r="CF40" s="1946"/>
      <c r="CG40" s="1946"/>
      <c r="CH40" s="1946"/>
      <c r="CI40" s="2012"/>
    </row>
    <row r="41" spans="1:87" s="1726" customFormat="1" x14ac:dyDescent="0.2">
      <c r="A41" s="1756"/>
      <c r="B41" s="1963">
        <v>22</v>
      </c>
      <c r="C41" s="1963" t="s">
        <v>208</v>
      </c>
      <c r="D41" s="1727"/>
      <c r="E41" s="1728">
        <v>23</v>
      </c>
      <c r="F41" s="1728"/>
      <c r="G41" s="1728"/>
      <c r="H41" s="1728"/>
      <c r="I41" s="1728"/>
      <c r="J41" s="1728">
        <f t="shared" si="178"/>
        <v>0.76666666666666672</v>
      </c>
      <c r="K41" s="1965">
        <f t="shared" si="179"/>
        <v>7.1728554201837928E-3</v>
      </c>
      <c r="L41" s="1931"/>
      <c r="M41" s="1877"/>
      <c r="N41" s="1728">
        <f>$J$41</f>
        <v>0.76666666666666672</v>
      </c>
      <c r="O41" s="1728">
        <f>$J$41</f>
        <v>0.76666666666666672</v>
      </c>
      <c r="P41" s="1728">
        <f>$J$41</f>
        <v>0.76666666666666672</v>
      </c>
      <c r="Q41" s="1728">
        <f>$J$41</f>
        <v>0.76666666666666672</v>
      </c>
      <c r="R41" s="1728">
        <f t="shared" ref="R41:T41" si="275">$J$41</f>
        <v>0.76666666666666672</v>
      </c>
      <c r="S41" s="1728">
        <f t="shared" si="275"/>
        <v>0.76666666666666672</v>
      </c>
      <c r="T41" s="1728">
        <f t="shared" si="275"/>
        <v>0.76666666666666672</v>
      </c>
      <c r="U41" s="2476"/>
      <c r="V41" s="1982">
        <f t="shared" si="61"/>
        <v>5.3666666666666671</v>
      </c>
      <c r="W41" s="2268">
        <f t="shared" si="188"/>
        <v>9.1604622645432254</v>
      </c>
      <c r="X41" s="1984">
        <f t="shared" si="189"/>
        <v>3.7937955978765583</v>
      </c>
      <c r="Y41" s="1881"/>
      <c r="Z41" s="1728">
        <f t="shared" ref="Z41:AF41" si="276">$J$41</f>
        <v>0.76666666666666672</v>
      </c>
      <c r="AA41" s="1728">
        <f t="shared" si="276"/>
        <v>0.76666666666666672</v>
      </c>
      <c r="AB41" s="1728">
        <f t="shared" si="276"/>
        <v>0.76666666666666672</v>
      </c>
      <c r="AC41" s="4603"/>
      <c r="AD41" s="1728">
        <f t="shared" si="276"/>
        <v>0.76666666666666672</v>
      </c>
      <c r="AE41" s="1728">
        <f t="shared" si="276"/>
        <v>0.76666666666666672</v>
      </c>
      <c r="AF41" s="1728">
        <f t="shared" si="276"/>
        <v>0.76666666666666672</v>
      </c>
      <c r="AG41" s="1881"/>
      <c r="AH41" s="1982">
        <f t="shared" si="65"/>
        <v>4.6000000000000005</v>
      </c>
      <c r="AI41" s="2268">
        <f t="shared" si="191"/>
        <v>8.777093943615121</v>
      </c>
      <c r="AJ41" s="1984">
        <f t="shared" si="66"/>
        <v>4.1770939436151204</v>
      </c>
      <c r="AK41" s="1881"/>
      <c r="AL41" s="2268">
        <f t="shared" ref="AL41:AR41" si="277">$J$41</f>
        <v>0.76666666666666672</v>
      </c>
      <c r="AM41" s="2268">
        <f t="shared" si="277"/>
        <v>0.76666666666666672</v>
      </c>
      <c r="AN41" s="2268">
        <f t="shared" si="277"/>
        <v>0.76666666666666672</v>
      </c>
      <c r="AO41" s="2268">
        <f t="shared" si="277"/>
        <v>0.76666666666666672</v>
      </c>
      <c r="AP41" s="2268">
        <f t="shared" si="277"/>
        <v>0.76666666666666672</v>
      </c>
      <c r="AQ41" s="2268">
        <f t="shared" si="277"/>
        <v>0.76666666666666672</v>
      </c>
      <c r="AR41" s="2268">
        <f t="shared" si="277"/>
        <v>0.76666666666666672</v>
      </c>
      <c r="AS41" s="2293"/>
      <c r="AT41" s="1982">
        <f t="shared" si="202"/>
        <v>5.3666666666666671</v>
      </c>
      <c r="AU41" s="2268">
        <f t="shared" si="193"/>
        <v>9.9560983408873565</v>
      </c>
      <c r="AV41" s="1984">
        <f t="shared" si="203"/>
        <v>4.5894316742206893</v>
      </c>
      <c r="AW41" s="2293"/>
      <c r="AX41" s="2268">
        <f t="shared" ref="AX41:BD41" si="278">$J$41</f>
        <v>0.76666666666666672</v>
      </c>
      <c r="AY41" s="2268">
        <f t="shared" si="278"/>
        <v>0.76666666666666672</v>
      </c>
      <c r="AZ41" s="2268">
        <f t="shared" si="278"/>
        <v>0.76666666666666672</v>
      </c>
      <c r="BA41" s="2268">
        <f t="shared" si="278"/>
        <v>0.76666666666666672</v>
      </c>
      <c r="BB41" s="2268">
        <f t="shared" si="278"/>
        <v>0.76666666666666672</v>
      </c>
      <c r="BC41" s="2268">
        <f t="shared" si="278"/>
        <v>0.76666666666666672</v>
      </c>
      <c r="BD41" s="2268">
        <f t="shared" si="278"/>
        <v>0.76666666666666672</v>
      </c>
      <c r="BE41" s="2293"/>
      <c r="BF41" s="1982">
        <f t="shared" si="205"/>
        <v>5.3666666666666671</v>
      </c>
      <c r="BG41" s="2268">
        <f t="shared" si="195"/>
        <v>9.9528856189446575</v>
      </c>
      <c r="BH41" s="1984">
        <f t="shared" si="206"/>
        <v>4.5862189522779904</v>
      </c>
      <c r="BI41" s="2476"/>
      <c r="BJ41" s="1728">
        <f t="shared" ref="BJ41" si="279">$J$41</f>
        <v>0.76666666666666672</v>
      </c>
      <c r="BK41" s="2268">
        <v>0.76666666666666672</v>
      </c>
      <c r="BL41" s="2268">
        <v>0.76666666666666672</v>
      </c>
      <c r="BM41" s="2476"/>
      <c r="BN41" s="1982">
        <f t="shared" si="273"/>
        <v>2.3000000000000003</v>
      </c>
      <c r="BO41" s="2268">
        <f t="shared" si="208"/>
        <v>4.3780878726766197</v>
      </c>
      <c r="BP41" s="1984">
        <f t="shared" si="274"/>
        <v>2.0780878726766194</v>
      </c>
      <c r="BR41" s="1732">
        <v>0</v>
      </c>
      <c r="BS41" s="1882">
        <f t="shared" si="186"/>
        <v>0</v>
      </c>
      <c r="BT41" s="1740"/>
      <c r="BU41" s="1734">
        <f t="shared" si="197"/>
        <v>23.000000000000004</v>
      </c>
      <c r="BV41" s="1918">
        <f t="shared" si="198"/>
        <v>1.0000000000000002</v>
      </c>
      <c r="BW41" s="1997"/>
      <c r="BX41" s="2474"/>
      <c r="BZ41" s="2014"/>
      <c r="CA41" s="2015">
        <v>43708</v>
      </c>
      <c r="CB41" s="1830"/>
      <c r="CC41" s="1817"/>
      <c r="CD41" s="1810"/>
      <c r="CE41" s="1810"/>
      <c r="CF41" s="1810"/>
      <c r="CG41" s="1810"/>
      <c r="CH41" s="1810"/>
      <c r="CI41" s="1986"/>
    </row>
    <row r="42" spans="1:87" s="1885" customFormat="1" x14ac:dyDescent="0.2">
      <c r="A42" s="1947"/>
      <c r="B42" s="1999">
        <v>23</v>
      </c>
      <c r="C42" s="2000" t="s">
        <v>206</v>
      </c>
      <c r="D42" s="1888"/>
      <c r="E42" s="2001">
        <v>16.7</v>
      </c>
      <c r="F42" s="2001"/>
      <c r="G42" s="2001"/>
      <c r="H42" s="2001"/>
      <c r="I42" s="2001"/>
      <c r="J42" s="2001">
        <f t="shared" si="178"/>
        <v>0.55666666666666664</v>
      </c>
      <c r="K42" s="2002">
        <f t="shared" si="179"/>
        <v>5.2081167616117099E-3</v>
      </c>
      <c r="L42" s="1891"/>
      <c r="M42" s="1950"/>
      <c r="N42" s="2001">
        <f>$J$42</f>
        <v>0.55666666666666664</v>
      </c>
      <c r="O42" s="2001">
        <f>$J$42</f>
        <v>0.55666666666666664</v>
      </c>
      <c r="P42" s="2001">
        <f>$J$42</f>
        <v>0.55666666666666664</v>
      </c>
      <c r="Q42" s="2001">
        <f>$J$42</f>
        <v>0.55666666666666664</v>
      </c>
      <c r="R42" s="2001">
        <f t="shared" ref="R42:T42" si="280">$J$42</f>
        <v>0.55666666666666664</v>
      </c>
      <c r="S42" s="2001">
        <f t="shared" si="280"/>
        <v>0.55666666666666664</v>
      </c>
      <c r="T42" s="2001">
        <f t="shared" si="280"/>
        <v>0.55666666666666664</v>
      </c>
      <c r="U42" s="1893"/>
      <c r="V42" s="2004">
        <f t="shared" si="61"/>
        <v>3.8966666666666665</v>
      </c>
      <c r="W42" s="2005">
        <f t="shared" si="188"/>
        <v>6.6512921659944286</v>
      </c>
      <c r="X42" s="2006">
        <f t="shared" si="189"/>
        <v>2.7546254993277621</v>
      </c>
      <c r="Y42" s="1896"/>
      <c r="Z42" s="2001">
        <f t="shared" ref="Z42:AF42" si="281">$J$42</f>
        <v>0.55666666666666664</v>
      </c>
      <c r="AA42" s="2001">
        <f t="shared" si="281"/>
        <v>0.55666666666666664</v>
      </c>
      <c r="AB42" s="2001">
        <f t="shared" si="281"/>
        <v>0.55666666666666664</v>
      </c>
      <c r="AC42" s="4603"/>
      <c r="AD42" s="2001">
        <f t="shared" si="281"/>
        <v>0.55666666666666664</v>
      </c>
      <c r="AE42" s="2001">
        <f t="shared" si="281"/>
        <v>0.55666666666666664</v>
      </c>
      <c r="AF42" s="2001">
        <f t="shared" si="281"/>
        <v>0.55666666666666664</v>
      </c>
      <c r="AG42" s="1896"/>
      <c r="AH42" s="2004">
        <f t="shared" si="65"/>
        <v>3.34</v>
      </c>
      <c r="AI42" s="2005">
        <f t="shared" si="191"/>
        <v>6.3729334286248918</v>
      </c>
      <c r="AJ42" s="2006">
        <f t="shared" si="66"/>
        <v>3.0329334286248919</v>
      </c>
      <c r="AK42" s="1896"/>
      <c r="AL42" s="2005">
        <f t="shared" ref="AL42:AR42" si="282">$J$42</f>
        <v>0.55666666666666664</v>
      </c>
      <c r="AM42" s="2005">
        <f t="shared" si="282"/>
        <v>0.55666666666666664</v>
      </c>
      <c r="AN42" s="2005">
        <f t="shared" si="282"/>
        <v>0.55666666666666664</v>
      </c>
      <c r="AO42" s="2005">
        <f t="shared" si="282"/>
        <v>0.55666666666666664</v>
      </c>
      <c r="AP42" s="2005">
        <f t="shared" si="282"/>
        <v>0.55666666666666664</v>
      </c>
      <c r="AQ42" s="2005">
        <f t="shared" si="282"/>
        <v>0.55666666666666664</v>
      </c>
      <c r="AR42" s="2005">
        <f t="shared" si="282"/>
        <v>0.55666666666666664</v>
      </c>
      <c r="AS42" s="2295"/>
      <c r="AT42" s="2004">
        <f t="shared" si="202"/>
        <v>3.8966666666666665</v>
      </c>
      <c r="AU42" s="2005">
        <f t="shared" si="193"/>
        <v>7.2289931431660355</v>
      </c>
      <c r="AV42" s="2006">
        <f t="shared" si="203"/>
        <v>3.332326476499369</v>
      </c>
      <c r="AW42" s="2295"/>
      <c r="AX42" s="2005">
        <f t="shared" ref="AX42:BD42" si="283">$J$42</f>
        <v>0.55666666666666664</v>
      </c>
      <c r="AY42" s="2005">
        <f t="shared" si="283"/>
        <v>0.55666666666666664</v>
      </c>
      <c r="AZ42" s="2005">
        <f t="shared" si="283"/>
        <v>0.55666666666666664</v>
      </c>
      <c r="BA42" s="2005">
        <f t="shared" si="283"/>
        <v>0.55666666666666664</v>
      </c>
      <c r="BB42" s="2005">
        <f t="shared" si="283"/>
        <v>0.55666666666666664</v>
      </c>
      <c r="BC42" s="2005">
        <f t="shared" si="283"/>
        <v>0.55666666666666664</v>
      </c>
      <c r="BD42" s="2005">
        <f t="shared" si="283"/>
        <v>0.55666666666666664</v>
      </c>
      <c r="BE42" s="2295"/>
      <c r="BF42" s="2004">
        <f t="shared" si="205"/>
        <v>3.8966666666666665</v>
      </c>
      <c r="BG42" s="2005">
        <f t="shared" si="195"/>
        <v>7.2266604276685111</v>
      </c>
      <c r="BH42" s="2006">
        <f t="shared" si="206"/>
        <v>3.3299937610018446</v>
      </c>
      <c r="BI42" s="1893"/>
      <c r="BJ42" s="2001">
        <f t="shared" ref="BJ42" si="284">$J$42</f>
        <v>0.55666666666666664</v>
      </c>
      <c r="BK42" s="2005">
        <v>0.55666666666666664</v>
      </c>
      <c r="BL42" s="2005">
        <v>0.55666666666666664</v>
      </c>
      <c r="BM42" s="1893"/>
      <c r="BN42" s="2004">
        <f t="shared" si="273"/>
        <v>1.67</v>
      </c>
      <c r="BO42" s="2005">
        <f t="shared" si="208"/>
        <v>3.1788724988565016</v>
      </c>
      <c r="BP42" s="2006">
        <f t="shared" si="274"/>
        <v>1.5088724988565017</v>
      </c>
      <c r="BR42" s="1898">
        <v>0</v>
      </c>
      <c r="BS42" s="1899">
        <f t="shared" si="186"/>
        <v>0</v>
      </c>
      <c r="BT42" s="1900"/>
      <c r="BU42" s="2244">
        <f t="shared" si="197"/>
        <v>16.7</v>
      </c>
      <c r="BV42" s="2387">
        <f t="shared" si="198"/>
        <v>1</v>
      </c>
      <c r="BW42" s="2010"/>
      <c r="BX42" s="2475"/>
      <c r="BZ42" s="2475"/>
      <c r="CA42" s="2479">
        <f>CA41-CA40</f>
        <v>0</v>
      </c>
      <c r="CB42" s="1962"/>
      <c r="CC42" s="1960"/>
      <c r="CD42" s="1906"/>
      <c r="CE42" s="1906"/>
      <c r="CF42" s="1906"/>
      <c r="CG42" s="1906"/>
      <c r="CH42" s="1906"/>
      <c r="CI42" s="2386"/>
    </row>
    <row r="43" spans="1:87" s="1726" customFormat="1" ht="17.25" thickBot="1" x14ac:dyDescent="0.25">
      <c r="B43" s="2508">
        <v>24</v>
      </c>
      <c r="C43" s="2508" t="s">
        <v>207</v>
      </c>
      <c r="D43" s="1727"/>
      <c r="E43" s="2509">
        <v>5</v>
      </c>
      <c r="F43" s="2509">
        <f>E43/10</f>
        <v>0.5</v>
      </c>
      <c r="G43" s="2509">
        <f>E43/15</f>
        <v>0.33333333333333331</v>
      </c>
      <c r="H43" s="2509">
        <f>E43/20</f>
        <v>0.25</v>
      </c>
      <c r="I43" s="2509">
        <f>E43/25</f>
        <v>0.2</v>
      </c>
      <c r="J43" s="2509">
        <f t="shared" si="178"/>
        <v>0.16666666666666666</v>
      </c>
      <c r="K43" s="2510">
        <f t="shared" si="179"/>
        <v>1.5593163956921288E-3</v>
      </c>
      <c r="L43" s="1931"/>
      <c r="M43" s="1924"/>
      <c r="N43" s="1728">
        <f>$J$43</f>
        <v>0.16666666666666666</v>
      </c>
      <c r="O43" s="1728">
        <f>$J$43</f>
        <v>0.16666666666666666</v>
      </c>
      <c r="P43" s="1728">
        <f>$J$43</f>
        <v>0.16666666666666666</v>
      </c>
      <c r="Q43" s="1728">
        <f>$J$43</f>
        <v>0.16666666666666666</v>
      </c>
      <c r="R43" s="1728">
        <f t="shared" ref="R43:T43" si="285">$J$43</f>
        <v>0.16666666666666666</v>
      </c>
      <c r="S43" s="1728">
        <f t="shared" si="285"/>
        <v>0.16666666666666666</v>
      </c>
      <c r="T43" s="1728">
        <f t="shared" si="285"/>
        <v>0.16666666666666666</v>
      </c>
      <c r="U43" s="2476"/>
      <c r="V43" s="1982">
        <f t="shared" si="61"/>
        <v>1.1666666666666665</v>
      </c>
      <c r="W43" s="2268">
        <f t="shared" si="188"/>
        <v>1.9914048401180924</v>
      </c>
      <c r="X43" s="1984">
        <f t="shared" si="189"/>
        <v>0.82473817345142586</v>
      </c>
      <c r="Y43" s="1881"/>
      <c r="Z43" s="1728">
        <f t="shared" ref="Z43:AF43" si="286">$J$43</f>
        <v>0.16666666666666666</v>
      </c>
      <c r="AA43" s="1728">
        <f t="shared" si="286"/>
        <v>0.16666666666666666</v>
      </c>
      <c r="AB43" s="1728">
        <f t="shared" si="286"/>
        <v>0.16666666666666666</v>
      </c>
      <c r="AC43" s="4603"/>
      <c r="AD43" s="1728">
        <f t="shared" si="286"/>
        <v>0.16666666666666666</v>
      </c>
      <c r="AE43" s="1728">
        <f t="shared" si="286"/>
        <v>0.16666666666666666</v>
      </c>
      <c r="AF43" s="1728">
        <f t="shared" si="286"/>
        <v>0.16666666666666666</v>
      </c>
      <c r="AG43" s="1881"/>
      <c r="AH43" s="1982">
        <f t="shared" si="65"/>
        <v>0.99999999999999989</v>
      </c>
      <c r="AI43" s="2268">
        <f t="shared" si="191"/>
        <v>1.9080639007858957</v>
      </c>
      <c r="AJ43" s="1984">
        <f t="shared" si="66"/>
        <v>0.90806390078589583</v>
      </c>
      <c r="AK43" s="1881"/>
      <c r="AL43" s="2268">
        <f t="shared" ref="AL43:AR43" si="287">$J$43</f>
        <v>0.16666666666666666</v>
      </c>
      <c r="AM43" s="2268">
        <f t="shared" si="287"/>
        <v>0.16666666666666666</v>
      </c>
      <c r="AN43" s="2268">
        <f t="shared" si="287"/>
        <v>0.16666666666666666</v>
      </c>
      <c r="AO43" s="2268">
        <f t="shared" si="287"/>
        <v>0.16666666666666666</v>
      </c>
      <c r="AP43" s="2268">
        <f t="shared" si="287"/>
        <v>0.16666666666666666</v>
      </c>
      <c r="AQ43" s="2268">
        <f t="shared" si="287"/>
        <v>0.16666666666666666</v>
      </c>
      <c r="AR43" s="2268">
        <f t="shared" si="287"/>
        <v>0.16666666666666666</v>
      </c>
      <c r="AS43" s="2293"/>
      <c r="AT43" s="1982">
        <f t="shared" si="202"/>
        <v>1.1666666666666665</v>
      </c>
      <c r="AU43" s="2268">
        <f t="shared" si="193"/>
        <v>2.1643692045407295</v>
      </c>
      <c r="AV43" s="1984">
        <f t="shared" si="203"/>
        <v>0.99770253787406293</v>
      </c>
      <c r="AW43" s="2293"/>
      <c r="AX43" s="2268">
        <f t="shared" ref="AX43:BD43" si="288">$J$43</f>
        <v>0.16666666666666666</v>
      </c>
      <c r="AY43" s="2268">
        <f t="shared" si="288"/>
        <v>0.16666666666666666</v>
      </c>
      <c r="AZ43" s="2268">
        <f t="shared" si="288"/>
        <v>0.16666666666666666</v>
      </c>
      <c r="BA43" s="2268">
        <f t="shared" si="288"/>
        <v>0.16666666666666666</v>
      </c>
      <c r="BB43" s="2268">
        <f t="shared" si="288"/>
        <v>0.16666666666666666</v>
      </c>
      <c r="BC43" s="2268">
        <f t="shared" si="288"/>
        <v>0.16666666666666666</v>
      </c>
      <c r="BD43" s="2268">
        <f t="shared" si="288"/>
        <v>0.16666666666666666</v>
      </c>
      <c r="BE43" s="2293"/>
      <c r="BF43" s="1982">
        <f t="shared" si="205"/>
        <v>1.1666666666666665</v>
      </c>
      <c r="BG43" s="2268">
        <f t="shared" si="195"/>
        <v>2.1636707867270992</v>
      </c>
      <c r="BH43" s="1984">
        <f t="shared" si="206"/>
        <v>0.99700412006043271</v>
      </c>
      <c r="BI43" s="2476"/>
      <c r="BJ43" s="1728">
        <f t="shared" ref="BJ43" si="289">$J$43</f>
        <v>0.16666666666666666</v>
      </c>
      <c r="BK43" s="2268">
        <v>0.16666666666666666</v>
      </c>
      <c r="BL43" s="2268">
        <v>0.16666666666666666</v>
      </c>
      <c r="BM43" s="2476"/>
      <c r="BN43" s="1982">
        <f t="shared" si="273"/>
        <v>0.5</v>
      </c>
      <c r="BO43" s="2268">
        <f t="shared" si="208"/>
        <v>0.95175823319056951</v>
      </c>
      <c r="BP43" s="1984">
        <f t="shared" si="274"/>
        <v>0.45175823319056951</v>
      </c>
      <c r="BR43" s="1732">
        <v>0</v>
      </c>
      <c r="BS43" s="1882">
        <f t="shared" si="186"/>
        <v>0</v>
      </c>
      <c r="BT43" s="1740"/>
      <c r="BU43" s="1734">
        <f t="shared" si="197"/>
        <v>5</v>
      </c>
      <c r="BV43" s="1918">
        <f t="shared" si="198"/>
        <v>1</v>
      </c>
      <c r="BW43" s="1997"/>
      <c r="BX43" s="2474"/>
      <c r="BZ43" s="2474"/>
      <c r="CA43" s="1985"/>
      <c r="CB43" s="1830"/>
      <c r="CC43" s="1817"/>
      <c r="CD43" s="1810"/>
      <c r="CE43" s="1810"/>
      <c r="CF43" s="1810"/>
      <c r="CG43" s="1810"/>
      <c r="CH43" s="1810"/>
      <c r="CI43" s="1986"/>
    </row>
    <row r="44" spans="1:87" s="1885" customFormat="1" x14ac:dyDescent="0.2">
      <c r="B44" s="2511">
        <v>25</v>
      </c>
      <c r="C44" s="2512" t="s">
        <v>200</v>
      </c>
      <c r="D44" s="2513"/>
      <c r="E44" s="2514">
        <v>0</v>
      </c>
      <c r="F44" s="2514"/>
      <c r="G44" s="2514"/>
      <c r="H44" s="2514"/>
      <c r="I44" s="2514"/>
      <c r="J44" s="2514">
        <f t="shared" si="178"/>
        <v>0</v>
      </c>
      <c r="K44" s="2515">
        <f t="shared" si="179"/>
        <v>0</v>
      </c>
      <c r="L44" s="2003"/>
      <c r="M44" s="1950"/>
      <c r="N44" s="2001">
        <f>$J$44</f>
        <v>0</v>
      </c>
      <c r="O44" s="2001">
        <f>$J$44</f>
        <v>0</v>
      </c>
      <c r="P44" s="2001">
        <f>$J$44</f>
        <v>0</v>
      </c>
      <c r="Q44" s="2001">
        <f>$J$44</f>
        <v>0</v>
      </c>
      <c r="R44" s="2001">
        <f t="shared" ref="R44:T44" si="290">$J$44</f>
        <v>0</v>
      </c>
      <c r="S44" s="2001">
        <f t="shared" si="290"/>
        <v>0</v>
      </c>
      <c r="T44" s="2001">
        <f t="shared" si="290"/>
        <v>0</v>
      </c>
      <c r="U44" s="1893"/>
      <c r="V44" s="2481">
        <f t="shared" si="61"/>
        <v>0</v>
      </c>
      <c r="W44" s="2482">
        <f t="shared" si="188"/>
        <v>0</v>
      </c>
      <c r="X44" s="2483">
        <f t="shared" si="189"/>
        <v>0</v>
      </c>
      <c r="Y44" s="1896"/>
      <c r="Z44" s="2001">
        <f t="shared" ref="Z44:AF44" si="291">$J$44</f>
        <v>0</v>
      </c>
      <c r="AA44" s="2001">
        <f t="shared" si="291"/>
        <v>0</v>
      </c>
      <c r="AB44" s="2001">
        <f t="shared" si="291"/>
        <v>0</v>
      </c>
      <c r="AC44" s="4603"/>
      <c r="AD44" s="2001">
        <f t="shared" si="291"/>
        <v>0</v>
      </c>
      <c r="AE44" s="2001">
        <f t="shared" si="291"/>
        <v>0</v>
      </c>
      <c r="AF44" s="2001">
        <f t="shared" si="291"/>
        <v>0</v>
      </c>
      <c r="AG44" s="1896"/>
      <c r="AH44" s="2481">
        <f t="shared" si="65"/>
        <v>0</v>
      </c>
      <c r="AI44" s="2482">
        <f t="shared" si="191"/>
        <v>0</v>
      </c>
      <c r="AJ44" s="2483">
        <f t="shared" si="66"/>
        <v>0</v>
      </c>
      <c r="AK44" s="1896"/>
      <c r="AL44" s="2005">
        <f t="shared" ref="AL44:AR44" si="292">$J$44</f>
        <v>0</v>
      </c>
      <c r="AM44" s="2005">
        <f t="shared" si="292"/>
        <v>0</v>
      </c>
      <c r="AN44" s="2005">
        <f t="shared" si="292"/>
        <v>0</v>
      </c>
      <c r="AO44" s="2005">
        <f t="shared" si="292"/>
        <v>0</v>
      </c>
      <c r="AP44" s="2005">
        <f t="shared" si="292"/>
        <v>0</v>
      </c>
      <c r="AQ44" s="2005">
        <f t="shared" si="292"/>
        <v>0</v>
      </c>
      <c r="AR44" s="2005">
        <f t="shared" si="292"/>
        <v>0</v>
      </c>
      <c r="AS44" s="2295"/>
      <c r="AT44" s="2481">
        <f t="shared" si="202"/>
        <v>0</v>
      </c>
      <c r="AU44" s="2482">
        <f t="shared" si="193"/>
        <v>0</v>
      </c>
      <c r="AV44" s="2483">
        <f t="shared" si="203"/>
        <v>0</v>
      </c>
      <c r="AW44" s="2295"/>
      <c r="AX44" s="2005">
        <f t="shared" ref="AX44:BD44" si="293">$J$44</f>
        <v>0</v>
      </c>
      <c r="AY44" s="2005">
        <f t="shared" si="293"/>
        <v>0</v>
      </c>
      <c r="AZ44" s="2005">
        <f t="shared" si="293"/>
        <v>0</v>
      </c>
      <c r="BA44" s="2005">
        <f t="shared" si="293"/>
        <v>0</v>
      </c>
      <c r="BB44" s="2005">
        <f t="shared" si="293"/>
        <v>0</v>
      </c>
      <c r="BC44" s="2005">
        <f t="shared" si="293"/>
        <v>0</v>
      </c>
      <c r="BD44" s="2005">
        <f t="shared" si="293"/>
        <v>0</v>
      </c>
      <c r="BE44" s="2295"/>
      <c r="BF44" s="2481">
        <f t="shared" si="205"/>
        <v>0</v>
      </c>
      <c r="BG44" s="2482">
        <f t="shared" si="195"/>
        <v>0</v>
      </c>
      <c r="BH44" s="2483">
        <f t="shared" si="206"/>
        <v>0</v>
      </c>
      <c r="BI44" s="1893"/>
      <c r="BJ44" s="2001">
        <f t="shared" ref="BJ44" si="294">$J$44</f>
        <v>0</v>
      </c>
      <c r="BK44" s="2005">
        <v>0</v>
      </c>
      <c r="BL44" s="2005">
        <v>0</v>
      </c>
      <c r="BM44" s="1893"/>
      <c r="BN44" s="2481">
        <f t="shared" si="273"/>
        <v>0</v>
      </c>
      <c r="BO44" s="2482">
        <f t="shared" si="208"/>
        <v>0</v>
      </c>
      <c r="BP44" s="2483">
        <f t="shared" si="274"/>
        <v>0</v>
      </c>
      <c r="BR44" s="1898">
        <v>0</v>
      </c>
      <c r="BS44" s="1899" t="e">
        <f t="shared" si="186"/>
        <v>#DIV/0!</v>
      </c>
      <c r="BT44" s="1900"/>
      <c r="BU44" s="2388">
        <f t="shared" si="197"/>
        <v>0</v>
      </c>
      <c r="BV44" s="2389" t="e">
        <f t="shared" si="198"/>
        <v>#DIV/0!</v>
      </c>
      <c r="BW44" s="2010"/>
      <c r="BX44" s="2475"/>
      <c r="BZ44" s="2475"/>
      <c r="CA44" s="2009"/>
      <c r="CB44" s="1962"/>
      <c r="CC44" s="1960"/>
      <c r="CD44" s="1906"/>
      <c r="CE44" s="1906"/>
      <c r="CF44" s="1906"/>
      <c r="CG44" s="1906"/>
      <c r="CH44" s="1906"/>
      <c r="CI44" s="2386"/>
    </row>
    <row r="45" spans="1:87" s="1726" customFormat="1" x14ac:dyDescent="0.2">
      <c r="B45" s="2516">
        <v>26</v>
      </c>
      <c r="C45" s="1963" t="s">
        <v>201</v>
      </c>
      <c r="D45" s="1727"/>
      <c r="E45" s="1728">
        <v>0</v>
      </c>
      <c r="F45" s="1728"/>
      <c r="G45" s="1728"/>
      <c r="H45" s="1728"/>
      <c r="I45" s="1728"/>
      <c r="J45" s="1728">
        <f t="shared" si="178"/>
        <v>0</v>
      </c>
      <c r="K45" s="2517">
        <f t="shared" si="179"/>
        <v>0</v>
      </c>
      <c r="L45" s="1931"/>
      <c r="M45" s="1924"/>
      <c r="N45" s="1728">
        <f>$J$45</f>
        <v>0</v>
      </c>
      <c r="O45" s="1728">
        <f>$J$45</f>
        <v>0</v>
      </c>
      <c r="P45" s="1728">
        <f>$J$45</f>
        <v>0</v>
      </c>
      <c r="Q45" s="1728">
        <f>$J$45</f>
        <v>0</v>
      </c>
      <c r="R45" s="1728">
        <f t="shared" ref="R45:T45" si="295">$J$45</f>
        <v>0</v>
      </c>
      <c r="S45" s="1728">
        <f t="shared" si="295"/>
        <v>0</v>
      </c>
      <c r="T45" s="1728">
        <f t="shared" si="295"/>
        <v>0</v>
      </c>
      <c r="U45" s="2476"/>
      <c r="V45" s="2016">
        <f t="shared" si="61"/>
        <v>0</v>
      </c>
      <c r="W45" s="2017">
        <f t="shared" si="188"/>
        <v>0</v>
      </c>
      <c r="X45" s="2018">
        <f t="shared" si="189"/>
        <v>0</v>
      </c>
      <c r="Y45" s="1881"/>
      <c r="Z45" s="1728">
        <f t="shared" ref="Z45:AF45" si="296">$J$45</f>
        <v>0</v>
      </c>
      <c r="AA45" s="1728">
        <f t="shared" si="296"/>
        <v>0</v>
      </c>
      <c r="AB45" s="1728">
        <f t="shared" si="296"/>
        <v>0</v>
      </c>
      <c r="AC45" s="4603"/>
      <c r="AD45" s="1728">
        <f t="shared" si="296"/>
        <v>0</v>
      </c>
      <c r="AE45" s="1728">
        <f t="shared" si="296"/>
        <v>0</v>
      </c>
      <c r="AF45" s="1728">
        <f t="shared" si="296"/>
        <v>0</v>
      </c>
      <c r="AG45" s="1881"/>
      <c r="AH45" s="2016">
        <f t="shared" si="65"/>
        <v>0</v>
      </c>
      <c r="AI45" s="2017">
        <f t="shared" si="191"/>
        <v>0</v>
      </c>
      <c r="AJ45" s="2018">
        <f t="shared" si="66"/>
        <v>0</v>
      </c>
      <c r="AK45" s="1881"/>
      <c r="AL45" s="2268">
        <f t="shared" ref="AL45:AR45" si="297">$J$45</f>
        <v>0</v>
      </c>
      <c r="AM45" s="2268">
        <f t="shared" si="297"/>
        <v>0</v>
      </c>
      <c r="AN45" s="2268">
        <f t="shared" si="297"/>
        <v>0</v>
      </c>
      <c r="AO45" s="2268">
        <f t="shared" si="297"/>
        <v>0</v>
      </c>
      <c r="AP45" s="2268">
        <f t="shared" si="297"/>
        <v>0</v>
      </c>
      <c r="AQ45" s="2268">
        <f t="shared" si="297"/>
        <v>0</v>
      </c>
      <c r="AR45" s="2268">
        <f t="shared" si="297"/>
        <v>0</v>
      </c>
      <c r="AS45" s="2293"/>
      <c r="AT45" s="2016">
        <f t="shared" si="202"/>
        <v>0</v>
      </c>
      <c r="AU45" s="2017">
        <f t="shared" si="193"/>
        <v>0</v>
      </c>
      <c r="AV45" s="2018">
        <f t="shared" si="203"/>
        <v>0</v>
      </c>
      <c r="AW45" s="2293"/>
      <c r="AX45" s="2268">
        <f t="shared" ref="AX45:BD45" si="298">$J$45</f>
        <v>0</v>
      </c>
      <c r="AY45" s="2268">
        <f t="shared" si="298"/>
        <v>0</v>
      </c>
      <c r="AZ45" s="2268">
        <f t="shared" si="298"/>
        <v>0</v>
      </c>
      <c r="BA45" s="2268">
        <f t="shared" si="298"/>
        <v>0</v>
      </c>
      <c r="BB45" s="2268">
        <f t="shared" si="298"/>
        <v>0</v>
      </c>
      <c r="BC45" s="2268">
        <f t="shared" si="298"/>
        <v>0</v>
      </c>
      <c r="BD45" s="2268">
        <f t="shared" si="298"/>
        <v>0</v>
      </c>
      <c r="BE45" s="2293"/>
      <c r="BF45" s="2016">
        <f t="shared" si="205"/>
        <v>0</v>
      </c>
      <c r="BG45" s="2017">
        <f t="shared" si="195"/>
        <v>0</v>
      </c>
      <c r="BH45" s="2018">
        <f t="shared" si="206"/>
        <v>0</v>
      </c>
      <c r="BI45" s="2476"/>
      <c r="BJ45" s="1728">
        <f t="shared" ref="BJ45" si="299">$J$45</f>
        <v>0</v>
      </c>
      <c r="BK45" s="2268">
        <v>0</v>
      </c>
      <c r="BL45" s="2268">
        <v>0</v>
      </c>
      <c r="BM45" s="2476"/>
      <c r="BN45" s="2016">
        <f t="shared" si="273"/>
        <v>0</v>
      </c>
      <c r="BO45" s="2017">
        <f t="shared" si="208"/>
        <v>0</v>
      </c>
      <c r="BP45" s="2018">
        <f t="shared" si="274"/>
        <v>0</v>
      </c>
      <c r="BR45" s="1732">
        <v>0</v>
      </c>
      <c r="BS45" s="1882" t="e">
        <f t="shared" si="186"/>
        <v>#DIV/0!</v>
      </c>
      <c r="BT45" s="1740"/>
      <c r="BU45" s="2019">
        <f t="shared" si="197"/>
        <v>0</v>
      </c>
      <c r="BV45" s="2020" t="e">
        <f t="shared" si="198"/>
        <v>#DIV/0!</v>
      </c>
      <c r="BW45" s="1997"/>
      <c r="BX45" s="2474"/>
      <c r="BZ45" s="2474"/>
      <c r="CA45" s="2015"/>
      <c r="CB45" s="1830"/>
      <c r="CC45" s="1817"/>
      <c r="CD45" s="1810"/>
      <c r="CE45" s="1810"/>
      <c r="CF45" s="1810"/>
      <c r="CG45" s="1810"/>
      <c r="CH45" s="1810"/>
      <c r="CI45" s="1986"/>
    </row>
    <row r="46" spans="1:87" s="1885" customFormat="1" x14ac:dyDescent="0.2">
      <c r="B46" s="2518">
        <v>27</v>
      </c>
      <c r="C46" s="2000" t="s">
        <v>203</v>
      </c>
      <c r="D46" s="1888"/>
      <c r="E46" s="2001">
        <v>0</v>
      </c>
      <c r="F46" s="2001">
        <f>E46/10</f>
        <v>0</v>
      </c>
      <c r="G46" s="2001">
        <f>E46/15</f>
        <v>0</v>
      </c>
      <c r="H46" s="2001">
        <f>E46/20</f>
        <v>0</v>
      </c>
      <c r="I46" s="2001">
        <f>E46/25</f>
        <v>0</v>
      </c>
      <c r="J46" s="2001">
        <f t="shared" si="178"/>
        <v>0</v>
      </c>
      <c r="K46" s="2519">
        <f t="shared" si="179"/>
        <v>0</v>
      </c>
      <c r="L46" s="2003"/>
      <c r="M46" s="1950"/>
      <c r="N46" s="2001">
        <f>$J$46</f>
        <v>0</v>
      </c>
      <c r="O46" s="2001">
        <f>$J$46</f>
        <v>0</v>
      </c>
      <c r="P46" s="2001">
        <f>$J$46</f>
        <v>0</v>
      </c>
      <c r="Q46" s="2001">
        <f>$J$46</f>
        <v>0</v>
      </c>
      <c r="R46" s="2001">
        <f t="shared" ref="R46:T46" si="300">$J$46</f>
        <v>0</v>
      </c>
      <c r="S46" s="2001">
        <f t="shared" si="300"/>
        <v>0</v>
      </c>
      <c r="T46" s="2001">
        <f t="shared" si="300"/>
        <v>0</v>
      </c>
      <c r="U46" s="1893"/>
      <c r="V46" s="2481">
        <f t="shared" si="61"/>
        <v>0</v>
      </c>
      <c r="W46" s="2482">
        <f t="shared" si="188"/>
        <v>0</v>
      </c>
      <c r="X46" s="2483">
        <f t="shared" si="189"/>
        <v>0</v>
      </c>
      <c r="Y46" s="1896"/>
      <c r="Z46" s="2001">
        <f t="shared" ref="Z46:AF46" si="301">$J$46</f>
        <v>0</v>
      </c>
      <c r="AA46" s="2001">
        <f t="shared" si="301"/>
        <v>0</v>
      </c>
      <c r="AB46" s="2001">
        <f t="shared" si="301"/>
        <v>0</v>
      </c>
      <c r="AC46" s="4603"/>
      <c r="AD46" s="2001">
        <f t="shared" si="301"/>
        <v>0</v>
      </c>
      <c r="AE46" s="2001">
        <f t="shared" si="301"/>
        <v>0</v>
      </c>
      <c r="AF46" s="2001">
        <f t="shared" si="301"/>
        <v>0</v>
      </c>
      <c r="AG46" s="1896"/>
      <c r="AH46" s="2481">
        <f t="shared" si="65"/>
        <v>0</v>
      </c>
      <c r="AI46" s="2482">
        <f t="shared" si="191"/>
        <v>0</v>
      </c>
      <c r="AJ46" s="2483">
        <f t="shared" si="66"/>
        <v>0</v>
      </c>
      <c r="AK46" s="1896"/>
      <c r="AL46" s="2005">
        <f t="shared" ref="AL46:AR46" si="302">$J$46</f>
        <v>0</v>
      </c>
      <c r="AM46" s="2005">
        <f t="shared" si="302"/>
        <v>0</v>
      </c>
      <c r="AN46" s="2005">
        <f t="shared" si="302"/>
        <v>0</v>
      </c>
      <c r="AO46" s="2005">
        <f t="shared" si="302"/>
        <v>0</v>
      </c>
      <c r="AP46" s="2005">
        <f t="shared" si="302"/>
        <v>0</v>
      </c>
      <c r="AQ46" s="2005">
        <f t="shared" si="302"/>
        <v>0</v>
      </c>
      <c r="AR46" s="2005">
        <f t="shared" si="302"/>
        <v>0</v>
      </c>
      <c r="AS46" s="2295"/>
      <c r="AT46" s="2481">
        <f t="shared" si="202"/>
        <v>0</v>
      </c>
      <c r="AU46" s="2482">
        <f t="shared" si="193"/>
        <v>0</v>
      </c>
      <c r="AV46" s="2483">
        <f t="shared" si="203"/>
        <v>0</v>
      </c>
      <c r="AW46" s="2295"/>
      <c r="AX46" s="2005">
        <f t="shared" ref="AX46:BD46" si="303">$J$46</f>
        <v>0</v>
      </c>
      <c r="AY46" s="2005">
        <f t="shared" si="303"/>
        <v>0</v>
      </c>
      <c r="AZ46" s="2005">
        <f t="shared" si="303"/>
        <v>0</v>
      </c>
      <c r="BA46" s="2005">
        <f t="shared" si="303"/>
        <v>0</v>
      </c>
      <c r="BB46" s="2005">
        <f t="shared" si="303"/>
        <v>0</v>
      </c>
      <c r="BC46" s="2005">
        <f t="shared" si="303"/>
        <v>0</v>
      </c>
      <c r="BD46" s="2005">
        <f t="shared" si="303"/>
        <v>0</v>
      </c>
      <c r="BE46" s="2295"/>
      <c r="BF46" s="2481">
        <f t="shared" si="205"/>
        <v>0</v>
      </c>
      <c r="BG46" s="2482">
        <f t="shared" si="195"/>
        <v>0</v>
      </c>
      <c r="BH46" s="2483">
        <f t="shared" si="206"/>
        <v>0</v>
      </c>
      <c r="BI46" s="1893"/>
      <c r="BJ46" s="2001">
        <f t="shared" ref="BJ46" si="304">$J$46</f>
        <v>0</v>
      </c>
      <c r="BK46" s="2005">
        <v>0</v>
      </c>
      <c r="BL46" s="2005">
        <v>0</v>
      </c>
      <c r="BM46" s="1893"/>
      <c r="BN46" s="2481">
        <f t="shared" si="273"/>
        <v>0</v>
      </c>
      <c r="BO46" s="2482">
        <f t="shared" si="208"/>
        <v>0</v>
      </c>
      <c r="BP46" s="2483">
        <f t="shared" si="274"/>
        <v>0</v>
      </c>
      <c r="BR46" s="1898">
        <v>0</v>
      </c>
      <c r="BS46" s="1899" t="e">
        <f t="shared" si="186"/>
        <v>#DIV/0!</v>
      </c>
      <c r="BT46" s="1900"/>
      <c r="BU46" s="2388">
        <f t="shared" si="197"/>
        <v>0</v>
      </c>
      <c r="BV46" s="2389" t="e">
        <f t="shared" si="198"/>
        <v>#DIV/0!</v>
      </c>
      <c r="BW46" s="2010"/>
      <c r="BX46" s="2475"/>
      <c r="BZ46" s="2475"/>
      <c r="CA46" s="2480"/>
      <c r="CB46" s="1962"/>
      <c r="CC46" s="1960"/>
      <c r="CD46" s="1906"/>
      <c r="CE46" s="1906"/>
      <c r="CF46" s="1906"/>
      <c r="CG46" s="1906"/>
      <c r="CH46" s="1906"/>
      <c r="CI46" s="2386"/>
    </row>
    <row r="47" spans="1:87" s="1726" customFormat="1" x14ac:dyDescent="0.2">
      <c r="B47" s="2516">
        <v>28</v>
      </c>
      <c r="C47" s="1963" t="s">
        <v>225</v>
      </c>
      <c r="D47" s="1727"/>
      <c r="E47" s="1728">
        <v>0</v>
      </c>
      <c r="F47" s="1728">
        <f>E47/10</f>
        <v>0</v>
      </c>
      <c r="G47" s="1728">
        <f>E47/15</f>
        <v>0</v>
      </c>
      <c r="H47" s="1728">
        <f>E47/20</f>
        <v>0</v>
      </c>
      <c r="I47" s="1728">
        <f>E47/25</f>
        <v>0</v>
      </c>
      <c r="J47" s="1728">
        <f t="shared" si="178"/>
        <v>0</v>
      </c>
      <c r="K47" s="2517">
        <f t="shared" si="179"/>
        <v>0</v>
      </c>
      <c r="L47" s="1931"/>
      <c r="M47" s="1924"/>
      <c r="N47" s="1728">
        <f>$J$47</f>
        <v>0</v>
      </c>
      <c r="O47" s="1728">
        <f>$J$47</f>
        <v>0</v>
      </c>
      <c r="P47" s="1728">
        <f>$J$47</f>
        <v>0</v>
      </c>
      <c r="Q47" s="1728">
        <f>$J$47</f>
        <v>0</v>
      </c>
      <c r="R47" s="1728">
        <f t="shared" ref="R47:T47" si="305">$J$47</f>
        <v>0</v>
      </c>
      <c r="S47" s="1728">
        <f t="shared" si="305"/>
        <v>0</v>
      </c>
      <c r="T47" s="1728">
        <f t="shared" si="305"/>
        <v>0</v>
      </c>
      <c r="U47" s="2476"/>
      <c r="V47" s="2016">
        <f t="shared" si="61"/>
        <v>0</v>
      </c>
      <c r="W47" s="2017">
        <f t="shared" si="188"/>
        <v>0</v>
      </c>
      <c r="X47" s="2018">
        <f t="shared" si="189"/>
        <v>0</v>
      </c>
      <c r="Y47" s="1881"/>
      <c r="Z47" s="1728">
        <f t="shared" ref="Z47:AF47" si="306">$J$47</f>
        <v>0</v>
      </c>
      <c r="AA47" s="1728">
        <f t="shared" si="306"/>
        <v>0</v>
      </c>
      <c r="AB47" s="1728">
        <f t="shared" si="306"/>
        <v>0</v>
      </c>
      <c r="AC47" s="4603"/>
      <c r="AD47" s="1728">
        <f t="shared" si="306"/>
        <v>0</v>
      </c>
      <c r="AE47" s="1728">
        <f t="shared" si="306"/>
        <v>0</v>
      </c>
      <c r="AF47" s="1728">
        <f t="shared" si="306"/>
        <v>0</v>
      </c>
      <c r="AG47" s="1881"/>
      <c r="AH47" s="2016">
        <f t="shared" si="65"/>
        <v>0</v>
      </c>
      <c r="AI47" s="2017">
        <f t="shared" si="191"/>
        <v>0</v>
      </c>
      <c r="AJ47" s="2018">
        <f t="shared" si="66"/>
        <v>0</v>
      </c>
      <c r="AK47" s="1881"/>
      <c r="AL47" s="2268">
        <f t="shared" ref="AL47:AR47" si="307">$J$47</f>
        <v>0</v>
      </c>
      <c r="AM47" s="2268">
        <f t="shared" si="307"/>
        <v>0</v>
      </c>
      <c r="AN47" s="2268">
        <f t="shared" si="307"/>
        <v>0</v>
      </c>
      <c r="AO47" s="2268">
        <f t="shared" si="307"/>
        <v>0</v>
      </c>
      <c r="AP47" s="2268">
        <f t="shared" si="307"/>
        <v>0</v>
      </c>
      <c r="AQ47" s="2268">
        <f t="shared" si="307"/>
        <v>0</v>
      </c>
      <c r="AR47" s="2268">
        <f t="shared" si="307"/>
        <v>0</v>
      </c>
      <c r="AS47" s="2293"/>
      <c r="AT47" s="2016">
        <f t="shared" si="202"/>
        <v>0</v>
      </c>
      <c r="AU47" s="2017">
        <f t="shared" si="193"/>
        <v>0</v>
      </c>
      <c r="AV47" s="2018">
        <f t="shared" si="203"/>
        <v>0</v>
      </c>
      <c r="AW47" s="2293"/>
      <c r="AX47" s="2268">
        <f t="shared" ref="AX47:BD47" si="308">$J$47</f>
        <v>0</v>
      </c>
      <c r="AY47" s="2268">
        <f t="shared" si="308"/>
        <v>0</v>
      </c>
      <c r="AZ47" s="2268">
        <f t="shared" si="308"/>
        <v>0</v>
      </c>
      <c r="BA47" s="2268">
        <f t="shared" si="308"/>
        <v>0</v>
      </c>
      <c r="BB47" s="2268">
        <f t="shared" si="308"/>
        <v>0</v>
      </c>
      <c r="BC47" s="2268">
        <f t="shared" si="308"/>
        <v>0</v>
      </c>
      <c r="BD47" s="2268">
        <f t="shared" si="308"/>
        <v>0</v>
      </c>
      <c r="BE47" s="2293"/>
      <c r="BF47" s="2016">
        <f t="shared" si="205"/>
        <v>0</v>
      </c>
      <c r="BG47" s="2017">
        <f t="shared" si="195"/>
        <v>0</v>
      </c>
      <c r="BH47" s="2018">
        <f t="shared" si="206"/>
        <v>0</v>
      </c>
      <c r="BI47" s="2476"/>
      <c r="BJ47" s="1728">
        <f t="shared" ref="BJ47" si="309">$J$47</f>
        <v>0</v>
      </c>
      <c r="BK47" s="2268">
        <v>0</v>
      </c>
      <c r="BL47" s="2268">
        <v>0</v>
      </c>
      <c r="BM47" s="2476"/>
      <c r="BN47" s="2016">
        <f t="shared" si="273"/>
        <v>0</v>
      </c>
      <c r="BO47" s="2017">
        <f t="shared" si="208"/>
        <v>0</v>
      </c>
      <c r="BP47" s="2018">
        <f t="shared" si="274"/>
        <v>0</v>
      </c>
      <c r="BR47" s="1732">
        <v>0</v>
      </c>
      <c r="BS47" s="1882" t="e">
        <f t="shared" si="186"/>
        <v>#DIV/0!</v>
      </c>
      <c r="BT47" s="1740"/>
      <c r="BU47" s="2019">
        <f t="shared" si="197"/>
        <v>0</v>
      </c>
      <c r="BV47" s="2020" t="e">
        <f t="shared" si="198"/>
        <v>#DIV/0!</v>
      </c>
      <c r="BW47" s="1997"/>
      <c r="BX47" s="2474"/>
      <c r="BZ47" s="2474"/>
      <c r="CA47" s="2015"/>
      <c r="CB47" s="1830"/>
      <c r="CC47" s="1817"/>
      <c r="CD47" s="1810"/>
      <c r="CE47" s="1810"/>
      <c r="CF47" s="1810"/>
      <c r="CG47" s="1810"/>
      <c r="CH47" s="1810"/>
      <c r="CI47" s="1986"/>
    </row>
    <row r="48" spans="1:87" s="1885" customFormat="1" ht="17.25" thickBot="1" x14ac:dyDescent="0.25">
      <c r="B48" s="2520">
        <v>29</v>
      </c>
      <c r="C48" s="2521" t="s">
        <v>204</v>
      </c>
      <c r="D48" s="2522"/>
      <c r="E48" s="2523">
        <v>0</v>
      </c>
      <c r="F48" s="2523"/>
      <c r="G48" s="2523"/>
      <c r="H48" s="2523"/>
      <c r="I48" s="2523"/>
      <c r="J48" s="2523">
        <f t="shared" si="178"/>
        <v>0</v>
      </c>
      <c r="K48" s="2524">
        <f t="shared" si="179"/>
        <v>0</v>
      </c>
      <c r="L48" s="2003"/>
      <c r="M48" s="1950"/>
      <c r="N48" s="2001">
        <f>$J$48</f>
        <v>0</v>
      </c>
      <c r="O48" s="2001">
        <f>$J$48</f>
        <v>0</v>
      </c>
      <c r="P48" s="2001">
        <f>$J$48</f>
        <v>0</v>
      </c>
      <c r="Q48" s="2001">
        <f>$J$48</f>
        <v>0</v>
      </c>
      <c r="R48" s="2001">
        <f t="shared" ref="R48:T48" si="310">$J$48</f>
        <v>0</v>
      </c>
      <c r="S48" s="2001">
        <f t="shared" si="310"/>
        <v>0</v>
      </c>
      <c r="T48" s="2001">
        <f t="shared" si="310"/>
        <v>0</v>
      </c>
      <c r="U48" s="1893"/>
      <c r="V48" s="2484">
        <f>SUM(N48:T48)</f>
        <v>0</v>
      </c>
      <c r="W48" s="2485">
        <f t="shared" si="188"/>
        <v>0</v>
      </c>
      <c r="X48" s="2486">
        <f t="shared" si="189"/>
        <v>0</v>
      </c>
      <c r="Y48" s="1896"/>
      <c r="Z48" s="2001">
        <f t="shared" ref="Z48:AF48" si="311">$J$48</f>
        <v>0</v>
      </c>
      <c r="AA48" s="2001">
        <f t="shared" si="311"/>
        <v>0</v>
      </c>
      <c r="AB48" s="2001">
        <f t="shared" si="311"/>
        <v>0</v>
      </c>
      <c r="AC48" s="4604"/>
      <c r="AD48" s="2001">
        <f t="shared" si="311"/>
        <v>0</v>
      </c>
      <c r="AE48" s="2001">
        <f t="shared" si="311"/>
        <v>0</v>
      </c>
      <c r="AF48" s="2001">
        <f t="shared" si="311"/>
        <v>0</v>
      </c>
      <c r="AG48" s="1896"/>
      <c r="AH48" s="2484">
        <f t="shared" si="65"/>
        <v>0</v>
      </c>
      <c r="AI48" s="2485">
        <f t="shared" si="191"/>
        <v>0</v>
      </c>
      <c r="AJ48" s="2486">
        <f t="shared" si="66"/>
        <v>0</v>
      </c>
      <c r="AK48" s="1896"/>
      <c r="AL48" s="2005">
        <f t="shared" ref="AL48:AR48" si="312">$J$48</f>
        <v>0</v>
      </c>
      <c r="AM48" s="2005">
        <f t="shared" si="312"/>
        <v>0</v>
      </c>
      <c r="AN48" s="2005">
        <f t="shared" si="312"/>
        <v>0</v>
      </c>
      <c r="AO48" s="2005">
        <f t="shared" si="312"/>
        <v>0</v>
      </c>
      <c r="AP48" s="2005">
        <f t="shared" si="312"/>
        <v>0</v>
      </c>
      <c r="AQ48" s="2005">
        <f t="shared" si="312"/>
        <v>0</v>
      </c>
      <c r="AR48" s="2005">
        <f t="shared" si="312"/>
        <v>0</v>
      </c>
      <c r="AS48" s="2295"/>
      <c r="AT48" s="2484">
        <f t="shared" si="202"/>
        <v>0</v>
      </c>
      <c r="AU48" s="2485">
        <f t="shared" si="193"/>
        <v>0</v>
      </c>
      <c r="AV48" s="2486">
        <f t="shared" si="203"/>
        <v>0</v>
      </c>
      <c r="AW48" s="2295"/>
      <c r="AX48" s="2005">
        <f t="shared" ref="AX48:BD48" si="313">$J$48</f>
        <v>0</v>
      </c>
      <c r="AY48" s="2005">
        <f t="shared" si="313"/>
        <v>0</v>
      </c>
      <c r="AZ48" s="2005">
        <f t="shared" si="313"/>
        <v>0</v>
      </c>
      <c r="BA48" s="2005">
        <f t="shared" si="313"/>
        <v>0</v>
      </c>
      <c r="BB48" s="2005">
        <f t="shared" si="313"/>
        <v>0</v>
      </c>
      <c r="BC48" s="2005">
        <f t="shared" si="313"/>
        <v>0</v>
      </c>
      <c r="BD48" s="2005">
        <f t="shared" si="313"/>
        <v>0</v>
      </c>
      <c r="BE48" s="2295"/>
      <c r="BF48" s="2484">
        <f t="shared" si="205"/>
        <v>0</v>
      </c>
      <c r="BG48" s="2485">
        <f t="shared" si="195"/>
        <v>0</v>
      </c>
      <c r="BH48" s="2486">
        <f t="shared" si="206"/>
        <v>0</v>
      </c>
      <c r="BI48" s="1893"/>
      <c r="BJ48" s="2001">
        <f t="shared" ref="BJ48" si="314">$J$48</f>
        <v>0</v>
      </c>
      <c r="BK48" s="2005">
        <v>0</v>
      </c>
      <c r="BL48" s="2005">
        <v>0</v>
      </c>
      <c r="BM48" s="1893"/>
      <c r="BN48" s="2484">
        <f t="shared" si="273"/>
        <v>0</v>
      </c>
      <c r="BO48" s="2485">
        <f t="shared" si="208"/>
        <v>0</v>
      </c>
      <c r="BP48" s="2486">
        <f t="shared" si="274"/>
        <v>0</v>
      </c>
      <c r="BR48" s="1898">
        <v>0</v>
      </c>
      <c r="BS48" s="1899" t="e">
        <f t="shared" si="186"/>
        <v>#DIV/0!</v>
      </c>
      <c r="BT48" s="1900"/>
      <c r="BU48" s="2248">
        <f t="shared" si="197"/>
        <v>0</v>
      </c>
      <c r="BV48" s="2487" t="e">
        <f t="shared" si="198"/>
        <v>#DIV/0!</v>
      </c>
      <c r="BW48" s="2010"/>
      <c r="BX48" s="2475"/>
      <c r="BZ48" s="2475"/>
      <c r="CA48" s="2480"/>
      <c r="CB48" s="2010"/>
      <c r="CC48" s="2011"/>
      <c r="CD48" s="1946"/>
      <c r="CE48" s="1946"/>
      <c r="CF48" s="1946"/>
      <c r="CG48" s="1946"/>
      <c r="CH48" s="1946"/>
      <c r="CI48" s="2012"/>
    </row>
    <row r="49" spans="1:87" s="1946" customFormat="1" ht="4.5" customHeight="1" thickBot="1" x14ac:dyDescent="0.25">
      <c r="B49" s="2201"/>
      <c r="C49" s="2399"/>
      <c r="D49" s="1906"/>
      <c r="E49" s="2478"/>
      <c r="F49" s="2478"/>
      <c r="G49" s="2478"/>
      <c r="H49" s="2478"/>
      <c r="I49" s="2478"/>
      <c r="J49" s="2478"/>
      <c r="K49" s="2400"/>
      <c r="L49" s="2003"/>
      <c r="M49" s="1950"/>
      <c r="N49" s="2394"/>
      <c r="O49" s="2394"/>
      <c r="P49" s="2394"/>
      <c r="Q49" s="2394"/>
      <c r="R49" s="2394"/>
      <c r="S49" s="2394"/>
      <c r="T49" s="2394"/>
      <c r="U49" s="1893"/>
      <c r="V49" s="1893"/>
      <c r="W49" s="1893"/>
      <c r="X49" s="1893"/>
      <c r="Y49" s="1897"/>
      <c r="Z49" s="2394"/>
      <c r="AA49" s="2394"/>
      <c r="AB49" s="2394"/>
      <c r="AC49" s="2394"/>
      <c r="AD49" s="2394"/>
      <c r="AE49" s="2394"/>
      <c r="AF49" s="2394"/>
      <c r="AG49" s="1897"/>
      <c r="AH49" s="1893"/>
      <c r="AI49" s="1893"/>
      <c r="AJ49" s="1893"/>
      <c r="AK49" s="1897"/>
      <c r="AL49" s="2394"/>
      <c r="AM49" s="2394"/>
      <c r="AN49" s="2394"/>
      <c r="AO49" s="2394"/>
      <c r="AP49" s="2394"/>
      <c r="AQ49" s="2394"/>
      <c r="AR49" s="2394"/>
      <c r="AS49" s="1893"/>
      <c r="AT49" s="1893"/>
      <c r="AU49" s="1893"/>
      <c r="AV49" s="1893"/>
      <c r="AW49" s="1893"/>
      <c r="AX49" s="2394"/>
      <c r="AY49" s="2394"/>
      <c r="AZ49" s="2394"/>
      <c r="BA49" s="2394"/>
      <c r="BB49" s="2394"/>
      <c r="BC49" s="2394"/>
      <c r="BD49" s="2394"/>
      <c r="BE49" s="1893"/>
      <c r="BF49" s="1893"/>
      <c r="BG49" s="1893"/>
      <c r="BH49" s="1893"/>
      <c r="BI49" s="1893"/>
      <c r="BJ49" s="2394"/>
      <c r="BK49" s="2394"/>
      <c r="BL49" s="2394"/>
      <c r="BM49" s="1893"/>
      <c r="BN49" s="1893"/>
      <c r="BO49" s="1893"/>
      <c r="BP49" s="1893"/>
      <c r="BR49" s="1893"/>
      <c r="BS49" s="2010"/>
      <c r="BT49" s="2011"/>
      <c r="BU49" s="2395"/>
      <c r="BV49" s="2396"/>
      <c r="BW49" s="2010"/>
      <c r="BX49" s="2475"/>
      <c r="BZ49" s="2475"/>
      <c r="CA49" s="2488"/>
      <c r="CB49" s="2489"/>
      <c r="CC49" s="2011"/>
      <c r="CI49" s="2012"/>
    </row>
    <row r="50" spans="1:87" s="1726" customFormat="1" ht="17.25" thickBot="1" x14ac:dyDescent="0.25">
      <c r="B50" s="1963"/>
      <c r="C50" s="2385">
        <f>E50*100/30</f>
        <v>10688.444444444442</v>
      </c>
      <c r="D50" s="1727"/>
      <c r="E50" s="1728">
        <f>SUM(E32:E48)</f>
        <v>3206.5333333333328</v>
      </c>
      <c r="F50" s="1728">
        <f t="shared" ref="F50:K50" si="315">SUM(F32:F48)</f>
        <v>244.13333333333333</v>
      </c>
      <c r="G50" s="1728">
        <f t="shared" si="315"/>
        <v>162.75555555555556</v>
      </c>
      <c r="H50" s="1728">
        <f t="shared" si="315"/>
        <v>122.06666666666666</v>
      </c>
      <c r="I50" s="1728">
        <f t="shared" si="315"/>
        <v>97.653333333333336</v>
      </c>
      <c r="J50" s="1728">
        <f>SUM(J32:J48)</f>
        <v>106.88444444444444</v>
      </c>
      <c r="K50" s="1729">
        <f t="shared" si="315"/>
        <v>1.0000000000000002</v>
      </c>
      <c r="L50" s="1760"/>
      <c r="M50" s="1924"/>
      <c r="N50" s="1728">
        <f>SUM(N32:N48)</f>
        <v>106.88444444444444</v>
      </c>
      <c r="O50" s="1728">
        <f>SUM(O32:O48)</f>
        <v>106.88444444444444</v>
      </c>
      <c r="P50" s="1728">
        <f>SUM(P32:P48)</f>
        <v>106.88444444444444</v>
      </c>
      <c r="Q50" s="1728">
        <f>SUM(Q32:Q48)</f>
        <v>106.88444444444444</v>
      </c>
      <c r="R50" s="1728">
        <f t="shared" ref="R50:T50" si="316">SUM(R32:R48)</f>
        <v>106.88444444444444</v>
      </c>
      <c r="S50" s="1728">
        <f t="shared" si="316"/>
        <v>106.88444444444444</v>
      </c>
      <c r="T50" s="1728">
        <f t="shared" si="316"/>
        <v>106.88444444444444</v>
      </c>
      <c r="U50" s="2476"/>
      <c r="V50" s="2031">
        <f>SUM(V32:V48)</f>
        <v>748.19111111111113</v>
      </c>
      <c r="W50" s="2032">
        <f t="shared" ref="W50:X50" si="317">SUM(W32:W48)</f>
        <v>1277.1012000000001</v>
      </c>
      <c r="X50" s="2033">
        <f t="shared" si="317"/>
        <v>528.91008888888894</v>
      </c>
      <c r="Y50" s="1881"/>
      <c r="Z50" s="1728">
        <f t="shared" ref="Z50:AB50" si="318">SUM(Z32:Z48)</f>
        <v>106.88444444444444</v>
      </c>
      <c r="AA50" s="1728">
        <f t="shared" si="318"/>
        <v>106.88444444444444</v>
      </c>
      <c r="AB50" s="1728">
        <f t="shared" si="318"/>
        <v>106.88444444444444</v>
      </c>
      <c r="AC50" s="2265">
        <f t="shared" ref="AC50:AF50" si="319">SUM(AC32:AC48)</f>
        <v>0</v>
      </c>
      <c r="AD50" s="1728">
        <f t="shared" si="319"/>
        <v>106.88444444444444</v>
      </c>
      <c r="AE50" s="1728">
        <f t="shared" si="319"/>
        <v>106.88444444444444</v>
      </c>
      <c r="AF50" s="1728">
        <f t="shared" si="319"/>
        <v>106.88444444444444</v>
      </c>
      <c r="AG50" s="1881"/>
      <c r="AH50" s="2031">
        <f>SUM(AH32:AH48)</f>
        <v>641.30666666666673</v>
      </c>
      <c r="AI50" s="2032">
        <f>SUM(AI32:AI48)</f>
        <v>1223.6541000000004</v>
      </c>
      <c r="AJ50" s="2033">
        <f>SUM(AJ32:AJ48)</f>
        <v>582.34743333333358</v>
      </c>
      <c r="AK50" s="1881"/>
      <c r="AL50" s="2268">
        <f t="shared" ref="AL50:AM50" si="320">SUM(AL32:AL48)</f>
        <v>106.88444444444444</v>
      </c>
      <c r="AM50" s="2268">
        <f t="shared" si="320"/>
        <v>106.88444444444444</v>
      </c>
      <c r="AN50" s="2268">
        <f t="shared" ref="AN50:AO50" si="321">SUM(AN32:AN48)</f>
        <v>106.88444444444444</v>
      </c>
      <c r="AO50" s="2268">
        <f t="shared" si="321"/>
        <v>106.88444444444444</v>
      </c>
      <c r="AP50" s="2268">
        <f t="shared" ref="AP50:AQ50" si="322">SUM(AP32:AP48)</f>
        <v>106.88444444444444</v>
      </c>
      <c r="AQ50" s="2268">
        <f t="shared" si="322"/>
        <v>106.88444444444444</v>
      </c>
      <c r="AR50" s="2268">
        <f t="shared" ref="AR50" si="323">SUM(AR32:AR48)</f>
        <v>106.88444444444444</v>
      </c>
      <c r="AS50" s="2293"/>
      <c r="AT50" s="2031">
        <f>SUM(AT32:AT48)</f>
        <v>748.19111111111113</v>
      </c>
      <c r="AU50" s="2032">
        <f>SUM(AU32:AU48)</f>
        <v>1388.0244000000002</v>
      </c>
      <c r="AV50" s="2033">
        <f>SUM(AV32:AV48)</f>
        <v>639.833288888889</v>
      </c>
      <c r="AW50" s="2293"/>
      <c r="AX50" s="2268">
        <f t="shared" ref="AX50:AY50" si="324">SUM(AX32:AX48)</f>
        <v>106.88444444444444</v>
      </c>
      <c r="AY50" s="2268">
        <f t="shared" si="324"/>
        <v>106.88444444444444</v>
      </c>
      <c r="AZ50" s="2268">
        <f t="shared" ref="AZ50:BA50" si="325">SUM(AZ32:AZ48)</f>
        <v>106.88444444444444</v>
      </c>
      <c r="BA50" s="2268">
        <f t="shared" si="325"/>
        <v>106.88444444444444</v>
      </c>
      <c r="BB50" s="2268">
        <f t="shared" ref="BB50:BC50" si="326">SUM(BB32:BB48)</f>
        <v>106.88444444444444</v>
      </c>
      <c r="BC50" s="2268">
        <f t="shared" si="326"/>
        <v>106.88444444444444</v>
      </c>
      <c r="BD50" s="2268">
        <f t="shared" ref="BD50" si="327">SUM(BD32:BD48)</f>
        <v>106.88444444444444</v>
      </c>
      <c r="BE50" s="2293"/>
      <c r="BF50" s="2031">
        <f>SUM(BF32:BF48)</f>
        <v>748.19111111111113</v>
      </c>
      <c r="BG50" s="2032">
        <f>SUM(BG32:BG48)</f>
        <v>1387.5765000000004</v>
      </c>
      <c r="BH50" s="2033">
        <f>SUM(BH32:BH48)</f>
        <v>639.38538888888911</v>
      </c>
      <c r="BI50" s="2476"/>
      <c r="BJ50" s="2268">
        <f t="shared" ref="BJ50" si="328">SUM(BJ32:BJ48)</f>
        <v>106.88444444444444</v>
      </c>
      <c r="BK50" s="2268">
        <v>106.88444444444444</v>
      </c>
      <c r="BL50" s="2268">
        <v>106.88444444444444</v>
      </c>
      <c r="BM50" s="2476"/>
      <c r="BN50" s="2031">
        <f>SUM(BN32:BN48)</f>
        <v>320.65333333333336</v>
      </c>
      <c r="BO50" s="2032">
        <f>SUM(BO32:BO48)</f>
        <v>610.36890000000028</v>
      </c>
      <c r="BP50" s="2033">
        <f>SUM(BP32:BP48)</f>
        <v>289.71556666666675</v>
      </c>
      <c r="BR50" s="2034">
        <f>SUM(BR32:BR48)</f>
        <v>0</v>
      </c>
      <c r="BS50" s="2035">
        <f>BR50/E50</f>
        <v>0</v>
      </c>
      <c r="BT50" s="1740"/>
      <c r="BU50" s="2034">
        <f>SUM(BU32:BU48)</f>
        <v>3206.5333333333328</v>
      </c>
      <c r="BV50" s="2035">
        <f>BU50/E50</f>
        <v>1</v>
      </c>
      <c r="BW50" s="1997"/>
      <c r="BX50" s="2474"/>
      <c r="BZ50" s="2474"/>
      <c r="CA50" s="2036"/>
      <c r="CB50" s="1997" t="s">
        <v>157</v>
      </c>
      <c r="CC50" s="2037">
        <f>BU1</f>
        <v>1</v>
      </c>
      <c r="CD50" s="1860"/>
      <c r="CE50" s="1860"/>
      <c r="CF50" s="1860"/>
      <c r="CG50" s="1860"/>
      <c r="CH50" s="1860"/>
      <c r="CI50" s="1998"/>
    </row>
    <row r="51" spans="1:87" s="1946" customFormat="1" ht="4.5" customHeight="1" thickBot="1" x14ac:dyDescent="0.25">
      <c r="B51" s="2390"/>
      <c r="C51" s="2391"/>
      <c r="D51" s="1906"/>
      <c r="E51" s="2392"/>
      <c r="F51" s="2392"/>
      <c r="G51" s="2392"/>
      <c r="H51" s="2392"/>
      <c r="I51" s="2392"/>
      <c r="J51" s="2392"/>
      <c r="K51" s="2393"/>
      <c r="L51" s="2003"/>
      <c r="M51" s="1950"/>
      <c r="N51" s="2394"/>
      <c r="O51" s="2394"/>
      <c r="P51" s="2394"/>
      <c r="Q51" s="2394"/>
      <c r="R51" s="2394"/>
      <c r="S51" s="2394"/>
      <c r="T51" s="2394"/>
      <c r="U51" s="1893"/>
      <c r="V51" s="1893"/>
      <c r="W51" s="1893"/>
      <c r="X51" s="1893"/>
      <c r="Y51" s="1897"/>
      <c r="Z51" s="2394"/>
      <c r="AA51" s="2394"/>
      <c r="AB51" s="2394"/>
      <c r="AC51" s="2394"/>
      <c r="AD51" s="2392"/>
      <c r="AE51" s="2392"/>
      <c r="AF51" s="2392"/>
      <c r="AG51" s="1897"/>
      <c r="AH51" s="1893"/>
      <c r="AI51" s="1893"/>
      <c r="AJ51" s="1893"/>
      <c r="AK51" s="1897"/>
      <c r="AL51" s="2394"/>
      <c r="AM51" s="2394"/>
      <c r="AN51" s="2394"/>
      <c r="AO51" s="2394"/>
      <c r="AP51" s="2394"/>
      <c r="AQ51" s="2394"/>
      <c r="AR51" s="2394"/>
      <c r="AS51" s="1893"/>
      <c r="AT51" s="1893"/>
      <c r="AU51" s="1893"/>
      <c r="AV51" s="1893"/>
      <c r="AW51" s="1893"/>
      <c r="AX51" s="2394"/>
      <c r="AY51" s="2394"/>
      <c r="AZ51" s="2394"/>
      <c r="BA51" s="2394"/>
      <c r="BB51" s="2394"/>
      <c r="BC51" s="2394"/>
      <c r="BD51" s="2394"/>
      <c r="BE51" s="1893"/>
      <c r="BF51" s="2430"/>
      <c r="BG51" s="2430"/>
      <c r="BH51" s="2430"/>
      <c r="BI51" s="1893"/>
      <c r="BJ51" s="2394"/>
      <c r="BK51" s="2394"/>
      <c r="BL51" s="2394"/>
      <c r="BM51" s="1893"/>
      <c r="BN51" s="2430"/>
      <c r="BO51" s="2430"/>
      <c r="BP51" s="2430"/>
      <c r="BR51" s="1893"/>
      <c r="BS51" s="2010"/>
      <c r="BT51" s="2011"/>
      <c r="BU51" s="1893"/>
      <c r="BV51" s="2010"/>
      <c r="BW51" s="2010"/>
      <c r="BX51" s="2475"/>
      <c r="BZ51" s="2475"/>
      <c r="CA51" s="2414"/>
      <c r="CB51" s="2011"/>
      <c r="CC51" s="2011"/>
      <c r="CI51" s="2012"/>
    </row>
    <row r="52" spans="1:87" s="1885" customFormat="1" ht="17.25" thickBot="1" x14ac:dyDescent="0.25">
      <c r="B52" s="2401"/>
      <c r="C52" s="2401" t="s">
        <v>17</v>
      </c>
      <c r="D52" s="2402"/>
      <c r="E52" s="1898">
        <f>SUM(E16:E27)+SUM(E32:E48)</f>
        <v>4045.583333333333</v>
      </c>
      <c r="F52" s="1898">
        <f t="shared" ref="F52:I52" si="329">SUM(F16:F27)+SUM(F32:F48)</f>
        <v>309.6583333333333</v>
      </c>
      <c r="G52" s="1898">
        <f t="shared" si="329"/>
        <v>206.4388888888889</v>
      </c>
      <c r="H52" s="1898">
        <f t="shared" si="329"/>
        <v>154.82916666666665</v>
      </c>
      <c r="I52" s="1898">
        <f t="shared" si="329"/>
        <v>123.86333333333334</v>
      </c>
      <c r="J52" s="1898">
        <f>J29+J50</f>
        <v>140.44644444444444</v>
      </c>
      <c r="K52" s="1899">
        <f>E52/E97</f>
        <v>0.5575654931287608</v>
      </c>
      <c r="L52" s="2491"/>
      <c r="M52" s="2475"/>
      <c r="N52" s="1898">
        <f>N29+N50</f>
        <v>140.44644444444444</v>
      </c>
      <c r="O52" s="1898">
        <f>O29+O50</f>
        <v>106.88444444444444</v>
      </c>
      <c r="P52" s="1898">
        <f t="shared" ref="P52:S52" si="330">SUM(P16:P27)+SUM(P32:P48)</f>
        <v>140.44644444444444</v>
      </c>
      <c r="Q52" s="1898">
        <f t="shared" si="330"/>
        <v>140.44644444444444</v>
      </c>
      <c r="R52" s="1898">
        <f t="shared" si="330"/>
        <v>140.44644444444444</v>
      </c>
      <c r="S52" s="1898">
        <f t="shared" si="330"/>
        <v>140.44644444444444</v>
      </c>
      <c r="T52" s="1898">
        <f>SUM(T16:T27)+SUM(T32:T48)</f>
        <v>140.44644444444444</v>
      </c>
      <c r="U52" s="1893"/>
      <c r="V52" s="2397">
        <f>SUM(V16:V27)+SUM(V32:V48)</f>
        <v>949.56311111111108</v>
      </c>
      <c r="W52" s="2492">
        <f>SUM(W16:W27)+SUM(W32:W48)</f>
        <v>1499.4012</v>
      </c>
      <c r="X52" s="2493">
        <f>SUM(X16:X27)+SUM(X32:X48)</f>
        <v>549.83808888888893</v>
      </c>
      <c r="Y52" s="1896"/>
      <c r="Z52" s="2322">
        <f t="shared" ref="Z52:AF52" si="331">SUM(Z16:Z27)+SUM(Z32:Z48)</f>
        <v>140.44644444444444</v>
      </c>
      <c r="AA52" s="2322">
        <f t="shared" si="331"/>
        <v>140.44644444444444</v>
      </c>
      <c r="AB52" s="2322">
        <f t="shared" si="331"/>
        <v>140.44644444444444</v>
      </c>
      <c r="AC52" s="2494">
        <f t="shared" ref="AC52" si="332">SUM(AC16:AC27)+SUM(AC32:AC48)</f>
        <v>0</v>
      </c>
      <c r="AD52" s="2223">
        <f t="shared" si="331"/>
        <v>140.44644444444444</v>
      </c>
      <c r="AE52" s="2223">
        <f t="shared" si="331"/>
        <v>106.88444444444444</v>
      </c>
      <c r="AF52" s="2223">
        <f t="shared" si="331"/>
        <v>140.44644444444444</v>
      </c>
      <c r="AG52" s="1896"/>
      <c r="AH52" s="2397">
        <f>SUM(Z52:AF52)</f>
        <v>809.11666666666656</v>
      </c>
      <c r="AI52" s="2492">
        <f>SUM(AI16:AI27)+SUM(AI32:AI48)</f>
        <v>1556.8791000000003</v>
      </c>
      <c r="AJ52" s="2493">
        <f>SUM(AJ16:AJ27)+SUM(AJ32:AJ48)</f>
        <v>747.76243333333355</v>
      </c>
      <c r="AK52" s="1896"/>
      <c r="AL52" s="2322">
        <f t="shared" ref="AL52" si="333">SUM(AL16:AL27)+SUM(AL32:AL48)</f>
        <v>140.44644444444444</v>
      </c>
      <c r="AM52" s="2322">
        <f>SUM(AM16:AM27)+SUM(AM32:AM48)</f>
        <v>106.88444444444444</v>
      </c>
      <c r="AN52" s="2322">
        <f t="shared" ref="AN52:AR52" si="334">SUM(AN16:AN27)+SUM(AN32:AN48)</f>
        <v>140.44644444444444</v>
      </c>
      <c r="AO52" s="2322">
        <f t="shared" ref="AO52" si="335">SUM(AO16:AO27)+SUM(AO32:AO48)</f>
        <v>140.44644444444444</v>
      </c>
      <c r="AP52" s="2322">
        <f t="shared" si="334"/>
        <v>140.44644444444444</v>
      </c>
      <c r="AQ52" s="2322">
        <f t="shared" ref="AQ52" si="336">SUM(AQ16:AQ27)+SUM(AQ32:AQ48)</f>
        <v>140.44644444444444</v>
      </c>
      <c r="AR52" s="2322">
        <f t="shared" si="334"/>
        <v>140.44644444444444</v>
      </c>
      <c r="AS52" s="2295"/>
      <c r="AT52" s="2397">
        <f>SUM(AL52:AR52)</f>
        <v>949.56311111111097</v>
      </c>
      <c r="AU52" s="2492">
        <f>SUM(AU16:AU27)+SUM(AU32:AU48)</f>
        <v>1616.9694000000002</v>
      </c>
      <c r="AV52" s="2493">
        <f>SUM(AV16:AV27)+SUM(AV32:AV48)</f>
        <v>667.40628888888898</v>
      </c>
      <c r="AW52" s="2295"/>
      <c r="AX52" s="2322">
        <f t="shared" ref="AX52:BC52" si="337">SUM(AX16:AX27)+SUM(AX32:AX48)</f>
        <v>140.44644444444444</v>
      </c>
      <c r="AY52" s="2322">
        <f t="shared" si="337"/>
        <v>106.88444444444444</v>
      </c>
      <c r="AZ52" s="2322">
        <f t="shared" ref="AZ52:BA52" si="338">SUM(AZ16:AZ27)+SUM(AZ32:AZ48)</f>
        <v>140.44644444444444</v>
      </c>
      <c r="BA52" s="2322">
        <f t="shared" si="338"/>
        <v>140.44644444444444</v>
      </c>
      <c r="BB52" s="2322">
        <f t="shared" ref="BB52" si="339">SUM(BB16:BB27)+SUM(BB32:BB48)</f>
        <v>140.44644444444444</v>
      </c>
      <c r="BC52" s="2322">
        <f t="shared" si="337"/>
        <v>140.44644444444444</v>
      </c>
      <c r="BD52" s="2322">
        <f t="shared" ref="BD52" si="340">SUM(BD16:BD27)+SUM(BD32:BD48)</f>
        <v>140.44644444444444</v>
      </c>
      <c r="BE52" s="2295"/>
      <c r="BF52" s="2397">
        <f>SUM(AX52:BD52)</f>
        <v>949.56311111111097</v>
      </c>
      <c r="BG52" s="2492">
        <f>SUM(BG16:BG27)+SUM(BG32:BG48)</f>
        <v>1615.6815000000004</v>
      </c>
      <c r="BH52" s="2493">
        <f>SUM(BH16:BH27)+SUM(BH32:BH48)</f>
        <v>666.11838888888906</v>
      </c>
      <c r="BI52" s="1893"/>
      <c r="BJ52" s="1898">
        <f>SUM(BJ16:BJ27)+SUM(BJ32:BJ48)</f>
        <v>140.44644444444444</v>
      </c>
      <c r="BK52" s="1898">
        <f t="shared" ref="BK52:BL52" si="341">SUM(BK16:BK27)+SUM(BK32:BK48)</f>
        <v>106.88444444444444</v>
      </c>
      <c r="BL52" s="1898">
        <f t="shared" si="341"/>
        <v>140.44644444444444</v>
      </c>
      <c r="BM52" s="1893"/>
      <c r="BN52" s="2397">
        <f>SUM(BJ52:BL52)</f>
        <v>387.77733333333333</v>
      </c>
      <c r="BO52" s="2492">
        <f>SUM(BO16:BO27)+SUM(BO32:BO48)</f>
        <v>673.45890000000031</v>
      </c>
      <c r="BP52" s="2493">
        <f>SUM(BP16:BP27)+SUM(BP32:BP48)</f>
        <v>285.68156666666675</v>
      </c>
      <c r="BR52" s="2397">
        <f>SUM(BR16:BR27)+SUM(BR32:BR48)</f>
        <v>0</v>
      </c>
      <c r="BS52" s="2398">
        <f>BR52/$E$52</f>
        <v>0</v>
      </c>
      <c r="BT52" s="1900"/>
      <c r="BU52" s="2397">
        <f>SUM(BU16:BU27)+SUM(BU32:BU48)</f>
        <v>4045.583333333333</v>
      </c>
      <c r="BV52" s="2398">
        <f>BU52/$E$52</f>
        <v>1</v>
      </c>
      <c r="BW52" s="2010"/>
      <c r="BX52" s="2475"/>
      <c r="BZ52" s="2475"/>
      <c r="CA52" s="2488"/>
      <c r="CB52" s="2011"/>
      <c r="CC52" s="2011"/>
      <c r="CD52" s="1946"/>
      <c r="CE52" s="1946"/>
      <c r="CF52" s="1946"/>
      <c r="CG52" s="1946"/>
      <c r="CH52" s="1946"/>
      <c r="CI52" s="2012"/>
    </row>
    <row r="53" spans="1:87" s="1946" customFormat="1" ht="4.5" customHeight="1" thickBot="1" x14ac:dyDescent="0.25">
      <c r="B53" s="2011"/>
      <c r="C53" s="2011"/>
      <c r="D53" s="2011"/>
      <c r="E53" s="1893"/>
      <c r="F53" s="1893"/>
      <c r="G53" s="1893"/>
      <c r="H53" s="1893"/>
      <c r="I53" s="1893"/>
      <c r="J53" s="1893"/>
      <c r="K53" s="2010"/>
      <c r="L53" s="1949"/>
      <c r="M53" s="2475"/>
      <c r="N53" s="1893"/>
      <c r="O53" s="1893"/>
      <c r="P53" s="1893"/>
      <c r="Q53" s="1893"/>
      <c r="R53" s="1893"/>
      <c r="S53" s="1893"/>
      <c r="T53" s="1893"/>
      <c r="U53" s="1893"/>
      <c r="V53" s="1893"/>
      <c r="W53" s="1893"/>
      <c r="X53" s="1893"/>
      <c r="Y53" s="1897"/>
      <c r="Z53" s="1893"/>
      <c r="AA53" s="1893"/>
      <c r="AB53" s="1893"/>
      <c r="AC53" s="1893"/>
      <c r="AD53" s="1893"/>
      <c r="AE53" s="1893"/>
      <c r="AF53" s="1893"/>
      <c r="AG53" s="1897"/>
      <c r="AH53" s="1893"/>
      <c r="AI53" s="1893"/>
      <c r="AJ53" s="1893"/>
      <c r="AK53" s="1897"/>
      <c r="AL53" s="1893"/>
      <c r="AM53" s="1893"/>
      <c r="AN53" s="1893"/>
      <c r="AO53" s="1893"/>
      <c r="AP53" s="1893"/>
      <c r="AQ53" s="1893"/>
      <c r="AR53" s="1893"/>
      <c r="AS53" s="1893"/>
      <c r="AT53" s="1893"/>
      <c r="AU53" s="1893"/>
      <c r="AV53" s="1893"/>
      <c r="AW53" s="1893"/>
      <c r="AX53" s="1893"/>
      <c r="AY53" s="1893"/>
      <c r="AZ53" s="1893"/>
      <c r="BA53" s="1893"/>
      <c r="BB53" s="1893"/>
      <c r="BC53" s="1893"/>
      <c r="BD53" s="1893"/>
      <c r="BE53" s="1893"/>
      <c r="BF53" s="1893"/>
      <c r="BG53" s="1893"/>
      <c r="BH53" s="1893"/>
      <c r="BI53" s="1893"/>
      <c r="BJ53" s="1893"/>
      <c r="BK53" s="1893"/>
      <c r="BL53" s="1893"/>
      <c r="BM53" s="1893"/>
      <c r="BN53" s="1893"/>
      <c r="BO53" s="1893"/>
      <c r="BP53" s="1893"/>
      <c r="BR53" s="1893"/>
      <c r="BS53" s="2403"/>
      <c r="BT53" s="2011"/>
      <c r="BU53" s="1893"/>
      <c r="BV53" s="2404"/>
      <c r="BW53" s="2404"/>
      <c r="BX53" s="1892"/>
      <c r="BZ53" s="2475"/>
      <c r="CA53" s="2416"/>
      <c r="CB53" s="2010"/>
      <c r="CC53" s="2011"/>
      <c r="CI53" s="2012"/>
    </row>
    <row r="54" spans="1:87" s="1726" customFormat="1" ht="17.25" thickBot="1" x14ac:dyDescent="0.25">
      <c r="B54" s="2049"/>
      <c r="C54" s="2050" t="s">
        <v>150</v>
      </c>
      <c r="D54" s="2051"/>
      <c r="E54" s="2052">
        <f>E52*100/30</f>
        <v>13485.277777777777</v>
      </c>
      <c r="F54" s="2053">
        <f t="shared" ref="F54:I54" si="342">F52*100/30</f>
        <v>1032.1944444444443</v>
      </c>
      <c r="G54" s="2053">
        <f t="shared" si="342"/>
        <v>688.12962962962968</v>
      </c>
      <c r="H54" s="2053">
        <f t="shared" si="342"/>
        <v>516.09722222222217</v>
      </c>
      <c r="I54" s="2053">
        <f t="shared" si="342"/>
        <v>412.87777777777779</v>
      </c>
      <c r="J54" s="2053">
        <f>J52*100/30</f>
        <v>468.15481481481481</v>
      </c>
      <c r="K54" s="2054">
        <f>E54/E95</f>
        <v>0.5575654931287608</v>
      </c>
      <c r="L54" s="1760"/>
      <c r="M54" s="2055"/>
      <c r="N54" s="2056">
        <f>N10-N29</f>
        <v>27.74318518518519</v>
      </c>
      <c r="O54" s="2052">
        <f>O10-O29</f>
        <v>22.038518518518519</v>
      </c>
      <c r="P54" s="2052">
        <f t="shared" ref="P54:R54" si="343">P10-P29</f>
        <v>20.30985185185186</v>
      </c>
      <c r="Q54" s="2052">
        <f>Q10-Q29</f>
        <v>19.219851851851857</v>
      </c>
      <c r="R54" s="2052">
        <f t="shared" si="343"/>
        <v>19.264851851851859</v>
      </c>
      <c r="S54" s="2052">
        <f>S10-S29</f>
        <v>45.41985185185186</v>
      </c>
      <c r="T54" s="2057">
        <f>T10-T29</f>
        <v>43.68025185185185</v>
      </c>
      <c r="U54" s="1814"/>
      <c r="V54" s="2056">
        <f>SUM(N54:T54)</f>
        <v>197.67636296296297</v>
      </c>
      <c r="W54" s="2052"/>
      <c r="X54" s="2057"/>
      <c r="Y54" s="1766"/>
      <c r="Z54" s="2056">
        <f>Z10-Z29</f>
        <v>58.97905185185185</v>
      </c>
      <c r="AA54" s="2053">
        <f t="shared" ref="AA54:AF54" si="344">AA10-AA29</f>
        <v>88.09035185185185</v>
      </c>
      <c r="AB54" s="2053">
        <f t="shared" si="344"/>
        <v>162.84485185185184</v>
      </c>
      <c r="AC54" s="2053">
        <f t="shared" si="344"/>
        <v>0</v>
      </c>
      <c r="AD54" s="2053">
        <f t="shared" si="344"/>
        <v>-1.3401481481481454</v>
      </c>
      <c r="AE54" s="2053">
        <f t="shared" si="344"/>
        <v>27.211851851851847</v>
      </c>
      <c r="AF54" s="2053">
        <f t="shared" si="344"/>
        <v>23.744851851851855</v>
      </c>
      <c r="AG54" s="1766"/>
      <c r="AH54" s="2056">
        <f>SUM(Z54:AF54)</f>
        <v>359.53081111111112</v>
      </c>
      <c r="AI54" s="2052"/>
      <c r="AJ54" s="2057"/>
      <c r="AK54" s="1764"/>
      <c r="AL54" s="2056">
        <f t="shared" ref="AL54:AR54" si="345">AL10-AL29</f>
        <v>65.695851851851828</v>
      </c>
      <c r="AM54" s="2053">
        <f t="shared" si="345"/>
        <v>16.371851851851854</v>
      </c>
      <c r="AN54" s="2053">
        <f t="shared" si="345"/>
        <v>51.089851851851861</v>
      </c>
      <c r="AO54" s="2053">
        <f t="shared" si="345"/>
        <v>28.614851851851853</v>
      </c>
      <c r="AP54" s="2053">
        <f t="shared" si="345"/>
        <v>44.237851851851858</v>
      </c>
      <c r="AQ54" s="2053">
        <f t="shared" si="345"/>
        <v>25.575851851851851</v>
      </c>
      <c r="AR54" s="2057">
        <f t="shared" si="345"/>
        <v>9.2646518518518448</v>
      </c>
      <c r="AS54" s="2300"/>
      <c r="AT54" s="2056">
        <f>SUM(AL54:AR54)</f>
        <v>240.85076296296296</v>
      </c>
      <c r="AU54" s="2052"/>
      <c r="AV54" s="2057"/>
      <c r="AW54" s="1814"/>
      <c r="AX54" s="2056">
        <f t="shared" ref="AX54:AY54" si="346">AX10-AX29</f>
        <v>18.284651851851855</v>
      </c>
      <c r="AY54" s="2052">
        <f t="shared" si="346"/>
        <v>28.844351851851851</v>
      </c>
      <c r="AZ54" s="2052">
        <f t="shared" ref="AZ54:BA54" si="347">AZ10-AZ29</f>
        <v>81.704851851851842</v>
      </c>
      <c r="BA54" s="2052">
        <f t="shared" si="347"/>
        <v>16.514851851851859</v>
      </c>
      <c r="BB54" s="2052">
        <f t="shared" ref="BB54:BC54" si="348">BB10-BB29</f>
        <v>46.464851851851847</v>
      </c>
      <c r="BC54" s="2052">
        <f t="shared" si="348"/>
        <v>32.558051851851843</v>
      </c>
      <c r="BD54" s="2057">
        <f t="shared" ref="BD54" si="349">BD10-BD29</f>
        <v>15.489851851851853</v>
      </c>
      <c r="BE54" s="1814"/>
      <c r="BF54" s="2056">
        <f>SUM(AX54:BD54)</f>
        <v>239.86146296296295</v>
      </c>
      <c r="BG54" s="2052"/>
      <c r="BH54" s="2057"/>
      <c r="BI54" s="1740"/>
      <c r="BJ54" s="2056">
        <f t="shared" ref="BJ54:BL54" si="350">BJ10-BJ29</f>
        <v>26.429651851851851</v>
      </c>
      <c r="BK54" s="2052">
        <f>BK10-BK29</f>
        <v>36.266851851851854</v>
      </c>
      <c r="BL54" s="2057">
        <f t="shared" si="350"/>
        <v>29.841351851851854</v>
      </c>
      <c r="BM54" s="2301"/>
      <c r="BN54" s="2058">
        <f>SUM(BJ54:BL54)</f>
        <v>92.537855555555552</v>
      </c>
      <c r="BO54" s="2302"/>
      <c r="BP54" s="2057"/>
      <c r="BQ54" s="1862"/>
      <c r="BR54" s="2058">
        <f>SUM(N54:T54)+SUM(Z54:AF54)+SUM(AL54:AR54)+SUM(AX54:BD54)+SUM(BJ54:BL54)</f>
        <v>1130.4572555555558</v>
      </c>
      <c r="BS54" s="2054"/>
      <c r="BT54" s="1740"/>
      <c r="BU54" s="1861"/>
      <c r="BV54" s="1861"/>
      <c r="BW54" s="1861"/>
      <c r="BZ54" s="2474"/>
      <c r="CA54" s="2036"/>
      <c r="CB54" s="2059" t="s">
        <v>155</v>
      </c>
      <c r="CC54" s="1997" t="s">
        <v>156</v>
      </c>
      <c r="CD54" s="1860"/>
      <c r="CE54" s="1860"/>
      <c r="CF54" s="1860"/>
      <c r="CG54" s="1860"/>
      <c r="CH54" s="1860"/>
      <c r="CI54" s="1998"/>
    </row>
    <row r="55" spans="1:87" s="1946" customFormat="1" ht="15" customHeight="1" thickBot="1" x14ac:dyDescent="0.25">
      <c r="B55" s="2011"/>
      <c r="C55" s="2011" t="s">
        <v>191</v>
      </c>
      <c r="D55" s="2011"/>
      <c r="E55" s="1893"/>
      <c r="F55" s="1893"/>
      <c r="G55" s="1893"/>
      <c r="H55" s="1893"/>
      <c r="I55" s="1893"/>
      <c r="J55" s="1893"/>
      <c r="K55" s="2404"/>
      <c r="L55" s="2003"/>
      <c r="M55" s="1892"/>
      <c r="N55" s="1893"/>
      <c r="O55" s="1893"/>
      <c r="P55" s="1893"/>
      <c r="Q55" s="1893"/>
      <c r="R55" s="1893"/>
      <c r="S55" s="1893"/>
      <c r="T55" s="1893"/>
      <c r="U55" s="1893"/>
      <c r="V55" s="1893"/>
      <c r="W55" s="1893"/>
      <c r="X55" s="1893"/>
      <c r="Y55" s="1897"/>
      <c r="Z55" s="1893"/>
      <c r="AA55" s="1893"/>
      <c r="AB55" s="1893"/>
      <c r="AC55" s="1893"/>
      <c r="AD55" s="1893"/>
      <c r="AE55" s="1893"/>
      <c r="AF55" s="1893"/>
      <c r="AG55" s="1897"/>
      <c r="AH55" s="1893"/>
      <c r="AI55" s="1893"/>
      <c r="AJ55" s="1893"/>
      <c r="AK55" s="1897"/>
      <c r="AL55" s="1893"/>
      <c r="AM55" s="1893"/>
      <c r="AN55" s="1893"/>
      <c r="AO55" s="1893"/>
      <c r="AP55" s="1893"/>
      <c r="AQ55" s="1893"/>
      <c r="AR55" s="1893"/>
      <c r="AS55" s="1893"/>
      <c r="AT55" s="1893"/>
      <c r="AU55" s="1893"/>
      <c r="AV55" s="1893"/>
      <c r="AW55" s="1893"/>
      <c r="AX55" s="1893"/>
      <c r="AY55" s="1893"/>
      <c r="AZ55" s="1893"/>
      <c r="BA55" s="1893"/>
      <c r="BB55" s="1893"/>
      <c r="BC55" s="1893"/>
      <c r="BD55" s="1893"/>
      <c r="BE55" s="1893"/>
      <c r="BF55" s="1893"/>
      <c r="BG55" s="1893"/>
      <c r="BH55" s="1893"/>
      <c r="BI55" s="1893"/>
      <c r="BJ55" s="1893"/>
      <c r="BK55" s="1893"/>
      <c r="BL55" s="1893"/>
      <c r="BM55" s="1893"/>
      <c r="BN55" s="1893"/>
      <c r="BO55" s="1893"/>
      <c r="BP55" s="1893"/>
      <c r="BQ55" s="1897"/>
      <c r="BR55" s="1893"/>
      <c r="BS55" s="2403"/>
      <c r="BT55" s="2011"/>
      <c r="BU55" s="4611" t="s">
        <v>99</v>
      </c>
      <c r="BV55" s="4611"/>
      <c r="BW55" s="1893"/>
      <c r="BX55" s="1897"/>
      <c r="BZ55" s="2475"/>
      <c r="CA55" s="2488" t="s">
        <v>159</v>
      </c>
      <c r="CB55" s="2404">
        <v>0.5</v>
      </c>
      <c r="CC55" s="2010" t="str">
        <f>IF(CC50&lt;=CB55,CC50," ")</f>
        <v xml:space="preserve"> </v>
      </c>
      <c r="CI55" s="2012"/>
    </row>
    <row r="56" spans="1:87" s="1740" customFormat="1" ht="15.75" x14ac:dyDescent="0.2">
      <c r="A56" s="2466"/>
      <c r="B56" s="2444">
        <v>30</v>
      </c>
      <c r="C56" s="2281" t="s">
        <v>234</v>
      </c>
      <c r="D56" s="2051"/>
      <c r="E56" s="2563">
        <v>118</v>
      </c>
      <c r="F56" s="2064">
        <f t="shared" ref="F56" si="351">E56/10</f>
        <v>11.8</v>
      </c>
      <c r="G56" s="2064">
        <f t="shared" ref="G56" si="352">E56/15</f>
        <v>7.8666666666666663</v>
      </c>
      <c r="H56" s="2064">
        <f t="shared" ref="H56" si="353">E56/20</f>
        <v>5.9</v>
      </c>
      <c r="I56" s="2064">
        <f t="shared" ref="I56" si="354">E56/25</f>
        <v>4.72</v>
      </c>
      <c r="J56" s="2065">
        <f t="shared" ref="J56:J62" si="355">E56/30</f>
        <v>3.9333333333333331</v>
      </c>
      <c r="K56" s="2066">
        <f>E56/$E$63</f>
        <v>0.49954279134351609</v>
      </c>
      <c r="L56" s="2465"/>
      <c r="M56" s="2131"/>
      <c r="N56" s="2282">
        <f>IF(N54&gt;$J$63,$J$56,IF(N54&lt;$J$63,(IF(N54&lt;0,0,N54*$K$56))))</f>
        <v>3.9333333333333331</v>
      </c>
      <c r="O56" s="2065">
        <f>IF(O54&gt;$J$63,$J$56,IF(O54&lt;$J$63,(IF(O54&lt;0,0,O54*$K$56))))</f>
        <v>3.9333333333333331</v>
      </c>
      <c r="P56" s="2068">
        <f t="shared" ref="P56:T56" si="356">IF(P54&gt;$J$63,$J$56,IF(P54&lt;$J$63,(IF(P54&lt;0,0,P54*$K$56))))</f>
        <v>3.9333333333333331</v>
      </c>
      <c r="Q56" s="2068">
        <f t="shared" si="356"/>
        <v>3.9333333333333331</v>
      </c>
      <c r="R56" s="2068">
        <f t="shared" si="356"/>
        <v>3.9333333333333331</v>
      </c>
      <c r="S56" s="2068">
        <f t="shared" si="356"/>
        <v>3.9333333333333331</v>
      </c>
      <c r="T56" s="2069">
        <f t="shared" si="356"/>
        <v>3.9333333333333331</v>
      </c>
      <c r="U56" s="1814"/>
      <c r="V56" s="2067">
        <f t="shared" si="61"/>
        <v>27.533333333333331</v>
      </c>
      <c r="W56" s="2068">
        <f>$J$56*7</f>
        <v>27.533333333333331</v>
      </c>
      <c r="X56" s="2070">
        <f>V56-W56</f>
        <v>0</v>
      </c>
      <c r="Y56" s="1814"/>
      <c r="Z56" s="2067">
        <f>IF(Z54&gt;$J$63,$J$56,IF(Z54&lt;$J$63,(IF(Z54&lt;0,0,Z54*$K$56))))</f>
        <v>3.9333333333333331</v>
      </c>
      <c r="AA56" s="2068">
        <f t="shared" ref="AA56:AF56" si="357">IF(AA54&gt;$J$63,$J$56,IF(AA54&lt;$J$63,(IF(AA54&lt;0,0,AA54*$K$56))))</f>
        <v>3.9333333333333331</v>
      </c>
      <c r="AB56" s="2068">
        <f t="shared" si="357"/>
        <v>3.9333333333333331</v>
      </c>
      <c r="AC56" s="2068">
        <f t="shared" si="357"/>
        <v>0</v>
      </c>
      <c r="AD56" s="2068">
        <f t="shared" si="357"/>
        <v>0</v>
      </c>
      <c r="AE56" s="2068">
        <f t="shared" si="357"/>
        <v>3.9333333333333331</v>
      </c>
      <c r="AF56" s="2069">
        <f t="shared" si="357"/>
        <v>3.9333333333333331</v>
      </c>
      <c r="AG56" s="1814"/>
      <c r="AH56" s="2067">
        <f>SUM(Z56:AF56)</f>
        <v>19.666666666666664</v>
      </c>
      <c r="AI56" s="2068">
        <f>$J$56*5</f>
        <v>19.666666666666664</v>
      </c>
      <c r="AJ56" s="2070">
        <f>AH56-AI56</f>
        <v>0</v>
      </c>
      <c r="AK56" s="1814"/>
      <c r="AL56" s="2067">
        <f t="shared" ref="AL56:AR56" si="358">IF(AL54&gt;$J$63,$J$56,IF(AL54&lt;$J$63,(IF(AL54&lt;0,0,AL54*$K$56))))</f>
        <v>3.9333333333333331</v>
      </c>
      <c r="AM56" s="2065">
        <f t="shared" si="358"/>
        <v>3.9333333333333331</v>
      </c>
      <c r="AN56" s="2065">
        <f t="shared" si="358"/>
        <v>3.9333333333333331</v>
      </c>
      <c r="AO56" s="2065">
        <f t="shared" si="358"/>
        <v>3.9333333333333331</v>
      </c>
      <c r="AP56" s="2065">
        <f t="shared" si="358"/>
        <v>3.9333333333333331</v>
      </c>
      <c r="AQ56" s="2065">
        <f t="shared" si="358"/>
        <v>3.9333333333333331</v>
      </c>
      <c r="AR56" s="2069">
        <f t="shared" si="358"/>
        <v>3.9333333333333331</v>
      </c>
      <c r="AS56" s="1814"/>
      <c r="AT56" s="2067">
        <f>SUM(AL56:AR56)</f>
        <v>27.533333333333331</v>
      </c>
      <c r="AU56" s="2068">
        <f>$J$56*7</f>
        <v>27.533333333333331</v>
      </c>
      <c r="AV56" s="2070">
        <f>AT56-AU56</f>
        <v>0</v>
      </c>
      <c r="AW56" s="1814"/>
      <c r="AX56" s="2067">
        <f t="shared" ref="AX56:BD56" si="359">IF(AX54&gt;$J$63,$J$56,IF(AX54&lt;$J$63,(IF(AX54&lt;0,0,AX54*$K$56))))</f>
        <v>3.9333333333333331</v>
      </c>
      <c r="AY56" s="2068">
        <f t="shared" si="359"/>
        <v>3.9333333333333331</v>
      </c>
      <c r="AZ56" s="2068">
        <f t="shared" si="359"/>
        <v>3.9333333333333331</v>
      </c>
      <c r="BA56" s="2065">
        <f t="shared" si="359"/>
        <v>3.9333333333333331</v>
      </c>
      <c r="BB56" s="2065">
        <f t="shared" si="359"/>
        <v>3.9333333333333331</v>
      </c>
      <c r="BC56" s="2065">
        <f t="shared" si="359"/>
        <v>3.9333333333333331</v>
      </c>
      <c r="BD56" s="2069">
        <f t="shared" si="359"/>
        <v>3.9333333333333331</v>
      </c>
      <c r="BE56" s="1814"/>
      <c r="BF56" s="2067">
        <f>SUM(AX56:BD56)</f>
        <v>27.533333333333331</v>
      </c>
      <c r="BG56" s="2068">
        <f>$J$56*7</f>
        <v>27.533333333333331</v>
      </c>
      <c r="BH56" s="2070">
        <f>BF56-BG56</f>
        <v>0</v>
      </c>
      <c r="BI56" s="1814"/>
      <c r="BJ56" s="2067">
        <f t="shared" ref="BJ56:BL56" si="360">IF(BJ54&gt;$J$63,$J$56,IF(BJ54&lt;$J$63,(IF(BJ54&lt;0,0,BJ54*$K$56))))</f>
        <v>3.9333333333333331</v>
      </c>
      <c r="BK56" s="2065">
        <f t="shared" si="360"/>
        <v>3.9333333333333331</v>
      </c>
      <c r="BL56" s="2069">
        <f t="shared" si="360"/>
        <v>3.9333333333333331</v>
      </c>
      <c r="BM56" s="1814"/>
      <c r="BN56" s="2067">
        <f>SUM(BJ56:BL56)</f>
        <v>11.799999999999999</v>
      </c>
      <c r="BO56" s="2068">
        <f>$J$56*3</f>
        <v>11.799999999999999</v>
      </c>
      <c r="BP56" s="2070">
        <f>BN56-BO56</f>
        <v>0</v>
      </c>
      <c r="BR56" s="2067"/>
      <c r="BS56" s="2071"/>
      <c r="BU56" s="2067">
        <f>SUM(N56:T56)+SUM(Z56:AF56)+SUM(AL56:AR56)+SUM(AX56:BD56)+SUM(BJ56:BL56)</f>
        <v>114.06666666666665</v>
      </c>
      <c r="BV56" s="2072">
        <f>BU56/E56</f>
        <v>0.96666666666666656</v>
      </c>
      <c r="BW56" s="2351"/>
      <c r="BX56" s="4549">
        <f>BV63-BU1</f>
        <v>-3.3333333333333437E-2</v>
      </c>
      <c r="BZ56" s="4609"/>
      <c r="CA56" s="1830" t="s">
        <v>160</v>
      </c>
      <c r="CB56" s="2131">
        <v>0.75</v>
      </c>
      <c r="CC56" s="1830" t="str">
        <f>IF(AND(CC50&gt;CB55,CC50&lt;=CB56),CC50," ")</f>
        <v xml:space="preserve"> </v>
      </c>
      <c r="CD56" s="1861"/>
      <c r="CE56" s="1861"/>
      <c r="CF56" s="1861"/>
      <c r="CG56" s="1861"/>
      <c r="CH56" s="1861"/>
      <c r="CI56" s="2467"/>
    </row>
    <row r="57" spans="1:87" s="1885" customFormat="1" x14ac:dyDescent="0.2">
      <c r="B57" s="2182">
        <v>31</v>
      </c>
      <c r="C57" s="2175" t="s">
        <v>117</v>
      </c>
      <c r="D57" s="2119"/>
      <c r="E57" s="2560">
        <v>37</v>
      </c>
      <c r="F57" s="2176">
        <f>E57/10</f>
        <v>3.7</v>
      </c>
      <c r="G57" s="2176">
        <f>E57/15</f>
        <v>2.4666666666666668</v>
      </c>
      <c r="H57" s="2176">
        <f>E57/20</f>
        <v>1.85</v>
      </c>
      <c r="I57" s="2176">
        <f>E57/25</f>
        <v>1.48</v>
      </c>
      <c r="J57" s="2176">
        <f t="shared" si="355"/>
        <v>1.2333333333333334</v>
      </c>
      <c r="K57" s="2177">
        <f t="shared" ref="K57:K62" si="361">E57/$E$63</f>
        <v>0.15663629898059403</v>
      </c>
      <c r="L57" s="2003"/>
      <c r="M57" s="1950"/>
      <c r="N57" s="2415">
        <f>IF(N54&gt;$J$63,$J$57,IF(N54&lt;$J$63,(IF(N54&lt;0,0,N54*$K$57))))</f>
        <v>1.2333333333333334</v>
      </c>
      <c r="O57" s="2176">
        <f>IF(O54&gt;$J$63,$J$57,IF(O54&lt;$J$63,(IF(O54&lt;0,0,O54*$K$57))))</f>
        <v>1.2333333333333334</v>
      </c>
      <c r="P57" s="2170">
        <f t="shared" ref="P57:T57" si="362">IF(P54&gt;$J$63,$J$57,IF(P54&lt;$J$63,(IF(P54&lt;0,0,P54*$K$57))))</f>
        <v>1.2333333333333334</v>
      </c>
      <c r="Q57" s="2170">
        <f t="shared" si="362"/>
        <v>1.2333333333333334</v>
      </c>
      <c r="R57" s="2170">
        <f t="shared" si="362"/>
        <v>1.2333333333333334</v>
      </c>
      <c r="S57" s="2170">
        <f t="shared" si="362"/>
        <v>1.2333333333333334</v>
      </c>
      <c r="T57" s="2171">
        <f t="shared" si="362"/>
        <v>1.2333333333333334</v>
      </c>
      <c r="U57" s="1951"/>
      <c r="V57" s="2169">
        <f t="shared" si="61"/>
        <v>8.6333333333333329</v>
      </c>
      <c r="W57" s="2170">
        <f>$J$57*7</f>
        <v>8.6333333333333329</v>
      </c>
      <c r="X57" s="2178">
        <f t="shared" ref="X57:X75" si="363">V57-W57</f>
        <v>0</v>
      </c>
      <c r="Y57" s="1956"/>
      <c r="Z57" s="2169">
        <f t="shared" ref="Z57:AF57" si="364">IF(Z54&gt;$J$63,$J$57,IF(Z54&lt;$J$63,(IF(Z54&lt;0,0,Z54*$K$57))))</f>
        <v>1.2333333333333334</v>
      </c>
      <c r="AA57" s="2170">
        <f t="shared" si="364"/>
        <v>1.2333333333333334</v>
      </c>
      <c r="AB57" s="2170">
        <f t="shared" si="364"/>
        <v>1.2333333333333334</v>
      </c>
      <c r="AC57" s="2170">
        <f t="shared" si="364"/>
        <v>0</v>
      </c>
      <c r="AD57" s="2170">
        <f t="shared" si="364"/>
        <v>0</v>
      </c>
      <c r="AE57" s="2170">
        <f t="shared" si="364"/>
        <v>1.2333333333333334</v>
      </c>
      <c r="AF57" s="2171">
        <f t="shared" si="364"/>
        <v>1.2333333333333334</v>
      </c>
      <c r="AG57" s="1956"/>
      <c r="AH57" s="2169">
        <f t="shared" ref="AH57:AH75" si="365">SUM(Z57:AF57)</f>
        <v>6.166666666666667</v>
      </c>
      <c r="AI57" s="2170">
        <f>$J$57*5</f>
        <v>6.166666666666667</v>
      </c>
      <c r="AJ57" s="2178">
        <f t="shared" ref="AJ57:AJ75" si="366">AH57-AI57</f>
        <v>0</v>
      </c>
      <c r="AK57" s="1956"/>
      <c r="AL57" s="2169">
        <f t="shared" ref="AL57:AR57" si="367">IF(AL54&gt;$J$63,$J$57,IF(AL54&lt;$J$63,(IF(AL54&lt;0,0,AL54*$K$57))))</f>
        <v>1.2333333333333334</v>
      </c>
      <c r="AM57" s="2176">
        <f t="shared" si="367"/>
        <v>1.2333333333333334</v>
      </c>
      <c r="AN57" s="2176">
        <f t="shared" si="367"/>
        <v>1.2333333333333334</v>
      </c>
      <c r="AO57" s="2176">
        <f t="shared" si="367"/>
        <v>1.2333333333333334</v>
      </c>
      <c r="AP57" s="2176">
        <f t="shared" si="367"/>
        <v>1.2333333333333334</v>
      </c>
      <c r="AQ57" s="2176">
        <f t="shared" si="367"/>
        <v>1.2333333333333334</v>
      </c>
      <c r="AR57" s="2171">
        <f t="shared" si="367"/>
        <v>1.2333333333333334</v>
      </c>
      <c r="AS57" s="1951"/>
      <c r="AT57" s="2169">
        <f t="shared" ref="AT57:AT62" si="368">SUM(AL57:AR57)</f>
        <v>8.6333333333333329</v>
      </c>
      <c r="AU57" s="2170">
        <f>$J$57*7</f>
        <v>8.6333333333333329</v>
      </c>
      <c r="AV57" s="2178">
        <f t="shared" ref="AV57:AV62" si="369">AT57-AU57</f>
        <v>0</v>
      </c>
      <c r="AW57" s="1951"/>
      <c r="AX57" s="2169">
        <f t="shared" ref="AX57:BD57" si="370">IF(AX54&gt;$J$63,$J$57,IF(AX54&lt;$J$63,(IF(AX54&lt;0,0,AX54*$K$57))))</f>
        <v>1.2333333333333334</v>
      </c>
      <c r="AY57" s="2170">
        <f t="shared" si="370"/>
        <v>1.2333333333333334</v>
      </c>
      <c r="AZ57" s="2170">
        <f t="shared" si="370"/>
        <v>1.2333333333333334</v>
      </c>
      <c r="BA57" s="2176">
        <f t="shared" si="370"/>
        <v>1.2333333333333334</v>
      </c>
      <c r="BB57" s="2176">
        <f t="shared" si="370"/>
        <v>1.2333333333333334</v>
      </c>
      <c r="BC57" s="2176">
        <f t="shared" si="370"/>
        <v>1.2333333333333334</v>
      </c>
      <c r="BD57" s="2171">
        <f t="shared" si="370"/>
        <v>1.2333333333333334</v>
      </c>
      <c r="BE57" s="1951"/>
      <c r="BF57" s="2169">
        <f t="shared" ref="BF57:BF62" si="371">SUM(AX57:BD57)</f>
        <v>8.6333333333333329</v>
      </c>
      <c r="BG57" s="2170">
        <f>$J$57*7</f>
        <v>8.6333333333333329</v>
      </c>
      <c r="BH57" s="2178">
        <f t="shared" ref="BH57:BH62" si="372">BF57-BG57</f>
        <v>0</v>
      </c>
      <c r="BI57" s="1951"/>
      <c r="BJ57" s="2169">
        <f t="shared" ref="BJ57:BL57" si="373">IF(BJ54&gt;$J$63,$J$57,IF(BJ54&lt;$J$63,(IF(BJ54&lt;0,0,BJ54*$K$57))))</f>
        <v>1.2333333333333334</v>
      </c>
      <c r="BK57" s="2176">
        <f t="shared" si="373"/>
        <v>1.2333333333333334</v>
      </c>
      <c r="BL57" s="2171">
        <f t="shared" si="373"/>
        <v>1.2333333333333334</v>
      </c>
      <c r="BM57" s="1951"/>
      <c r="BN57" s="2169">
        <f t="shared" ref="BN57:BN62" si="374">SUM(BJ57:BL57)</f>
        <v>3.7</v>
      </c>
      <c r="BO57" s="2170">
        <f>$J$57*3</f>
        <v>3.7</v>
      </c>
      <c r="BP57" s="2178">
        <f t="shared" ref="BP57:BP62" si="375">BN57-BO57</f>
        <v>0</v>
      </c>
      <c r="BR57" s="2169"/>
      <c r="BS57" s="2172"/>
      <c r="BT57" s="1900"/>
      <c r="BU57" s="2169">
        <f t="shared" ref="BU57:BU75" si="376">SUM(N57:T57)+SUM(Z57:AF57)+SUM(AL57:AR57)+SUM(AX57:BD57)+SUM(BJ57:BL57)</f>
        <v>35.766666666666666</v>
      </c>
      <c r="BV57" s="2173">
        <f t="shared" ref="BV57:BV75" si="377">BU57/E57</f>
        <v>0.96666666666666667</v>
      </c>
      <c r="BW57" s="2353"/>
      <c r="BX57" s="4550"/>
      <c r="BZ57" s="4609"/>
      <c r="CA57" s="2010" t="s">
        <v>161</v>
      </c>
      <c r="CB57" s="2404">
        <v>1</v>
      </c>
      <c r="CC57" s="2490">
        <f>IF(CC50&gt;CB56,CC50," ")</f>
        <v>1</v>
      </c>
      <c r="CD57" s="1946"/>
      <c r="CE57" s="1946"/>
      <c r="CF57" s="1946"/>
      <c r="CG57" s="1946"/>
      <c r="CH57" s="1946"/>
      <c r="CI57" s="2012"/>
    </row>
    <row r="58" spans="1:87" s="1726" customFormat="1" x14ac:dyDescent="0.2">
      <c r="B58" s="2085">
        <v>32</v>
      </c>
      <c r="C58" s="2086" t="s">
        <v>118</v>
      </c>
      <c r="D58" s="2051"/>
      <c r="E58" s="2561">
        <v>26.716000000000001</v>
      </c>
      <c r="F58" s="2088">
        <f t="shared" ref="F58:F62" si="378">E58/10</f>
        <v>2.6716000000000002</v>
      </c>
      <c r="G58" s="2088">
        <f t="shared" ref="G58:G62" si="379">E58/15</f>
        <v>1.7810666666666668</v>
      </c>
      <c r="H58" s="2088">
        <f t="shared" ref="H58:H62" si="380">E58/20</f>
        <v>1.3358000000000001</v>
      </c>
      <c r="I58" s="2088">
        <f t="shared" ref="I58:I62" si="381">E58/25</f>
        <v>1.06864</v>
      </c>
      <c r="J58" s="2088">
        <f t="shared" si="355"/>
        <v>0.8905333333333334</v>
      </c>
      <c r="K58" s="2089">
        <f t="shared" si="361"/>
        <v>0.11309987469096082</v>
      </c>
      <c r="L58" s="1931"/>
      <c r="M58" s="1924"/>
      <c r="N58" s="2284">
        <f>IF(N54&gt;$J$63,$J$58,IF(N54&lt;$J$63,(IF(N54&lt;0,0,N54*$K$58))))</f>
        <v>0.8905333333333334</v>
      </c>
      <c r="O58" s="2088">
        <f>IF(O54&gt;$J$63,$J$58,IF(O54&lt;$J$63,(IF(O54&lt;0,0,O54*$K$58))))</f>
        <v>0.8905333333333334</v>
      </c>
      <c r="P58" s="2087">
        <f t="shared" ref="P58:T58" si="382">IF(P54&gt;$J$63,$J$58,IF(P54&lt;$J$63,(IF(P54&lt;0,0,P54*$K$58))))</f>
        <v>0.8905333333333334</v>
      </c>
      <c r="Q58" s="2087">
        <f t="shared" si="382"/>
        <v>0.8905333333333334</v>
      </c>
      <c r="R58" s="2087">
        <f t="shared" si="382"/>
        <v>0.8905333333333334</v>
      </c>
      <c r="S58" s="2087">
        <f t="shared" si="382"/>
        <v>0.8905333333333334</v>
      </c>
      <c r="T58" s="2091">
        <f t="shared" si="382"/>
        <v>0.8905333333333334</v>
      </c>
      <c r="U58" s="1814"/>
      <c r="V58" s="2090">
        <f t="shared" si="61"/>
        <v>6.2337333333333351</v>
      </c>
      <c r="W58" s="2088">
        <f>$J$58*7</f>
        <v>6.2337333333333333</v>
      </c>
      <c r="X58" s="2091">
        <f t="shared" si="363"/>
        <v>0</v>
      </c>
      <c r="Y58" s="1766"/>
      <c r="Z58" s="2090">
        <f t="shared" ref="Z58:AF58" si="383">IF(Z54&gt;$J$63,$J$58,IF(Z54&lt;$J$63,(IF(Z54&lt;0,0,Z54*$K$58))))</f>
        <v>0.8905333333333334</v>
      </c>
      <c r="AA58" s="2088">
        <f t="shared" si="383"/>
        <v>0.8905333333333334</v>
      </c>
      <c r="AB58" s="2088">
        <f t="shared" si="383"/>
        <v>0.8905333333333334</v>
      </c>
      <c r="AC58" s="2088">
        <f t="shared" si="383"/>
        <v>0</v>
      </c>
      <c r="AD58" s="2088">
        <f t="shared" si="383"/>
        <v>0</v>
      </c>
      <c r="AE58" s="2088">
        <f t="shared" si="383"/>
        <v>0.8905333333333334</v>
      </c>
      <c r="AF58" s="2091">
        <f t="shared" si="383"/>
        <v>0.8905333333333334</v>
      </c>
      <c r="AG58" s="1766"/>
      <c r="AH58" s="2090">
        <f t="shared" si="365"/>
        <v>4.4526666666666674</v>
      </c>
      <c r="AI58" s="2088">
        <f>$J$58*5</f>
        <v>4.4526666666666674</v>
      </c>
      <c r="AJ58" s="2091">
        <f t="shared" si="366"/>
        <v>0</v>
      </c>
      <c r="AK58" s="1766"/>
      <c r="AL58" s="2090">
        <f t="shared" ref="AL58:AR58" si="384">IF(AL54&gt;$J$63,$J$58,IF(AL54&lt;$J$63,(IF(AL54&lt;0,0,AL54*$K$58))))</f>
        <v>0.8905333333333334</v>
      </c>
      <c r="AM58" s="2088">
        <f t="shared" si="384"/>
        <v>0.8905333333333334</v>
      </c>
      <c r="AN58" s="2088">
        <f t="shared" si="384"/>
        <v>0.8905333333333334</v>
      </c>
      <c r="AO58" s="2088">
        <f t="shared" si="384"/>
        <v>0.8905333333333334</v>
      </c>
      <c r="AP58" s="2088">
        <f t="shared" si="384"/>
        <v>0.8905333333333334</v>
      </c>
      <c r="AQ58" s="2088">
        <f t="shared" si="384"/>
        <v>0.8905333333333334</v>
      </c>
      <c r="AR58" s="2091">
        <f t="shared" si="384"/>
        <v>0.8905333333333334</v>
      </c>
      <c r="AS58" s="1814"/>
      <c r="AT58" s="2090">
        <f t="shared" si="368"/>
        <v>6.2337333333333351</v>
      </c>
      <c r="AU58" s="2088">
        <f>$J$58*7</f>
        <v>6.2337333333333333</v>
      </c>
      <c r="AV58" s="2091">
        <f t="shared" si="369"/>
        <v>0</v>
      </c>
      <c r="AW58" s="1814"/>
      <c r="AX58" s="2090">
        <f t="shared" ref="AX58:BD58" si="385">IF(AX54&gt;$J$63,$J$58,IF(AX54&lt;$J$63,(IF(AX54&lt;0,0,AX54*$K$58))))</f>
        <v>0.8905333333333334</v>
      </c>
      <c r="AY58" s="2087">
        <f t="shared" si="385"/>
        <v>0.8905333333333334</v>
      </c>
      <c r="AZ58" s="2087">
        <f t="shared" si="385"/>
        <v>0.8905333333333334</v>
      </c>
      <c r="BA58" s="2088">
        <f t="shared" si="385"/>
        <v>0.8905333333333334</v>
      </c>
      <c r="BB58" s="2088">
        <f t="shared" si="385"/>
        <v>0.8905333333333334</v>
      </c>
      <c r="BC58" s="2088">
        <f t="shared" si="385"/>
        <v>0.8905333333333334</v>
      </c>
      <c r="BD58" s="2091">
        <f t="shared" si="385"/>
        <v>0.8905333333333334</v>
      </c>
      <c r="BE58" s="1814"/>
      <c r="BF58" s="2090">
        <f t="shared" si="371"/>
        <v>6.2337333333333351</v>
      </c>
      <c r="BG58" s="2088">
        <f>$J$58*7</f>
        <v>6.2337333333333333</v>
      </c>
      <c r="BH58" s="2091">
        <f t="shared" si="372"/>
        <v>0</v>
      </c>
      <c r="BI58" s="1814"/>
      <c r="BJ58" s="2090">
        <f t="shared" ref="BJ58:BL58" si="386">IF(BJ54&gt;$J$63,$J$58,IF(BJ54&lt;$J$63,(IF(BJ54&lt;0,0,BJ54*$K$58))))</f>
        <v>0.8905333333333334</v>
      </c>
      <c r="BK58" s="2088">
        <f t="shared" si="386"/>
        <v>0.8905333333333334</v>
      </c>
      <c r="BL58" s="2091">
        <f t="shared" si="386"/>
        <v>0.8905333333333334</v>
      </c>
      <c r="BM58" s="1814"/>
      <c r="BN58" s="2090">
        <f t="shared" si="374"/>
        <v>2.6716000000000002</v>
      </c>
      <c r="BO58" s="2088">
        <f>$J$58*3</f>
        <v>2.6716000000000002</v>
      </c>
      <c r="BP58" s="2091">
        <f t="shared" si="375"/>
        <v>0</v>
      </c>
      <c r="BR58" s="2092"/>
      <c r="BS58" s="2093"/>
      <c r="BT58" s="1740"/>
      <c r="BU58" s="2092">
        <f t="shared" si="376"/>
        <v>25.825466666666674</v>
      </c>
      <c r="BV58" s="2094">
        <f t="shared" si="377"/>
        <v>0.9666666666666669</v>
      </c>
      <c r="BW58" s="2351"/>
      <c r="BX58" s="4550"/>
      <c r="BZ58" s="4609"/>
      <c r="CA58" s="1997"/>
      <c r="CB58" s="2059" t="s">
        <v>158</v>
      </c>
      <c r="CC58" s="2037">
        <f>MAX(100%,CC50)-CC50</f>
        <v>0</v>
      </c>
      <c r="CD58" s="1860"/>
      <c r="CE58" s="1860"/>
      <c r="CF58" s="1860"/>
      <c r="CG58" s="1860"/>
      <c r="CH58" s="1860"/>
      <c r="CI58" s="1998"/>
    </row>
    <row r="59" spans="1:87" s="1885" customFormat="1" x14ac:dyDescent="0.2">
      <c r="A59" s="1947"/>
      <c r="B59" s="2182">
        <v>33</v>
      </c>
      <c r="C59" s="2175" t="s">
        <v>166</v>
      </c>
      <c r="D59" s="2119"/>
      <c r="E59" s="2560">
        <v>25.5</v>
      </c>
      <c r="F59" s="2176">
        <f t="shared" si="378"/>
        <v>2.5499999999999998</v>
      </c>
      <c r="G59" s="2176">
        <f t="shared" si="379"/>
        <v>1.7</v>
      </c>
      <c r="H59" s="2176">
        <f t="shared" si="380"/>
        <v>1.2749999999999999</v>
      </c>
      <c r="I59" s="2176">
        <f t="shared" si="381"/>
        <v>1.02</v>
      </c>
      <c r="J59" s="2176">
        <f t="shared" si="355"/>
        <v>0.85</v>
      </c>
      <c r="K59" s="2177">
        <f t="shared" si="361"/>
        <v>0.10795204389203102</v>
      </c>
      <c r="L59" s="2003"/>
      <c r="M59" s="1950"/>
      <c r="N59" s="2415">
        <f>IF(N54&gt;$J$63,$J$59,IF(N54&lt;$J$63,(IF(N54&lt;0,0,N54*$K$59))))</f>
        <v>0.85</v>
      </c>
      <c r="O59" s="2176">
        <f>IF(O54&gt;$J$63,$J$59,IF(O54&lt;$J$63,(IF(O54&lt;0,0,O54*$K$59))))</f>
        <v>0.85</v>
      </c>
      <c r="P59" s="2170">
        <f t="shared" ref="P59:T59" si="387">IF(P54&gt;$J$63,$J$59,IF(P54&lt;$J$63,(IF(P54&lt;0,0,P54*$K$59))))</f>
        <v>0.85</v>
      </c>
      <c r="Q59" s="2170">
        <f t="shared" si="387"/>
        <v>0.85</v>
      </c>
      <c r="R59" s="2170">
        <f t="shared" si="387"/>
        <v>0.85</v>
      </c>
      <c r="S59" s="2170">
        <f t="shared" si="387"/>
        <v>0.85</v>
      </c>
      <c r="T59" s="2171">
        <f t="shared" si="387"/>
        <v>0.85</v>
      </c>
      <c r="U59" s="1951"/>
      <c r="V59" s="2169">
        <f t="shared" si="61"/>
        <v>5.9499999999999993</v>
      </c>
      <c r="W59" s="2176">
        <f>$J$59*7</f>
        <v>5.95</v>
      </c>
      <c r="X59" s="2171">
        <f t="shared" si="363"/>
        <v>0</v>
      </c>
      <c r="Y59" s="1956"/>
      <c r="Z59" s="2169">
        <f t="shared" ref="Z59:AF59" si="388">IF(Z54&gt;$J$63,$J$59,IF(Z54&lt;$J$63,(IF(Z54&lt;0,0,Z54*$K$59))))</f>
        <v>0.85</v>
      </c>
      <c r="AA59" s="2176">
        <f t="shared" si="388"/>
        <v>0.85</v>
      </c>
      <c r="AB59" s="2176">
        <f t="shared" si="388"/>
        <v>0.85</v>
      </c>
      <c r="AC59" s="2176">
        <f t="shared" si="388"/>
        <v>0</v>
      </c>
      <c r="AD59" s="2176">
        <f t="shared" si="388"/>
        <v>0</v>
      </c>
      <c r="AE59" s="2176">
        <f t="shared" si="388"/>
        <v>0.85</v>
      </c>
      <c r="AF59" s="2171">
        <f t="shared" si="388"/>
        <v>0.85</v>
      </c>
      <c r="AG59" s="1956"/>
      <c r="AH59" s="2169">
        <f t="shared" si="365"/>
        <v>4.25</v>
      </c>
      <c r="AI59" s="2176">
        <f>$J$59*5</f>
        <v>4.25</v>
      </c>
      <c r="AJ59" s="2171">
        <f t="shared" si="366"/>
        <v>0</v>
      </c>
      <c r="AK59" s="1956"/>
      <c r="AL59" s="2169">
        <f t="shared" ref="AL59:AR59" si="389">IF(AL54&gt;$J$63,$J$59,IF(AL54&lt;$J$63,(IF(AL54&lt;0,0,AL54*$K$59))))</f>
        <v>0.85</v>
      </c>
      <c r="AM59" s="2176">
        <f t="shared" si="389"/>
        <v>0.85</v>
      </c>
      <c r="AN59" s="2176">
        <f t="shared" si="389"/>
        <v>0.85</v>
      </c>
      <c r="AO59" s="2176">
        <f t="shared" si="389"/>
        <v>0.85</v>
      </c>
      <c r="AP59" s="2176">
        <f t="shared" si="389"/>
        <v>0.85</v>
      </c>
      <c r="AQ59" s="2176">
        <f t="shared" si="389"/>
        <v>0.85</v>
      </c>
      <c r="AR59" s="2171">
        <f t="shared" si="389"/>
        <v>0.85</v>
      </c>
      <c r="AS59" s="1951"/>
      <c r="AT59" s="2169">
        <f t="shared" si="368"/>
        <v>5.9499999999999993</v>
      </c>
      <c r="AU59" s="2176">
        <f>$J$59*7</f>
        <v>5.95</v>
      </c>
      <c r="AV59" s="2171">
        <f t="shared" si="369"/>
        <v>0</v>
      </c>
      <c r="AW59" s="1951"/>
      <c r="AX59" s="2169">
        <f t="shared" ref="AX59:BD59" si="390">IF(AX54&gt;$J$63,$J$59,IF(AX54&lt;$J$63,(IF(AX54&lt;0,0,AX54*$K$59))))</f>
        <v>0.85</v>
      </c>
      <c r="AY59" s="2170">
        <f t="shared" si="390"/>
        <v>0.85</v>
      </c>
      <c r="AZ59" s="2170">
        <f t="shared" si="390"/>
        <v>0.85</v>
      </c>
      <c r="BA59" s="2176">
        <f t="shared" si="390"/>
        <v>0.85</v>
      </c>
      <c r="BB59" s="2176">
        <f t="shared" si="390"/>
        <v>0.85</v>
      </c>
      <c r="BC59" s="2176">
        <f t="shared" si="390"/>
        <v>0.85</v>
      </c>
      <c r="BD59" s="2171">
        <f t="shared" si="390"/>
        <v>0.85</v>
      </c>
      <c r="BE59" s="1951"/>
      <c r="BF59" s="2169">
        <f t="shared" si="371"/>
        <v>5.9499999999999993</v>
      </c>
      <c r="BG59" s="2176">
        <f>$J$59*7</f>
        <v>5.95</v>
      </c>
      <c r="BH59" s="2171">
        <f t="shared" si="372"/>
        <v>0</v>
      </c>
      <c r="BI59" s="1951"/>
      <c r="BJ59" s="2169">
        <f t="shared" ref="BJ59:BL59" si="391">IF(BJ54&gt;$J$63,$J$59,IF(BJ54&lt;$J$63,(IF(BJ54&lt;0,0,BJ54*$K$59))))</f>
        <v>0.85</v>
      </c>
      <c r="BK59" s="2176">
        <f t="shared" si="391"/>
        <v>0.85</v>
      </c>
      <c r="BL59" s="2171">
        <f t="shared" si="391"/>
        <v>0.85</v>
      </c>
      <c r="BM59" s="1951"/>
      <c r="BN59" s="2169">
        <f t="shared" si="374"/>
        <v>2.5499999999999998</v>
      </c>
      <c r="BO59" s="2176">
        <f>$J$59*3</f>
        <v>2.5499999999999998</v>
      </c>
      <c r="BP59" s="2171">
        <f t="shared" si="375"/>
        <v>0</v>
      </c>
      <c r="BR59" s="2179"/>
      <c r="BS59" s="2180"/>
      <c r="BT59" s="1900"/>
      <c r="BU59" s="2179">
        <f t="shared" si="376"/>
        <v>24.65</v>
      </c>
      <c r="BV59" s="2181">
        <f t="shared" si="377"/>
        <v>0.96666666666666656</v>
      </c>
      <c r="BW59" s="2353"/>
      <c r="BX59" s="4550"/>
      <c r="BZ59" s="4609"/>
      <c r="CA59" s="2475"/>
      <c r="CB59" s="2475"/>
      <c r="CC59" s="1946"/>
      <c r="CD59" s="1946"/>
      <c r="CE59" s="1946"/>
      <c r="CF59" s="1946"/>
      <c r="CG59" s="1946"/>
      <c r="CH59" s="1946"/>
      <c r="CI59" s="2012"/>
    </row>
    <row r="60" spans="1:87" s="1726" customFormat="1" x14ac:dyDescent="0.2">
      <c r="B60" s="2085">
        <v>34</v>
      </c>
      <c r="C60" s="2086" t="s">
        <v>123</v>
      </c>
      <c r="D60" s="2051"/>
      <c r="E60" s="2561">
        <v>25</v>
      </c>
      <c r="F60" s="2088">
        <f t="shared" si="378"/>
        <v>2.5</v>
      </c>
      <c r="G60" s="2088">
        <f t="shared" si="379"/>
        <v>1.6666666666666667</v>
      </c>
      <c r="H60" s="2088">
        <f t="shared" si="380"/>
        <v>1.25</v>
      </c>
      <c r="I60" s="2088">
        <f t="shared" si="381"/>
        <v>1</v>
      </c>
      <c r="J60" s="2088">
        <f t="shared" si="355"/>
        <v>0.83333333333333337</v>
      </c>
      <c r="K60" s="2089">
        <f t="shared" si="361"/>
        <v>0.10583533714905002</v>
      </c>
      <c r="L60" s="1931"/>
      <c r="M60" s="1924"/>
      <c r="N60" s="2284">
        <f>IF(N54&gt;$J$63,$J$60,IF(N54&lt;$J$63,(IF(N54&lt;0,0,N54*$K$60))))</f>
        <v>0.83333333333333337</v>
      </c>
      <c r="O60" s="2088">
        <f>IF(O54&gt;$J$63,$J$60,IF(O54&lt;$J$63,(IF(O54&lt;0,0,O54*$K$60))))</f>
        <v>0.83333333333333337</v>
      </c>
      <c r="P60" s="2087">
        <f t="shared" ref="P60:T60" si="392">IF(P54&gt;$J$63,$J$60,IF(P54&lt;$J$63,(IF(P54&lt;0,0,P54*$K$60))))</f>
        <v>0.83333333333333337</v>
      </c>
      <c r="Q60" s="2087">
        <f t="shared" si="392"/>
        <v>0.83333333333333337</v>
      </c>
      <c r="R60" s="2087">
        <f t="shared" si="392"/>
        <v>0.83333333333333337</v>
      </c>
      <c r="S60" s="2087">
        <f t="shared" si="392"/>
        <v>0.83333333333333337</v>
      </c>
      <c r="T60" s="2091">
        <f t="shared" si="392"/>
        <v>0.83333333333333337</v>
      </c>
      <c r="U60" s="1814"/>
      <c r="V60" s="2090">
        <f t="shared" si="61"/>
        <v>5.833333333333333</v>
      </c>
      <c r="W60" s="2088">
        <f>$J$60*7</f>
        <v>5.8333333333333339</v>
      </c>
      <c r="X60" s="2091">
        <f t="shared" si="363"/>
        <v>0</v>
      </c>
      <c r="Y60" s="1766"/>
      <c r="Z60" s="2090">
        <f t="shared" ref="Z60:AF60" si="393">IF(Z54&gt;$J$63,$J$60,IF(Z54&lt;$J$63,(IF(Z54&lt;0,0,Z54*$K$60))))</f>
        <v>0.83333333333333337</v>
      </c>
      <c r="AA60" s="2088">
        <f t="shared" si="393"/>
        <v>0.83333333333333337</v>
      </c>
      <c r="AB60" s="2088">
        <f t="shared" si="393"/>
        <v>0.83333333333333337</v>
      </c>
      <c r="AC60" s="2088">
        <f t="shared" si="393"/>
        <v>0</v>
      </c>
      <c r="AD60" s="2088">
        <f t="shared" si="393"/>
        <v>0</v>
      </c>
      <c r="AE60" s="2088">
        <f t="shared" si="393"/>
        <v>0.83333333333333337</v>
      </c>
      <c r="AF60" s="2091">
        <f t="shared" si="393"/>
        <v>0.83333333333333337</v>
      </c>
      <c r="AG60" s="1766"/>
      <c r="AH60" s="2090">
        <f t="shared" si="365"/>
        <v>4.166666666666667</v>
      </c>
      <c r="AI60" s="2088">
        <f>$J$60*5</f>
        <v>4.166666666666667</v>
      </c>
      <c r="AJ60" s="2091">
        <f t="shared" si="366"/>
        <v>0</v>
      </c>
      <c r="AK60" s="1766"/>
      <c r="AL60" s="2090">
        <f t="shared" ref="AL60:AR60" si="394">IF(AL54&gt;$J$63,$J$60,IF(AL54&lt;$J$63,(IF(AL54&lt;0,0,AL54*$K$60))))</f>
        <v>0.83333333333333337</v>
      </c>
      <c r="AM60" s="2088">
        <f t="shared" si="394"/>
        <v>0.83333333333333337</v>
      </c>
      <c r="AN60" s="2088">
        <f t="shared" si="394"/>
        <v>0.83333333333333337</v>
      </c>
      <c r="AO60" s="2088">
        <f t="shared" si="394"/>
        <v>0.83333333333333337</v>
      </c>
      <c r="AP60" s="2088">
        <f t="shared" si="394"/>
        <v>0.83333333333333337</v>
      </c>
      <c r="AQ60" s="2088">
        <f t="shared" si="394"/>
        <v>0.83333333333333337</v>
      </c>
      <c r="AR60" s="2091">
        <f t="shared" si="394"/>
        <v>0.83333333333333337</v>
      </c>
      <c r="AS60" s="1814"/>
      <c r="AT60" s="2090">
        <f t="shared" si="368"/>
        <v>5.833333333333333</v>
      </c>
      <c r="AU60" s="2088">
        <f>$J$60*7</f>
        <v>5.8333333333333339</v>
      </c>
      <c r="AV60" s="2091">
        <f t="shared" si="369"/>
        <v>0</v>
      </c>
      <c r="AW60" s="1814"/>
      <c r="AX60" s="2090">
        <f t="shared" ref="AX60:BD60" si="395">IF(AX54&gt;$J$63,$J$60,IF(AX54&lt;$J$63,(IF(AX54&lt;0,0,AX54*$K$60))))</f>
        <v>0.83333333333333337</v>
      </c>
      <c r="AY60" s="2087">
        <f t="shared" si="395"/>
        <v>0.83333333333333337</v>
      </c>
      <c r="AZ60" s="2087">
        <f t="shared" si="395"/>
        <v>0.83333333333333337</v>
      </c>
      <c r="BA60" s="2088">
        <f t="shared" si="395"/>
        <v>0.83333333333333337</v>
      </c>
      <c r="BB60" s="2088">
        <f t="shared" si="395"/>
        <v>0.83333333333333337</v>
      </c>
      <c r="BC60" s="2088">
        <f t="shared" si="395"/>
        <v>0.83333333333333337</v>
      </c>
      <c r="BD60" s="2091">
        <f t="shared" si="395"/>
        <v>0.83333333333333337</v>
      </c>
      <c r="BE60" s="1814"/>
      <c r="BF60" s="2090">
        <f t="shared" si="371"/>
        <v>5.833333333333333</v>
      </c>
      <c r="BG60" s="2088">
        <f>$J$60*7</f>
        <v>5.8333333333333339</v>
      </c>
      <c r="BH60" s="2091">
        <f t="shared" si="372"/>
        <v>0</v>
      </c>
      <c r="BI60" s="1814"/>
      <c r="BJ60" s="2090">
        <f t="shared" ref="BJ60:BL60" si="396">IF(BJ54&gt;$J$63,$J$60,IF(BJ54&lt;$J$63,(IF(BJ54&lt;0,0,BJ54*$K$60))))</f>
        <v>0.83333333333333337</v>
      </c>
      <c r="BK60" s="2088">
        <f t="shared" si="396"/>
        <v>0.83333333333333337</v>
      </c>
      <c r="BL60" s="2091">
        <f t="shared" si="396"/>
        <v>0.83333333333333337</v>
      </c>
      <c r="BM60" s="1814"/>
      <c r="BN60" s="2090">
        <f t="shared" si="374"/>
        <v>2.5</v>
      </c>
      <c r="BO60" s="2088">
        <f>$J$60*3</f>
        <v>2.5</v>
      </c>
      <c r="BP60" s="2091">
        <f t="shared" si="375"/>
        <v>0</v>
      </c>
      <c r="BR60" s="2092"/>
      <c r="BS60" s="2093"/>
      <c r="BT60" s="1740"/>
      <c r="BU60" s="2092">
        <f t="shared" si="376"/>
        <v>24.166666666666664</v>
      </c>
      <c r="BV60" s="2094">
        <f t="shared" si="377"/>
        <v>0.96666666666666656</v>
      </c>
      <c r="BW60" s="2351"/>
      <c r="BX60" s="4550"/>
      <c r="BZ60" s="4609"/>
      <c r="CA60" s="2474"/>
      <c r="CB60" s="2474"/>
      <c r="CC60" s="1860"/>
      <c r="CD60" s="1860"/>
      <c r="CE60" s="1860"/>
      <c r="CF60" s="1860"/>
      <c r="CG60" s="1860"/>
      <c r="CH60" s="1860"/>
      <c r="CI60" s="1998"/>
    </row>
    <row r="61" spans="1:87" s="1885" customFormat="1" ht="17.25" thickBot="1" x14ac:dyDescent="0.25">
      <c r="B61" s="2182">
        <v>35</v>
      </c>
      <c r="C61" s="2417" t="s">
        <v>119</v>
      </c>
      <c r="D61" s="2119"/>
      <c r="E61" s="2562">
        <v>4</v>
      </c>
      <c r="F61" s="2418">
        <f t="shared" si="378"/>
        <v>0.4</v>
      </c>
      <c r="G61" s="2418">
        <f t="shared" si="379"/>
        <v>0.26666666666666666</v>
      </c>
      <c r="H61" s="2418">
        <f t="shared" si="380"/>
        <v>0.2</v>
      </c>
      <c r="I61" s="2418">
        <f t="shared" si="381"/>
        <v>0.16</v>
      </c>
      <c r="J61" s="2418">
        <f t="shared" si="355"/>
        <v>0.13333333333333333</v>
      </c>
      <c r="K61" s="2419">
        <f t="shared" si="361"/>
        <v>1.6933653943848003E-2</v>
      </c>
      <c r="L61" s="2003"/>
      <c r="M61" s="1950"/>
      <c r="N61" s="2415">
        <f>IF(N54&gt;$J$63,$J$61,IF(N54&lt;$J$63,(IF(N54&lt;0,0,N54*$K$61))))</f>
        <v>0.13333333333333333</v>
      </c>
      <c r="O61" s="2176">
        <f>IF(O54&gt;$J$63,$J$61,IF(O54&lt;$J$63,(IF(O54&lt;0,0,O54*$K$61))))</f>
        <v>0.13333333333333333</v>
      </c>
      <c r="P61" s="2170">
        <f t="shared" ref="P61:T61" si="397">IF(P54&gt;$J$63,$J$61,IF(P54&lt;$J$63,(IF(P54&lt;0,0,P54*$K$61))))</f>
        <v>0.13333333333333333</v>
      </c>
      <c r="Q61" s="2170">
        <f t="shared" si="397"/>
        <v>0.13333333333333333</v>
      </c>
      <c r="R61" s="2170">
        <f t="shared" si="397"/>
        <v>0.13333333333333333</v>
      </c>
      <c r="S61" s="2170">
        <f t="shared" si="397"/>
        <v>0.13333333333333333</v>
      </c>
      <c r="T61" s="2171">
        <f t="shared" si="397"/>
        <v>0.13333333333333333</v>
      </c>
      <c r="U61" s="1951"/>
      <c r="V61" s="2169">
        <f>SUM(N61:T61)</f>
        <v>0.93333333333333324</v>
      </c>
      <c r="W61" s="2170">
        <f>$J$61*7</f>
        <v>0.93333333333333335</v>
      </c>
      <c r="X61" s="2178">
        <f t="shared" si="363"/>
        <v>0</v>
      </c>
      <c r="Y61" s="1956"/>
      <c r="Z61" s="2169">
        <f t="shared" ref="Z61:AF61" si="398">IF(Z54&gt;$J$63,$J$61,IF(Z54&lt;$J$63,(IF(Z54&lt;0,0,Z54*$K$61))))</f>
        <v>0.13333333333333333</v>
      </c>
      <c r="AA61" s="2170">
        <f t="shared" si="398"/>
        <v>0.13333333333333333</v>
      </c>
      <c r="AB61" s="2170">
        <f t="shared" si="398"/>
        <v>0.13333333333333333</v>
      </c>
      <c r="AC61" s="2170">
        <f t="shared" si="398"/>
        <v>0</v>
      </c>
      <c r="AD61" s="2170">
        <f t="shared" si="398"/>
        <v>0</v>
      </c>
      <c r="AE61" s="2170">
        <f t="shared" si="398"/>
        <v>0.13333333333333333</v>
      </c>
      <c r="AF61" s="2171">
        <f t="shared" si="398"/>
        <v>0.13333333333333333</v>
      </c>
      <c r="AG61" s="1956"/>
      <c r="AH61" s="2169">
        <f t="shared" si="365"/>
        <v>0.66666666666666663</v>
      </c>
      <c r="AI61" s="2170">
        <f>$J$61*5</f>
        <v>0.66666666666666663</v>
      </c>
      <c r="AJ61" s="2178">
        <f t="shared" si="366"/>
        <v>0</v>
      </c>
      <c r="AK61" s="1956"/>
      <c r="AL61" s="2169">
        <f t="shared" ref="AL61:AR61" si="399">IF(AL54&gt;$J$63,$J$61,IF(AL54&lt;$J$63,(IF(AL54&lt;0,0,AL54*$K$61))))</f>
        <v>0.13333333333333333</v>
      </c>
      <c r="AM61" s="2176">
        <f t="shared" si="399"/>
        <v>0.13333333333333333</v>
      </c>
      <c r="AN61" s="2176">
        <f t="shared" si="399"/>
        <v>0.13333333333333333</v>
      </c>
      <c r="AO61" s="2176">
        <f t="shared" si="399"/>
        <v>0.13333333333333333</v>
      </c>
      <c r="AP61" s="2176">
        <f t="shared" si="399"/>
        <v>0.13333333333333333</v>
      </c>
      <c r="AQ61" s="2176">
        <f t="shared" si="399"/>
        <v>0.13333333333333333</v>
      </c>
      <c r="AR61" s="2171">
        <f t="shared" si="399"/>
        <v>0.13333333333333333</v>
      </c>
      <c r="AS61" s="1951"/>
      <c r="AT61" s="2169">
        <f t="shared" si="368"/>
        <v>0.93333333333333324</v>
      </c>
      <c r="AU61" s="2170">
        <f>$J$61*7</f>
        <v>0.93333333333333335</v>
      </c>
      <c r="AV61" s="2178">
        <f t="shared" si="369"/>
        <v>0</v>
      </c>
      <c r="AW61" s="1951"/>
      <c r="AX61" s="2169">
        <f t="shared" ref="AX61:BD61" si="400">IF(AX54&gt;$J$63,$J$61,IF(AX54&lt;$J$63,(IF(AX54&lt;0,0,AX54*$K$61))))</f>
        <v>0.13333333333333333</v>
      </c>
      <c r="AY61" s="2170">
        <f t="shared" si="400"/>
        <v>0.13333333333333333</v>
      </c>
      <c r="AZ61" s="2170">
        <f t="shared" si="400"/>
        <v>0.13333333333333333</v>
      </c>
      <c r="BA61" s="2176">
        <f t="shared" si="400"/>
        <v>0.13333333333333333</v>
      </c>
      <c r="BB61" s="2176">
        <f t="shared" si="400"/>
        <v>0.13333333333333333</v>
      </c>
      <c r="BC61" s="2176">
        <f t="shared" si="400"/>
        <v>0.13333333333333333</v>
      </c>
      <c r="BD61" s="2171">
        <f t="shared" si="400"/>
        <v>0.13333333333333333</v>
      </c>
      <c r="BE61" s="1951"/>
      <c r="BF61" s="2169">
        <f t="shared" si="371"/>
        <v>0.93333333333333324</v>
      </c>
      <c r="BG61" s="2170">
        <f>$J$61*7</f>
        <v>0.93333333333333335</v>
      </c>
      <c r="BH61" s="2178">
        <f t="shared" si="372"/>
        <v>0</v>
      </c>
      <c r="BI61" s="1951"/>
      <c r="BJ61" s="2169">
        <f t="shared" ref="BJ61:BL61" si="401">IF(BJ54&gt;$J$63,$J$61,IF(BJ54&lt;$J$63,(IF(BJ54&lt;0,0,BJ54*$K$61))))</f>
        <v>0.13333333333333333</v>
      </c>
      <c r="BK61" s="2176">
        <f t="shared" si="401"/>
        <v>0.13333333333333333</v>
      </c>
      <c r="BL61" s="2171">
        <f t="shared" si="401"/>
        <v>0.13333333333333333</v>
      </c>
      <c r="BM61" s="1951"/>
      <c r="BN61" s="2169">
        <f t="shared" si="374"/>
        <v>0.4</v>
      </c>
      <c r="BO61" s="2170">
        <f>$J$61*3</f>
        <v>0.4</v>
      </c>
      <c r="BP61" s="2178">
        <f t="shared" si="375"/>
        <v>0</v>
      </c>
      <c r="BR61" s="2179"/>
      <c r="BS61" s="2180"/>
      <c r="BT61" s="1900"/>
      <c r="BU61" s="2179">
        <f t="shared" si="376"/>
        <v>3.8666666666666663</v>
      </c>
      <c r="BV61" s="2181">
        <f t="shared" si="377"/>
        <v>0.96666666666666656</v>
      </c>
      <c r="BW61" s="2353"/>
      <c r="BX61" s="4550"/>
      <c r="BZ61" s="4609"/>
      <c r="CA61" s="2495"/>
      <c r="CB61" s="2496"/>
      <c r="CC61" s="2496"/>
      <c r="CD61" s="2496"/>
      <c r="CE61" s="2496"/>
      <c r="CF61" s="2496"/>
      <c r="CG61" s="2496"/>
      <c r="CH61" s="2496"/>
      <c r="CI61" s="2497"/>
    </row>
    <row r="62" spans="1:87" s="1726" customFormat="1" ht="17.25" thickBot="1" x14ac:dyDescent="0.25">
      <c r="B62" s="2107">
        <v>36</v>
      </c>
      <c r="C62" s="2108"/>
      <c r="D62" s="2109"/>
      <c r="E62" s="2110">
        <v>0</v>
      </c>
      <c r="F62" s="2111">
        <f t="shared" si="378"/>
        <v>0</v>
      </c>
      <c r="G62" s="2111">
        <f t="shared" si="379"/>
        <v>0</v>
      </c>
      <c r="H62" s="2111">
        <f t="shared" si="380"/>
        <v>0</v>
      </c>
      <c r="I62" s="2111">
        <f t="shared" si="381"/>
        <v>0</v>
      </c>
      <c r="J62" s="2111">
        <f t="shared" si="355"/>
        <v>0</v>
      </c>
      <c r="K62" s="2112">
        <f t="shared" si="361"/>
        <v>0</v>
      </c>
      <c r="L62" s="1931"/>
      <c r="M62" s="1924"/>
      <c r="N62" s="2285">
        <f>IF(N54&gt;$J$63,$J$62,IF(N54&lt;$J$63,(IF(N54&lt;0,0,N54*$K$62))))</f>
        <v>0</v>
      </c>
      <c r="O62" s="2111">
        <f>IF(O54&gt;$J$63,$J$62,IF(O54&lt;$J$63,(IF(O54&lt;0,0,O54*$K$62))))</f>
        <v>0</v>
      </c>
      <c r="P62" s="2110">
        <f t="shared" ref="P62:T62" si="402">IF(P54&gt;$J$63,$J$62,IF(P54&lt;$J$63,(IF(P54&lt;0,0,P54*$K$62))))</f>
        <v>0</v>
      </c>
      <c r="Q62" s="2110">
        <f t="shared" si="402"/>
        <v>0</v>
      </c>
      <c r="R62" s="2110">
        <f t="shared" si="402"/>
        <v>0</v>
      </c>
      <c r="S62" s="2110">
        <f t="shared" si="402"/>
        <v>0</v>
      </c>
      <c r="T62" s="2113">
        <f t="shared" si="402"/>
        <v>0</v>
      </c>
      <c r="U62" s="1814"/>
      <c r="V62" s="2092">
        <f t="shared" ref="V62:V74" si="403">SUM(N62:T62)</f>
        <v>0</v>
      </c>
      <c r="W62" s="2110">
        <f>$J$62*7</f>
        <v>0</v>
      </c>
      <c r="X62" s="2114">
        <f t="shared" si="363"/>
        <v>0</v>
      </c>
      <c r="Y62" s="1766"/>
      <c r="Z62" s="2092">
        <f t="shared" ref="Z62:AF62" si="404">IF(Z54&gt;$J$63,$J$62,IF(Z54&lt;$J$63,(IF(Z54&lt;0,0,Z54*$K$62))))</f>
        <v>0</v>
      </c>
      <c r="AA62" s="2110">
        <f t="shared" si="404"/>
        <v>0</v>
      </c>
      <c r="AB62" s="2110">
        <f t="shared" si="404"/>
        <v>0</v>
      </c>
      <c r="AC62" s="2110">
        <f t="shared" si="404"/>
        <v>0</v>
      </c>
      <c r="AD62" s="2110">
        <f t="shared" si="404"/>
        <v>0</v>
      </c>
      <c r="AE62" s="2110">
        <f t="shared" si="404"/>
        <v>0</v>
      </c>
      <c r="AF62" s="2113">
        <f t="shared" si="404"/>
        <v>0</v>
      </c>
      <c r="AG62" s="1766"/>
      <c r="AH62" s="2092">
        <f t="shared" si="365"/>
        <v>0</v>
      </c>
      <c r="AI62" s="2110">
        <f>$J$62*5</f>
        <v>0</v>
      </c>
      <c r="AJ62" s="2114">
        <f t="shared" si="366"/>
        <v>0</v>
      </c>
      <c r="AK62" s="1766"/>
      <c r="AL62" s="2092">
        <f t="shared" ref="AL62:AR62" si="405">IF(AL54&gt;$J$63,$J$62,IF(AL54&lt;$J$63,(IF(AL54&lt;0,0,AL54*$K$62))))</f>
        <v>0</v>
      </c>
      <c r="AM62" s="2111">
        <f t="shared" si="405"/>
        <v>0</v>
      </c>
      <c r="AN62" s="2111">
        <f t="shared" si="405"/>
        <v>0</v>
      </c>
      <c r="AO62" s="2111">
        <f t="shared" si="405"/>
        <v>0</v>
      </c>
      <c r="AP62" s="2111">
        <f t="shared" si="405"/>
        <v>0</v>
      </c>
      <c r="AQ62" s="2111">
        <f t="shared" si="405"/>
        <v>0</v>
      </c>
      <c r="AR62" s="2113">
        <f t="shared" si="405"/>
        <v>0</v>
      </c>
      <c r="AS62" s="1814"/>
      <c r="AT62" s="2090">
        <f t="shared" si="368"/>
        <v>0</v>
      </c>
      <c r="AU62" s="2087">
        <f>$J$62*7</f>
        <v>0</v>
      </c>
      <c r="AV62" s="2174">
        <f t="shared" si="369"/>
        <v>0</v>
      </c>
      <c r="AW62" s="1814"/>
      <c r="AX62" s="2193">
        <f t="shared" ref="AX62:BD62" si="406">IF(AX54&gt;$J$63,$J$62,IF(AX54&lt;$J$63,(IF(AX54&lt;0,0,AX54*$K$62))))</f>
        <v>0</v>
      </c>
      <c r="AY62" s="2110">
        <f t="shared" si="406"/>
        <v>0</v>
      </c>
      <c r="AZ62" s="2110">
        <f t="shared" si="406"/>
        <v>0</v>
      </c>
      <c r="BA62" s="2111">
        <f t="shared" si="406"/>
        <v>0</v>
      </c>
      <c r="BB62" s="2111">
        <f t="shared" si="406"/>
        <v>0</v>
      </c>
      <c r="BC62" s="2111">
        <f t="shared" si="406"/>
        <v>0</v>
      </c>
      <c r="BD62" s="2113">
        <f t="shared" si="406"/>
        <v>0</v>
      </c>
      <c r="BE62" s="1814"/>
      <c r="BF62" s="2090">
        <f t="shared" si="371"/>
        <v>0</v>
      </c>
      <c r="BG62" s="2087">
        <f>$J$62*7</f>
        <v>0</v>
      </c>
      <c r="BH62" s="2174">
        <f t="shared" si="372"/>
        <v>0</v>
      </c>
      <c r="BI62" s="1814"/>
      <c r="BJ62" s="2092">
        <f t="shared" ref="BJ62:BL62" si="407">IF(BJ54&gt;$J$63,$J$62,IF(BJ54&lt;$J$63,(IF(BJ54&lt;0,0,BJ54*$K$62))))</f>
        <v>0</v>
      </c>
      <c r="BK62" s="2111">
        <f t="shared" si="407"/>
        <v>0</v>
      </c>
      <c r="BL62" s="2113">
        <f t="shared" si="407"/>
        <v>0</v>
      </c>
      <c r="BM62" s="1814"/>
      <c r="BN62" s="2092">
        <f t="shared" si="374"/>
        <v>0</v>
      </c>
      <c r="BO62" s="2110">
        <f>$J$62*3</f>
        <v>0</v>
      </c>
      <c r="BP62" s="2114">
        <f t="shared" si="375"/>
        <v>0</v>
      </c>
      <c r="BR62" s="2092"/>
      <c r="BS62" s="2093"/>
      <c r="BT62" s="1740"/>
      <c r="BU62" s="2092">
        <f t="shared" si="376"/>
        <v>0</v>
      </c>
      <c r="BV62" s="2094" t="e">
        <f t="shared" si="377"/>
        <v>#DIV/0!</v>
      </c>
      <c r="BW62" s="2351"/>
      <c r="BX62" s="4550"/>
      <c r="BZ62" s="4610"/>
      <c r="CA62" s="2115"/>
      <c r="CB62" s="2116"/>
      <c r="CC62" s="2116"/>
      <c r="CD62" s="2116"/>
      <c r="CE62" s="2116"/>
      <c r="CF62" s="2116"/>
      <c r="CG62" s="2116"/>
      <c r="CH62" s="2116"/>
      <c r="CI62" s="2116"/>
    </row>
    <row r="63" spans="1:87" s="1885" customFormat="1" ht="17.25" thickBot="1" x14ac:dyDescent="0.25">
      <c r="B63" s="2117"/>
      <c r="C63" s="2118" t="s">
        <v>192</v>
      </c>
      <c r="D63" s="2119"/>
      <c r="E63" s="2120">
        <f>SUM(E56:E62)</f>
        <v>236.21600000000001</v>
      </c>
      <c r="F63" s="2121"/>
      <c r="G63" s="2121"/>
      <c r="H63" s="2121"/>
      <c r="I63" s="2121"/>
      <c r="J63" s="2121">
        <f t="shared" ref="J63:K63" si="408">SUM(J56:J62)</f>
        <v>7.8738666666666663</v>
      </c>
      <c r="K63" s="2122">
        <f t="shared" si="408"/>
        <v>1</v>
      </c>
      <c r="L63" s="2003"/>
      <c r="M63" s="1950"/>
      <c r="N63" s="2286">
        <f>SUM(N56:N62)</f>
        <v>7.8738666666666663</v>
      </c>
      <c r="O63" s="2121">
        <f>SUM(O56:O62)</f>
        <v>7.8738666666666663</v>
      </c>
      <c r="P63" s="2123">
        <f t="shared" ref="P63:S63" si="409">SUM(P56:P62)</f>
        <v>7.8738666666666663</v>
      </c>
      <c r="Q63" s="2123">
        <f t="shared" si="409"/>
        <v>7.8738666666666663</v>
      </c>
      <c r="R63" s="2123">
        <f t="shared" si="409"/>
        <v>7.8738666666666663</v>
      </c>
      <c r="S63" s="2123">
        <f t="shared" si="409"/>
        <v>7.8738666666666663</v>
      </c>
      <c r="T63" s="2124">
        <f>SUM(T56:T62)</f>
        <v>7.8738666666666663</v>
      </c>
      <c r="U63" s="1951"/>
      <c r="V63" s="2120">
        <f>SUM(V56:V62)</f>
        <v>55.117066666666659</v>
      </c>
      <c r="W63" s="2123">
        <f t="shared" ref="W63" si="410">SUM(W56:W62)</f>
        <v>55.117066666666666</v>
      </c>
      <c r="X63" s="2125">
        <f>SUM(X56:X62)</f>
        <v>0</v>
      </c>
      <c r="Y63" s="1956"/>
      <c r="Z63" s="2120">
        <f t="shared" ref="Z63:AF63" si="411">SUM(Z56:Z62)</f>
        <v>7.8738666666666663</v>
      </c>
      <c r="AA63" s="2123">
        <f t="shared" si="411"/>
        <v>7.8738666666666663</v>
      </c>
      <c r="AB63" s="2123">
        <f t="shared" si="411"/>
        <v>7.8738666666666663</v>
      </c>
      <c r="AC63" s="2123">
        <f t="shared" si="411"/>
        <v>0</v>
      </c>
      <c r="AD63" s="2123">
        <f t="shared" si="411"/>
        <v>0</v>
      </c>
      <c r="AE63" s="2123">
        <f t="shared" si="411"/>
        <v>7.8738666666666663</v>
      </c>
      <c r="AF63" s="2124">
        <f t="shared" si="411"/>
        <v>7.8738666666666663</v>
      </c>
      <c r="AG63" s="1956"/>
      <c r="AH63" s="2120">
        <f>SUM(AH56:AH62)</f>
        <v>39.36933333333333</v>
      </c>
      <c r="AI63" s="2123">
        <f>SUM(AI56:AI62)</f>
        <v>39.36933333333333</v>
      </c>
      <c r="AJ63" s="2125">
        <f>SUM(AJ56:AJ62)</f>
        <v>0</v>
      </c>
      <c r="AK63" s="1956"/>
      <c r="AL63" s="2120">
        <f t="shared" ref="AL63:AR63" si="412">SUM(AL56:AL62)</f>
        <v>7.8738666666666663</v>
      </c>
      <c r="AM63" s="2121">
        <f t="shared" si="412"/>
        <v>7.8738666666666663</v>
      </c>
      <c r="AN63" s="2121">
        <f t="shared" si="412"/>
        <v>7.8738666666666663</v>
      </c>
      <c r="AO63" s="2121">
        <f t="shared" si="412"/>
        <v>7.8738666666666663</v>
      </c>
      <c r="AP63" s="2121">
        <f t="shared" si="412"/>
        <v>7.8738666666666663</v>
      </c>
      <c r="AQ63" s="2121">
        <f t="shared" si="412"/>
        <v>7.8738666666666663</v>
      </c>
      <c r="AR63" s="2124">
        <f t="shared" si="412"/>
        <v>7.8738666666666663</v>
      </c>
      <c r="AS63" s="1951"/>
      <c r="AT63" s="2120">
        <f>SUM(AT56:AT62)</f>
        <v>55.117066666666659</v>
      </c>
      <c r="AU63" s="2123">
        <f>SUM(AU56:AU62)</f>
        <v>55.117066666666666</v>
      </c>
      <c r="AV63" s="2125">
        <f>SUM(AV56:AV62)</f>
        <v>0</v>
      </c>
      <c r="AW63" s="1951"/>
      <c r="AX63" s="2120">
        <f t="shared" ref="AX63:BD63" si="413">SUM(AX56:AX62)</f>
        <v>7.8738666666666663</v>
      </c>
      <c r="AY63" s="2123">
        <f t="shared" si="413"/>
        <v>7.8738666666666663</v>
      </c>
      <c r="AZ63" s="2123">
        <f t="shared" si="413"/>
        <v>7.8738666666666663</v>
      </c>
      <c r="BA63" s="2121">
        <f t="shared" si="413"/>
        <v>7.8738666666666663</v>
      </c>
      <c r="BB63" s="2121">
        <f t="shared" si="413"/>
        <v>7.8738666666666663</v>
      </c>
      <c r="BC63" s="2121">
        <f t="shared" si="413"/>
        <v>7.8738666666666663</v>
      </c>
      <c r="BD63" s="2124">
        <f t="shared" si="413"/>
        <v>7.8738666666666663</v>
      </c>
      <c r="BE63" s="1951"/>
      <c r="BF63" s="2120">
        <f>SUM(BF56:BF62)</f>
        <v>55.117066666666659</v>
      </c>
      <c r="BG63" s="2123">
        <f>SUM(BG56:BG62)</f>
        <v>55.117066666666666</v>
      </c>
      <c r="BH63" s="2125">
        <f>SUM(BH56:BH62)</f>
        <v>0</v>
      </c>
      <c r="BI63" s="1951"/>
      <c r="BJ63" s="2120">
        <f>SUM(BJ56:BJ62)</f>
        <v>7.8738666666666663</v>
      </c>
      <c r="BK63" s="2121">
        <f t="shared" ref="BK63:BL63" si="414">SUM(BK56:BK62)</f>
        <v>7.8738666666666663</v>
      </c>
      <c r="BL63" s="2124">
        <f t="shared" si="414"/>
        <v>7.8738666666666663</v>
      </c>
      <c r="BM63" s="1951"/>
      <c r="BN63" s="2120">
        <f>SUM(BN56:BN62)</f>
        <v>23.621600000000001</v>
      </c>
      <c r="BO63" s="2123">
        <f>SUM(BO56:BO62)</f>
        <v>23.621600000000001</v>
      </c>
      <c r="BP63" s="2125">
        <f>SUM(BP56:BP62)</f>
        <v>0</v>
      </c>
      <c r="BR63" s="2120">
        <f>X63+AJ63+AV63</f>
        <v>0</v>
      </c>
      <c r="BS63" s="2129"/>
      <c r="BT63" s="1900"/>
      <c r="BU63" s="2120">
        <f>SUM(BU56:BU62)</f>
        <v>228.34213333333332</v>
      </c>
      <c r="BV63" s="2130">
        <f>BU63/E63</f>
        <v>0.96666666666666656</v>
      </c>
      <c r="BW63" s="2353"/>
      <c r="BX63" s="4551"/>
      <c r="BZ63" s="4610"/>
      <c r="CA63" s="2475"/>
      <c r="CB63" s="1946"/>
      <c r="CC63" s="1946"/>
      <c r="CD63" s="1946"/>
      <c r="CE63" s="1946"/>
      <c r="CF63" s="1946"/>
      <c r="CG63" s="1946"/>
      <c r="CH63" s="1946"/>
      <c r="CI63" s="1946"/>
    </row>
    <row r="64" spans="1:87" s="1906" customFormat="1" ht="4.5" customHeight="1" thickBot="1" x14ac:dyDescent="0.25">
      <c r="B64" s="1960"/>
      <c r="C64" s="1960"/>
      <c r="D64" s="1960"/>
      <c r="E64" s="1951"/>
      <c r="F64" s="1951"/>
      <c r="G64" s="1951"/>
      <c r="H64" s="1951"/>
      <c r="I64" s="1951"/>
      <c r="J64" s="1951"/>
      <c r="K64" s="2339"/>
      <c r="L64" s="1950"/>
      <c r="M64" s="1950"/>
      <c r="N64" s="2477"/>
      <c r="O64" s="2477"/>
      <c r="P64" s="2477"/>
      <c r="Q64" s="2477"/>
      <c r="R64" s="2477"/>
      <c r="S64" s="2477"/>
      <c r="T64" s="2477"/>
      <c r="U64" s="1951"/>
      <c r="V64" s="1951"/>
      <c r="W64" s="1951"/>
      <c r="X64" s="1951"/>
      <c r="Y64" s="1956"/>
      <c r="Z64" s="2477"/>
      <c r="AA64" s="2477"/>
      <c r="AB64" s="2477"/>
      <c r="AC64" s="2477"/>
      <c r="AD64" s="2477"/>
      <c r="AE64" s="2477"/>
      <c r="AF64" s="2477"/>
      <c r="AG64" s="1956"/>
      <c r="AH64" s="1951"/>
      <c r="AI64" s="1951"/>
      <c r="AJ64" s="1951"/>
      <c r="AK64" s="1956"/>
      <c r="AL64" s="2477"/>
      <c r="AM64" s="2477"/>
      <c r="AN64" s="2477"/>
      <c r="AO64" s="2477"/>
      <c r="AP64" s="2477"/>
      <c r="AQ64" s="2477"/>
      <c r="AR64" s="2477"/>
      <c r="AS64" s="1951"/>
      <c r="AT64" s="2421"/>
      <c r="AU64" s="2421"/>
      <c r="AV64" s="2421"/>
      <c r="AW64" s="1951"/>
      <c r="AX64" s="2392"/>
      <c r="AY64" s="2392"/>
      <c r="AZ64" s="2392"/>
      <c r="BA64" s="2392"/>
      <c r="BB64" s="2392"/>
      <c r="BC64" s="2392"/>
      <c r="BD64" s="2392"/>
      <c r="BE64" s="1951"/>
      <c r="BF64" s="2421"/>
      <c r="BG64" s="2421"/>
      <c r="BH64" s="2421"/>
      <c r="BI64" s="1951"/>
      <c r="BJ64" s="2477"/>
      <c r="BK64" s="2477"/>
      <c r="BL64" s="2477"/>
      <c r="BM64" s="1951"/>
      <c r="BN64" s="1951"/>
      <c r="BO64" s="1951"/>
      <c r="BP64" s="1951"/>
      <c r="BR64" s="1951"/>
      <c r="BS64" s="2422"/>
      <c r="BT64" s="1960"/>
      <c r="BU64" s="1951"/>
      <c r="BV64" s="1962"/>
      <c r="BW64" s="1962"/>
      <c r="BX64" s="2423"/>
      <c r="CA64" s="1905"/>
    </row>
    <row r="65" spans="1:87" s="1810" customFormat="1" ht="17.25" thickBot="1" x14ac:dyDescent="0.25">
      <c r="B65" s="1817"/>
      <c r="C65" s="1817" t="s">
        <v>193</v>
      </c>
      <c r="D65" s="1817"/>
      <c r="E65" s="2134">
        <f>K7-E63</f>
        <v>0.39900000000008617</v>
      </c>
      <c r="F65" s="1814"/>
      <c r="G65" s="1814"/>
      <c r="H65" s="1814"/>
      <c r="I65" s="1814"/>
      <c r="J65" s="1814"/>
      <c r="K65" s="2131"/>
      <c r="L65" s="1931"/>
      <c r="M65" s="1924"/>
      <c r="N65" s="2056">
        <f>N54-N63</f>
        <v>19.869318518518526</v>
      </c>
      <c r="O65" s="2052">
        <f t="shared" ref="O65:T65" si="415">O54-O63</f>
        <v>14.164651851851852</v>
      </c>
      <c r="P65" s="2052">
        <f t="shared" si="415"/>
        <v>12.435985185185194</v>
      </c>
      <c r="Q65" s="2052">
        <f t="shared" si="415"/>
        <v>11.345985185185191</v>
      </c>
      <c r="R65" s="2052">
        <f t="shared" si="415"/>
        <v>11.390985185185192</v>
      </c>
      <c r="S65" s="2052">
        <f t="shared" si="415"/>
        <v>37.545985185185195</v>
      </c>
      <c r="T65" s="2057">
        <f t="shared" si="415"/>
        <v>35.806385185185185</v>
      </c>
      <c r="U65" s="1814"/>
      <c r="V65" s="1814"/>
      <c r="W65" s="1814"/>
      <c r="X65" s="1814"/>
      <c r="Y65" s="1766"/>
      <c r="Z65" s="2056">
        <f t="shared" ref="Z65:AF65" si="416">Z54-Z63</f>
        <v>51.105185185185185</v>
      </c>
      <c r="AA65" s="2052">
        <f t="shared" si="416"/>
        <v>80.216485185185178</v>
      </c>
      <c r="AB65" s="2052">
        <f t="shared" si="416"/>
        <v>154.97098518518519</v>
      </c>
      <c r="AC65" s="2052">
        <f t="shared" si="416"/>
        <v>0</v>
      </c>
      <c r="AD65" s="2052">
        <f t="shared" si="416"/>
        <v>-1.3401481481481454</v>
      </c>
      <c r="AE65" s="2052">
        <f t="shared" si="416"/>
        <v>19.337985185185183</v>
      </c>
      <c r="AF65" s="2057">
        <f t="shared" si="416"/>
        <v>15.870985185185189</v>
      </c>
      <c r="AG65" s="1766"/>
      <c r="AH65" s="1814"/>
      <c r="AI65" s="1814"/>
      <c r="AJ65" s="1814"/>
      <c r="AK65" s="1766"/>
      <c r="AL65" s="2056">
        <f t="shared" ref="AL65:AR65" si="417">AL54-AL63</f>
        <v>57.821985185185163</v>
      </c>
      <c r="AM65" s="2052">
        <f t="shared" si="417"/>
        <v>8.497985185185188</v>
      </c>
      <c r="AN65" s="2052">
        <f t="shared" si="417"/>
        <v>43.215985185185197</v>
      </c>
      <c r="AO65" s="2052">
        <f t="shared" si="417"/>
        <v>20.740985185185188</v>
      </c>
      <c r="AP65" s="2052">
        <f t="shared" si="417"/>
        <v>36.363985185185193</v>
      </c>
      <c r="AQ65" s="2052">
        <f t="shared" si="417"/>
        <v>17.701985185185187</v>
      </c>
      <c r="AR65" s="2057">
        <f t="shared" si="417"/>
        <v>1.3907851851851785</v>
      </c>
      <c r="AS65" s="1814"/>
      <c r="AT65" s="1814"/>
      <c r="AU65" s="1814"/>
      <c r="AV65" s="1814"/>
      <c r="AW65" s="1814"/>
      <c r="AX65" s="2056">
        <f t="shared" ref="AX65:BD65" si="418">AX54-AX63</f>
        <v>10.410785185185189</v>
      </c>
      <c r="AY65" s="2052">
        <f t="shared" si="418"/>
        <v>20.970485185185183</v>
      </c>
      <c r="AZ65" s="2052">
        <f t="shared" si="418"/>
        <v>73.83098518518517</v>
      </c>
      <c r="BA65" s="2052">
        <f>BA54-BA63</f>
        <v>8.6409851851851922</v>
      </c>
      <c r="BB65" s="2052">
        <f t="shared" si="418"/>
        <v>38.590985185185183</v>
      </c>
      <c r="BC65" s="2052">
        <f t="shared" si="418"/>
        <v>24.684185185185179</v>
      </c>
      <c r="BD65" s="2057">
        <f t="shared" si="418"/>
        <v>7.6159851851851865</v>
      </c>
      <c r="BE65" s="1814"/>
      <c r="BF65" s="1814"/>
      <c r="BG65" s="1814"/>
      <c r="BH65" s="1814"/>
      <c r="BI65" s="1814"/>
      <c r="BJ65" s="2056">
        <f>BJ54-BJ63</f>
        <v>18.555785185185186</v>
      </c>
      <c r="BK65" s="2052">
        <f t="shared" ref="BK65:BL65" si="419">BK54-BK63</f>
        <v>28.392985185185189</v>
      </c>
      <c r="BL65" s="2057">
        <f t="shared" si="419"/>
        <v>21.96748518518519</v>
      </c>
      <c r="BM65" s="1814"/>
      <c r="BN65" s="1814"/>
      <c r="BO65" s="1814"/>
      <c r="BP65" s="1814"/>
      <c r="BR65" s="1735"/>
      <c r="BS65" s="2135"/>
      <c r="BT65" s="1817"/>
      <c r="BU65" s="1735"/>
      <c r="BV65" s="1768"/>
      <c r="BW65" s="1830"/>
      <c r="BX65" s="2502"/>
      <c r="CA65" s="1761"/>
    </row>
    <row r="66" spans="1:87" s="1906" customFormat="1" ht="4.5" customHeight="1" thickBot="1" x14ac:dyDescent="0.25">
      <c r="B66" s="1960"/>
      <c r="C66" s="1960"/>
      <c r="D66" s="1960"/>
      <c r="E66" s="1951"/>
      <c r="F66" s="1951"/>
      <c r="G66" s="1951"/>
      <c r="H66" s="1951"/>
      <c r="I66" s="1951"/>
      <c r="J66" s="1951"/>
      <c r="K66" s="2339"/>
      <c r="L66" s="1950"/>
      <c r="M66" s="1950"/>
      <c r="N66" s="2421"/>
      <c r="O66" s="2421"/>
      <c r="P66" s="2421"/>
      <c r="Q66" s="2421"/>
      <c r="R66" s="2421"/>
      <c r="S66" s="2421"/>
      <c r="T66" s="2421"/>
      <c r="U66" s="1951"/>
      <c r="V66" s="1951"/>
      <c r="W66" s="1951"/>
      <c r="X66" s="1951"/>
      <c r="Y66" s="1956"/>
      <c r="Z66" s="2392"/>
      <c r="AA66" s="2392"/>
      <c r="AB66" s="2392"/>
      <c r="AC66" s="2392"/>
      <c r="AD66" s="2392"/>
      <c r="AE66" s="2392"/>
      <c r="AF66" s="2392"/>
      <c r="AG66" s="1956"/>
      <c r="AH66" s="1951"/>
      <c r="AI66" s="1951"/>
      <c r="AJ66" s="1951"/>
      <c r="AK66" s="1956"/>
      <c r="AL66" s="2421"/>
      <c r="AM66" s="2421"/>
      <c r="AN66" s="2421"/>
      <c r="AO66" s="2421"/>
      <c r="AP66" s="2421"/>
      <c r="AQ66" s="2421"/>
      <c r="AR66" s="2421"/>
      <c r="AS66" s="1951"/>
      <c r="AT66" s="1951"/>
      <c r="AU66" s="1951"/>
      <c r="AV66" s="1951"/>
      <c r="AW66" s="1951"/>
      <c r="AX66" s="2421"/>
      <c r="AY66" s="2421"/>
      <c r="AZ66" s="2421"/>
      <c r="BA66" s="2421"/>
      <c r="BB66" s="2421"/>
      <c r="BC66" s="2421"/>
      <c r="BD66" s="2421"/>
      <c r="BE66" s="1951"/>
      <c r="BF66" s="1951"/>
      <c r="BG66" s="1951"/>
      <c r="BH66" s="1951"/>
      <c r="BI66" s="1951"/>
      <c r="BJ66" s="2421"/>
      <c r="BK66" s="2421"/>
      <c r="BL66" s="2421"/>
      <c r="BM66" s="1951"/>
      <c r="BN66" s="1951"/>
      <c r="BO66" s="1951"/>
      <c r="BP66" s="1951"/>
      <c r="BR66" s="2421"/>
      <c r="BS66" s="2424"/>
      <c r="BT66" s="1960"/>
      <c r="BU66" s="2421"/>
      <c r="BV66" s="2425"/>
      <c r="BW66" s="1962"/>
      <c r="BX66" s="2426"/>
      <c r="CA66" s="1905"/>
    </row>
    <row r="67" spans="1:87" s="1900" customFormat="1" ht="15.75" x14ac:dyDescent="0.2">
      <c r="A67" s="2464"/>
      <c r="B67" s="2280">
        <v>37</v>
      </c>
      <c r="C67" s="2405" t="s">
        <v>132</v>
      </c>
      <c r="D67" s="1960"/>
      <c r="E67" s="2410">
        <v>465</v>
      </c>
      <c r="F67" s="2406">
        <f>E67/10</f>
        <v>46.5</v>
      </c>
      <c r="G67" s="2406">
        <f>E67/15</f>
        <v>31</v>
      </c>
      <c r="H67" s="2406">
        <f>E67/20</f>
        <v>23.25</v>
      </c>
      <c r="I67" s="2406">
        <f>E67/25</f>
        <v>18.600000000000001</v>
      </c>
      <c r="J67" s="2406">
        <f t="shared" ref="J67:J75" si="420">E67/30</f>
        <v>15.5</v>
      </c>
      <c r="K67" s="2407">
        <f t="shared" ref="K67:K75" si="421">E67/$E$76</f>
        <v>0.23556231003039513</v>
      </c>
      <c r="L67" s="2468"/>
      <c r="M67" s="2339"/>
      <c r="N67" s="2410">
        <f t="shared" ref="N67:T67" si="422">IF(N65&gt;$J$76,$J$67,IF(N65&lt;$J$76,(IF(N65&lt;0,0,N65*$K$67))))</f>
        <v>4.6804625689519321</v>
      </c>
      <c r="O67" s="2406">
        <f t="shared" si="422"/>
        <v>3.3366581109985365</v>
      </c>
      <c r="P67" s="2406">
        <f t="shared" si="422"/>
        <v>2.9294493977259952</v>
      </c>
      <c r="Q67" s="2406">
        <f t="shared" si="422"/>
        <v>2.6726864797928638</v>
      </c>
      <c r="R67" s="2406">
        <f t="shared" si="422"/>
        <v>2.683286783744232</v>
      </c>
      <c r="S67" s="2406">
        <f t="shared" si="422"/>
        <v>8.844419002589218</v>
      </c>
      <c r="T67" s="2409">
        <f t="shared" si="422"/>
        <v>8.4346348080603395</v>
      </c>
      <c r="U67" s="1951"/>
      <c r="V67" s="2410">
        <f t="shared" si="403"/>
        <v>33.581597151863114</v>
      </c>
      <c r="W67" s="2408">
        <f>$J$67*7</f>
        <v>108.5</v>
      </c>
      <c r="X67" s="2411">
        <f t="shared" si="363"/>
        <v>-74.918402848136878</v>
      </c>
      <c r="Y67" s="1951"/>
      <c r="Z67" s="2169">
        <f t="shared" ref="Z67:AF67" si="423">IF(Z65&gt;$J$76,$J$67,IF(Z65&lt;$J$76,(IF(Z65&lt;0,0,Z65*$K$67))))</f>
        <v>12.038455476753349</v>
      </c>
      <c r="AA67" s="2170">
        <f t="shared" si="423"/>
        <v>15.5</v>
      </c>
      <c r="AB67" s="2170">
        <f t="shared" si="423"/>
        <v>15.5</v>
      </c>
      <c r="AC67" s="2170">
        <f t="shared" si="423"/>
        <v>0</v>
      </c>
      <c r="AD67" s="2170">
        <f t="shared" si="423"/>
        <v>0</v>
      </c>
      <c r="AE67" s="2170">
        <f t="shared" si="423"/>
        <v>4.5553004615557802</v>
      </c>
      <c r="AF67" s="2171">
        <f t="shared" si="423"/>
        <v>3.7386059326804015</v>
      </c>
      <c r="AG67" s="1951"/>
      <c r="AH67" s="2410">
        <f t="shared" si="365"/>
        <v>51.33236187098953</v>
      </c>
      <c r="AI67" s="2408">
        <f>$J$67*6</f>
        <v>93</v>
      </c>
      <c r="AJ67" s="2411">
        <f>AH67-AI67</f>
        <v>-41.66763812901047</v>
      </c>
      <c r="AK67" s="1951"/>
      <c r="AL67" s="2410">
        <f t="shared" ref="AL67:AR67" si="424">IF(AL65&gt;$J$76,$J$67,IF(AL65&lt;$J$76,(IF(AL65&lt;0,0,AL65*$K$67))))</f>
        <v>13.620680400765501</v>
      </c>
      <c r="AM67" s="2406">
        <f t="shared" si="424"/>
        <v>2.0018050208262981</v>
      </c>
      <c r="AN67" s="2406">
        <f t="shared" si="424"/>
        <v>10.180057300461558</v>
      </c>
      <c r="AO67" s="2406">
        <f t="shared" si="424"/>
        <v>4.8857943825284256</v>
      </c>
      <c r="AP67" s="2406">
        <f t="shared" si="424"/>
        <v>8.5659843521332899</v>
      </c>
      <c r="AQ67" s="2406">
        <f t="shared" si="424"/>
        <v>4.1699205223460547</v>
      </c>
      <c r="AR67" s="2409">
        <f t="shared" si="424"/>
        <v>0.32761657097827152</v>
      </c>
      <c r="AS67" s="1951"/>
      <c r="AT67" s="2410">
        <f>SUM(AL67:AR67)</f>
        <v>43.751858550039401</v>
      </c>
      <c r="AU67" s="2408">
        <f>$J$67*7</f>
        <v>108.5</v>
      </c>
      <c r="AV67" s="2411">
        <f>AT67-AU67</f>
        <v>-64.748141449960599</v>
      </c>
      <c r="AW67" s="1951"/>
      <c r="AX67" s="2410">
        <f t="shared" ref="AX67:BD67" si="425">IF(AX65&gt;$J$76,$J$67,IF(AX65&lt;$J$76,(IF(AX65&lt;0,0,AX65*$K$67))))</f>
        <v>2.4523886074524381</v>
      </c>
      <c r="AY67" s="2498">
        <f t="shared" si="425"/>
        <v>4.9398559326804001</v>
      </c>
      <c r="AZ67" s="2498">
        <f t="shared" si="425"/>
        <v>15.5</v>
      </c>
      <c r="BA67" s="2406">
        <f t="shared" si="425"/>
        <v>2.0354904311606457</v>
      </c>
      <c r="BB67" s="2406">
        <f t="shared" si="425"/>
        <v>9.0905816165709776</v>
      </c>
      <c r="BC67" s="2406">
        <f t="shared" si="425"/>
        <v>5.8146636834402772</v>
      </c>
      <c r="BD67" s="2409">
        <f t="shared" si="425"/>
        <v>1.7940390633794892</v>
      </c>
      <c r="BE67" s="1951"/>
      <c r="BF67" s="2410">
        <f t="shared" ref="BF67:BF75" si="426">SUM(AX67:BD67)</f>
        <v>41.627019334684228</v>
      </c>
      <c r="BG67" s="2408">
        <f>$J$67*7</f>
        <v>108.5</v>
      </c>
      <c r="BH67" s="2411">
        <f t="shared" ref="BH67:BH75" si="427">BF67-BG67</f>
        <v>-66.872980665315765</v>
      </c>
      <c r="BI67" s="1951"/>
      <c r="BJ67" s="2410">
        <f>IF(BJ65&gt;$J$76,$J$67,IF(BJ65&lt;$J$76,(IF(BJ65&lt;0,0,BJ65*$K$67))))</f>
        <v>4.3710436226500056</v>
      </c>
      <c r="BK67" s="2498">
        <f>IF(BK65&gt;$J$76,$J$67,IF(BK65&lt;$J$76,(IF(BK65&lt;0,0,BK65*$K$67))))</f>
        <v>6.6883171788810092</v>
      </c>
      <c r="BL67" s="2411">
        <f>IF(BL65&gt;$J$76,$J$67,IF(BL65&lt;$J$76,(IF(BL65&lt;0,0,BL65*$K$67))))</f>
        <v>5.1747115557807053</v>
      </c>
      <c r="BM67" s="1951"/>
      <c r="BN67" s="2410">
        <f>SUM(BJ67:BL67)</f>
        <v>16.234072357311717</v>
      </c>
      <c r="BO67" s="2408">
        <f>$J$67*3</f>
        <v>46.5</v>
      </c>
      <c r="BP67" s="2411">
        <f t="shared" ref="BP67:BP75" si="428">BN67-BO67</f>
        <v>-30.265927642688283</v>
      </c>
      <c r="BR67" s="2410"/>
      <c r="BS67" s="2412"/>
      <c r="BU67" s="2410">
        <f>SUM(N67:T67)+SUM(Z67:AF67)+SUM(AL67:AR67)+SUM(AX67:BD67)+SUM(BJ67:BL67)</f>
        <v>186.52690926488799</v>
      </c>
      <c r="BV67" s="2413">
        <f>BU67/E67</f>
        <v>0.40113313820406021</v>
      </c>
      <c r="BW67" s="2353"/>
      <c r="BX67" s="4549">
        <f>BV76-BU1</f>
        <v>-0.59886686179593984</v>
      </c>
      <c r="CA67" s="2010"/>
      <c r="CB67" s="2011"/>
      <c r="CC67" s="2011"/>
      <c r="CD67" s="2011"/>
      <c r="CE67" s="2011"/>
      <c r="CF67" s="2011"/>
      <c r="CG67" s="2011"/>
      <c r="CH67" s="2011"/>
      <c r="CI67" s="2011"/>
    </row>
    <row r="68" spans="1:87" s="1740" customFormat="1" ht="15.75" x14ac:dyDescent="0.2">
      <c r="A68" s="2466"/>
      <c r="B68" s="2151">
        <v>38</v>
      </c>
      <c r="C68" s="2152" t="s">
        <v>232</v>
      </c>
      <c r="D68" s="1817"/>
      <c r="E68" s="2153">
        <v>450</v>
      </c>
      <c r="F68" s="2154">
        <f>E68/10</f>
        <v>45</v>
      </c>
      <c r="G68" s="2154">
        <f>E68/15</f>
        <v>30</v>
      </c>
      <c r="H68" s="2154">
        <f>E68/20</f>
        <v>22.5</v>
      </c>
      <c r="I68" s="2154">
        <f>E68/25</f>
        <v>18</v>
      </c>
      <c r="J68" s="2154">
        <f t="shared" si="420"/>
        <v>15</v>
      </c>
      <c r="K68" s="2155">
        <f t="shared" si="421"/>
        <v>0.22796352583586627</v>
      </c>
      <c r="L68" s="2465"/>
      <c r="M68" s="2131"/>
      <c r="N68" s="2153">
        <f t="shared" ref="N68:T68" si="429">IF(N65&gt;$J$76,$J$68,IF(N65&lt;$J$76,(IF(N65&lt;0,0,N65*$K$68))))</f>
        <v>4.5294799054373538</v>
      </c>
      <c r="O68" s="2154">
        <f t="shared" si="429"/>
        <v>3.2290239783856807</v>
      </c>
      <c r="P68" s="2154">
        <f t="shared" si="429"/>
        <v>2.834951030057415</v>
      </c>
      <c r="Q68" s="2154">
        <f t="shared" si="429"/>
        <v>2.5864707868963199</v>
      </c>
      <c r="R68" s="2154">
        <f t="shared" si="429"/>
        <v>2.5967291455589345</v>
      </c>
      <c r="S68" s="2154">
        <f t="shared" si="429"/>
        <v>8.559115163796017</v>
      </c>
      <c r="T68" s="2156">
        <f t="shared" si="429"/>
        <v>8.1625498142519426</v>
      </c>
      <c r="U68" s="1814"/>
      <c r="V68" s="2153">
        <f t="shared" ref="V68:V69" si="430">SUM(N68:T68)</f>
        <v>32.498319824383671</v>
      </c>
      <c r="W68" s="2157">
        <f>$J$68*7</f>
        <v>105</v>
      </c>
      <c r="X68" s="2158">
        <f t="shared" ref="X68:X69" si="431">V68-W68</f>
        <v>-72.501680175616329</v>
      </c>
      <c r="Y68" s="1814"/>
      <c r="Z68" s="2090">
        <f t="shared" ref="Z68:AF68" si="432">IF(Z65&gt;$J$76,$J$68,IF(Z65&lt;$J$76,(IF(Z65&lt;0,0,Z65*$K$68))))</f>
        <v>11.650118203309693</v>
      </c>
      <c r="AA68" s="2087">
        <f t="shared" si="432"/>
        <v>15</v>
      </c>
      <c r="AB68" s="2087">
        <f t="shared" si="432"/>
        <v>15</v>
      </c>
      <c r="AC68" s="2087">
        <f t="shared" si="432"/>
        <v>0</v>
      </c>
      <c r="AD68" s="2087">
        <f t="shared" si="432"/>
        <v>0</v>
      </c>
      <c r="AE68" s="2087">
        <f t="shared" si="432"/>
        <v>4.4083552853765617</v>
      </c>
      <c r="AF68" s="2091">
        <f t="shared" si="432"/>
        <v>3.6180057413036146</v>
      </c>
      <c r="AG68" s="1814"/>
      <c r="AH68" s="2153">
        <f>SUM(Z68:AF68)</f>
        <v>49.676479229989873</v>
      </c>
      <c r="AI68" s="2157">
        <f>$J$68*6</f>
        <v>90</v>
      </c>
      <c r="AJ68" s="2158">
        <f t="shared" ref="AJ68:AJ69" si="433">AH68-AI68</f>
        <v>-40.323520770010127</v>
      </c>
      <c r="AK68" s="1814"/>
      <c r="AL68" s="2153">
        <f t="shared" ref="AL68:AR68" si="434">IF(AL65&gt;$J$76,$J$68,IF(AL65&lt;$J$76,(IF(AL65&lt;0,0,AL65*$K$68))))</f>
        <v>13.181303613644035</v>
      </c>
      <c r="AM68" s="2154">
        <f t="shared" si="434"/>
        <v>1.9372306653157723</v>
      </c>
      <c r="AN68" s="2154">
        <f t="shared" si="434"/>
        <v>9.8516683552853799</v>
      </c>
      <c r="AO68" s="2154">
        <f t="shared" si="434"/>
        <v>4.7281881121242835</v>
      </c>
      <c r="AP68" s="2154">
        <f t="shared" si="434"/>
        <v>8.2896622762580225</v>
      </c>
      <c r="AQ68" s="2154">
        <f t="shared" si="434"/>
        <v>4.0354069571090854</v>
      </c>
      <c r="AR68" s="2156">
        <f t="shared" si="434"/>
        <v>0.31704829449510147</v>
      </c>
      <c r="AS68" s="1814"/>
      <c r="AT68" s="2153">
        <f t="shared" ref="AT68:AT69" si="435">SUM(AL68:AR68)</f>
        <v>42.340508274231674</v>
      </c>
      <c r="AU68" s="2157">
        <f>$J$68*7</f>
        <v>105</v>
      </c>
      <c r="AV68" s="2158">
        <f t="shared" ref="AV68:AV69" si="436">AT68-AU68</f>
        <v>-62.659491725768326</v>
      </c>
      <c r="AW68" s="1814"/>
      <c r="AX68" s="2153">
        <f t="shared" ref="AX68:BD68" si="437">IF(AX65&gt;$J$76,$J$68,IF(AX65&lt;$J$76,(IF(AX65&lt;0,0,AX65*$K$68))))</f>
        <v>2.3732792975346175</v>
      </c>
      <c r="AY68" s="2304">
        <f t="shared" si="437"/>
        <v>4.7805057413036129</v>
      </c>
      <c r="AZ68" s="2304">
        <f t="shared" si="437"/>
        <v>15</v>
      </c>
      <c r="BA68" s="2154">
        <f t="shared" si="437"/>
        <v>1.9698294495103021</v>
      </c>
      <c r="BB68" s="2154">
        <f t="shared" si="437"/>
        <v>8.7973370482944944</v>
      </c>
      <c r="BC68" s="2154">
        <f t="shared" si="437"/>
        <v>5.6270938872002692</v>
      </c>
      <c r="BD68" s="2156">
        <f t="shared" si="437"/>
        <v>1.736166835528538</v>
      </c>
      <c r="BE68" s="1814"/>
      <c r="BF68" s="2153">
        <f t="shared" ref="BF68:BF69" si="438">SUM(AX68:BD68)</f>
        <v>40.284212259371834</v>
      </c>
      <c r="BG68" s="2157">
        <f>$J$67*7</f>
        <v>108.5</v>
      </c>
      <c r="BH68" s="2158">
        <f t="shared" ref="BH68:BH69" si="439">BF68-BG68</f>
        <v>-68.215787740628173</v>
      </c>
      <c r="BI68" s="1814"/>
      <c r="BJ68" s="2090">
        <f>IF(BJ65&gt;$J$76,$J$68,IF(BJ65&lt;$J$76,(IF(BJ65&lt;0,0,BJ65*$K$68))))</f>
        <v>4.2300422154677477</v>
      </c>
      <c r="BK68" s="2305">
        <f>IF(BK65&gt;$J$76,$J$68,IF(BK65&lt;$J$76,(IF(BK65&lt;0,0,BK65*$K$68))))</f>
        <v>6.4725650118203317</v>
      </c>
      <c r="BL68" s="2174">
        <f>IF(BL65&gt;$J$76,$J$68,IF(BL65&lt;$J$76,(IF(BL65&lt;0,0,BL65*$K$68))))</f>
        <v>5.0077853765619738</v>
      </c>
      <c r="BM68" s="1814"/>
      <c r="BN68" s="2090">
        <f t="shared" ref="BN68:BN75" si="440">SUM(BJ68:BL68)</f>
        <v>15.710392603850053</v>
      </c>
      <c r="BO68" s="2087">
        <f>$J$67*3</f>
        <v>46.5</v>
      </c>
      <c r="BP68" s="2174">
        <f t="shared" si="428"/>
        <v>-30.789607396149947</v>
      </c>
      <c r="BR68" s="2090"/>
      <c r="BS68" s="2159"/>
      <c r="BU68" s="2090">
        <f>SUM(N68:T68)+SUM(Z68:AF68)+SUM(AL68:AR68)+SUM(AX68:BD68)+SUM(BJ68:BL68)</f>
        <v>180.50991219182708</v>
      </c>
      <c r="BV68" s="2160">
        <f>BU68/E68</f>
        <v>0.40113313820406021</v>
      </c>
      <c r="BW68" s="2351"/>
      <c r="BX68" s="4550"/>
      <c r="CA68" s="1997"/>
      <c r="CB68" s="1861"/>
      <c r="CC68" s="1861"/>
      <c r="CD68" s="1861"/>
      <c r="CE68" s="1861"/>
      <c r="CF68" s="1861"/>
      <c r="CG68" s="1861"/>
      <c r="CH68" s="1861"/>
      <c r="CI68" s="1861"/>
    </row>
    <row r="69" spans="1:87" s="1885" customFormat="1" x14ac:dyDescent="0.2">
      <c r="A69" s="1947"/>
      <c r="B69" s="2161">
        <v>39</v>
      </c>
      <c r="C69" s="2162" t="s">
        <v>121</v>
      </c>
      <c r="D69" s="1960"/>
      <c r="E69" s="2163">
        <v>350</v>
      </c>
      <c r="F69" s="2164"/>
      <c r="G69" s="2164"/>
      <c r="H69" s="2164"/>
      <c r="I69" s="2164"/>
      <c r="J69" s="2164">
        <f t="shared" si="420"/>
        <v>11.666666666666666</v>
      </c>
      <c r="K69" s="2165">
        <f t="shared" si="421"/>
        <v>0.1773049645390071</v>
      </c>
      <c r="L69" s="2003"/>
      <c r="M69" s="1950"/>
      <c r="N69" s="2163">
        <f t="shared" ref="N69:T69" si="441">IF(N65&gt;$J$76,$J$69,IF(N65&lt;$J$76,(IF(N65&lt;0,0,N65*$K$69))))</f>
        <v>3.5229288153401641</v>
      </c>
      <c r="O69" s="2164">
        <f t="shared" si="441"/>
        <v>2.5114630942999741</v>
      </c>
      <c r="P69" s="2164">
        <f t="shared" si="441"/>
        <v>2.2049619122668784</v>
      </c>
      <c r="Q69" s="2164">
        <f t="shared" si="441"/>
        <v>2.0116995009193599</v>
      </c>
      <c r="R69" s="2164">
        <f t="shared" si="441"/>
        <v>2.0196782243236155</v>
      </c>
      <c r="S69" s="2164">
        <f t="shared" si="441"/>
        <v>6.6570895718413468</v>
      </c>
      <c r="T69" s="2166">
        <f t="shared" si="441"/>
        <v>6.3486498555292883</v>
      </c>
      <c r="U69" s="1951"/>
      <c r="V69" s="2163">
        <f t="shared" si="430"/>
        <v>25.276470974520628</v>
      </c>
      <c r="W69" s="2167">
        <f>$J$69*7</f>
        <v>81.666666666666657</v>
      </c>
      <c r="X69" s="2168">
        <f t="shared" si="431"/>
        <v>-56.39019569214603</v>
      </c>
      <c r="Y69" s="1956"/>
      <c r="Z69" s="2169">
        <f t="shared" ref="Z69:AF69" si="442">IF(Z65&gt;$J$76,$J$69,IF(Z65&lt;$J$76,(IF(Z65&lt;0,0,Z65*$K$69))))</f>
        <v>9.0612030470186493</v>
      </c>
      <c r="AA69" s="2170">
        <f t="shared" si="442"/>
        <v>11.666666666666666</v>
      </c>
      <c r="AB69" s="2170">
        <f t="shared" si="442"/>
        <v>11.666666666666666</v>
      </c>
      <c r="AC69" s="2170">
        <f t="shared" si="442"/>
        <v>0</v>
      </c>
      <c r="AD69" s="2170">
        <f t="shared" si="442"/>
        <v>0</v>
      </c>
      <c r="AE69" s="2170">
        <f t="shared" si="442"/>
        <v>3.4287207775151032</v>
      </c>
      <c r="AF69" s="2171">
        <f t="shared" si="442"/>
        <v>2.8140044654583671</v>
      </c>
      <c r="AG69" s="1956"/>
      <c r="AH69" s="2163">
        <f t="shared" ref="AH69" si="443">SUM(Z69:AF69)</f>
        <v>38.63726162332545</v>
      </c>
      <c r="AI69" s="2167">
        <f>$J$69*6</f>
        <v>70</v>
      </c>
      <c r="AJ69" s="2168">
        <f t="shared" si="433"/>
        <v>-31.36273837667455</v>
      </c>
      <c r="AK69" s="1956"/>
      <c r="AL69" s="2163">
        <f t="shared" ref="AL69:AR69" si="444">IF(AL65&gt;$J$76,$J$69,IF(AL65&lt;$J$76,(IF(AL65&lt;0,0,AL65*$K$69))))</f>
        <v>10.252125032834249</v>
      </c>
      <c r="AM69" s="2164">
        <f t="shared" si="444"/>
        <v>1.5067349619122674</v>
      </c>
      <c r="AN69" s="2164">
        <f t="shared" si="444"/>
        <v>7.6624087207775178</v>
      </c>
      <c r="AO69" s="2164">
        <f t="shared" si="444"/>
        <v>3.6774796427633314</v>
      </c>
      <c r="AP69" s="2164">
        <f t="shared" si="444"/>
        <v>6.4475151037562402</v>
      </c>
      <c r="AQ69" s="2164">
        <f t="shared" si="444"/>
        <v>3.1386498555292888</v>
      </c>
      <c r="AR69" s="2166">
        <f t="shared" si="444"/>
        <v>0.24659311794063449</v>
      </c>
      <c r="AS69" s="1951"/>
      <c r="AT69" s="2163">
        <f t="shared" si="435"/>
        <v>32.931506435513526</v>
      </c>
      <c r="AU69" s="2167">
        <f>$J$69*7</f>
        <v>81.666666666666657</v>
      </c>
      <c r="AV69" s="2168">
        <f t="shared" si="436"/>
        <v>-48.735160231153131</v>
      </c>
      <c r="AW69" s="1951"/>
      <c r="AX69" s="2163">
        <f t="shared" ref="AX69:BD69" si="445">IF(AX65&gt;$J$76,$J$69,IF(AX65&lt;$J$76,(IF(AX65&lt;0,0,AX65*$K$69))))</f>
        <v>1.8458838980824803</v>
      </c>
      <c r="AY69" s="2306">
        <f t="shared" si="445"/>
        <v>3.7181711321250326</v>
      </c>
      <c r="AZ69" s="2306">
        <f t="shared" si="445"/>
        <v>11.666666666666666</v>
      </c>
      <c r="BA69" s="2164">
        <f t="shared" si="445"/>
        <v>1.5320895718413461</v>
      </c>
      <c r="BB69" s="2164">
        <f t="shared" si="445"/>
        <v>6.8423732597846074</v>
      </c>
      <c r="BC69" s="2164">
        <f t="shared" si="445"/>
        <v>4.3766285789335422</v>
      </c>
      <c r="BD69" s="2166">
        <f t="shared" si="445"/>
        <v>1.3503519831888628</v>
      </c>
      <c r="BE69" s="1951"/>
      <c r="BF69" s="2163">
        <f t="shared" si="438"/>
        <v>31.332165090622535</v>
      </c>
      <c r="BG69" s="2167">
        <f>$J$67*7</f>
        <v>108.5</v>
      </c>
      <c r="BH69" s="2168">
        <f t="shared" si="439"/>
        <v>-77.167834909377461</v>
      </c>
      <c r="BI69" s="1951"/>
      <c r="BJ69" s="2169">
        <f>IF(BJ65&gt;$J$76,$J$69,IF(BJ65&lt;$J$76,(IF(BJ65&lt;0,0,BJ65*$K$69))))</f>
        <v>3.2900328342526928</v>
      </c>
      <c r="BK69" s="2307">
        <f>IF(BK65&gt;$J$76,$J$69,IF(BK65&lt;$J$76,(IF(BK65&lt;0,0,BK65*$K$69))))</f>
        <v>5.0342172314158136</v>
      </c>
      <c r="BL69" s="2178">
        <f>IF(BL65&gt;$J$76,$J$69,IF(BL65&lt;$J$76,(IF(BL65&lt;0,0,BL65*$K$69))))</f>
        <v>3.8949441817704238</v>
      </c>
      <c r="BM69" s="1951"/>
      <c r="BN69" s="2169">
        <f t="shared" si="440"/>
        <v>12.21919424743893</v>
      </c>
      <c r="BO69" s="2170">
        <f>$J$67*3</f>
        <v>46.5</v>
      </c>
      <c r="BP69" s="2178">
        <f t="shared" si="428"/>
        <v>-34.280805752561072</v>
      </c>
      <c r="BR69" s="2169"/>
      <c r="BS69" s="2172"/>
      <c r="BT69" s="1900"/>
      <c r="BU69" s="2169">
        <f>SUM(N69:T69)+SUM(Z69:AF69)+SUM(AL69:AR69)+SUM(AX69:BD69)+SUM(BJ69:BL69)</f>
        <v>140.39659837142108</v>
      </c>
      <c r="BV69" s="2173">
        <f>BU69/E69</f>
        <v>0.40113313820406021</v>
      </c>
      <c r="BW69" s="2353"/>
      <c r="BX69" s="4550"/>
      <c r="CA69" s="2475"/>
      <c r="CB69" s="1946"/>
      <c r="CC69" s="1946"/>
      <c r="CD69" s="1946"/>
      <c r="CE69" s="1946"/>
      <c r="CF69" s="1946"/>
      <c r="CG69" s="1946"/>
      <c r="CH69" s="1946"/>
      <c r="CI69" s="1946"/>
    </row>
    <row r="70" spans="1:87" s="1740" customFormat="1" ht="15.75" x14ac:dyDescent="0.2">
      <c r="A70" s="2466"/>
      <c r="B70" s="2151">
        <v>40</v>
      </c>
      <c r="C70" s="2086" t="s">
        <v>233</v>
      </c>
      <c r="D70" s="1817"/>
      <c r="E70" s="2090">
        <v>300</v>
      </c>
      <c r="F70" s="2088">
        <f>E70/10</f>
        <v>30</v>
      </c>
      <c r="G70" s="2088">
        <f>E70/15</f>
        <v>20</v>
      </c>
      <c r="H70" s="2088">
        <f>E70/20</f>
        <v>15</v>
      </c>
      <c r="I70" s="2088">
        <f>E70/25</f>
        <v>12</v>
      </c>
      <c r="J70" s="2088">
        <f t="shared" si="420"/>
        <v>10</v>
      </c>
      <c r="K70" s="2089">
        <f t="shared" si="421"/>
        <v>0.1519756838905775</v>
      </c>
      <c r="L70" s="2465"/>
      <c r="M70" s="2131"/>
      <c r="N70" s="2090">
        <f t="shared" ref="N70:T70" si="446">IF(N65&gt;$J$76,$J$70,IF(N65&lt;$J$76,(IF(N65&lt;0,0,N65*$K$70))))</f>
        <v>3.019653270291569</v>
      </c>
      <c r="O70" s="2088">
        <f t="shared" si="446"/>
        <v>2.1526826522571203</v>
      </c>
      <c r="P70" s="2088">
        <f t="shared" si="446"/>
        <v>1.8899673533716099</v>
      </c>
      <c r="Q70" s="2088">
        <f t="shared" si="446"/>
        <v>1.7243138579308799</v>
      </c>
      <c r="R70" s="2088">
        <f t="shared" si="446"/>
        <v>1.7311527637059563</v>
      </c>
      <c r="S70" s="2088">
        <f t="shared" si="446"/>
        <v>5.7060767758640107</v>
      </c>
      <c r="T70" s="2091">
        <f t="shared" si="446"/>
        <v>5.4416998761679611</v>
      </c>
      <c r="U70" s="1814"/>
      <c r="V70" s="2090">
        <f t="shared" si="403"/>
        <v>21.665546549589109</v>
      </c>
      <c r="W70" s="2087">
        <f>$J$70*7</f>
        <v>70</v>
      </c>
      <c r="X70" s="2174">
        <f t="shared" si="363"/>
        <v>-48.334453450410891</v>
      </c>
      <c r="Y70" s="1814"/>
      <c r="Z70" s="2090">
        <f t="shared" ref="Z70:AF70" si="447">IF(Z65&gt;$J$76,$J$70,IF(Z65&lt;$J$76,(IF(Z65&lt;0,0,Z65*$K$70))))</f>
        <v>7.7667454688731281</v>
      </c>
      <c r="AA70" s="2087">
        <f t="shared" si="447"/>
        <v>10</v>
      </c>
      <c r="AB70" s="2087">
        <f t="shared" si="447"/>
        <v>10</v>
      </c>
      <c r="AC70" s="2087">
        <f t="shared" si="447"/>
        <v>0</v>
      </c>
      <c r="AD70" s="2087">
        <f t="shared" si="447"/>
        <v>0</v>
      </c>
      <c r="AE70" s="2087">
        <f t="shared" si="447"/>
        <v>2.9389035235843739</v>
      </c>
      <c r="AF70" s="2091">
        <f t="shared" si="447"/>
        <v>2.4120038275357429</v>
      </c>
      <c r="AG70" s="1814"/>
      <c r="AH70" s="2090">
        <f t="shared" si="365"/>
        <v>33.117652819993246</v>
      </c>
      <c r="AI70" s="2087">
        <f>$J$70*6</f>
        <v>60</v>
      </c>
      <c r="AJ70" s="2174">
        <f t="shared" si="366"/>
        <v>-26.882347180006754</v>
      </c>
      <c r="AK70" s="1814"/>
      <c r="AL70" s="2090">
        <f t="shared" ref="AL70:AR70" si="448">IF(AL65&gt;$J$76,$J$70,IF(AL65&lt;$J$76,(IF(AL65&lt;0,0,AL65*$K$70))))</f>
        <v>8.7875357424293554</v>
      </c>
      <c r="AM70" s="2088">
        <f t="shared" si="448"/>
        <v>1.2914871102105148</v>
      </c>
      <c r="AN70" s="2088">
        <f t="shared" si="448"/>
        <v>6.5677789035235863</v>
      </c>
      <c r="AO70" s="2088">
        <f t="shared" si="448"/>
        <v>3.1521254080828554</v>
      </c>
      <c r="AP70" s="2088">
        <f t="shared" si="448"/>
        <v>5.5264415175053481</v>
      </c>
      <c r="AQ70" s="2088">
        <f t="shared" si="448"/>
        <v>2.6902713047393898</v>
      </c>
      <c r="AR70" s="2091">
        <f t="shared" si="448"/>
        <v>0.21136552966340097</v>
      </c>
      <c r="AS70" s="1814"/>
      <c r="AT70" s="2090">
        <f t="shared" ref="AT70:AT75" si="449">SUM(AL70:AR70)</f>
        <v>28.227005516154449</v>
      </c>
      <c r="AU70" s="2087">
        <f>$J$70*7</f>
        <v>70</v>
      </c>
      <c r="AV70" s="2174">
        <f t="shared" ref="AV70:AV75" si="450">AT70-AU70</f>
        <v>-41.772994483845551</v>
      </c>
      <c r="AW70" s="1814"/>
      <c r="AX70" s="2090">
        <f t="shared" ref="AX70:BD70" si="451">IF(AX65&gt;$J$76,$J$70,IF(AX65&lt;$J$76,(IF(AX65&lt;0,0,AX65*$K$70))))</f>
        <v>1.5821861983564116</v>
      </c>
      <c r="AY70" s="2305">
        <f t="shared" si="451"/>
        <v>3.187003827535742</v>
      </c>
      <c r="AZ70" s="2305">
        <f t="shared" si="451"/>
        <v>10</v>
      </c>
      <c r="BA70" s="2088">
        <f t="shared" si="451"/>
        <v>1.3132196330068682</v>
      </c>
      <c r="BB70" s="2088">
        <f t="shared" si="451"/>
        <v>5.8648913655296626</v>
      </c>
      <c r="BC70" s="2088">
        <f t="shared" si="451"/>
        <v>3.7513959248001791</v>
      </c>
      <c r="BD70" s="2091">
        <f t="shared" si="451"/>
        <v>1.1574445570190253</v>
      </c>
      <c r="BE70" s="1814"/>
      <c r="BF70" s="2090">
        <f t="shared" si="426"/>
        <v>26.856141506247887</v>
      </c>
      <c r="BG70" s="2087">
        <f>$J$70*7</f>
        <v>70</v>
      </c>
      <c r="BH70" s="2174">
        <f t="shared" si="427"/>
        <v>-43.143858493752113</v>
      </c>
      <c r="BI70" s="1814"/>
      <c r="BJ70" s="2090">
        <f>IF(BJ65&gt;$J$76,$J$70,IF(BJ65&lt;$J$76,(IF(BJ65&lt;0,0,BJ65*$K$70))))</f>
        <v>2.8200281436451649</v>
      </c>
      <c r="BK70" s="2305">
        <f>IF(BK65&gt;$J$76,$J$70,IF(BK65&lt;$J$76,(IF(BK65&lt;0,0,BK65*$K$70))))</f>
        <v>4.3150433412135545</v>
      </c>
      <c r="BL70" s="2174">
        <f>IF(BL65&gt;$J$76,$J$70,IF(BL65&lt;$J$76,(IF(BL65&lt;0,0,BL65*$K$70))))</f>
        <v>3.3385235843746486</v>
      </c>
      <c r="BM70" s="1814"/>
      <c r="BN70" s="2090">
        <f t="shared" si="440"/>
        <v>10.473595069233369</v>
      </c>
      <c r="BO70" s="2087">
        <f>$J$70*3</f>
        <v>30</v>
      </c>
      <c r="BP70" s="2174">
        <f t="shared" si="428"/>
        <v>-19.526404930766631</v>
      </c>
      <c r="BR70" s="2092"/>
      <c r="BS70" s="2093"/>
      <c r="BU70" s="2092">
        <f t="shared" si="376"/>
        <v>120.33994146121807</v>
      </c>
      <c r="BV70" s="2094">
        <f t="shared" si="377"/>
        <v>0.40113313820406027</v>
      </c>
      <c r="BW70" s="2351"/>
      <c r="BX70" s="4550"/>
      <c r="CA70" s="1997"/>
      <c r="CB70" s="1861"/>
      <c r="CC70" s="1861"/>
      <c r="CD70" s="1861"/>
      <c r="CE70" s="1861"/>
      <c r="CF70" s="1861"/>
      <c r="CG70" s="1861"/>
      <c r="CH70" s="1861"/>
      <c r="CI70" s="1861"/>
    </row>
    <row r="71" spans="1:87" s="1900" customFormat="1" ht="15.75" x14ac:dyDescent="0.2">
      <c r="A71" s="2464"/>
      <c r="B71" s="2161">
        <v>41</v>
      </c>
      <c r="C71" s="2175" t="s">
        <v>229</v>
      </c>
      <c r="D71" s="1960"/>
      <c r="E71" s="2169">
        <v>209</v>
      </c>
      <c r="F71" s="2176">
        <f>E71/10</f>
        <v>20.9</v>
      </c>
      <c r="G71" s="2176">
        <f>E71/15</f>
        <v>13.933333333333334</v>
      </c>
      <c r="H71" s="2176">
        <f>E71/20</f>
        <v>10.45</v>
      </c>
      <c r="I71" s="2176">
        <f>E71/25</f>
        <v>8.36</v>
      </c>
      <c r="J71" s="2176">
        <f t="shared" si="420"/>
        <v>6.9666666666666668</v>
      </c>
      <c r="K71" s="2177">
        <f t="shared" si="421"/>
        <v>0.10587639311043566</v>
      </c>
      <c r="L71" s="2468"/>
      <c r="M71" s="2339"/>
      <c r="N71" s="2169">
        <f t="shared" ref="N71:T71" si="452">IF(N65&gt;$J$76,$J$71,IF(N65&lt;$J$76,(IF(N65&lt;0,0,N65*$K$71))))</f>
        <v>2.1036917783031264</v>
      </c>
      <c r="O71" s="2176">
        <f t="shared" si="452"/>
        <v>1.4997022477391271</v>
      </c>
      <c r="P71" s="2176">
        <f t="shared" si="452"/>
        <v>1.3166772561822215</v>
      </c>
      <c r="Q71" s="2176">
        <f t="shared" si="452"/>
        <v>1.2012719876918463</v>
      </c>
      <c r="R71" s="2176">
        <f t="shared" si="452"/>
        <v>1.2060364253818161</v>
      </c>
      <c r="S71" s="2176">
        <f t="shared" si="452"/>
        <v>3.9752334871852613</v>
      </c>
      <c r="T71" s="2171">
        <f t="shared" si="452"/>
        <v>3.7910509137303463</v>
      </c>
      <c r="U71" s="1951"/>
      <c r="V71" s="2169">
        <f t="shared" si="403"/>
        <v>15.093664096213745</v>
      </c>
      <c r="W71" s="2170">
        <f>$J$71*7</f>
        <v>48.766666666666666</v>
      </c>
      <c r="X71" s="2178">
        <f t="shared" si="363"/>
        <v>-33.673002570452923</v>
      </c>
      <c r="Y71" s="1951"/>
      <c r="Z71" s="2169">
        <f t="shared" ref="Z71:AF71" si="453">IF(Z65&gt;$J$76,$J$71,IF(Z65&lt;$J$76,(IF(Z65&lt;0,0,Z65*$K$71))))</f>
        <v>5.4108326766482797</v>
      </c>
      <c r="AA71" s="2170">
        <f t="shared" si="453"/>
        <v>6.9666666666666668</v>
      </c>
      <c r="AB71" s="2170">
        <f t="shared" si="453"/>
        <v>6.9666666666666668</v>
      </c>
      <c r="AC71" s="2170">
        <f t="shared" si="453"/>
        <v>0</v>
      </c>
      <c r="AD71" s="2170">
        <f t="shared" si="453"/>
        <v>0</v>
      </c>
      <c r="AE71" s="2170">
        <f t="shared" si="453"/>
        <v>2.0474361214304473</v>
      </c>
      <c r="AF71" s="2171">
        <f t="shared" si="453"/>
        <v>1.6803626665165676</v>
      </c>
      <c r="AG71" s="1951"/>
      <c r="AH71" s="2169">
        <f t="shared" si="365"/>
        <v>23.071964797928629</v>
      </c>
      <c r="AI71" s="2170">
        <f>$J$71*6</f>
        <v>41.8</v>
      </c>
      <c r="AJ71" s="2178">
        <f t="shared" si="366"/>
        <v>-18.728035202071368</v>
      </c>
      <c r="AK71" s="1951"/>
      <c r="AL71" s="2169">
        <f t="shared" ref="AL71:AR71" si="454">IF(AL65&gt;$J$76,$J$71,IF(AL65&lt;$J$76,(IF(AL65&lt;0,0,AL65*$K$71))))</f>
        <v>6.1219832338924514</v>
      </c>
      <c r="AM71" s="2176">
        <f t="shared" si="454"/>
        <v>0.89973602011332532</v>
      </c>
      <c r="AN71" s="2176">
        <f t="shared" si="454"/>
        <v>4.5755526361214311</v>
      </c>
      <c r="AO71" s="2176">
        <f t="shared" si="454"/>
        <v>2.1959807009643892</v>
      </c>
      <c r="AP71" s="2176">
        <f t="shared" si="454"/>
        <v>3.8500875905287262</v>
      </c>
      <c r="AQ71" s="2176">
        <f t="shared" si="454"/>
        <v>1.874222342301775</v>
      </c>
      <c r="AR71" s="2171">
        <f t="shared" si="454"/>
        <v>0.14725131899883601</v>
      </c>
      <c r="AS71" s="1951"/>
      <c r="AT71" s="2169">
        <f t="shared" si="449"/>
        <v>19.664813842920932</v>
      </c>
      <c r="AU71" s="2170">
        <f>$J$71*7</f>
        <v>48.766666666666666</v>
      </c>
      <c r="AV71" s="2178">
        <f t="shared" si="450"/>
        <v>-29.101852823745734</v>
      </c>
      <c r="AW71" s="1951"/>
      <c r="AX71" s="2169">
        <f t="shared" ref="AX71:BD71" si="455">IF(AX65&gt;$J$76,$J$71,IF(AX65&lt;$J$76,(IF(AX65&lt;0,0,AX65*$K$71))))</f>
        <v>1.1022563848549667</v>
      </c>
      <c r="AY71" s="2307">
        <f t="shared" si="455"/>
        <v>2.2202793331832336</v>
      </c>
      <c r="AZ71" s="2307">
        <f t="shared" si="455"/>
        <v>6.9666666666666668</v>
      </c>
      <c r="BA71" s="2176">
        <f t="shared" si="455"/>
        <v>0.91487634432811804</v>
      </c>
      <c r="BB71" s="2176">
        <f t="shared" si="455"/>
        <v>4.0858743179856649</v>
      </c>
      <c r="BC71" s="2176">
        <f t="shared" si="455"/>
        <v>2.6134724942774579</v>
      </c>
      <c r="BD71" s="2171">
        <f t="shared" si="455"/>
        <v>0.80635304138992092</v>
      </c>
      <c r="BE71" s="1951"/>
      <c r="BF71" s="2169">
        <f t="shared" si="426"/>
        <v>18.709778582686031</v>
      </c>
      <c r="BG71" s="2170">
        <f>$J$71*7</f>
        <v>48.766666666666666</v>
      </c>
      <c r="BH71" s="2178">
        <f t="shared" si="427"/>
        <v>-30.056888083980635</v>
      </c>
      <c r="BI71" s="1951"/>
      <c r="BJ71" s="2169">
        <f>IF(BJ65&gt;$J$76,$J$71,IF(BJ65&lt;$J$76,(IF(BJ65&lt;0,0,BJ65*$K$71))))</f>
        <v>1.964619606739465</v>
      </c>
      <c r="BK71" s="2307">
        <f>IF(BK65&gt;$J$76,$J$71,IF(BK65&lt;$J$76,(IF(BK65&lt;0,0,BK65*$K$71))))</f>
        <v>3.0061468610454432</v>
      </c>
      <c r="BL71" s="2178">
        <f>IF(BL65&gt;$J$76,$J$71,IF(BL65&lt;$J$76,(IF(BL65&lt;0,0,BL65*$K$71))))</f>
        <v>2.3258380971143389</v>
      </c>
      <c r="BM71" s="1951"/>
      <c r="BN71" s="2169">
        <f t="shared" si="440"/>
        <v>7.2966045648992468</v>
      </c>
      <c r="BO71" s="2170">
        <f>$J$71*3</f>
        <v>20.9</v>
      </c>
      <c r="BP71" s="2178">
        <f t="shared" si="428"/>
        <v>-13.603395435100751</v>
      </c>
      <c r="BR71" s="2179"/>
      <c r="BS71" s="2180"/>
      <c r="BU71" s="2179">
        <f t="shared" si="376"/>
        <v>83.836825884648576</v>
      </c>
      <c r="BV71" s="2181">
        <f t="shared" si="377"/>
        <v>0.40113313820406016</v>
      </c>
      <c r="BW71" s="2353"/>
      <c r="BX71" s="4550"/>
      <c r="CA71" s="2010"/>
      <c r="CB71" s="2011"/>
      <c r="CC71" s="2011"/>
      <c r="CD71" s="2011"/>
      <c r="CE71" s="2011"/>
      <c r="CF71" s="2011"/>
      <c r="CG71" s="2011"/>
      <c r="CH71" s="2011"/>
      <c r="CI71" s="2011"/>
    </row>
    <row r="72" spans="1:87" s="1726" customFormat="1" x14ac:dyDescent="0.2">
      <c r="A72" s="1756"/>
      <c r="B72" s="2151">
        <v>42</v>
      </c>
      <c r="C72" s="2086" t="s">
        <v>238</v>
      </c>
      <c r="D72" s="1817"/>
      <c r="E72" s="2090">
        <v>100</v>
      </c>
      <c r="F72" s="2088">
        <f>E72/10</f>
        <v>10</v>
      </c>
      <c r="G72" s="2088">
        <f>E72/15</f>
        <v>6.666666666666667</v>
      </c>
      <c r="H72" s="2088">
        <f>E72/20</f>
        <v>5</v>
      </c>
      <c r="I72" s="2088">
        <f>E72/25</f>
        <v>4</v>
      </c>
      <c r="J72" s="2088">
        <f t="shared" si="420"/>
        <v>3.3333333333333335</v>
      </c>
      <c r="K72" s="2089">
        <f t="shared" si="421"/>
        <v>5.0658561296859167E-2</v>
      </c>
      <c r="L72" s="1931"/>
      <c r="M72" s="1924"/>
      <c r="N72" s="2090">
        <f t="shared" ref="N72:T72" si="456">IF(N65&gt;$J$76,$J$72,IF(N65&lt;$J$76,(IF(N65&lt;0,0,N65*$K$72))))</f>
        <v>1.0065510900971897</v>
      </c>
      <c r="O72" s="2088">
        <f t="shared" si="456"/>
        <v>0.71756088408570673</v>
      </c>
      <c r="P72" s="2088">
        <f t="shared" si="456"/>
        <v>0.62998911779053668</v>
      </c>
      <c r="Q72" s="2088">
        <f t="shared" si="456"/>
        <v>0.57477128597696003</v>
      </c>
      <c r="R72" s="2088">
        <f t="shared" si="456"/>
        <v>0.57705092123531876</v>
      </c>
      <c r="S72" s="2088">
        <f t="shared" si="456"/>
        <v>1.9020255919546705</v>
      </c>
      <c r="T72" s="2091">
        <f t="shared" si="456"/>
        <v>1.8138999587226536</v>
      </c>
      <c r="U72" s="1814"/>
      <c r="V72" s="2090">
        <f t="shared" si="403"/>
        <v>7.2218488498630355</v>
      </c>
      <c r="W72" s="2087">
        <f>$J$72*7</f>
        <v>23.333333333333336</v>
      </c>
      <c r="X72" s="2174">
        <f t="shared" si="363"/>
        <v>-16.111484483470299</v>
      </c>
      <c r="Y72" s="1766"/>
      <c r="Z72" s="2090">
        <f t="shared" ref="Z72:AF72" si="457">IF(Z65&gt;$J$76,$J$72,IF(Z65&lt;$J$76,(IF(Z65&lt;0,0,Z65*$K$72))))</f>
        <v>2.5889151562910429</v>
      </c>
      <c r="AA72" s="2087">
        <f t="shared" si="457"/>
        <v>3.3333333333333335</v>
      </c>
      <c r="AB72" s="2087">
        <f t="shared" si="457"/>
        <v>3.3333333333333335</v>
      </c>
      <c r="AC72" s="2087">
        <f t="shared" si="457"/>
        <v>0</v>
      </c>
      <c r="AD72" s="2087">
        <f t="shared" si="457"/>
        <v>0</v>
      </c>
      <c r="AE72" s="2087">
        <f t="shared" si="457"/>
        <v>0.979634507861458</v>
      </c>
      <c r="AF72" s="2091">
        <f t="shared" si="457"/>
        <v>0.80400127584524761</v>
      </c>
      <c r="AG72" s="1766"/>
      <c r="AH72" s="2090">
        <f t="shared" si="365"/>
        <v>11.039217606664417</v>
      </c>
      <c r="AI72" s="2087">
        <f>$J$72*6</f>
        <v>20</v>
      </c>
      <c r="AJ72" s="2174">
        <f t="shared" si="366"/>
        <v>-8.9607823933355828</v>
      </c>
      <c r="AK72" s="1766"/>
      <c r="AL72" s="2090">
        <f t="shared" ref="AL72:AR72" si="458">IF(AL65&gt;$J$76,$J$72,IF(AL65&lt;$J$76,(IF(AL65&lt;0,0,AL65*$K$72))))</f>
        <v>2.9291785808097854</v>
      </c>
      <c r="AM72" s="2088">
        <f t="shared" si="458"/>
        <v>0.43049570340350496</v>
      </c>
      <c r="AN72" s="2088">
        <f t="shared" si="458"/>
        <v>2.1892596345078621</v>
      </c>
      <c r="AO72" s="2088">
        <f t="shared" si="458"/>
        <v>1.0507084693609516</v>
      </c>
      <c r="AP72" s="2088">
        <f t="shared" si="458"/>
        <v>1.8421471725017828</v>
      </c>
      <c r="AQ72" s="2088">
        <f t="shared" si="458"/>
        <v>0.89675710157979671</v>
      </c>
      <c r="AR72" s="2091">
        <f t="shared" si="458"/>
        <v>7.0455176554466994E-2</v>
      </c>
      <c r="AS72" s="1814"/>
      <c r="AT72" s="2090">
        <f t="shared" si="449"/>
        <v>9.4090018387181509</v>
      </c>
      <c r="AU72" s="2087">
        <f>$J$72*7</f>
        <v>23.333333333333336</v>
      </c>
      <c r="AV72" s="2174">
        <f t="shared" si="450"/>
        <v>-13.924331494615185</v>
      </c>
      <c r="AW72" s="1814"/>
      <c r="AX72" s="2090">
        <f t="shared" ref="AX72:BD72" si="459">IF(AX65&gt;$J$76,$J$72,IF(AX65&lt;$J$76,(IF(AX65&lt;0,0,AX65*$K$72))))</f>
        <v>0.5273953994521372</v>
      </c>
      <c r="AY72" s="2305">
        <f t="shared" si="459"/>
        <v>1.0623346091785806</v>
      </c>
      <c r="AZ72" s="2305">
        <f t="shared" si="459"/>
        <v>3.3333333333333335</v>
      </c>
      <c r="BA72" s="2088">
        <f t="shared" si="459"/>
        <v>0.437739877668956</v>
      </c>
      <c r="BB72" s="2088">
        <f t="shared" si="459"/>
        <v>1.9549637885098876</v>
      </c>
      <c r="BC72" s="2088">
        <f t="shared" si="459"/>
        <v>1.2504653082667263</v>
      </c>
      <c r="BD72" s="2091">
        <f t="shared" si="459"/>
        <v>0.38581485233967511</v>
      </c>
      <c r="BE72" s="1814"/>
      <c r="BF72" s="2090">
        <f t="shared" si="426"/>
        <v>8.9520471687492957</v>
      </c>
      <c r="BG72" s="2087">
        <f>$J$72*7</f>
        <v>23.333333333333336</v>
      </c>
      <c r="BH72" s="2174">
        <f t="shared" si="427"/>
        <v>-14.38128616458404</v>
      </c>
      <c r="BI72" s="1814"/>
      <c r="BJ72" s="2090">
        <f>IF(BJ65&gt;$J$76,$J$72,IF(BJ65&lt;$J$76,(IF(BJ65&lt;0,0,BJ65*$K$72))))</f>
        <v>0.94000938121505495</v>
      </c>
      <c r="BK72" s="2305">
        <f>IF(BK65&gt;$J$76,$J$72,IF(BK65&lt;$J$76,(IF(BK65&lt;0,0,BK65*$K$72))))</f>
        <v>1.4383477804045182</v>
      </c>
      <c r="BL72" s="2174">
        <f>IF(BL65&gt;$J$76,$J$72,IF(BL65&lt;$J$76,(IF(BL65&lt;0,0,BL65*$K$72))))</f>
        <v>1.1128411947915495</v>
      </c>
      <c r="BM72" s="1814"/>
      <c r="BN72" s="2090">
        <f t="shared" si="440"/>
        <v>3.4911983564111226</v>
      </c>
      <c r="BO72" s="2087">
        <f>$J$72*3</f>
        <v>10</v>
      </c>
      <c r="BP72" s="2174">
        <f t="shared" si="428"/>
        <v>-6.5088016435888774</v>
      </c>
      <c r="BR72" s="2092"/>
      <c r="BS72" s="2093"/>
      <c r="BT72" s="1740"/>
      <c r="BU72" s="2092">
        <f t="shared" si="376"/>
        <v>40.113313820406027</v>
      </c>
      <c r="BV72" s="2094">
        <f t="shared" si="377"/>
        <v>0.40113313820406027</v>
      </c>
      <c r="BW72" s="2351"/>
      <c r="BX72" s="4550"/>
      <c r="CA72" s="2474"/>
      <c r="CB72" s="1860"/>
      <c r="CC72" s="1860"/>
      <c r="CD72" s="1860"/>
      <c r="CE72" s="1860"/>
      <c r="CF72" s="1860"/>
      <c r="CG72" s="1860"/>
      <c r="CH72" s="1860"/>
      <c r="CI72" s="1860"/>
    </row>
    <row r="73" spans="1:87" s="1885" customFormat="1" x14ac:dyDescent="0.2">
      <c r="A73" s="1947"/>
      <c r="B73" s="2161">
        <v>43</v>
      </c>
      <c r="C73" s="2175" t="s">
        <v>171</v>
      </c>
      <c r="D73" s="1960"/>
      <c r="E73" s="2169">
        <v>100</v>
      </c>
      <c r="F73" s="2176"/>
      <c r="G73" s="2176"/>
      <c r="H73" s="2176"/>
      <c r="I73" s="2176"/>
      <c r="J73" s="2176">
        <f>E73/30</f>
        <v>3.3333333333333335</v>
      </c>
      <c r="K73" s="2177">
        <f t="shared" si="421"/>
        <v>5.0658561296859167E-2</v>
      </c>
      <c r="L73" s="2003"/>
      <c r="M73" s="1950"/>
      <c r="N73" s="2169">
        <f t="shared" ref="N73:T73" si="460">IF(N65&gt;$J$76,$J$73,IF(N65&lt;$J$76,(IF(N65&lt;0,0,N65*$K$73))))</f>
        <v>1.0065510900971897</v>
      </c>
      <c r="O73" s="2176">
        <f t="shared" si="460"/>
        <v>0.71756088408570673</v>
      </c>
      <c r="P73" s="2176">
        <f t="shared" si="460"/>
        <v>0.62998911779053668</v>
      </c>
      <c r="Q73" s="2176">
        <f t="shared" si="460"/>
        <v>0.57477128597696003</v>
      </c>
      <c r="R73" s="2176">
        <f t="shared" si="460"/>
        <v>0.57705092123531876</v>
      </c>
      <c r="S73" s="2176">
        <f t="shared" si="460"/>
        <v>1.9020255919546705</v>
      </c>
      <c r="T73" s="2171">
        <f t="shared" si="460"/>
        <v>1.8138999587226536</v>
      </c>
      <c r="U73" s="1951"/>
      <c r="V73" s="2169">
        <f t="shared" si="403"/>
        <v>7.2218488498630355</v>
      </c>
      <c r="W73" s="2170">
        <f>$J$73*7</f>
        <v>23.333333333333336</v>
      </c>
      <c r="X73" s="2178">
        <f t="shared" si="363"/>
        <v>-16.111484483470299</v>
      </c>
      <c r="Y73" s="1956"/>
      <c r="Z73" s="2169">
        <f t="shared" ref="Z73:AF73" si="461">IF(Z65&gt;$J$76,$J$73,IF(Z65&lt;$J$76,(IF(Z65&lt;0,0,Z65*$K$73))))</f>
        <v>2.5889151562910429</v>
      </c>
      <c r="AA73" s="2170">
        <f t="shared" si="461"/>
        <v>3.3333333333333335</v>
      </c>
      <c r="AB73" s="2170">
        <f t="shared" si="461"/>
        <v>3.3333333333333335</v>
      </c>
      <c r="AC73" s="2170">
        <f t="shared" si="461"/>
        <v>0</v>
      </c>
      <c r="AD73" s="2170">
        <f t="shared" si="461"/>
        <v>0</v>
      </c>
      <c r="AE73" s="2170">
        <f t="shared" si="461"/>
        <v>0.979634507861458</v>
      </c>
      <c r="AF73" s="2171">
        <f t="shared" si="461"/>
        <v>0.80400127584524761</v>
      </c>
      <c r="AG73" s="1956"/>
      <c r="AH73" s="2169">
        <f t="shared" si="365"/>
        <v>11.039217606664417</v>
      </c>
      <c r="AI73" s="2170">
        <f>$J$73*6</f>
        <v>20</v>
      </c>
      <c r="AJ73" s="2178">
        <f t="shared" si="366"/>
        <v>-8.9607823933355828</v>
      </c>
      <c r="AK73" s="1956"/>
      <c r="AL73" s="2169">
        <f t="shared" ref="AL73:AR73" si="462">IF(AL65&gt;$J$76,$J$73,IF(AL65&lt;$J$76,(IF(AL65&lt;0,0,AL65*$K$73))))</f>
        <v>2.9291785808097854</v>
      </c>
      <c r="AM73" s="2176">
        <f t="shared" si="462"/>
        <v>0.43049570340350496</v>
      </c>
      <c r="AN73" s="2176">
        <f t="shared" si="462"/>
        <v>2.1892596345078621</v>
      </c>
      <c r="AO73" s="2176">
        <f t="shared" si="462"/>
        <v>1.0507084693609516</v>
      </c>
      <c r="AP73" s="2176">
        <f t="shared" si="462"/>
        <v>1.8421471725017828</v>
      </c>
      <c r="AQ73" s="2176">
        <f t="shared" si="462"/>
        <v>0.89675710157979671</v>
      </c>
      <c r="AR73" s="2171">
        <f t="shared" si="462"/>
        <v>7.0455176554466994E-2</v>
      </c>
      <c r="AS73" s="1951"/>
      <c r="AT73" s="2169">
        <f t="shared" si="449"/>
        <v>9.4090018387181509</v>
      </c>
      <c r="AU73" s="2170">
        <f>$J$73*7</f>
        <v>23.333333333333336</v>
      </c>
      <c r="AV73" s="2178">
        <f t="shared" si="450"/>
        <v>-13.924331494615185</v>
      </c>
      <c r="AW73" s="1951"/>
      <c r="AX73" s="2169">
        <f t="shared" ref="AX73:BD73" si="463">IF(AX65&gt;$J$76,$J$73,IF(AX65&lt;$J$76,(IF(AX65&lt;0,0,AX65*$K$73))))</f>
        <v>0.5273953994521372</v>
      </c>
      <c r="AY73" s="2307">
        <f t="shared" si="463"/>
        <v>1.0623346091785806</v>
      </c>
      <c r="AZ73" s="2307">
        <f t="shared" si="463"/>
        <v>3.3333333333333335</v>
      </c>
      <c r="BA73" s="2176">
        <f t="shared" si="463"/>
        <v>0.437739877668956</v>
      </c>
      <c r="BB73" s="2176">
        <f t="shared" si="463"/>
        <v>1.9549637885098876</v>
      </c>
      <c r="BC73" s="2176">
        <f t="shared" si="463"/>
        <v>1.2504653082667263</v>
      </c>
      <c r="BD73" s="2171">
        <f t="shared" si="463"/>
        <v>0.38581485233967511</v>
      </c>
      <c r="BE73" s="1951"/>
      <c r="BF73" s="2169">
        <f t="shared" si="426"/>
        <v>8.9520471687492957</v>
      </c>
      <c r="BG73" s="2170">
        <f>$J$73*7</f>
        <v>23.333333333333336</v>
      </c>
      <c r="BH73" s="2178">
        <f t="shared" si="427"/>
        <v>-14.38128616458404</v>
      </c>
      <c r="BI73" s="1951"/>
      <c r="BJ73" s="2169">
        <f>IF(BJ65&gt;$J$76,$J$73,IF(BJ65&lt;$J$76,(IF(BJ65&lt;0,0,BJ65*$K$73))))</f>
        <v>0.94000938121505495</v>
      </c>
      <c r="BK73" s="2307">
        <f>IF(BK65&gt;$J$76,$J$73,IF(BK65&lt;$J$76,(IF(BK65&lt;0,0,BK65*$K$73))))</f>
        <v>1.4383477804045182</v>
      </c>
      <c r="BL73" s="2178">
        <f>IF(BL65&gt;$J$76,$J$73,IF(BL65&lt;$J$76,(IF(BL65&lt;0,0,BL65*$K$73))))</f>
        <v>1.1128411947915495</v>
      </c>
      <c r="BM73" s="1951"/>
      <c r="BN73" s="2169">
        <f t="shared" si="440"/>
        <v>3.4911983564111226</v>
      </c>
      <c r="BO73" s="2170">
        <f>$J$73*3</f>
        <v>10</v>
      </c>
      <c r="BP73" s="2178">
        <f t="shared" si="428"/>
        <v>-6.5088016435888774</v>
      </c>
      <c r="BR73" s="2179"/>
      <c r="BS73" s="2180"/>
      <c r="BT73" s="1900"/>
      <c r="BU73" s="2179">
        <f t="shared" si="376"/>
        <v>40.113313820406027</v>
      </c>
      <c r="BV73" s="2181">
        <f t="shared" si="377"/>
        <v>0.40113313820406027</v>
      </c>
      <c r="BW73" s="2353"/>
      <c r="BX73" s="4550"/>
      <c r="CA73" s="2475"/>
      <c r="CB73" s="1946"/>
      <c r="CC73" s="1946"/>
      <c r="CD73" s="1946"/>
      <c r="CE73" s="1946"/>
      <c r="CF73" s="1946"/>
      <c r="CG73" s="1946"/>
      <c r="CH73" s="1946"/>
      <c r="CI73" s="1946"/>
    </row>
    <row r="74" spans="1:87" s="1726" customFormat="1" x14ac:dyDescent="0.2">
      <c r="B74" s="2151">
        <v>44</v>
      </c>
      <c r="C74" s="2086" t="s">
        <v>228</v>
      </c>
      <c r="D74" s="1817"/>
      <c r="E74" s="2090">
        <v>0</v>
      </c>
      <c r="F74" s="2088">
        <f>E74/10</f>
        <v>0</v>
      </c>
      <c r="G74" s="2088">
        <f>E74/15</f>
        <v>0</v>
      </c>
      <c r="H74" s="2088">
        <f>E74/20</f>
        <v>0</v>
      </c>
      <c r="I74" s="2088">
        <f>E74/25</f>
        <v>0</v>
      </c>
      <c r="J74" s="2088">
        <f t="shared" si="420"/>
        <v>0</v>
      </c>
      <c r="K74" s="2089">
        <f t="shared" si="421"/>
        <v>0</v>
      </c>
      <c r="L74" s="1931"/>
      <c r="M74" s="1924"/>
      <c r="N74" s="2090">
        <f t="shared" ref="N74:T74" si="464">IF(N65&gt;$J$76,$J$74,IF(N65&lt;$J$76,(IF(N65&lt;0,0,N65*$K$74))))</f>
        <v>0</v>
      </c>
      <c r="O74" s="2088">
        <f t="shared" si="464"/>
        <v>0</v>
      </c>
      <c r="P74" s="2088">
        <f t="shared" si="464"/>
        <v>0</v>
      </c>
      <c r="Q74" s="2088">
        <f t="shared" si="464"/>
        <v>0</v>
      </c>
      <c r="R74" s="2088">
        <f t="shared" si="464"/>
        <v>0</v>
      </c>
      <c r="S74" s="2088">
        <f t="shared" si="464"/>
        <v>0</v>
      </c>
      <c r="T74" s="2091">
        <f t="shared" si="464"/>
        <v>0</v>
      </c>
      <c r="U74" s="1814"/>
      <c r="V74" s="2090">
        <f t="shared" si="403"/>
        <v>0</v>
      </c>
      <c r="W74" s="2087">
        <f>$J$74*7</f>
        <v>0</v>
      </c>
      <c r="X74" s="2174">
        <f t="shared" si="363"/>
        <v>0</v>
      </c>
      <c r="Y74" s="1766"/>
      <c r="Z74" s="2090">
        <f t="shared" ref="Z74:AF74" si="465">IF(Z65&gt;$J$76,$J$74,IF(Z65&lt;$J$76,(IF(Z65&lt;0,0,Z65*$K$74))))</f>
        <v>0</v>
      </c>
      <c r="AA74" s="2087">
        <f t="shared" si="465"/>
        <v>0</v>
      </c>
      <c r="AB74" s="2087">
        <f t="shared" si="465"/>
        <v>0</v>
      </c>
      <c r="AC74" s="2087">
        <f t="shared" si="465"/>
        <v>0</v>
      </c>
      <c r="AD74" s="2087">
        <f t="shared" si="465"/>
        <v>0</v>
      </c>
      <c r="AE74" s="2087">
        <f t="shared" si="465"/>
        <v>0</v>
      </c>
      <c r="AF74" s="2091">
        <f t="shared" si="465"/>
        <v>0</v>
      </c>
      <c r="AG74" s="1766"/>
      <c r="AH74" s="2090">
        <f t="shared" si="365"/>
        <v>0</v>
      </c>
      <c r="AI74" s="2087">
        <f>$J$74*6</f>
        <v>0</v>
      </c>
      <c r="AJ74" s="2174">
        <f t="shared" si="366"/>
        <v>0</v>
      </c>
      <c r="AK74" s="1766"/>
      <c r="AL74" s="2090">
        <f t="shared" ref="AL74:AR74" si="466">IF(AL65&gt;$J$76,$J$74,IF(AL65&lt;$J$76,(IF(AL65&lt;0,0,AL65*$K$74))))</f>
        <v>0</v>
      </c>
      <c r="AM74" s="2088">
        <f t="shared" si="466"/>
        <v>0</v>
      </c>
      <c r="AN74" s="2088">
        <f t="shared" si="466"/>
        <v>0</v>
      </c>
      <c r="AO74" s="2088">
        <f t="shared" si="466"/>
        <v>0</v>
      </c>
      <c r="AP74" s="2088">
        <f t="shared" si="466"/>
        <v>0</v>
      </c>
      <c r="AQ74" s="2088">
        <f t="shared" si="466"/>
        <v>0</v>
      </c>
      <c r="AR74" s="2091">
        <f t="shared" si="466"/>
        <v>0</v>
      </c>
      <c r="AS74" s="1814"/>
      <c r="AT74" s="2090">
        <f t="shared" si="449"/>
        <v>0</v>
      </c>
      <c r="AU74" s="2087">
        <f>$J$74*7</f>
        <v>0</v>
      </c>
      <c r="AV74" s="2174">
        <f t="shared" si="450"/>
        <v>0</v>
      </c>
      <c r="AW74" s="1814"/>
      <c r="AX74" s="2090">
        <f t="shared" ref="AX74:BD74" si="467">IF(AX65&gt;$J$76,$J$74,IF(AX65&lt;$J$76,(IF(AX65&lt;0,0,AX65*$K$74))))</f>
        <v>0</v>
      </c>
      <c r="AY74" s="2305">
        <f t="shared" si="467"/>
        <v>0</v>
      </c>
      <c r="AZ74" s="2305">
        <f t="shared" si="467"/>
        <v>0</v>
      </c>
      <c r="BA74" s="2088">
        <f t="shared" si="467"/>
        <v>0</v>
      </c>
      <c r="BB74" s="2088">
        <f t="shared" si="467"/>
        <v>0</v>
      </c>
      <c r="BC74" s="2088">
        <f t="shared" si="467"/>
        <v>0</v>
      </c>
      <c r="BD74" s="2091">
        <f t="shared" si="467"/>
        <v>0</v>
      </c>
      <c r="BE74" s="1814"/>
      <c r="BF74" s="2090">
        <f t="shared" si="426"/>
        <v>0</v>
      </c>
      <c r="BG74" s="2087">
        <f>$J$74*7</f>
        <v>0</v>
      </c>
      <c r="BH74" s="2174">
        <f t="shared" si="427"/>
        <v>0</v>
      </c>
      <c r="BI74" s="1814"/>
      <c r="BJ74" s="2090">
        <f>IF(BJ65&gt;$J$76,$J$74,IF(BJ65&lt;$J$76,(IF(BJ65&lt;0,0,BJ65*$K$74))))</f>
        <v>0</v>
      </c>
      <c r="BK74" s="2305">
        <f>IF(BK65&gt;$J$76,$J$74,IF(BK65&lt;$J$76,(IF(BK65&lt;0,0,BK65*$K$74))))</f>
        <v>0</v>
      </c>
      <c r="BL74" s="2174">
        <f>IF(BL65&gt;$J$76,$J$74,IF(BL65&lt;$J$76,(IF(BL65&lt;0,0,BL65*$K$74))))</f>
        <v>0</v>
      </c>
      <c r="BM74" s="1814"/>
      <c r="BN74" s="2090">
        <f t="shared" si="440"/>
        <v>0</v>
      </c>
      <c r="BO74" s="2087">
        <f>$J$74*3</f>
        <v>0</v>
      </c>
      <c r="BP74" s="2174">
        <f t="shared" si="428"/>
        <v>0</v>
      </c>
      <c r="BR74" s="2092"/>
      <c r="BS74" s="2093"/>
      <c r="BT74" s="1740"/>
      <c r="BU74" s="2092">
        <f t="shared" si="376"/>
        <v>0</v>
      </c>
      <c r="BV74" s="2094" t="e">
        <f t="shared" si="377"/>
        <v>#DIV/0!</v>
      </c>
      <c r="BW74" s="2351"/>
      <c r="BX74" s="4550"/>
      <c r="CA74" s="2474"/>
      <c r="CB74" s="1860"/>
      <c r="CC74" s="1860"/>
      <c r="CD74" s="1860"/>
      <c r="CE74" s="1860"/>
      <c r="CF74" s="1860"/>
      <c r="CG74" s="1860"/>
      <c r="CH74" s="1860"/>
      <c r="CI74" s="1860"/>
    </row>
    <row r="75" spans="1:87" s="1885" customFormat="1" ht="17.25" thickBot="1" x14ac:dyDescent="0.25">
      <c r="B75" s="2182">
        <v>45</v>
      </c>
      <c r="C75" s="2175" t="s">
        <v>227</v>
      </c>
      <c r="D75" s="1960"/>
      <c r="E75" s="2169">
        <v>0</v>
      </c>
      <c r="F75" s="2176">
        <f>E75/10</f>
        <v>0</v>
      </c>
      <c r="G75" s="2176">
        <f>E75/15</f>
        <v>0</v>
      </c>
      <c r="H75" s="2176">
        <f>E75/20</f>
        <v>0</v>
      </c>
      <c r="I75" s="2176">
        <f>E75/25</f>
        <v>0</v>
      </c>
      <c r="J75" s="2176">
        <f t="shared" si="420"/>
        <v>0</v>
      </c>
      <c r="K75" s="2177">
        <f t="shared" si="421"/>
        <v>0</v>
      </c>
      <c r="L75" s="2003"/>
      <c r="M75" s="1950"/>
      <c r="N75" s="2169">
        <f t="shared" ref="N75:T75" si="468">IF(N65&gt;$J$76,$J$75,IF(N65&lt;$J$76,(IF(N65&lt;0,0,N65*$K$75))))</f>
        <v>0</v>
      </c>
      <c r="O75" s="2176">
        <f t="shared" si="468"/>
        <v>0</v>
      </c>
      <c r="P75" s="2176">
        <f t="shared" si="468"/>
        <v>0</v>
      </c>
      <c r="Q75" s="2176">
        <f t="shared" si="468"/>
        <v>0</v>
      </c>
      <c r="R75" s="2176">
        <f t="shared" si="468"/>
        <v>0</v>
      </c>
      <c r="S75" s="2176">
        <f t="shared" si="468"/>
        <v>0</v>
      </c>
      <c r="T75" s="2171">
        <f t="shared" si="468"/>
        <v>0</v>
      </c>
      <c r="U75" s="1951"/>
      <c r="V75" s="2183">
        <f t="shared" si="61"/>
        <v>0</v>
      </c>
      <c r="W75" s="2184">
        <f>$J$75*7</f>
        <v>0</v>
      </c>
      <c r="X75" s="2185">
        <f t="shared" si="363"/>
        <v>0</v>
      </c>
      <c r="Y75" s="1956"/>
      <c r="Z75" s="2183">
        <f t="shared" ref="Z75:AF75" si="469">IF(Z65&gt;$J$76,$J$75,IF(Z65&lt;$J$76,(IF(Z65&lt;0,0,Z65*$K$75))))</f>
        <v>0</v>
      </c>
      <c r="AA75" s="2184">
        <f t="shared" si="469"/>
        <v>0</v>
      </c>
      <c r="AB75" s="2184">
        <f t="shared" si="469"/>
        <v>0</v>
      </c>
      <c r="AC75" s="2184">
        <f t="shared" si="469"/>
        <v>0</v>
      </c>
      <c r="AD75" s="2184">
        <f t="shared" si="469"/>
        <v>0</v>
      </c>
      <c r="AE75" s="2184">
        <f t="shared" si="469"/>
        <v>0</v>
      </c>
      <c r="AF75" s="2186">
        <f t="shared" si="469"/>
        <v>0</v>
      </c>
      <c r="AG75" s="1956"/>
      <c r="AH75" s="2183">
        <f t="shared" si="365"/>
        <v>0</v>
      </c>
      <c r="AI75" s="2184">
        <f>$J$75*6</f>
        <v>0</v>
      </c>
      <c r="AJ75" s="2185">
        <f t="shared" si="366"/>
        <v>0</v>
      </c>
      <c r="AK75" s="1956"/>
      <c r="AL75" s="2187">
        <f t="shared" ref="AL75:AR75" si="470">IF(AL65&gt;$J$76,$J$75,IF(AL65&lt;$J$76,(IF(AL65&lt;0,0,AL65*$K$75))))</f>
        <v>0</v>
      </c>
      <c r="AM75" s="2308">
        <f t="shared" si="470"/>
        <v>0</v>
      </c>
      <c r="AN75" s="2308">
        <f t="shared" si="470"/>
        <v>0</v>
      </c>
      <c r="AO75" s="2308">
        <f t="shared" si="470"/>
        <v>0</v>
      </c>
      <c r="AP75" s="2308">
        <f t="shared" si="470"/>
        <v>0</v>
      </c>
      <c r="AQ75" s="2308">
        <f t="shared" si="470"/>
        <v>0</v>
      </c>
      <c r="AR75" s="2309">
        <f t="shared" si="470"/>
        <v>0</v>
      </c>
      <c r="AS75" s="1951"/>
      <c r="AT75" s="2183">
        <f t="shared" si="449"/>
        <v>0</v>
      </c>
      <c r="AU75" s="2184">
        <f>$J$75*7</f>
        <v>0</v>
      </c>
      <c r="AV75" s="2185">
        <f t="shared" si="450"/>
        <v>0</v>
      </c>
      <c r="AW75" s="1951"/>
      <c r="AX75" s="2183">
        <f t="shared" ref="AX75:BD75" si="471">IF(AX65&gt;$J$76,$J$75,IF(AX65&lt;$J$76,(IF(AX65&lt;0,0,AX65*$K$75))))</f>
        <v>0</v>
      </c>
      <c r="AY75" s="2310">
        <f t="shared" si="471"/>
        <v>0</v>
      </c>
      <c r="AZ75" s="2310">
        <f t="shared" si="471"/>
        <v>0</v>
      </c>
      <c r="BA75" s="2311">
        <f t="shared" si="471"/>
        <v>0</v>
      </c>
      <c r="BB75" s="2311">
        <f t="shared" si="471"/>
        <v>0</v>
      </c>
      <c r="BC75" s="2311">
        <f t="shared" si="471"/>
        <v>0</v>
      </c>
      <c r="BD75" s="2186">
        <f t="shared" si="471"/>
        <v>0</v>
      </c>
      <c r="BE75" s="1951"/>
      <c r="BF75" s="2183">
        <f t="shared" si="426"/>
        <v>0</v>
      </c>
      <c r="BG75" s="2184">
        <f>$J$75*7</f>
        <v>0</v>
      </c>
      <c r="BH75" s="2185">
        <f t="shared" si="427"/>
        <v>0</v>
      </c>
      <c r="BI75" s="1951"/>
      <c r="BJ75" s="2183">
        <f>IF(BJ65&gt;$J$76,$J$75,IF(BJ65&lt;$J$76,(IF(BJ65&lt;0,0,BJ65*$K$75))))</f>
        <v>0</v>
      </c>
      <c r="BK75" s="2310">
        <f>IF(BK65&gt;$J$76,$J$75,IF(BK65&lt;$J$76,(IF(BK65&lt;0,0,BK65*$K$75))))</f>
        <v>0</v>
      </c>
      <c r="BL75" s="2185">
        <f>IF(BL65&gt;$J$76,$J$75,IF(BL65&lt;$J$76,(IF(BL65&lt;0,0,BL65*$K$75))))</f>
        <v>0</v>
      </c>
      <c r="BM75" s="1951"/>
      <c r="BN75" s="2183">
        <f t="shared" si="440"/>
        <v>0</v>
      </c>
      <c r="BO75" s="2184">
        <f>$J$75*3</f>
        <v>0</v>
      </c>
      <c r="BP75" s="2185">
        <f t="shared" si="428"/>
        <v>0</v>
      </c>
      <c r="BR75" s="2187"/>
      <c r="BS75" s="2188"/>
      <c r="BT75" s="1900"/>
      <c r="BU75" s="2187">
        <f t="shared" si="376"/>
        <v>0</v>
      </c>
      <c r="BV75" s="2189" t="e">
        <f t="shared" si="377"/>
        <v>#DIV/0!</v>
      </c>
      <c r="BW75" s="2353"/>
      <c r="BX75" s="4550"/>
      <c r="CA75" s="2475"/>
      <c r="CB75" s="2475"/>
      <c r="CC75" s="1946"/>
      <c r="CD75" s="1946"/>
      <c r="CE75" s="1946"/>
      <c r="CF75" s="1946"/>
      <c r="CG75" s="1946"/>
      <c r="CH75" s="1946"/>
      <c r="CI75" s="1946"/>
    </row>
    <row r="76" spans="1:87" s="1726" customFormat="1" ht="17.25" thickBot="1" x14ac:dyDescent="0.25">
      <c r="B76" s="2049"/>
      <c r="C76" s="2190" t="s">
        <v>194</v>
      </c>
      <c r="D76" s="2051"/>
      <c r="E76" s="2056">
        <f>SUM(E67:E75)</f>
        <v>1974</v>
      </c>
      <c r="F76" s="2053">
        <f>SUM(F56:F75)</f>
        <v>176.02160000000001</v>
      </c>
      <c r="G76" s="2053">
        <f>SUM(G56:G75)</f>
        <v>117.34773333333334</v>
      </c>
      <c r="H76" s="2053">
        <f>SUM(H56:H75)</f>
        <v>88.010800000000003</v>
      </c>
      <c r="I76" s="2053">
        <f>SUM(I56:I75)</f>
        <v>70.408639999999991</v>
      </c>
      <c r="J76" s="2053">
        <f>SUM(J67:J75)</f>
        <v>65.8</v>
      </c>
      <c r="K76" s="2191">
        <f>SUM(K67:K75)</f>
        <v>1</v>
      </c>
      <c r="L76" s="1931"/>
      <c r="M76" s="1924"/>
      <c r="N76" s="2056">
        <f t="shared" ref="N76:T76" si="472">SUM(N67:N75)</f>
        <v>19.869318518518526</v>
      </c>
      <c r="O76" s="2052">
        <f t="shared" si="472"/>
        <v>14.16465185185185</v>
      </c>
      <c r="P76" s="2052">
        <f t="shared" si="472"/>
        <v>12.435985185185192</v>
      </c>
      <c r="Q76" s="2052">
        <f t="shared" si="472"/>
        <v>11.345985185185191</v>
      </c>
      <c r="R76" s="2052">
        <f t="shared" si="472"/>
        <v>11.390985185185192</v>
      </c>
      <c r="S76" s="2052">
        <f t="shared" si="472"/>
        <v>37.545985185185195</v>
      </c>
      <c r="T76" s="2057">
        <f t="shared" si="472"/>
        <v>35.806385185185178</v>
      </c>
      <c r="U76" s="1814"/>
      <c r="V76" s="2056">
        <f>SUM(V67:V75)</f>
        <v>142.55929629629631</v>
      </c>
      <c r="W76" s="2052">
        <f>SUM(W67:W75)</f>
        <v>460.59999999999991</v>
      </c>
      <c r="X76" s="2192">
        <f>SUM(X67:X75)</f>
        <v>-318.04070370370363</v>
      </c>
      <c r="Y76" s="1766"/>
      <c r="Z76" s="2056">
        <f t="shared" ref="Z76:AF76" si="473">SUM(Z67:Z75)</f>
        <v>51.105185185185192</v>
      </c>
      <c r="AA76" s="2052">
        <f t="shared" si="473"/>
        <v>65.8</v>
      </c>
      <c r="AB76" s="2052">
        <f t="shared" si="473"/>
        <v>65.8</v>
      </c>
      <c r="AC76" s="2052">
        <f t="shared" si="473"/>
        <v>0</v>
      </c>
      <c r="AD76" s="2052">
        <f t="shared" si="473"/>
        <v>0</v>
      </c>
      <c r="AE76" s="2052">
        <f t="shared" si="473"/>
        <v>19.337985185185183</v>
      </c>
      <c r="AF76" s="2057">
        <f t="shared" si="473"/>
        <v>15.870985185185191</v>
      </c>
      <c r="AG76" s="1766"/>
      <c r="AH76" s="2056">
        <f>SUM(Z76:AF76)</f>
        <v>217.91415555555557</v>
      </c>
      <c r="AI76" s="2052">
        <f>SUM(AI56:AI75)</f>
        <v>473.53866666666664</v>
      </c>
      <c r="AJ76" s="2192">
        <f>SUM(AJ56:AJ75)</f>
        <v>-176.88584444444444</v>
      </c>
      <c r="AK76" s="1766"/>
      <c r="AL76" s="2056">
        <f t="shared" ref="AL76:AR76" si="474">SUM(AL67:AL75)</f>
        <v>57.821985185185156</v>
      </c>
      <c r="AM76" s="2053">
        <f t="shared" si="474"/>
        <v>8.497985185185188</v>
      </c>
      <c r="AN76" s="2053">
        <f t="shared" si="474"/>
        <v>43.215985185185197</v>
      </c>
      <c r="AO76" s="2053">
        <f t="shared" si="474"/>
        <v>20.740985185185188</v>
      </c>
      <c r="AP76" s="2053">
        <f t="shared" si="474"/>
        <v>36.363985185185186</v>
      </c>
      <c r="AQ76" s="2053">
        <f t="shared" si="474"/>
        <v>17.70198518518519</v>
      </c>
      <c r="AR76" s="2057">
        <f t="shared" si="474"/>
        <v>1.3907851851851785</v>
      </c>
      <c r="AS76" s="1814"/>
      <c r="AT76" s="2056">
        <f>SUM(AL76:AR76)</f>
        <v>185.73369629629627</v>
      </c>
      <c r="AU76" s="2052">
        <f>SUM(AU56:AU75)</f>
        <v>570.8341333333334</v>
      </c>
      <c r="AV76" s="2192">
        <f>SUM(AV56:AV75)</f>
        <v>-274.86630370370364</v>
      </c>
      <c r="AW76" s="1814"/>
      <c r="AX76" s="2193">
        <f t="shared" ref="AX76:BD76" si="475">SUM(AX67:AX75)</f>
        <v>10.410785185185189</v>
      </c>
      <c r="AY76" s="2312">
        <f t="shared" si="475"/>
        <v>20.970485185185183</v>
      </c>
      <c r="AZ76" s="2312">
        <f t="shared" si="475"/>
        <v>65.8</v>
      </c>
      <c r="BA76" s="2313">
        <f t="shared" si="475"/>
        <v>8.640985185185194</v>
      </c>
      <c r="BB76" s="2313">
        <f t="shared" si="475"/>
        <v>38.590985185185183</v>
      </c>
      <c r="BC76" s="2313">
        <f t="shared" si="475"/>
        <v>24.684185185185179</v>
      </c>
      <c r="BD76" s="2314">
        <f t="shared" si="475"/>
        <v>7.6159851851851865</v>
      </c>
      <c r="BE76" s="1814"/>
      <c r="BF76" s="2193">
        <f>SUM(AX76:BD76)</f>
        <v>176.71341111111113</v>
      </c>
      <c r="BG76" s="2315">
        <f>SUM(BG56:BG75)</f>
        <v>601.16746666666677</v>
      </c>
      <c r="BH76" s="2316">
        <f>SUM(BH56:BH75)</f>
        <v>-314.21992222222218</v>
      </c>
      <c r="BI76" s="1814"/>
      <c r="BJ76" s="2193">
        <f>SUM(BJ67:BJ75)</f>
        <v>18.555785185185186</v>
      </c>
      <c r="BK76" s="2312">
        <f>SUM(BK67:BK75)</f>
        <v>28.392985185185189</v>
      </c>
      <c r="BL76" s="2316">
        <f>SUM(BL67:BL75)</f>
        <v>21.96748518518519</v>
      </c>
      <c r="BM76" s="1814"/>
      <c r="BN76" s="2193">
        <f t="shared" ref="BN76" si="476">SUM(BJ76:BL76)</f>
        <v>68.916255555555566</v>
      </c>
      <c r="BO76" s="2315">
        <f>SUM(BO56:BO75)</f>
        <v>257.64319999999998</v>
      </c>
      <c r="BP76" s="2316">
        <f>SUM(BP56:BP75)</f>
        <v>-141.48374444444443</v>
      </c>
      <c r="BR76" s="2193">
        <f>X76+AJ76+AV76</f>
        <v>-769.79285185185176</v>
      </c>
      <c r="BS76" s="2194"/>
      <c r="BT76" s="1740"/>
      <c r="BU76" s="2193">
        <f>SUM(BU67:BU75)</f>
        <v>791.83681481481472</v>
      </c>
      <c r="BV76" s="2195">
        <f>BU76/E76</f>
        <v>0.40113313820406016</v>
      </c>
      <c r="BW76" s="2351"/>
      <c r="BX76" s="4551"/>
      <c r="CA76" s="2474"/>
      <c r="CB76" s="1860"/>
      <c r="CC76" s="1860"/>
      <c r="CD76" s="1860"/>
      <c r="CE76" s="1860"/>
      <c r="CF76" s="1860"/>
      <c r="CG76" s="1860"/>
      <c r="CH76" s="1860"/>
      <c r="CI76" s="1860"/>
    </row>
    <row r="77" spans="1:87" s="1946" customFormat="1" ht="4.5" customHeight="1" x14ac:dyDescent="0.2">
      <c r="B77" s="2201"/>
      <c r="C77" s="2201"/>
      <c r="D77" s="2011"/>
      <c r="E77" s="2354"/>
      <c r="F77" s="2354"/>
      <c r="G77" s="2354"/>
      <c r="H77" s="2354"/>
      <c r="I77" s="2354"/>
      <c r="J77" s="2354"/>
      <c r="K77" s="2428"/>
      <c r="L77" s="1949"/>
      <c r="M77" s="2475"/>
      <c r="N77" s="2354"/>
      <c r="O77" s="2354"/>
      <c r="P77" s="2354"/>
      <c r="Q77" s="2354"/>
      <c r="R77" s="2354"/>
      <c r="S77" s="2354"/>
      <c r="T77" s="2354"/>
      <c r="U77" s="1893"/>
      <c r="V77" s="1893"/>
      <c r="W77" s="1893"/>
      <c r="X77" s="1893"/>
      <c r="Y77" s="1897"/>
      <c r="Z77" s="2394"/>
      <c r="AA77" s="2394"/>
      <c r="AB77" s="2394"/>
      <c r="AC77" s="2394"/>
      <c r="AD77" s="2394"/>
      <c r="AE77" s="2394"/>
      <c r="AF77" s="2394"/>
      <c r="AG77" s="1897"/>
      <c r="AH77" s="1893"/>
      <c r="AI77" s="1893"/>
      <c r="AJ77" s="1893"/>
      <c r="AK77" s="1897"/>
      <c r="AL77" s="2354"/>
      <c r="AM77" s="2354"/>
      <c r="AN77" s="2354"/>
      <c r="AO77" s="2354"/>
      <c r="AP77" s="2354"/>
      <c r="AQ77" s="2354"/>
      <c r="AR77" s="2354"/>
      <c r="AS77" s="1893"/>
      <c r="AT77" s="1893"/>
      <c r="AU77" s="1893"/>
      <c r="AV77" s="1893"/>
      <c r="AW77" s="1893"/>
      <c r="AX77" s="2354"/>
      <c r="AY77" s="2354"/>
      <c r="AZ77" s="2354"/>
      <c r="BA77" s="2354"/>
      <c r="BB77" s="2354"/>
      <c r="BC77" s="2354"/>
      <c r="BD77" s="2354"/>
      <c r="BE77" s="1893"/>
      <c r="BF77" s="1893"/>
      <c r="BG77" s="1893"/>
      <c r="BH77" s="1893"/>
      <c r="BI77" s="1893"/>
      <c r="BJ77" s="2354"/>
      <c r="BK77" s="2354"/>
      <c r="BL77" s="2354"/>
      <c r="BM77" s="1893"/>
      <c r="BN77" s="1893"/>
      <c r="BO77" s="1893"/>
      <c r="BP77" s="1893"/>
      <c r="BR77" s="2354"/>
      <c r="BS77" s="2429"/>
      <c r="BT77" s="2011"/>
      <c r="BU77" s="2354"/>
      <c r="BV77" s="2428"/>
      <c r="BW77" s="2010"/>
      <c r="BX77" s="2475"/>
    </row>
    <row r="78" spans="1:87" s="1946" customFormat="1" ht="15.75" customHeight="1" x14ac:dyDescent="0.2">
      <c r="B78" s="2201"/>
      <c r="C78" s="2354">
        <f>K9-E78</f>
        <v>-1079.7587444444441</v>
      </c>
      <c r="D78" s="2011"/>
      <c r="E78" s="1898">
        <f t="shared" ref="E78:I78" si="477">E63+E76</f>
        <v>2210.2159999999999</v>
      </c>
      <c r="F78" s="1898">
        <f t="shared" si="477"/>
        <v>176.02160000000001</v>
      </c>
      <c r="G78" s="1898">
        <f t="shared" si="477"/>
        <v>117.34773333333334</v>
      </c>
      <c r="H78" s="1898">
        <f t="shared" si="477"/>
        <v>88.010800000000003</v>
      </c>
      <c r="I78" s="1898">
        <f t="shared" si="477"/>
        <v>70.408639999999991</v>
      </c>
      <c r="J78" s="1898">
        <f>J63+J76</f>
        <v>73.673866666666669</v>
      </c>
      <c r="K78" s="1899">
        <f>E80/E95</f>
        <v>0.30461371634772333</v>
      </c>
      <c r="L78" s="1949"/>
      <c r="M78" s="2475"/>
      <c r="N78" s="1898">
        <f t="shared" ref="N78:T78" si="478">N65-N76</f>
        <v>0</v>
      </c>
      <c r="O78" s="1898">
        <f t="shared" si="478"/>
        <v>0</v>
      </c>
      <c r="P78" s="1898">
        <f t="shared" si="478"/>
        <v>0</v>
      </c>
      <c r="Q78" s="1898">
        <f t="shared" si="478"/>
        <v>0</v>
      </c>
      <c r="R78" s="1898">
        <f t="shared" si="478"/>
        <v>0</v>
      </c>
      <c r="S78" s="1898">
        <f t="shared" si="478"/>
        <v>0</v>
      </c>
      <c r="T78" s="1898">
        <f t="shared" si="478"/>
        <v>0</v>
      </c>
      <c r="U78" s="1893"/>
      <c r="V78" s="1893"/>
      <c r="W78" s="1893"/>
      <c r="X78" s="1893"/>
      <c r="Y78" s="1897"/>
      <c r="Z78" s="1898">
        <f t="shared" ref="Z78:AF78" si="479">Z65-Z76</f>
        <v>0</v>
      </c>
      <c r="AA78" s="1898">
        <f t="shared" si="479"/>
        <v>14.416485185185181</v>
      </c>
      <c r="AB78" s="1898">
        <f t="shared" si="479"/>
        <v>89.170985185185188</v>
      </c>
      <c r="AC78" s="1898">
        <f t="shared" si="479"/>
        <v>0</v>
      </c>
      <c r="AD78" s="1898">
        <f t="shared" si="479"/>
        <v>-1.3401481481481454</v>
      </c>
      <c r="AE78" s="1898">
        <f t="shared" si="479"/>
        <v>0</v>
      </c>
      <c r="AF78" s="1898">
        <f t="shared" si="479"/>
        <v>0</v>
      </c>
      <c r="AG78" s="1897"/>
      <c r="AH78" s="1893"/>
      <c r="AI78" s="1893"/>
      <c r="AJ78" s="1893"/>
      <c r="AK78" s="1897"/>
      <c r="AL78" s="1898">
        <f t="shared" ref="AL78:AR78" si="480">AL65-AL76</f>
        <v>0</v>
      </c>
      <c r="AM78" s="1898">
        <f t="shared" si="480"/>
        <v>0</v>
      </c>
      <c r="AN78" s="1898">
        <f t="shared" si="480"/>
        <v>0</v>
      </c>
      <c r="AO78" s="1898">
        <f t="shared" si="480"/>
        <v>0</v>
      </c>
      <c r="AP78" s="1898">
        <f t="shared" si="480"/>
        <v>0</v>
      </c>
      <c r="AQ78" s="1898">
        <f t="shared" si="480"/>
        <v>0</v>
      </c>
      <c r="AR78" s="1898">
        <f t="shared" si="480"/>
        <v>0</v>
      </c>
      <c r="AS78" s="1893"/>
      <c r="AT78" s="1893"/>
      <c r="AU78" s="1893"/>
      <c r="AV78" s="1893"/>
      <c r="AW78" s="1893"/>
      <c r="AX78" s="1898">
        <f t="shared" ref="AX78:BD78" si="481">AX65-AX76</f>
        <v>0</v>
      </c>
      <c r="AY78" s="1898">
        <f t="shared" si="481"/>
        <v>0</v>
      </c>
      <c r="AZ78" s="1898">
        <f t="shared" si="481"/>
        <v>8.0309851851851732</v>
      </c>
      <c r="BA78" s="1898">
        <f t="shared" si="481"/>
        <v>0</v>
      </c>
      <c r="BB78" s="1898">
        <f t="shared" si="481"/>
        <v>0</v>
      </c>
      <c r="BC78" s="1898">
        <f t="shared" si="481"/>
        <v>0</v>
      </c>
      <c r="BD78" s="1898">
        <f t="shared" si="481"/>
        <v>0</v>
      </c>
      <c r="BE78" s="1893"/>
      <c r="BF78" s="1893"/>
      <c r="BG78" s="1893"/>
      <c r="BH78" s="1893"/>
      <c r="BI78" s="1893"/>
      <c r="BJ78" s="1898">
        <f>BJ65-BJ76</f>
        <v>0</v>
      </c>
      <c r="BK78" s="1898">
        <f>BK65-BK76</f>
        <v>0</v>
      </c>
      <c r="BL78" s="1898">
        <f>BL65-BL76</f>
        <v>0</v>
      </c>
      <c r="BM78" s="1893"/>
      <c r="BN78" s="1893"/>
      <c r="BO78" s="1893"/>
      <c r="BP78" s="1893"/>
      <c r="BR78" s="1898"/>
      <c r="BS78" s="2202"/>
      <c r="BT78" s="2011"/>
      <c r="BU78" s="1898"/>
      <c r="BV78" s="1899"/>
      <c r="BW78" s="2010"/>
      <c r="BX78" s="2475"/>
    </row>
    <row r="79" spans="1:87" s="1946" customFormat="1" ht="4.5" customHeight="1" thickBot="1" x14ac:dyDescent="0.25">
      <c r="B79" s="2201"/>
      <c r="C79" s="2201"/>
      <c r="D79" s="2011"/>
      <c r="E79" s="2354"/>
      <c r="F79" s="2354"/>
      <c r="G79" s="2354"/>
      <c r="H79" s="2354"/>
      <c r="I79" s="2354"/>
      <c r="J79" s="2354"/>
      <c r="K79" s="2428"/>
      <c r="L79" s="1949"/>
      <c r="M79" s="2475"/>
      <c r="N79" s="1893"/>
      <c r="O79" s="1893"/>
      <c r="P79" s="1893"/>
      <c r="Q79" s="1893"/>
      <c r="R79" s="1893"/>
      <c r="S79" s="1893"/>
      <c r="T79" s="1893"/>
      <c r="U79" s="1893"/>
      <c r="V79" s="1893"/>
      <c r="W79" s="1893"/>
      <c r="X79" s="1893"/>
      <c r="Y79" s="1897"/>
      <c r="Z79" s="2430"/>
      <c r="AA79" s="2430"/>
      <c r="AB79" s="2430"/>
      <c r="AC79" s="2430"/>
      <c r="AD79" s="2430"/>
      <c r="AE79" s="2430"/>
      <c r="AF79" s="2430"/>
      <c r="AG79" s="1897"/>
      <c r="AH79" s="1893"/>
      <c r="AI79" s="1893"/>
      <c r="AJ79" s="1893"/>
      <c r="AK79" s="1897"/>
      <c r="AL79" s="2430"/>
      <c r="AM79" s="2430"/>
      <c r="AN79" s="2430"/>
      <c r="AO79" s="2430"/>
      <c r="AP79" s="2430"/>
      <c r="AQ79" s="2430"/>
      <c r="AR79" s="2430"/>
      <c r="AS79" s="1893"/>
      <c r="AT79" s="1893"/>
      <c r="AU79" s="1893"/>
      <c r="AV79" s="1893"/>
      <c r="AW79" s="1893"/>
      <c r="AX79" s="2430"/>
      <c r="AY79" s="2430"/>
      <c r="AZ79" s="2430"/>
      <c r="BA79" s="2430"/>
      <c r="BB79" s="2430"/>
      <c r="BC79" s="2430"/>
      <c r="BD79" s="2430"/>
      <c r="BE79" s="1893"/>
      <c r="BF79" s="1893"/>
      <c r="BG79" s="1893"/>
      <c r="BH79" s="1893"/>
      <c r="BI79" s="1893"/>
      <c r="BJ79" s="2430"/>
      <c r="BK79" s="2430"/>
      <c r="BL79" s="2430"/>
      <c r="BM79" s="1893"/>
      <c r="BN79" s="1893"/>
      <c r="BO79" s="1893"/>
      <c r="BP79" s="1893"/>
      <c r="BR79" s="2394"/>
      <c r="BS79" s="2431"/>
      <c r="BT79" s="2011"/>
      <c r="BU79" s="2394"/>
      <c r="BV79" s="2432"/>
      <c r="BW79" s="2010"/>
      <c r="BX79" s="2475"/>
    </row>
    <row r="80" spans="1:87" s="1726" customFormat="1" ht="17.25" thickBot="1" x14ac:dyDescent="0.25">
      <c r="B80" s="1739"/>
      <c r="C80" s="1739" t="s">
        <v>151</v>
      </c>
      <c r="D80" s="2205"/>
      <c r="E80" s="1732">
        <f>(E76+E63)*100/30</f>
        <v>7367.3866666666663</v>
      </c>
      <c r="F80" s="1732">
        <f>F52+F76</f>
        <v>485.67993333333334</v>
      </c>
      <c r="G80" s="1732">
        <f>G52+G76</f>
        <v>323.78662222222226</v>
      </c>
      <c r="H80" s="1732">
        <f>H52+H76</f>
        <v>242.83996666666667</v>
      </c>
      <c r="I80" s="1732">
        <f>I52+I76</f>
        <v>194.27197333333334</v>
      </c>
      <c r="J80" s="1732">
        <f>(J76+J63)*100/30</f>
        <v>245.57955555555557</v>
      </c>
      <c r="K80" s="1882">
        <f>E80/E95</f>
        <v>0.30461371634772333</v>
      </c>
      <c r="L80" s="1760"/>
      <c r="M80" s="2474"/>
      <c r="N80" s="2206"/>
      <c r="O80" s="2206"/>
      <c r="P80" s="2206"/>
      <c r="Q80" s="2206"/>
      <c r="R80" s="2206"/>
      <c r="S80" s="2206"/>
      <c r="T80" s="2206"/>
      <c r="U80" s="2476"/>
      <c r="V80" s="2207"/>
      <c r="W80" s="2208"/>
      <c r="X80" s="2209"/>
      <c r="Y80" s="1862"/>
      <c r="Z80" s="2206">
        <v>23.907</v>
      </c>
      <c r="AA80" s="2206"/>
      <c r="AB80" s="2206"/>
      <c r="AC80" s="2206"/>
      <c r="AD80" s="2206"/>
      <c r="AE80" s="2206"/>
      <c r="AF80" s="2206"/>
      <c r="AG80" s="1881"/>
      <c r="AH80" s="2207"/>
      <c r="AI80" s="2208"/>
      <c r="AJ80" s="2209"/>
      <c r="AK80" s="1862"/>
      <c r="AL80" s="2206"/>
      <c r="AM80" s="2206"/>
      <c r="AN80" s="2206"/>
      <c r="AO80" s="2206"/>
      <c r="AP80" s="2206"/>
      <c r="AQ80" s="2206"/>
      <c r="AR80" s="2206"/>
      <c r="AS80" s="2293"/>
      <c r="AT80" s="2207"/>
      <c r="AU80" s="2208"/>
      <c r="AV80" s="2209"/>
      <c r="AW80" s="2476"/>
      <c r="AX80" s="2206"/>
      <c r="AY80" s="2206"/>
      <c r="AZ80" s="2206"/>
      <c r="BA80" s="2206"/>
      <c r="BB80" s="2206"/>
      <c r="BC80" s="2206"/>
      <c r="BD80" s="2206"/>
      <c r="BE80" s="2293"/>
      <c r="BF80" s="2207"/>
      <c r="BG80" s="2208"/>
      <c r="BH80" s="2209"/>
      <c r="BI80" s="2476"/>
      <c r="BJ80" s="2206"/>
      <c r="BK80" s="2206"/>
      <c r="BL80" s="2206"/>
      <c r="BM80" s="2476"/>
      <c r="BN80" s="2207"/>
      <c r="BO80" s="2208"/>
      <c r="BP80" s="2209"/>
      <c r="BR80" s="1732"/>
      <c r="BS80" s="2211"/>
      <c r="BT80" s="1740"/>
      <c r="BU80" s="1732"/>
      <c r="BV80" s="1882"/>
      <c r="BW80" s="1997"/>
      <c r="BX80" s="2474"/>
    </row>
    <row r="81" spans="1:77" s="1885" customFormat="1" ht="17.25" thickBot="1" x14ac:dyDescent="0.25">
      <c r="B81" s="2117"/>
      <c r="C81" s="2212" t="s">
        <v>149</v>
      </c>
      <c r="D81" s="2119"/>
      <c r="E81" s="2123"/>
      <c r="F81" s="2121"/>
      <c r="G81" s="2121"/>
      <c r="H81" s="2121"/>
      <c r="I81" s="2121"/>
      <c r="J81" s="2121"/>
      <c r="K81" s="2129"/>
      <c r="L81" s="2213"/>
      <c r="M81" s="2214"/>
      <c r="N81" s="2120">
        <f t="shared" ref="N81:T81" si="482">IF(N78&gt;$J$78,N78,IF(N78&lt;$J$78,(IF(N78&lt;0,-81.974,N65-$J$76))))</f>
        <v>-45.930681481481471</v>
      </c>
      <c r="O81" s="2121">
        <f t="shared" si="482"/>
        <v>-51.635348148148147</v>
      </c>
      <c r="P81" s="2121">
        <f t="shared" si="482"/>
        <v>-53.364014814814801</v>
      </c>
      <c r="Q81" s="2121">
        <f t="shared" si="482"/>
        <v>-54.454014814814805</v>
      </c>
      <c r="R81" s="2121">
        <f t="shared" si="482"/>
        <v>-54.409014814814803</v>
      </c>
      <c r="S81" s="2121">
        <f t="shared" si="482"/>
        <v>-28.254014814814802</v>
      </c>
      <c r="T81" s="2124">
        <f t="shared" si="482"/>
        <v>-29.993614814814812</v>
      </c>
      <c r="U81" s="1951"/>
      <c r="V81" s="2120">
        <f>SUM(N81:T81)</f>
        <v>-318.04070370370363</v>
      </c>
      <c r="W81" s="2123"/>
      <c r="X81" s="2124"/>
      <c r="Y81" s="1956"/>
      <c r="Z81" s="2120">
        <f>IF(Z78&gt;$J$78,Z78,IF(Z78&lt;$J$78,(IF(Z78&lt;0,-81.974,Z65-$J$76))))</f>
        <v>-14.694814814814812</v>
      </c>
      <c r="AA81" s="2121">
        <f>IF(AA78&gt;$J$78,AA78,IF(AA78&lt;$J$78,(IF(AA78&lt;0,-81.974,AA65-$J$76))))</f>
        <v>14.416485185185181</v>
      </c>
      <c r="AB81" s="2121">
        <f>IF(AB78&gt;$J$78,AB78,IF(AB78&lt;$J$78,(IF(AB78&lt;0,-81.974,AB65-$J$76))))</f>
        <v>89.170985185185188</v>
      </c>
      <c r="AC81" s="2121">
        <v>0</v>
      </c>
      <c r="AD81" s="2121">
        <f>IF(AD78&gt;$J$78,AD78,IF(AD78&lt;$J$78,(IF(AD78&lt;0,-81.974,AD65-$J$76))))</f>
        <v>-81.974000000000004</v>
      </c>
      <c r="AE81" s="2121">
        <f>IF(AE78&gt;$J$78,AE78,IF(AE78&lt;$J$78,(IF(AE78&lt;0,-81.974,AE65-$J$76))))</f>
        <v>-46.462014814814815</v>
      </c>
      <c r="AF81" s="2121">
        <f>IF(AF78&gt;$J$78,AF78,IF(AF78&lt;$J$78,(IF(AF78&lt;0,-81.974,AF65-$J$76))))</f>
        <v>-49.929014814814806</v>
      </c>
      <c r="AG81" s="1956"/>
      <c r="AH81" s="2120">
        <f>SUM(Z81:AF81)</f>
        <v>-89.472374074074054</v>
      </c>
      <c r="AI81" s="2123"/>
      <c r="AJ81" s="2124"/>
      <c r="AK81" s="1955"/>
      <c r="AL81" s="2120">
        <f t="shared" ref="AL81:AQ81" si="483">IF(AL78&gt;$J$78,AL78,IF(AL78&lt;$J$78,(IF(AL78&lt;0,-81.974,AL65-$J$76))))</f>
        <v>-7.9780148148148342</v>
      </c>
      <c r="AM81" s="2120">
        <f t="shared" si="483"/>
        <v>-57.302014814814811</v>
      </c>
      <c r="AN81" s="2120">
        <f t="shared" si="483"/>
        <v>-22.5840148148148</v>
      </c>
      <c r="AO81" s="2120">
        <f t="shared" si="483"/>
        <v>-45.059014814814809</v>
      </c>
      <c r="AP81" s="2120">
        <f t="shared" si="483"/>
        <v>-29.436014814814804</v>
      </c>
      <c r="AQ81" s="2120">
        <f t="shared" si="483"/>
        <v>-48.09801481481481</v>
      </c>
      <c r="AR81" s="2123">
        <f t="shared" ref="AR81" si="484">IF(AR78&gt;$J$78,AR78,IF(AR78&lt;$J$78,(IF(AR78&lt;0,-81.974,AR65-$J$76))))</f>
        <v>-64.409214814814817</v>
      </c>
      <c r="AS81" s="2254"/>
      <c r="AT81" s="2120">
        <f t="shared" ref="AT81" si="485">SUM(AL81:AR81)</f>
        <v>-274.86630370370369</v>
      </c>
      <c r="AU81" s="2123"/>
      <c r="AV81" s="2124"/>
      <c r="AW81" s="1951"/>
      <c r="AX81" s="2120">
        <f>IF(AX78&gt;$J$78,AX78,IF(AX78&lt;$J$78,(IF(AX78&lt;0,-81.974,AX65-$J$76))))</f>
        <v>-55.389214814814807</v>
      </c>
      <c r="AY81" s="2123">
        <f t="shared" ref="AY81" si="486">IF(AY78&gt;$J$78,AY78,IF(AY78&lt;$J$78,(IF(AY78&lt;0,-81.974,AY65-$J$76))))</f>
        <v>-44.829514814814814</v>
      </c>
      <c r="AZ81" s="2123">
        <f t="shared" ref="AZ81:BA81" si="487">IF(AZ78&gt;$J$78,AZ78,IF(AZ78&lt;$J$78,(IF(AZ78&lt;0,-81.974,AZ65-$J$76))))</f>
        <v>8.0309851851851732</v>
      </c>
      <c r="BA81" s="2123">
        <f t="shared" si="487"/>
        <v>-57.159014814814803</v>
      </c>
      <c r="BB81" s="2123">
        <f t="shared" ref="BB81:BC81" si="488">IF(BB78&gt;$J$78,BB78,IF(BB78&lt;$J$78,(IF(BB78&lt;0,-81.974,BB65-$J$76))))</f>
        <v>-27.209014814814815</v>
      </c>
      <c r="BC81" s="2123">
        <f t="shared" si="488"/>
        <v>-41.115814814814819</v>
      </c>
      <c r="BD81" s="2121">
        <f t="shared" ref="BD81" si="489">IF(BD78&gt;$J$78,BD78,IF(BD78&lt;$J$78,(IF(BD78&lt;0,-81.974,BD65-$J$76))))</f>
        <v>-58.184014814814809</v>
      </c>
      <c r="BE81" s="1951"/>
      <c r="BF81" s="2120">
        <f t="shared" ref="BF81" si="490">SUM(AX81:BD81)</f>
        <v>-275.85560370370371</v>
      </c>
      <c r="BG81" s="2123"/>
      <c r="BH81" s="2124"/>
      <c r="BI81" s="1900"/>
      <c r="BJ81" s="2120">
        <f t="shared" ref="BJ81" si="491">IF(BJ78&gt;$J$78,BJ78,IF(BJ78&lt;$J$78,(IF(BJ78&lt;0,-81.974,BJ65-$J$76))))</f>
        <v>-47.244214814814811</v>
      </c>
      <c r="BK81" s="2123">
        <f>IF(BK54&gt;$J$76,BK54-BK76,IF(BK54&lt;$J$76,(IF(BK54&lt;0,-54.161,BK54-BK80))))</f>
        <v>36.266851851851854</v>
      </c>
      <c r="BL81" s="2123">
        <f>IF(BL54&gt;$J$76,BL54-BL76,IF(BL54&lt;$J$76,(IF(BL54&lt;0,-54.161,BL54-BL80))))</f>
        <v>29.841351851851854</v>
      </c>
      <c r="BM81" s="2317"/>
      <c r="BN81" s="2215">
        <f>SUM(BJ81:BL81)</f>
        <v>18.863988888888898</v>
      </c>
      <c r="BO81" s="2318"/>
      <c r="BP81" s="2118"/>
      <c r="BQ81" s="1897"/>
      <c r="BR81" s="2215">
        <f>SUM(N81:T81)+SUM(Z81:AF81)+SUM(AL81:AR81)+SUM(AX81:BD81)+SUM(BJ81:BL81)</f>
        <v>-939.37099629629608</v>
      </c>
      <c r="BS81" s="2130"/>
      <c r="BT81" s="1900"/>
      <c r="BU81" s="1900"/>
      <c r="BV81" s="1900"/>
      <c r="BW81" s="2011"/>
    </row>
    <row r="82" spans="1:77" s="1947" customFormat="1" ht="17.25" thickBot="1" x14ac:dyDescent="0.25">
      <c r="B82" s="1960"/>
      <c r="C82" s="1960"/>
      <c r="D82" s="1960"/>
      <c r="E82" s="1951"/>
      <c r="F82" s="1951"/>
      <c r="G82" s="1951"/>
      <c r="H82" s="1951"/>
      <c r="I82" s="1951"/>
      <c r="J82" s="1951"/>
      <c r="K82" s="2434"/>
      <c r="L82" s="2213"/>
      <c r="M82" s="2214"/>
      <c r="N82" s="1951"/>
      <c r="O82" s="1951"/>
      <c r="P82" s="1951"/>
      <c r="Q82" s="1951"/>
      <c r="R82" s="1951"/>
      <c r="S82" s="1951"/>
      <c r="T82" s="1951"/>
      <c r="U82" s="1951"/>
      <c r="V82" s="1951"/>
      <c r="W82" s="1951"/>
      <c r="X82" s="1951"/>
      <c r="Y82" s="1956"/>
      <c r="Z82" s="1951"/>
      <c r="AA82" s="1951"/>
      <c r="AB82" s="1951"/>
      <c r="AC82" s="1951"/>
      <c r="AD82" s="1951"/>
      <c r="AE82" s="1951"/>
      <c r="AF82" s="1951"/>
      <c r="AG82" s="1956"/>
      <c r="AH82" s="1951"/>
      <c r="AI82" s="1951"/>
      <c r="AJ82" s="1951"/>
      <c r="AK82" s="1956"/>
      <c r="AL82" s="1951"/>
      <c r="AM82" s="1951"/>
      <c r="AN82" s="1951"/>
      <c r="AO82" s="1951"/>
      <c r="AP82" s="1951"/>
      <c r="AQ82" s="1951"/>
      <c r="AR82" s="1951"/>
      <c r="AS82" s="1951"/>
      <c r="AT82" s="1951"/>
      <c r="AU82" s="1951"/>
      <c r="AV82" s="1951"/>
      <c r="AW82" s="1951"/>
      <c r="AX82" s="1951"/>
      <c r="AY82" s="1951"/>
      <c r="AZ82" s="1951"/>
      <c r="BA82" s="1951"/>
      <c r="BB82" s="1951"/>
      <c r="BC82" s="1951"/>
      <c r="BD82" s="1951"/>
      <c r="BE82" s="1951"/>
      <c r="BF82" s="1951"/>
      <c r="BG82" s="1951"/>
      <c r="BH82" s="1951"/>
      <c r="BI82" s="1951"/>
      <c r="BJ82" s="1951"/>
      <c r="BK82" s="1951"/>
      <c r="BL82" s="1951"/>
      <c r="BM82" s="1951"/>
      <c r="BN82" s="1951"/>
      <c r="BO82" s="1951"/>
      <c r="BP82" s="1951"/>
      <c r="BQ82" s="1956"/>
      <c r="BR82" s="1951"/>
      <c r="BS82" s="1962"/>
      <c r="BT82" s="1959"/>
      <c r="BU82" s="1959"/>
      <c r="BV82" s="1959"/>
      <c r="BW82" s="1960"/>
    </row>
    <row r="83" spans="1:77" s="1756" customFormat="1" x14ac:dyDescent="0.2">
      <c r="A83" s="2503"/>
      <c r="B83" s="2504">
        <v>46</v>
      </c>
      <c r="C83" s="2504" t="s">
        <v>74</v>
      </c>
      <c r="D83" s="2505"/>
      <c r="E83" s="1735">
        <v>1000</v>
      </c>
      <c r="F83" s="1735">
        <f t="shared" ref="F83:F92" si="492">E83/10</f>
        <v>100</v>
      </c>
      <c r="G83" s="1735">
        <f t="shared" ref="G83:G84" si="493">E83/15</f>
        <v>66.666666666666671</v>
      </c>
      <c r="H83" s="1735">
        <f t="shared" ref="H83:H84" si="494">E83/20</f>
        <v>50</v>
      </c>
      <c r="I83" s="1735">
        <f t="shared" ref="I83:I84" si="495">E83/25</f>
        <v>40</v>
      </c>
      <c r="J83" s="1735">
        <f>E83/30</f>
        <v>33.333333333333336</v>
      </c>
      <c r="K83" s="1768">
        <f>E83/E97</f>
        <v>0.13782079052351595</v>
      </c>
      <c r="L83" s="1760"/>
      <c r="M83" s="1761"/>
      <c r="N83" s="1735">
        <f>$J$83</f>
        <v>33.333333333333336</v>
      </c>
      <c r="O83" s="1735">
        <f>$J$83</f>
        <v>33.333333333333336</v>
      </c>
      <c r="P83" s="1735">
        <f>$J$83</f>
        <v>33.333333333333336</v>
      </c>
      <c r="Q83" s="1735">
        <f t="shared" ref="Q83:T83" si="496">$J$83</f>
        <v>33.333333333333336</v>
      </c>
      <c r="R83" s="1735">
        <f t="shared" si="496"/>
        <v>33.333333333333336</v>
      </c>
      <c r="S83" s="1735">
        <f t="shared" si="496"/>
        <v>33.333333333333336</v>
      </c>
      <c r="T83" s="1735">
        <f t="shared" si="496"/>
        <v>33.333333333333336</v>
      </c>
      <c r="U83" s="1814"/>
      <c r="V83" s="1771">
        <f t="shared" si="61"/>
        <v>233.33333333333337</v>
      </c>
      <c r="W83" s="1815"/>
      <c r="X83" s="1816"/>
      <c r="Y83" s="1764"/>
      <c r="Z83" s="2442">
        <f t="shared" ref="Z83:AF83" si="497">$J$83</f>
        <v>33.333333333333336</v>
      </c>
      <c r="AA83" s="2442">
        <f t="shared" si="497"/>
        <v>33.333333333333336</v>
      </c>
      <c r="AB83" s="2442">
        <f t="shared" si="497"/>
        <v>33.333333333333336</v>
      </c>
      <c r="AC83" s="2442">
        <v>0</v>
      </c>
      <c r="AD83" s="2442">
        <f t="shared" si="497"/>
        <v>33.333333333333336</v>
      </c>
      <c r="AE83" s="2442">
        <f t="shared" si="497"/>
        <v>33.333333333333336</v>
      </c>
      <c r="AF83" s="2442">
        <f t="shared" si="497"/>
        <v>33.333333333333336</v>
      </c>
      <c r="AG83" s="1764"/>
      <c r="AH83" s="1771">
        <f t="shared" ref="AH83:AH84" si="498">SUM(Z83:AF83)</f>
        <v>200.00000000000003</v>
      </c>
      <c r="AI83" s="1815"/>
      <c r="AJ83" s="1816"/>
      <c r="AK83" s="1764"/>
      <c r="AL83" s="2442">
        <f t="shared" ref="AL83:AR83" si="499">$J$83</f>
        <v>33.333333333333336</v>
      </c>
      <c r="AM83" s="2442">
        <f t="shared" si="499"/>
        <v>33.333333333333336</v>
      </c>
      <c r="AN83" s="2442">
        <f t="shared" si="499"/>
        <v>33.333333333333336</v>
      </c>
      <c r="AO83" s="2442">
        <f t="shared" si="499"/>
        <v>33.333333333333336</v>
      </c>
      <c r="AP83" s="2442">
        <f t="shared" si="499"/>
        <v>33.333333333333336</v>
      </c>
      <c r="AQ83" s="2442">
        <f t="shared" si="499"/>
        <v>33.333333333333336</v>
      </c>
      <c r="AR83" s="2442">
        <f t="shared" si="499"/>
        <v>33.333333333333336</v>
      </c>
      <c r="AS83" s="2289"/>
      <c r="AT83" s="1771">
        <f t="shared" ref="AT83:AT86" si="500">SUM(AL83:AR83)</f>
        <v>233.33333333333337</v>
      </c>
      <c r="AU83" s="1815"/>
      <c r="AV83" s="1816"/>
      <c r="AW83" s="2289"/>
      <c r="AX83" s="2442">
        <f t="shared" ref="AX83:BD83" si="501">$J$83</f>
        <v>33.333333333333336</v>
      </c>
      <c r="AY83" s="2442">
        <f t="shared" si="501"/>
        <v>33.333333333333336</v>
      </c>
      <c r="AZ83" s="2442">
        <f t="shared" si="501"/>
        <v>33.333333333333336</v>
      </c>
      <c r="BA83" s="2442">
        <f t="shared" si="501"/>
        <v>33.333333333333336</v>
      </c>
      <c r="BB83" s="2442">
        <f t="shared" si="501"/>
        <v>33.333333333333336</v>
      </c>
      <c r="BC83" s="2442">
        <f t="shared" si="501"/>
        <v>33.333333333333336</v>
      </c>
      <c r="BD83" s="2442">
        <f t="shared" si="501"/>
        <v>33.333333333333336</v>
      </c>
      <c r="BE83" s="2289"/>
      <c r="BF83" s="1771">
        <f t="shared" ref="BF83:BF84" si="502">SUM(AX83:BD83)</f>
        <v>233.33333333333337</v>
      </c>
      <c r="BG83" s="1815"/>
      <c r="BH83" s="1816"/>
      <c r="BI83" s="1814"/>
      <c r="BJ83" s="1735">
        <f t="shared" ref="BJ83:BK83" si="503">$J$83</f>
        <v>33.333333333333336</v>
      </c>
      <c r="BK83" s="1735">
        <f t="shared" si="503"/>
        <v>33.333333333333336</v>
      </c>
      <c r="BL83" s="1735"/>
      <c r="BM83" s="1814"/>
      <c r="BN83" s="1771">
        <f>SUM(BJ83:BL83)</f>
        <v>66.666666666666671</v>
      </c>
      <c r="BO83" s="1815"/>
      <c r="BP83" s="1816"/>
      <c r="BR83" s="1735">
        <f>SUM(N83:T83)+SUM(Z83:AF83)+SUM(AL83:AR83)+SUM(AX83:BD83)+SUM(BJ83:BL83)</f>
        <v>966.66666666666674</v>
      </c>
      <c r="BS83" s="1768">
        <f>BR83/E83</f>
        <v>0.96666666666666679</v>
      </c>
      <c r="BT83" s="2473"/>
      <c r="BU83" s="2506"/>
      <c r="BV83" s="2507"/>
      <c r="BW83" s="2131"/>
      <c r="BX83" s="1924"/>
    </row>
    <row r="84" spans="1:77" s="1946" customFormat="1" ht="17.25" thickBot="1" x14ac:dyDescent="0.25">
      <c r="B84" s="2401"/>
      <c r="C84" s="2401" t="s">
        <v>153</v>
      </c>
      <c r="D84" s="2402"/>
      <c r="E84" s="1898">
        <f>E83*100/30</f>
        <v>3333.3333333333335</v>
      </c>
      <c r="F84" s="1898">
        <f t="shared" si="492"/>
        <v>333.33333333333337</v>
      </c>
      <c r="G84" s="1898">
        <f t="shared" si="493"/>
        <v>222.22222222222223</v>
      </c>
      <c r="H84" s="1898">
        <f t="shared" si="494"/>
        <v>166.66666666666669</v>
      </c>
      <c r="I84" s="1898">
        <f t="shared" si="495"/>
        <v>133.33333333333334</v>
      </c>
      <c r="J84" s="1898">
        <f>J83*100/30</f>
        <v>111.11111111111111</v>
      </c>
      <c r="K84" s="1899">
        <f>E84/E95</f>
        <v>0.13782079052351598</v>
      </c>
      <c r="L84" s="1949"/>
      <c r="M84" s="2475"/>
      <c r="N84" s="1898">
        <f>$J$84</f>
        <v>111.11111111111111</v>
      </c>
      <c r="O84" s="1898">
        <f>$J$84</f>
        <v>111.11111111111111</v>
      </c>
      <c r="P84" s="1898">
        <f>$J$84</f>
        <v>111.11111111111111</v>
      </c>
      <c r="Q84" s="1898">
        <f t="shared" ref="Q84:T84" si="504">$J$84</f>
        <v>111.11111111111111</v>
      </c>
      <c r="R84" s="1898">
        <f t="shared" si="504"/>
        <v>111.11111111111111</v>
      </c>
      <c r="S84" s="1898">
        <f t="shared" si="504"/>
        <v>111.11111111111111</v>
      </c>
      <c r="T84" s="1898">
        <f t="shared" si="504"/>
        <v>111.11111111111111</v>
      </c>
      <c r="U84" s="1893"/>
      <c r="V84" s="2248">
        <f t="shared" si="61"/>
        <v>777.77777777777771</v>
      </c>
      <c r="W84" s="2323"/>
      <c r="X84" s="2499"/>
      <c r="Y84" s="1896"/>
      <c r="Z84" s="2322">
        <f t="shared" ref="Z84:AF84" si="505">$J$84</f>
        <v>111.11111111111111</v>
      </c>
      <c r="AA84" s="2322">
        <f t="shared" si="505"/>
        <v>111.11111111111111</v>
      </c>
      <c r="AB84" s="2322">
        <f t="shared" si="505"/>
        <v>111.11111111111111</v>
      </c>
      <c r="AC84" s="2322">
        <v>0</v>
      </c>
      <c r="AD84" s="2322">
        <f t="shared" si="505"/>
        <v>111.11111111111111</v>
      </c>
      <c r="AE84" s="2322">
        <f t="shared" si="505"/>
        <v>111.11111111111111</v>
      </c>
      <c r="AF84" s="2322">
        <f t="shared" si="505"/>
        <v>111.11111111111111</v>
      </c>
      <c r="AG84" s="1896"/>
      <c r="AH84" s="2248">
        <f t="shared" si="498"/>
        <v>666.66666666666663</v>
      </c>
      <c r="AI84" s="2323"/>
      <c r="AJ84" s="2499"/>
      <c r="AK84" s="1896"/>
      <c r="AL84" s="2322">
        <f t="shared" ref="AL84:AR84" si="506">$J$84</f>
        <v>111.11111111111111</v>
      </c>
      <c r="AM84" s="2322">
        <f t="shared" si="506"/>
        <v>111.11111111111111</v>
      </c>
      <c r="AN84" s="2322">
        <f t="shared" si="506"/>
        <v>111.11111111111111</v>
      </c>
      <c r="AO84" s="2322">
        <f t="shared" si="506"/>
        <v>111.11111111111111</v>
      </c>
      <c r="AP84" s="2322">
        <f t="shared" si="506"/>
        <v>111.11111111111111</v>
      </c>
      <c r="AQ84" s="2322">
        <f t="shared" si="506"/>
        <v>111.11111111111111</v>
      </c>
      <c r="AR84" s="2322">
        <f t="shared" si="506"/>
        <v>111.11111111111111</v>
      </c>
      <c r="AS84" s="2295"/>
      <c r="AT84" s="2248">
        <f t="shared" si="500"/>
        <v>777.77777777777771</v>
      </c>
      <c r="AU84" s="2323"/>
      <c r="AV84" s="2499"/>
      <c r="AW84" s="2295"/>
      <c r="AX84" s="2322">
        <f t="shared" ref="AX84:BD84" si="507">$J$84</f>
        <v>111.11111111111111</v>
      </c>
      <c r="AY84" s="2322">
        <f t="shared" si="507"/>
        <v>111.11111111111111</v>
      </c>
      <c r="AZ84" s="2322">
        <f t="shared" si="507"/>
        <v>111.11111111111111</v>
      </c>
      <c r="BA84" s="2322">
        <f t="shared" si="507"/>
        <v>111.11111111111111</v>
      </c>
      <c r="BB84" s="2322">
        <f t="shared" si="507"/>
        <v>111.11111111111111</v>
      </c>
      <c r="BC84" s="2322">
        <f t="shared" si="507"/>
        <v>111.11111111111111</v>
      </c>
      <c r="BD84" s="2322">
        <f t="shared" si="507"/>
        <v>111.11111111111111</v>
      </c>
      <c r="BE84" s="2295"/>
      <c r="BF84" s="2248">
        <f t="shared" si="502"/>
        <v>777.77777777777771</v>
      </c>
      <c r="BG84" s="2323"/>
      <c r="BH84" s="2499"/>
      <c r="BI84" s="1893"/>
      <c r="BJ84" s="1898">
        <f t="shared" ref="BJ84:BK84" si="508">$J$84</f>
        <v>111.11111111111111</v>
      </c>
      <c r="BK84" s="1898">
        <f t="shared" si="508"/>
        <v>111.11111111111111</v>
      </c>
      <c r="BL84" s="2322"/>
      <c r="BM84" s="1893"/>
      <c r="BN84" s="2248">
        <f>SUM(BJ84:BL84)</f>
        <v>222.22222222222223</v>
      </c>
      <c r="BO84" s="2323"/>
      <c r="BP84" s="2499"/>
      <c r="BQ84" s="1885"/>
      <c r="BR84" s="1898">
        <f>SUM(N84:T84)+SUM(Z84:AF84)+SUM(AL84:AR84)+SUM(AX84:BD84)+SUM(BJ84:BL84)</f>
        <v>3222.2222222222222</v>
      </c>
      <c r="BS84" s="1899">
        <f>BR84/E84</f>
        <v>0.96666666666666656</v>
      </c>
      <c r="BT84" s="1900"/>
      <c r="BU84" s="2500"/>
      <c r="BV84" s="2501"/>
      <c r="BW84" s="2404"/>
      <c r="BX84" s="1892"/>
      <c r="BY84" s="1885"/>
    </row>
    <row r="85" spans="1:77" s="1946" customFormat="1" ht="4.5" customHeight="1" thickBot="1" x14ac:dyDescent="0.25">
      <c r="B85" s="2435"/>
      <c r="C85" s="2435"/>
      <c r="D85" s="2011"/>
      <c r="E85" s="2430"/>
      <c r="F85" s="2430"/>
      <c r="G85" s="2430"/>
      <c r="H85" s="2430"/>
      <c r="I85" s="2430"/>
      <c r="J85" s="2430"/>
      <c r="K85" s="2436"/>
      <c r="L85" s="1949"/>
      <c r="M85" s="2475"/>
      <c r="N85" s="2430"/>
      <c r="O85" s="2430"/>
      <c r="P85" s="2430"/>
      <c r="Q85" s="2430"/>
      <c r="R85" s="2430"/>
      <c r="S85" s="2430"/>
      <c r="T85" s="2430"/>
      <c r="U85" s="1893"/>
      <c r="V85" s="1893"/>
      <c r="W85" s="1893"/>
      <c r="X85" s="1893"/>
      <c r="Y85" s="1897"/>
      <c r="Z85" s="2430"/>
      <c r="AA85" s="2430"/>
      <c r="AB85" s="2430"/>
      <c r="AC85" s="2430"/>
      <c r="AD85" s="2430"/>
      <c r="AE85" s="2430"/>
      <c r="AF85" s="2430"/>
      <c r="AG85" s="1897"/>
      <c r="AH85" s="1893"/>
      <c r="AI85" s="1893"/>
      <c r="AJ85" s="1893"/>
      <c r="AK85" s="1897"/>
      <c r="AL85" s="2430"/>
      <c r="AM85" s="2430"/>
      <c r="AN85" s="2430"/>
      <c r="AO85" s="2430"/>
      <c r="AP85" s="2430"/>
      <c r="AQ85" s="2430"/>
      <c r="AR85" s="2430"/>
      <c r="AS85" s="1893"/>
      <c r="AT85" s="1893"/>
      <c r="AU85" s="1893"/>
      <c r="AV85" s="1893"/>
      <c r="AW85" s="1893"/>
      <c r="AX85" s="2430"/>
      <c r="AY85" s="2430"/>
      <c r="AZ85" s="2430"/>
      <c r="BA85" s="2430"/>
      <c r="BB85" s="2430"/>
      <c r="BC85" s="2430"/>
      <c r="BD85" s="2430"/>
      <c r="BE85" s="1893"/>
      <c r="BF85" s="1893"/>
      <c r="BG85" s="1893"/>
      <c r="BH85" s="1893"/>
      <c r="BI85" s="1893"/>
      <c r="BJ85" s="2430"/>
      <c r="BK85" s="2430"/>
      <c r="BL85" s="2430"/>
      <c r="BM85" s="1893"/>
      <c r="BN85" s="1893"/>
      <c r="BO85" s="1893"/>
      <c r="BP85" s="1893"/>
      <c r="BQ85" s="1885"/>
      <c r="BR85" s="2430"/>
      <c r="BS85" s="2436"/>
      <c r="BT85" s="1900"/>
      <c r="BU85" s="1893"/>
      <c r="BV85" s="2404"/>
      <c r="BW85" s="2404"/>
      <c r="BX85" s="1892"/>
      <c r="BY85" s="1885"/>
    </row>
    <row r="86" spans="1:77" s="1726" customFormat="1" ht="17.25" thickBot="1" x14ac:dyDescent="0.25">
      <c r="B86" s="2049"/>
      <c r="C86" s="2050" t="s">
        <v>154</v>
      </c>
      <c r="D86" s="2051"/>
      <c r="E86" s="2052"/>
      <c r="F86" s="2053"/>
      <c r="G86" s="2053"/>
      <c r="H86" s="2053"/>
      <c r="I86" s="2053"/>
      <c r="J86" s="2053"/>
      <c r="K86" s="2253"/>
      <c r="L86" s="2216"/>
      <c r="M86" s="2055"/>
      <c r="N86" s="2056">
        <f>IF(N81&gt;$J$83,N81-N83,IF(N81&lt;$J$83,(IF(N81&lt;0,-33.333,N81-N83))))</f>
        <v>-33.332999999999998</v>
      </c>
      <c r="O86" s="2053">
        <f t="shared" ref="O86:T86" si="509">IF(O81&gt;$J$83,O81-O83,IF(O81&lt;$J$83,(IF(O81&lt;0,-33.333,O81-O83))))</f>
        <v>-33.332999999999998</v>
      </c>
      <c r="P86" s="2053">
        <f t="shared" si="509"/>
        <v>-33.332999999999998</v>
      </c>
      <c r="Q86" s="2053">
        <f t="shared" si="509"/>
        <v>-33.332999999999998</v>
      </c>
      <c r="R86" s="2053">
        <f t="shared" si="509"/>
        <v>-33.332999999999998</v>
      </c>
      <c r="S86" s="2053">
        <f t="shared" si="509"/>
        <v>-33.332999999999998</v>
      </c>
      <c r="T86" s="2057">
        <f t="shared" si="509"/>
        <v>-33.332999999999998</v>
      </c>
      <c r="U86" s="1814"/>
      <c r="V86" s="2056">
        <f>SUM(N86:T86)</f>
        <v>-233.33099999999999</v>
      </c>
      <c r="W86" s="2052"/>
      <c r="X86" s="2057"/>
      <c r="Y86" s="1766"/>
      <c r="Z86" s="2056">
        <f>IF(Z81&gt;$J$83,Z81-Z83,IF(Z81&lt;$J$83,(IF(Z81&lt;0,-33.333,Z81-Z83))))</f>
        <v>-33.332999999999998</v>
      </c>
      <c r="AA86" s="2053">
        <f t="shared" ref="AA86:AB86" si="510">IF(AA81&gt;$J$83,AA81-AA83,IF(AA81&lt;$J$83,(IF(AA81&lt;0,-33.333,AA81-AA83))))</f>
        <v>-18.916848148148155</v>
      </c>
      <c r="AB86" s="2053">
        <f t="shared" si="510"/>
        <v>55.837651851851852</v>
      </c>
      <c r="AC86" s="2053">
        <f t="shared" ref="AC86:AF86" si="511">IF(AC81&gt;$J$83,AC81-AC83,IF(AC81&lt;$J$83,(IF(AC81&lt;0,-33.333,AC81-AC83))))</f>
        <v>0</v>
      </c>
      <c r="AD86" s="2053">
        <f t="shared" si="511"/>
        <v>-33.332999999999998</v>
      </c>
      <c r="AE86" s="2053">
        <f t="shared" si="511"/>
        <v>-33.332999999999998</v>
      </c>
      <c r="AF86" s="2053">
        <f t="shared" si="511"/>
        <v>-33.332999999999998</v>
      </c>
      <c r="AG86" s="1766"/>
      <c r="AH86" s="2056">
        <f>SUM(Z86:AF86)</f>
        <v>-96.411196296296296</v>
      </c>
      <c r="AI86" s="2052"/>
      <c r="AJ86" s="2057"/>
      <c r="AK86" s="1764"/>
      <c r="AL86" s="2056">
        <f t="shared" ref="AL86:AM86" si="512">IF(AL81&gt;$J$83,AL81-AL83,IF(AL81&lt;$J$83,(IF(AL81&lt;0,-33.333,AL81-AL83))))</f>
        <v>-33.332999999999998</v>
      </c>
      <c r="AM86" s="2056">
        <f t="shared" si="512"/>
        <v>-33.332999999999998</v>
      </c>
      <c r="AN86" s="2056">
        <f t="shared" ref="AN86:AO86" si="513">IF(AN81&gt;$J$83,AN81-AN83,IF(AN81&lt;$J$83,(IF(AN81&lt;0,-33.333,AN81-AN83))))</f>
        <v>-33.332999999999998</v>
      </c>
      <c r="AO86" s="2056">
        <f t="shared" si="513"/>
        <v>-33.332999999999998</v>
      </c>
      <c r="AP86" s="2056">
        <f t="shared" ref="AP86:AQ86" si="514">IF(AP81&gt;$J$83,AP81-AP83,IF(AP81&lt;$J$83,(IF(AP81&lt;0,-33.333,AP81-AP83))))</f>
        <v>-33.332999999999998</v>
      </c>
      <c r="AQ86" s="2056">
        <f t="shared" si="514"/>
        <v>-33.332999999999998</v>
      </c>
      <c r="AR86" s="2052">
        <f t="shared" ref="AR86" si="515">IF(AR81&gt;$J$83,AR81-AR83,IF(AR81&lt;$J$83,(IF(AR81&lt;0,-33.333,AR81-AR83))))</f>
        <v>-33.332999999999998</v>
      </c>
      <c r="AS86" s="2300"/>
      <c r="AT86" s="2056">
        <f t="shared" si="500"/>
        <v>-233.33099999999999</v>
      </c>
      <c r="AU86" s="2052"/>
      <c r="AV86" s="2057"/>
      <c r="AW86" s="1814"/>
      <c r="AX86" s="2056">
        <f t="shared" ref="AX86:AY86" si="516">IF(AX81&gt;$J$83,AX81-AX83,IF(AX81&lt;$J$83,(IF(AX81&lt;0,-33.333,AX81-AX83))))</f>
        <v>-33.332999999999998</v>
      </c>
      <c r="AY86" s="2052">
        <f t="shared" si="516"/>
        <v>-33.332999999999998</v>
      </c>
      <c r="AZ86" s="2052">
        <f t="shared" ref="AZ86:BA86" si="517">IF(AZ81&gt;$J$83,AZ81-AZ83,IF(AZ81&lt;$J$83,(IF(AZ81&lt;0,-33.333,AZ81-AZ83))))</f>
        <v>-25.302348148148162</v>
      </c>
      <c r="BA86" s="2052">
        <f t="shared" si="517"/>
        <v>-33.332999999999998</v>
      </c>
      <c r="BB86" s="2052">
        <f t="shared" ref="BB86:BC86" si="518">IF(BB81&gt;$J$83,BB81-BB83,IF(BB81&lt;$J$83,(IF(BB81&lt;0,-33.333,BB81-BB83))))</f>
        <v>-33.332999999999998</v>
      </c>
      <c r="BC86" s="2052">
        <f t="shared" si="518"/>
        <v>-33.332999999999998</v>
      </c>
      <c r="BD86" s="2053">
        <f t="shared" ref="BD86" si="519">IF(BD81&gt;$J$83,BD81-BD83,IF(BD81&lt;$J$83,(IF(BD81&lt;0,-33.333,BD81-BD83))))</f>
        <v>-33.332999999999998</v>
      </c>
      <c r="BE86" s="1814"/>
      <c r="BF86" s="2056">
        <f t="shared" ref="BF86" si="520">SUM(AX86:BD86)</f>
        <v>-225.30034814814815</v>
      </c>
      <c r="BG86" s="2052"/>
      <c r="BH86" s="2057"/>
      <c r="BI86" s="1740"/>
      <c r="BJ86" s="2056">
        <f>IF(BJ81&gt;$J$83,BJ81-BJ83,IF(BJ81&lt;$J$83,(IF(BJ81&lt;0,-6.642,BJ81-BJ83))))</f>
        <v>-6.6420000000000003</v>
      </c>
      <c r="BK86" s="2056">
        <f>IF(BK81&gt;$J$83,BK81-BK83,IF(BK81&lt;$J$83,(IF(BK81&lt;0,-6.642,BK81-BK83))))</f>
        <v>2.9335185185185182</v>
      </c>
      <c r="BL86" s="2052">
        <f>IF(BL81&gt;$J$83,BL81-BL83,IF(BL81&lt;$J$83,(IF(BL81&lt;0,-6.642,BL81-BL83))))</f>
        <v>29.841351851851854</v>
      </c>
      <c r="BM86" s="2301"/>
      <c r="BN86" s="2058">
        <f>SUM(BJ86:BL86)</f>
        <v>26.132870370370373</v>
      </c>
      <c r="BO86" s="2324"/>
      <c r="BP86" s="2190"/>
      <c r="BQ86" s="1862"/>
      <c r="BR86" s="2058">
        <f>SUM(N86:T86)+SUM(Z86:AF86)+SUM(AL86:AR86)+SUM(AX86:BD86)+SUM(BJ86:BL86)</f>
        <v>-762.24067407407404</v>
      </c>
      <c r="BS86" s="2054">
        <f>BR86/E83</f>
        <v>-0.76224067407407403</v>
      </c>
      <c r="BT86" s="1740"/>
      <c r="BU86" s="1740"/>
      <c r="BV86" s="1740"/>
      <c r="BW86" s="1861"/>
    </row>
    <row r="87" spans="1:77" s="1947" customFormat="1" ht="17.25" thickBot="1" x14ac:dyDescent="0.25">
      <c r="B87" s="1960"/>
      <c r="C87" s="1960"/>
      <c r="D87" s="1960"/>
      <c r="E87" s="1951"/>
      <c r="F87" s="1951"/>
      <c r="G87" s="1951"/>
      <c r="H87" s="1951"/>
      <c r="I87" s="1951"/>
      <c r="J87" s="1951"/>
      <c r="K87" s="2434"/>
      <c r="L87" s="2213"/>
      <c r="M87" s="2214"/>
      <c r="N87" s="1951"/>
      <c r="O87" s="1951"/>
      <c r="P87" s="1951"/>
      <c r="Q87" s="1951"/>
      <c r="R87" s="1951"/>
      <c r="S87" s="1951"/>
      <c r="T87" s="1951"/>
      <c r="U87" s="1951"/>
      <c r="V87" s="1951"/>
      <c r="W87" s="1951"/>
      <c r="X87" s="1951"/>
      <c r="Y87" s="1956"/>
      <c r="Z87" s="1951"/>
      <c r="AA87" s="1951"/>
      <c r="AB87" s="1951"/>
      <c r="AC87" s="1951"/>
      <c r="AD87" s="1951"/>
      <c r="AE87" s="1951"/>
      <c r="AF87" s="1951"/>
      <c r="AG87" s="1956"/>
      <c r="AH87" s="1951"/>
      <c r="AI87" s="1951"/>
      <c r="AJ87" s="1951"/>
      <c r="AK87" s="1956"/>
      <c r="AL87" s="1951"/>
      <c r="AM87" s="1951"/>
      <c r="AN87" s="1951"/>
      <c r="AO87" s="1951"/>
      <c r="AP87" s="1951"/>
      <c r="AQ87" s="1951"/>
      <c r="AR87" s="1951"/>
      <c r="AS87" s="1951"/>
      <c r="AT87" s="1951"/>
      <c r="AU87" s="1951"/>
      <c r="AV87" s="1951"/>
      <c r="AW87" s="1951"/>
      <c r="AX87" s="1951"/>
      <c r="AY87" s="1951"/>
      <c r="AZ87" s="1951"/>
      <c r="BA87" s="1951"/>
      <c r="BB87" s="1951"/>
      <c r="BC87" s="1951"/>
      <c r="BD87" s="1951"/>
      <c r="BE87" s="1951"/>
      <c r="BF87" s="1951"/>
      <c r="BG87" s="1951"/>
      <c r="BH87" s="1951"/>
      <c r="BI87" s="1951"/>
      <c r="BJ87" s="1951"/>
      <c r="BK87" s="1951"/>
      <c r="BL87" s="1951"/>
      <c r="BM87" s="1951"/>
      <c r="BN87" s="1951"/>
      <c r="BO87" s="1951"/>
      <c r="BP87" s="1951"/>
      <c r="BQ87" s="1956"/>
      <c r="BR87" s="1951"/>
      <c r="BS87" s="1962"/>
      <c r="BT87" s="1959"/>
      <c r="BU87" s="1959"/>
      <c r="BV87" s="1959"/>
      <c r="BW87" s="1960"/>
    </row>
    <row r="88" spans="1:77" s="1946" customFormat="1" x14ac:dyDescent="0.2">
      <c r="B88" s="2234"/>
      <c r="C88" s="2235" t="s">
        <v>212</v>
      </c>
      <c r="D88" s="2011"/>
      <c r="E88" s="2220">
        <f>C29</f>
        <v>2796.8333333333335</v>
      </c>
      <c r="F88" s="2236">
        <f t="shared" si="492"/>
        <v>279.68333333333334</v>
      </c>
      <c r="G88" s="2237">
        <f t="shared" ref="G88:G92" si="521">E88/15</f>
        <v>186.45555555555558</v>
      </c>
      <c r="H88" s="2238">
        <f>E88/20</f>
        <v>139.84166666666667</v>
      </c>
      <c r="I88" s="2239">
        <f t="shared" ref="I88:I92" si="522">E88/25</f>
        <v>111.87333333333333</v>
      </c>
      <c r="J88" s="2240">
        <f>E88/30</f>
        <v>93.227777777777789</v>
      </c>
      <c r="K88" s="2241">
        <f>J88*30%</f>
        <v>27.968333333333337</v>
      </c>
      <c r="L88" s="2213"/>
      <c r="M88" s="2214"/>
      <c r="N88" s="4552" t="str">
        <f t="shared" ref="N88:T88" si="523">IF(N54&gt;0,"0.000",N54)</f>
        <v>0.000</v>
      </c>
      <c r="O88" s="4554" t="str">
        <f t="shared" si="523"/>
        <v>0.000</v>
      </c>
      <c r="P88" s="4554" t="str">
        <f t="shared" si="523"/>
        <v>0.000</v>
      </c>
      <c r="Q88" s="4554" t="str">
        <f t="shared" si="523"/>
        <v>0.000</v>
      </c>
      <c r="R88" s="4554" t="str">
        <f t="shared" si="523"/>
        <v>0.000</v>
      </c>
      <c r="S88" s="4554" t="str">
        <f t="shared" si="523"/>
        <v>0.000</v>
      </c>
      <c r="T88" s="4547" t="str">
        <f t="shared" si="523"/>
        <v>0.000</v>
      </c>
      <c r="U88" s="1893"/>
      <c r="V88" s="4552">
        <f t="shared" si="61"/>
        <v>0</v>
      </c>
      <c r="W88" s="4554"/>
      <c r="X88" s="4547"/>
      <c r="Y88" s="1897"/>
      <c r="Z88" s="4552" t="str">
        <f t="shared" ref="Z88:AF88" si="524">IF(Z54&gt;0,"0.000",Z54)</f>
        <v>0.000</v>
      </c>
      <c r="AA88" s="4554" t="str">
        <f t="shared" si="524"/>
        <v>0.000</v>
      </c>
      <c r="AB88" s="4554" t="str">
        <f t="shared" si="524"/>
        <v>0.000</v>
      </c>
      <c r="AC88" s="4554">
        <f t="shared" si="524"/>
        <v>0</v>
      </c>
      <c r="AD88" s="4554">
        <f t="shared" si="524"/>
        <v>-1.3401481481481454</v>
      </c>
      <c r="AE88" s="4554" t="str">
        <f t="shared" si="524"/>
        <v>0.000</v>
      </c>
      <c r="AF88" s="4547" t="str">
        <f t="shared" si="524"/>
        <v>0.000</v>
      </c>
      <c r="AG88" s="1897"/>
      <c r="AH88" s="4552">
        <f t="shared" ref="AH88:AH93" si="525">SUM(Z88:AF88)</f>
        <v>-1.3401481481481454</v>
      </c>
      <c r="AI88" s="4554"/>
      <c r="AJ88" s="4547"/>
      <c r="AK88" s="1897"/>
      <c r="AL88" s="4552" t="str">
        <f t="shared" ref="AL88:AR88" si="526">IF(AL54&gt;0,"0.000",AL54)</f>
        <v>0.000</v>
      </c>
      <c r="AM88" s="4554" t="str">
        <f t="shared" si="526"/>
        <v>0.000</v>
      </c>
      <c r="AN88" s="4554" t="str">
        <f t="shared" si="526"/>
        <v>0.000</v>
      </c>
      <c r="AO88" s="4554" t="str">
        <f t="shared" si="526"/>
        <v>0.000</v>
      </c>
      <c r="AP88" s="4554" t="str">
        <f t="shared" si="526"/>
        <v>0.000</v>
      </c>
      <c r="AQ88" s="4554" t="str">
        <f t="shared" si="526"/>
        <v>0.000</v>
      </c>
      <c r="AR88" s="4547" t="str">
        <f t="shared" si="526"/>
        <v>0.000</v>
      </c>
      <c r="AS88" s="1893"/>
      <c r="AT88" s="4552">
        <f t="shared" ref="AT88:AT93" si="527">SUM(AL88:AR88)</f>
        <v>0</v>
      </c>
      <c r="AU88" s="4554"/>
      <c r="AV88" s="4547"/>
      <c r="AW88" s="1893"/>
      <c r="AX88" s="4552" t="str">
        <f t="shared" ref="AX88" si="528">IF(AX54&gt;0,"0.000",AX54)</f>
        <v>0.000</v>
      </c>
      <c r="AY88" s="4554" t="str">
        <f t="shared" ref="AY88:BD88" si="529">IF(AY54&gt;0,"0.000",AY54)</f>
        <v>0.000</v>
      </c>
      <c r="AZ88" s="4554" t="str">
        <f t="shared" si="529"/>
        <v>0.000</v>
      </c>
      <c r="BA88" s="4554" t="str">
        <f t="shared" si="529"/>
        <v>0.000</v>
      </c>
      <c r="BB88" s="4554" t="str">
        <f t="shared" si="529"/>
        <v>0.000</v>
      </c>
      <c r="BC88" s="4554" t="str">
        <f t="shared" si="529"/>
        <v>0.000</v>
      </c>
      <c r="BD88" s="4547" t="str">
        <f t="shared" si="529"/>
        <v>0.000</v>
      </c>
      <c r="BE88" s="1893"/>
      <c r="BF88" s="4552">
        <f t="shared" ref="BF88:BF93" si="530">SUM(AX88:BD88)</f>
        <v>0</v>
      </c>
      <c r="BG88" s="4554"/>
      <c r="BH88" s="4547"/>
      <c r="BI88" s="1893"/>
      <c r="BJ88" s="4593" t="str">
        <f>IF(BJ54&gt;0,"0.000",BJ54)</f>
        <v>0.000</v>
      </c>
      <c r="BK88" s="4595" t="str">
        <f>IF(BK54&gt;0,"0.000",BK54)</f>
        <v>0.000</v>
      </c>
      <c r="BL88" s="4597" t="str">
        <f>IF(BL54&gt;0,"0.000",BL54)</f>
        <v>0.000</v>
      </c>
      <c r="BM88" s="1893"/>
      <c r="BN88" s="4552">
        <f>SUM(BJ88:BL88)</f>
        <v>0</v>
      </c>
      <c r="BO88" s="4554"/>
      <c r="BP88" s="4547"/>
      <c r="BQ88" s="1885"/>
      <c r="BR88" s="4552">
        <f>SUM(N88:T88)+SUM(Z88:AF88)+SUM(AL88:AR88)+SUM(AX88:BD88)+SUM(BJ88:BL88)</f>
        <v>-1.3401481481481454</v>
      </c>
      <c r="BS88" s="4547"/>
      <c r="BT88" s="1900"/>
      <c r="BU88" s="1893"/>
      <c r="BV88" s="2010"/>
      <c r="BW88" s="2010"/>
      <c r="BX88" s="2475"/>
    </row>
    <row r="89" spans="1:77" s="1860" customFormat="1" ht="17.25" thickBot="1" x14ac:dyDescent="0.25">
      <c r="B89" s="2355"/>
      <c r="C89" s="2356" t="s">
        <v>213</v>
      </c>
      <c r="D89" s="1861"/>
      <c r="E89" s="1939">
        <f>C50</f>
        <v>10688.444444444442</v>
      </c>
      <c r="F89" s="2361"/>
      <c r="G89" s="2362"/>
      <c r="H89" s="2363"/>
      <c r="I89" s="2364"/>
      <c r="J89" s="2365">
        <f>E89/30</f>
        <v>356.28148148148136</v>
      </c>
      <c r="K89" s="2366">
        <f>J89*30%</f>
        <v>106.88444444444441</v>
      </c>
      <c r="L89" s="2216"/>
      <c r="M89" s="2055"/>
      <c r="N89" s="4553"/>
      <c r="O89" s="4555"/>
      <c r="P89" s="4555"/>
      <c r="Q89" s="4555"/>
      <c r="R89" s="4555"/>
      <c r="S89" s="4555"/>
      <c r="T89" s="4606"/>
      <c r="U89" s="2476"/>
      <c r="V89" s="4557"/>
      <c r="W89" s="4556"/>
      <c r="X89" s="4548"/>
      <c r="Y89" s="1862"/>
      <c r="Z89" s="4553"/>
      <c r="AA89" s="4555"/>
      <c r="AB89" s="4555"/>
      <c r="AC89" s="4555"/>
      <c r="AD89" s="4555"/>
      <c r="AE89" s="4555"/>
      <c r="AF89" s="4606"/>
      <c r="AG89" s="1862"/>
      <c r="AH89" s="4557"/>
      <c r="AI89" s="4556"/>
      <c r="AJ89" s="4548"/>
      <c r="AK89" s="1862"/>
      <c r="AL89" s="4557"/>
      <c r="AM89" s="4556"/>
      <c r="AN89" s="4556"/>
      <c r="AO89" s="4556"/>
      <c r="AP89" s="4556"/>
      <c r="AQ89" s="4556"/>
      <c r="AR89" s="4548"/>
      <c r="AS89" s="2476"/>
      <c r="AT89" s="4557"/>
      <c r="AU89" s="4556"/>
      <c r="AV89" s="4548"/>
      <c r="AW89" s="2476"/>
      <c r="AX89" s="4557"/>
      <c r="AY89" s="4556"/>
      <c r="AZ89" s="4556"/>
      <c r="BA89" s="4556"/>
      <c r="BB89" s="4556"/>
      <c r="BC89" s="4556"/>
      <c r="BD89" s="4548"/>
      <c r="BE89" s="2476"/>
      <c r="BF89" s="4557"/>
      <c r="BG89" s="4556"/>
      <c r="BH89" s="4548"/>
      <c r="BI89" s="2476"/>
      <c r="BJ89" s="4594"/>
      <c r="BK89" s="4596"/>
      <c r="BL89" s="4598"/>
      <c r="BM89" s="2476"/>
      <c r="BN89" s="4557"/>
      <c r="BO89" s="4556"/>
      <c r="BP89" s="4548"/>
      <c r="BQ89" s="1726"/>
      <c r="BR89" s="4557"/>
      <c r="BS89" s="4548"/>
      <c r="BT89" s="1740"/>
      <c r="BU89" s="2476"/>
      <c r="BV89" s="1997"/>
      <c r="BW89" s="1997"/>
      <c r="BX89" s="2474"/>
    </row>
    <row r="90" spans="1:77" s="1946" customFormat="1" ht="5.25" customHeight="1" thickBot="1" x14ac:dyDescent="0.25">
      <c r="B90" s="2011"/>
      <c r="C90" s="2011"/>
      <c r="D90" s="2011"/>
      <c r="E90" s="1951"/>
      <c r="F90" s="2437"/>
      <c r="G90" s="2438"/>
      <c r="H90" s="2439"/>
      <c r="I90" s="2440"/>
      <c r="J90" s="1951"/>
      <c r="K90" s="2434"/>
      <c r="L90" s="2214"/>
      <c r="M90" s="2214"/>
      <c r="N90" s="2354"/>
      <c r="O90" s="2354"/>
      <c r="P90" s="2354"/>
      <c r="Q90" s="2354"/>
      <c r="R90" s="2354"/>
      <c r="S90" s="2354"/>
      <c r="T90" s="2354"/>
      <c r="U90" s="1893"/>
      <c r="V90" s="1893"/>
      <c r="W90" s="1893"/>
      <c r="X90" s="1893"/>
      <c r="Y90" s="1897"/>
      <c r="Z90" s="2354"/>
      <c r="AA90" s="2354"/>
      <c r="AB90" s="2354"/>
      <c r="AC90" s="2354"/>
      <c r="AD90" s="2354"/>
      <c r="AE90" s="2354"/>
      <c r="AF90" s="2354"/>
      <c r="AG90" s="1897"/>
      <c r="AH90" s="1893"/>
      <c r="AI90" s="1893"/>
      <c r="AJ90" s="1893"/>
      <c r="AK90" s="1897"/>
      <c r="AL90" s="1893"/>
      <c r="AM90" s="1893"/>
      <c r="AN90" s="1893"/>
      <c r="AO90" s="1893"/>
      <c r="AP90" s="1893"/>
      <c r="AQ90" s="1893"/>
      <c r="AR90" s="1893"/>
      <c r="AS90" s="1893"/>
      <c r="AT90" s="1893"/>
      <c r="AU90" s="1893"/>
      <c r="AV90" s="1893"/>
      <c r="AW90" s="1893"/>
      <c r="AX90" s="1893"/>
      <c r="AY90" s="1893"/>
      <c r="AZ90" s="1893"/>
      <c r="BA90" s="1893"/>
      <c r="BB90" s="1893"/>
      <c r="BC90" s="1893"/>
      <c r="BD90" s="1893"/>
      <c r="BE90" s="1893"/>
      <c r="BF90" s="1893"/>
      <c r="BG90" s="1893"/>
      <c r="BH90" s="1893"/>
      <c r="BI90" s="1893"/>
      <c r="BJ90" s="2529"/>
      <c r="BK90" s="2529"/>
      <c r="BL90" s="2529"/>
      <c r="BM90" s="1893"/>
      <c r="BN90" s="2529"/>
      <c r="BO90" s="2529"/>
      <c r="BP90" s="2529"/>
      <c r="BR90" s="1893"/>
      <c r="BS90" s="1893"/>
      <c r="BT90" s="2011"/>
      <c r="BU90" s="1893"/>
      <c r="BV90" s="2010"/>
      <c r="BW90" s="2010"/>
      <c r="BX90" s="2475"/>
    </row>
    <row r="91" spans="1:77" s="1885" customFormat="1" x14ac:dyDescent="0.2">
      <c r="B91" s="2234"/>
      <c r="C91" s="2235" t="s">
        <v>143</v>
      </c>
      <c r="D91" s="2011"/>
      <c r="E91" s="2220">
        <f>E80</f>
        <v>7367.3866666666663</v>
      </c>
      <c r="F91" s="2236">
        <f t="shared" si="492"/>
        <v>736.73866666666663</v>
      </c>
      <c r="G91" s="2237">
        <f t="shared" si="521"/>
        <v>491.15911111111109</v>
      </c>
      <c r="H91" s="2238">
        <f t="shared" ref="H91:H92" si="531">E91/20</f>
        <v>368.36933333333332</v>
      </c>
      <c r="I91" s="2239">
        <f t="shared" si="522"/>
        <v>294.69546666666668</v>
      </c>
      <c r="J91" s="2240">
        <f>E91/30</f>
        <v>245.57955555555554</v>
      </c>
      <c r="K91" s="2241">
        <f>J91*30%</f>
        <v>73.673866666666655</v>
      </c>
      <c r="L91" s="2213"/>
      <c r="M91" s="2214"/>
      <c r="N91" s="2244">
        <f>IF(N81&gt;0,"0.000",N81)</f>
        <v>-45.930681481481471</v>
      </c>
      <c r="O91" s="1898">
        <f>IF(O81&gt;0,"0.000",O81)</f>
        <v>-51.635348148148147</v>
      </c>
      <c r="P91" s="1898">
        <f t="shared" ref="P91:T91" si="532">IF(P81&gt;0,"0.000",P81)</f>
        <v>-53.364014814814801</v>
      </c>
      <c r="Q91" s="1898">
        <f t="shared" si="532"/>
        <v>-54.454014814814805</v>
      </c>
      <c r="R91" s="1898">
        <f t="shared" si="532"/>
        <v>-54.409014814814803</v>
      </c>
      <c r="S91" s="1898">
        <f t="shared" si="532"/>
        <v>-28.254014814814802</v>
      </c>
      <c r="T91" s="2245">
        <f t="shared" si="532"/>
        <v>-29.993614814814812</v>
      </c>
      <c r="U91" s="1893"/>
      <c r="V91" s="2319">
        <f t="shared" si="61"/>
        <v>-318.04070370370363</v>
      </c>
      <c r="W91" s="2320"/>
      <c r="X91" s="2242"/>
      <c r="Y91" s="1897"/>
      <c r="Z91" s="2244">
        <f t="shared" ref="Z91:AF91" si="533">IF(Z81&gt;0,"0.000",Z81)</f>
        <v>-14.694814814814812</v>
      </c>
      <c r="AA91" s="1898" t="str">
        <f t="shared" si="533"/>
        <v>0.000</v>
      </c>
      <c r="AB91" s="1898" t="str">
        <f t="shared" si="533"/>
        <v>0.000</v>
      </c>
      <c r="AC91" s="1898">
        <f t="shared" si="533"/>
        <v>0</v>
      </c>
      <c r="AD91" s="1898">
        <f t="shared" si="533"/>
        <v>-81.974000000000004</v>
      </c>
      <c r="AE91" s="1898">
        <f t="shared" si="533"/>
        <v>-46.462014814814815</v>
      </c>
      <c r="AF91" s="2245">
        <f t="shared" si="533"/>
        <v>-49.929014814814806</v>
      </c>
      <c r="AG91" s="1897"/>
      <c r="AH91" s="2319">
        <f>SUM(Z91:AF91)</f>
        <v>-193.05984444444442</v>
      </c>
      <c r="AI91" s="2320"/>
      <c r="AJ91" s="2242"/>
      <c r="AK91" s="1897"/>
      <c r="AL91" s="2319">
        <f t="shared" ref="AL91:AR91" si="534">IF(AL81&gt;0,"0.000",AL81)</f>
        <v>-7.9780148148148342</v>
      </c>
      <c r="AM91" s="2320">
        <f t="shared" si="534"/>
        <v>-57.302014814814811</v>
      </c>
      <c r="AN91" s="2320">
        <f t="shared" si="534"/>
        <v>-22.5840148148148</v>
      </c>
      <c r="AO91" s="2320">
        <f t="shared" si="534"/>
        <v>-45.059014814814809</v>
      </c>
      <c r="AP91" s="2320">
        <f t="shared" si="534"/>
        <v>-29.436014814814804</v>
      </c>
      <c r="AQ91" s="2320">
        <f t="shared" si="534"/>
        <v>-48.09801481481481</v>
      </c>
      <c r="AR91" s="2242">
        <f t="shared" si="534"/>
        <v>-64.409214814814817</v>
      </c>
      <c r="AS91" s="1893"/>
      <c r="AT91" s="2319">
        <f t="shared" si="527"/>
        <v>-274.86630370370369</v>
      </c>
      <c r="AU91" s="2320"/>
      <c r="AV91" s="2242"/>
      <c r="AW91" s="1893"/>
      <c r="AX91" s="2319">
        <f t="shared" ref="AX91:BD91" si="535">IF(AX81&gt;0,"0.000",AX81)</f>
        <v>-55.389214814814807</v>
      </c>
      <c r="AY91" s="2320">
        <f t="shared" si="535"/>
        <v>-44.829514814814814</v>
      </c>
      <c r="AZ91" s="2320" t="str">
        <f t="shared" si="535"/>
        <v>0.000</v>
      </c>
      <c r="BA91" s="2320">
        <f t="shared" si="535"/>
        <v>-57.159014814814803</v>
      </c>
      <c r="BB91" s="2320">
        <f t="shared" si="535"/>
        <v>-27.209014814814815</v>
      </c>
      <c r="BC91" s="2320">
        <f t="shared" si="535"/>
        <v>-41.115814814814819</v>
      </c>
      <c r="BD91" s="2242">
        <f t="shared" si="535"/>
        <v>-58.184014814814809</v>
      </c>
      <c r="BE91" s="1893"/>
      <c r="BF91" s="2319">
        <f t="shared" si="530"/>
        <v>-283.88658888888887</v>
      </c>
      <c r="BG91" s="2320"/>
      <c r="BH91" s="2242"/>
      <c r="BI91" s="1893"/>
      <c r="BJ91" s="2319">
        <f>IF(BJ81&gt;0,"0.000",BJ81)</f>
        <v>-47.244214814814811</v>
      </c>
      <c r="BK91" s="2321" t="str">
        <f>IF(BK81&gt;0,"0.000",BK81)</f>
        <v>0.000</v>
      </c>
      <c r="BL91" s="2433" t="str">
        <f>IF(BL81&gt;0,"0.000",BL81)</f>
        <v>0.000</v>
      </c>
      <c r="BM91" s="1893"/>
      <c r="BN91" s="2319">
        <f>SUM(BJ91:BL91)</f>
        <v>-47.244214814814811</v>
      </c>
      <c r="BO91" s="2320"/>
      <c r="BP91" s="2242"/>
      <c r="BR91" s="2381">
        <f>SUM(N91:T91)+SUM(Z91:AF91)+SUM(AL91:AR91)+SUM(AX91:BD91)+SUM(BJ91:BL91)</f>
        <v>-1117.0976555555553</v>
      </c>
      <c r="BS91" s="2242"/>
      <c r="BT91" s="1900"/>
      <c r="BU91" s="1893"/>
      <c r="BV91" s="2251"/>
      <c r="BW91" s="2251"/>
      <c r="BX91" s="2252"/>
    </row>
    <row r="92" spans="1:77" s="1726" customFormat="1" x14ac:dyDescent="0.2">
      <c r="B92" s="2357"/>
      <c r="C92" s="2358" t="s">
        <v>178</v>
      </c>
      <c r="D92" s="1861"/>
      <c r="E92" s="1763">
        <f>E84</f>
        <v>3333.3333333333335</v>
      </c>
      <c r="F92" s="2371">
        <f t="shared" si="492"/>
        <v>333.33333333333337</v>
      </c>
      <c r="G92" s="2372">
        <f t="shared" si="521"/>
        <v>222.22222222222223</v>
      </c>
      <c r="H92" s="2373">
        <f t="shared" si="531"/>
        <v>166.66666666666669</v>
      </c>
      <c r="I92" s="1828">
        <f t="shared" si="522"/>
        <v>133.33333333333334</v>
      </c>
      <c r="J92" s="2265">
        <f>E92/30</f>
        <v>111.11111111111111</v>
      </c>
      <c r="K92" s="1769">
        <f>J92*30%</f>
        <v>33.333333333333336</v>
      </c>
      <c r="L92" s="2216"/>
      <c r="M92" s="2055"/>
      <c r="N92" s="1734">
        <f>IF(N86&gt;0,"0.000",N86)</f>
        <v>-33.332999999999998</v>
      </c>
      <c r="O92" s="1732">
        <f t="shared" ref="O92:T92" si="536">IF(O86&gt;0,"0.000",O86)</f>
        <v>-33.332999999999998</v>
      </c>
      <c r="P92" s="1732">
        <f t="shared" si="536"/>
        <v>-33.332999999999998</v>
      </c>
      <c r="Q92" s="1732">
        <f t="shared" si="536"/>
        <v>-33.332999999999998</v>
      </c>
      <c r="R92" s="1732">
        <f t="shared" si="536"/>
        <v>-33.332999999999998</v>
      </c>
      <c r="S92" s="1732">
        <f t="shared" si="536"/>
        <v>-33.332999999999998</v>
      </c>
      <c r="T92" s="1736">
        <f t="shared" si="536"/>
        <v>-33.332999999999998</v>
      </c>
      <c r="U92" s="2476"/>
      <c r="V92" s="1734">
        <f t="shared" si="61"/>
        <v>-233.33099999999999</v>
      </c>
      <c r="W92" s="1732"/>
      <c r="X92" s="1736"/>
      <c r="Y92" s="1862"/>
      <c r="Z92" s="1734">
        <f t="shared" ref="Z92:AF92" si="537">IF(Z86&gt;0,"0.000",Z86)</f>
        <v>-33.332999999999998</v>
      </c>
      <c r="AA92" s="1732">
        <f t="shared" si="537"/>
        <v>-18.916848148148155</v>
      </c>
      <c r="AB92" s="1732" t="str">
        <f t="shared" si="537"/>
        <v>0.000</v>
      </c>
      <c r="AC92" s="1732">
        <f t="shared" si="537"/>
        <v>0</v>
      </c>
      <c r="AD92" s="1732">
        <f t="shared" si="537"/>
        <v>-33.332999999999998</v>
      </c>
      <c r="AE92" s="1732">
        <f t="shared" si="537"/>
        <v>-33.332999999999998</v>
      </c>
      <c r="AF92" s="1736">
        <f t="shared" si="537"/>
        <v>-33.332999999999998</v>
      </c>
      <c r="AG92" s="1862"/>
      <c r="AH92" s="1734">
        <f t="shared" si="525"/>
        <v>-152.24884814814814</v>
      </c>
      <c r="AI92" s="1732"/>
      <c r="AJ92" s="1736"/>
      <c r="AK92" s="1862"/>
      <c r="AL92" s="1734">
        <f t="shared" ref="AL92:AR92" si="538">IF(AL86&gt;0,"0.000",AL86)</f>
        <v>-33.332999999999998</v>
      </c>
      <c r="AM92" s="1732">
        <f t="shared" si="538"/>
        <v>-33.332999999999998</v>
      </c>
      <c r="AN92" s="1732">
        <f t="shared" si="538"/>
        <v>-33.332999999999998</v>
      </c>
      <c r="AO92" s="1732">
        <f t="shared" si="538"/>
        <v>-33.332999999999998</v>
      </c>
      <c r="AP92" s="1732">
        <f t="shared" si="538"/>
        <v>-33.332999999999998</v>
      </c>
      <c r="AQ92" s="1732">
        <f t="shared" si="538"/>
        <v>-33.332999999999998</v>
      </c>
      <c r="AR92" s="1736">
        <f t="shared" si="538"/>
        <v>-33.332999999999998</v>
      </c>
      <c r="AS92" s="2476"/>
      <c r="AT92" s="1734">
        <f t="shared" si="527"/>
        <v>-233.33099999999999</v>
      </c>
      <c r="AU92" s="1732"/>
      <c r="AV92" s="1736"/>
      <c r="AW92" s="2476"/>
      <c r="AX92" s="1734">
        <f t="shared" ref="AX92:BD92" si="539">IF(AX86&gt;0,"0.000",AX86)</f>
        <v>-33.332999999999998</v>
      </c>
      <c r="AY92" s="1732">
        <f t="shared" si="539"/>
        <v>-33.332999999999998</v>
      </c>
      <c r="AZ92" s="1732">
        <f t="shared" si="539"/>
        <v>-25.302348148148162</v>
      </c>
      <c r="BA92" s="1732">
        <f t="shared" si="539"/>
        <v>-33.332999999999998</v>
      </c>
      <c r="BB92" s="1732">
        <f t="shared" si="539"/>
        <v>-33.332999999999998</v>
      </c>
      <c r="BC92" s="1732">
        <f t="shared" si="539"/>
        <v>-33.332999999999998</v>
      </c>
      <c r="BD92" s="1736">
        <f t="shared" si="539"/>
        <v>-33.332999999999998</v>
      </c>
      <c r="BE92" s="2476"/>
      <c r="BF92" s="1734">
        <f t="shared" si="530"/>
        <v>-225.30034814814815</v>
      </c>
      <c r="BG92" s="1732"/>
      <c r="BH92" s="1736"/>
      <c r="BI92" s="2476"/>
      <c r="BJ92" s="1734">
        <f>IF(BJ86&gt;0,"0.000",BJ86)</f>
        <v>-6.6420000000000003</v>
      </c>
      <c r="BK92" s="2210" t="str">
        <f>IF(BK86&gt;0,"0.000",BK86)</f>
        <v>0.000</v>
      </c>
      <c r="BL92" s="2538" t="str">
        <f>IF(BL86&gt;0,"0.000",BL86)</f>
        <v>0.000</v>
      </c>
      <c r="BM92" s="2476"/>
      <c r="BN92" s="1734">
        <f>SUM(BJ92:BL92)</f>
        <v>-6.6420000000000003</v>
      </c>
      <c r="BO92" s="1732"/>
      <c r="BP92" s="1736"/>
      <c r="BR92" s="1734">
        <f>SUM(N92:T92)+SUM(Z92:AF92)+SUM(AL92:AR92)+SUM(AX92:BD92)+SUM(BJ92:BL92)</f>
        <v>-850.85319629629635</v>
      </c>
      <c r="BS92" s="1736"/>
      <c r="BT92" s="1740"/>
      <c r="BU92" s="2476"/>
      <c r="BV92" s="2246"/>
      <c r="BW92" s="2246"/>
      <c r="BX92" s="2247"/>
    </row>
    <row r="93" spans="1:77" s="1885" customFormat="1" ht="17.25" thickBot="1" x14ac:dyDescent="0.25">
      <c r="B93" s="2359"/>
      <c r="C93" s="2360" t="s">
        <v>215</v>
      </c>
      <c r="D93" s="2011"/>
      <c r="E93" s="2374">
        <f>E91+E92</f>
        <v>10700.72</v>
      </c>
      <c r="F93" s="2375"/>
      <c r="G93" s="2376"/>
      <c r="H93" s="2377"/>
      <c r="I93" s="2378"/>
      <c r="J93" s="2379">
        <f>J91+J92</f>
        <v>356.69066666666663</v>
      </c>
      <c r="K93" s="2380">
        <f>K91+K92</f>
        <v>107.00719999999998</v>
      </c>
      <c r="L93" s="2213"/>
      <c r="M93" s="2214"/>
      <c r="N93" s="2248" t="str">
        <f>IF(N86&lt;0,"0.000",N86)</f>
        <v>0.000</v>
      </c>
      <c r="O93" s="2249" t="str">
        <f t="shared" ref="O93:T93" si="540">IF(O86&lt;0,"0.000",O86)</f>
        <v>0.000</v>
      </c>
      <c r="P93" s="2249" t="str">
        <f t="shared" si="540"/>
        <v>0.000</v>
      </c>
      <c r="Q93" s="2249" t="str">
        <f t="shared" si="540"/>
        <v>0.000</v>
      </c>
      <c r="R93" s="2249" t="str">
        <f t="shared" si="540"/>
        <v>0.000</v>
      </c>
      <c r="S93" s="2249" t="str">
        <f t="shared" si="540"/>
        <v>0.000</v>
      </c>
      <c r="T93" s="2250" t="str">
        <f t="shared" si="540"/>
        <v>0.000</v>
      </c>
      <c r="U93" s="1893"/>
      <c r="V93" s="2248">
        <f t="shared" si="61"/>
        <v>0</v>
      </c>
      <c r="W93" s="2249"/>
      <c r="X93" s="2250"/>
      <c r="Y93" s="1897"/>
      <c r="Z93" s="2248" t="str">
        <f t="shared" ref="Z93:AF93" si="541">IF(Z86&lt;0,"0.000",Z86)</f>
        <v>0.000</v>
      </c>
      <c r="AA93" s="2249" t="str">
        <f t="shared" si="541"/>
        <v>0.000</v>
      </c>
      <c r="AB93" s="2249">
        <f t="shared" si="541"/>
        <v>55.837651851851852</v>
      </c>
      <c r="AC93" s="2249">
        <f t="shared" si="541"/>
        <v>0</v>
      </c>
      <c r="AD93" s="2249" t="str">
        <f t="shared" si="541"/>
        <v>0.000</v>
      </c>
      <c r="AE93" s="2249" t="str">
        <f t="shared" si="541"/>
        <v>0.000</v>
      </c>
      <c r="AF93" s="2250" t="str">
        <f t="shared" si="541"/>
        <v>0.000</v>
      </c>
      <c r="AG93" s="1897"/>
      <c r="AH93" s="2248">
        <f t="shared" si="525"/>
        <v>55.837651851851852</v>
      </c>
      <c r="AI93" s="2249"/>
      <c r="AJ93" s="2250"/>
      <c r="AK93" s="1897"/>
      <c r="AL93" s="2248" t="str">
        <f t="shared" ref="AL93:AR93" si="542">IF(AL86&lt;0,"0.000",AL86)</f>
        <v>0.000</v>
      </c>
      <c r="AM93" s="2249" t="str">
        <f t="shared" si="542"/>
        <v>0.000</v>
      </c>
      <c r="AN93" s="2249" t="str">
        <f t="shared" si="542"/>
        <v>0.000</v>
      </c>
      <c r="AO93" s="2249" t="str">
        <f t="shared" si="542"/>
        <v>0.000</v>
      </c>
      <c r="AP93" s="2249" t="str">
        <f t="shared" si="542"/>
        <v>0.000</v>
      </c>
      <c r="AQ93" s="2249" t="str">
        <f t="shared" si="542"/>
        <v>0.000</v>
      </c>
      <c r="AR93" s="2250" t="str">
        <f t="shared" si="542"/>
        <v>0.000</v>
      </c>
      <c r="AS93" s="1893"/>
      <c r="AT93" s="2248">
        <f t="shared" si="527"/>
        <v>0</v>
      </c>
      <c r="AU93" s="2249"/>
      <c r="AV93" s="2250"/>
      <c r="AW93" s="1893"/>
      <c r="AX93" s="2248" t="str">
        <f t="shared" ref="AX93:BD93" si="543">IF(AX86&lt;0,"0.000",AX86)</f>
        <v>0.000</v>
      </c>
      <c r="AY93" s="2249" t="str">
        <f t="shared" si="543"/>
        <v>0.000</v>
      </c>
      <c r="AZ93" s="2249" t="str">
        <f t="shared" si="543"/>
        <v>0.000</v>
      </c>
      <c r="BA93" s="2249" t="str">
        <f t="shared" si="543"/>
        <v>0.000</v>
      </c>
      <c r="BB93" s="2249" t="str">
        <f t="shared" si="543"/>
        <v>0.000</v>
      </c>
      <c r="BC93" s="2249" t="str">
        <f t="shared" si="543"/>
        <v>0.000</v>
      </c>
      <c r="BD93" s="2250" t="str">
        <f t="shared" si="543"/>
        <v>0.000</v>
      </c>
      <c r="BE93" s="1893"/>
      <c r="BF93" s="2248">
        <f t="shared" si="530"/>
        <v>0</v>
      </c>
      <c r="BG93" s="2249"/>
      <c r="BH93" s="2250"/>
      <c r="BI93" s="1893"/>
      <c r="BJ93" s="2248" t="str">
        <f>IF(BJ86&lt;0,"0.000",BJ86)</f>
        <v>0.000</v>
      </c>
      <c r="BK93" s="2323">
        <f>IF(BK86&lt;0,"0.000",BK86)</f>
        <v>2.9335185185185182</v>
      </c>
      <c r="BL93" s="2499">
        <f>IF(BL86&lt;0,"0.000",BL86)</f>
        <v>29.841351851851854</v>
      </c>
      <c r="BM93" s="1893"/>
      <c r="BN93" s="2248">
        <f>SUM(BJ93:BL93)</f>
        <v>32.774870370370373</v>
      </c>
      <c r="BO93" s="2249"/>
      <c r="BP93" s="2250"/>
      <c r="BR93" s="2248">
        <f>SUM(N93:T93)+SUM(Z93:AF93)+SUM(AL93:AR93)+SUM(AX93:BD93)+SUM(BJ93:BL93)</f>
        <v>88.612522222222225</v>
      </c>
      <c r="BS93" s="2250"/>
      <c r="BT93" s="1900"/>
      <c r="BU93" s="1893"/>
      <c r="BV93" s="2251"/>
      <c r="BW93" s="2251"/>
      <c r="BX93" s="2252"/>
    </row>
    <row r="94" spans="1:77" s="1885" customFormat="1" ht="4.5" customHeight="1" thickBot="1" x14ac:dyDescent="0.25">
      <c r="B94" s="1900"/>
      <c r="C94" s="1900"/>
      <c r="D94" s="2011"/>
      <c r="E94" s="1900"/>
      <c r="F94" s="1900"/>
      <c r="G94" s="1900"/>
      <c r="H94" s="1900"/>
      <c r="I94" s="1900"/>
      <c r="J94" s="1900"/>
      <c r="K94" s="2010"/>
      <c r="L94" s="1949"/>
      <c r="M94" s="2475"/>
      <c r="N94" s="1900"/>
      <c r="O94" s="1900"/>
      <c r="P94" s="1900"/>
      <c r="Q94" s="1900"/>
      <c r="R94" s="1900"/>
      <c r="S94" s="1900"/>
      <c r="T94" s="1900"/>
      <c r="U94" s="2011"/>
      <c r="V94" s="1900"/>
      <c r="W94" s="1900"/>
      <c r="X94" s="1900"/>
      <c r="Y94" s="1946"/>
      <c r="Z94" s="1900"/>
      <c r="AA94" s="1900"/>
      <c r="AB94" s="1900"/>
      <c r="AC94" s="1900"/>
      <c r="AD94" s="1900"/>
      <c r="AE94" s="1900"/>
      <c r="AF94" s="1900"/>
      <c r="AG94" s="1946"/>
      <c r="AH94" s="1900"/>
      <c r="AI94" s="1900"/>
      <c r="AJ94" s="1900"/>
      <c r="AK94" s="1946"/>
      <c r="AL94" s="1900"/>
      <c r="AM94" s="1900"/>
      <c r="AN94" s="1900"/>
      <c r="AO94" s="1900"/>
      <c r="AP94" s="1900"/>
      <c r="AQ94" s="1900"/>
      <c r="AR94" s="1900"/>
      <c r="AS94" s="2011"/>
      <c r="AT94" s="1900"/>
      <c r="AU94" s="1900"/>
      <c r="AV94" s="1900"/>
      <c r="AW94" s="2011"/>
      <c r="AX94" s="1900"/>
      <c r="AY94" s="1900"/>
      <c r="AZ94" s="1900"/>
      <c r="BA94" s="1900"/>
      <c r="BB94" s="1900"/>
      <c r="BC94" s="1900"/>
      <c r="BD94" s="1900"/>
      <c r="BE94" s="2011"/>
      <c r="BF94" s="1900"/>
      <c r="BG94" s="1900"/>
      <c r="BH94" s="1900"/>
      <c r="BI94" s="1900"/>
      <c r="BJ94" s="1900"/>
      <c r="BK94" s="1900"/>
      <c r="BL94" s="1900"/>
      <c r="BM94" s="1900"/>
      <c r="BN94" s="1900"/>
      <c r="BO94" s="1900"/>
      <c r="BP94" s="1900"/>
      <c r="BR94" s="1900"/>
      <c r="BS94" s="1900"/>
      <c r="BT94" s="1900"/>
      <c r="BU94" s="1900"/>
      <c r="BV94" s="1900"/>
      <c r="BW94" s="2011"/>
    </row>
    <row r="95" spans="1:77" s="1726" customFormat="1" ht="17.25" thickBot="1" x14ac:dyDescent="0.25">
      <c r="B95" s="2049"/>
      <c r="C95" s="2050"/>
      <c r="D95" s="2051"/>
      <c r="E95" s="2052">
        <f>SUM(E88:E92)</f>
        <v>24185.997777777775</v>
      </c>
      <c r="F95" s="2053"/>
      <c r="G95" s="2053"/>
      <c r="H95" s="2053"/>
      <c r="I95" s="2053"/>
      <c r="J95" s="2053">
        <f>E95/30</f>
        <v>806.19992592592587</v>
      </c>
      <c r="K95" s="2253">
        <f>J95*30%</f>
        <v>241.85997777777774</v>
      </c>
      <c r="L95" s="2216"/>
      <c r="M95" s="2055"/>
      <c r="N95" s="2056">
        <f>SUM(N88:N93)</f>
        <v>-79.26368148148147</v>
      </c>
      <c r="O95" s="2052">
        <f t="shared" ref="O95:T95" si="544">SUM(O88:O93)</f>
        <v>-84.968348148148152</v>
      </c>
      <c r="P95" s="2052">
        <f t="shared" si="544"/>
        <v>-86.697014814814793</v>
      </c>
      <c r="Q95" s="2052">
        <f t="shared" si="544"/>
        <v>-87.787014814814796</v>
      </c>
      <c r="R95" s="2052">
        <f t="shared" si="544"/>
        <v>-87.742014814814809</v>
      </c>
      <c r="S95" s="2052">
        <f t="shared" si="544"/>
        <v>-61.5870148148148</v>
      </c>
      <c r="T95" s="2057">
        <f t="shared" si="544"/>
        <v>-63.32661481481481</v>
      </c>
      <c r="U95" s="1814"/>
      <c r="V95" s="2056">
        <f>SUM(N95:T95)</f>
        <v>-551.37170370370359</v>
      </c>
      <c r="W95" s="2052"/>
      <c r="X95" s="2057"/>
      <c r="Y95" s="1766"/>
      <c r="Z95" s="2056">
        <f t="shared" ref="Z95:AF95" si="545">SUM(Z88:Z93)</f>
        <v>-48.027814814814811</v>
      </c>
      <c r="AA95" s="2052">
        <f t="shared" si="545"/>
        <v>-18.916848148148155</v>
      </c>
      <c r="AB95" s="2052">
        <f t="shared" si="545"/>
        <v>55.837651851851852</v>
      </c>
      <c r="AC95" s="2052">
        <f t="shared" si="545"/>
        <v>0</v>
      </c>
      <c r="AD95" s="2052">
        <f t="shared" si="545"/>
        <v>-116.64714814814815</v>
      </c>
      <c r="AE95" s="2052">
        <f t="shared" si="545"/>
        <v>-79.795014814814806</v>
      </c>
      <c r="AF95" s="2057">
        <f t="shared" si="545"/>
        <v>-83.262014814814805</v>
      </c>
      <c r="AG95" s="1766"/>
      <c r="AH95" s="2056">
        <f>SUM(Z95:AF95)</f>
        <v>-290.81118888888886</v>
      </c>
      <c r="AI95" s="2052"/>
      <c r="AJ95" s="2057"/>
      <c r="AK95" s="1764"/>
      <c r="AL95" s="2056">
        <f t="shared" ref="AL95:AR95" si="546">SUM(AL88:AL93)</f>
        <v>-41.311014814814833</v>
      </c>
      <c r="AM95" s="2053">
        <f t="shared" si="546"/>
        <v>-90.635014814814809</v>
      </c>
      <c r="AN95" s="2053">
        <f t="shared" si="546"/>
        <v>-55.917014814814799</v>
      </c>
      <c r="AO95" s="2053">
        <f t="shared" si="546"/>
        <v>-78.392014814814814</v>
      </c>
      <c r="AP95" s="2053">
        <f t="shared" si="546"/>
        <v>-62.769014814814803</v>
      </c>
      <c r="AQ95" s="2053">
        <f t="shared" si="546"/>
        <v>-81.431014814814802</v>
      </c>
      <c r="AR95" s="2057">
        <f t="shared" si="546"/>
        <v>-97.742214814814815</v>
      </c>
      <c r="AS95" s="2300"/>
      <c r="AT95" s="2056">
        <f>SUM(AL95:AR95)</f>
        <v>-508.19730370370371</v>
      </c>
      <c r="AU95" s="2052"/>
      <c r="AV95" s="2057"/>
      <c r="AW95" s="1814"/>
      <c r="AX95" s="2056">
        <f t="shared" ref="AX95:BD95" si="547">SUM(AX88:AX93)</f>
        <v>-88.722214814814805</v>
      </c>
      <c r="AY95" s="2053">
        <f t="shared" si="547"/>
        <v>-78.162514814814813</v>
      </c>
      <c r="AZ95" s="2053">
        <f t="shared" si="547"/>
        <v>-25.302348148148162</v>
      </c>
      <c r="BA95" s="2053">
        <f t="shared" si="547"/>
        <v>-90.492014814814809</v>
      </c>
      <c r="BB95" s="2053">
        <f t="shared" si="547"/>
        <v>-60.542014814814813</v>
      </c>
      <c r="BC95" s="2053">
        <f t="shared" si="547"/>
        <v>-74.448814814814824</v>
      </c>
      <c r="BD95" s="2057">
        <f t="shared" si="547"/>
        <v>-91.517014814814814</v>
      </c>
      <c r="BE95" s="1814"/>
      <c r="BF95" s="2056">
        <f>SUM(AX95:BD95)</f>
        <v>-509.18693703703707</v>
      </c>
      <c r="BG95" s="2052"/>
      <c r="BH95" s="2057"/>
      <c r="BI95" s="1740"/>
      <c r="BJ95" s="2056">
        <f t="shared" ref="BJ95:BL95" si="548">SUM(BJ88:BJ93)</f>
        <v>-53.886214814814814</v>
      </c>
      <c r="BK95" s="2052">
        <f t="shared" ref="BK95" si="549">SUM(BK88:BK93)</f>
        <v>2.9335185185185182</v>
      </c>
      <c r="BL95" s="2052">
        <f t="shared" si="548"/>
        <v>29.841351851851854</v>
      </c>
      <c r="BM95" s="2301"/>
      <c r="BN95" s="2058">
        <f>SUM(BJ95:BL95)</f>
        <v>-21.111344444444441</v>
      </c>
      <c r="BO95" s="2324"/>
      <c r="BP95" s="2190"/>
      <c r="BQ95" s="1862"/>
      <c r="BR95" s="2058">
        <f>SUM(N95:T95)+SUM(Z95:AF95)+SUM(AL95:AR95)+SUM(AX95:BD95)+SUM(BJ95:BL95)</f>
        <v>-1880.6784777777777</v>
      </c>
      <c r="BS95" s="2054"/>
      <c r="BT95" s="1740"/>
      <c r="BU95" s="1740"/>
      <c r="BV95" s="1740"/>
      <c r="BW95" s="1861"/>
    </row>
    <row r="96" spans="1:77" s="1885" customFormat="1" ht="4.5" customHeight="1" thickBot="1" x14ac:dyDescent="0.25">
      <c r="B96" s="1900"/>
      <c r="C96" s="1900"/>
      <c r="D96" s="2011"/>
      <c r="E96" s="1900"/>
      <c r="F96" s="1900"/>
      <c r="G96" s="1900"/>
      <c r="H96" s="1900"/>
      <c r="I96" s="1900"/>
      <c r="J96" s="1900"/>
      <c r="K96" s="2011"/>
      <c r="L96" s="2441"/>
      <c r="M96" s="1906"/>
      <c r="N96" s="1900"/>
      <c r="O96" s="1900"/>
      <c r="P96" s="1900"/>
      <c r="Q96" s="1900"/>
      <c r="R96" s="1900"/>
      <c r="S96" s="1900"/>
      <c r="T96" s="1900"/>
      <c r="U96" s="2011"/>
      <c r="V96" s="1900"/>
      <c r="W96" s="1900"/>
      <c r="X96" s="1900"/>
      <c r="Y96" s="1946"/>
      <c r="AG96" s="1946"/>
      <c r="AH96" s="1900"/>
      <c r="AI96" s="1900"/>
      <c r="AJ96" s="1900"/>
      <c r="AK96" s="1946"/>
      <c r="AL96" s="1900"/>
      <c r="AM96" s="1900"/>
      <c r="AN96" s="1900"/>
      <c r="AO96" s="1900"/>
      <c r="AP96" s="1900"/>
      <c r="AQ96" s="1900"/>
      <c r="AR96" s="1900"/>
      <c r="AS96" s="2011"/>
      <c r="AT96" s="1900"/>
      <c r="AU96" s="1900"/>
      <c r="AV96" s="1900"/>
      <c r="AW96" s="2011"/>
      <c r="AX96" s="1900"/>
      <c r="AY96" s="1900"/>
      <c r="AZ96" s="1900"/>
      <c r="BA96" s="1900"/>
      <c r="BB96" s="1900"/>
      <c r="BC96" s="1900"/>
      <c r="BD96" s="1900"/>
      <c r="BE96" s="2011"/>
      <c r="BF96" s="1900"/>
      <c r="BG96" s="1900"/>
      <c r="BH96" s="1900"/>
      <c r="BI96" s="1900"/>
      <c r="BJ96" s="1900"/>
      <c r="BK96" s="1900"/>
      <c r="BL96" s="1900"/>
      <c r="BM96" s="1900"/>
      <c r="BN96" s="1900"/>
      <c r="BO96" s="1900"/>
      <c r="BP96" s="1900"/>
      <c r="BR96" s="1900"/>
      <c r="BS96" s="1900"/>
      <c r="BT96" s="1900"/>
      <c r="BU96" s="1900"/>
      <c r="BV96" s="1900"/>
      <c r="BW96" s="2011"/>
    </row>
    <row r="97" spans="2:75" s="1885" customFormat="1" ht="17.25" thickBot="1" x14ac:dyDescent="0.25">
      <c r="B97" s="2117"/>
      <c r="C97" s="2212"/>
      <c r="D97" s="2119"/>
      <c r="E97" s="2123">
        <f>E95*30%</f>
        <v>7255.7993333333325</v>
      </c>
      <c r="F97" s="2121"/>
      <c r="G97" s="2121"/>
      <c r="H97" s="2121"/>
      <c r="I97" s="2121"/>
      <c r="J97" s="2121"/>
      <c r="K97" s="2129"/>
      <c r="L97" s="2213"/>
      <c r="M97" s="2214"/>
      <c r="N97" s="2120">
        <f>N95*100/30</f>
        <v>-264.21227160493822</v>
      </c>
      <c r="O97" s="2123">
        <f t="shared" ref="O97:T97" si="550">O95*100/30</f>
        <v>-283.2278271604938</v>
      </c>
      <c r="P97" s="2123">
        <f t="shared" si="550"/>
        <v>-288.99004938271599</v>
      </c>
      <c r="Q97" s="2123">
        <f t="shared" si="550"/>
        <v>-292.62338271604932</v>
      </c>
      <c r="R97" s="2123">
        <f t="shared" si="550"/>
        <v>-292.47338271604934</v>
      </c>
      <c r="S97" s="2123">
        <f t="shared" si="550"/>
        <v>-205.29004938271601</v>
      </c>
      <c r="T97" s="2125">
        <f t="shared" si="550"/>
        <v>-211.0887160493827</v>
      </c>
      <c r="U97" s="2254"/>
      <c r="V97" s="2120">
        <f>SUM(N97:T97)</f>
        <v>-1837.9056790123454</v>
      </c>
      <c r="W97" s="2123"/>
      <c r="X97" s="2124"/>
      <c r="Y97" s="1956"/>
      <c r="Z97" s="2126">
        <f t="shared" ref="Z97:AF97" si="551">Z95*100/30</f>
        <v>-160.09271604938269</v>
      </c>
      <c r="AA97" s="2128">
        <f t="shared" si="551"/>
        <v>-63.056160493827186</v>
      </c>
      <c r="AB97" s="2128">
        <f t="shared" si="551"/>
        <v>186.12550617283949</v>
      </c>
      <c r="AC97" s="2123">
        <f t="shared" si="551"/>
        <v>0</v>
      </c>
      <c r="AD97" s="2128">
        <f t="shared" si="551"/>
        <v>-388.82382716049386</v>
      </c>
      <c r="AE97" s="2128">
        <f t="shared" si="551"/>
        <v>-265.98338271604933</v>
      </c>
      <c r="AF97" s="2127">
        <f t="shared" si="551"/>
        <v>-277.54004938271606</v>
      </c>
      <c r="AG97" s="1956"/>
      <c r="AH97" s="2120">
        <f>SUM(Z97:AF97)</f>
        <v>-969.37062962962955</v>
      </c>
      <c r="AI97" s="2123"/>
      <c r="AJ97" s="2124"/>
      <c r="AK97" s="1955"/>
      <c r="AL97" s="2120">
        <f t="shared" ref="AL97:AR97" si="552">AL95*100/30</f>
        <v>-137.70338271604945</v>
      </c>
      <c r="AM97" s="2121">
        <f t="shared" si="552"/>
        <v>-302.11671604938266</v>
      </c>
      <c r="AN97" s="2121">
        <f t="shared" si="552"/>
        <v>-186.390049382716</v>
      </c>
      <c r="AO97" s="2121">
        <f t="shared" si="552"/>
        <v>-261.30671604938271</v>
      </c>
      <c r="AP97" s="2121">
        <f t="shared" si="552"/>
        <v>-209.230049382716</v>
      </c>
      <c r="AQ97" s="2121">
        <f t="shared" si="552"/>
        <v>-271.43671604938265</v>
      </c>
      <c r="AR97" s="2124">
        <f t="shared" si="552"/>
        <v>-325.8073827160494</v>
      </c>
      <c r="AS97" s="2254"/>
      <c r="AT97" s="2120">
        <f>SUM(AL97:AR97)</f>
        <v>-1693.9910123456791</v>
      </c>
      <c r="AU97" s="2123"/>
      <c r="AV97" s="2124"/>
      <c r="AW97" s="1951"/>
      <c r="AX97" s="2120">
        <f t="shared" ref="AX97:BD97" si="553">AX95*100/30</f>
        <v>-295.74071604938268</v>
      </c>
      <c r="AY97" s="2121">
        <f t="shared" si="553"/>
        <v>-260.54171604938273</v>
      </c>
      <c r="AZ97" s="2121">
        <f t="shared" si="553"/>
        <v>-84.341160493827203</v>
      </c>
      <c r="BA97" s="2121">
        <f t="shared" si="553"/>
        <v>-301.64004938271603</v>
      </c>
      <c r="BB97" s="2121">
        <f t="shared" si="553"/>
        <v>-201.80671604938271</v>
      </c>
      <c r="BC97" s="2121">
        <f t="shared" si="553"/>
        <v>-248.16271604938274</v>
      </c>
      <c r="BD97" s="2124">
        <f t="shared" si="553"/>
        <v>-305.05671604938271</v>
      </c>
      <c r="BE97" s="1951"/>
      <c r="BF97" s="2120">
        <f>SUM(AX97:BD97)</f>
        <v>-1697.2897901234567</v>
      </c>
      <c r="BG97" s="2123"/>
      <c r="BH97" s="2124"/>
      <c r="BI97" s="1900"/>
      <c r="BJ97" s="2120">
        <f t="shared" ref="BJ97:BL97" si="554">BJ95*100/30</f>
        <v>-179.62071604938271</v>
      </c>
      <c r="BK97" s="2123">
        <f t="shared" ref="BK97" si="555">BK95*100/30</f>
        <v>9.7783950617283946</v>
      </c>
      <c r="BL97" s="2123">
        <f t="shared" si="554"/>
        <v>99.471172839506181</v>
      </c>
      <c r="BM97" s="2317"/>
      <c r="BN97" s="2215">
        <f>SUM(BJ97:BL97)</f>
        <v>-70.371148148148137</v>
      </c>
      <c r="BO97" s="2318"/>
      <c r="BP97" s="2118"/>
      <c r="BQ97" s="1897"/>
      <c r="BR97" s="2215">
        <f>SUM(N97:T97)+SUM(Z97:AF97)+SUM(AL97:AR97)+SUM(AX97:BD97)+SUM(BJ97:BL97)</f>
        <v>-6268.9282592592581</v>
      </c>
      <c r="BS97" s="2350">
        <f>BR97/CA35</f>
        <v>-202.22349223416961</v>
      </c>
      <c r="BT97" s="1900"/>
      <c r="BU97" s="1900"/>
      <c r="BV97" s="1900"/>
      <c r="BW97" s="2011"/>
    </row>
    <row r="99" spans="2:75" ht="18" x14ac:dyDescent="0.2">
      <c r="C99" s="2448">
        <f>E99*30%</f>
        <v>9626.9653333333317</v>
      </c>
      <c r="D99" s="2450"/>
      <c r="E99" s="2449">
        <f>E93*2+E89</f>
        <v>32089.88444444444</v>
      </c>
      <c r="F99" s="2449"/>
      <c r="G99" s="2449"/>
      <c r="H99" s="2449"/>
      <c r="I99" s="2449"/>
      <c r="J99" s="2449">
        <f>J93*2+J89</f>
        <v>1069.6628148148147</v>
      </c>
    </row>
    <row r="100" spans="2:75" ht="18" x14ac:dyDescent="0.2">
      <c r="C100" s="2448">
        <f>E100*30%</f>
        <v>12837.181333333332</v>
      </c>
      <c r="D100" s="2450"/>
      <c r="E100" s="2449">
        <f>E93*3+E89</f>
        <v>42790.604444444441</v>
      </c>
      <c r="F100" s="2449"/>
      <c r="G100" s="2449"/>
      <c r="H100" s="2449"/>
      <c r="I100" s="2449"/>
      <c r="J100" s="2449">
        <f>J93*3+J89</f>
        <v>1426.3534814814811</v>
      </c>
      <c r="P100" s="2255"/>
      <c r="Q100" s="2256"/>
      <c r="R100" s="2256"/>
      <c r="S100" s="2257"/>
      <c r="T100" s="2257"/>
      <c r="U100" s="1915"/>
      <c r="V100" s="2257"/>
    </row>
    <row r="101" spans="2:75" ht="18" x14ac:dyDescent="0.2">
      <c r="C101" s="2451">
        <f>C100-E50</f>
        <v>9630.6479999999992</v>
      </c>
      <c r="AM101" s="2257"/>
    </row>
    <row r="102" spans="2:75" ht="18" x14ac:dyDescent="0.2">
      <c r="C102" s="2452">
        <f>C101/3</f>
        <v>3210.2159999999999</v>
      </c>
    </row>
  </sheetData>
  <sortState xmlns:xlrd2="http://schemas.microsoft.com/office/spreadsheetml/2017/richdata2" ref="C32:K48">
    <sortCondition descending="1" ref="K48"/>
  </sortState>
  <mergeCells count="94">
    <mergeCell ref="AX1:BD2"/>
    <mergeCell ref="BF1:BH2"/>
    <mergeCell ref="AY88:AY89"/>
    <mergeCell ref="AZ88:AZ89"/>
    <mergeCell ref="BA88:BA89"/>
    <mergeCell ref="BB88:BB89"/>
    <mergeCell ref="BC88:BC89"/>
    <mergeCell ref="BD88:BD89"/>
    <mergeCell ref="BF88:BF89"/>
    <mergeCell ref="BG88:BG89"/>
    <mergeCell ref="BH88:BH89"/>
    <mergeCell ref="W88:W89"/>
    <mergeCell ref="X88:X89"/>
    <mergeCell ref="CA12:CA13"/>
    <mergeCell ref="CB12:CB13"/>
    <mergeCell ref="BZ56:BZ63"/>
    <mergeCell ref="BX56:BX63"/>
    <mergeCell ref="BU55:BV55"/>
    <mergeCell ref="BU15:BV15"/>
    <mergeCell ref="BJ31:BL31"/>
    <mergeCell ref="BF31:BH31"/>
    <mergeCell ref="BN31:BP31"/>
    <mergeCell ref="AX88:AX89"/>
    <mergeCell ref="AJ88:AJ89"/>
    <mergeCell ref="AI88:AI89"/>
    <mergeCell ref="AF88:AF89"/>
    <mergeCell ref="BR1:BR13"/>
    <mergeCell ref="AH1:AJ2"/>
    <mergeCell ref="N31:T31"/>
    <mergeCell ref="AC15:AF15"/>
    <mergeCell ref="R88:R89"/>
    <mergeCell ref="N88:N89"/>
    <mergeCell ref="O88:O89"/>
    <mergeCell ref="P88:P89"/>
    <mergeCell ref="Q88:Q89"/>
    <mergeCell ref="S88:S89"/>
    <mergeCell ref="T88:T89"/>
    <mergeCell ref="V31:X31"/>
    <mergeCell ref="V88:V89"/>
    <mergeCell ref="O16:O27"/>
    <mergeCell ref="AB88:AB89"/>
    <mergeCell ref="AC88:AC89"/>
    <mergeCell ref="AD88:AD89"/>
    <mergeCell ref="AE88:AE89"/>
    <mergeCell ref="AY16:AY27"/>
    <mergeCell ref="AC32:AC48"/>
    <mergeCell ref="AE16:AE27"/>
    <mergeCell ref="AC16:AC27"/>
    <mergeCell ref="BR88:BR89"/>
    <mergeCell ref="AH31:AJ31"/>
    <mergeCell ref="AL31:AR31"/>
    <mergeCell ref="AM16:AM27"/>
    <mergeCell ref="AT31:AV31"/>
    <mergeCell ref="AX31:BD31"/>
    <mergeCell ref="AH88:AH89"/>
    <mergeCell ref="BN88:BN89"/>
    <mergeCell ref="BO88:BO89"/>
    <mergeCell ref="BP88:BP89"/>
    <mergeCell ref="BJ88:BJ89"/>
    <mergeCell ref="BK88:BK89"/>
    <mergeCell ref="BL88:BL89"/>
    <mergeCell ref="BK16:BK27"/>
    <mergeCell ref="C1:K2"/>
    <mergeCell ref="K9:K10"/>
    <mergeCell ref="CI1:CI2"/>
    <mergeCell ref="CJ1:CJ2"/>
    <mergeCell ref="CD1:CD2"/>
    <mergeCell ref="CE1:CE2"/>
    <mergeCell ref="CF1:CF2"/>
    <mergeCell ref="CH1:CH2"/>
    <mergeCell ref="Z1:AF2"/>
    <mergeCell ref="AL1:AR2"/>
    <mergeCell ref="AT1:AV2"/>
    <mergeCell ref="N1:T2"/>
    <mergeCell ref="BZ9:CA10"/>
    <mergeCell ref="BS1:BS13"/>
    <mergeCell ref="BU1:BX2"/>
    <mergeCell ref="V1:X2"/>
    <mergeCell ref="BJ1:BL2"/>
    <mergeCell ref="BN1:BP2"/>
    <mergeCell ref="BS88:BS89"/>
    <mergeCell ref="BX67:BX76"/>
    <mergeCell ref="Z88:Z89"/>
    <mergeCell ref="AA88:AA89"/>
    <mergeCell ref="AR88:AR89"/>
    <mergeCell ref="AQ88:AQ89"/>
    <mergeCell ref="AP88:AP89"/>
    <mergeCell ref="AO88:AO89"/>
    <mergeCell ref="AN88:AN89"/>
    <mergeCell ref="AM88:AM89"/>
    <mergeCell ref="AL88:AL89"/>
    <mergeCell ref="AT88:AT89"/>
    <mergeCell ref="AU88:AU89"/>
    <mergeCell ref="AV88:AV89"/>
  </mergeCells>
  <conditionalFormatting sqref="BS91">
    <cfRule type="cellIs" dxfId="372" priority="1" operator="greaterThan">
      <formula>0</formula>
    </cfRule>
    <cfRule type="cellIs" dxfId="371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300-00006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(8-19)'!BR92:BR92</xm:f>
              <xm:sqref>BS92</xm:sqref>
            </x14:sparkline>
          </x14:sparklines>
        </x14:sparklineGroup>
        <x14:sparklineGroup type="stacked" displayEmptyCellsAs="gap" negative="1" xr2:uid="{00000000-0003-0000-1300-00006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(8-19)'!AH54:AH54</xm:f>
              <xm:sqref>AH55</xm:sqref>
            </x14:sparkline>
          </x14:sparklines>
        </x14:sparklineGroup>
        <x14:sparklineGroup type="stacked" displayEmptyCellsAs="gap" negative="1" xr2:uid="{00000000-0003-0000-1300-00006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(8-19)'!V54:V54</xm:f>
              <xm:sqref>V55</xm:sqref>
            </x14:sparkline>
            <x14:sparkline>
              <xm:f>'RAWABI INCOME (8-19)'!W54:W54</xm:f>
              <xm:sqref>W55</xm:sqref>
            </x14:sparkline>
            <x14:sparkline>
              <xm:f>'RAWABI INCOME (8-19)'!X54:X54</xm:f>
              <xm:sqref>X55</xm:sqref>
            </x14:sparkline>
          </x14:sparklines>
        </x14:sparklineGroup>
        <x14:sparklineGroup type="stacked" displayEmptyCellsAs="gap" negative="1" xr2:uid="{00000000-0003-0000-1300-00006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(8-19)'!N54:N54</xm:f>
              <xm:sqref>N55</xm:sqref>
            </x14:sparkline>
            <x14:sparkline>
              <xm:f>'RAWABI INCOME (8-19)'!O54:O54</xm:f>
              <xm:sqref>O55</xm:sqref>
            </x14:sparkline>
            <x14:sparkline>
              <xm:f>'RAWABI INCOME (8-19)'!P54:P54</xm:f>
              <xm:sqref>P55</xm:sqref>
            </x14:sparkline>
            <x14:sparkline>
              <xm:f>'RAWABI INCOME (8-19)'!Q54:Q54</xm:f>
              <xm:sqref>Q55</xm:sqref>
            </x14:sparkline>
            <x14:sparkline>
              <xm:f>'RAWABI INCOME (8-19)'!R54:R54</xm:f>
              <xm:sqref>R55</xm:sqref>
            </x14:sparkline>
            <x14:sparkline>
              <xm:f>'RAWABI INCOME (8-19)'!S54:S54</xm:f>
              <xm:sqref>S55</xm:sqref>
            </x14:sparkline>
            <x14:sparkline>
              <xm:f>'RAWABI INCOME (8-19)'!T54:T54</xm:f>
              <xm:sqref>T55</xm:sqref>
            </x14:sparkline>
          </x14:sparklines>
        </x14:sparklineGroup>
        <x14:sparklineGroup type="stacked" displayEmptyCellsAs="gap" negative="1" xr2:uid="{00000000-0003-0000-1300-00006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(8-19)'!BR54:BR54</xm:f>
              <xm:sqref>BS54</xm:sqref>
            </x14:sparkline>
          </x14:sparklines>
        </x14:sparklineGroup>
        <x14:sparklineGroup type="stacked" displayEmptyCellsAs="gap" negative="1" xr2:uid="{00000000-0003-0000-1300-00006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(8-19)'!BR54:BR54</xm:f>
              <xm:sqref>BR55</xm:sqref>
            </x14:sparkline>
          </x14:sparklines>
        </x14:sparklineGroup>
        <x14:sparklineGroup type="stacked" displayEmptyCellsAs="gap" negative="1" xr2:uid="{00000000-0003-0000-1300-00006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(8-19)'!Z54:Z54</xm:f>
              <xm:sqref>Z55</xm:sqref>
            </x14:sparkline>
            <x14:sparkline>
              <xm:f>'RAWABI INCOME (8-19)'!AA54:AA54</xm:f>
              <xm:sqref>AA55</xm:sqref>
            </x14:sparkline>
            <x14:sparkline>
              <xm:f>'RAWABI INCOME (8-19)'!AB54:AB54</xm:f>
              <xm:sqref>AB55</xm:sqref>
            </x14:sparkline>
            <x14:sparkline>
              <xm:f>'RAWABI INCOME (8-19)'!AC54:AC54</xm:f>
              <xm:sqref>AC55</xm:sqref>
            </x14:sparkline>
            <x14:sparkline>
              <xm:f>'RAWABI INCOME (8-19)'!AD54:AD54</xm:f>
              <xm:sqref>AD55</xm:sqref>
            </x14:sparkline>
            <x14:sparkline>
              <xm:f>'RAWABI INCOME (8-19)'!AE54:AE54</xm:f>
              <xm:sqref>AE55</xm:sqref>
            </x14:sparkline>
            <x14:sparkline>
              <xm:f>'RAWABI INCOME (8-19)'!AF54:AF54</xm:f>
              <xm:sqref>AF55</xm:sqref>
            </x14:sparkline>
          </x14:sparklines>
        </x14:sparklineGroup>
        <x14:sparklineGroup type="stacked" displayEmptyCellsAs="gap" negative="1" xr2:uid="{00000000-0003-0000-1300-00006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(8-19)'!U86:U86</xm:f>
              <xm:sqref>U87</xm:sqref>
            </x14:sparkline>
          </x14:sparklines>
        </x14:sparklineGroup>
        <x14:sparklineGroup type="stacked" displayEmptyCellsAs="gap" negative="1" xr2:uid="{00000000-0003-0000-1300-00006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(8-19)'!N81:N81</xm:f>
              <xm:sqref>N82</xm:sqref>
            </x14:sparkline>
            <x14:sparkline>
              <xm:f>'RAWABI INCOME (8-19)'!V81:V81</xm:f>
              <xm:sqref>V82</xm:sqref>
            </x14:sparkline>
            <x14:sparkline>
              <xm:f>'RAWABI INCOME (8-19)'!W81:W81</xm:f>
              <xm:sqref>W82</xm:sqref>
            </x14:sparkline>
            <x14:sparkline>
              <xm:f>'RAWABI INCOME (8-19)'!X81:X81</xm:f>
              <xm:sqref>X82</xm:sqref>
            </x14:sparkline>
            <x14:sparkline>
              <xm:f>'RAWABI INCOME (8-19)'!Y81:Y81</xm:f>
              <xm:sqref>Y82</xm:sqref>
            </x14:sparkline>
            <x14:sparkline>
              <xm:f>'RAWABI INCOME (8-19)'!Z81:Z81</xm:f>
              <xm:sqref>Z82</xm:sqref>
            </x14:sparkline>
            <x14:sparkline>
              <xm:f>'RAWABI INCOME (8-19)'!AG81:AG81</xm:f>
              <xm:sqref>AG82</xm:sqref>
            </x14:sparkline>
            <x14:sparkline>
              <xm:f>'RAWABI INCOME (8-19)'!AH81:AH81</xm:f>
              <xm:sqref>AH82</xm:sqref>
            </x14:sparkline>
            <x14:sparkline>
              <xm:f>'RAWABI INCOME (8-19)'!AI81:AI81</xm:f>
              <xm:sqref>AI82</xm:sqref>
            </x14:sparkline>
            <x14:sparkline>
              <xm:f>'RAWABI INCOME (8-19)'!AJ81:AJ81</xm:f>
              <xm:sqref>AJ82</xm:sqref>
            </x14:sparkline>
            <x14:sparkline>
              <xm:f>'RAWABI INCOME (8-19)'!AK81:AK81</xm:f>
              <xm:sqref>AK82</xm:sqref>
            </x14:sparkline>
            <x14:sparkline>
              <xm:f>'RAWABI INCOME (8-19)'!AL81:AL81</xm:f>
              <xm:sqref>AL82</xm:sqref>
            </x14:sparkline>
            <x14:sparkline>
              <xm:f>'RAWABI INCOME (8-19)'!AS81:AS81</xm:f>
              <xm:sqref>AS82</xm:sqref>
            </x14:sparkline>
            <x14:sparkline>
              <xm:f>'RAWABI INCOME (8-19)'!AT81:AT81</xm:f>
              <xm:sqref>AT82</xm:sqref>
            </x14:sparkline>
            <x14:sparkline>
              <xm:f>'RAWABI INCOME (8-19)'!AU81:AU81</xm:f>
              <xm:sqref>AU82</xm:sqref>
            </x14:sparkline>
            <x14:sparkline>
              <xm:f>'RAWABI INCOME (8-19)'!AV81:AV81</xm:f>
              <xm:sqref>AV82</xm:sqref>
            </x14:sparkline>
            <x14:sparkline>
              <xm:f>'RAWABI INCOME (8-19)'!AW81:AW81</xm:f>
              <xm:sqref>AW82</xm:sqref>
            </x14:sparkline>
            <x14:sparkline>
              <xm:f>'RAWABI INCOME (8-19)'!AX81:AX81</xm:f>
              <xm:sqref>AX82</xm:sqref>
            </x14:sparkline>
            <x14:sparkline>
              <xm:f>'RAWABI INCOME (8-19)'!BE81:BE81</xm:f>
              <xm:sqref>BE82</xm:sqref>
            </x14:sparkline>
            <x14:sparkline>
              <xm:f>'RAWABI INCOME (8-19)'!BF81:BF81</xm:f>
              <xm:sqref>BF82</xm:sqref>
            </x14:sparkline>
            <x14:sparkline>
              <xm:f>'RAWABI INCOME (8-19)'!BG81:BG81</xm:f>
              <xm:sqref>BG82</xm:sqref>
            </x14:sparkline>
            <x14:sparkline>
              <xm:f>'RAWABI INCOME (8-19)'!BH81:BH81</xm:f>
              <xm:sqref>BH82</xm:sqref>
            </x14:sparkline>
            <x14:sparkline>
              <xm:f>'RAWABI INCOME (8-19)'!BI81:BI81</xm:f>
              <xm:sqref>BI82</xm:sqref>
            </x14:sparkline>
            <x14:sparkline>
              <xm:f>'RAWABI INCOME (8-19)'!BJ81:BJ81</xm:f>
              <xm:sqref>BJ82</xm:sqref>
            </x14:sparkline>
            <x14:sparkline>
              <xm:f>'RAWABI INCOME (8-19)'!BK81:BK81</xm:f>
              <xm:sqref>BK82</xm:sqref>
            </x14:sparkline>
            <x14:sparkline>
              <xm:f>'RAWABI INCOME (8-19)'!BL81:BL81</xm:f>
              <xm:sqref>BL82</xm:sqref>
            </x14:sparkline>
            <x14:sparkline>
              <xm:f>'RAWABI INCOME (8-19)'!BM81:BM81</xm:f>
              <xm:sqref>BM82</xm:sqref>
            </x14:sparkline>
            <x14:sparkline>
              <xm:f>'RAWABI INCOME (8-19)'!BN81:BN81</xm:f>
              <xm:sqref>BN82</xm:sqref>
            </x14:sparkline>
            <x14:sparkline>
              <xm:f>'RAWABI INCOME (8-19)'!BO81:BO81</xm:f>
              <xm:sqref>BO82</xm:sqref>
            </x14:sparkline>
            <x14:sparkline>
              <xm:f>'RAWABI INCOME (8-19)'!BP81:BP81</xm:f>
              <xm:sqref>BP82</xm:sqref>
            </x14:sparkline>
            <x14:sparkline>
              <xm:f>'RAWABI INCOME (8-19)'!BR81:BR81</xm:f>
              <xm:sqref>BR82</xm:sqref>
            </x14:sparkline>
            <x14:sparkline>
              <xm:f>'RAWABI INCOME (8-19)'!AR81:AR81</xm:f>
              <xm:sqref>AR82</xm:sqref>
            </x14:sparkline>
            <x14:sparkline>
              <xm:f>'RAWABI INCOME (8-19)'!BD81:BD81</xm:f>
              <xm:sqref>BD82</xm:sqref>
            </x14:sparkline>
            <x14:sparkline>
              <xm:f>'RAWABI INCOME (8-19)'!T81:T81</xm:f>
              <xm:sqref>T82</xm:sqref>
            </x14:sparkline>
            <x14:sparkline>
              <xm:f>'RAWABI INCOME (8-19)'!AY81:AY81</xm:f>
              <xm:sqref>AY82</xm:sqref>
            </x14:sparkline>
            <x14:sparkline>
              <xm:f>'RAWABI INCOME (8-19)'!O81:O81</xm:f>
              <xm:sqref>O82</xm:sqref>
            </x14:sparkline>
            <x14:sparkline>
              <xm:f>'RAWABI INCOME (8-19)'!P81:P81</xm:f>
              <xm:sqref>P82</xm:sqref>
            </x14:sparkline>
            <x14:sparkline>
              <xm:f>'RAWABI INCOME (8-19)'!Q81:Q81</xm:f>
              <xm:sqref>Q82</xm:sqref>
            </x14:sparkline>
            <x14:sparkline>
              <xm:f>'RAWABI INCOME (8-19)'!R81:R81</xm:f>
              <xm:sqref>R82</xm:sqref>
            </x14:sparkline>
            <x14:sparkline>
              <xm:f>'RAWABI INCOME (8-19)'!S81:S81</xm:f>
              <xm:sqref>S82</xm:sqref>
            </x14:sparkline>
            <x14:sparkline>
              <xm:f>'RAWABI INCOME (8-19)'!AA81:AA81</xm:f>
              <xm:sqref>AA82</xm:sqref>
            </x14:sparkline>
            <x14:sparkline>
              <xm:f>'RAWABI INCOME (8-19)'!AB81:AB81</xm:f>
              <xm:sqref>AB82</xm:sqref>
            </x14:sparkline>
            <x14:sparkline>
              <xm:f>'RAWABI INCOME (8-19)'!AC81:AC81</xm:f>
              <xm:sqref>AC82</xm:sqref>
            </x14:sparkline>
            <x14:sparkline>
              <xm:f>'RAWABI INCOME (8-19)'!AD81:AD81</xm:f>
              <xm:sqref>AD82</xm:sqref>
            </x14:sparkline>
            <x14:sparkline>
              <xm:f>'RAWABI INCOME (8-19)'!AE81:AE81</xm:f>
              <xm:sqref>AE82</xm:sqref>
            </x14:sparkline>
            <x14:sparkline>
              <xm:f>'RAWABI INCOME (8-19)'!AF81:AF81</xm:f>
              <xm:sqref>AF82</xm:sqref>
            </x14:sparkline>
            <x14:sparkline>
              <xm:f>'RAWABI INCOME (8-19)'!AM81:AM81</xm:f>
              <xm:sqref>AM82</xm:sqref>
            </x14:sparkline>
            <x14:sparkline>
              <xm:f>'RAWABI INCOME (8-19)'!AN81:AN81</xm:f>
              <xm:sqref>AN82</xm:sqref>
            </x14:sparkline>
            <x14:sparkline>
              <xm:f>'RAWABI INCOME (8-19)'!AO81:AO81</xm:f>
              <xm:sqref>AO82</xm:sqref>
            </x14:sparkline>
            <x14:sparkline>
              <xm:f>'RAWABI INCOME (8-19)'!AP81:AP81</xm:f>
              <xm:sqref>AP82</xm:sqref>
            </x14:sparkline>
            <x14:sparkline>
              <xm:f>'RAWABI INCOME (8-19)'!AQ81:AQ81</xm:f>
              <xm:sqref>AQ82</xm:sqref>
            </x14:sparkline>
            <x14:sparkline>
              <xm:f>'RAWABI INCOME (8-19)'!AZ81:AZ81</xm:f>
              <xm:sqref>AZ82</xm:sqref>
            </x14:sparkline>
            <x14:sparkline>
              <xm:f>'RAWABI INCOME (8-19)'!BA81:BA81</xm:f>
              <xm:sqref>BA82</xm:sqref>
            </x14:sparkline>
            <x14:sparkline>
              <xm:f>'RAWABI INCOME (8-19)'!BB81:BB81</xm:f>
              <xm:sqref>BB82</xm:sqref>
            </x14:sparkline>
            <x14:sparkline>
              <xm:f>'RAWABI INCOME (8-19)'!BC81:BC81</xm:f>
              <xm:sqref>BC82</xm:sqref>
            </x14:sparkline>
          </x14:sparklines>
        </x14:sparklineGroup>
        <x14:sparklineGroup type="stacked" displayEmptyCellsAs="gap" negative="1" xr2:uid="{00000000-0003-0000-1300-00006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(8-19)'!BQ81:BQ81</xm:f>
              <xm:sqref>BQ82</xm:sqref>
            </x14:sparkline>
          </x14:sparklines>
        </x14:sparklineGroup>
        <x14:sparklineGroup type="stacked" displayEmptyCellsAs="gap" negative="1" xr2:uid="{00000000-0003-0000-1300-00006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(8-19)'!BR88:BR88</xm:f>
              <xm:sqref>BS88</xm:sqref>
            </x14:sparkline>
            <x14:sparkline>
              <xm:f>'RAWABI INCOME (8-19)'!BR90:BR90</xm:f>
              <xm:sqref>BS90</xm:sqref>
            </x14:sparkline>
          </x14:sparklines>
        </x14:sparklineGroup>
        <x14:sparklineGroup type="stacked" displayEmptyCellsAs="gap" negative="1" xr2:uid="{00000000-0003-0000-1300-00006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(8-19)'!U54:U54</xm:f>
              <xm:sqref>U55</xm:sqref>
            </x14:sparkline>
          </x14:sparklines>
        </x14:sparklineGroup>
        <x14:sparklineGroup type="stacked" displayEmptyCellsAs="gap" negative="1" xr2:uid="{00000000-0003-0000-1300-00006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(8-19)'!Y54:Y54</xm:f>
              <xm:sqref>Y55</xm:sqref>
            </x14:sparkline>
            <x14:sparkline>
              <xm:f>'RAWABI INCOME (8-19)'!AG54:AG54</xm:f>
              <xm:sqref>AG55</xm:sqref>
            </x14:sparkline>
            <x14:sparkline>
              <xm:f>'RAWABI INCOME (8-19)'!AI54:AI54</xm:f>
              <xm:sqref>AI55</xm:sqref>
            </x14:sparkline>
            <x14:sparkline>
              <xm:f>'RAWABI INCOME (8-19)'!AJ54:AJ54</xm:f>
              <xm:sqref>AJ55</xm:sqref>
            </x14:sparkline>
            <x14:sparkline>
              <xm:f>'RAWABI INCOME (8-19)'!AK54:AK54</xm:f>
              <xm:sqref>AK55</xm:sqref>
            </x14:sparkline>
            <x14:sparkline>
              <xm:f>'RAWABI INCOME (8-19)'!AL54:AL54</xm:f>
              <xm:sqref>AL55</xm:sqref>
            </x14:sparkline>
            <x14:sparkline>
              <xm:f>'RAWABI INCOME (8-19)'!AM54:AM54</xm:f>
              <xm:sqref>AM55</xm:sqref>
            </x14:sparkline>
            <x14:sparkline>
              <xm:f>'RAWABI INCOME (8-19)'!AN54:AN54</xm:f>
              <xm:sqref>AN55</xm:sqref>
            </x14:sparkline>
            <x14:sparkline>
              <xm:f>'RAWABI INCOME (8-19)'!AO54:AO54</xm:f>
              <xm:sqref>AO55</xm:sqref>
            </x14:sparkline>
            <x14:sparkline>
              <xm:f>'RAWABI INCOME (8-19)'!AP54:AP54</xm:f>
              <xm:sqref>AP55</xm:sqref>
            </x14:sparkline>
            <x14:sparkline>
              <xm:f>'RAWABI INCOME (8-19)'!AQ54:AQ54</xm:f>
              <xm:sqref>AQ55</xm:sqref>
            </x14:sparkline>
            <x14:sparkline>
              <xm:f>'RAWABI INCOME (8-19)'!AR54:AR54</xm:f>
              <xm:sqref>AR55</xm:sqref>
            </x14:sparkline>
            <x14:sparkline>
              <xm:f>'RAWABI INCOME (8-19)'!AS54:AS54</xm:f>
              <xm:sqref>AS55</xm:sqref>
            </x14:sparkline>
            <x14:sparkline>
              <xm:f>'RAWABI INCOME (8-19)'!AT54:AT54</xm:f>
              <xm:sqref>AT55</xm:sqref>
            </x14:sparkline>
            <x14:sparkline>
              <xm:f>'RAWABI INCOME (8-19)'!AU54:AU54</xm:f>
              <xm:sqref>AU55</xm:sqref>
            </x14:sparkline>
            <x14:sparkline>
              <xm:f>'RAWABI INCOME (8-19)'!AV54:AV54</xm:f>
              <xm:sqref>AV55</xm:sqref>
            </x14:sparkline>
            <x14:sparkline>
              <xm:f>'RAWABI INCOME (8-19)'!AW54:AW54</xm:f>
              <xm:sqref>AW55</xm:sqref>
            </x14:sparkline>
            <x14:sparkline>
              <xm:f>'RAWABI INCOME (8-19)'!AX54:AX54</xm:f>
              <xm:sqref>AX55</xm:sqref>
            </x14:sparkline>
            <x14:sparkline>
              <xm:f>'RAWABI INCOME (8-19)'!AZ54:AZ54</xm:f>
              <xm:sqref>AZ55</xm:sqref>
            </x14:sparkline>
            <x14:sparkline>
              <xm:f>'RAWABI INCOME (8-19)'!BA54:BA54</xm:f>
              <xm:sqref>BA55</xm:sqref>
            </x14:sparkline>
            <x14:sparkline>
              <xm:f>'RAWABI INCOME (8-19)'!BB54:BB54</xm:f>
              <xm:sqref>BB55</xm:sqref>
            </x14:sparkline>
            <x14:sparkline>
              <xm:f>'RAWABI INCOME (8-19)'!BC54:BC54</xm:f>
              <xm:sqref>BC55</xm:sqref>
            </x14:sparkline>
            <x14:sparkline>
              <xm:f>'RAWABI INCOME (8-19)'!BD54:BD54</xm:f>
              <xm:sqref>BD55</xm:sqref>
            </x14:sparkline>
            <x14:sparkline>
              <xm:f>'RAWABI INCOME (8-19)'!BE54:BE54</xm:f>
              <xm:sqref>BE55</xm:sqref>
            </x14:sparkline>
            <x14:sparkline>
              <xm:f>'RAWABI INCOME (8-19)'!BF54:BF54</xm:f>
              <xm:sqref>BF55</xm:sqref>
            </x14:sparkline>
            <x14:sparkline>
              <xm:f>'RAWABI INCOME (8-19)'!BG54:BG54</xm:f>
              <xm:sqref>BG55</xm:sqref>
            </x14:sparkline>
            <x14:sparkline>
              <xm:f>'RAWABI INCOME (8-19)'!BH54:BH54</xm:f>
              <xm:sqref>BH55</xm:sqref>
            </x14:sparkline>
            <x14:sparkline>
              <xm:f>'RAWABI INCOME (8-19)'!BI54:BI54</xm:f>
              <xm:sqref>BI55</xm:sqref>
            </x14:sparkline>
            <x14:sparkline>
              <xm:f>'RAWABI INCOME (8-19)'!BJ54:BJ54</xm:f>
              <xm:sqref>BJ55</xm:sqref>
            </x14:sparkline>
            <x14:sparkline>
              <xm:f>'RAWABI INCOME (8-19)'!BK54:BK54</xm:f>
              <xm:sqref>BK55</xm:sqref>
            </x14:sparkline>
            <x14:sparkline>
              <xm:f>'RAWABI INCOME (8-19)'!BL54:BL54</xm:f>
              <xm:sqref>BL55</xm:sqref>
            </x14:sparkline>
            <x14:sparkline>
              <xm:f>'RAWABI INCOME (8-19)'!BM54:BM54</xm:f>
              <xm:sqref>BM55</xm:sqref>
            </x14:sparkline>
            <x14:sparkline>
              <xm:f>'RAWABI INCOME (8-19)'!BN54:BN54</xm:f>
              <xm:sqref>BN55</xm:sqref>
            </x14:sparkline>
            <x14:sparkline>
              <xm:f>'RAWABI INCOME (8-19)'!BO54:BO54</xm:f>
              <xm:sqref>BO55</xm:sqref>
            </x14:sparkline>
            <x14:sparkline>
              <xm:f>'RAWABI INCOME (8-19)'!BP54:BP54</xm:f>
              <xm:sqref>BP55</xm:sqref>
            </x14:sparkline>
            <x14:sparkline>
              <xm:f>'RAWABI INCOME (8-19)'!AY54:AY54</xm:f>
              <xm:sqref>AY55</xm:sqref>
            </x14:sparkline>
          </x14:sparklines>
        </x14:sparklineGroup>
        <x14:sparklineGroup type="stacked" displayEmptyCellsAs="gap" negative="1" xr2:uid="{00000000-0003-0000-1300-00005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(8-19)'!BQ86:BQ86</xm:f>
              <xm:sqref>BQ87</xm:sqref>
            </x14:sparkline>
          </x14:sparklines>
        </x14:sparklineGroup>
        <x14:sparklineGroup type="stacked" displayEmptyCellsAs="gap" negative="1" xr2:uid="{00000000-0003-0000-1300-00005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(8-19)'!BR91:BR91</xm:f>
              <xm:sqref>BS91</xm:sqref>
            </x14:sparkline>
          </x14:sparklines>
        </x14:sparklineGroup>
        <x14:sparklineGroup type="stacked" displayEmptyCellsAs="gap" negative="1" xr2:uid="{00000000-0003-0000-1300-00005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(8-19)'!U81:U81</xm:f>
              <xm:sqref>U82</xm:sqref>
            </x14:sparkline>
          </x14:sparklines>
        </x14:sparklineGroup>
        <x14:sparklineGroup type="stacked" displayEmptyCellsAs="gap" negative="1" xr2:uid="{00000000-0003-0000-1300-00005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(8-19)'!BR93:BR93</xm:f>
              <xm:sqref>BS93</xm:sqref>
            </x14:sparkline>
          </x14:sparklines>
        </x14:sparklineGroup>
        <x14:sparklineGroup type="stacked" displayEmptyCellsAs="gap" negative="1" xr2:uid="{00000000-0003-0000-1300-00005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(8-19)'!BQ54:BQ54</xm:f>
              <xm:sqref>BQ55</xm:sqref>
            </x14:sparkline>
          </x14:sparklines>
        </x14:sparklineGroup>
        <x14:sparklineGroup type="stacked" displayEmptyCellsAs="gap" negative="1" xr2:uid="{00000000-0003-0000-1300-00005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(8-19)'!N86:N86</xm:f>
              <xm:sqref>N87</xm:sqref>
            </x14:sparkline>
            <x14:sparkline>
              <xm:f>'RAWABI INCOME (8-19)'!O86:O86</xm:f>
              <xm:sqref>O87</xm:sqref>
            </x14:sparkline>
            <x14:sparkline>
              <xm:f>'RAWABI INCOME (8-19)'!P86:P86</xm:f>
              <xm:sqref>P87</xm:sqref>
            </x14:sparkline>
            <x14:sparkline>
              <xm:f>'RAWABI INCOME (8-19)'!Q86:Q86</xm:f>
              <xm:sqref>Q87</xm:sqref>
            </x14:sparkline>
            <x14:sparkline>
              <xm:f>'RAWABI INCOME (8-19)'!R86:R86</xm:f>
              <xm:sqref>R87</xm:sqref>
            </x14:sparkline>
            <x14:sparkline>
              <xm:f>'RAWABI INCOME (8-19)'!S86:S86</xm:f>
              <xm:sqref>S87</xm:sqref>
            </x14:sparkline>
            <x14:sparkline>
              <xm:f>'RAWABI INCOME (8-19)'!T86:T86</xm:f>
              <xm:sqref>T87</xm:sqref>
            </x14:sparkline>
            <x14:sparkline>
              <xm:f>'RAWABI INCOME (8-19)'!V86:V86</xm:f>
              <xm:sqref>V87</xm:sqref>
            </x14:sparkline>
            <x14:sparkline>
              <xm:f>'RAWABI INCOME (8-19)'!W86:W86</xm:f>
              <xm:sqref>W87</xm:sqref>
            </x14:sparkline>
            <x14:sparkline>
              <xm:f>'RAWABI INCOME (8-19)'!X86:X86</xm:f>
              <xm:sqref>X87</xm:sqref>
            </x14:sparkline>
            <x14:sparkline>
              <xm:f>'RAWABI INCOME (8-19)'!Y86:Y86</xm:f>
              <xm:sqref>Y87</xm:sqref>
            </x14:sparkline>
            <x14:sparkline>
              <xm:f>'RAWABI INCOME (8-19)'!Z86:Z86</xm:f>
              <xm:sqref>Z87</xm:sqref>
            </x14:sparkline>
            <x14:sparkline>
              <xm:f>'RAWABI INCOME (8-19)'!AA86:AA86</xm:f>
              <xm:sqref>AA87</xm:sqref>
            </x14:sparkline>
            <x14:sparkline>
              <xm:f>'RAWABI INCOME (8-19)'!AB86:AB86</xm:f>
              <xm:sqref>AB87</xm:sqref>
            </x14:sparkline>
            <x14:sparkline>
              <xm:f>'RAWABI INCOME (8-19)'!AC86:AC86</xm:f>
              <xm:sqref>AC87</xm:sqref>
            </x14:sparkline>
            <x14:sparkline>
              <xm:f>'RAWABI INCOME (8-19)'!AD86:AD86</xm:f>
              <xm:sqref>AD87</xm:sqref>
            </x14:sparkline>
            <x14:sparkline>
              <xm:f>'RAWABI INCOME (8-19)'!AE86:AE86</xm:f>
              <xm:sqref>AE87</xm:sqref>
            </x14:sparkline>
            <x14:sparkline>
              <xm:f>'RAWABI INCOME (8-19)'!AF86:AF86</xm:f>
              <xm:sqref>AF87</xm:sqref>
            </x14:sparkline>
            <x14:sparkline>
              <xm:f>'RAWABI INCOME (8-19)'!AG86:AG86</xm:f>
              <xm:sqref>AG87</xm:sqref>
            </x14:sparkline>
            <x14:sparkline>
              <xm:f>'RAWABI INCOME (8-19)'!AH86:AH86</xm:f>
              <xm:sqref>AH87</xm:sqref>
            </x14:sparkline>
            <x14:sparkline>
              <xm:f>'RAWABI INCOME (8-19)'!AI86:AI86</xm:f>
              <xm:sqref>AI87</xm:sqref>
            </x14:sparkline>
            <x14:sparkline>
              <xm:f>'RAWABI INCOME (8-19)'!AJ86:AJ86</xm:f>
              <xm:sqref>AJ87</xm:sqref>
            </x14:sparkline>
            <x14:sparkline>
              <xm:f>'RAWABI INCOME (8-19)'!AK86:AK86</xm:f>
              <xm:sqref>AK87</xm:sqref>
            </x14:sparkline>
            <x14:sparkline>
              <xm:f>'RAWABI INCOME (8-19)'!AL86:AL86</xm:f>
              <xm:sqref>AL87</xm:sqref>
            </x14:sparkline>
            <x14:sparkline>
              <xm:f>'RAWABI INCOME (8-19)'!AM86:AM86</xm:f>
              <xm:sqref>AM87</xm:sqref>
            </x14:sparkline>
            <x14:sparkline>
              <xm:f>'RAWABI INCOME (8-19)'!AN86:AN86</xm:f>
              <xm:sqref>AN87</xm:sqref>
            </x14:sparkline>
            <x14:sparkline>
              <xm:f>'RAWABI INCOME (8-19)'!AO86:AO86</xm:f>
              <xm:sqref>AO87</xm:sqref>
            </x14:sparkline>
            <x14:sparkline>
              <xm:f>'RAWABI INCOME (8-19)'!AP86:AP86</xm:f>
              <xm:sqref>AP87</xm:sqref>
            </x14:sparkline>
            <x14:sparkline>
              <xm:f>'RAWABI INCOME (8-19)'!AQ86:AQ86</xm:f>
              <xm:sqref>AQ87</xm:sqref>
            </x14:sparkline>
            <x14:sparkline>
              <xm:f>'RAWABI INCOME (8-19)'!AR86:AR86</xm:f>
              <xm:sqref>AR87</xm:sqref>
            </x14:sparkline>
            <x14:sparkline>
              <xm:f>'RAWABI INCOME (8-19)'!AS86:AS86</xm:f>
              <xm:sqref>AS87</xm:sqref>
            </x14:sparkline>
            <x14:sparkline>
              <xm:f>'RAWABI INCOME (8-19)'!AT86:AT86</xm:f>
              <xm:sqref>AT87</xm:sqref>
            </x14:sparkline>
            <x14:sparkline>
              <xm:f>'RAWABI INCOME (8-19)'!AU86:AU86</xm:f>
              <xm:sqref>AU87</xm:sqref>
            </x14:sparkline>
            <x14:sparkline>
              <xm:f>'RAWABI INCOME (8-19)'!AV86:AV86</xm:f>
              <xm:sqref>AV87</xm:sqref>
            </x14:sparkline>
            <x14:sparkline>
              <xm:f>'RAWABI INCOME (8-19)'!AW86:AW86</xm:f>
              <xm:sqref>AW87</xm:sqref>
            </x14:sparkline>
            <x14:sparkline>
              <xm:f>'RAWABI INCOME (8-19)'!AX86:AX86</xm:f>
              <xm:sqref>AX87</xm:sqref>
            </x14:sparkline>
            <x14:sparkline>
              <xm:f>'RAWABI INCOME (8-19)'!AY86:AY86</xm:f>
              <xm:sqref>AY87</xm:sqref>
            </x14:sparkline>
            <x14:sparkline>
              <xm:f>'RAWABI INCOME (8-19)'!AZ86:AZ86</xm:f>
              <xm:sqref>AZ87</xm:sqref>
            </x14:sparkline>
            <x14:sparkline>
              <xm:f>'RAWABI INCOME (8-19)'!BA86:BA86</xm:f>
              <xm:sqref>BA87</xm:sqref>
            </x14:sparkline>
            <x14:sparkline>
              <xm:f>'RAWABI INCOME (8-19)'!BB86:BB86</xm:f>
              <xm:sqref>BB87</xm:sqref>
            </x14:sparkline>
            <x14:sparkline>
              <xm:f>'RAWABI INCOME (8-19)'!BC86:BC86</xm:f>
              <xm:sqref>BC87</xm:sqref>
            </x14:sparkline>
            <x14:sparkline>
              <xm:f>'RAWABI INCOME (8-19)'!BD86:BD86</xm:f>
              <xm:sqref>BD87</xm:sqref>
            </x14:sparkline>
            <x14:sparkline>
              <xm:f>'RAWABI INCOME (8-19)'!BE86:BE86</xm:f>
              <xm:sqref>BE87</xm:sqref>
            </x14:sparkline>
            <x14:sparkline>
              <xm:f>'RAWABI INCOME (8-19)'!BF86:BF86</xm:f>
              <xm:sqref>BF87</xm:sqref>
            </x14:sparkline>
            <x14:sparkline>
              <xm:f>'RAWABI INCOME (8-19)'!BG86:BG86</xm:f>
              <xm:sqref>BG87</xm:sqref>
            </x14:sparkline>
            <x14:sparkline>
              <xm:f>'RAWABI INCOME (8-19)'!BH86:BH86</xm:f>
              <xm:sqref>BH87</xm:sqref>
            </x14:sparkline>
            <x14:sparkline>
              <xm:f>'RAWABI INCOME (8-19)'!BI86:BI86</xm:f>
              <xm:sqref>BI87</xm:sqref>
            </x14:sparkline>
            <x14:sparkline>
              <xm:f>'RAWABI INCOME (8-19)'!BJ86:BJ86</xm:f>
              <xm:sqref>BJ87</xm:sqref>
            </x14:sparkline>
            <x14:sparkline>
              <xm:f>'RAWABI INCOME (8-19)'!BK86:BK86</xm:f>
              <xm:sqref>BK87</xm:sqref>
            </x14:sparkline>
            <x14:sparkline>
              <xm:f>'RAWABI INCOME (8-19)'!BL86:BL86</xm:f>
              <xm:sqref>BL87</xm:sqref>
            </x14:sparkline>
            <x14:sparkline>
              <xm:f>'RAWABI INCOME (8-19)'!BM86:BM86</xm:f>
              <xm:sqref>BM87</xm:sqref>
            </x14:sparkline>
            <x14:sparkline>
              <xm:f>'RAWABI INCOME (8-19)'!BN86:BN86</xm:f>
              <xm:sqref>BN87</xm:sqref>
            </x14:sparkline>
            <x14:sparkline>
              <xm:f>'RAWABI INCOME (8-19)'!BO86:BO86</xm:f>
              <xm:sqref>BO87</xm:sqref>
            </x14:sparkline>
            <x14:sparkline>
              <xm:f>'RAWABI INCOME (8-19)'!BP86:BP86</xm:f>
              <xm:sqref>BP87</xm:sqref>
            </x14:sparkline>
            <x14:sparkline>
              <xm:f>'RAWABI INCOME (8-19)'!BR86:BR86</xm:f>
              <xm:sqref>BR87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FQ99"/>
  <sheetViews>
    <sheetView zoomScale="80" zoomScaleNormal="80" zoomScaleSheetLayoutView="80" workbookViewId="0">
      <pane xSplit="12" ySplit="10" topLeftCell="BS11" activePane="bottomRight" state="frozen"/>
      <selection activeCell="BT4" sqref="BT4:BT5"/>
      <selection pane="topRight" activeCell="BT4" sqref="BT4:BT5"/>
      <selection pane="bottomLeft" activeCell="BT4" sqref="BT4:BT5"/>
      <selection pane="bottomRight" activeCell="BT4" sqref="BT4:BT5"/>
    </sheetView>
  </sheetViews>
  <sheetFormatPr defaultColWidth="9.125" defaultRowHeight="16.5" x14ac:dyDescent="0.2"/>
  <cols>
    <col min="1" max="1" width="1.75" style="1719" customWidth="1"/>
    <col min="2" max="2" width="4.75" style="1719" customWidth="1"/>
    <col min="3" max="3" width="59.75" style="1719" bestFit="1" customWidth="1"/>
    <col min="4" max="4" width="0.875" style="1923" customWidth="1"/>
    <col min="5" max="5" width="13.75" style="1719" bestFit="1" customWidth="1"/>
    <col min="6" max="9" width="10.875" style="1719" hidden="1" customWidth="1"/>
    <col min="10" max="10" width="10.875" style="1719" bestFit="1" customWidth="1"/>
    <col min="11" max="11" width="12" style="1719" bestFit="1" customWidth="1"/>
    <col min="12" max="12" width="0.875" style="1719" customWidth="1"/>
    <col min="13" max="13" width="0.875" style="1923" customWidth="1"/>
    <col min="14" max="20" width="8.875" style="1719" hidden="1" customWidth="1"/>
    <col min="21" max="21" width="0.875" style="1923" customWidth="1"/>
    <col min="22" max="22" width="10.125" style="1719" bestFit="1" customWidth="1"/>
    <col min="23" max="23" width="9.625" style="1719" bestFit="1" customWidth="1"/>
    <col min="24" max="24" width="9.375" style="1719" bestFit="1" customWidth="1"/>
    <col min="25" max="25" width="0.875" style="1923" customWidth="1"/>
    <col min="26" max="27" width="8.125" style="1719" hidden="1" customWidth="1"/>
    <col min="28" max="28" width="9.25" style="1719" hidden="1" customWidth="1"/>
    <col min="29" max="30" width="8.875" style="1719" hidden="1" customWidth="1"/>
    <col min="31" max="31" width="8.125" style="1719" hidden="1" customWidth="1"/>
    <col min="32" max="32" width="9.25" style="1719" hidden="1" customWidth="1"/>
    <col min="33" max="33" width="0.875" style="1923" customWidth="1"/>
    <col min="34" max="34" width="10.125" style="1719" customWidth="1"/>
    <col min="35" max="36" width="9.375" style="1719" customWidth="1"/>
    <col min="37" max="37" width="0.875" style="1923" customWidth="1"/>
    <col min="38" max="44" width="8.875" style="1719" hidden="1" customWidth="1"/>
    <col min="45" max="45" width="0.875" style="1923" customWidth="1"/>
    <col min="46" max="46" width="10.125" style="1719" customWidth="1"/>
    <col min="47" max="47" width="9.625" style="1719" customWidth="1"/>
    <col min="48" max="48" width="9.375" style="1719" customWidth="1"/>
    <col min="49" max="49" width="0.875" style="1923" customWidth="1"/>
    <col min="50" max="50" width="9" style="1719" hidden="1" customWidth="1"/>
    <col min="51" max="55" width="8.875" style="1719" hidden="1" customWidth="1"/>
    <col min="56" max="56" width="9.125" style="1719" hidden="1" customWidth="1"/>
    <col min="57" max="57" width="0.875" style="1923" customWidth="1"/>
    <col min="58" max="58" width="10" style="1719" customWidth="1"/>
    <col min="59" max="59" width="9.25" style="1719" customWidth="1"/>
    <col min="60" max="60" width="9" style="1719" customWidth="1"/>
    <col min="61" max="61" width="0.875" style="1719" customWidth="1"/>
    <col min="62" max="63" width="8.875" style="1719" customWidth="1"/>
    <col min="64" max="64" width="0.875" style="1719" customWidth="1"/>
    <col min="65" max="65" width="10.25" style="1719" bestFit="1" customWidth="1"/>
    <col min="66" max="66" width="9.25" style="1719" bestFit="1" customWidth="1"/>
    <col min="67" max="67" width="10.25" style="1719" bestFit="1" customWidth="1"/>
    <col min="68" max="68" width="0.875" style="1719" customWidth="1"/>
    <col min="69" max="70" width="10" style="1719" bestFit="1" customWidth="1"/>
    <col min="71" max="71" width="0.875" style="1719" customWidth="1"/>
    <col min="72" max="72" width="10.375" style="1719" bestFit="1" customWidth="1"/>
    <col min="73" max="73" width="10.25" style="1719" bestFit="1" customWidth="1"/>
    <col min="74" max="74" width="0.875" style="1923" customWidth="1"/>
    <col min="75" max="75" width="10.375" style="1719" bestFit="1" customWidth="1"/>
    <col min="76" max="76" width="1.875" style="1719" customWidth="1"/>
    <col min="77" max="78" width="12.25" style="1719" bestFit="1" customWidth="1"/>
    <col min="79" max="79" width="13.125" style="1719" bestFit="1" customWidth="1"/>
    <col min="80" max="80" width="16.25" style="1719" bestFit="1" customWidth="1"/>
    <col min="81" max="81" width="12" style="1719" customWidth="1"/>
    <col min="82" max="82" width="12" style="1719" bestFit="1" customWidth="1"/>
    <col min="83" max="83" width="10.875" style="1719" customWidth="1"/>
    <col min="84" max="84" width="10" style="1719" bestFit="1" customWidth="1"/>
    <col min="85" max="85" width="13" style="1719" bestFit="1" customWidth="1"/>
    <col min="86" max="86" width="12" style="1719" bestFit="1" customWidth="1"/>
    <col min="87" max="87" width="12.125" style="1719" bestFit="1" customWidth="1"/>
    <col min="88" max="88" width="11" style="1719" bestFit="1" customWidth="1"/>
    <col min="89" max="90" width="9.125" style="1719" customWidth="1"/>
    <col min="91" max="16384" width="9.125" style="1719"/>
  </cols>
  <sheetData>
    <row r="1" spans="1:173" s="1726" customFormat="1" ht="18" customHeight="1" x14ac:dyDescent="0.2">
      <c r="C1" s="4558" t="s">
        <v>196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535" t="s">
        <v>145</v>
      </c>
      <c r="BK1" s="4536"/>
      <c r="BM1" s="4541" t="s">
        <v>146</v>
      </c>
      <c r="BN1" s="4542"/>
      <c r="BO1" s="4543"/>
      <c r="BQ1" s="4613" t="s">
        <v>54</v>
      </c>
      <c r="BR1" s="4579" t="s">
        <v>61</v>
      </c>
      <c r="BT1" s="4582">
        <f>BZ32/30</f>
        <v>1</v>
      </c>
      <c r="BU1" s="4583"/>
      <c r="BV1" s="4583"/>
      <c r="BW1" s="4584"/>
      <c r="BY1" s="2454">
        <f>BT3/BZ32*30</f>
        <v>23086.778999999999</v>
      </c>
      <c r="BZ1" s="2455">
        <f>BY1*30%</f>
        <v>6926.033699999999</v>
      </c>
      <c r="CA1" s="2456">
        <f>BZ1-E47</f>
        <v>3519.5003666666662</v>
      </c>
      <c r="CB1" s="2460">
        <f>CA1/3</f>
        <v>1173.1667888888887</v>
      </c>
      <c r="CC1" s="4570"/>
      <c r="CD1" s="4566"/>
      <c r="CE1" s="4568"/>
      <c r="CG1" s="4570"/>
      <c r="CH1" s="4566"/>
      <c r="CI1" s="4568"/>
    </row>
    <row r="2" spans="1:173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1721"/>
      <c r="N2" s="4575"/>
      <c r="O2" s="4576"/>
      <c r="P2" s="4576"/>
      <c r="Q2" s="4576"/>
      <c r="R2" s="4576"/>
      <c r="S2" s="4576"/>
      <c r="T2" s="4577"/>
      <c r="U2" s="2258"/>
      <c r="V2" s="4544"/>
      <c r="W2" s="4545"/>
      <c r="X2" s="4546"/>
      <c r="Y2" s="2258"/>
      <c r="Z2" s="4575"/>
      <c r="AA2" s="4576"/>
      <c r="AB2" s="4576"/>
      <c r="AC2" s="4576"/>
      <c r="AD2" s="4576"/>
      <c r="AE2" s="4576"/>
      <c r="AF2" s="4577"/>
      <c r="AG2" s="2258"/>
      <c r="AH2" s="4544"/>
      <c r="AI2" s="4545"/>
      <c r="AJ2" s="4546"/>
      <c r="AK2" s="2258"/>
      <c r="AL2" s="4575"/>
      <c r="AM2" s="4576"/>
      <c r="AN2" s="4576"/>
      <c r="AO2" s="4576"/>
      <c r="AP2" s="4576"/>
      <c r="AQ2" s="4576"/>
      <c r="AR2" s="4577"/>
      <c r="AS2" s="2258"/>
      <c r="AT2" s="4544"/>
      <c r="AU2" s="4545"/>
      <c r="AV2" s="4546"/>
      <c r="AW2" s="2258"/>
      <c r="AX2" s="4575"/>
      <c r="AY2" s="4576"/>
      <c r="AZ2" s="4576"/>
      <c r="BA2" s="4576"/>
      <c r="BB2" s="4576"/>
      <c r="BC2" s="4576"/>
      <c r="BD2" s="4577"/>
      <c r="BE2" s="2258"/>
      <c r="BF2" s="4544"/>
      <c r="BG2" s="4545"/>
      <c r="BH2" s="4546"/>
      <c r="BI2" s="1724"/>
      <c r="BJ2" s="4538"/>
      <c r="BK2" s="4539"/>
      <c r="BL2" s="1724"/>
      <c r="BM2" s="4544"/>
      <c r="BN2" s="4545"/>
      <c r="BO2" s="4546"/>
      <c r="BQ2" s="4614"/>
      <c r="BR2" s="4580"/>
      <c r="BT2" s="4585"/>
      <c r="BU2" s="4586"/>
      <c r="BV2" s="4586"/>
      <c r="BW2" s="4587"/>
      <c r="BY2" s="2457" t="e">
        <f>#REF!/BZ32*30</f>
        <v>#REF!</v>
      </c>
      <c r="BZ2" s="2458" t="e">
        <f>BY2*30%</f>
        <v>#REF!</v>
      </c>
      <c r="CA2" s="2459" t="e">
        <f>BZ2-E26</f>
        <v>#REF!</v>
      </c>
      <c r="CB2" s="1755"/>
      <c r="CC2" s="4571"/>
      <c r="CD2" s="4567"/>
      <c r="CE2" s="4569"/>
      <c r="CF2" s="1725"/>
      <c r="CG2" s="4571"/>
      <c r="CH2" s="4567"/>
      <c r="CI2" s="4569"/>
      <c r="CJ2" s="1725"/>
    </row>
    <row r="3" spans="1:173" s="1726" customFormat="1" ht="17.25" customHeight="1" x14ac:dyDescent="0.2">
      <c r="C3" s="2259" t="s">
        <v>189</v>
      </c>
      <c r="D3" s="1727"/>
      <c r="E3" s="2260"/>
      <c r="F3" s="2260"/>
      <c r="G3" s="2260"/>
      <c r="H3" s="2260"/>
      <c r="I3" s="2260"/>
      <c r="J3" s="2261">
        <f>BT3</f>
        <v>23086.778999999999</v>
      </c>
      <c r="K3" s="2469">
        <f>BT3/BZ32</f>
        <v>769.55930000000001</v>
      </c>
      <c r="L3" s="1730"/>
      <c r="M3" s="1731"/>
      <c r="N3" s="1732">
        <v>748.36400000000003</v>
      </c>
      <c r="O3" s="1732">
        <v>754.35</v>
      </c>
      <c r="P3" s="1732">
        <v>863.35</v>
      </c>
      <c r="Q3" s="1732">
        <v>707.27</v>
      </c>
      <c r="R3" s="1732">
        <v>899.35</v>
      </c>
      <c r="S3" s="1732">
        <v>664.49</v>
      </c>
      <c r="T3" s="1732">
        <v>1111.4639999999999</v>
      </c>
      <c r="U3" s="1733"/>
      <c r="V3" s="2207">
        <f>SUM(N3:T3)</f>
        <v>5748.6379999999999</v>
      </c>
      <c r="W3" s="2275">
        <f>($J$47*100/30)*7</f>
        <v>2649.525925925926</v>
      </c>
      <c r="X3" s="2277">
        <f>V3-W3</f>
        <v>3099.1120740740739</v>
      </c>
      <c r="Y3" s="1737"/>
      <c r="Z3" s="1732">
        <v>684.65</v>
      </c>
      <c r="AA3" s="1732">
        <v>699.88</v>
      </c>
      <c r="AB3" s="1732">
        <v>575.99900000000002</v>
      </c>
      <c r="AC3" s="1732">
        <v>437.19900000000001</v>
      </c>
      <c r="AD3" s="1732">
        <v>670.55</v>
      </c>
      <c r="AE3" s="1735">
        <v>560.5</v>
      </c>
      <c r="AF3" s="1732">
        <v>1012.129</v>
      </c>
      <c r="AG3" s="1738"/>
      <c r="AH3" s="2207">
        <f>SUM(Z3:AF3)</f>
        <v>4640.9070000000002</v>
      </c>
      <c r="AI3" s="2275">
        <f>($J$47*100/30)*7</f>
        <v>2649.525925925926</v>
      </c>
      <c r="AJ3" s="2277">
        <f>AH3-AI3</f>
        <v>1991.3810740740741</v>
      </c>
      <c r="AK3" s="1738"/>
      <c r="AL3" s="1732">
        <v>819.5</v>
      </c>
      <c r="AM3" s="1732">
        <v>824.6</v>
      </c>
      <c r="AN3" s="1732">
        <v>477.54899999999998</v>
      </c>
      <c r="AO3" s="1732">
        <v>580.94899999999996</v>
      </c>
      <c r="AP3" s="1732">
        <v>701.62</v>
      </c>
      <c r="AQ3" s="1732">
        <v>678.04899999999998</v>
      </c>
      <c r="AR3" s="1732">
        <v>1128.671</v>
      </c>
      <c r="AS3" s="2205"/>
      <c r="AT3" s="2207">
        <f>SUM(AL3:AR3)</f>
        <v>5210.9380000000001</v>
      </c>
      <c r="AU3" s="2275">
        <f>($J$47*100/30)*7</f>
        <v>2649.525925925926</v>
      </c>
      <c r="AV3" s="2277">
        <f>AT3-AU3</f>
        <v>2561.4120740740741</v>
      </c>
      <c r="AW3" s="2205"/>
      <c r="AX3" s="1732">
        <v>854.48800000000006</v>
      </c>
      <c r="AY3" s="1732">
        <v>1030.9000000000001</v>
      </c>
      <c r="AZ3" s="1732">
        <v>715.95</v>
      </c>
      <c r="BA3" s="1732">
        <v>779.74900000000002</v>
      </c>
      <c r="BB3" s="1732">
        <v>664.60199999999998</v>
      </c>
      <c r="BC3" s="1732">
        <v>696.10599999999999</v>
      </c>
      <c r="BD3" s="1732">
        <v>1042.702</v>
      </c>
      <c r="BE3" s="2205"/>
      <c r="BF3" s="2207">
        <f>SUM(AX3:BD3)</f>
        <v>5784.4970000000003</v>
      </c>
      <c r="BG3" s="2275">
        <f>($J$47*100/30)*7</f>
        <v>2649.525925925926</v>
      </c>
      <c r="BH3" s="2277">
        <f>BF3-BG3</f>
        <v>3134.9710740740743</v>
      </c>
      <c r="BI3" s="1861"/>
      <c r="BJ3" s="1732">
        <v>857.197</v>
      </c>
      <c r="BK3" s="1732">
        <v>844.60199999999998</v>
      </c>
      <c r="BL3" s="1861"/>
      <c r="BM3" s="2207">
        <f>SUM(BJ3:BK3)</f>
        <v>1701.799</v>
      </c>
      <c r="BN3" s="2275">
        <f>($J$47*100/30)*2</f>
        <v>757.00740740740741</v>
      </c>
      <c r="BO3" s="2277">
        <f>BM3-BN3</f>
        <v>944.79159259259256</v>
      </c>
      <c r="BQ3" s="4614"/>
      <c r="BR3" s="4580"/>
      <c r="BT3" s="2345">
        <f>SUM(N3:T3)+SUM(Z3:AF3)+SUM(AL3:AR3)+SUM(AX3:BD3)+SUM(BJ3:BK3)</f>
        <v>23086.778999999999</v>
      </c>
      <c r="BU3" s="2346">
        <f>BT3/BY3</f>
        <v>2.0331618752201654</v>
      </c>
      <c r="BV3" s="1997"/>
      <c r="BW3" s="2347">
        <f>BT3/BZ32*30</f>
        <v>23086.778999999999</v>
      </c>
      <c r="BX3" s="1740"/>
      <c r="BY3" s="2327">
        <f>C47</f>
        <v>11355.111111111108</v>
      </c>
      <c r="BZ3" s="2328">
        <f>BY3-BT3</f>
        <v>-11731.667888888891</v>
      </c>
      <c r="CA3" s="2329" t="e">
        <f>BZ3/BZ39</f>
        <v>#DIV/0!</v>
      </c>
      <c r="CB3" s="2582">
        <f>BY1/'RAWABI INCOME (8-19)'!BZ1-1</f>
        <v>0.1765512372915119</v>
      </c>
      <c r="CC3" s="2333"/>
      <c r="CD3" s="2334"/>
      <c r="CE3" s="2335"/>
      <c r="CF3" s="1742"/>
      <c r="CG3" s="2333"/>
      <c r="CH3" s="2334"/>
      <c r="CI3" s="2335"/>
      <c r="CJ3" s="1742"/>
    </row>
    <row r="4" spans="1:173" ht="17.25" customHeight="1" thickBot="1" x14ac:dyDescent="0.25">
      <c r="C4" s="1743" t="s">
        <v>210</v>
      </c>
      <c r="D4" s="1744"/>
      <c r="E4" s="1745"/>
      <c r="F4" s="1745"/>
      <c r="G4" s="1745"/>
      <c r="H4" s="1745"/>
      <c r="I4" s="1745"/>
      <c r="J4" s="1746">
        <f>BT4</f>
        <v>6926.0337</v>
      </c>
      <c r="K4" s="2382">
        <f>BT6</f>
        <v>1173.1667888888887</v>
      </c>
      <c r="L4" s="1720"/>
      <c r="M4" s="1721"/>
      <c r="N4" s="1747">
        <f t="shared" ref="N4:T4" si="0">N3*30%</f>
        <v>224.50919999999999</v>
      </c>
      <c r="O4" s="1747">
        <f t="shared" si="0"/>
        <v>226.30500000000001</v>
      </c>
      <c r="P4" s="1747">
        <f t="shared" si="0"/>
        <v>259.005</v>
      </c>
      <c r="Q4" s="1747">
        <f t="shared" si="0"/>
        <v>212.18099999999998</v>
      </c>
      <c r="R4" s="1747">
        <f t="shared" si="0"/>
        <v>269.80500000000001</v>
      </c>
      <c r="S4" s="1747">
        <f t="shared" si="0"/>
        <v>199.34700000000001</v>
      </c>
      <c r="T4" s="1747">
        <f t="shared" si="0"/>
        <v>333.43919999999997</v>
      </c>
      <c r="U4" s="1748"/>
      <c r="V4" s="2021">
        <f>SUM(N4:T4)</f>
        <v>1724.5914</v>
      </c>
      <c r="W4" s="1786">
        <f>W3*30%</f>
        <v>794.85777777777776</v>
      </c>
      <c r="X4" s="2278">
        <f>X3*30%</f>
        <v>929.73362222222215</v>
      </c>
      <c r="Y4" s="1722"/>
      <c r="Z4" s="1747">
        <f t="shared" ref="Z4:AF4" si="1">Z3*30%</f>
        <v>205.39499999999998</v>
      </c>
      <c r="AA4" s="1747">
        <f t="shared" si="1"/>
        <v>209.964</v>
      </c>
      <c r="AB4" s="1747">
        <f t="shared" si="1"/>
        <v>172.7997</v>
      </c>
      <c r="AC4" s="1747">
        <f t="shared" si="1"/>
        <v>131.15969999999999</v>
      </c>
      <c r="AD4" s="1747">
        <f t="shared" si="1"/>
        <v>201.16499999999999</v>
      </c>
      <c r="AE4" s="1747">
        <f t="shared" si="1"/>
        <v>168.15</v>
      </c>
      <c r="AF4" s="1747">
        <f t="shared" si="1"/>
        <v>303.63869999999997</v>
      </c>
      <c r="AG4" s="1723"/>
      <c r="AH4" s="2021">
        <f>SUM(Z4:AF4)</f>
        <v>1392.2720999999999</v>
      </c>
      <c r="AI4" s="1786">
        <f>AI3*30%</f>
        <v>794.85777777777776</v>
      </c>
      <c r="AJ4" s="2278">
        <f>AJ3*30%</f>
        <v>597.41432222222227</v>
      </c>
      <c r="AK4" s="1723"/>
      <c r="AL4" s="1747">
        <f t="shared" ref="AL4:AM4" si="2">AL3*30%</f>
        <v>245.85</v>
      </c>
      <c r="AM4" s="1747">
        <f t="shared" si="2"/>
        <v>247.38</v>
      </c>
      <c r="AN4" s="1747">
        <f t="shared" ref="AN4:AR4" si="3">AN3*30%</f>
        <v>143.26469999999998</v>
      </c>
      <c r="AO4" s="1747">
        <f t="shared" si="3"/>
        <v>174.28469999999999</v>
      </c>
      <c r="AP4" s="1747">
        <f t="shared" si="3"/>
        <v>210.48599999999999</v>
      </c>
      <c r="AQ4" s="1747">
        <f t="shared" si="3"/>
        <v>203.41469999999998</v>
      </c>
      <c r="AR4" s="1747">
        <f t="shared" si="3"/>
        <v>338.60129999999998</v>
      </c>
      <c r="AS4" s="2039"/>
      <c r="AT4" s="2021">
        <f>SUM(AL4:AR4)</f>
        <v>1563.2813999999998</v>
      </c>
      <c r="AU4" s="1786">
        <f>AU3*30%</f>
        <v>794.85777777777776</v>
      </c>
      <c r="AV4" s="2278">
        <f>AV3*30%</f>
        <v>768.42362222222221</v>
      </c>
      <c r="AW4" s="2039"/>
      <c r="AX4" s="1747">
        <f t="shared" ref="AX4:AY4" si="4">AX3*30%</f>
        <v>256.34640000000002</v>
      </c>
      <c r="AY4" s="1747">
        <f t="shared" si="4"/>
        <v>309.27000000000004</v>
      </c>
      <c r="AZ4" s="1747">
        <f t="shared" ref="AZ4:BB4" si="5">AZ3*30%</f>
        <v>214.785</v>
      </c>
      <c r="BA4" s="1747">
        <f t="shared" si="5"/>
        <v>233.9247</v>
      </c>
      <c r="BB4" s="1747">
        <f t="shared" si="5"/>
        <v>199.38059999999999</v>
      </c>
      <c r="BC4" s="1747">
        <f t="shared" ref="BC4:BD4" si="6">BC3*30%</f>
        <v>208.83179999999999</v>
      </c>
      <c r="BD4" s="1747">
        <f t="shared" si="6"/>
        <v>312.81059999999997</v>
      </c>
      <c r="BE4" s="2039"/>
      <c r="BF4" s="2021">
        <f>SUM(AX4:BD4)</f>
        <v>1735.3491000000001</v>
      </c>
      <c r="BG4" s="1786">
        <f>BG3*30%</f>
        <v>794.85777777777776</v>
      </c>
      <c r="BH4" s="2278">
        <f>BH3*30%</f>
        <v>940.49132222222227</v>
      </c>
      <c r="BI4" s="1994"/>
      <c r="BJ4" s="1747">
        <f t="shared" ref="BJ4:BK4" si="7">BJ3*30%</f>
        <v>257.15909999999997</v>
      </c>
      <c r="BK4" s="1747">
        <f t="shared" si="7"/>
        <v>253.38059999999999</v>
      </c>
      <c r="BL4" s="1994"/>
      <c r="BM4" s="2021">
        <f>SUM(BJ4:BK4)</f>
        <v>510.53969999999993</v>
      </c>
      <c r="BN4" s="1786">
        <f>BN3*30%</f>
        <v>227.10222222222222</v>
      </c>
      <c r="BO4" s="2278">
        <f>BO3*30%</f>
        <v>283.43747777777776</v>
      </c>
      <c r="BQ4" s="4614"/>
      <c r="BR4" s="4580"/>
      <c r="BT4" s="2326">
        <f>SUM(N4:T4)+SUM(Z4:AF4)+SUM(AL4:AR4)+SUM(AX4:BD4)+SUM(BJ4:BK4)</f>
        <v>6926.0337</v>
      </c>
      <c r="BU4" s="2022">
        <f>BT4/E47</f>
        <v>2.0331618752201654</v>
      </c>
      <c r="BV4" s="1993"/>
      <c r="BW4" s="2342">
        <f>BW3-BY1</f>
        <v>0</v>
      </c>
      <c r="BX4" s="1754"/>
      <c r="BY4" s="2330">
        <f>BT4-E47</f>
        <v>3519.5003666666671</v>
      </c>
      <c r="BZ4" s="2331" t="e">
        <f>BY4/BZ39</f>
        <v>#DIV/0!</v>
      </c>
      <c r="CA4" s="2332" t="e">
        <f>BZ4*100/30</f>
        <v>#DIV/0!</v>
      </c>
      <c r="CB4" s="1755"/>
      <c r="CC4" s="2336"/>
      <c r="CD4" s="2337"/>
      <c r="CE4" s="2338"/>
      <c r="CF4" s="1725"/>
      <c r="CG4" s="2336"/>
      <c r="CH4" s="2337"/>
      <c r="CI4" s="2338"/>
      <c r="CJ4" s="1725"/>
    </row>
    <row r="5" spans="1:173" s="1923" customFormat="1" ht="5.25" customHeight="1" thickBot="1" x14ac:dyDescent="0.25">
      <c r="C5" s="2273"/>
      <c r="D5" s="1800"/>
      <c r="E5" s="1804"/>
      <c r="F5" s="1804"/>
      <c r="G5" s="1804"/>
      <c r="H5" s="1804"/>
      <c r="I5" s="1804"/>
      <c r="J5" s="1803"/>
      <c r="K5" s="2272"/>
      <c r="L5" s="1721"/>
      <c r="M5" s="1721"/>
      <c r="N5" s="2026"/>
      <c r="O5" s="2026"/>
      <c r="P5" s="2026"/>
      <c r="Q5" s="2026"/>
      <c r="R5" s="2026"/>
      <c r="S5" s="2026"/>
      <c r="T5" s="2026"/>
      <c r="U5" s="1994"/>
      <c r="V5" s="2576"/>
      <c r="W5" s="1801"/>
      <c r="X5" s="2576"/>
      <c r="Y5" s="2258"/>
      <c r="Z5" s="2026"/>
      <c r="AA5" s="2026"/>
      <c r="AB5" s="2026"/>
      <c r="AC5" s="2026"/>
      <c r="AD5" s="2026"/>
      <c r="AE5" s="1803"/>
      <c r="AF5" s="2026"/>
      <c r="AG5" s="2258"/>
      <c r="AH5" s="2576"/>
      <c r="AI5" s="1801"/>
      <c r="AJ5" s="2576"/>
      <c r="AK5" s="2258"/>
      <c r="AL5" s="2026"/>
      <c r="AM5" s="2026"/>
      <c r="AN5" s="2026"/>
      <c r="AO5" s="2026"/>
      <c r="AP5" s="2026"/>
      <c r="AQ5" s="2026"/>
      <c r="AR5" s="2026"/>
      <c r="AS5" s="1994"/>
      <c r="AT5" s="2576"/>
      <c r="AU5" s="1801"/>
      <c r="AV5" s="2576"/>
      <c r="AW5" s="1994"/>
      <c r="AX5" s="2026"/>
      <c r="AY5" s="2026"/>
      <c r="AZ5" s="2026"/>
      <c r="BA5" s="2026"/>
      <c r="BB5" s="2026"/>
      <c r="BC5" s="2026"/>
      <c r="BD5" s="2026"/>
      <c r="BE5" s="1994"/>
      <c r="BF5" s="2576"/>
      <c r="BG5" s="1801"/>
      <c r="BH5" s="2576"/>
      <c r="BI5" s="1994"/>
      <c r="BJ5" s="2023"/>
      <c r="BK5" s="2023"/>
      <c r="BL5" s="1994"/>
      <c r="BM5" s="2576"/>
      <c r="BN5" s="1801"/>
      <c r="BO5" s="2576"/>
      <c r="BQ5" s="4614"/>
      <c r="BR5" s="4580"/>
      <c r="BT5" s="1805"/>
      <c r="BU5" s="1993"/>
      <c r="BV5" s="1993"/>
      <c r="BW5" s="2325"/>
      <c r="BX5" s="1994"/>
      <c r="BY5" s="2270"/>
      <c r="BZ5" s="2270"/>
      <c r="CA5" s="2270"/>
      <c r="CB5" s="1755"/>
      <c r="CC5" s="2271"/>
      <c r="CD5" s="2271"/>
      <c r="CE5" s="2271"/>
      <c r="CF5" s="1725"/>
      <c r="CG5" s="2271"/>
      <c r="CH5" s="2271"/>
      <c r="CI5" s="2271"/>
      <c r="CJ5" s="1725"/>
    </row>
    <row r="6" spans="1:173" s="1810" customFormat="1" ht="17.25" customHeight="1" x14ac:dyDescent="0.2">
      <c r="C6" s="1811" t="s">
        <v>190</v>
      </c>
      <c r="D6" s="1727"/>
      <c r="E6" s="1812"/>
      <c r="F6" s="1812"/>
      <c r="G6" s="1812"/>
      <c r="H6" s="1812"/>
      <c r="I6" s="1812"/>
      <c r="J6" s="1813">
        <f>BT6</f>
        <v>1173.1667888888887</v>
      </c>
      <c r="K6" s="4564" t="e">
        <f>BQ51</f>
        <v>#REF!</v>
      </c>
      <c r="L6" s="1760"/>
      <c r="M6" s="1761"/>
      <c r="N6" s="1735">
        <f t="shared" ref="N6:T6" si="8">(N4-N47)/3</f>
        <v>36.986029629629627</v>
      </c>
      <c r="O6" s="1735">
        <f t="shared" si="8"/>
        <v>37.584629629629632</v>
      </c>
      <c r="P6" s="1735">
        <f t="shared" si="8"/>
        <v>48.48462962962963</v>
      </c>
      <c r="Q6" s="1735">
        <f t="shared" si="8"/>
        <v>32.876629629629626</v>
      </c>
      <c r="R6" s="1735">
        <f t="shared" si="8"/>
        <v>52.084629629629632</v>
      </c>
      <c r="S6" s="1735">
        <f t="shared" si="8"/>
        <v>28.598629629629631</v>
      </c>
      <c r="T6" s="1735">
        <f t="shared" si="8"/>
        <v>73.296029629629615</v>
      </c>
      <c r="U6" s="1814"/>
      <c r="V6" s="1771">
        <f>SUM(N6:T6)</f>
        <v>309.9112074074074</v>
      </c>
      <c r="W6" s="1815"/>
      <c r="X6" s="1816"/>
      <c r="Y6" s="1764"/>
      <c r="Z6" s="1735">
        <f t="shared" ref="Z6:AF6" si="9">(Z4-Z47)/3</f>
        <v>30.614629629629622</v>
      </c>
      <c r="AA6" s="1735">
        <f t="shared" si="9"/>
        <v>32.137629629629629</v>
      </c>
      <c r="AB6" s="1735">
        <f t="shared" si="9"/>
        <v>19.749529629629631</v>
      </c>
      <c r="AC6" s="1735">
        <f t="shared" si="9"/>
        <v>5.8695296296296249</v>
      </c>
      <c r="AD6" s="1735">
        <f t="shared" si="9"/>
        <v>29.204629629629625</v>
      </c>
      <c r="AE6" s="1735">
        <f t="shared" si="9"/>
        <v>18.19962962962963</v>
      </c>
      <c r="AF6" s="1735">
        <f t="shared" si="9"/>
        <v>63.36252962962962</v>
      </c>
      <c r="AG6" s="1764"/>
      <c r="AH6" s="1771">
        <f>SUM(Z6:AF6)</f>
        <v>199.13810740740738</v>
      </c>
      <c r="AI6" s="1815"/>
      <c r="AJ6" s="1816"/>
      <c r="AK6" s="1764"/>
      <c r="AL6" s="1735">
        <f t="shared" ref="AL6:AR6" si="10">(AL4-AL47)/3</f>
        <v>44.099629629629625</v>
      </c>
      <c r="AM6" s="1735">
        <f t="shared" si="10"/>
        <v>44.60962962962963</v>
      </c>
      <c r="AN6" s="1735">
        <f t="shared" si="10"/>
        <v>9.9045296296296215</v>
      </c>
      <c r="AO6" s="1735">
        <f t="shared" si="10"/>
        <v>20.244529629629625</v>
      </c>
      <c r="AP6" s="1735">
        <f t="shared" si="10"/>
        <v>32.311629629629628</v>
      </c>
      <c r="AQ6" s="1735">
        <f t="shared" si="10"/>
        <v>29.954529629629622</v>
      </c>
      <c r="AR6" s="1735">
        <f t="shared" si="10"/>
        <v>75.016729629629623</v>
      </c>
      <c r="AS6" s="2289"/>
      <c r="AT6" s="1771">
        <f>SUM(AL6:AR6)</f>
        <v>256.14120740740736</v>
      </c>
      <c r="AU6" s="1815"/>
      <c r="AV6" s="1816"/>
      <c r="AW6" s="2289"/>
      <c r="AX6" s="1735">
        <f t="shared" ref="AX6:BD6" si="11">(AX4-AX47)/3</f>
        <v>47.598429629629635</v>
      </c>
      <c r="AY6" s="1735">
        <f t="shared" si="11"/>
        <v>65.239629629629647</v>
      </c>
      <c r="AZ6" s="1735">
        <f t="shared" si="11"/>
        <v>33.744629629629628</v>
      </c>
      <c r="BA6" s="1735">
        <f t="shared" si="11"/>
        <v>40.124529629629627</v>
      </c>
      <c r="BB6" s="1735">
        <f t="shared" si="11"/>
        <v>28.609829629629626</v>
      </c>
      <c r="BC6" s="1735">
        <f t="shared" si="11"/>
        <v>31.760229629629624</v>
      </c>
      <c r="BD6" s="1735">
        <f t="shared" si="11"/>
        <v>66.419829629629618</v>
      </c>
      <c r="BE6" s="2289"/>
      <c r="BF6" s="1771">
        <f>SUM(AX6:BD6)</f>
        <v>313.49710740740738</v>
      </c>
      <c r="BG6" s="1815"/>
      <c r="BH6" s="1816"/>
      <c r="BI6" s="1814"/>
      <c r="BJ6" s="1735">
        <f>(BJ4-BJ47)/3</f>
        <v>47.869329629629618</v>
      </c>
      <c r="BK6" s="1735">
        <f>(BK4-BK47)/3</f>
        <v>46.609829629629623</v>
      </c>
      <c r="BL6" s="1814"/>
      <c r="BM6" s="1771">
        <f>SUM(BJ6:BK6)</f>
        <v>94.479159259259234</v>
      </c>
      <c r="BN6" s="1815"/>
      <c r="BO6" s="1816"/>
      <c r="BP6" s="1766"/>
      <c r="BQ6" s="4614"/>
      <c r="BR6" s="4580"/>
      <c r="BS6" s="1766"/>
      <c r="BT6" s="1771">
        <f>SUM(N6:T6)+SUM(Z6:AF6)+SUM(AL6:AR6)+SUM(AX6:BD6)+SUM(BJ6:BK6)</f>
        <v>1173.1667888888887</v>
      </c>
      <c r="BU6" s="2340"/>
      <c r="BV6" s="1830"/>
      <c r="BW6" s="2348">
        <v>0</v>
      </c>
      <c r="BX6" s="1817"/>
      <c r="BY6" s="4578" t="s">
        <v>226</v>
      </c>
      <c r="BZ6" s="4578"/>
      <c r="CA6" s="1818"/>
      <c r="CB6" s="1774"/>
      <c r="CC6" s="1766"/>
      <c r="CD6" s="1766"/>
      <c r="CE6" s="1819"/>
      <c r="CF6" s="1820"/>
      <c r="CG6" s="1766"/>
      <c r="CH6" s="1766"/>
      <c r="CI6" s="1819"/>
      <c r="CJ6" s="1820"/>
      <c r="CK6" s="1821"/>
      <c r="CL6" s="1821"/>
      <c r="CM6" s="1821"/>
      <c r="CN6" s="1821"/>
      <c r="CO6" s="1821"/>
      <c r="CP6" s="1821"/>
      <c r="CQ6" s="1821"/>
      <c r="CR6" s="1821"/>
      <c r="CS6" s="1821"/>
      <c r="CT6" s="1821"/>
      <c r="CU6" s="1821"/>
      <c r="CV6" s="1821"/>
      <c r="CW6" s="1821"/>
      <c r="CX6" s="1821"/>
      <c r="CY6" s="1821"/>
      <c r="CZ6" s="1821"/>
      <c r="DA6" s="1821"/>
      <c r="DB6" s="1821"/>
      <c r="DC6" s="1821"/>
      <c r="DD6" s="1821"/>
      <c r="DE6" s="1821"/>
      <c r="DF6" s="1821"/>
      <c r="DG6" s="1821"/>
      <c r="DH6" s="1821"/>
      <c r="DI6" s="1821"/>
      <c r="DJ6" s="1821"/>
      <c r="DK6" s="1821"/>
      <c r="DL6" s="1821"/>
      <c r="DM6" s="1821"/>
      <c r="DN6" s="1821"/>
      <c r="DO6" s="1821"/>
      <c r="DP6" s="1821"/>
      <c r="DQ6" s="1821"/>
      <c r="DR6" s="1821"/>
      <c r="DS6" s="1821"/>
      <c r="DT6" s="1821"/>
      <c r="DU6" s="1821"/>
      <c r="DV6" s="1821"/>
      <c r="DW6" s="1821"/>
      <c r="DX6" s="1821"/>
      <c r="DY6" s="1821"/>
      <c r="DZ6" s="1821"/>
      <c r="EA6" s="1821"/>
      <c r="EB6" s="1821"/>
      <c r="EC6" s="1821"/>
      <c r="ED6" s="1821"/>
      <c r="EE6" s="1821"/>
      <c r="EF6" s="1821"/>
      <c r="EG6" s="1821"/>
      <c r="EH6" s="1821"/>
      <c r="EI6" s="1821"/>
      <c r="EJ6" s="1821"/>
      <c r="EK6" s="1821"/>
      <c r="EL6" s="1821"/>
      <c r="EM6" s="1821"/>
      <c r="EN6" s="1821"/>
      <c r="EO6" s="1821"/>
      <c r="EP6" s="1821"/>
      <c r="EQ6" s="1821"/>
      <c r="ER6" s="1821"/>
      <c r="ES6" s="1821"/>
      <c r="ET6" s="1821"/>
      <c r="EU6" s="1821"/>
      <c r="EV6" s="1821"/>
      <c r="EW6" s="1821"/>
      <c r="EX6" s="1821"/>
      <c r="EY6" s="1821"/>
      <c r="EZ6" s="1821"/>
      <c r="FA6" s="1821"/>
      <c r="FB6" s="1821"/>
      <c r="FC6" s="1821"/>
      <c r="FD6" s="1821"/>
      <c r="FE6" s="1821"/>
      <c r="FF6" s="1821"/>
      <c r="FG6" s="1821"/>
      <c r="FH6" s="1821"/>
      <c r="FI6" s="1821"/>
      <c r="FJ6" s="1821"/>
      <c r="FK6" s="1821"/>
      <c r="FL6" s="1821"/>
      <c r="FM6" s="1821"/>
      <c r="FN6" s="1821"/>
      <c r="FO6" s="1821"/>
      <c r="FP6" s="1821"/>
      <c r="FQ6" s="1821"/>
    </row>
    <row r="7" spans="1:173" s="1777" customFormat="1" ht="17.25" customHeight="1" thickBot="1" x14ac:dyDescent="0.25">
      <c r="C7" s="1822" t="s">
        <v>169</v>
      </c>
      <c r="D7" s="1744"/>
      <c r="E7" s="1823"/>
      <c r="F7" s="1823"/>
      <c r="G7" s="1823"/>
      <c r="H7" s="1823"/>
      <c r="I7" s="1823"/>
      <c r="J7" s="1824" t="e">
        <f>BT7</f>
        <v>#REF!</v>
      </c>
      <c r="K7" s="4565">
        <f t="shared" ref="K7" si="12">BQ54</f>
        <v>0</v>
      </c>
      <c r="L7" s="1782"/>
      <c r="M7" s="1783"/>
      <c r="N7" s="1750" t="e">
        <f>N6+#REF!</f>
        <v>#REF!</v>
      </c>
      <c r="O7" s="1750" t="e">
        <f>O6+#REF!</f>
        <v>#REF!</v>
      </c>
      <c r="P7" s="1750" t="e">
        <f>P6+#REF!</f>
        <v>#REF!</v>
      </c>
      <c r="Q7" s="1750" t="e">
        <f>Q6+#REF!</f>
        <v>#REF!</v>
      </c>
      <c r="R7" s="1750" t="e">
        <f>R6+#REF!</f>
        <v>#REF!</v>
      </c>
      <c r="S7" s="1750" t="e">
        <f>S6+#REF!</f>
        <v>#REF!</v>
      </c>
      <c r="T7" s="1750" t="e">
        <f>T6+#REF!</f>
        <v>#REF!</v>
      </c>
      <c r="U7" s="1801"/>
      <c r="V7" s="1785" t="e">
        <f>SUM(N7:T7)</f>
        <v>#REF!</v>
      </c>
      <c r="W7" s="1825"/>
      <c r="X7" s="1826"/>
      <c r="Y7" s="1788"/>
      <c r="Z7" s="1750" t="e">
        <f>Z6+#REF!</f>
        <v>#REF!</v>
      </c>
      <c r="AA7" s="1750" t="e">
        <f>AA6+#REF!</f>
        <v>#REF!</v>
      </c>
      <c r="AB7" s="1750" t="e">
        <f>AB6+#REF!</f>
        <v>#REF!</v>
      </c>
      <c r="AC7" s="1750" t="e">
        <f>AC6+#REF!</f>
        <v>#REF!</v>
      </c>
      <c r="AD7" s="1750" t="e">
        <f>AD6+#REF!</f>
        <v>#REF!</v>
      </c>
      <c r="AE7" s="1750" t="e">
        <f>AE6+#REF!</f>
        <v>#REF!</v>
      </c>
      <c r="AF7" s="1750" t="e">
        <f>AF6+#REF!</f>
        <v>#REF!</v>
      </c>
      <c r="AG7" s="1788"/>
      <c r="AH7" s="1785" t="e">
        <f>SUM(Z7:AF7)</f>
        <v>#REF!</v>
      </c>
      <c r="AI7" s="1825"/>
      <c r="AJ7" s="1826"/>
      <c r="AK7" s="1788"/>
      <c r="AL7" s="1750" t="e">
        <f>AL6+#REF!</f>
        <v>#REF!</v>
      </c>
      <c r="AM7" s="1750" t="e">
        <f>AM6+#REF!</f>
        <v>#REF!</v>
      </c>
      <c r="AN7" s="1750" t="e">
        <f>AN6+#REF!</f>
        <v>#REF!</v>
      </c>
      <c r="AO7" s="1750" t="e">
        <f>AO6+#REF!</f>
        <v>#REF!</v>
      </c>
      <c r="AP7" s="1750" t="e">
        <f>AP6+#REF!</f>
        <v>#REF!</v>
      </c>
      <c r="AQ7" s="1750" t="e">
        <f>AQ6+#REF!</f>
        <v>#REF!</v>
      </c>
      <c r="AR7" s="1750" t="e">
        <f>AR6+#REF!</f>
        <v>#REF!</v>
      </c>
      <c r="AS7" s="2290"/>
      <c r="AT7" s="1785" t="e">
        <f>SUM(AL7:AR7)</f>
        <v>#REF!</v>
      </c>
      <c r="AU7" s="1825"/>
      <c r="AV7" s="1826"/>
      <c r="AW7" s="2290"/>
      <c r="AX7" s="1750" t="e">
        <f>AX6+#REF!</f>
        <v>#REF!</v>
      </c>
      <c r="AY7" s="1750" t="e">
        <f>AY6+#REF!</f>
        <v>#REF!</v>
      </c>
      <c r="AZ7" s="1750" t="e">
        <f>AZ6+#REF!</f>
        <v>#REF!</v>
      </c>
      <c r="BA7" s="1750" t="e">
        <f>BA6+#REF!</f>
        <v>#REF!</v>
      </c>
      <c r="BB7" s="1750" t="e">
        <f>BB6+#REF!</f>
        <v>#REF!</v>
      </c>
      <c r="BC7" s="1750" t="e">
        <f>BC6+#REF!</f>
        <v>#REF!</v>
      </c>
      <c r="BD7" s="1750" t="e">
        <f>BD6+#REF!</f>
        <v>#REF!</v>
      </c>
      <c r="BE7" s="2290"/>
      <c r="BF7" s="1785" t="e">
        <f>SUM(AX7:BD7)</f>
        <v>#REF!</v>
      </c>
      <c r="BG7" s="1825"/>
      <c r="BH7" s="1826"/>
      <c r="BI7" s="1801"/>
      <c r="BJ7" s="1750" t="e">
        <f>BJ6+#REF!</f>
        <v>#REF!</v>
      </c>
      <c r="BK7" s="1750" t="e">
        <f>BK6+#REF!</f>
        <v>#REF!</v>
      </c>
      <c r="BL7" s="1801"/>
      <c r="BM7" s="1785" t="e">
        <f>SUM(BJ7:BK7)</f>
        <v>#REF!</v>
      </c>
      <c r="BN7" s="1825"/>
      <c r="BO7" s="1826"/>
      <c r="BP7" s="1792"/>
      <c r="BQ7" s="4614"/>
      <c r="BR7" s="4580"/>
      <c r="BS7" s="1792"/>
      <c r="BT7" s="1793" t="e">
        <f>SUM(N7:T7)+SUM(Z7:AF7)+SUM(AL7:AR7)+SUM(AX7:BD7)+SUM(BJ7:BK7)</f>
        <v>#REF!</v>
      </c>
      <c r="BU7" s="2341"/>
      <c r="BV7" s="1802"/>
      <c r="BW7" s="2349">
        <v>4</v>
      </c>
      <c r="BX7" s="1795"/>
      <c r="BY7" s="4578"/>
      <c r="BZ7" s="4578"/>
      <c r="CA7" s="1805"/>
      <c r="CB7" s="1797"/>
      <c r="CC7" s="1791"/>
      <c r="CD7" s="1791"/>
      <c r="CE7" s="1807"/>
      <c r="CF7" s="1798"/>
      <c r="CG7" s="1791"/>
      <c r="CH7" s="1791"/>
      <c r="CI7" s="1807"/>
      <c r="CJ7" s="1798"/>
      <c r="CK7" s="1799"/>
      <c r="CL7" s="1799"/>
      <c r="CM7" s="1799"/>
      <c r="CN7" s="1799"/>
      <c r="CO7" s="1799"/>
      <c r="CP7" s="1799"/>
      <c r="CQ7" s="1799"/>
      <c r="CR7" s="1799"/>
      <c r="CS7" s="1799"/>
      <c r="CT7" s="1799"/>
      <c r="CU7" s="1799"/>
      <c r="CV7" s="1799"/>
      <c r="CW7" s="1799"/>
      <c r="CX7" s="1799"/>
      <c r="CY7" s="1799"/>
      <c r="CZ7" s="1799"/>
      <c r="DA7" s="1799"/>
      <c r="DB7" s="1799"/>
      <c r="DC7" s="1799"/>
      <c r="DD7" s="1799"/>
      <c r="DE7" s="1799"/>
      <c r="DF7" s="1799"/>
      <c r="DG7" s="1799"/>
      <c r="DH7" s="1799"/>
      <c r="DI7" s="1799"/>
      <c r="DJ7" s="1799"/>
      <c r="DK7" s="1799"/>
      <c r="DL7" s="1799"/>
      <c r="DM7" s="1799"/>
      <c r="DN7" s="1799"/>
      <c r="DO7" s="1799"/>
      <c r="DP7" s="1799"/>
      <c r="DQ7" s="1799"/>
      <c r="DR7" s="1799"/>
      <c r="DS7" s="1799"/>
      <c r="DT7" s="1799"/>
      <c r="DU7" s="1799"/>
      <c r="DV7" s="1799"/>
      <c r="DW7" s="1799"/>
      <c r="DX7" s="1799"/>
      <c r="DY7" s="1799"/>
      <c r="DZ7" s="1799"/>
      <c r="EA7" s="1799"/>
      <c r="EB7" s="1799"/>
      <c r="EC7" s="1799"/>
      <c r="ED7" s="1799"/>
      <c r="EE7" s="1799"/>
      <c r="EF7" s="1799"/>
      <c r="EG7" s="1799"/>
      <c r="EH7" s="1799"/>
      <c r="EI7" s="1799"/>
      <c r="EJ7" s="1799"/>
      <c r="EK7" s="1799"/>
      <c r="EL7" s="1799"/>
      <c r="EM7" s="1799"/>
      <c r="EN7" s="1799"/>
      <c r="EO7" s="1799"/>
      <c r="EP7" s="1799"/>
      <c r="EQ7" s="1799"/>
      <c r="ER7" s="1799"/>
      <c r="ES7" s="1799"/>
      <c r="ET7" s="1799"/>
      <c r="EU7" s="1799"/>
      <c r="EV7" s="1799"/>
      <c r="EW7" s="1799"/>
      <c r="EX7" s="1799"/>
      <c r="EY7" s="1799"/>
      <c r="EZ7" s="1799"/>
      <c r="FA7" s="1799"/>
      <c r="FB7" s="1799"/>
      <c r="FC7" s="1799"/>
      <c r="FD7" s="1799"/>
      <c r="FE7" s="1799"/>
      <c r="FF7" s="1799"/>
      <c r="FG7" s="1799"/>
      <c r="FH7" s="1799"/>
      <c r="FI7" s="1799"/>
      <c r="FJ7" s="1799"/>
      <c r="FK7" s="1799"/>
      <c r="FL7" s="1799"/>
      <c r="FM7" s="1799"/>
      <c r="FN7" s="1799"/>
      <c r="FO7" s="1799"/>
      <c r="FP7" s="1799"/>
      <c r="FQ7" s="1799"/>
    </row>
    <row r="8" spans="1:173" s="1800" customFormat="1" ht="4.5" customHeight="1" thickBot="1" x14ac:dyDescent="0.25">
      <c r="E8" s="1791"/>
      <c r="F8" s="1791"/>
      <c r="G8" s="1791"/>
      <c r="H8" s="1791"/>
      <c r="I8" s="1791"/>
      <c r="J8" s="1791"/>
      <c r="K8" s="1783"/>
      <c r="L8" s="1782"/>
      <c r="M8" s="1783"/>
      <c r="N8" s="1803"/>
      <c r="O8" s="1803"/>
      <c r="P8" s="1803"/>
      <c r="Q8" s="1803"/>
      <c r="R8" s="1803"/>
      <c r="S8" s="1803"/>
      <c r="T8" s="1803"/>
      <c r="U8" s="1801"/>
      <c r="V8" s="1801"/>
      <c r="W8" s="1801"/>
      <c r="X8" s="1801"/>
      <c r="Y8" s="1791"/>
      <c r="Z8" s="1803"/>
      <c r="AA8" s="1803"/>
      <c r="AB8" s="1803"/>
      <c r="AC8" s="1803"/>
      <c r="AD8" s="1803"/>
      <c r="AE8" s="1803"/>
      <c r="AF8" s="1803"/>
      <c r="AG8" s="1791"/>
      <c r="AH8" s="1801"/>
      <c r="AI8" s="1801"/>
      <c r="AJ8" s="1801"/>
      <c r="AK8" s="1791"/>
      <c r="AL8" s="1803"/>
      <c r="AM8" s="1803"/>
      <c r="AN8" s="1803"/>
      <c r="AO8" s="1803"/>
      <c r="AP8" s="1803"/>
      <c r="AQ8" s="1803"/>
      <c r="AR8" s="1803"/>
      <c r="AS8" s="1801"/>
      <c r="AT8" s="1801"/>
      <c r="AU8" s="1801"/>
      <c r="AV8" s="1801"/>
      <c r="AW8" s="1801"/>
      <c r="AX8" s="1803"/>
      <c r="AY8" s="1803"/>
      <c r="AZ8" s="1803"/>
      <c r="BA8" s="1803"/>
      <c r="BB8" s="1803"/>
      <c r="BC8" s="1803"/>
      <c r="BD8" s="1803"/>
      <c r="BE8" s="1801"/>
      <c r="BF8" s="1801"/>
      <c r="BG8" s="1801"/>
      <c r="BH8" s="1801"/>
      <c r="BI8" s="1801"/>
      <c r="BJ8" s="1803"/>
      <c r="BK8" s="1803"/>
      <c r="BL8" s="1801"/>
      <c r="BM8" s="1801"/>
      <c r="BN8" s="1801"/>
      <c r="BO8" s="1801"/>
      <c r="BP8" s="1791"/>
      <c r="BQ8" s="4614"/>
      <c r="BR8" s="4580"/>
      <c r="BS8" s="1791"/>
      <c r="BT8" s="1801"/>
      <c r="BU8" s="1802"/>
      <c r="BV8" s="1802"/>
      <c r="BW8" s="1805"/>
      <c r="BX8" s="1806"/>
      <c r="BY8" s="1801"/>
      <c r="BZ8" s="1805"/>
      <c r="CA8" s="1805"/>
      <c r="CB8" s="1797"/>
      <c r="CC8" s="1791"/>
      <c r="CD8" s="1791"/>
      <c r="CE8" s="1807"/>
      <c r="CF8" s="1808"/>
      <c r="CG8" s="1791"/>
      <c r="CH8" s="1791"/>
      <c r="CI8" s="1807"/>
      <c r="CJ8" s="1808"/>
      <c r="CK8" s="1809"/>
      <c r="CL8" s="1809"/>
      <c r="CM8" s="1809"/>
      <c r="CN8" s="1809"/>
      <c r="CO8" s="1809"/>
      <c r="CP8" s="1809"/>
      <c r="CQ8" s="1809"/>
      <c r="CR8" s="1809"/>
      <c r="CS8" s="1809"/>
      <c r="CT8" s="1809"/>
      <c r="CU8" s="1809"/>
      <c r="CV8" s="1809"/>
      <c r="CW8" s="1809"/>
      <c r="CX8" s="1809"/>
      <c r="CY8" s="1809"/>
      <c r="CZ8" s="1809"/>
      <c r="DA8" s="1809"/>
      <c r="DB8" s="1809"/>
      <c r="DC8" s="1809"/>
      <c r="DD8" s="1809"/>
      <c r="DE8" s="1809"/>
      <c r="DF8" s="1809"/>
      <c r="DG8" s="1809"/>
      <c r="DH8" s="1809"/>
      <c r="DI8" s="1809"/>
      <c r="DJ8" s="1809"/>
      <c r="DK8" s="1809"/>
      <c r="DL8" s="1809"/>
      <c r="DM8" s="1809"/>
      <c r="DN8" s="1809"/>
      <c r="DO8" s="1809"/>
      <c r="DP8" s="1809"/>
      <c r="DQ8" s="1809"/>
      <c r="DR8" s="1809"/>
      <c r="DS8" s="1809"/>
      <c r="DT8" s="1809"/>
      <c r="DU8" s="1809"/>
      <c r="DV8" s="1809"/>
      <c r="DW8" s="1809"/>
      <c r="DX8" s="1809"/>
      <c r="DY8" s="1809"/>
      <c r="DZ8" s="1809"/>
      <c r="EA8" s="1809"/>
      <c r="EB8" s="1809"/>
      <c r="EC8" s="1809"/>
      <c r="ED8" s="1809"/>
      <c r="EE8" s="1809"/>
      <c r="EF8" s="1809"/>
      <c r="EG8" s="1809"/>
      <c r="EH8" s="1809"/>
      <c r="EI8" s="1809"/>
      <c r="EJ8" s="1809"/>
      <c r="EK8" s="1809"/>
      <c r="EL8" s="1809"/>
      <c r="EM8" s="1809"/>
      <c r="EN8" s="1809"/>
      <c r="EO8" s="1809"/>
      <c r="EP8" s="1809"/>
      <c r="EQ8" s="1809"/>
      <c r="ER8" s="1809"/>
      <c r="ES8" s="1809"/>
      <c r="ET8" s="1809"/>
      <c r="EU8" s="1809"/>
      <c r="EV8" s="1809"/>
      <c r="EW8" s="1809"/>
      <c r="EX8" s="1809"/>
      <c r="EY8" s="1809"/>
      <c r="EZ8" s="1809"/>
      <c r="FA8" s="1809"/>
      <c r="FB8" s="1809"/>
      <c r="FC8" s="1809"/>
      <c r="FD8" s="1809"/>
      <c r="FE8" s="1809"/>
      <c r="FF8" s="1809"/>
      <c r="FG8" s="1809"/>
      <c r="FH8" s="1809"/>
      <c r="FI8" s="1809"/>
      <c r="FJ8" s="1809"/>
      <c r="FK8" s="1809"/>
      <c r="FL8" s="1809"/>
      <c r="FM8" s="1809"/>
      <c r="FN8" s="1809"/>
      <c r="FO8" s="1809"/>
      <c r="FP8" s="1809"/>
      <c r="FQ8" s="1809"/>
    </row>
    <row r="9" spans="1:173" s="1756" customFormat="1" ht="15" customHeight="1" x14ac:dyDescent="0.2">
      <c r="C9" s="1810"/>
      <c r="D9" s="1810"/>
      <c r="K9" s="1810"/>
      <c r="L9" s="1827"/>
      <c r="M9" s="1810"/>
      <c r="N9" s="1735" t="s">
        <v>47</v>
      </c>
      <c r="O9" s="1735" t="s">
        <v>48</v>
      </c>
      <c r="P9" s="1735" t="s">
        <v>49</v>
      </c>
      <c r="Q9" s="1735" t="s">
        <v>50</v>
      </c>
      <c r="R9" s="1735" t="s">
        <v>51</v>
      </c>
      <c r="S9" s="2471" t="s">
        <v>45</v>
      </c>
      <c r="T9" s="1735" t="s">
        <v>46</v>
      </c>
      <c r="U9" s="1814"/>
      <c r="V9" s="1771"/>
      <c r="W9" s="1815"/>
      <c r="X9" s="1816"/>
      <c r="Y9" s="1764"/>
      <c r="Z9" s="1735" t="s">
        <v>47</v>
      </c>
      <c r="AA9" s="1735" t="s">
        <v>48</v>
      </c>
      <c r="AB9" s="1735" t="s">
        <v>49</v>
      </c>
      <c r="AC9" s="1735" t="s">
        <v>50</v>
      </c>
      <c r="AD9" s="1735" t="s">
        <v>51</v>
      </c>
      <c r="AE9" s="2471" t="s">
        <v>45</v>
      </c>
      <c r="AF9" s="1735" t="s">
        <v>46</v>
      </c>
      <c r="AG9" s="1764"/>
      <c r="AH9" s="1771"/>
      <c r="AI9" s="1815"/>
      <c r="AJ9" s="1829"/>
      <c r="AK9" s="1764"/>
      <c r="AL9" s="1735" t="s">
        <v>47</v>
      </c>
      <c r="AM9" s="1735" t="s">
        <v>48</v>
      </c>
      <c r="AN9" s="1735" t="s">
        <v>49</v>
      </c>
      <c r="AO9" s="1735" t="s">
        <v>50</v>
      </c>
      <c r="AP9" s="1735" t="s">
        <v>51</v>
      </c>
      <c r="AQ9" s="2471" t="s">
        <v>45</v>
      </c>
      <c r="AR9" s="1735" t="s">
        <v>46</v>
      </c>
      <c r="AS9" s="2289"/>
      <c r="AT9" s="1771"/>
      <c r="AU9" s="1815"/>
      <c r="AV9" s="1816"/>
      <c r="AW9" s="2289"/>
      <c r="AX9" s="1735" t="s">
        <v>46</v>
      </c>
      <c r="AY9" s="1735" t="s">
        <v>48</v>
      </c>
      <c r="AZ9" s="1735" t="s">
        <v>49</v>
      </c>
      <c r="BA9" s="1735" t="s">
        <v>50</v>
      </c>
      <c r="BB9" s="1735" t="s">
        <v>51</v>
      </c>
      <c r="BC9" s="2471" t="s">
        <v>45</v>
      </c>
      <c r="BD9" s="1735" t="s">
        <v>46</v>
      </c>
      <c r="BE9" s="2289"/>
      <c r="BF9" s="1771"/>
      <c r="BG9" s="1815"/>
      <c r="BH9" s="1816"/>
      <c r="BI9" s="1814"/>
      <c r="BJ9" s="1735" t="s">
        <v>46</v>
      </c>
      <c r="BK9" s="1735" t="s">
        <v>48</v>
      </c>
      <c r="BL9" s="1814"/>
      <c r="BM9" s="1771"/>
      <c r="BN9" s="1815"/>
      <c r="BO9" s="1816"/>
      <c r="BQ9" s="4614"/>
      <c r="BR9" s="4580"/>
      <c r="BT9" s="1814"/>
      <c r="BU9" s="1830"/>
      <c r="BV9" s="1830"/>
      <c r="BW9" s="1818"/>
      <c r="BX9" s="2572"/>
      <c r="BY9" s="2262">
        <f>BU4-BT1</f>
        <v>1.0331618752201654</v>
      </c>
      <c r="BZ9" s="4607"/>
      <c r="CA9" s="4608" t="s">
        <v>101</v>
      </c>
      <c r="CB9" s="1831"/>
      <c r="CC9" s="1832"/>
      <c r="CD9" s="1832"/>
      <c r="CE9" s="1833"/>
      <c r="CF9" s="1776"/>
      <c r="CG9" s="1776"/>
      <c r="CH9" s="1776"/>
      <c r="CI9" s="1834"/>
      <c r="CJ9" s="1776"/>
      <c r="CK9" s="1776"/>
      <c r="CL9" s="1776"/>
      <c r="CM9" s="1776"/>
      <c r="CN9" s="1776"/>
      <c r="CO9" s="1776"/>
      <c r="CP9" s="1776"/>
      <c r="CQ9" s="1776"/>
      <c r="CR9" s="1776"/>
      <c r="CS9" s="1776"/>
      <c r="CT9" s="1776"/>
      <c r="CU9" s="1776"/>
      <c r="CV9" s="1776"/>
      <c r="CW9" s="1776"/>
      <c r="CX9" s="1776"/>
      <c r="CY9" s="1776"/>
      <c r="CZ9" s="1776"/>
      <c r="DA9" s="1776"/>
      <c r="DB9" s="1776"/>
      <c r="DC9" s="1776"/>
      <c r="DD9" s="1776"/>
      <c r="DE9" s="1776"/>
      <c r="DF9" s="1776"/>
      <c r="DG9" s="1776"/>
      <c r="DH9" s="1776"/>
      <c r="DI9" s="1776"/>
      <c r="DJ9" s="1776"/>
      <c r="DK9" s="1776"/>
      <c r="DL9" s="1776"/>
      <c r="DM9" s="1776"/>
      <c r="DN9" s="1776"/>
      <c r="DO9" s="1776"/>
      <c r="DP9" s="1776"/>
      <c r="DQ9" s="1776"/>
      <c r="DR9" s="1776"/>
      <c r="DS9" s="1776"/>
      <c r="DT9" s="1776"/>
      <c r="DU9" s="1776"/>
      <c r="DV9" s="1776"/>
      <c r="DW9" s="1776"/>
      <c r="DX9" s="1776"/>
      <c r="DY9" s="1776"/>
      <c r="DZ9" s="1776"/>
      <c r="EA9" s="1776"/>
      <c r="EB9" s="1776"/>
      <c r="EC9" s="1776"/>
      <c r="ED9" s="1776"/>
      <c r="EE9" s="1776"/>
      <c r="EF9" s="1776"/>
      <c r="EG9" s="1776"/>
      <c r="EH9" s="1776"/>
      <c r="EI9" s="1776"/>
      <c r="EJ9" s="1776"/>
      <c r="EK9" s="1776"/>
      <c r="EL9" s="1776"/>
      <c r="EM9" s="1776"/>
      <c r="EN9" s="1776"/>
      <c r="EO9" s="1776"/>
      <c r="EP9" s="1776"/>
      <c r="EQ9" s="1776"/>
      <c r="ER9" s="1776"/>
      <c r="ES9" s="1776"/>
      <c r="ET9" s="1776"/>
      <c r="EU9" s="1776"/>
      <c r="EV9" s="1776"/>
      <c r="EW9" s="1776"/>
      <c r="EX9" s="1776"/>
      <c r="EY9" s="1776"/>
      <c r="EZ9" s="1776"/>
      <c r="FA9" s="1776"/>
      <c r="FB9" s="1776"/>
      <c r="FC9" s="1776"/>
      <c r="FD9" s="1776"/>
      <c r="FE9" s="1776"/>
      <c r="FF9" s="1776"/>
      <c r="FG9" s="1776"/>
      <c r="FH9" s="1776"/>
      <c r="FI9" s="1776"/>
      <c r="FJ9" s="1776"/>
      <c r="FK9" s="1776"/>
      <c r="FL9" s="1776"/>
      <c r="FM9" s="1776"/>
      <c r="FN9" s="1776"/>
      <c r="FO9" s="1776"/>
      <c r="FP9" s="1776"/>
      <c r="FQ9" s="1776"/>
    </row>
    <row r="10" spans="1:173" s="1777" customFormat="1" ht="17.25" thickBot="1" x14ac:dyDescent="0.25">
      <c r="B10" s="1835" t="s">
        <v>0</v>
      </c>
      <c r="C10" s="1836" t="s">
        <v>1</v>
      </c>
      <c r="D10" s="1744"/>
      <c r="E10" s="1836" t="s">
        <v>24</v>
      </c>
      <c r="F10" s="1837" t="s">
        <v>108</v>
      </c>
      <c r="G10" s="1838" t="s">
        <v>109</v>
      </c>
      <c r="H10" s="1839" t="s">
        <v>110</v>
      </c>
      <c r="I10" s="1840" t="s">
        <v>111</v>
      </c>
      <c r="J10" s="1841" t="s">
        <v>107</v>
      </c>
      <c r="K10" s="1836" t="s">
        <v>2</v>
      </c>
      <c r="L10" s="1842"/>
      <c r="M10" s="1800"/>
      <c r="N10" s="1835">
        <v>1</v>
      </c>
      <c r="O10" s="1835">
        <v>2</v>
      </c>
      <c r="P10" s="1835">
        <v>3</v>
      </c>
      <c r="Q10" s="1835">
        <v>4</v>
      </c>
      <c r="R10" s="1835">
        <v>5</v>
      </c>
      <c r="S10" s="2472">
        <v>6</v>
      </c>
      <c r="T10" s="1835">
        <v>7</v>
      </c>
      <c r="U10" s="1843"/>
      <c r="V10" s="1844"/>
      <c r="W10" s="1845"/>
      <c r="X10" s="1846"/>
      <c r="Y10" s="1847"/>
      <c r="Z10" s="1835">
        <v>8</v>
      </c>
      <c r="AA10" s="1835">
        <v>9</v>
      </c>
      <c r="AB10" s="1835">
        <v>10</v>
      </c>
      <c r="AC10" s="1835">
        <v>11</v>
      </c>
      <c r="AD10" s="1835">
        <v>12</v>
      </c>
      <c r="AE10" s="1835">
        <v>13</v>
      </c>
      <c r="AF10" s="1835">
        <v>14</v>
      </c>
      <c r="AG10" s="1744"/>
      <c r="AH10" s="1844"/>
      <c r="AI10" s="1845"/>
      <c r="AJ10" s="1846"/>
      <c r="AK10" s="1744"/>
      <c r="AL10" s="1835">
        <v>15</v>
      </c>
      <c r="AM10" s="1835">
        <v>16</v>
      </c>
      <c r="AN10" s="1835">
        <v>17</v>
      </c>
      <c r="AO10" s="1835">
        <v>18</v>
      </c>
      <c r="AP10" s="1835">
        <v>19</v>
      </c>
      <c r="AQ10" s="1835">
        <v>20</v>
      </c>
      <c r="AR10" s="1835">
        <v>21</v>
      </c>
      <c r="AS10" s="2291"/>
      <c r="AT10" s="1844"/>
      <c r="AU10" s="1845"/>
      <c r="AV10" s="1846"/>
      <c r="AW10" s="2291"/>
      <c r="AX10" s="1835">
        <v>22</v>
      </c>
      <c r="AY10" s="1835">
        <v>23</v>
      </c>
      <c r="AZ10" s="1835">
        <v>24</v>
      </c>
      <c r="BA10" s="1835">
        <v>25</v>
      </c>
      <c r="BB10" s="1835">
        <v>26</v>
      </c>
      <c r="BC10" s="1835">
        <v>27</v>
      </c>
      <c r="BD10" s="1835">
        <v>28</v>
      </c>
      <c r="BE10" s="2291"/>
      <c r="BF10" s="1844"/>
      <c r="BG10" s="1845"/>
      <c r="BH10" s="1846"/>
      <c r="BI10" s="1806"/>
      <c r="BJ10" s="1835">
        <v>29</v>
      </c>
      <c r="BK10" s="1835">
        <v>30</v>
      </c>
      <c r="BL10" s="1806"/>
      <c r="BM10" s="1844"/>
      <c r="BN10" s="1845"/>
      <c r="BO10" s="1846"/>
      <c r="BQ10" s="4615"/>
      <c r="BR10" s="4581"/>
      <c r="BT10" s="1835" t="s">
        <v>7</v>
      </c>
      <c r="BU10" s="1835" t="s">
        <v>2</v>
      </c>
      <c r="BV10" s="1806"/>
      <c r="BW10" s="1806"/>
      <c r="BX10" s="1795"/>
      <c r="BY10" s="2263" t="e">
        <f>#REF!-BT1</f>
        <v>#REF!</v>
      </c>
      <c r="BZ10" s="4607"/>
      <c r="CA10" s="4608"/>
      <c r="CB10" s="1848"/>
      <c r="CC10" s="1799"/>
      <c r="CD10" s="1799"/>
      <c r="CE10" s="1799"/>
      <c r="CF10" s="1799"/>
      <c r="CG10" s="1799"/>
      <c r="CH10" s="1799"/>
      <c r="CI10" s="1799"/>
      <c r="CJ10" s="1799"/>
      <c r="CK10" s="1799"/>
      <c r="CL10" s="1799"/>
      <c r="CM10" s="1799"/>
      <c r="CN10" s="1799"/>
      <c r="CO10" s="1799"/>
      <c r="CP10" s="1799"/>
      <c r="CQ10" s="1799"/>
      <c r="CR10" s="1799"/>
      <c r="CS10" s="1799"/>
      <c r="CT10" s="1799"/>
      <c r="CU10" s="1799"/>
      <c r="CV10" s="1799"/>
      <c r="CW10" s="1799"/>
      <c r="CX10" s="1799"/>
      <c r="CY10" s="1799"/>
      <c r="CZ10" s="1799"/>
      <c r="DA10" s="1799"/>
      <c r="DB10" s="1799"/>
      <c r="DC10" s="1799"/>
      <c r="DD10" s="1799"/>
      <c r="DE10" s="1799"/>
      <c r="DF10" s="1799"/>
      <c r="DG10" s="1799"/>
      <c r="DH10" s="1799"/>
      <c r="DI10" s="1799"/>
      <c r="DJ10" s="1799"/>
      <c r="DK10" s="1799"/>
      <c r="DL10" s="1799"/>
      <c r="DM10" s="1799"/>
      <c r="DN10" s="1799"/>
      <c r="DO10" s="1799"/>
      <c r="DP10" s="1799"/>
      <c r="DQ10" s="1799"/>
      <c r="DR10" s="1799"/>
      <c r="DS10" s="1799"/>
      <c r="DT10" s="1799"/>
      <c r="DU10" s="1799"/>
      <c r="DV10" s="1799"/>
      <c r="DW10" s="1799"/>
      <c r="DX10" s="1799"/>
      <c r="DY10" s="1799"/>
      <c r="DZ10" s="1799"/>
      <c r="EA10" s="1799"/>
      <c r="EB10" s="1799"/>
      <c r="EC10" s="1799"/>
      <c r="ED10" s="1799"/>
      <c r="EE10" s="1799"/>
      <c r="EF10" s="1799"/>
      <c r="EG10" s="1799"/>
      <c r="EH10" s="1799"/>
      <c r="EI10" s="1799"/>
      <c r="EJ10" s="1799"/>
      <c r="EK10" s="1799"/>
      <c r="EL10" s="1799"/>
      <c r="EM10" s="1799"/>
      <c r="EN10" s="1799"/>
      <c r="EO10" s="1799"/>
      <c r="EP10" s="1799"/>
      <c r="EQ10" s="1799"/>
      <c r="ER10" s="1799"/>
      <c r="ES10" s="1799"/>
      <c r="ET10" s="1799"/>
      <c r="EU10" s="1799"/>
      <c r="EV10" s="1799"/>
      <c r="EW10" s="1799"/>
      <c r="EX10" s="1799"/>
      <c r="EY10" s="1799"/>
      <c r="EZ10" s="1799"/>
      <c r="FA10" s="1799"/>
      <c r="FB10" s="1799"/>
      <c r="FC10" s="1799"/>
      <c r="FD10" s="1799"/>
      <c r="FE10" s="1799"/>
      <c r="FF10" s="1799"/>
      <c r="FG10" s="1799"/>
      <c r="FH10" s="1799"/>
      <c r="FI10" s="1799"/>
      <c r="FJ10" s="1799"/>
      <c r="FK10" s="1799"/>
      <c r="FL10" s="1799"/>
      <c r="FM10" s="1799"/>
      <c r="FN10" s="1799"/>
      <c r="FO10" s="1799"/>
      <c r="FP10" s="1799"/>
      <c r="FQ10" s="1799"/>
    </row>
    <row r="11" spans="1:173" s="1777" customFormat="1" ht="4.5" customHeight="1" x14ac:dyDescent="0.2">
      <c r="B11" s="1806"/>
      <c r="C11" s="1800"/>
      <c r="D11" s="1800"/>
      <c r="E11" s="1800"/>
      <c r="F11" s="1849"/>
      <c r="G11" s="1850"/>
      <c r="H11" s="1851"/>
      <c r="I11" s="1852"/>
      <c r="J11" s="1800"/>
      <c r="K11" s="1800"/>
      <c r="L11" s="1842"/>
      <c r="M11" s="1800"/>
      <c r="N11" s="1806"/>
      <c r="O11" s="1806"/>
      <c r="P11" s="1806"/>
      <c r="Q11" s="1806"/>
      <c r="R11" s="1806"/>
      <c r="S11" s="1806"/>
      <c r="T11" s="1806"/>
      <c r="U11" s="1806"/>
      <c r="V11" s="1806"/>
      <c r="W11" s="1806"/>
      <c r="X11" s="1806"/>
      <c r="Y11" s="1800"/>
      <c r="Z11" s="1806"/>
      <c r="AA11" s="1806"/>
      <c r="AB11" s="1806"/>
      <c r="AC11" s="1806"/>
      <c r="AD11" s="1806"/>
      <c r="AE11" s="1806"/>
      <c r="AF11" s="1806"/>
      <c r="AG11" s="1800"/>
      <c r="AH11" s="1806"/>
      <c r="AI11" s="1806"/>
      <c r="AJ11" s="1806"/>
      <c r="AK11" s="1800"/>
      <c r="AL11" s="1806"/>
      <c r="AM11" s="1806"/>
      <c r="AN11" s="1806"/>
      <c r="AO11" s="1806"/>
      <c r="AP11" s="1806"/>
      <c r="AQ11" s="1806"/>
      <c r="AR11" s="1806"/>
      <c r="AS11" s="1806"/>
      <c r="AT11" s="1806"/>
      <c r="AU11" s="1806"/>
      <c r="AV11" s="1806"/>
      <c r="AW11" s="1806"/>
      <c r="AX11" s="1806"/>
      <c r="AY11" s="1806"/>
      <c r="AZ11" s="1806"/>
      <c r="BA11" s="1806"/>
      <c r="BB11" s="1806"/>
      <c r="BC11" s="1806"/>
      <c r="BD11" s="1806"/>
      <c r="BE11" s="1806"/>
      <c r="BF11" s="1806"/>
      <c r="BG11" s="1806"/>
      <c r="BH11" s="1806"/>
      <c r="BI11" s="1806"/>
      <c r="BJ11" s="1806"/>
      <c r="BK11" s="1806"/>
      <c r="BL11" s="1806"/>
      <c r="BM11" s="1806"/>
      <c r="BN11" s="1806"/>
      <c r="BO11" s="1806"/>
      <c r="BQ11" s="1853"/>
      <c r="BR11" s="1854"/>
      <c r="BT11" s="1800"/>
      <c r="BU11" s="1800"/>
      <c r="BV11" s="1800"/>
      <c r="BW11" s="1800"/>
      <c r="BY11" s="1855"/>
      <c r="BZ11" s="1800"/>
      <c r="CA11" s="1800"/>
      <c r="CB11" s="1856"/>
      <c r="CC11" s="1800"/>
      <c r="CD11" s="1800"/>
      <c r="CE11" s="1800"/>
      <c r="CF11" s="1800"/>
      <c r="CG11" s="1800"/>
      <c r="CH11" s="1800"/>
      <c r="CI11" s="1800"/>
      <c r="CJ11" s="1800"/>
      <c r="CK11" s="1800"/>
      <c r="CL11" s="1800"/>
      <c r="CM11" s="1800"/>
      <c r="CN11" s="1800"/>
      <c r="CO11" s="1800"/>
      <c r="CP11" s="1800"/>
      <c r="CQ11" s="1800"/>
      <c r="CR11" s="1800"/>
      <c r="CS11" s="1800"/>
      <c r="CT11" s="1800"/>
      <c r="CU11" s="1800"/>
      <c r="CV11" s="1800"/>
      <c r="CW11" s="1800"/>
      <c r="CX11" s="1800"/>
      <c r="CY11" s="1800"/>
      <c r="CZ11" s="1800"/>
      <c r="DA11" s="1800"/>
      <c r="DB11" s="1800"/>
      <c r="DC11" s="1800"/>
      <c r="DD11" s="1800"/>
      <c r="DE11" s="1800"/>
      <c r="DF11" s="1800"/>
      <c r="DG11" s="1800"/>
      <c r="DH11" s="1800"/>
      <c r="DI11" s="1800"/>
      <c r="DJ11" s="1800"/>
      <c r="DK11" s="1800"/>
      <c r="DL11" s="1800"/>
      <c r="DM11" s="1800"/>
      <c r="DN11" s="1800"/>
      <c r="DO11" s="1800"/>
      <c r="DP11" s="1800"/>
      <c r="DQ11" s="1800"/>
      <c r="DR11" s="1800"/>
      <c r="DS11" s="1800"/>
      <c r="DT11" s="1800"/>
      <c r="DU11" s="1800"/>
      <c r="DV11" s="1800"/>
      <c r="DW11" s="1800"/>
      <c r="DX11" s="1800"/>
      <c r="DY11" s="1800"/>
      <c r="DZ11" s="1800"/>
      <c r="EA11" s="1800"/>
      <c r="EB11" s="1800"/>
      <c r="EC11" s="1800"/>
      <c r="ED11" s="1800"/>
      <c r="EE11" s="1800"/>
      <c r="EF11" s="1800"/>
      <c r="EG11" s="1800"/>
      <c r="EH11" s="1800"/>
      <c r="EI11" s="1800"/>
      <c r="EJ11" s="1800"/>
      <c r="EK11" s="1800"/>
      <c r="EL11" s="1800"/>
      <c r="EM11" s="1800"/>
      <c r="EN11" s="1800"/>
      <c r="EO11" s="1800"/>
      <c r="EP11" s="1800"/>
      <c r="EQ11" s="1800"/>
      <c r="ER11" s="1800"/>
      <c r="ES11" s="1800"/>
      <c r="ET11" s="1800"/>
      <c r="EU11" s="1800"/>
      <c r="EV11" s="1800"/>
      <c r="EW11" s="1800"/>
      <c r="EX11" s="1800"/>
      <c r="EY11" s="1800"/>
      <c r="EZ11" s="1800"/>
      <c r="FA11" s="1800"/>
      <c r="FB11" s="1800"/>
      <c r="FC11" s="1800"/>
      <c r="FD11" s="1800"/>
      <c r="FE11" s="1800"/>
      <c r="FF11" s="1800"/>
      <c r="FG11" s="1800"/>
      <c r="FH11" s="1800"/>
      <c r="FI11" s="1800"/>
      <c r="FJ11" s="1800"/>
      <c r="FK11" s="1800"/>
      <c r="FL11" s="1800"/>
      <c r="FM11" s="1800"/>
      <c r="FN11" s="1800"/>
      <c r="FO11" s="1800"/>
      <c r="FP11" s="1800"/>
      <c r="FQ11" s="1800"/>
    </row>
    <row r="12" spans="1:173" s="1726" customFormat="1" ht="21" hidden="1" thickBot="1" x14ac:dyDescent="0.25">
      <c r="B12" s="1857"/>
      <c r="C12" s="1858" t="s">
        <v>170</v>
      </c>
      <c r="D12" s="1727"/>
      <c r="E12" s="1857"/>
      <c r="F12" s="1857"/>
      <c r="G12" s="1857"/>
      <c r="H12" s="1857"/>
      <c r="I12" s="1857"/>
      <c r="J12" s="1759">
        <f>J26*100/30</f>
        <v>96.57692307692308</v>
      </c>
      <c r="K12" s="1857"/>
      <c r="L12" s="1859"/>
      <c r="M12" s="1860"/>
      <c r="N12" s="1861"/>
      <c r="O12" s="1861"/>
      <c r="P12" s="1861"/>
      <c r="Q12" s="1861"/>
      <c r="R12" s="1861"/>
      <c r="S12" s="1861"/>
      <c r="T12" s="1861"/>
      <c r="U12" s="1861"/>
      <c r="V12" s="1861"/>
      <c r="W12" s="1861"/>
      <c r="X12" s="1861"/>
      <c r="Y12" s="1860"/>
      <c r="Z12" s="1861"/>
      <c r="AA12" s="1861"/>
      <c r="AB12" s="1861"/>
      <c r="AC12" s="4605"/>
      <c r="AD12" s="4605"/>
      <c r="AE12" s="4605"/>
      <c r="AF12" s="4605"/>
      <c r="AG12" s="1860"/>
      <c r="AH12" s="1861"/>
      <c r="AI12" s="1861"/>
      <c r="AJ12" s="1861"/>
      <c r="AK12" s="1860"/>
      <c r="AL12" s="1861"/>
      <c r="AM12" s="1861"/>
      <c r="AN12" s="1861"/>
      <c r="AO12" s="1861"/>
      <c r="AP12" s="1861"/>
      <c r="AQ12" s="1861"/>
      <c r="AR12" s="1861"/>
      <c r="AS12" s="1861"/>
      <c r="AT12" s="1861"/>
      <c r="AU12" s="1861"/>
      <c r="AV12" s="1861"/>
      <c r="AW12" s="1861"/>
      <c r="AX12" s="1861"/>
      <c r="AY12" s="1861"/>
      <c r="AZ12" s="1861"/>
      <c r="BA12" s="1861"/>
      <c r="BB12" s="1861"/>
      <c r="BC12" s="1861"/>
      <c r="BD12" s="1861"/>
      <c r="BE12" s="1861"/>
      <c r="BF12" s="1861"/>
      <c r="BG12" s="1861"/>
      <c r="BH12" s="1861"/>
      <c r="BI12" s="1861"/>
      <c r="BJ12" s="1861"/>
      <c r="BK12" s="1861"/>
      <c r="BL12" s="1861"/>
      <c r="BM12" s="1861"/>
      <c r="BN12" s="1861"/>
      <c r="BO12" s="1861"/>
      <c r="BT12" s="4612" t="s">
        <v>99</v>
      </c>
      <c r="BU12" s="4612"/>
      <c r="BV12" s="1860"/>
      <c r="BW12" s="1862"/>
      <c r="BY12" s="1862"/>
    </row>
    <row r="13" spans="1:173" s="1777" customFormat="1" ht="16.5" hidden="1" customHeight="1" x14ac:dyDescent="0.2">
      <c r="B13" s="1863">
        <v>1</v>
      </c>
      <c r="C13" s="1863" t="s">
        <v>216</v>
      </c>
      <c r="D13" s="1744"/>
      <c r="E13" s="1864">
        <v>400</v>
      </c>
      <c r="F13" s="1864">
        <f t="shared" ref="F13:F22" si="13">E13/10</f>
        <v>40</v>
      </c>
      <c r="G13" s="1864">
        <f t="shared" ref="G13:G22" si="14">E13/15</f>
        <v>26.666666666666668</v>
      </c>
      <c r="H13" s="1864">
        <f t="shared" ref="H13:H22" si="15">E13/20</f>
        <v>20</v>
      </c>
      <c r="I13" s="1864">
        <f t="shared" ref="I13:I22" si="16">E13/25</f>
        <v>16</v>
      </c>
      <c r="J13" s="1864">
        <f t="shared" ref="J13:J24" si="17">E13/26</f>
        <v>15.384615384615385</v>
      </c>
      <c r="K13" s="1865">
        <f>E13/$E$26</f>
        <v>0.53099694676755615</v>
      </c>
      <c r="L13" s="1866"/>
      <c r="M13" s="1867"/>
      <c r="N13" s="1780">
        <f>$J$13</f>
        <v>15.384615384615385</v>
      </c>
      <c r="O13" s="1780">
        <f t="shared" ref="O13:T13" si="18">$J$13</f>
        <v>15.384615384615385</v>
      </c>
      <c r="P13" s="1780">
        <f t="shared" si="18"/>
        <v>15.384615384615385</v>
      </c>
      <c r="Q13" s="1780">
        <f t="shared" si="18"/>
        <v>15.384615384615385</v>
      </c>
      <c r="R13" s="1780">
        <f t="shared" si="18"/>
        <v>15.384615384615385</v>
      </c>
      <c r="S13" s="4617" t="s">
        <v>231</v>
      </c>
      <c r="T13" s="1780">
        <f t="shared" si="18"/>
        <v>15.384615384615385</v>
      </c>
      <c r="U13" s="1801"/>
      <c r="V13" s="1868">
        <f>SUM(N13:T13)</f>
        <v>92.307692307692307</v>
      </c>
      <c r="W13" s="1869" t="e">
        <f>(#REF!*K13)*30%</f>
        <v>#REF!</v>
      </c>
      <c r="X13" s="1870" t="e">
        <f>W13-V13</f>
        <v>#REF!</v>
      </c>
      <c r="Y13" s="1788"/>
      <c r="Z13" s="1780">
        <f t="shared" ref="Z13:AF13" si="19">$J$13</f>
        <v>15.384615384615385</v>
      </c>
      <c r="AA13" s="1780">
        <f t="shared" si="19"/>
        <v>15.384615384615385</v>
      </c>
      <c r="AB13" s="1780">
        <f t="shared" si="19"/>
        <v>15.384615384615385</v>
      </c>
      <c r="AC13" s="1780">
        <f t="shared" si="19"/>
        <v>15.384615384615385</v>
      </c>
      <c r="AD13" s="1780">
        <f t="shared" si="19"/>
        <v>15.384615384615385</v>
      </c>
      <c r="AE13" s="4620" t="s">
        <v>231</v>
      </c>
      <c r="AF13" s="1780">
        <f t="shared" si="19"/>
        <v>15.384615384615385</v>
      </c>
      <c r="AG13" s="1791"/>
      <c r="AH13" s="1868">
        <f>SUM(Z13:AF13)</f>
        <v>92.307692307692307</v>
      </c>
      <c r="AI13" s="1869" t="e">
        <f>(#REF!*K13)*30%</f>
        <v>#REF!</v>
      </c>
      <c r="AJ13" s="1870" t="e">
        <f>AI13-AH13</f>
        <v>#REF!</v>
      </c>
      <c r="AK13" s="1788"/>
      <c r="AL13" s="1780">
        <f t="shared" ref="AL13:AR13" si="20">$J$13</f>
        <v>15.384615384615385</v>
      </c>
      <c r="AM13" s="1780">
        <f t="shared" si="20"/>
        <v>15.384615384615385</v>
      </c>
      <c r="AN13" s="1780">
        <f t="shared" si="20"/>
        <v>15.384615384615385</v>
      </c>
      <c r="AO13" s="1780">
        <f t="shared" si="20"/>
        <v>15.384615384615385</v>
      </c>
      <c r="AP13" s="1780">
        <f t="shared" si="20"/>
        <v>15.384615384615385</v>
      </c>
      <c r="AQ13" s="4617" t="s">
        <v>231</v>
      </c>
      <c r="AR13" s="1780">
        <f t="shared" si="20"/>
        <v>15.384615384615385</v>
      </c>
      <c r="AS13" s="2290"/>
      <c r="AT13" s="1868">
        <f>SUM(AL13:AR13)</f>
        <v>92.307692307692307</v>
      </c>
      <c r="AU13" s="1869" t="e">
        <f>(#REF!*K13)*30%</f>
        <v>#REF!</v>
      </c>
      <c r="AV13" s="1870" t="e">
        <f>AU13-AT13</f>
        <v>#REF!</v>
      </c>
      <c r="AW13" s="2290"/>
      <c r="AX13" s="1780">
        <f t="shared" ref="AX13:BD13" si="21">$J$13</f>
        <v>15.384615384615385</v>
      </c>
      <c r="AY13" s="1780">
        <f t="shared" si="21"/>
        <v>15.384615384615385</v>
      </c>
      <c r="AZ13" s="1780">
        <f t="shared" si="21"/>
        <v>15.384615384615385</v>
      </c>
      <c r="BA13" s="1780">
        <f t="shared" si="21"/>
        <v>15.384615384615385</v>
      </c>
      <c r="BB13" s="1780">
        <f t="shared" si="21"/>
        <v>15.384615384615385</v>
      </c>
      <c r="BC13" s="4620" t="s">
        <v>231</v>
      </c>
      <c r="BD13" s="1780">
        <f t="shared" si="21"/>
        <v>15.384615384615385</v>
      </c>
      <c r="BE13" s="2290"/>
      <c r="BF13" s="1868">
        <f t="shared" ref="BF13:BF24" si="22">SUM(AX13:BD13)</f>
        <v>92.307692307692307</v>
      </c>
      <c r="BG13" s="1869" t="e">
        <f>(#REF!*K13)*30%</f>
        <v>#REF!</v>
      </c>
      <c r="BH13" s="1870" t="e">
        <f>BG13-BF13</f>
        <v>#REF!</v>
      </c>
      <c r="BI13" s="1801"/>
      <c r="BJ13" s="1780">
        <f t="shared" ref="BJ13:BK13" si="23">$J$13</f>
        <v>15.384615384615385</v>
      </c>
      <c r="BK13" s="1780">
        <f t="shared" si="23"/>
        <v>15.384615384615385</v>
      </c>
      <c r="BL13" s="1801"/>
      <c r="BM13" s="1868">
        <f>SUM(BJ13:BK13)</f>
        <v>30.76923076923077</v>
      </c>
      <c r="BN13" s="1869" t="e">
        <f>(#REF!*K13)*30%</f>
        <v>#REF!</v>
      </c>
      <c r="BO13" s="1870" t="e">
        <f>BN13-BM13</f>
        <v>#REF!</v>
      </c>
      <c r="BQ13" s="1750">
        <v>0</v>
      </c>
      <c r="BR13" s="1871">
        <f t="shared" ref="BR13:BR24" si="24">BQ13/E13</f>
        <v>0</v>
      </c>
      <c r="BS13" s="1795"/>
      <c r="BT13" s="1872">
        <f t="shared" ref="BT13:BT24" si="25">SUM(N13:T13)+SUM(Z13:AF13)+SUM(AL13:AR13)+SUM(AX13:BD13)+SUM(BJ13:BK13)</f>
        <v>400</v>
      </c>
      <c r="BU13" s="1873">
        <f t="shared" ref="BU13:BU24" si="26">BT13/E13</f>
        <v>1</v>
      </c>
      <c r="BV13" s="1802"/>
      <c r="BW13" s="1783"/>
      <c r="BY13" s="2577"/>
      <c r="BZ13" s="2577"/>
      <c r="CA13" s="1860"/>
      <c r="CB13" s="1860"/>
      <c r="CC13" s="1860"/>
      <c r="CD13" s="1860"/>
      <c r="CE13" s="1860"/>
      <c r="CF13" s="1860"/>
      <c r="CG13" s="1860"/>
    </row>
    <row r="14" spans="1:173" s="1726" customFormat="1" hidden="1" x14ac:dyDescent="0.2">
      <c r="B14" s="1857">
        <v>2</v>
      </c>
      <c r="C14" s="1857" t="s">
        <v>217</v>
      </c>
      <c r="D14" s="1727"/>
      <c r="E14" s="1759">
        <v>300</v>
      </c>
      <c r="F14" s="1759">
        <f t="shared" si="13"/>
        <v>30</v>
      </c>
      <c r="G14" s="1759">
        <f t="shared" si="14"/>
        <v>20</v>
      </c>
      <c r="H14" s="1759">
        <f t="shared" si="15"/>
        <v>15</v>
      </c>
      <c r="I14" s="1759">
        <f t="shared" si="16"/>
        <v>12</v>
      </c>
      <c r="J14" s="1759">
        <f t="shared" si="17"/>
        <v>11.538461538461538</v>
      </c>
      <c r="K14" s="1875">
        <f>E14/$E$26</f>
        <v>0.39824771007566712</v>
      </c>
      <c r="L14" s="1876"/>
      <c r="M14" s="1877"/>
      <c r="N14" s="1759">
        <f>$J$14</f>
        <v>11.538461538461538</v>
      </c>
      <c r="O14" s="1759">
        <f t="shared" ref="O14:T14" si="27">$J$14</f>
        <v>11.538461538461538</v>
      </c>
      <c r="P14" s="1759">
        <f t="shared" si="27"/>
        <v>11.538461538461538</v>
      </c>
      <c r="Q14" s="1759">
        <f t="shared" si="27"/>
        <v>11.538461538461538</v>
      </c>
      <c r="R14" s="1759">
        <f t="shared" si="27"/>
        <v>11.538461538461538</v>
      </c>
      <c r="S14" s="4618"/>
      <c r="T14" s="1759">
        <f t="shared" si="27"/>
        <v>11.538461538461538</v>
      </c>
      <c r="U14" s="2575"/>
      <c r="V14" s="1879">
        <f t="shared" ref="V14:V90" si="28">SUM(N14:T14)</f>
        <v>69.230769230769226</v>
      </c>
      <c r="W14" s="1759" t="e">
        <f>(#REF!*K14)*30%</f>
        <v>#REF!</v>
      </c>
      <c r="X14" s="1880" t="e">
        <f t="shared" ref="X14:X23" si="29">W14-V14</f>
        <v>#REF!</v>
      </c>
      <c r="Y14" s="1881"/>
      <c r="Z14" s="1759">
        <f t="shared" ref="Z14:AF14" si="30">$J$14</f>
        <v>11.538461538461538</v>
      </c>
      <c r="AA14" s="1759">
        <f t="shared" si="30"/>
        <v>11.538461538461538</v>
      </c>
      <c r="AB14" s="1759">
        <f t="shared" si="30"/>
        <v>11.538461538461538</v>
      </c>
      <c r="AC14" s="1759">
        <f t="shared" si="30"/>
        <v>11.538461538461538</v>
      </c>
      <c r="AD14" s="1759">
        <f t="shared" si="30"/>
        <v>11.538461538461538</v>
      </c>
      <c r="AE14" s="4621"/>
      <c r="AF14" s="1759">
        <f t="shared" si="30"/>
        <v>11.538461538461538</v>
      </c>
      <c r="AG14" s="1862"/>
      <c r="AH14" s="1879">
        <f t="shared" ref="AH14:AH45" si="31">SUM(Z14:AF14)</f>
        <v>69.230769230769226</v>
      </c>
      <c r="AI14" s="1759" t="e">
        <f>(#REF!*K14)*30%</f>
        <v>#REF!</v>
      </c>
      <c r="AJ14" s="1880" t="e">
        <f t="shared" ref="AJ14:AJ45" si="32">AI14-AH14</f>
        <v>#REF!</v>
      </c>
      <c r="AK14" s="1881"/>
      <c r="AL14" s="1759">
        <f t="shared" ref="AL14:AR14" si="33">$J$14</f>
        <v>11.538461538461538</v>
      </c>
      <c r="AM14" s="1759">
        <f t="shared" si="33"/>
        <v>11.538461538461538</v>
      </c>
      <c r="AN14" s="1759">
        <f t="shared" si="33"/>
        <v>11.538461538461538</v>
      </c>
      <c r="AO14" s="1759">
        <f t="shared" si="33"/>
        <v>11.538461538461538</v>
      </c>
      <c r="AP14" s="1759">
        <f t="shared" si="33"/>
        <v>11.538461538461538</v>
      </c>
      <c r="AQ14" s="4618"/>
      <c r="AR14" s="1759">
        <f t="shared" si="33"/>
        <v>11.538461538461538</v>
      </c>
      <c r="AS14" s="2293"/>
      <c r="AT14" s="1879">
        <f t="shared" ref="AT14:AT24" si="34">SUM(AL14:AR14)</f>
        <v>69.230769230769226</v>
      </c>
      <c r="AU14" s="1759" t="e">
        <f>(#REF!*K14)*30%</f>
        <v>#REF!</v>
      </c>
      <c r="AV14" s="1880" t="e">
        <f t="shared" ref="AV14" si="35">AU14-AT14</f>
        <v>#REF!</v>
      </c>
      <c r="AW14" s="2293"/>
      <c r="AX14" s="1759">
        <f t="shared" ref="AX14:BD14" si="36">$J$14</f>
        <v>11.538461538461538</v>
      </c>
      <c r="AY14" s="1759">
        <f t="shared" si="36"/>
        <v>11.538461538461538</v>
      </c>
      <c r="AZ14" s="1759">
        <f t="shared" si="36"/>
        <v>11.538461538461538</v>
      </c>
      <c r="BA14" s="1759">
        <f t="shared" si="36"/>
        <v>11.538461538461538</v>
      </c>
      <c r="BB14" s="1759">
        <f t="shared" si="36"/>
        <v>11.538461538461538</v>
      </c>
      <c r="BC14" s="4621"/>
      <c r="BD14" s="1759">
        <f t="shared" si="36"/>
        <v>11.538461538461538</v>
      </c>
      <c r="BE14" s="2293"/>
      <c r="BF14" s="1879">
        <f t="shared" si="22"/>
        <v>69.230769230769226</v>
      </c>
      <c r="BG14" s="1759" t="e">
        <f>(#REF!*K14)*30%</f>
        <v>#REF!</v>
      </c>
      <c r="BH14" s="1880" t="e">
        <f t="shared" ref="BH14" si="37">BG14-BF14</f>
        <v>#REF!</v>
      </c>
      <c r="BI14" s="2575"/>
      <c r="BJ14" s="1759">
        <f t="shared" ref="BJ14:BK14" si="38">$J$14</f>
        <v>11.538461538461538</v>
      </c>
      <c r="BK14" s="1759">
        <f t="shared" si="38"/>
        <v>11.538461538461538</v>
      </c>
      <c r="BL14" s="2575"/>
      <c r="BM14" s="1879">
        <f>SUM(BJ14:BK14)</f>
        <v>23.076923076923077</v>
      </c>
      <c r="BN14" s="1759" t="e">
        <f>(#REF!*K14)*30%</f>
        <v>#REF!</v>
      </c>
      <c r="BO14" s="1880" t="e">
        <f t="shared" ref="BO14" si="39">BN14-BM14</f>
        <v>#REF!</v>
      </c>
      <c r="BQ14" s="1732">
        <v>0</v>
      </c>
      <c r="BR14" s="1882">
        <f t="shared" si="24"/>
        <v>0</v>
      </c>
      <c r="BS14" s="1740"/>
      <c r="BT14" s="1763">
        <f t="shared" si="25"/>
        <v>300</v>
      </c>
      <c r="BU14" s="1883">
        <f t="shared" si="26"/>
        <v>1</v>
      </c>
      <c r="BV14" s="1830"/>
      <c r="BW14" s="2577"/>
      <c r="BY14" s="1884"/>
      <c r="BZ14" s="1783"/>
      <c r="CA14" s="1800"/>
      <c r="CB14" s="1810"/>
      <c r="CC14" s="1810"/>
      <c r="CD14" s="1810"/>
      <c r="CE14" s="1810"/>
      <c r="CF14" s="1810"/>
      <c r="CG14" s="1810"/>
    </row>
    <row r="15" spans="1:173" s="1885" customFormat="1" hidden="1" x14ac:dyDescent="0.2">
      <c r="A15" s="2530"/>
      <c r="B15" s="1886">
        <v>3</v>
      </c>
      <c r="C15" s="1887" t="s">
        <v>237</v>
      </c>
      <c r="D15" s="1888"/>
      <c r="E15" s="1889">
        <v>0</v>
      </c>
      <c r="F15" s="1889"/>
      <c r="G15" s="1889"/>
      <c r="H15" s="1889"/>
      <c r="I15" s="1889"/>
      <c r="J15" s="1889">
        <f t="shared" si="17"/>
        <v>0</v>
      </c>
      <c r="K15" s="1890">
        <f t="shared" ref="K15:K24" si="40">E15/$E$26</f>
        <v>0</v>
      </c>
      <c r="L15" s="1891"/>
      <c r="M15" s="1892"/>
      <c r="N15" s="1889">
        <f>$J$15</f>
        <v>0</v>
      </c>
      <c r="O15" s="1889">
        <f t="shared" ref="O15:T15" si="41">$J$15</f>
        <v>0</v>
      </c>
      <c r="P15" s="1889">
        <f t="shared" si="41"/>
        <v>0</v>
      </c>
      <c r="Q15" s="1889">
        <f t="shared" si="41"/>
        <v>0</v>
      </c>
      <c r="R15" s="1889">
        <f t="shared" si="41"/>
        <v>0</v>
      </c>
      <c r="S15" s="4618"/>
      <c r="T15" s="1889">
        <f t="shared" si="41"/>
        <v>0</v>
      </c>
      <c r="U15" s="2574"/>
      <c r="V15" s="1894">
        <f>SUM(N15:T15)</f>
        <v>0</v>
      </c>
      <c r="W15" s="1889" t="e">
        <f>(#REF!*K15)*30%</f>
        <v>#REF!</v>
      </c>
      <c r="X15" s="1895" t="e">
        <f>W15-V15</f>
        <v>#REF!</v>
      </c>
      <c r="Y15" s="1896"/>
      <c r="Z15" s="1889">
        <f t="shared" ref="Z15:AF15" si="42">$J$15</f>
        <v>0</v>
      </c>
      <c r="AA15" s="1889">
        <f t="shared" si="42"/>
        <v>0</v>
      </c>
      <c r="AB15" s="1889">
        <f t="shared" si="42"/>
        <v>0</v>
      </c>
      <c r="AC15" s="1889">
        <f t="shared" si="42"/>
        <v>0</v>
      </c>
      <c r="AD15" s="1889">
        <f t="shared" si="42"/>
        <v>0</v>
      </c>
      <c r="AE15" s="4621"/>
      <c r="AF15" s="1889">
        <f t="shared" si="42"/>
        <v>0</v>
      </c>
      <c r="AG15" s="1897"/>
      <c r="AH15" s="1894">
        <f>SUM(Z15:AF15)</f>
        <v>0</v>
      </c>
      <c r="AI15" s="1889" t="e">
        <f>(#REF!*K15)*30%</f>
        <v>#REF!</v>
      </c>
      <c r="AJ15" s="1895" t="e">
        <f>AI15-AH15</f>
        <v>#REF!</v>
      </c>
      <c r="AK15" s="1896"/>
      <c r="AL15" s="1889">
        <f t="shared" ref="AL15:AR15" si="43">$J$15</f>
        <v>0</v>
      </c>
      <c r="AM15" s="1889">
        <f t="shared" si="43"/>
        <v>0</v>
      </c>
      <c r="AN15" s="1889">
        <f t="shared" si="43"/>
        <v>0</v>
      </c>
      <c r="AO15" s="1889">
        <f t="shared" si="43"/>
        <v>0</v>
      </c>
      <c r="AP15" s="1889">
        <f t="shared" si="43"/>
        <v>0</v>
      </c>
      <c r="AQ15" s="4618"/>
      <c r="AR15" s="1889">
        <f t="shared" si="43"/>
        <v>0</v>
      </c>
      <c r="AS15" s="2295"/>
      <c r="AT15" s="1894">
        <f>SUM(AL15:AR15)</f>
        <v>0</v>
      </c>
      <c r="AU15" s="1889" t="e">
        <f>(#REF!*K15)*30%</f>
        <v>#REF!</v>
      </c>
      <c r="AV15" s="1895" t="e">
        <f>AU15-AT15</f>
        <v>#REF!</v>
      </c>
      <c r="AW15" s="2295"/>
      <c r="AX15" s="1889">
        <f t="shared" ref="AX15:BD15" si="44">$J$15</f>
        <v>0</v>
      </c>
      <c r="AY15" s="1889">
        <f t="shared" si="44"/>
        <v>0</v>
      </c>
      <c r="AZ15" s="1889">
        <f t="shared" si="44"/>
        <v>0</v>
      </c>
      <c r="BA15" s="1889">
        <f t="shared" si="44"/>
        <v>0</v>
      </c>
      <c r="BB15" s="1889">
        <f t="shared" si="44"/>
        <v>0</v>
      </c>
      <c r="BC15" s="4621"/>
      <c r="BD15" s="1889">
        <f t="shared" si="44"/>
        <v>0</v>
      </c>
      <c r="BE15" s="2295"/>
      <c r="BF15" s="1894">
        <f t="shared" si="22"/>
        <v>0</v>
      </c>
      <c r="BG15" s="1889" t="e">
        <f>(#REF!*K15)*30%</f>
        <v>#REF!</v>
      </c>
      <c r="BH15" s="1895" t="e">
        <f>BG15-BF15</f>
        <v>#REF!</v>
      </c>
      <c r="BI15" s="2574"/>
      <c r="BJ15" s="1889">
        <f t="shared" ref="BJ15:BK15" si="45">$J$15</f>
        <v>0</v>
      </c>
      <c r="BK15" s="1889">
        <f t="shared" si="45"/>
        <v>0</v>
      </c>
      <c r="BL15" s="2574"/>
      <c r="BM15" s="1894">
        <f>SUM(BJ15:BK15)</f>
        <v>0</v>
      </c>
      <c r="BN15" s="1889" t="e">
        <f>(#REF!*K15)*30%</f>
        <v>#REF!</v>
      </c>
      <c r="BO15" s="1895" t="e">
        <f>BN15-BM15</f>
        <v>#REF!</v>
      </c>
      <c r="BQ15" s="1898">
        <v>0</v>
      </c>
      <c r="BR15" s="1899" t="e">
        <f t="shared" si="24"/>
        <v>#DIV/0!</v>
      </c>
      <c r="BS15" s="1900"/>
      <c r="BT15" s="1901">
        <f t="shared" si="25"/>
        <v>0</v>
      </c>
      <c r="BU15" s="1902" t="e">
        <f t="shared" si="26"/>
        <v>#DIV/0!</v>
      </c>
      <c r="BV15" s="1962"/>
      <c r="BW15" s="2573"/>
      <c r="BY15" s="1904"/>
      <c r="BZ15" s="1905"/>
      <c r="CA15" s="1906"/>
      <c r="CB15" s="1906"/>
      <c r="CC15" s="1906"/>
      <c r="CD15" s="1906"/>
      <c r="CE15" s="1906"/>
      <c r="CF15" s="1906"/>
      <c r="CG15" s="1906"/>
    </row>
    <row r="16" spans="1:173" s="1726" customFormat="1" hidden="1" x14ac:dyDescent="0.2">
      <c r="A16" s="2443"/>
      <c r="B16" s="1857">
        <v>4</v>
      </c>
      <c r="C16" s="1857" t="s">
        <v>236</v>
      </c>
      <c r="D16" s="1727"/>
      <c r="E16" s="1759">
        <v>0</v>
      </c>
      <c r="F16" s="1759"/>
      <c r="G16" s="1759"/>
      <c r="H16" s="1759"/>
      <c r="I16" s="1759"/>
      <c r="J16" s="1759">
        <f t="shared" si="17"/>
        <v>0</v>
      </c>
      <c r="K16" s="1875">
        <f t="shared" si="40"/>
        <v>0</v>
      </c>
      <c r="L16" s="1876"/>
      <c r="M16" s="1877"/>
      <c r="N16" s="1759">
        <f>$J$16</f>
        <v>0</v>
      </c>
      <c r="O16" s="1759">
        <f t="shared" ref="O16:T16" si="46">$J$16</f>
        <v>0</v>
      </c>
      <c r="P16" s="1759">
        <f t="shared" si="46"/>
        <v>0</v>
      </c>
      <c r="Q16" s="1759">
        <f t="shared" si="46"/>
        <v>0</v>
      </c>
      <c r="R16" s="1759">
        <f t="shared" si="46"/>
        <v>0</v>
      </c>
      <c r="S16" s="4618"/>
      <c r="T16" s="1759">
        <f t="shared" si="46"/>
        <v>0</v>
      </c>
      <c r="U16" s="2575"/>
      <c r="V16" s="1879">
        <f>SUM(N16:T16)</f>
        <v>0</v>
      </c>
      <c r="W16" s="1759" t="e">
        <f>(#REF!*K16)*30%</f>
        <v>#REF!</v>
      </c>
      <c r="X16" s="1880" t="e">
        <f>W16-V16</f>
        <v>#REF!</v>
      </c>
      <c r="Y16" s="1881"/>
      <c r="Z16" s="1759">
        <f t="shared" ref="Z16:AF16" si="47">$J$16</f>
        <v>0</v>
      </c>
      <c r="AA16" s="1759">
        <f t="shared" si="47"/>
        <v>0</v>
      </c>
      <c r="AB16" s="1759">
        <f t="shared" si="47"/>
        <v>0</v>
      </c>
      <c r="AC16" s="1759">
        <f t="shared" si="47"/>
        <v>0</v>
      </c>
      <c r="AD16" s="1759">
        <f t="shared" si="47"/>
        <v>0</v>
      </c>
      <c r="AE16" s="4621"/>
      <c r="AF16" s="1759">
        <f t="shared" si="47"/>
        <v>0</v>
      </c>
      <c r="AG16" s="1862"/>
      <c r="AH16" s="1879">
        <f t="shared" ref="AH16:AH17" si="48">SUM(Z16:AF16)</f>
        <v>0</v>
      </c>
      <c r="AI16" s="1759" t="e">
        <f>(#REF!*K16)*30%</f>
        <v>#REF!</v>
      </c>
      <c r="AJ16" s="1880" t="e">
        <f t="shared" ref="AJ16:AJ17" si="49">AI16-AH16</f>
        <v>#REF!</v>
      </c>
      <c r="AK16" s="1881"/>
      <c r="AL16" s="1759">
        <f t="shared" ref="AL16:AR16" si="50">$J$16</f>
        <v>0</v>
      </c>
      <c r="AM16" s="1759">
        <f t="shared" si="50"/>
        <v>0</v>
      </c>
      <c r="AN16" s="1759">
        <f t="shared" si="50"/>
        <v>0</v>
      </c>
      <c r="AO16" s="1759">
        <f t="shared" si="50"/>
        <v>0</v>
      </c>
      <c r="AP16" s="1759">
        <f t="shared" si="50"/>
        <v>0</v>
      </c>
      <c r="AQ16" s="4618"/>
      <c r="AR16" s="1759">
        <f t="shared" si="50"/>
        <v>0</v>
      </c>
      <c r="AS16" s="2293"/>
      <c r="AT16" s="1879">
        <f t="shared" ref="AT16:AT17" si="51">SUM(AL16:AR16)</f>
        <v>0</v>
      </c>
      <c r="AU16" s="1759" t="e">
        <f>(#REF!*K16)*30%</f>
        <v>#REF!</v>
      </c>
      <c r="AV16" s="1880" t="e">
        <f t="shared" ref="AV16:AV17" si="52">AU16-AT16</f>
        <v>#REF!</v>
      </c>
      <c r="AW16" s="2293"/>
      <c r="AX16" s="1759">
        <f t="shared" ref="AX16:BD16" si="53">$J$16</f>
        <v>0</v>
      </c>
      <c r="AY16" s="1759">
        <f t="shared" si="53"/>
        <v>0</v>
      </c>
      <c r="AZ16" s="1759">
        <f t="shared" si="53"/>
        <v>0</v>
      </c>
      <c r="BA16" s="1759">
        <f t="shared" si="53"/>
        <v>0</v>
      </c>
      <c r="BB16" s="1759">
        <f t="shared" si="53"/>
        <v>0</v>
      </c>
      <c r="BC16" s="4621"/>
      <c r="BD16" s="1759">
        <f t="shared" si="53"/>
        <v>0</v>
      </c>
      <c r="BE16" s="2293"/>
      <c r="BF16" s="1879">
        <f t="shared" si="22"/>
        <v>0</v>
      </c>
      <c r="BG16" s="1759" t="e">
        <f>(#REF!*K16)*30%</f>
        <v>#REF!</v>
      </c>
      <c r="BH16" s="1880" t="e">
        <f t="shared" ref="BH16:BH17" si="54">BG16-BF16</f>
        <v>#REF!</v>
      </c>
      <c r="BI16" s="2575"/>
      <c r="BJ16" s="1759">
        <f t="shared" ref="BJ16:BK16" si="55">$J$16</f>
        <v>0</v>
      </c>
      <c r="BK16" s="1759">
        <f t="shared" si="55"/>
        <v>0</v>
      </c>
      <c r="BL16" s="2575"/>
      <c r="BM16" s="1879">
        <f>SUM(BJ16:BK16)</f>
        <v>0</v>
      </c>
      <c r="BN16" s="1759" t="e">
        <f>(#REF!*K16)*30%</f>
        <v>#REF!</v>
      </c>
      <c r="BO16" s="1880" t="e">
        <f t="shared" ref="BO16" si="56">BN16-BM16</f>
        <v>#REF!</v>
      </c>
      <c r="BQ16" s="1732">
        <v>0</v>
      </c>
      <c r="BR16" s="1882" t="e">
        <f t="shared" si="24"/>
        <v>#DIV/0!</v>
      </c>
      <c r="BS16" s="1740"/>
      <c r="BT16" s="1763">
        <f t="shared" si="25"/>
        <v>0</v>
      </c>
      <c r="BU16" s="1883" t="e">
        <f t="shared" si="26"/>
        <v>#DIV/0!</v>
      </c>
      <c r="BV16" s="1830"/>
      <c r="BW16" s="2577"/>
      <c r="BY16" s="1884"/>
      <c r="BZ16" s="1761"/>
      <c r="CA16" s="1810"/>
      <c r="CB16" s="1810"/>
      <c r="CC16" s="1810"/>
      <c r="CD16" s="1810"/>
      <c r="CE16" s="1810"/>
      <c r="CF16" s="1810"/>
      <c r="CG16" s="1810"/>
    </row>
    <row r="17" spans="1:86" hidden="1" x14ac:dyDescent="0.2">
      <c r="B17" s="1863">
        <v>5</v>
      </c>
      <c r="C17" s="1907" t="s">
        <v>246</v>
      </c>
      <c r="D17" s="1744"/>
      <c r="E17" s="1780">
        <v>0</v>
      </c>
      <c r="F17" s="1780"/>
      <c r="G17" s="1780"/>
      <c r="H17" s="1780"/>
      <c r="I17" s="1780"/>
      <c r="J17" s="1780">
        <f t="shared" si="17"/>
        <v>0</v>
      </c>
      <c r="K17" s="1908">
        <f t="shared" si="40"/>
        <v>0</v>
      </c>
      <c r="L17" s="1909"/>
      <c r="M17" s="1910"/>
      <c r="N17" s="1780">
        <f>$J$17</f>
        <v>0</v>
      </c>
      <c r="O17" s="1780">
        <f t="shared" ref="O17:T17" si="57">$J$17</f>
        <v>0</v>
      </c>
      <c r="P17" s="1780">
        <f t="shared" si="57"/>
        <v>0</v>
      </c>
      <c r="Q17" s="1780">
        <f t="shared" si="57"/>
        <v>0</v>
      </c>
      <c r="R17" s="1780">
        <f t="shared" si="57"/>
        <v>0</v>
      </c>
      <c r="S17" s="4618"/>
      <c r="T17" s="1780">
        <f t="shared" si="57"/>
        <v>0</v>
      </c>
      <c r="U17" s="2576"/>
      <c r="V17" s="1912">
        <f>SUM(N17:T17)</f>
        <v>0</v>
      </c>
      <c r="W17" s="1780" t="e">
        <f>(#REF!*K17)*30%</f>
        <v>#REF!</v>
      </c>
      <c r="X17" s="1913" t="e">
        <f>W17-V17</f>
        <v>#REF!</v>
      </c>
      <c r="Y17" s="1914"/>
      <c r="Z17" s="1780">
        <f t="shared" ref="Z17:AF17" si="58">$J$17</f>
        <v>0</v>
      </c>
      <c r="AA17" s="1780">
        <f t="shared" si="58"/>
        <v>0</v>
      </c>
      <c r="AB17" s="1780">
        <f t="shared" si="58"/>
        <v>0</v>
      </c>
      <c r="AC17" s="1780">
        <f t="shared" si="58"/>
        <v>0</v>
      </c>
      <c r="AD17" s="1780">
        <f t="shared" si="58"/>
        <v>0</v>
      </c>
      <c r="AE17" s="4621"/>
      <c r="AF17" s="1780">
        <f t="shared" si="58"/>
        <v>0</v>
      </c>
      <c r="AG17" s="1915"/>
      <c r="AH17" s="1912">
        <f t="shared" si="48"/>
        <v>0</v>
      </c>
      <c r="AI17" s="1780" t="e">
        <f>(#REF!*K17)*30%</f>
        <v>#REF!</v>
      </c>
      <c r="AJ17" s="1913" t="e">
        <f t="shared" si="49"/>
        <v>#REF!</v>
      </c>
      <c r="AK17" s="1914"/>
      <c r="AL17" s="1780">
        <f t="shared" ref="AL17:AR17" si="59">$J$17</f>
        <v>0</v>
      </c>
      <c r="AM17" s="1780">
        <f t="shared" si="59"/>
        <v>0</v>
      </c>
      <c r="AN17" s="1780">
        <f t="shared" si="59"/>
        <v>0</v>
      </c>
      <c r="AO17" s="1780">
        <f t="shared" si="59"/>
        <v>0</v>
      </c>
      <c r="AP17" s="1780">
        <f t="shared" si="59"/>
        <v>0</v>
      </c>
      <c r="AQ17" s="4618"/>
      <c r="AR17" s="1780">
        <f t="shared" si="59"/>
        <v>0</v>
      </c>
      <c r="AS17" s="2297"/>
      <c r="AT17" s="1912">
        <f t="shared" si="51"/>
        <v>0</v>
      </c>
      <c r="AU17" s="1780" t="e">
        <f>(#REF!*K17)*30%</f>
        <v>#REF!</v>
      </c>
      <c r="AV17" s="1913" t="e">
        <f t="shared" si="52"/>
        <v>#REF!</v>
      </c>
      <c r="AW17" s="2297"/>
      <c r="AX17" s="1780">
        <f t="shared" ref="AX17:BD17" si="60">$J$17</f>
        <v>0</v>
      </c>
      <c r="AY17" s="1780">
        <f t="shared" si="60"/>
        <v>0</v>
      </c>
      <c r="AZ17" s="1780">
        <f t="shared" si="60"/>
        <v>0</v>
      </c>
      <c r="BA17" s="1780">
        <f t="shared" si="60"/>
        <v>0</v>
      </c>
      <c r="BB17" s="1780">
        <f t="shared" si="60"/>
        <v>0</v>
      </c>
      <c r="BC17" s="4621"/>
      <c r="BD17" s="1780">
        <f t="shared" si="60"/>
        <v>0</v>
      </c>
      <c r="BE17" s="2297"/>
      <c r="BF17" s="1912">
        <f t="shared" si="22"/>
        <v>0</v>
      </c>
      <c r="BG17" s="1780" t="e">
        <f>(#REF!*K17)*30%</f>
        <v>#REF!</v>
      </c>
      <c r="BH17" s="1913" t="e">
        <f t="shared" si="54"/>
        <v>#REF!</v>
      </c>
      <c r="BI17" s="2576"/>
      <c r="BJ17" s="1780">
        <f t="shared" ref="BJ17:BK17" si="61">$J$17</f>
        <v>0</v>
      </c>
      <c r="BK17" s="1780">
        <f t="shared" si="61"/>
        <v>0</v>
      </c>
      <c r="BL17" s="2576"/>
      <c r="BM17" s="1912">
        <f>SUM(BJ17:BK17)</f>
        <v>0</v>
      </c>
      <c r="BN17" s="1780" t="e">
        <f>(#REF!*K17)*30%</f>
        <v>#REF!</v>
      </c>
      <c r="BO17" s="1913" t="e">
        <f t="shared" ref="BO17" si="62">BN17-BM17</f>
        <v>#REF!</v>
      </c>
      <c r="BQ17" s="1747">
        <v>0</v>
      </c>
      <c r="BR17" s="1752" t="e">
        <f t="shared" si="24"/>
        <v>#DIV/0!</v>
      </c>
      <c r="BS17" s="1754"/>
      <c r="BT17" s="1749">
        <f t="shared" si="25"/>
        <v>0</v>
      </c>
      <c r="BU17" s="1753" t="e">
        <f t="shared" si="26"/>
        <v>#DIV/0!</v>
      </c>
      <c r="BV17" s="1993"/>
      <c r="BW17" s="1916"/>
      <c r="BY17" s="1917"/>
      <c r="BZ17" s="1761"/>
      <c r="CA17" s="1810"/>
      <c r="CB17" s="1800"/>
      <c r="CC17" s="1800"/>
      <c r="CD17" s="1800"/>
      <c r="CE17" s="1800"/>
      <c r="CF17" s="1800"/>
      <c r="CG17" s="1800"/>
    </row>
    <row r="18" spans="1:86" s="1726" customFormat="1" hidden="1" x14ac:dyDescent="0.2">
      <c r="B18" s="1857">
        <v>6</v>
      </c>
      <c r="C18" s="1857" t="s">
        <v>211</v>
      </c>
      <c r="D18" s="1727"/>
      <c r="E18" s="1759">
        <v>27.8</v>
      </c>
      <c r="F18" s="1759">
        <f t="shared" si="13"/>
        <v>2.7800000000000002</v>
      </c>
      <c r="G18" s="1759">
        <f t="shared" si="14"/>
        <v>1.8533333333333333</v>
      </c>
      <c r="H18" s="1759">
        <f t="shared" si="15"/>
        <v>1.3900000000000001</v>
      </c>
      <c r="I18" s="1759">
        <f t="shared" si="16"/>
        <v>1.1120000000000001</v>
      </c>
      <c r="J18" s="1759">
        <f t="shared" si="17"/>
        <v>1.0692307692307692</v>
      </c>
      <c r="K18" s="1875">
        <f t="shared" si="40"/>
        <v>3.6904287800345152E-2</v>
      </c>
      <c r="L18" s="1876"/>
      <c r="M18" s="1877"/>
      <c r="N18" s="1759">
        <f>$J$18</f>
        <v>1.0692307692307692</v>
      </c>
      <c r="O18" s="1759">
        <f t="shared" ref="O18:T18" si="63">$J$18</f>
        <v>1.0692307692307692</v>
      </c>
      <c r="P18" s="1759">
        <f t="shared" si="63"/>
        <v>1.0692307692307692</v>
      </c>
      <c r="Q18" s="1759">
        <f t="shared" si="63"/>
        <v>1.0692307692307692</v>
      </c>
      <c r="R18" s="1759">
        <f t="shared" si="63"/>
        <v>1.0692307692307692</v>
      </c>
      <c r="S18" s="4618"/>
      <c r="T18" s="1759">
        <f t="shared" si="63"/>
        <v>1.0692307692307692</v>
      </c>
      <c r="U18" s="2575"/>
      <c r="V18" s="1879">
        <f t="shared" si="28"/>
        <v>6.4153846153846148</v>
      </c>
      <c r="W18" s="1759" t="e">
        <f>(#REF!*K18)*30%</f>
        <v>#REF!</v>
      </c>
      <c r="X18" s="1880" t="e">
        <f>W18-V18</f>
        <v>#REF!</v>
      </c>
      <c r="Y18" s="1881"/>
      <c r="Z18" s="1759">
        <f t="shared" ref="Z18:AF18" si="64">$J$18</f>
        <v>1.0692307692307692</v>
      </c>
      <c r="AA18" s="1759">
        <f t="shared" si="64"/>
        <v>1.0692307692307692</v>
      </c>
      <c r="AB18" s="1759">
        <f t="shared" si="64"/>
        <v>1.0692307692307692</v>
      </c>
      <c r="AC18" s="1759">
        <f t="shared" si="64"/>
        <v>1.0692307692307692</v>
      </c>
      <c r="AD18" s="1759">
        <f t="shared" si="64"/>
        <v>1.0692307692307692</v>
      </c>
      <c r="AE18" s="4621"/>
      <c r="AF18" s="1759">
        <f t="shared" si="64"/>
        <v>1.0692307692307692</v>
      </c>
      <c r="AG18" s="1862"/>
      <c r="AH18" s="1879">
        <f t="shared" si="31"/>
        <v>6.4153846153846148</v>
      </c>
      <c r="AI18" s="1759" t="e">
        <f>(#REF!*K18)*30%</f>
        <v>#REF!</v>
      </c>
      <c r="AJ18" s="1880" t="e">
        <f>AI18-AH18</f>
        <v>#REF!</v>
      </c>
      <c r="AK18" s="1881"/>
      <c r="AL18" s="1759">
        <f t="shared" ref="AL18:AR18" si="65">$J$18</f>
        <v>1.0692307692307692</v>
      </c>
      <c r="AM18" s="1759">
        <f t="shared" si="65"/>
        <v>1.0692307692307692</v>
      </c>
      <c r="AN18" s="1759">
        <f t="shared" si="65"/>
        <v>1.0692307692307692</v>
      </c>
      <c r="AO18" s="1759">
        <f t="shared" si="65"/>
        <v>1.0692307692307692</v>
      </c>
      <c r="AP18" s="1759">
        <f t="shared" si="65"/>
        <v>1.0692307692307692</v>
      </c>
      <c r="AQ18" s="4618"/>
      <c r="AR18" s="1759">
        <f t="shared" si="65"/>
        <v>1.0692307692307692</v>
      </c>
      <c r="AS18" s="2293"/>
      <c r="AT18" s="1879">
        <f t="shared" si="34"/>
        <v>6.4153846153846148</v>
      </c>
      <c r="AU18" s="1759" t="e">
        <f>(#REF!*K18)*30%</f>
        <v>#REF!</v>
      </c>
      <c r="AV18" s="1880" t="e">
        <f>AU18-AT18</f>
        <v>#REF!</v>
      </c>
      <c r="AW18" s="2293"/>
      <c r="AX18" s="1759">
        <f t="shared" ref="AX18:BD18" si="66">$J$18</f>
        <v>1.0692307692307692</v>
      </c>
      <c r="AY18" s="1759">
        <f t="shared" si="66"/>
        <v>1.0692307692307692</v>
      </c>
      <c r="AZ18" s="1759">
        <f t="shared" si="66"/>
        <v>1.0692307692307692</v>
      </c>
      <c r="BA18" s="1759">
        <f t="shared" si="66"/>
        <v>1.0692307692307692</v>
      </c>
      <c r="BB18" s="1759">
        <f t="shared" si="66"/>
        <v>1.0692307692307692</v>
      </c>
      <c r="BC18" s="4621"/>
      <c r="BD18" s="1759">
        <f t="shared" si="66"/>
        <v>1.0692307692307692</v>
      </c>
      <c r="BE18" s="2293"/>
      <c r="BF18" s="1879">
        <f t="shared" si="22"/>
        <v>6.4153846153846148</v>
      </c>
      <c r="BG18" s="1759" t="e">
        <f>(#REF!*K18)*30%</f>
        <v>#REF!</v>
      </c>
      <c r="BH18" s="1880" t="e">
        <f>BG18-BF18</f>
        <v>#REF!</v>
      </c>
      <c r="BI18" s="2575"/>
      <c r="BJ18" s="1759">
        <f t="shared" ref="BJ18:BK18" si="67">$J$18</f>
        <v>1.0692307692307692</v>
      </c>
      <c r="BK18" s="1759">
        <f t="shared" si="67"/>
        <v>1.0692307692307692</v>
      </c>
      <c r="BL18" s="2575"/>
      <c r="BM18" s="1879">
        <f t="shared" ref="BM18:BM24" si="68">SUM(BJ18:BK18)</f>
        <v>2.1384615384615384</v>
      </c>
      <c r="BN18" s="1759" t="e">
        <f>(#REF!*K18)*30%</f>
        <v>#REF!</v>
      </c>
      <c r="BO18" s="1880" t="e">
        <f>BN18-BM18</f>
        <v>#REF!</v>
      </c>
      <c r="BQ18" s="1732">
        <v>0</v>
      </c>
      <c r="BR18" s="1882">
        <f t="shared" si="24"/>
        <v>0</v>
      </c>
      <c r="BS18" s="1740"/>
      <c r="BT18" s="1734">
        <f t="shared" si="25"/>
        <v>27.799999999999997</v>
      </c>
      <c r="BU18" s="1918">
        <f t="shared" si="26"/>
        <v>0.99999999999999989</v>
      </c>
      <c r="BV18" s="1997"/>
      <c r="BW18" s="2577"/>
      <c r="BY18" s="1919"/>
      <c r="BZ18" s="2577"/>
      <c r="CA18" s="1920"/>
      <c r="CB18" s="1810"/>
      <c r="CC18" s="1810"/>
      <c r="CD18" s="1810"/>
      <c r="CE18" s="1810"/>
      <c r="CF18" s="1810"/>
      <c r="CG18" s="1810"/>
    </row>
    <row r="19" spans="1:86" hidden="1" x14ac:dyDescent="0.2">
      <c r="A19" s="1777"/>
      <c r="B19" s="1863">
        <v>7</v>
      </c>
      <c r="C19" s="1907" t="s">
        <v>218</v>
      </c>
      <c r="D19" s="1744"/>
      <c r="E19" s="1780">
        <v>25.5</v>
      </c>
      <c r="F19" s="1780">
        <f t="shared" si="13"/>
        <v>2.5499999999999998</v>
      </c>
      <c r="G19" s="1780">
        <f t="shared" si="14"/>
        <v>1.7</v>
      </c>
      <c r="H19" s="1780">
        <f t="shared" si="15"/>
        <v>1.2749999999999999</v>
      </c>
      <c r="I19" s="1780">
        <f t="shared" si="16"/>
        <v>1.02</v>
      </c>
      <c r="J19" s="1780">
        <f t="shared" si="17"/>
        <v>0.98076923076923073</v>
      </c>
      <c r="K19" s="1908">
        <f t="shared" si="40"/>
        <v>3.3851055356431702E-2</v>
      </c>
      <c r="L19" s="1909"/>
      <c r="M19" s="1910"/>
      <c r="N19" s="1780">
        <f>$J$19</f>
        <v>0.98076923076923073</v>
      </c>
      <c r="O19" s="1780">
        <f t="shared" ref="O19:T19" si="69">$J$19</f>
        <v>0.98076923076923073</v>
      </c>
      <c r="P19" s="1780">
        <f t="shared" si="69"/>
        <v>0.98076923076923073</v>
      </c>
      <c r="Q19" s="1780">
        <f t="shared" si="69"/>
        <v>0.98076923076923073</v>
      </c>
      <c r="R19" s="1780">
        <f t="shared" si="69"/>
        <v>0.98076923076923073</v>
      </c>
      <c r="S19" s="4618"/>
      <c r="T19" s="1780">
        <f t="shared" si="69"/>
        <v>0.98076923076923073</v>
      </c>
      <c r="U19" s="2576"/>
      <c r="V19" s="1912">
        <f t="shared" si="28"/>
        <v>5.8846153846153841</v>
      </c>
      <c r="W19" s="1780" t="e">
        <f>(#REF!*K19)*30%</f>
        <v>#REF!</v>
      </c>
      <c r="X19" s="1913" t="e">
        <f t="shared" si="29"/>
        <v>#REF!</v>
      </c>
      <c r="Y19" s="1914"/>
      <c r="Z19" s="1780">
        <f t="shared" ref="Z19:AF19" si="70">$J$19</f>
        <v>0.98076923076923073</v>
      </c>
      <c r="AA19" s="1780">
        <f t="shared" si="70"/>
        <v>0.98076923076923073</v>
      </c>
      <c r="AB19" s="1780">
        <f t="shared" si="70"/>
        <v>0.98076923076923073</v>
      </c>
      <c r="AC19" s="1780">
        <f t="shared" si="70"/>
        <v>0.98076923076923073</v>
      </c>
      <c r="AD19" s="1780">
        <f t="shared" si="70"/>
        <v>0.98076923076923073</v>
      </c>
      <c r="AE19" s="4621"/>
      <c r="AF19" s="1780">
        <f t="shared" si="70"/>
        <v>0.98076923076923073</v>
      </c>
      <c r="AG19" s="1915"/>
      <c r="AH19" s="1912">
        <f t="shared" si="31"/>
        <v>5.8846153846153841</v>
      </c>
      <c r="AI19" s="1780" t="e">
        <f>(#REF!*K19)*30%</f>
        <v>#REF!</v>
      </c>
      <c r="AJ19" s="1913" t="e">
        <f t="shared" si="32"/>
        <v>#REF!</v>
      </c>
      <c r="AK19" s="1914"/>
      <c r="AL19" s="1780">
        <f t="shared" ref="AL19:AR19" si="71">$J$19</f>
        <v>0.98076923076923073</v>
      </c>
      <c r="AM19" s="1780">
        <f t="shared" si="71"/>
        <v>0.98076923076923073</v>
      </c>
      <c r="AN19" s="1780">
        <f t="shared" si="71"/>
        <v>0.98076923076923073</v>
      </c>
      <c r="AO19" s="1780">
        <f t="shared" si="71"/>
        <v>0.98076923076923073</v>
      </c>
      <c r="AP19" s="1780">
        <f t="shared" si="71"/>
        <v>0.98076923076923073</v>
      </c>
      <c r="AQ19" s="4618"/>
      <c r="AR19" s="1780">
        <f t="shared" si="71"/>
        <v>0.98076923076923073</v>
      </c>
      <c r="AS19" s="2297"/>
      <c r="AT19" s="1912">
        <f t="shared" si="34"/>
        <v>5.8846153846153841</v>
      </c>
      <c r="AU19" s="1780" t="e">
        <f>(#REF!*K19)*30%</f>
        <v>#REF!</v>
      </c>
      <c r="AV19" s="1913" t="e">
        <f t="shared" ref="AV19:AV24" si="72">AU19-AT19</f>
        <v>#REF!</v>
      </c>
      <c r="AW19" s="2297"/>
      <c r="AX19" s="1780">
        <f t="shared" ref="AX19:BD19" si="73">$J$19</f>
        <v>0.98076923076923073</v>
      </c>
      <c r="AY19" s="1780">
        <f t="shared" si="73"/>
        <v>0.98076923076923073</v>
      </c>
      <c r="AZ19" s="1780">
        <f t="shared" si="73"/>
        <v>0.98076923076923073</v>
      </c>
      <c r="BA19" s="1780">
        <f t="shared" si="73"/>
        <v>0.98076923076923073</v>
      </c>
      <c r="BB19" s="1780">
        <f t="shared" si="73"/>
        <v>0.98076923076923073</v>
      </c>
      <c r="BC19" s="4621"/>
      <c r="BD19" s="1780">
        <f t="shared" si="73"/>
        <v>0.98076923076923073</v>
      </c>
      <c r="BE19" s="2297"/>
      <c r="BF19" s="1912">
        <f t="shared" si="22"/>
        <v>5.8846153846153841</v>
      </c>
      <c r="BG19" s="1780" t="e">
        <f>(#REF!*K19)*30%</f>
        <v>#REF!</v>
      </c>
      <c r="BH19" s="1913" t="e">
        <f t="shared" ref="BH19:BH24" si="74">BG19-BF19</f>
        <v>#REF!</v>
      </c>
      <c r="BI19" s="2576"/>
      <c r="BJ19" s="1780">
        <f t="shared" ref="BJ19:BK19" si="75">$J$19</f>
        <v>0.98076923076923073</v>
      </c>
      <c r="BK19" s="1780">
        <f t="shared" si="75"/>
        <v>0.98076923076923073</v>
      </c>
      <c r="BL19" s="2576"/>
      <c r="BM19" s="1912">
        <f t="shared" si="68"/>
        <v>1.9615384615384615</v>
      </c>
      <c r="BN19" s="1780" t="e">
        <f>(#REF!*K19)*30%</f>
        <v>#REF!</v>
      </c>
      <c r="BO19" s="1913" t="e">
        <f t="shared" ref="BO19:BO31" si="76">BN19-BM19</f>
        <v>#REF!</v>
      </c>
      <c r="BQ19" s="1747">
        <v>0</v>
      </c>
      <c r="BR19" s="1752">
        <f t="shared" si="24"/>
        <v>0</v>
      </c>
      <c r="BS19" s="1754"/>
      <c r="BT19" s="1749">
        <f t="shared" si="25"/>
        <v>25.499999999999996</v>
      </c>
      <c r="BU19" s="1753">
        <f t="shared" si="26"/>
        <v>0.99999999999999989</v>
      </c>
      <c r="BV19" s="1993"/>
      <c r="BW19" s="1916"/>
      <c r="BY19" s="1921"/>
      <c r="BZ19" s="1783"/>
      <c r="CA19" s="1922"/>
      <c r="CB19" s="1923"/>
      <c r="CC19" s="1923"/>
      <c r="CD19" s="1923"/>
      <c r="CE19" s="1923"/>
      <c r="CF19" s="1923"/>
      <c r="CG19" s="1923"/>
    </row>
    <row r="20" spans="1:86" s="1726" customFormat="1" hidden="1" x14ac:dyDescent="0.2">
      <c r="A20" s="1756"/>
      <c r="B20" s="1857">
        <v>8</v>
      </c>
      <c r="C20" s="1857" t="s">
        <v>235</v>
      </c>
      <c r="D20" s="1727"/>
      <c r="E20" s="1759">
        <v>0</v>
      </c>
      <c r="F20" s="1759">
        <f t="shared" si="13"/>
        <v>0</v>
      </c>
      <c r="G20" s="1759">
        <f t="shared" si="14"/>
        <v>0</v>
      </c>
      <c r="H20" s="1759">
        <f t="shared" si="15"/>
        <v>0</v>
      </c>
      <c r="I20" s="1759">
        <f t="shared" si="16"/>
        <v>0</v>
      </c>
      <c r="J20" s="1759">
        <f t="shared" si="17"/>
        <v>0</v>
      </c>
      <c r="K20" s="1875">
        <f t="shared" si="40"/>
        <v>0</v>
      </c>
      <c r="L20" s="1876"/>
      <c r="M20" s="1924"/>
      <c r="N20" s="1759">
        <f>$J$20</f>
        <v>0</v>
      </c>
      <c r="O20" s="1759">
        <f t="shared" ref="O20:T20" si="77">$J$20</f>
        <v>0</v>
      </c>
      <c r="P20" s="1759">
        <f t="shared" si="77"/>
        <v>0</v>
      </c>
      <c r="Q20" s="1759">
        <f t="shared" si="77"/>
        <v>0</v>
      </c>
      <c r="R20" s="1759">
        <f t="shared" si="77"/>
        <v>0</v>
      </c>
      <c r="S20" s="4618"/>
      <c r="T20" s="1759">
        <f t="shared" si="77"/>
        <v>0</v>
      </c>
      <c r="U20" s="2575"/>
      <c r="V20" s="1879">
        <f t="shared" si="28"/>
        <v>0</v>
      </c>
      <c r="W20" s="1759" t="e">
        <f>(#REF!*K20)*30%</f>
        <v>#REF!</v>
      </c>
      <c r="X20" s="1880" t="e">
        <f t="shared" si="29"/>
        <v>#REF!</v>
      </c>
      <c r="Y20" s="1881"/>
      <c r="Z20" s="1759">
        <f t="shared" ref="Z20:AF20" si="78">$J$20</f>
        <v>0</v>
      </c>
      <c r="AA20" s="1759">
        <f t="shared" si="78"/>
        <v>0</v>
      </c>
      <c r="AB20" s="1759">
        <f t="shared" si="78"/>
        <v>0</v>
      </c>
      <c r="AC20" s="1759">
        <f t="shared" si="78"/>
        <v>0</v>
      </c>
      <c r="AD20" s="1759">
        <f t="shared" si="78"/>
        <v>0</v>
      </c>
      <c r="AE20" s="4621"/>
      <c r="AF20" s="1759">
        <f t="shared" si="78"/>
        <v>0</v>
      </c>
      <c r="AG20" s="1862"/>
      <c r="AH20" s="1879">
        <f>SUM(Z20:AF20)</f>
        <v>0</v>
      </c>
      <c r="AI20" s="1759" t="e">
        <f>(#REF!*K20)*30%</f>
        <v>#REF!</v>
      </c>
      <c r="AJ20" s="1880" t="e">
        <f t="shared" si="32"/>
        <v>#REF!</v>
      </c>
      <c r="AK20" s="1881"/>
      <c r="AL20" s="1759">
        <f t="shared" ref="AL20:AR20" si="79">$J$20</f>
        <v>0</v>
      </c>
      <c r="AM20" s="1759">
        <f t="shared" si="79"/>
        <v>0</v>
      </c>
      <c r="AN20" s="1759">
        <f t="shared" si="79"/>
        <v>0</v>
      </c>
      <c r="AO20" s="1759">
        <f t="shared" si="79"/>
        <v>0</v>
      </c>
      <c r="AP20" s="1759">
        <f t="shared" si="79"/>
        <v>0</v>
      </c>
      <c r="AQ20" s="4618"/>
      <c r="AR20" s="1759">
        <f t="shared" si="79"/>
        <v>0</v>
      </c>
      <c r="AS20" s="2293"/>
      <c r="AT20" s="1879">
        <f t="shared" si="34"/>
        <v>0</v>
      </c>
      <c r="AU20" s="1759" t="e">
        <f>(#REF!*K20)*30%</f>
        <v>#REF!</v>
      </c>
      <c r="AV20" s="1880" t="e">
        <f t="shared" si="72"/>
        <v>#REF!</v>
      </c>
      <c r="AW20" s="2293"/>
      <c r="AX20" s="1759">
        <f t="shared" ref="AX20:BD20" si="80">$J$20</f>
        <v>0</v>
      </c>
      <c r="AY20" s="1759">
        <f t="shared" si="80"/>
        <v>0</v>
      </c>
      <c r="AZ20" s="1759">
        <f t="shared" si="80"/>
        <v>0</v>
      </c>
      <c r="BA20" s="1759">
        <f t="shared" si="80"/>
        <v>0</v>
      </c>
      <c r="BB20" s="1759">
        <f t="shared" si="80"/>
        <v>0</v>
      </c>
      <c r="BC20" s="4621"/>
      <c r="BD20" s="1759">
        <f t="shared" si="80"/>
        <v>0</v>
      </c>
      <c r="BE20" s="2293"/>
      <c r="BF20" s="1879">
        <f t="shared" si="22"/>
        <v>0</v>
      </c>
      <c r="BG20" s="1759" t="e">
        <f>(#REF!*K20)*30%</f>
        <v>#REF!</v>
      </c>
      <c r="BH20" s="1880" t="e">
        <f t="shared" si="74"/>
        <v>#REF!</v>
      </c>
      <c r="BI20" s="2575"/>
      <c r="BJ20" s="1759">
        <f t="shared" ref="BJ20:BK20" si="81">$J$20</f>
        <v>0</v>
      </c>
      <c r="BK20" s="1759">
        <f t="shared" si="81"/>
        <v>0</v>
      </c>
      <c r="BL20" s="2575"/>
      <c r="BM20" s="1879">
        <f t="shared" si="68"/>
        <v>0</v>
      </c>
      <c r="BN20" s="1759" t="e">
        <f>(#REF!*K20)*30%</f>
        <v>#REF!</v>
      </c>
      <c r="BO20" s="1880" t="e">
        <f t="shared" si="76"/>
        <v>#REF!</v>
      </c>
      <c r="BQ20" s="1732">
        <v>0</v>
      </c>
      <c r="BR20" s="1882" t="e">
        <f t="shared" si="24"/>
        <v>#DIV/0!</v>
      </c>
      <c r="BS20" s="1740"/>
      <c r="BT20" s="1734">
        <f t="shared" si="25"/>
        <v>0</v>
      </c>
      <c r="BU20" s="1918" t="e">
        <f t="shared" si="26"/>
        <v>#DIV/0!</v>
      </c>
      <c r="BV20" s="1997"/>
      <c r="BW20" s="2577"/>
      <c r="BY20" s="1925"/>
      <c r="BZ20" s="1916"/>
      <c r="CA20" s="1923"/>
      <c r="CB20" s="1860"/>
      <c r="CC20" s="1860"/>
      <c r="CD20" s="1860"/>
      <c r="CE20" s="1860"/>
      <c r="CF20" s="1860"/>
      <c r="CG20" s="1860"/>
    </row>
    <row r="21" spans="1:86" s="1777" customFormat="1" hidden="1" x14ac:dyDescent="0.2">
      <c r="B21" s="1863">
        <v>9</v>
      </c>
      <c r="C21" s="1907" t="s">
        <v>219</v>
      </c>
      <c r="D21" s="1744"/>
      <c r="E21" s="1780">
        <v>0</v>
      </c>
      <c r="F21" s="1780">
        <f t="shared" si="13"/>
        <v>0</v>
      </c>
      <c r="G21" s="1780">
        <f t="shared" si="14"/>
        <v>0</v>
      </c>
      <c r="H21" s="1780">
        <f t="shared" si="15"/>
        <v>0</v>
      </c>
      <c r="I21" s="1780">
        <f t="shared" si="16"/>
        <v>0</v>
      </c>
      <c r="J21" s="1780">
        <f t="shared" si="17"/>
        <v>0</v>
      </c>
      <c r="K21" s="1908">
        <f t="shared" si="40"/>
        <v>0</v>
      </c>
      <c r="L21" s="1866"/>
      <c r="M21" s="1910"/>
      <c r="N21" s="1780">
        <f>$J$21</f>
        <v>0</v>
      </c>
      <c r="O21" s="1780">
        <f t="shared" ref="O21:T21" si="82">$J$21</f>
        <v>0</v>
      </c>
      <c r="P21" s="1780">
        <f t="shared" si="82"/>
        <v>0</v>
      </c>
      <c r="Q21" s="1780">
        <f t="shared" si="82"/>
        <v>0</v>
      </c>
      <c r="R21" s="1780">
        <f t="shared" si="82"/>
        <v>0</v>
      </c>
      <c r="S21" s="4618"/>
      <c r="T21" s="1780">
        <f t="shared" si="82"/>
        <v>0</v>
      </c>
      <c r="U21" s="1801"/>
      <c r="V21" s="1912">
        <f t="shared" si="28"/>
        <v>0</v>
      </c>
      <c r="W21" s="1780" t="e">
        <f>(#REF!*K21)*30%</f>
        <v>#REF!</v>
      </c>
      <c r="X21" s="1913" t="e">
        <f t="shared" si="29"/>
        <v>#REF!</v>
      </c>
      <c r="Y21" s="1788"/>
      <c r="Z21" s="1780">
        <f t="shared" ref="Z21:AF21" si="83">$J$21</f>
        <v>0</v>
      </c>
      <c r="AA21" s="1780">
        <f t="shared" si="83"/>
        <v>0</v>
      </c>
      <c r="AB21" s="1780">
        <f t="shared" si="83"/>
        <v>0</v>
      </c>
      <c r="AC21" s="1780">
        <f t="shared" si="83"/>
        <v>0</v>
      </c>
      <c r="AD21" s="1780">
        <f t="shared" si="83"/>
        <v>0</v>
      </c>
      <c r="AE21" s="4621"/>
      <c r="AF21" s="1780">
        <f t="shared" si="83"/>
        <v>0</v>
      </c>
      <c r="AG21" s="1926"/>
      <c r="AH21" s="1912">
        <f t="shared" si="31"/>
        <v>0</v>
      </c>
      <c r="AI21" s="1780" t="e">
        <f>(#REF!*K21)*30%</f>
        <v>#REF!</v>
      </c>
      <c r="AJ21" s="1913" t="e">
        <f t="shared" si="32"/>
        <v>#REF!</v>
      </c>
      <c r="AK21" s="1927"/>
      <c r="AL21" s="1780">
        <f t="shared" ref="AL21:AR21" si="84">$J$21</f>
        <v>0</v>
      </c>
      <c r="AM21" s="1780">
        <f t="shared" si="84"/>
        <v>0</v>
      </c>
      <c r="AN21" s="1780">
        <f t="shared" si="84"/>
        <v>0</v>
      </c>
      <c r="AO21" s="1780">
        <f t="shared" si="84"/>
        <v>0</v>
      </c>
      <c r="AP21" s="1780">
        <f t="shared" si="84"/>
        <v>0</v>
      </c>
      <c r="AQ21" s="4618"/>
      <c r="AR21" s="1780">
        <f t="shared" si="84"/>
        <v>0</v>
      </c>
      <c r="AS21" s="1750"/>
      <c r="AT21" s="1912">
        <f t="shared" si="34"/>
        <v>0</v>
      </c>
      <c r="AU21" s="1780" t="e">
        <f>(#REF!*K21)*30%</f>
        <v>#REF!</v>
      </c>
      <c r="AV21" s="1913" t="e">
        <f t="shared" si="72"/>
        <v>#REF!</v>
      </c>
      <c r="AW21" s="1935"/>
      <c r="AX21" s="1780">
        <f t="shared" ref="AX21:BD21" si="85">$J$21</f>
        <v>0</v>
      </c>
      <c r="AY21" s="1780">
        <f t="shared" si="85"/>
        <v>0</v>
      </c>
      <c r="AZ21" s="1780">
        <f t="shared" si="85"/>
        <v>0</v>
      </c>
      <c r="BA21" s="1780">
        <f t="shared" si="85"/>
        <v>0</v>
      </c>
      <c r="BB21" s="1780">
        <f t="shared" si="85"/>
        <v>0</v>
      </c>
      <c r="BC21" s="4621"/>
      <c r="BD21" s="1780">
        <f t="shared" si="85"/>
        <v>0</v>
      </c>
      <c r="BE21" s="1750"/>
      <c r="BF21" s="1912">
        <f t="shared" si="22"/>
        <v>0</v>
      </c>
      <c r="BG21" s="1780" t="e">
        <f>(#REF!*K21)*30%</f>
        <v>#REF!</v>
      </c>
      <c r="BH21" s="1913" t="e">
        <f t="shared" si="74"/>
        <v>#REF!</v>
      </c>
      <c r="BI21" s="1935"/>
      <c r="BJ21" s="2292">
        <f t="shared" ref="BJ21:BK21" si="86">$J$21</f>
        <v>0</v>
      </c>
      <c r="BK21" s="2292">
        <f t="shared" si="86"/>
        <v>0</v>
      </c>
      <c r="BL21" s="2290"/>
      <c r="BM21" s="1912">
        <f t="shared" si="68"/>
        <v>0</v>
      </c>
      <c r="BN21" s="1780" t="e">
        <f>(#REF!*K21)*30%</f>
        <v>#REF!</v>
      </c>
      <c r="BO21" s="1913" t="e">
        <f t="shared" si="76"/>
        <v>#REF!</v>
      </c>
      <c r="BP21" s="1790"/>
      <c r="BQ21" s="1750">
        <v>0</v>
      </c>
      <c r="BR21" s="1871" t="e">
        <f t="shared" si="24"/>
        <v>#DIV/0!</v>
      </c>
      <c r="BS21" s="1928"/>
      <c r="BT21" s="1929">
        <f t="shared" si="25"/>
        <v>0</v>
      </c>
      <c r="BU21" s="1930" t="e">
        <f t="shared" si="26"/>
        <v>#DIV/0!</v>
      </c>
      <c r="BV21" s="1802"/>
      <c r="BW21" s="1791"/>
      <c r="BX21" s="1791"/>
      <c r="BY21" s="1791"/>
      <c r="BZ21" s="1791"/>
      <c r="CA21" s="1791"/>
      <c r="CB21" s="1791"/>
      <c r="CC21" s="1791"/>
      <c r="CD21" s="1791"/>
      <c r="CE21" s="1791"/>
      <c r="CF21" s="1923"/>
      <c r="CG21" s="1923"/>
    </row>
    <row r="22" spans="1:86" s="1726" customFormat="1" hidden="1" x14ac:dyDescent="0.2">
      <c r="A22" s="1756"/>
      <c r="B22" s="1857">
        <v>10</v>
      </c>
      <c r="C22" s="1857" t="s">
        <v>204</v>
      </c>
      <c r="D22" s="1727"/>
      <c r="E22" s="1759">
        <v>0</v>
      </c>
      <c r="F22" s="1759">
        <f t="shared" si="13"/>
        <v>0</v>
      </c>
      <c r="G22" s="1759">
        <f t="shared" si="14"/>
        <v>0</v>
      </c>
      <c r="H22" s="1759">
        <f t="shared" si="15"/>
        <v>0</v>
      </c>
      <c r="I22" s="1759">
        <f t="shared" si="16"/>
        <v>0</v>
      </c>
      <c r="J22" s="1759">
        <f t="shared" si="17"/>
        <v>0</v>
      </c>
      <c r="K22" s="1875">
        <f t="shared" si="40"/>
        <v>0</v>
      </c>
      <c r="L22" s="1931"/>
      <c r="M22" s="1924"/>
      <c r="N22" s="1759">
        <f>$J$22</f>
        <v>0</v>
      </c>
      <c r="O22" s="1759">
        <f t="shared" ref="O22:T22" si="87">$J$22</f>
        <v>0</v>
      </c>
      <c r="P22" s="1759">
        <f t="shared" si="87"/>
        <v>0</v>
      </c>
      <c r="Q22" s="1759">
        <f t="shared" si="87"/>
        <v>0</v>
      </c>
      <c r="R22" s="1759">
        <f t="shared" si="87"/>
        <v>0</v>
      </c>
      <c r="S22" s="4618"/>
      <c r="T22" s="1759">
        <f t="shared" si="87"/>
        <v>0</v>
      </c>
      <c r="U22" s="2575"/>
      <c r="V22" s="1879">
        <f t="shared" si="28"/>
        <v>0</v>
      </c>
      <c r="W22" s="1759" t="e">
        <f>(#REF!*K22)*30%</f>
        <v>#REF!</v>
      </c>
      <c r="X22" s="1880" t="e">
        <f t="shared" si="29"/>
        <v>#REF!</v>
      </c>
      <c r="Y22" s="1881"/>
      <c r="Z22" s="1759">
        <f t="shared" ref="Z22:AF22" si="88">$J$22</f>
        <v>0</v>
      </c>
      <c r="AA22" s="1759">
        <f t="shared" si="88"/>
        <v>0</v>
      </c>
      <c r="AB22" s="1759">
        <f t="shared" si="88"/>
        <v>0</v>
      </c>
      <c r="AC22" s="1759">
        <f t="shared" si="88"/>
        <v>0</v>
      </c>
      <c r="AD22" s="1759">
        <f t="shared" si="88"/>
        <v>0</v>
      </c>
      <c r="AE22" s="4621"/>
      <c r="AF22" s="1759">
        <f t="shared" si="88"/>
        <v>0</v>
      </c>
      <c r="AG22" s="1862"/>
      <c r="AH22" s="1879">
        <f t="shared" si="31"/>
        <v>0</v>
      </c>
      <c r="AI22" s="1759" t="e">
        <f>(#REF!*K22)*30%</f>
        <v>#REF!</v>
      </c>
      <c r="AJ22" s="1880" t="e">
        <f t="shared" si="32"/>
        <v>#REF!</v>
      </c>
      <c r="AK22" s="1881"/>
      <c r="AL22" s="1759">
        <f t="shared" ref="AL22:AR22" si="89">$J$22</f>
        <v>0</v>
      </c>
      <c r="AM22" s="1759">
        <f t="shared" si="89"/>
        <v>0</v>
      </c>
      <c r="AN22" s="1759">
        <f t="shared" si="89"/>
        <v>0</v>
      </c>
      <c r="AO22" s="1759">
        <f t="shared" si="89"/>
        <v>0</v>
      </c>
      <c r="AP22" s="1759">
        <f t="shared" si="89"/>
        <v>0</v>
      </c>
      <c r="AQ22" s="4618"/>
      <c r="AR22" s="1759">
        <f t="shared" si="89"/>
        <v>0</v>
      </c>
      <c r="AS22" s="2293"/>
      <c r="AT22" s="1879">
        <f t="shared" si="34"/>
        <v>0</v>
      </c>
      <c r="AU22" s="1759" t="e">
        <f>(#REF!*K22)*30%</f>
        <v>#REF!</v>
      </c>
      <c r="AV22" s="1880" t="e">
        <f t="shared" si="72"/>
        <v>#REF!</v>
      </c>
      <c r="AW22" s="2293"/>
      <c r="AX22" s="1759">
        <f t="shared" ref="AX22:BD22" si="90">$J$22</f>
        <v>0</v>
      </c>
      <c r="AY22" s="1759">
        <f t="shared" si="90"/>
        <v>0</v>
      </c>
      <c r="AZ22" s="1759">
        <f t="shared" si="90"/>
        <v>0</v>
      </c>
      <c r="BA22" s="1759">
        <f t="shared" si="90"/>
        <v>0</v>
      </c>
      <c r="BB22" s="1759">
        <f t="shared" si="90"/>
        <v>0</v>
      </c>
      <c r="BC22" s="4621"/>
      <c r="BD22" s="1759">
        <f t="shared" si="90"/>
        <v>0</v>
      </c>
      <c r="BE22" s="2293"/>
      <c r="BF22" s="1879">
        <f t="shared" si="22"/>
        <v>0</v>
      </c>
      <c r="BG22" s="1759" t="e">
        <f>(#REF!*K22)*30%</f>
        <v>#REF!</v>
      </c>
      <c r="BH22" s="1880" t="e">
        <f t="shared" si="74"/>
        <v>#REF!</v>
      </c>
      <c r="BI22" s="2575"/>
      <c r="BJ22" s="1759">
        <f t="shared" ref="BJ22:BK22" si="91">$J$22</f>
        <v>0</v>
      </c>
      <c r="BK22" s="1759">
        <f t="shared" si="91"/>
        <v>0</v>
      </c>
      <c r="BL22" s="2575"/>
      <c r="BM22" s="1879">
        <f t="shared" si="68"/>
        <v>0</v>
      </c>
      <c r="BN22" s="1759" t="e">
        <f>(#REF!*K22)*30%</f>
        <v>#REF!</v>
      </c>
      <c r="BO22" s="1880" t="e">
        <f t="shared" si="76"/>
        <v>#REF!</v>
      </c>
      <c r="BQ22" s="1732">
        <v>0</v>
      </c>
      <c r="BR22" s="1882" t="e">
        <f t="shared" si="24"/>
        <v>#DIV/0!</v>
      </c>
      <c r="BS22" s="1740"/>
      <c r="BT22" s="1734">
        <f t="shared" si="25"/>
        <v>0</v>
      </c>
      <c r="BU22" s="1918" t="e">
        <f t="shared" si="26"/>
        <v>#DIV/0!</v>
      </c>
      <c r="BV22" s="1997"/>
      <c r="BW22" s="2577"/>
      <c r="BY22" s="1923"/>
      <c r="BZ22" s="1860"/>
      <c r="CA22" s="1860"/>
      <c r="CB22" s="1860"/>
      <c r="CC22" s="1860"/>
      <c r="CD22" s="1860"/>
      <c r="CE22" s="1860"/>
      <c r="CF22" s="1860"/>
      <c r="CG22" s="1860"/>
    </row>
    <row r="23" spans="1:86" s="1777" customFormat="1" hidden="1" x14ac:dyDescent="0.2">
      <c r="B23" s="1863">
        <v>11</v>
      </c>
      <c r="C23" s="1932" t="s">
        <v>220</v>
      </c>
      <c r="D23" s="1744"/>
      <c r="E23" s="1933">
        <v>0</v>
      </c>
      <c r="F23" s="1933"/>
      <c r="G23" s="1933"/>
      <c r="H23" s="1933"/>
      <c r="I23" s="1933"/>
      <c r="J23" s="1933">
        <f t="shared" si="17"/>
        <v>0</v>
      </c>
      <c r="K23" s="1934">
        <f t="shared" si="40"/>
        <v>0</v>
      </c>
      <c r="L23" s="1866"/>
      <c r="M23" s="1867"/>
      <c r="N23" s="1780">
        <f>$J$23</f>
        <v>0</v>
      </c>
      <c r="O23" s="1780">
        <f t="shared" ref="O23:T23" si="92">$J$23</f>
        <v>0</v>
      </c>
      <c r="P23" s="1780">
        <f t="shared" si="92"/>
        <v>0</v>
      </c>
      <c r="Q23" s="1780">
        <f t="shared" si="92"/>
        <v>0</v>
      </c>
      <c r="R23" s="1780">
        <f t="shared" si="92"/>
        <v>0</v>
      </c>
      <c r="S23" s="4618"/>
      <c r="T23" s="1780">
        <f t="shared" si="92"/>
        <v>0</v>
      </c>
      <c r="U23" s="1801"/>
      <c r="V23" s="1912">
        <f t="shared" si="28"/>
        <v>0</v>
      </c>
      <c r="W23" s="1780" t="e">
        <f>(#REF!*K23)*30%</f>
        <v>#REF!</v>
      </c>
      <c r="X23" s="1913" t="e">
        <f t="shared" si="29"/>
        <v>#REF!</v>
      </c>
      <c r="Y23" s="1788"/>
      <c r="Z23" s="1780">
        <f t="shared" ref="Z23:AF23" si="93">$J$23</f>
        <v>0</v>
      </c>
      <c r="AA23" s="1780">
        <f t="shared" si="93"/>
        <v>0</v>
      </c>
      <c r="AB23" s="1780">
        <f t="shared" si="93"/>
        <v>0</v>
      </c>
      <c r="AC23" s="1780">
        <f t="shared" si="93"/>
        <v>0</v>
      </c>
      <c r="AD23" s="1780">
        <f t="shared" si="93"/>
        <v>0</v>
      </c>
      <c r="AE23" s="4621"/>
      <c r="AF23" s="1780">
        <f t="shared" si="93"/>
        <v>0</v>
      </c>
      <c r="AG23" s="1791"/>
      <c r="AH23" s="1912">
        <f>SUM(Z23:AF23)</f>
        <v>0</v>
      </c>
      <c r="AI23" s="1780" t="e">
        <f>(#REF!*K23)*30%</f>
        <v>#REF!</v>
      </c>
      <c r="AJ23" s="1913" t="e">
        <f t="shared" si="32"/>
        <v>#REF!</v>
      </c>
      <c r="AK23" s="1788"/>
      <c r="AL23" s="1780">
        <f t="shared" ref="AL23:AR23" si="94">$J$23</f>
        <v>0</v>
      </c>
      <c r="AM23" s="1780">
        <f t="shared" si="94"/>
        <v>0</v>
      </c>
      <c r="AN23" s="1780">
        <f t="shared" si="94"/>
        <v>0</v>
      </c>
      <c r="AO23" s="1780">
        <f t="shared" si="94"/>
        <v>0</v>
      </c>
      <c r="AP23" s="1780">
        <f t="shared" si="94"/>
        <v>0</v>
      </c>
      <c r="AQ23" s="4618"/>
      <c r="AR23" s="1780">
        <f t="shared" si="94"/>
        <v>0</v>
      </c>
      <c r="AS23" s="2290"/>
      <c r="AT23" s="1912">
        <f t="shared" si="34"/>
        <v>0</v>
      </c>
      <c r="AU23" s="1780" t="e">
        <f>(#REF!*K23)*30%</f>
        <v>#REF!</v>
      </c>
      <c r="AV23" s="1913" t="e">
        <f t="shared" si="72"/>
        <v>#REF!</v>
      </c>
      <c r="AW23" s="2290"/>
      <c r="AX23" s="1780">
        <f t="shared" ref="AX23:BD23" si="95">$J$23</f>
        <v>0</v>
      </c>
      <c r="AY23" s="1780">
        <f t="shared" si="95"/>
        <v>0</v>
      </c>
      <c r="AZ23" s="1780">
        <f t="shared" si="95"/>
        <v>0</v>
      </c>
      <c r="BA23" s="1780">
        <f t="shared" si="95"/>
        <v>0</v>
      </c>
      <c r="BB23" s="1780">
        <f t="shared" si="95"/>
        <v>0</v>
      </c>
      <c r="BC23" s="4621"/>
      <c r="BD23" s="1780">
        <f t="shared" si="95"/>
        <v>0</v>
      </c>
      <c r="BE23" s="2290"/>
      <c r="BF23" s="1912">
        <f t="shared" si="22"/>
        <v>0</v>
      </c>
      <c r="BG23" s="1780" t="e">
        <f>(#REF!*K23)*30%</f>
        <v>#REF!</v>
      </c>
      <c r="BH23" s="1913" t="e">
        <f t="shared" si="74"/>
        <v>#REF!</v>
      </c>
      <c r="BI23" s="1801"/>
      <c r="BJ23" s="1933">
        <f t="shared" ref="BJ23:BK23" si="96">$J$23</f>
        <v>0</v>
      </c>
      <c r="BK23" s="1933">
        <f t="shared" si="96"/>
        <v>0</v>
      </c>
      <c r="BL23" s="1801"/>
      <c r="BM23" s="1912">
        <f t="shared" si="68"/>
        <v>0</v>
      </c>
      <c r="BN23" s="1780" t="e">
        <f>(#REF!*K23)*30%</f>
        <v>#REF!</v>
      </c>
      <c r="BO23" s="1913" t="e">
        <f t="shared" si="76"/>
        <v>#REF!</v>
      </c>
      <c r="BQ23" s="1750">
        <v>0</v>
      </c>
      <c r="BR23" s="1871" t="e">
        <f t="shared" si="24"/>
        <v>#DIV/0!</v>
      </c>
      <c r="BS23" s="1795"/>
      <c r="BT23" s="1935">
        <f t="shared" si="25"/>
        <v>0</v>
      </c>
      <c r="BU23" s="1930" t="e">
        <f t="shared" si="26"/>
        <v>#DIV/0!</v>
      </c>
      <c r="BV23" s="1802"/>
      <c r="BW23" s="1783"/>
      <c r="BY23" s="1860"/>
      <c r="BZ23" s="1916"/>
      <c r="CA23" s="1923"/>
      <c r="CB23" s="1923"/>
      <c r="CC23" s="1923"/>
      <c r="CD23" s="1923"/>
      <c r="CE23" s="1923"/>
      <c r="CF23" s="1923"/>
      <c r="CG23" s="1923"/>
    </row>
    <row r="24" spans="1:86" s="1756" customFormat="1" ht="17.25" hidden="1" thickBot="1" x14ac:dyDescent="0.25">
      <c r="B24" s="1857">
        <v>12</v>
      </c>
      <c r="C24" s="1857" t="s">
        <v>221</v>
      </c>
      <c r="D24" s="1727"/>
      <c r="E24" s="1759">
        <v>0</v>
      </c>
      <c r="F24" s="1759">
        <f>E24/10</f>
        <v>0</v>
      </c>
      <c r="G24" s="1759">
        <f>E24/15</f>
        <v>0</v>
      </c>
      <c r="H24" s="1759">
        <f>E24/20</f>
        <v>0</v>
      </c>
      <c r="I24" s="1759">
        <f>E24/25</f>
        <v>0</v>
      </c>
      <c r="J24" s="1759">
        <f t="shared" si="17"/>
        <v>0</v>
      </c>
      <c r="K24" s="1875">
        <f t="shared" si="40"/>
        <v>0</v>
      </c>
      <c r="L24" s="1931"/>
      <c r="M24" s="1924"/>
      <c r="N24" s="1759">
        <f>$J$24</f>
        <v>0</v>
      </c>
      <c r="O24" s="1759">
        <f t="shared" ref="O24:T24" si="97">$J$24</f>
        <v>0</v>
      </c>
      <c r="P24" s="1759">
        <f t="shared" si="97"/>
        <v>0</v>
      </c>
      <c r="Q24" s="1759">
        <f t="shared" si="97"/>
        <v>0</v>
      </c>
      <c r="R24" s="1759">
        <f t="shared" si="97"/>
        <v>0</v>
      </c>
      <c r="S24" s="4619"/>
      <c r="T24" s="1759">
        <f t="shared" si="97"/>
        <v>0</v>
      </c>
      <c r="U24" s="1814"/>
      <c r="V24" s="1936">
        <f t="shared" si="28"/>
        <v>0</v>
      </c>
      <c r="W24" s="1937" t="e">
        <f>(#REF!*K24)*30%</f>
        <v>#REF!</v>
      </c>
      <c r="X24" s="1938" t="e">
        <f>W24-V24</f>
        <v>#REF!</v>
      </c>
      <c r="Y24" s="1764"/>
      <c r="Z24" s="1759">
        <f t="shared" ref="Z24:AF24" si="98">$J$24</f>
        <v>0</v>
      </c>
      <c r="AA24" s="1759">
        <f t="shared" si="98"/>
        <v>0</v>
      </c>
      <c r="AB24" s="1759">
        <f t="shared" si="98"/>
        <v>0</v>
      </c>
      <c r="AC24" s="1759">
        <f t="shared" si="98"/>
        <v>0</v>
      </c>
      <c r="AD24" s="1759">
        <f t="shared" si="98"/>
        <v>0</v>
      </c>
      <c r="AE24" s="4622"/>
      <c r="AF24" s="1759">
        <f t="shared" si="98"/>
        <v>0</v>
      </c>
      <c r="AG24" s="1766"/>
      <c r="AH24" s="1936">
        <f t="shared" si="31"/>
        <v>0</v>
      </c>
      <c r="AI24" s="1937" t="e">
        <f>(#REF!*K24)*30%</f>
        <v>#REF!</v>
      </c>
      <c r="AJ24" s="1938" t="e">
        <f t="shared" si="32"/>
        <v>#REF!</v>
      </c>
      <c r="AK24" s="1764"/>
      <c r="AL24" s="1759">
        <f t="shared" ref="AL24:AR24" si="99">$J$24</f>
        <v>0</v>
      </c>
      <c r="AM24" s="1759">
        <f t="shared" si="99"/>
        <v>0</v>
      </c>
      <c r="AN24" s="1759">
        <f t="shared" si="99"/>
        <v>0</v>
      </c>
      <c r="AO24" s="1759">
        <f t="shared" si="99"/>
        <v>0</v>
      </c>
      <c r="AP24" s="1759">
        <f t="shared" si="99"/>
        <v>0</v>
      </c>
      <c r="AQ24" s="4619"/>
      <c r="AR24" s="1759">
        <f t="shared" si="99"/>
        <v>0</v>
      </c>
      <c r="AS24" s="2289"/>
      <c r="AT24" s="1936">
        <f t="shared" si="34"/>
        <v>0</v>
      </c>
      <c r="AU24" s="1937" t="e">
        <f>(#REF!*K24)*30%</f>
        <v>#REF!</v>
      </c>
      <c r="AV24" s="1938" t="e">
        <f t="shared" si="72"/>
        <v>#REF!</v>
      </c>
      <c r="AW24" s="2289"/>
      <c r="AX24" s="1759">
        <f t="shared" ref="AX24:BD24" si="100">$J$24</f>
        <v>0</v>
      </c>
      <c r="AY24" s="1759">
        <f t="shared" si="100"/>
        <v>0</v>
      </c>
      <c r="AZ24" s="1759">
        <f t="shared" si="100"/>
        <v>0</v>
      </c>
      <c r="BA24" s="1759">
        <f t="shared" si="100"/>
        <v>0</v>
      </c>
      <c r="BB24" s="1759">
        <f t="shared" si="100"/>
        <v>0</v>
      </c>
      <c r="BC24" s="4622"/>
      <c r="BD24" s="1759">
        <f t="shared" si="100"/>
        <v>0</v>
      </c>
      <c r="BE24" s="2289"/>
      <c r="BF24" s="1936">
        <f t="shared" si="22"/>
        <v>0</v>
      </c>
      <c r="BG24" s="1937" t="e">
        <f>(#REF!*K24)*30%</f>
        <v>#REF!</v>
      </c>
      <c r="BH24" s="1938" t="e">
        <f t="shared" si="74"/>
        <v>#REF!</v>
      </c>
      <c r="BI24" s="1814"/>
      <c r="BJ24" s="1759">
        <f t="shared" ref="BJ24:BK24" si="101">$J$24</f>
        <v>0</v>
      </c>
      <c r="BK24" s="1759">
        <f t="shared" si="101"/>
        <v>0</v>
      </c>
      <c r="BL24" s="1814"/>
      <c r="BM24" s="1936">
        <f t="shared" si="68"/>
        <v>0</v>
      </c>
      <c r="BN24" s="1937" t="e">
        <f>(#REF!*K24)*30%</f>
        <v>#REF!</v>
      </c>
      <c r="BO24" s="1938" t="e">
        <f t="shared" si="76"/>
        <v>#REF!</v>
      </c>
      <c r="BQ24" s="1735">
        <v>0</v>
      </c>
      <c r="BR24" s="1768" t="e">
        <f t="shared" si="24"/>
        <v>#DIV/0!</v>
      </c>
      <c r="BS24" s="2572"/>
      <c r="BT24" s="1939">
        <f t="shared" si="25"/>
        <v>0</v>
      </c>
      <c r="BU24" s="1940" t="e">
        <f t="shared" si="26"/>
        <v>#DIV/0!</v>
      </c>
      <c r="BV24" s="1830"/>
      <c r="BW24" s="1761"/>
      <c r="BY24" s="1941"/>
      <c r="BZ24" s="1860"/>
      <c r="CA24" s="1860"/>
      <c r="CB24" s="1860"/>
      <c r="CC24" s="1860"/>
      <c r="CD24" s="1860"/>
      <c r="CE24" s="1860"/>
      <c r="CF24" s="1860"/>
      <c r="CG24" s="1860"/>
    </row>
    <row r="25" spans="1:86" s="1810" customFormat="1" ht="4.5" hidden="1" customHeight="1" thickBot="1" x14ac:dyDescent="0.25">
      <c r="B25" s="1942"/>
      <c r="C25" s="1943"/>
      <c r="E25" s="1944"/>
      <c r="F25" s="1944"/>
      <c r="G25" s="1944"/>
      <c r="H25" s="1944"/>
      <c r="I25" s="1944"/>
      <c r="J25" s="1944"/>
      <c r="K25" s="1945"/>
      <c r="L25" s="1931"/>
      <c r="M25" s="1924"/>
      <c r="N25" s="1944"/>
      <c r="O25" s="1944"/>
      <c r="P25" s="1944"/>
      <c r="Q25" s="1944"/>
      <c r="R25" s="1944"/>
      <c r="S25" s="1944"/>
      <c r="T25" s="1944"/>
      <c r="U25" s="1814"/>
      <c r="V25" s="1814"/>
      <c r="W25" s="1814"/>
      <c r="X25" s="1814"/>
      <c r="Y25" s="1766"/>
      <c r="Z25" s="1944"/>
      <c r="AA25" s="1944"/>
      <c r="AB25" s="1944"/>
      <c r="AC25" s="1944"/>
      <c r="AD25" s="1944"/>
      <c r="AE25" s="1944"/>
      <c r="AF25" s="1944"/>
      <c r="AG25" s="1766"/>
      <c r="AH25" s="1814"/>
      <c r="AI25" s="1814"/>
      <c r="AJ25" s="1814"/>
      <c r="AK25" s="1766"/>
      <c r="AL25" s="1944"/>
      <c r="AM25" s="1944"/>
      <c r="AN25" s="1944"/>
      <c r="AO25" s="1944"/>
      <c r="AP25" s="1944"/>
      <c r="AQ25" s="1944"/>
      <c r="AR25" s="1944"/>
      <c r="AS25" s="1814"/>
      <c r="AT25" s="1814"/>
      <c r="AU25" s="1814"/>
      <c r="AV25" s="1814"/>
      <c r="AW25" s="1814"/>
      <c r="AX25" s="1944"/>
      <c r="AY25" s="1944"/>
      <c r="AZ25" s="1944"/>
      <c r="BA25" s="1944"/>
      <c r="BB25" s="1944"/>
      <c r="BC25" s="1944"/>
      <c r="BD25" s="1944"/>
      <c r="BE25" s="1814"/>
      <c r="BF25" s="1814"/>
      <c r="BG25" s="1814"/>
      <c r="BH25" s="1814"/>
      <c r="BI25" s="1814"/>
      <c r="BJ25" s="1944"/>
      <c r="BK25" s="1944"/>
      <c r="BL25" s="1814"/>
      <c r="BM25" s="1814"/>
      <c r="BN25" s="1814"/>
      <c r="BO25" s="1814"/>
      <c r="BQ25" s="1814"/>
      <c r="BR25" s="1830"/>
      <c r="BS25" s="1817"/>
      <c r="BT25" s="1814"/>
      <c r="BU25" s="1830"/>
      <c r="BV25" s="1830"/>
      <c r="BW25" s="1761"/>
      <c r="BY25" s="1941"/>
      <c r="BZ25" s="1946"/>
      <c r="CA25" s="1946"/>
      <c r="CB25" s="1860"/>
      <c r="CC25" s="1860"/>
      <c r="CD25" s="1860"/>
      <c r="CE25" s="1860"/>
      <c r="CF25" s="1860"/>
      <c r="CG25" s="1860"/>
    </row>
    <row r="26" spans="1:86" s="1947" customFormat="1" ht="17.25" hidden="1" thickBot="1" x14ac:dyDescent="0.25">
      <c r="B26" s="1887"/>
      <c r="C26" s="2384">
        <f>E26*100/30</f>
        <v>2511</v>
      </c>
      <c r="D26" s="1888"/>
      <c r="E26" s="1889">
        <f>SUM(E13:E24)</f>
        <v>753.3</v>
      </c>
      <c r="F26" s="1889">
        <f t="shared" ref="F26:K26" si="102">SUM(F13:F24)</f>
        <v>75.33</v>
      </c>
      <c r="G26" s="1889">
        <f t="shared" si="102"/>
        <v>50.220000000000006</v>
      </c>
      <c r="H26" s="1889">
        <f t="shared" si="102"/>
        <v>37.664999999999999</v>
      </c>
      <c r="I26" s="1889">
        <f t="shared" si="102"/>
        <v>30.132000000000001</v>
      </c>
      <c r="J26" s="1889">
        <f t="shared" si="102"/>
        <v>28.973076923076924</v>
      </c>
      <c r="K26" s="1948">
        <f t="shared" si="102"/>
        <v>1.0000000000000002</v>
      </c>
      <c r="L26" s="1949"/>
      <c r="M26" s="1950"/>
      <c r="N26" s="1889">
        <f>SUM(N13:N24)</f>
        <v>28.973076923076924</v>
      </c>
      <c r="O26" s="1889">
        <f t="shared" ref="O26:P26" si="103">SUM(O13:O24)</f>
        <v>28.973076923076924</v>
      </c>
      <c r="P26" s="1889">
        <f t="shared" si="103"/>
        <v>28.973076923076924</v>
      </c>
      <c r="Q26" s="1889">
        <f t="shared" ref="Q26:T26" si="104">SUM(Q13:Q24)</f>
        <v>28.973076923076924</v>
      </c>
      <c r="R26" s="1889">
        <f t="shared" si="104"/>
        <v>28.973076923076924</v>
      </c>
      <c r="S26" s="1889">
        <f t="shared" ref="S26" si="105">SUM(S13:S24)</f>
        <v>0</v>
      </c>
      <c r="T26" s="1889">
        <f t="shared" si="104"/>
        <v>28.973076923076924</v>
      </c>
      <c r="U26" s="1951"/>
      <c r="V26" s="1952">
        <f>SUM(V13:V24)</f>
        <v>173.83846153846156</v>
      </c>
      <c r="W26" s="1953" t="e">
        <f>SUM(W13:W24)</f>
        <v>#REF!</v>
      </c>
      <c r="X26" s="1954" t="e">
        <f t="shared" ref="X26" si="106">SUM(X13:X24)</f>
        <v>#REF!</v>
      </c>
      <c r="Y26" s="1955"/>
      <c r="Z26" s="1889">
        <f t="shared" ref="Z26:AF26" si="107">SUM(Z13:Z24)</f>
        <v>28.973076923076924</v>
      </c>
      <c r="AA26" s="1889">
        <f t="shared" si="107"/>
        <v>28.973076923076924</v>
      </c>
      <c r="AB26" s="1889">
        <f t="shared" si="107"/>
        <v>28.973076923076924</v>
      </c>
      <c r="AC26" s="1889">
        <f t="shared" si="107"/>
        <v>28.973076923076924</v>
      </c>
      <c r="AD26" s="1889">
        <f t="shared" si="107"/>
        <v>28.973076923076924</v>
      </c>
      <c r="AE26" s="1889">
        <f t="shared" si="107"/>
        <v>0</v>
      </c>
      <c r="AF26" s="1889">
        <f t="shared" si="107"/>
        <v>28.973076923076924</v>
      </c>
      <c r="AG26" s="1955"/>
      <c r="AH26" s="1952">
        <f>SUM(AH13:AH24)</f>
        <v>173.83846153846156</v>
      </c>
      <c r="AI26" s="1953" t="e">
        <f>SUM(AI13:AI24)</f>
        <v>#REF!</v>
      </c>
      <c r="AJ26" s="1954" t="e">
        <f>SUM(AJ13:AJ24)</f>
        <v>#REF!</v>
      </c>
      <c r="AK26" s="1955"/>
      <c r="AL26" s="1889">
        <f t="shared" ref="AL26:AM26" si="108">SUM(AL13:AL24)</f>
        <v>28.973076923076924</v>
      </c>
      <c r="AM26" s="1889">
        <f t="shared" si="108"/>
        <v>28.973076923076924</v>
      </c>
      <c r="AN26" s="1889">
        <f t="shared" ref="AN26:AO26" si="109">SUM(AN13:AN24)</f>
        <v>28.973076923076924</v>
      </c>
      <c r="AO26" s="1889">
        <f t="shared" si="109"/>
        <v>28.973076923076924</v>
      </c>
      <c r="AP26" s="1889">
        <f t="shared" ref="AP26:AR26" si="110">SUM(AP13:AP24)</f>
        <v>28.973076923076924</v>
      </c>
      <c r="AQ26" s="1889">
        <f t="shared" ref="AQ26" si="111">SUM(AQ13:AQ24)</f>
        <v>0</v>
      </c>
      <c r="AR26" s="1889">
        <f t="shared" si="110"/>
        <v>28.973076923076924</v>
      </c>
      <c r="AS26" s="2299"/>
      <c r="AT26" s="1952">
        <f>SUM(AT13:AT24)</f>
        <v>173.83846153846156</v>
      </c>
      <c r="AU26" s="1953" t="e">
        <f>SUM(AU13:AU24)</f>
        <v>#REF!</v>
      </c>
      <c r="AV26" s="1954" t="e">
        <f>SUM(AV13:AV24)</f>
        <v>#REF!</v>
      </c>
      <c r="AW26" s="2299"/>
      <c r="AX26" s="1889">
        <f t="shared" ref="AX26" si="112">SUM(AX13:AX24)</f>
        <v>28.973076923076924</v>
      </c>
      <c r="AY26" s="1889">
        <f t="shared" ref="AY26:AZ26" si="113">SUM(AY13:AY24)</f>
        <v>28.973076923076924</v>
      </c>
      <c r="AZ26" s="1889">
        <f t="shared" si="113"/>
        <v>28.973076923076924</v>
      </c>
      <c r="BA26" s="1889">
        <f t="shared" ref="BA26:BB26" si="114">SUM(BA13:BA24)</f>
        <v>28.973076923076924</v>
      </c>
      <c r="BB26" s="1889">
        <f t="shared" si="114"/>
        <v>28.973076923076924</v>
      </c>
      <c r="BC26" s="1889">
        <f t="shared" ref="BC26:BD26" si="115">SUM(BC13:BC24)</f>
        <v>0</v>
      </c>
      <c r="BD26" s="1889">
        <f t="shared" si="115"/>
        <v>28.973076923076924</v>
      </c>
      <c r="BE26" s="2299"/>
      <c r="BF26" s="1952">
        <f>SUM(BF13:BF24)</f>
        <v>173.83846153846156</v>
      </c>
      <c r="BG26" s="1953" t="e">
        <f>SUM(BG13:BG24)</f>
        <v>#REF!</v>
      </c>
      <c r="BH26" s="1954" t="e">
        <f>SUM(BH13:BH24)</f>
        <v>#REF!</v>
      </c>
      <c r="BI26" s="1951"/>
      <c r="BJ26" s="1889">
        <f t="shared" ref="BJ26:BK26" si="116">SUM(BJ13:BJ24)</f>
        <v>28.973076923076924</v>
      </c>
      <c r="BK26" s="1889">
        <f t="shared" si="116"/>
        <v>28.973076923076924</v>
      </c>
      <c r="BL26" s="1951"/>
      <c r="BM26" s="1952">
        <f>SUM(BM13:BM24)</f>
        <v>57.946153846153848</v>
      </c>
      <c r="BN26" s="1953" t="e">
        <f>SUM(BN13:BN24)</f>
        <v>#REF!</v>
      </c>
      <c r="BO26" s="1954" t="e">
        <f>SUM(BO13:BO24)</f>
        <v>#REF!</v>
      </c>
      <c r="BQ26" s="1957">
        <f>SUM(BQ13:BQ24)</f>
        <v>0</v>
      </c>
      <c r="BR26" s="1958">
        <f>BQ26/E26</f>
        <v>0</v>
      </c>
      <c r="BS26" s="1959"/>
      <c r="BT26" s="1957">
        <f>SUM(BT13:BT24)</f>
        <v>753.3</v>
      </c>
      <c r="BU26" s="1958">
        <f>BT26/E26</f>
        <v>1</v>
      </c>
      <c r="BV26" s="1962"/>
      <c r="BW26" s="1905"/>
      <c r="BY26" s="1916"/>
      <c r="BZ26" s="1860"/>
      <c r="CA26" s="1860"/>
      <c r="CB26" s="1946"/>
      <c r="CC26" s="1946"/>
      <c r="CD26" s="1946"/>
      <c r="CE26" s="1946"/>
      <c r="CF26" s="1946"/>
      <c r="CG26" s="1946"/>
    </row>
    <row r="27" spans="1:86" s="1906" customFormat="1" ht="4.5" customHeight="1" x14ac:dyDescent="0.2">
      <c r="B27" s="1960"/>
      <c r="C27" s="1961"/>
      <c r="E27" s="1951"/>
      <c r="F27" s="1951"/>
      <c r="G27" s="1951"/>
      <c r="H27" s="1951"/>
      <c r="I27" s="1951"/>
      <c r="J27" s="1951"/>
      <c r="K27" s="1962"/>
      <c r="L27" s="1905"/>
      <c r="M27" s="1950"/>
      <c r="N27" s="1951"/>
      <c r="O27" s="1951"/>
      <c r="P27" s="1951"/>
      <c r="Q27" s="1951"/>
      <c r="R27" s="1951"/>
      <c r="S27" s="1951"/>
      <c r="T27" s="1951"/>
      <c r="U27" s="1951"/>
      <c r="V27" s="1951"/>
      <c r="W27" s="1951"/>
      <c r="X27" s="1951"/>
      <c r="Y27" s="1956"/>
      <c r="Z27" s="1951"/>
      <c r="AA27" s="1951"/>
      <c r="AB27" s="1951"/>
      <c r="AC27" s="1951"/>
      <c r="AD27" s="1951"/>
      <c r="AE27" s="1951"/>
      <c r="AF27" s="1951"/>
      <c r="AG27" s="1956"/>
      <c r="AH27" s="1951"/>
      <c r="AI27" s="1951"/>
      <c r="AJ27" s="1951"/>
      <c r="AK27" s="1956"/>
      <c r="AL27" s="1951"/>
      <c r="AM27" s="1951"/>
      <c r="AN27" s="1951"/>
      <c r="AO27" s="1951"/>
      <c r="AP27" s="1951"/>
      <c r="AQ27" s="1951"/>
      <c r="AR27" s="1951"/>
      <c r="AS27" s="1951"/>
      <c r="AT27" s="1951"/>
      <c r="AU27" s="1951"/>
      <c r="AV27" s="1951"/>
      <c r="AW27" s="1951"/>
      <c r="AX27" s="1951"/>
      <c r="AY27" s="1951"/>
      <c r="AZ27" s="1951"/>
      <c r="BA27" s="1951"/>
      <c r="BB27" s="1951"/>
      <c r="BC27" s="1951"/>
      <c r="BD27" s="1951"/>
      <c r="BE27" s="1951"/>
      <c r="BF27" s="1951"/>
      <c r="BG27" s="1951"/>
      <c r="BH27" s="1951"/>
      <c r="BI27" s="1951"/>
      <c r="BJ27" s="1951"/>
      <c r="BK27" s="1951"/>
      <c r="BL27" s="1951"/>
      <c r="BM27" s="1951"/>
      <c r="BN27" s="1951"/>
      <c r="BO27" s="1951"/>
      <c r="BQ27" s="1951"/>
      <c r="BR27" s="1962"/>
      <c r="BS27" s="1960"/>
      <c r="BT27" s="1951"/>
      <c r="BU27" s="1962"/>
      <c r="BV27" s="1962"/>
      <c r="BW27" s="1905"/>
      <c r="BY27" s="1916"/>
      <c r="BZ27" s="1860"/>
      <c r="CA27" s="1860"/>
      <c r="CB27" s="1946"/>
      <c r="CC27" s="1946"/>
      <c r="CD27" s="1946"/>
      <c r="CE27" s="1946"/>
      <c r="CF27" s="1946"/>
      <c r="CG27" s="1946"/>
    </row>
    <row r="28" spans="1:86" s="1810" customFormat="1" ht="21" thickBot="1" x14ac:dyDescent="0.25">
      <c r="B28" s="1963"/>
      <c r="C28" s="1964" t="s">
        <v>188</v>
      </c>
      <c r="D28" s="2578"/>
      <c r="E28" s="1728"/>
      <c r="F28" s="1728"/>
      <c r="G28" s="1728"/>
      <c r="H28" s="1728"/>
      <c r="I28" s="1728"/>
      <c r="J28" s="1728">
        <f>J47*100/30</f>
        <v>378.50370370370371</v>
      </c>
      <c r="K28" s="2383">
        <f>J28*4</f>
        <v>1514.0148148148148</v>
      </c>
      <c r="L28" s="1924"/>
      <c r="M28" s="1966"/>
      <c r="N28" s="4589"/>
      <c r="O28" s="4589"/>
      <c r="P28" s="4589"/>
      <c r="Q28" s="4589"/>
      <c r="R28" s="4589"/>
      <c r="S28" s="4589"/>
      <c r="T28" s="4589"/>
      <c r="U28" s="1814"/>
      <c r="V28" s="4588"/>
      <c r="W28" s="4588"/>
      <c r="X28" s="4588"/>
      <c r="Y28" s="1766"/>
      <c r="Z28" s="2266"/>
      <c r="AA28" s="2266"/>
      <c r="AB28" s="2266"/>
      <c r="AC28" s="2266"/>
      <c r="AD28" s="2266"/>
      <c r="AE28" s="2266"/>
      <c r="AF28" s="2266"/>
      <c r="AG28" s="1766"/>
      <c r="AH28" s="4588"/>
      <c r="AI28" s="4588"/>
      <c r="AJ28" s="4588"/>
      <c r="AK28" s="1766"/>
      <c r="AL28" s="2266"/>
      <c r="AM28" s="2266"/>
      <c r="AN28" s="2266"/>
      <c r="AO28" s="2266"/>
      <c r="AP28" s="2266"/>
      <c r="AQ28" s="2266"/>
      <c r="AR28" s="2266"/>
      <c r="AS28" s="1814"/>
      <c r="AT28" s="4588"/>
      <c r="AU28" s="4588"/>
      <c r="AV28" s="4588"/>
      <c r="AW28" s="1814"/>
      <c r="AX28" s="2266"/>
      <c r="AY28" s="2266"/>
      <c r="AZ28" s="2266"/>
      <c r="BA28" s="2266"/>
      <c r="BB28" s="2266"/>
      <c r="BC28" s="2266"/>
      <c r="BD28" s="2266"/>
      <c r="BE28" s="1814"/>
      <c r="BF28" s="4588"/>
      <c r="BG28" s="4588"/>
      <c r="BH28" s="4588"/>
      <c r="BI28" s="1814"/>
      <c r="BJ28" s="2266"/>
      <c r="BK28" s="2266"/>
      <c r="BL28" s="1814"/>
      <c r="BM28" s="4588"/>
      <c r="BN28" s="4588"/>
      <c r="BO28" s="4588"/>
      <c r="BQ28" s="2571"/>
      <c r="BR28" s="1968"/>
      <c r="BS28" s="1817"/>
      <c r="BT28" s="1814"/>
      <c r="BU28" s="1830"/>
      <c r="BV28" s="1830"/>
      <c r="BW28" s="1761"/>
      <c r="BY28" s="1860"/>
      <c r="BZ28" s="2577"/>
      <c r="CA28" s="1860"/>
      <c r="CB28" s="1860"/>
      <c r="CC28" s="1860"/>
      <c r="CD28" s="1860"/>
      <c r="CE28" s="1860"/>
      <c r="CF28" s="1860"/>
      <c r="CG28" s="1860"/>
    </row>
    <row r="29" spans="1:86" x14ac:dyDescent="0.2">
      <c r="A29" s="1777"/>
      <c r="B29" s="1987">
        <v>13</v>
      </c>
      <c r="C29" s="1987" t="s">
        <v>197</v>
      </c>
      <c r="D29" s="1836"/>
      <c r="E29" s="1746">
        <v>1083.3333333333333</v>
      </c>
      <c r="F29" s="1746">
        <v>108.33333333333333</v>
      </c>
      <c r="G29" s="1746">
        <v>72.222222222222214</v>
      </c>
      <c r="H29" s="1746">
        <v>54.166666666666664</v>
      </c>
      <c r="I29" s="1746">
        <v>43.333333333333329</v>
      </c>
      <c r="J29" s="1746">
        <f t="shared" ref="J29:J45" si="117">E29/30</f>
        <v>36.111111111111107</v>
      </c>
      <c r="K29" s="2583">
        <f t="shared" ref="K29:K45" si="118">E29/$E$47</f>
        <v>0.31801636071861916</v>
      </c>
      <c r="L29" s="1909"/>
      <c r="M29" s="1910"/>
      <c r="N29" s="1746">
        <f>$J$29</f>
        <v>36.111111111111107</v>
      </c>
      <c r="O29" s="1746">
        <f t="shared" ref="O29:T29" si="119">$J$29</f>
        <v>36.111111111111107</v>
      </c>
      <c r="P29" s="1746">
        <f t="shared" si="119"/>
        <v>36.111111111111107</v>
      </c>
      <c r="Q29" s="1746">
        <f t="shared" si="119"/>
        <v>36.111111111111107</v>
      </c>
      <c r="R29" s="1746">
        <f t="shared" si="119"/>
        <v>36.111111111111107</v>
      </c>
      <c r="S29" s="1746">
        <f t="shared" si="119"/>
        <v>36.111111111111107</v>
      </c>
      <c r="T29" s="1746">
        <f t="shared" si="119"/>
        <v>36.111111111111107</v>
      </c>
      <c r="U29" s="2576"/>
      <c r="V29" s="1972">
        <f>SUM(N29:T29)</f>
        <v>252.77777777777777</v>
      </c>
      <c r="W29" s="1973">
        <f>($V$3*K29)*30%</f>
        <v>548.4482807546284</v>
      </c>
      <c r="X29" s="1974">
        <f>W29-V29</f>
        <v>295.67050297685063</v>
      </c>
      <c r="Y29" s="1914"/>
      <c r="Z29" s="1746">
        <f t="shared" ref="Z29:AF29" si="120">$J$29</f>
        <v>36.111111111111107</v>
      </c>
      <c r="AA29" s="1746">
        <f t="shared" si="120"/>
        <v>36.111111111111107</v>
      </c>
      <c r="AB29" s="1746">
        <f t="shared" si="120"/>
        <v>36.111111111111107</v>
      </c>
      <c r="AC29" s="1746">
        <f t="shared" si="120"/>
        <v>36.111111111111107</v>
      </c>
      <c r="AD29" s="1746">
        <f t="shared" si="120"/>
        <v>36.111111111111107</v>
      </c>
      <c r="AE29" s="1746">
        <f t="shared" si="120"/>
        <v>36.111111111111107</v>
      </c>
      <c r="AF29" s="1746">
        <f t="shared" si="120"/>
        <v>36.111111111111107</v>
      </c>
      <c r="AG29" s="1914"/>
      <c r="AH29" s="1972">
        <f>SUM(Z29:AF29)</f>
        <v>252.77777777777777</v>
      </c>
      <c r="AI29" s="1973">
        <f>($AH$3*K29)*30%</f>
        <v>442.7653063720694</v>
      </c>
      <c r="AJ29" s="1974">
        <f>AI29-AH29</f>
        <v>189.98752859429163</v>
      </c>
      <c r="AK29" s="1914"/>
      <c r="AL29" s="1990">
        <f t="shared" ref="AL29:AR29" si="121">$J$29</f>
        <v>36.111111111111107</v>
      </c>
      <c r="AM29" s="1990">
        <f t="shared" si="121"/>
        <v>36.111111111111107</v>
      </c>
      <c r="AN29" s="1990">
        <f t="shared" si="121"/>
        <v>36.111111111111107</v>
      </c>
      <c r="AO29" s="1990">
        <f t="shared" si="121"/>
        <v>36.111111111111107</v>
      </c>
      <c r="AP29" s="1990">
        <f t="shared" si="121"/>
        <v>36.111111111111107</v>
      </c>
      <c r="AQ29" s="1990">
        <f t="shared" si="121"/>
        <v>36.111111111111107</v>
      </c>
      <c r="AR29" s="1990">
        <f t="shared" si="121"/>
        <v>36.111111111111107</v>
      </c>
      <c r="AS29" s="2297"/>
      <c r="AT29" s="1972">
        <f>SUM(AL29:AR29)</f>
        <v>252.77777777777777</v>
      </c>
      <c r="AU29" s="1973">
        <f>($AT$3*K29)*30%</f>
        <v>497.14906160710797</v>
      </c>
      <c r="AV29" s="1974">
        <f>AU29-AT29</f>
        <v>244.3712838293302</v>
      </c>
      <c r="AW29" s="2297"/>
      <c r="AX29" s="1990">
        <f t="shared" ref="AX29:BD29" si="122">$J$29</f>
        <v>36.111111111111107</v>
      </c>
      <c r="AY29" s="1990">
        <f t="shared" si="122"/>
        <v>36.111111111111107</v>
      </c>
      <c r="AZ29" s="1990">
        <f t="shared" si="122"/>
        <v>36.111111111111107</v>
      </c>
      <c r="BA29" s="1990">
        <f t="shared" si="122"/>
        <v>36.111111111111107</v>
      </c>
      <c r="BB29" s="1990">
        <f t="shared" si="122"/>
        <v>36.111111111111107</v>
      </c>
      <c r="BC29" s="1990">
        <f t="shared" si="122"/>
        <v>36.111111111111107</v>
      </c>
      <c r="BD29" s="1990">
        <f t="shared" si="122"/>
        <v>36.111111111111107</v>
      </c>
      <c r="BE29" s="2297"/>
      <c r="BF29" s="1972">
        <f>SUM(AX29:BD29)</f>
        <v>252.77777777777777</v>
      </c>
      <c r="BG29" s="1973">
        <f>($BF$3*K29)*30%</f>
        <v>551.86940535833105</v>
      </c>
      <c r="BH29" s="1974">
        <f>BG29-BF29</f>
        <v>299.09162758055328</v>
      </c>
      <c r="BI29" s="2576"/>
      <c r="BJ29" s="1746">
        <f t="shared" ref="BJ29:BK29" si="123">$J$29</f>
        <v>36.111111111111107</v>
      </c>
      <c r="BK29" s="1746">
        <f t="shared" si="123"/>
        <v>36.111111111111107</v>
      </c>
      <c r="BL29" s="2576"/>
      <c r="BM29" s="1972">
        <f t="shared" ref="BM29:BM45" si="124">SUM(BJ29:BK29)</f>
        <v>72.222222222222214</v>
      </c>
      <c r="BN29" s="1973">
        <f t="shared" ref="BN29:BN45" si="125">($BM$3*K29)*30%</f>
        <v>162.35997739637563</v>
      </c>
      <c r="BO29" s="1974">
        <f>BN29-BM29</f>
        <v>90.137755174153412</v>
      </c>
      <c r="BQ29" s="1747">
        <v>0</v>
      </c>
      <c r="BR29" s="1752">
        <f t="shared" ref="BR29:BR45" si="126">BQ29/E29</f>
        <v>0</v>
      </c>
      <c r="BS29" s="1754"/>
      <c r="BT29" s="1975">
        <f t="shared" ref="BT29:BT44" si="127">SUM(N29:T29)+SUM(Z29:AF29)+SUM(AL29:AR29)+SUM(AX29:BD29)+SUM(BJ29:BK29)</f>
        <v>1083.3333333333333</v>
      </c>
      <c r="BU29" s="1976">
        <f t="shared" ref="BU29:BU45" si="128">BT29/E29</f>
        <v>1</v>
      </c>
      <c r="BV29" s="1993"/>
      <c r="BW29" s="1977"/>
      <c r="BY29" s="1923"/>
      <c r="BZ29" s="1978"/>
      <c r="CA29" s="1979"/>
      <c r="CB29" s="1980"/>
      <c r="CC29" s="1980"/>
      <c r="CD29" s="1980"/>
      <c r="CE29" s="1980"/>
      <c r="CF29" s="1980"/>
      <c r="CG29" s="1980"/>
      <c r="CH29" s="1981"/>
    </row>
    <row r="30" spans="1:86" s="1726" customFormat="1" x14ac:dyDescent="0.2">
      <c r="B30" s="1963">
        <v>14</v>
      </c>
      <c r="C30" s="1963" t="s">
        <v>214</v>
      </c>
      <c r="D30" s="2578"/>
      <c r="E30" s="1728">
        <v>753</v>
      </c>
      <c r="F30" s="1728">
        <v>75.3</v>
      </c>
      <c r="G30" s="1728">
        <v>50.2</v>
      </c>
      <c r="H30" s="1728">
        <v>37.65</v>
      </c>
      <c r="I30" s="1728">
        <v>30.12</v>
      </c>
      <c r="J30" s="1728">
        <f t="shared" si="117"/>
        <v>25.1</v>
      </c>
      <c r="K30" s="1729">
        <f t="shared" si="118"/>
        <v>0.22104583349641868</v>
      </c>
      <c r="L30" s="1876"/>
      <c r="M30" s="1877"/>
      <c r="N30" s="1728">
        <f>$J$30</f>
        <v>25.1</v>
      </c>
      <c r="O30" s="1728">
        <f t="shared" ref="O30:T30" si="129">$J$30</f>
        <v>25.1</v>
      </c>
      <c r="P30" s="1728">
        <f t="shared" si="129"/>
        <v>25.1</v>
      </c>
      <c r="Q30" s="1728">
        <f t="shared" si="129"/>
        <v>25.1</v>
      </c>
      <c r="R30" s="1728">
        <f t="shared" si="129"/>
        <v>25.1</v>
      </c>
      <c r="S30" s="1728">
        <f t="shared" si="129"/>
        <v>25.1</v>
      </c>
      <c r="T30" s="1728">
        <f t="shared" si="129"/>
        <v>25.1</v>
      </c>
      <c r="U30" s="2575"/>
      <c r="V30" s="1982">
        <f>SUM(N30:T30)</f>
        <v>175.7</v>
      </c>
      <c r="W30" s="2268">
        <f t="shared" ref="W30:W44" si="130">($V$3*K30)*30%</f>
        <v>381.21374345375563</v>
      </c>
      <c r="X30" s="1984">
        <f>W30-V30</f>
        <v>205.51374345375564</v>
      </c>
      <c r="Y30" s="1881"/>
      <c r="Z30" s="1728">
        <f t="shared" ref="Z30:AF30" si="131">$J$30</f>
        <v>25.1</v>
      </c>
      <c r="AA30" s="1728">
        <f t="shared" si="131"/>
        <v>25.1</v>
      </c>
      <c r="AB30" s="1728">
        <f t="shared" si="131"/>
        <v>25.1</v>
      </c>
      <c r="AC30" s="1728">
        <f t="shared" si="131"/>
        <v>25.1</v>
      </c>
      <c r="AD30" s="1728">
        <f t="shared" si="131"/>
        <v>25.1</v>
      </c>
      <c r="AE30" s="1728">
        <f t="shared" si="131"/>
        <v>25.1</v>
      </c>
      <c r="AF30" s="1728">
        <f t="shared" si="131"/>
        <v>25.1</v>
      </c>
      <c r="AG30" s="1881"/>
      <c r="AH30" s="1982">
        <f>SUM(Z30:AF30)</f>
        <v>175.7</v>
      </c>
      <c r="AI30" s="2268">
        <f t="shared" ref="AI30:AI45" si="132">($AH$3*K30)*30%</f>
        <v>307.7559467983092</v>
      </c>
      <c r="AJ30" s="1984">
        <f>AI30-AH30</f>
        <v>132.05594679830921</v>
      </c>
      <c r="AK30" s="1881"/>
      <c r="AL30" s="2268">
        <f t="shared" ref="AL30:AR30" si="133">$J$30</f>
        <v>25.1</v>
      </c>
      <c r="AM30" s="2268">
        <f t="shared" si="133"/>
        <v>25.1</v>
      </c>
      <c r="AN30" s="2268">
        <f t="shared" si="133"/>
        <v>25.1</v>
      </c>
      <c r="AO30" s="2268">
        <f t="shared" si="133"/>
        <v>25.1</v>
      </c>
      <c r="AP30" s="2268">
        <f t="shared" si="133"/>
        <v>25.1</v>
      </c>
      <c r="AQ30" s="2268">
        <f t="shared" si="133"/>
        <v>25.1</v>
      </c>
      <c r="AR30" s="2268">
        <f t="shared" si="133"/>
        <v>25.1</v>
      </c>
      <c r="AS30" s="2293"/>
      <c r="AT30" s="1982">
        <f>SUM(AL30:AR30)</f>
        <v>175.7</v>
      </c>
      <c r="AU30" s="2268">
        <f t="shared" ref="AU30:AU45" si="134">($AT$3*K30)*30%</f>
        <v>345.55684005244831</v>
      </c>
      <c r="AV30" s="1984">
        <f>AU30-AT30</f>
        <v>169.85684005244832</v>
      </c>
      <c r="AW30" s="2293"/>
      <c r="AX30" s="2268">
        <f t="shared" ref="AX30:BD30" si="135">$J$30</f>
        <v>25.1</v>
      </c>
      <c r="AY30" s="2268">
        <f t="shared" si="135"/>
        <v>25.1</v>
      </c>
      <c r="AZ30" s="2268">
        <f t="shared" si="135"/>
        <v>25.1</v>
      </c>
      <c r="BA30" s="2268">
        <f t="shared" si="135"/>
        <v>25.1</v>
      </c>
      <c r="BB30" s="2268">
        <f t="shared" si="135"/>
        <v>25.1</v>
      </c>
      <c r="BC30" s="2268">
        <f t="shared" si="135"/>
        <v>25.1</v>
      </c>
      <c r="BD30" s="2268">
        <f t="shared" si="135"/>
        <v>25.1</v>
      </c>
      <c r="BE30" s="2293"/>
      <c r="BF30" s="1982">
        <f>SUM(AX30:BD30)</f>
        <v>175.7</v>
      </c>
      <c r="BG30" s="2268">
        <f t="shared" ref="BG30:BG45" si="136">($BF$3*K30)*30%</f>
        <v>383.59168821676002</v>
      </c>
      <c r="BH30" s="1984">
        <f>BG30-BF30</f>
        <v>207.89168821676003</v>
      </c>
      <c r="BI30" s="2575"/>
      <c r="BJ30" s="1728">
        <f t="shared" ref="BJ30:BK30" si="137">$J$30</f>
        <v>25.1</v>
      </c>
      <c r="BK30" s="1728">
        <f t="shared" si="137"/>
        <v>25.1</v>
      </c>
      <c r="BL30" s="2575"/>
      <c r="BM30" s="1982">
        <f t="shared" si="124"/>
        <v>50.2</v>
      </c>
      <c r="BN30" s="2268">
        <f t="shared" si="125"/>
        <v>112.85267351951153</v>
      </c>
      <c r="BO30" s="1984">
        <f>BN30-BM30</f>
        <v>62.652673519511524</v>
      </c>
      <c r="BQ30" s="1732">
        <v>0</v>
      </c>
      <c r="BR30" s="1882">
        <f t="shared" si="126"/>
        <v>0</v>
      </c>
      <c r="BS30" s="1740"/>
      <c r="BT30" s="1734">
        <f t="shared" si="127"/>
        <v>753</v>
      </c>
      <c r="BU30" s="1918">
        <f t="shared" si="128"/>
        <v>1</v>
      </c>
      <c r="BV30" s="1997"/>
      <c r="BW30" s="2577"/>
      <c r="BY30" s="1860"/>
      <c r="BZ30" s="1985">
        <v>43738</v>
      </c>
      <c r="CA30" s="1830"/>
      <c r="CB30" s="1817"/>
      <c r="CC30" s="1810"/>
      <c r="CD30" s="1810"/>
      <c r="CE30" s="1810"/>
      <c r="CF30" s="1810"/>
      <c r="CG30" s="1810"/>
      <c r="CH30" s="1986"/>
    </row>
    <row r="31" spans="1:86" s="1777" customFormat="1" x14ac:dyDescent="0.2">
      <c r="B31" s="1987">
        <v>15</v>
      </c>
      <c r="C31" s="1987" t="s">
        <v>198</v>
      </c>
      <c r="D31" s="1836"/>
      <c r="E31" s="1746">
        <v>450</v>
      </c>
      <c r="F31" s="1746">
        <v>45</v>
      </c>
      <c r="G31" s="1746">
        <v>30</v>
      </c>
      <c r="H31" s="1746">
        <v>22.5</v>
      </c>
      <c r="I31" s="1746">
        <v>18</v>
      </c>
      <c r="J31" s="1746">
        <f t="shared" si="117"/>
        <v>15</v>
      </c>
      <c r="K31" s="2583">
        <f t="shared" si="118"/>
        <v>0.13209910368311872</v>
      </c>
      <c r="L31" s="1866"/>
      <c r="M31" s="1867"/>
      <c r="N31" s="1746">
        <f>$J$31</f>
        <v>15</v>
      </c>
      <c r="O31" s="1746">
        <f t="shared" ref="O31:T31" si="138">$J$31</f>
        <v>15</v>
      </c>
      <c r="P31" s="1746">
        <f t="shared" si="138"/>
        <v>15</v>
      </c>
      <c r="Q31" s="1746">
        <f t="shared" si="138"/>
        <v>15</v>
      </c>
      <c r="R31" s="1746">
        <f t="shared" si="138"/>
        <v>15</v>
      </c>
      <c r="S31" s="1746">
        <f t="shared" si="138"/>
        <v>15</v>
      </c>
      <c r="T31" s="1746">
        <f t="shared" si="138"/>
        <v>15</v>
      </c>
      <c r="U31" s="1801"/>
      <c r="V31" s="1989">
        <f>SUM(N31:T31)</f>
        <v>105</v>
      </c>
      <c r="W31" s="1990">
        <f t="shared" si="130"/>
        <v>227.81697815961488</v>
      </c>
      <c r="X31" s="1991">
        <f t="shared" ref="X31:X45" si="139">W31-V31</f>
        <v>122.81697815961488</v>
      </c>
      <c r="Y31" s="1788"/>
      <c r="Z31" s="1746">
        <f t="shared" ref="Z31:AF31" si="140">$J$31</f>
        <v>15</v>
      </c>
      <c r="AA31" s="1746">
        <f t="shared" si="140"/>
        <v>15</v>
      </c>
      <c r="AB31" s="1746">
        <f t="shared" si="140"/>
        <v>15</v>
      </c>
      <c r="AC31" s="1746">
        <f t="shared" si="140"/>
        <v>15</v>
      </c>
      <c r="AD31" s="1746">
        <f t="shared" si="140"/>
        <v>15</v>
      </c>
      <c r="AE31" s="1746">
        <f t="shared" si="140"/>
        <v>15</v>
      </c>
      <c r="AF31" s="1746">
        <f t="shared" si="140"/>
        <v>15</v>
      </c>
      <c r="AG31" s="1788"/>
      <c r="AH31" s="1989">
        <f t="shared" si="31"/>
        <v>105</v>
      </c>
      <c r="AI31" s="1990">
        <f t="shared" si="132"/>
        <v>183.91789649301344</v>
      </c>
      <c r="AJ31" s="1991">
        <f t="shared" si="32"/>
        <v>78.917896493013444</v>
      </c>
      <c r="AK31" s="1788"/>
      <c r="AL31" s="1990">
        <f t="shared" ref="AL31:AR31" si="141">$J$31</f>
        <v>15</v>
      </c>
      <c r="AM31" s="1990">
        <f t="shared" si="141"/>
        <v>15</v>
      </c>
      <c r="AN31" s="1990">
        <f t="shared" si="141"/>
        <v>15</v>
      </c>
      <c r="AO31" s="1990">
        <f t="shared" si="141"/>
        <v>15</v>
      </c>
      <c r="AP31" s="1990">
        <f t="shared" si="141"/>
        <v>15</v>
      </c>
      <c r="AQ31" s="1990">
        <f t="shared" si="141"/>
        <v>15</v>
      </c>
      <c r="AR31" s="1990">
        <f t="shared" si="141"/>
        <v>15</v>
      </c>
      <c r="AS31" s="2290"/>
      <c r="AT31" s="1989">
        <f t="shared" ref="AT31:AT45" si="142">SUM(AL31:AR31)</f>
        <v>105</v>
      </c>
      <c r="AU31" s="1990">
        <f t="shared" si="134"/>
        <v>206.50807174449099</v>
      </c>
      <c r="AV31" s="1991">
        <f t="shared" ref="AV31:AV45" si="143">AU31-AT31</f>
        <v>101.50807174449099</v>
      </c>
      <c r="AW31" s="2290"/>
      <c r="AX31" s="1990">
        <f t="shared" ref="AX31:BD31" si="144">$J$31</f>
        <v>15</v>
      </c>
      <c r="AY31" s="1990">
        <f t="shared" si="144"/>
        <v>15</v>
      </c>
      <c r="AZ31" s="1990">
        <f t="shared" si="144"/>
        <v>15</v>
      </c>
      <c r="BA31" s="1990">
        <f t="shared" si="144"/>
        <v>15</v>
      </c>
      <c r="BB31" s="1990">
        <f t="shared" si="144"/>
        <v>15</v>
      </c>
      <c r="BC31" s="1990">
        <f t="shared" si="144"/>
        <v>15</v>
      </c>
      <c r="BD31" s="1990">
        <f t="shared" si="144"/>
        <v>15</v>
      </c>
      <c r="BE31" s="2290"/>
      <c r="BF31" s="1989">
        <f t="shared" ref="BF31:BF45" si="145">SUM(AX31:BD31)</f>
        <v>105</v>
      </c>
      <c r="BG31" s="1990">
        <f t="shared" si="136"/>
        <v>229.23806068730676</v>
      </c>
      <c r="BH31" s="1991">
        <f t="shared" ref="BH31:BH45" si="146">BG31-BF31</f>
        <v>124.23806068730676</v>
      </c>
      <c r="BI31" s="1801"/>
      <c r="BJ31" s="1746">
        <f t="shared" ref="BJ31:BK31" si="147">$J$31</f>
        <v>15</v>
      </c>
      <c r="BK31" s="1746">
        <f t="shared" si="147"/>
        <v>15</v>
      </c>
      <c r="BL31" s="1801"/>
      <c r="BM31" s="1989">
        <f t="shared" si="124"/>
        <v>30</v>
      </c>
      <c r="BN31" s="1990">
        <f t="shared" si="125"/>
        <v>67.441836764648315</v>
      </c>
      <c r="BO31" s="1991">
        <f t="shared" si="76"/>
        <v>37.441836764648315</v>
      </c>
      <c r="BQ31" s="1750">
        <v>0</v>
      </c>
      <c r="BR31" s="1871">
        <f t="shared" si="126"/>
        <v>0</v>
      </c>
      <c r="BS31" s="1795"/>
      <c r="BT31" s="1935">
        <f t="shared" si="127"/>
        <v>450</v>
      </c>
      <c r="BU31" s="1930">
        <f t="shared" si="128"/>
        <v>1</v>
      </c>
      <c r="BV31" s="1802"/>
      <c r="BW31" s="1783"/>
      <c r="BY31" s="1916"/>
      <c r="BZ31" s="1992">
        <v>43708</v>
      </c>
      <c r="CA31" s="1993"/>
      <c r="CB31" s="1994"/>
      <c r="CC31" s="1923"/>
      <c r="CD31" s="1923"/>
      <c r="CE31" s="1923"/>
      <c r="CF31" s="1923"/>
      <c r="CG31" s="1923"/>
      <c r="CH31" s="1995"/>
    </row>
    <row r="32" spans="1:86" s="1756" customFormat="1" x14ac:dyDescent="0.2">
      <c r="B32" s="1963">
        <v>16</v>
      </c>
      <c r="C32" s="1963" t="s">
        <v>249</v>
      </c>
      <c r="D32" s="2578"/>
      <c r="E32" s="1728">
        <v>250</v>
      </c>
      <c r="F32" s="1728"/>
      <c r="G32" s="1728"/>
      <c r="H32" s="1728"/>
      <c r="I32" s="1728"/>
      <c r="J32" s="1728">
        <f t="shared" si="117"/>
        <v>8.3333333333333339</v>
      </c>
      <c r="K32" s="1729">
        <f t="shared" si="118"/>
        <v>7.3388390935065967E-2</v>
      </c>
      <c r="L32" s="1931"/>
      <c r="M32" s="1924"/>
      <c r="N32" s="1728">
        <f>$J$32</f>
        <v>8.3333333333333339</v>
      </c>
      <c r="O32" s="1728">
        <f t="shared" ref="O32:T32" si="148">$J$32</f>
        <v>8.3333333333333339</v>
      </c>
      <c r="P32" s="1728">
        <f t="shared" si="148"/>
        <v>8.3333333333333339</v>
      </c>
      <c r="Q32" s="1728">
        <f t="shared" si="148"/>
        <v>8.3333333333333339</v>
      </c>
      <c r="R32" s="1728">
        <f t="shared" si="148"/>
        <v>8.3333333333333339</v>
      </c>
      <c r="S32" s="1728">
        <f t="shared" si="148"/>
        <v>8.3333333333333339</v>
      </c>
      <c r="T32" s="1728">
        <f t="shared" si="148"/>
        <v>8.3333333333333339</v>
      </c>
      <c r="U32" s="1814"/>
      <c r="V32" s="1982">
        <f t="shared" ref="V32:V35" si="149">SUM(N32:T32)</f>
        <v>58.333333333333343</v>
      </c>
      <c r="W32" s="2268">
        <f t="shared" si="130"/>
        <v>126.56498786645271</v>
      </c>
      <c r="X32" s="1984">
        <f t="shared" si="139"/>
        <v>68.231654533119368</v>
      </c>
      <c r="Y32" s="1764"/>
      <c r="Z32" s="1728">
        <f t="shared" ref="Z32:AF32" si="150">$J$32</f>
        <v>8.3333333333333339</v>
      </c>
      <c r="AA32" s="1728">
        <f t="shared" si="150"/>
        <v>8.3333333333333339</v>
      </c>
      <c r="AB32" s="1728">
        <f t="shared" si="150"/>
        <v>8.3333333333333339</v>
      </c>
      <c r="AC32" s="1728">
        <f t="shared" si="150"/>
        <v>8.3333333333333339</v>
      </c>
      <c r="AD32" s="1728">
        <f t="shared" si="150"/>
        <v>8.3333333333333339</v>
      </c>
      <c r="AE32" s="1728">
        <f t="shared" si="150"/>
        <v>8.3333333333333339</v>
      </c>
      <c r="AF32" s="1728">
        <f t="shared" si="150"/>
        <v>8.3333333333333339</v>
      </c>
      <c r="AG32" s="1764"/>
      <c r="AH32" s="1982">
        <f t="shared" si="31"/>
        <v>58.333333333333343</v>
      </c>
      <c r="AI32" s="2268">
        <f t="shared" si="132"/>
        <v>102.17660916278525</v>
      </c>
      <c r="AJ32" s="1984">
        <f t="shared" si="32"/>
        <v>43.843275829451912</v>
      </c>
      <c r="AK32" s="1764"/>
      <c r="AL32" s="2268">
        <f t="shared" ref="AL32:AR32" si="151">$J$32</f>
        <v>8.3333333333333339</v>
      </c>
      <c r="AM32" s="2268">
        <f t="shared" si="151"/>
        <v>8.3333333333333339</v>
      </c>
      <c r="AN32" s="2268">
        <f t="shared" si="151"/>
        <v>8.3333333333333339</v>
      </c>
      <c r="AO32" s="2268">
        <f t="shared" si="151"/>
        <v>8.3333333333333339</v>
      </c>
      <c r="AP32" s="2268">
        <f t="shared" si="151"/>
        <v>8.3333333333333339</v>
      </c>
      <c r="AQ32" s="2268">
        <f t="shared" si="151"/>
        <v>8.3333333333333339</v>
      </c>
      <c r="AR32" s="2268">
        <f t="shared" si="151"/>
        <v>8.3333333333333339</v>
      </c>
      <c r="AS32" s="2289"/>
      <c r="AT32" s="1982">
        <f t="shared" si="142"/>
        <v>58.333333333333343</v>
      </c>
      <c r="AU32" s="2268">
        <f t="shared" si="134"/>
        <v>114.72670652471723</v>
      </c>
      <c r="AV32" s="1984">
        <f t="shared" si="143"/>
        <v>56.393373191383887</v>
      </c>
      <c r="AW32" s="2289"/>
      <c r="AX32" s="2268">
        <f t="shared" ref="AX32:BD32" si="152">$J$32</f>
        <v>8.3333333333333339</v>
      </c>
      <c r="AY32" s="2268">
        <f t="shared" si="152"/>
        <v>8.3333333333333339</v>
      </c>
      <c r="AZ32" s="2268">
        <f t="shared" si="152"/>
        <v>8.3333333333333339</v>
      </c>
      <c r="BA32" s="2268">
        <f t="shared" si="152"/>
        <v>8.3333333333333339</v>
      </c>
      <c r="BB32" s="2268">
        <f t="shared" si="152"/>
        <v>8.3333333333333339</v>
      </c>
      <c r="BC32" s="2268">
        <f t="shared" si="152"/>
        <v>8.3333333333333339</v>
      </c>
      <c r="BD32" s="2268">
        <f t="shared" si="152"/>
        <v>8.3333333333333339</v>
      </c>
      <c r="BE32" s="2289"/>
      <c r="BF32" s="1982">
        <f t="shared" si="145"/>
        <v>58.333333333333343</v>
      </c>
      <c r="BG32" s="2268">
        <f t="shared" si="136"/>
        <v>127.35447815961489</v>
      </c>
      <c r="BH32" s="1984">
        <f t="shared" si="146"/>
        <v>69.021144826281542</v>
      </c>
      <c r="BI32" s="1814"/>
      <c r="BJ32" s="1728">
        <f t="shared" ref="BJ32:BK32" si="153">$J$32</f>
        <v>8.3333333333333339</v>
      </c>
      <c r="BK32" s="1728">
        <f t="shared" si="153"/>
        <v>8.3333333333333339</v>
      </c>
      <c r="BL32" s="1814"/>
      <c r="BM32" s="1982">
        <f t="shared" si="124"/>
        <v>16.666666666666668</v>
      </c>
      <c r="BN32" s="2268">
        <f t="shared" si="125"/>
        <v>37.467687091471298</v>
      </c>
      <c r="BO32" s="1984">
        <f>BN32-BM32</f>
        <v>20.80102042480463</v>
      </c>
      <c r="BQ32" s="1735">
        <v>0</v>
      </c>
      <c r="BR32" s="1768">
        <f t="shared" si="126"/>
        <v>0</v>
      </c>
      <c r="BS32" s="2572"/>
      <c r="BT32" s="1763">
        <f t="shared" si="127"/>
        <v>250.00000000000003</v>
      </c>
      <c r="BU32" s="1883">
        <f t="shared" si="128"/>
        <v>1.0000000000000002</v>
      </c>
      <c r="BV32" s="1830"/>
      <c r="BW32" s="1761"/>
      <c r="BY32" s="2577"/>
      <c r="BZ32" s="1996">
        <f>BZ30-BZ31</f>
        <v>30</v>
      </c>
      <c r="CA32" s="1997"/>
      <c r="CB32" s="1861"/>
      <c r="CC32" s="1860"/>
      <c r="CD32" s="1860"/>
      <c r="CE32" s="1860"/>
      <c r="CF32" s="1860"/>
      <c r="CG32" s="1860"/>
      <c r="CH32" s="1998"/>
    </row>
    <row r="33" spans="1:86" s="1947" customFormat="1" x14ac:dyDescent="0.2">
      <c r="B33" s="2000">
        <v>17</v>
      </c>
      <c r="C33" s="2000" t="s">
        <v>211</v>
      </c>
      <c r="D33" s="2579"/>
      <c r="E33" s="2001">
        <v>200</v>
      </c>
      <c r="F33" s="2001"/>
      <c r="G33" s="2001"/>
      <c r="H33" s="2001"/>
      <c r="I33" s="2001"/>
      <c r="J33" s="2001">
        <f t="shared" si="117"/>
        <v>6.666666666666667</v>
      </c>
      <c r="K33" s="2584">
        <f t="shared" si="118"/>
        <v>5.8710712748052771E-2</v>
      </c>
      <c r="L33" s="2003"/>
      <c r="M33" s="1950"/>
      <c r="N33" s="2001">
        <f>$J$33</f>
        <v>6.666666666666667</v>
      </c>
      <c r="O33" s="2001">
        <f t="shared" ref="O33:T33" si="154">$J$33</f>
        <v>6.666666666666667</v>
      </c>
      <c r="P33" s="2001">
        <f t="shared" si="154"/>
        <v>6.666666666666667</v>
      </c>
      <c r="Q33" s="2001">
        <f t="shared" si="154"/>
        <v>6.666666666666667</v>
      </c>
      <c r="R33" s="2001">
        <f t="shared" si="154"/>
        <v>6.666666666666667</v>
      </c>
      <c r="S33" s="2001">
        <f t="shared" si="154"/>
        <v>6.666666666666667</v>
      </c>
      <c r="T33" s="2001">
        <f t="shared" si="154"/>
        <v>6.666666666666667</v>
      </c>
      <c r="U33" s="1951"/>
      <c r="V33" s="2004">
        <f t="shared" si="149"/>
        <v>46.666666666666664</v>
      </c>
      <c r="W33" s="2005">
        <f t="shared" si="130"/>
        <v>101.25199029316217</v>
      </c>
      <c r="X33" s="2006">
        <f t="shared" si="139"/>
        <v>54.585323626495502</v>
      </c>
      <c r="Y33" s="1955"/>
      <c r="Z33" s="2001">
        <f t="shared" ref="Z33:AF33" si="155">$J$33</f>
        <v>6.666666666666667</v>
      </c>
      <c r="AA33" s="2001">
        <f t="shared" si="155"/>
        <v>6.666666666666667</v>
      </c>
      <c r="AB33" s="2001">
        <f t="shared" si="155"/>
        <v>6.666666666666667</v>
      </c>
      <c r="AC33" s="2001">
        <f t="shared" si="155"/>
        <v>6.666666666666667</v>
      </c>
      <c r="AD33" s="2001">
        <f t="shared" si="155"/>
        <v>6.666666666666667</v>
      </c>
      <c r="AE33" s="2001">
        <f t="shared" si="155"/>
        <v>6.666666666666667</v>
      </c>
      <c r="AF33" s="2001">
        <f t="shared" si="155"/>
        <v>6.666666666666667</v>
      </c>
      <c r="AG33" s="1955"/>
      <c r="AH33" s="2004">
        <f t="shared" si="31"/>
        <v>46.666666666666664</v>
      </c>
      <c r="AI33" s="2005">
        <f t="shared" si="132"/>
        <v>81.741287330228204</v>
      </c>
      <c r="AJ33" s="2006">
        <f t="shared" si="32"/>
        <v>35.074620663561539</v>
      </c>
      <c r="AK33" s="1955"/>
      <c r="AL33" s="2005">
        <f t="shared" ref="AL33:AR33" si="156">$J$33</f>
        <v>6.666666666666667</v>
      </c>
      <c r="AM33" s="2005">
        <f t="shared" si="156"/>
        <v>6.666666666666667</v>
      </c>
      <c r="AN33" s="2005">
        <f t="shared" si="156"/>
        <v>6.666666666666667</v>
      </c>
      <c r="AO33" s="2005">
        <f t="shared" si="156"/>
        <v>6.666666666666667</v>
      </c>
      <c r="AP33" s="2005">
        <f t="shared" si="156"/>
        <v>6.666666666666667</v>
      </c>
      <c r="AQ33" s="2005">
        <f t="shared" si="156"/>
        <v>6.666666666666667</v>
      </c>
      <c r="AR33" s="2005">
        <f t="shared" si="156"/>
        <v>6.666666666666667</v>
      </c>
      <c r="AS33" s="2299"/>
      <c r="AT33" s="2004">
        <f t="shared" si="142"/>
        <v>46.666666666666664</v>
      </c>
      <c r="AU33" s="2005">
        <f t="shared" si="134"/>
        <v>91.781365219773775</v>
      </c>
      <c r="AV33" s="2006">
        <f t="shared" si="143"/>
        <v>45.114698553107111</v>
      </c>
      <c r="AW33" s="2299"/>
      <c r="AX33" s="2005">
        <f t="shared" ref="AX33:BD33" si="157">$J$33</f>
        <v>6.666666666666667</v>
      </c>
      <c r="AY33" s="2005">
        <f t="shared" si="157"/>
        <v>6.666666666666667</v>
      </c>
      <c r="AZ33" s="2005">
        <f t="shared" si="157"/>
        <v>6.666666666666667</v>
      </c>
      <c r="BA33" s="2005">
        <f t="shared" si="157"/>
        <v>6.666666666666667</v>
      </c>
      <c r="BB33" s="2005">
        <f t="shared" si="157"/>
        <v>6.666666666666667</v>
      </c>
      <c r="BC33" s="2005">
        <f t="shared" si="157"/>
        <v>6.666666666666667</v>
      </c>
      <c r="BD33" s="2005">
        <f t="shared" si="157"/>
        <v>6.666666666666667</v>
      </c>
      <c r="BE33" s="2299"/>
      <c r="BF33" s="2004">
        <f t="shared" si="145"/>
        <v>46.666666666666664</v>
      </c>
      <c r="BG33" s="2005">
        <f t="shared" si="136"/>
        <v>101.88358252769191</v>
      </c>
      <c r="BH33" s="2006">
        <f t="shared" si="146"/>
        <v>55.21691586102525</v>
      </c>
      <c r="BI33" s="1951"/>
      <c r="BJ33" s="2001">
        <f t="shared" ref="BJ33:BK33" si="158">$J$33</f>
        <v>6.666666666666667</v>
      </c>
      <c r="BK33" s="2001">
        <f t="shared" si="158"/>
        <v>6.666666666666667</v>
      </c>
      <c r="BL33" s="1951"/>
      <c r="BM33" s="2004">
        <f t="shared" si="124"/>
        <v>13.333333333333334</v>
      </c>
      <c r="BN33" s="2005">
        <f t="shared" si="125"/>
        <v>29.974149673177035</v>
      </c>
      <c r="BO33" s="2006">
        <f>BN33-BM33</f>
        <v>16.640816339843703</v>
      </c>
      <c r="BQ33" s="2007">
        <v>0</v>
      </c>
      <c r="BR33" s="2008">
        <f t="shared" si="126"/>
        <v>0</v>
      </c>
      <c r="BS33" s="1959"/>
      <c r="BT33" s="1901">
        <f t="shared" si="127"/>
        <v>200</v>
      </c>
      <c r="BU33" s="1902">
        <f t="shared" si="128"/>
        <v>1</v>
      </c>
      <c r="BV33" s="1962"/>
      <c r="BW33" s="1905"/>
      <c r="BY33" s="2591"/>
      <c r="BZ33" s="2009"/>
      <c r="CA33" s="2010"/>
      <c r="CB33" s="2011"/>
      <c r="CC33" s="1946"/>
      <c r="CD33" s="1946"/>
      <c r="CE33" s="1946"/>
      <c r="CF33" s="1946"/>
      <c r="CG33" s="1946"/>
      <c r="CH33" s="2012"/>
    </row>
    <row r="34" spans="1:86" s="1756" customFormat="1" x14ac:dyDescent="0.2">
      <c r="B34" s="1963">
        <v>18</v>
      </c>
      <c r="C34" s="1963" t="s">
        <v>199</v>
      </c>
      <c r="D34" s="2578"/>
      <c r="E34" s="1728">
        <v>150</v>
      </c>
      <c r="F34" s="1728">
        <v>0</v>
      </c>
      <c r="G34" s="1728">
        <v>0</v>
      </c>
      <c r="H34" s="1728">
        <v>0</v>
      </c>
      <c r="I34" s="1728">
        <v>0</v>
      </c>
      <c r="J34" s="1728">
        <f t="shared" si="117"/>
        <v>5</v>
      </c>
      <c r="K34" s="1729">
        <f t="shared" si="118"/>
        <v>4.4033034561039575E-2</v>
      </c>
      <c r="L34" s="1931"/>
      <c r="M34" s="1924"/>
      <c r="N34" s="1728">
        <f>$J$34</f>
        <v>5</v>
      </c>
      <c r="O34" s="1728">
        <f t="shared" ref="O34:T34" si="159">$J$34</f>
        <v>5</v>
      </c>
      <c r="P34" s="1728">
        <f t="shared" si="159"/>
        <v>5</v>
      </c>
      <c r="Q34" s="1728">
        <f t="shared" si="159"/>
        <v>5</v>
      </c>
      <c r="R34" s="1728">
        <f t="shared" si="159"/>
        <v>5</v>
      </c>
      <c r="S34" s="1728">
        <f t="shared" si="159"/>
        <v>5</v>
      </c>
      <c r="T34" s="1728">
        <f t="shared" si="159"/>
        <v>5</v>
      </c>
      <c r="U34" s="1814"/>
      <c r="V34" s="1982">
        <f t="shared" si="149"/>
        <v>35</v>
      </c>
      <c r="W34" s="2268">
        <f t="shared" si="130"/>
        <v>75.938992719871621</v>
      </c>
      <c r="X34" s="1984">
        <f t="shared" si="139"/>
        <v>40.938992719871621</v>
      </c>
      <c r="Y34" s="1764"/>
      <c r="Z34" s="1728">
        <f t="shared" ref="Z34:AF34" si="160">$J$34</f>
        <v>5</v>
      </c>
      <c r="AA34" s="1728">
        <f t="shared" si="160"/>
        <v>5</v>
      </c>
      <c r="AB34" s="1728">
        <f t="shared" si="160"/>
        <v>5</v>
      </c>
      <c r="AC34" s="1728">
        <f t="shared" si="160"/>
        <v>5</v>
      </c>
      <c r="AD34" s="1728">
        <f t="shared" si="160"/>
        <v>5</v>
      </c>
      <c r="AE34" s="1728">
        <f t="shared" si="160"/>
        <v>5</v>
      </c>
      <c r="AF34" s="1728">
        <f t="shared" si="160"/>
        <v>5</v>
      </c>
      <c r="AG34" s="1764"/>
      <c r="AH34" s="1982">
        <f t="shared" si="31"/>
        <v>35</v>
      </c>
      <c r="AI34" s="2268">
        <f>($AH$3*K34)*30%</f>
        <v>61.305965497671153</v>
      </c>
      <c r="AJ34" s="1984">
        <f t="shared" si="32"/>
        <v>26.305965497671153</v>
      </c>
      <c r="AK34" s="1764"/>
      <c r="AL34" s="2268">
        <f t="shared" ref="AL34:AR34" si="161">$J$34</f>
        <v>5</v>
      </c>
      <c r="AM34" s="2268">
        <f t="shared" si="161"/>
        <v>5</v>
      </c>
      <c r="AN34" s="2268">
        <f t="shared" si="161"/>
        <v>5</v>
      </c>
      <c r="AO34" s="2268">
        <f t="shared" si="161"/>
        <v>5</v>
      </c>
      <c r="AP34" s="2268">
        <f t="shared" si="161"/>
        <v>5</v>
      </c>
      <c r="AQ34" s="2268">
        <f t="shared" si="161"/>
        <v>5</v>
      </c>
      <c r="AR34" s="2268">
        <f t="shared" si="161"/>
        <v>5</v>
      </c>
      <c r="AS34" s="2289"/>
      <c r="AT34" s="1982">
        <f t="shared" si="142"/>
        <v>35</v>
      </c>
      <c r="AU34" s="2268">
        <f t="shared" si="134"/>
        <v>68.836023914830321</v>
      </c>
      <c r="AV34" s="1984">
        <f t="shared" si="143"/>
        <v>33.836023914830321</v>
      </c>
      <c r="AW34" s="2289"/>
      <c r="AX34" s="2268">
        <f t="shared" ref="AX34:BD34" si="162">$J$34</f>
        <v>5</v>
      </c>
      <c r="AY34" s="2268">
        <f t="shared" si="162"/>
        <v>5</v>
      </c>
      <c r="AZ34" s="2268">
        <f t="shared" si="162"/>
        <v>5</v>
      </c>
      <c r="BA34" s="2268">
        <f t="shared" si="162"/>
        <v>5</v>
      </c>
      <c r="BB34" s="2268">
        <f t="shared" si="162"/>
        <v>5</v>
      </c>
      <c r="BC34" s="2268">
        <f t="shared" si="162"/>
        <v>5</v>
      </c>
      <c r="BD34" s="2268">
        <f t="shared" si="162"/>
        <v>5</v>
      </c>
      <c r="BE34" s="2289"/>
      <c r="BF34" s="1982">
        <f t="shared" si="145"/>
        <v>35</v>
      </c>
      <c r="BG34" s="2268">
        <f t="shared" si="136"/>
        <v>76.412686895768914</v>
      </c>
      <c r="BH34" s="1984">
        <f t="shared" si="146"/>
        <v>41.412686895768914</v>
      </c>
      <c r="BI34" s="1814"/>
      <c r="BJ34" s="1728">
        <f t="shared" ref="BJ34:BK34" si="163">$J$34</f>
        <v>5</v>
      </c>
      <c r="BK34" s="1728">
        <f t="shared" si="163"/>
        <v>5</v>
      </c>
      <c r="BL34" s="1814"/>
      <c r="BM34" s="1982">
        <f t="shared" si="124"/>
        <v>10</v>
      </c>
      <c r="BN34" s="2268">
        <f t="shared" si="125"/>
        <v>22.480612254882775</v>
      </c>
      <c r="BO34" s="1984">
        <f>BN34-BM34</f>
        <v>12.480612254882775</v>
      </c>
      <c r="BQ34" s="1735">
        <v>0</v>
      </c>
      <c r="BR34" s="1768">
        <f t="shared" si="126"/>
        <v>0</v>
      </c>
      <c r="BS34" s="2590"/>
      <c r="BT34" s="1763">
        <f t="shared" si="127"/>
        <v>150</v>
      </c>
      <c r="BU34" s="1883">
        <f t="shared" si="128"/>
        <v>1</v>
      </c>
      <c r="BV34" s="1830"/>
      <c r="BW34" s="1761"/>
      <c r="BY34" s="2593"/>
      <c r="BZ34" s="1985"/>
      <c r="CA34" s="1997"/>
      <c r="CB34" s="1861"/>
      <c r="CC34" s="1860"/>
      <c r="CD34" s="1860"/>
      <c r="CE34" s="1860"/>
      <c r="CF34" s="1860"/>
      <c r="CG34" s="1860"/>
      <c r="CH34" s="1998"/>
    </row>
    <row r="35" spans="1:86" s="1947" customFormat="1" x14ac:dyDescent="0.2">
      <c r="B35" s="2000">
        <v>19</v>
      </c>
      <c r="C35" s="2000" t="s">
        <v>202</v>
      </c>
      <c r="D35" s="2579"/>
      <c r="E35" s="2001">
        <v>100</v>
      </c>
      <c r="F35" s="2001"/>
      <c r="G35" s="2001"/>
      <c r="H35" s="2001"/>
      <c r="I35" s="2001"/>
      <c r="J35" s="2001">
        <f t="shared" si="117"/>
        <v>3.3333333333333335</v>
      </c>
      <c r="K35" s="2584">
        <f t="shared" si="118"/>
        <v>2.9355356374026385E-2</v>
      </c>
      <c r="L35" s="2003"/>
      <c r="M35" s="1950"/>
      <c r="N35" s="2001">
        <f>$J$35</f>
        <v>3.3333333333333335</v>
      </c>
      <c r="O35" s="2001">
        <f t="shared" ref="O35:T35" si="164">$J$35</f>
        <v>3.3333333333333335</v>
      </c>
      <c r="P35" s="2001">
        <f t="shared" si="164"/>
        <v>3.3333333333333335</v>
      </c>
      <c r="Q35" s="2001">
        <f t="shared" si="164"/>
        <v>3.3333333333333335</v>
      </c>
      <c r="R35" s="2001">
        <f t="shared" si="164"/>
        <v>3.3333333333333335</v>
      </c>
      <c r="S35" s="2001">
        <f t="shared" si="164"/>
        <v>3.3333333333333335</v>
      </c>
      <c r="T35" s="2001">
        <f t="shared" si="164"/>
        <v>3.3333333333333335</v>
      </c>
      <c r="U35" s="1951"/>
      <c r="V35" s="2004">
        <f t="shared" si="149"/>
        <v>23.333333333333332</v>
      </c>
      <c r="W35" s="2005">
        <f t="shared" si="130"/>
        <v>50.625995146581083</v>
      </c>
      <c r="X35" s="2006">
        <f t="shared" si="139"/>
        <v>27.292661813247751</v>
      </c>
      <c r="Y35" s="1955"/>
      <c r="Z35" s="2001">
        <f t="shared" ref="Z35:AF35" si="165">$J$35</f>
        <v>3.3333333333333335</v>
      </c>
      <c r="AA35" s="2001">
        <f t="shared" si="165"/>
        <v>3.3333333333333335</v>
      </c>
      <c r="AB35" s="2001">
        <f t="shared" si="165"/>
        <v>3.3333333333333335</v>
      </c>
      <c r="AC35" s="2001">
        <f t="shared" si="165"/>
        <v>3.3333333333333335</v>
      </c>
      <c r="AD35" s="2001">
        <f t="shared" si="165"/>
        <v>3.3333333333333335</v>
      </c>
      <c r="AE35" s="2001">
        <f t="shared" si="165"/>
        <v>3.3333333333333335</v>
      </c>
      <c r="AF35" s="2001">
        <f t="shared" si="165"/>
        <v>3.3333333333333335</v>
      </c>
      <c r="AG35" s="1955"/>
      <c r="AH35" s="2004">
        <f t="shared" si="31"/>
        <v>23.333333333333332</v>
      </c>
      <c r="AI35" s="2005">
        <f t="shared" si="132"/>
        <v>40.870643665114102</v>
      </c>
      <c r="AJ35" s="2006">
        <f t="shared" si="32"/>
        <v>17.53731033178077</v>
      </c>
      <c r="AK35" s="1955"/>
      <c r="AL35" s="2005">
        <f t="shared" ref="AL35:AR35" si="166">$J$35</f>
        <v>3.3333333333333335</v>
      </c>
      <c r="AM35" s="2005">
        <f t="shared" si="166"/>
        <v>3.3333333333333335</v>
      </c>
      <c r="AN35" s="2005">
        <f t="shared" si="166"/>
        <v>3.3333333333333335</v>
      </c>
      <c r="AO35" s="2005">
        <f t="shared" si="166"/>
        <v>3.3333333333333335</v>
      </c>
      <c r="AP35" s="2005">
        <f t="shared" si="166"/>
        <v>3.3333333333333335</v>
      </c>
      <c r="AQ35" s="2005">
        <f t="shared" si="166"/>
        <v>3.3333333333333335</v>
      </c>
      <c r="AR35" s="2005">
        <f t="shared" si="166"/>
        <v>3.3333333333333335</v>
      </c>
      <c r="AS35" s="2299"/>
      <c r="AT35" s="2004">
        <f t="shared" si="142"/>
        <v>23.333333333333332</v>
      </c>
      <c r="AU35" s="2005">
        <f t="shared" si="134"/>
        <v>45.890682609886888</v>
      </c>
      <c r="AV35" s="2006">
        <f t="shared" si="143"/>
        <v>22.557349276553555</v>
      </c>
      <c r="AW35" s="2299"/>
      <c r="AX35" s="2005">
        <f t="shared" ref="AX35:BD35" si="167">$J$35</f>
        <v>3.3333333333333335</v>
      </c>
      <c r="AY35" s="2005">
        <f t="shared" si="167"/>
        <v>3.3333333333333335</v>
      </c>
      <c r="AZ35" s="2005">
        <f t="shared" si="167"/>
        <v>3.3333333333333335</v>
      </c>
      <c r="BA35" s="2005">
        <f t="shared" si="167"/>
        <v>3.3333333333333335</v>
      </c>
      <c r="BB35" s="2005">
        <f t="shared" si="167"/>
        <v>3.3333333333333335</v>
      </c>
      <c r="BC35" s="2005">
        <f t="shared" si="167"/>
        <v>3.3333333333333335</v>
      </c>
      <c r="BD35" s="2005">
        <f t="shared" si="167"/>
        <v>3.3333333333333335</v>
      </c>
      <c r="BE35" s="2299"/>
      <c r="BF35" s="2004">
        <f t="shared" si="145"/>
        <v>23.333333333333332</v>
      </c>
      <c r="BG35" s="2005">
        <f t="shared" si="136"/>
        <v>50.941791263845957</v>
      </c>
      <c r="BH35" s="2006">
        <f t="shared" si="146"/>
        <v>27.608457930512625</v>
      </c>
      <c r="BI35" s="1951"/>
      <c r="BJ35" s="2001">
        <f t="shared" ref="BJ35:BK35" si="168">$J$35</f>
        <v>3.3333333333333335</v>
      </c>
      <c r="BK35" s="2001">
        <f t="shared" si="168"/>
        <v>3.3333333333333335</v>
      </c>
      <c r="BL35" s="1951"/>
      <c r="BM35" s="2004">
        <f t="shared" si="124"/>
        <v>6.666666666666667</v>
      </c>
      <c r="BN35" s="2005">
        <f t="shared" si="125"/>
        <v>14.987074836588517</v>
      </c>
      <c r="BO35" s="2006">
        <f>BN35-BM35</f>
        <v>8.3204081699218513</v>
      </c>
      <c r="BQ35" s="2007">
        <v>0</v>
      </c>
      <c r="BR35" s="2008">
        <f t="shared" si="126"/>
        <v>0</v>
      </c>
      <c r="BS35" s="1959"/>
      <c r="BT35" s="1901">
        <f t="shared" si="127"/>
        <v>100</v>
      </c>
      <c r="BU35" s="1902">
        <f t="shared" si="128"/>
        <v>1</v>
      </c>
      <c r="BV35" s="1962"/>
      <c r="BW35" s="1905"/>
      <c r="BY35" s="2573"/>
      <c r="BZ35" s="2009"/>
      <c r="CA35" s="2010"/>
      <c r="CB35" s="2011"/>
      <c r="CC35" s="1946"/>
      <c r="CD35" s="1946"/>
      <c r="CE35" s="1946"/>
      <c r="CF35" s="1946"/>
      <c r="CG35" s="1946"/>
      <c r="CH35" s="2012"/>
    </row>
    <row r="36" spans="1:86" s="1756" customFormat="1" x14ac:dyDescent="0.2">
      <c r="B36" s="1963">
        <v>20</v>
      </c>
      <c r="C36" s="1963" t="s">
        <v>248</v>
      </c>
      <c r="D36" s="2578"/>
      <c r="E36" s="1728">
        <v>100</v>
      </c>
      <c r="F36" s="1728"/>
      <c r="G36" s="1728"/>
      <c r="H36" s="1728"/>
      <c r="I36" s="1728"/>
      <c r="J36" s="1728">
        <f t="shared" si="117"/>
        <v>3.3333333333333335</v>
      </c>
      <c r="K36" s="1729">
        <f t="shared" si="118"/>
        <v>2.9355356374026385E-2</v>
      </c>
      <c r="L36" s="1931"/>
      <c r="M36" s="1924"/>
      <c r="N36" s="1728">
        <f>$J$36</f>
        <v>3.3333333333333335</v>
      </c>
      <c r="O36" s="1728">
        <f t="shared" ref="O36:T36" si="169">$J$36</f>
        <v>3.3333333333333335</v>
      </c>
      <c r="P36" s="1728">
        <f t="shared" si="169"/>
        <v>3.3333333333333335</v>
      </c>
      <c r="Q36" s="1728">
        <f t="shared" si="169"/>
        <v>3.3333333333333335</v>
      </c>
      <c r="R36" s="1728">
        <f t="shared" si="169"/>
        <v>3.3333333333333335</v>
      </c>
      <c r="S36" s="1728">
        <f t="shared" si="169"/>
        <v>3.3333333333333335</v>
      </c>
      <c r="T36" s="1728">
        <f t="shared" si="169"/>
        <v>3.3333333333333335</v>
      </c>
      <c r="U36" s="1814"/>
      <c r="V36" s="1982">
        <f t="shared" si="28"/>
        <v>23.333333333333332</v>
      </c>
      <c r="W36" s="2268">
        <f t="shared" si="130"/>
        <v>50.625995146581083</v>
      </c>
      <c r="X36" s="1984">
        <f t="shared" si="139"/>
        <v>27.292661813247751</v>
      </c>
      <c r="Y36" s="1764"/>
      <c r="Z36" s="1728">
        <f t="shared" ref="Z36:AF36" si="170">$J$36</f>
        <v>3.3333333333333335</v>
      </c>
      <c r="AA36" s="1728">
        <f t="shared" si="170"/>
        <v>3.3333333333333335</v>
      </c>
      <c r="AB36" s="1728">
        <f t="shared" si="170"/>
        <v>3.3333333333333335</v>
      </c>
      <c r="AC36" s="1728">
        <f t="shared" si="170"/>
        <v>3.3333333333333335</v>
      </c>
      <c r="AD36" s="1728">
        <f t="shared" si="170"/>
        <v>3.3333333333333335</v>
      </c>
      <c r="AE36" s="1728">
        <f t="shared" si="170"/>
        <v>3.3333333333333335</v>
      </c>
      <c r="AF36" s="1728">
        <f t="shared" si="170"/>
        <v>3.3333333333333335</v>
      </c>
      <c r="AG36" s="1764"/>
      <c r="AH36" s="1982">
        <f t="shared" si="31"/>
        <v>23.333333333333332</v>
      </c>
      <c r="AI36" s="2268">
        <f t="shared" si="132"/>
        <v>40.870643665114102</v>
      </c>
      <c r="AJ36" s="1984">
        <f t="shared" si="32"/>
        <v>17.53731033178077</v>
      </c>
      <c r="AK36" s="1764"/>
      <c r="AL36" s="2268">
        <f t="shared" ref="AL36:AR36" si="171">$J$36</f>
        <v>3.3333333333333335</v>
      </c>
      <c r="AM36" s="2268">
        <f t="shared" si="171"/>
        <v>3.3333333333333335</v>
      </c>
      <c r="AN36" s="2268">
        <f t="shared" si="171"/>
        <v>3.3333333333333335</v>
      </c>
      <c r="AO36" s="2268">
        <f t="shared" si="171"/>
        <v>3.3333333333333335</v>
      </c>
      <c r="AP36" s="2268">
        <f t="shared" si="171"/>
        <v>3.3333333333333335</v>
      </c>
      <c r="AQ36" s="2268">
        <f t="shared" si="171"/>
        <v>3.3333333333333335</v>
      </c>
      <c r="AR36" s="2268">
        <f t="shared" si="171"/>
        <v>3.3333333333333335</v>
      </c>
      <c r="AS36" s="2289"/>
      <c r="AT36" s="1982">
        <f t="shared" si="142"/>
        <v>23.333333333333332</v>
      </c>
      <c r="AU36" s="2268">
        <f t="shared" si="134"/>
        <v>45.890682609886888</v>
      </c>
      <c r="AV36" s="1984">
        <f t="shared" si="143"/>
        <v>22.557349276553555</v>
      </c>
      <c r="AW36" s="2289"/>
      <c r="AX36" s="2268">
        <f t="shared" ref="AX36:BD36" si="172">$J$36</f>
        <v>3.3333333333333335</v>
      </c>
      <c r="AY36" s="2268">
        <f t="shared" si="172"/>
        <v>3.3333333333333335</v>
      </c>
      <c r="AZ36" s="2268">
        <f t="shared" si="172"/>
        <v>3.3333333333333335</v>
      </c>
      <c r="BA36" s="2268">
        <f t="shared" si="172"/>
        <v>3.3333333333333335</v>
      </c>
      <c r="BB36" s="2268">
        <f t="shared" si="172"/>
        <v>3.3333333333333335</v>
      </c>
      <c r="BC36" s="2268">
        <f t="shared" si="172"/>
        <v>3.3333333333333335</v>
      </c>
      <c r="BD36" s="2268">
        <f t="shared" si="172"/>
        <v>3.3333333333333335</v>
      </c>
      <c r="BE36" s="2289"/>
      <c r="BF36" s="1982">
        <f t="shared" si="145"/>
        <v>23.333333333333332</v>
      </c>
      <c r="BG36" s="2268">
        <f t="shared" si="136"/>
        <v>50.941791263845957</v>
      </c>
      <c r="BH36" s="1984">
        <f t="shared" si="146"/>
        <v>27.608457930512625</v>
      </c>
      <c r="BI36" s="1814"/>
      <c r="BJ36" s="1728">
        <f t="shared" ref="BJ36:BK36" si="173">$J$36</f>
        <v>3.3333333333333335</v>
      </c>
      <c r="BK36" s="1728">
        <f t="shared" si="173"/>
        <v>3.3333333333333335</v>
      </c>
      <c r="BL36" s="1814"/>
      <c r="BM36" s="1982">
        <f t="shared" si="124"/>
        <v>6.666666666666667</v>
      </c>
      <c r="BN36" s="2268">
        <f t="shared" si="125"/>
        <v>14.987074836588517</v>
      </c>
      <c r="BO36" s="1984">
        <f t="shared" ref="BO36:BO45" si="174">BN36-BM36</f>
        <v>8.3204081699218513</v>
      </c>
      <c r="BQ36" s="1735">
        <v>0</v>
      </c>
      <c r="BR36" s="1768">
        <f t="shared" si="126"/>
        <v>0</v>
      </c>
      <c r="BS36" s="2572"/>
      <c r="BT36" s="1763">
        <f t="shared" si="127"/>
        <v>100</v>
      </c>
      <c r="BU36" s="1883">
        <f t="shared" si="128"/>
        <v>1</v>
      </c>
      <c r="BV36" s="1830"/>
      <c r="BW36" s="1761"/>
      <c r="BY36" s="2577"/>
      <c r="BZ36" s="2013"/>
      <c r="CA36" s="1997"/>
      <c r="CB36" s="1861"/>
      <c r="CC36" s="1860"/>
      <c r="CD36" s="1860"/>
      <c r="CE36" s="1860"/>
      <c r="CF36" s="1860"/>
      <c r="CG36" s="1860"/>
      <c r="CH36" s="1998"/>
    </row>
    <row r="37" spans="1:86" s="1947" customFormat="1" x14ac:dyDescent="0.2">
      <c r="B37" s="2000">
        <v>21</v>
      </c>
      <c r="C37" s="2000" t="s">
        <v>239</v>
      </c>
      <c r="D37" s="2579"/>
      <c r="E37" s="2001">
        <v>75</v>
      </c>
      <c r="F37" s="2001"/>
      <c r="G37" s="2001"/>
      <c r="H37" s="2001"/>
      <c r="I37" s="2001"/>
      <c r="J37" s="2001">
        <f t="shared" si="117"/>
        <v>2.5</v>
      </c>
      <c r="K37" s="2584">
        <f t="shared" si="118"/>
        <v>2.2016517280519787E-2</v>
      </c>
      <c r="L37" s="2003"/>
      <c r="M37" s="1950"/>
      <c r="N37" s="2001">
        <f>$J$37</f>
        <v>2.5</v>
      </c>
      <c r="O37" s="2001">
        <f t="shared" ref="O37:T37" si="175">$J$37</f>
        <v>2.5</v>
      </c>
      <c r="P37" s="2001">
        <f t="shared" si="175"/>
        <v>2.5</v>
      </c>
      <c r="Q37" s="2001">
        <f t="shared" si="175"/>
        <v>2.5</v>
      </c>
      <c r="R37" s="2001">
        <f t="shared" si="175"/>
        <v>2.5</v>
      </c>
      <c r="S37" s="2001">
        <f t="shared" si="175"/>
        <v>2.5</v>
      </c>
      <c r="T37" s="2001">
        <f t="shared" si="175"/>
        <v>2.5</v>
      </c>
      <c r="U37" s="1951"/>
      <c r="V37" s="2004">
        <f t="shared" si="28"/>
        <v>17.5</v>
      </c>
      <c r="W37" s="2005">
        <f t="shared" si="130"/>
        <v>37.96949635993581</v>
      </c>
      <c r="X37" s="2006">
        <f t="shared" si="139"/>
        <v>20.46949635993581</v>
      </c>
      <c r="Y37" s="1955"/>
      <c r="Z37" s="2001">
        <f t="shared" ref="Z37:AF37" si="176">$J$37</f>
        <v>2.5</v>
      </c>
      <c r="AA37" s="2001">
        <f t="shared" si="176"/>
        <v>2.5</v>
      </c>
      <c r="AB37" s="2001">
        <f t="shared" si="176"/>
        <v>2.5</v>
      </c>
      <c r="AC37" s="2001">
        <f t="shared" si="176"/>
        <v>2.5</v>
      </c>
      <c r="AD37" s="2001">
        <f t="shared" si="176"/>
        <v>2.5</v>
      </c>
      <c r="AE37" s="2001">
        <f t="shared" si="176"/>
        <v>2.5</v>
      </c>
      <c r="AF37" s="2001">
        <f t="shared" si="176"/>
        <v>2.5</v>
      </c>
      <c r="AG37" s="1955"/>
      <c r="AH37" s="2004">
        <f t="shared" si="31"/>
        <v>17.5</v>
      </c>
      <c r="AI37" s="2005">
        <f t="shared" si="132"/>
        <v>30.652982748835576</v>
      </c>
      <c r="AJ37" s="2006">
        <f t="shared" si="32"/>
        <v>13.152982748835576</v>
      </c>
      <c r="AK37" s="1955"/>
      <c r="AL37" s="2005">
        <f t="shared" ref="AL37:AR37" si="177">$J$37</f>
        <v>2.5</v>
      </c>
      <c r="AM37" s="2005">
        <f t="shared" si="177"/>
        <v>2.5</v>
      </c>
      <c r="AN37" s="2005">
        <f t="shared" si="177"/>
        <v>2.5</v>
      </c>
      <c r="AO37" s="2005">
        <f t="shared" si="177"/>
        <v>2.5</v>
      </c>
      <c r="AP37" s="2005">
        <f t="shared" si="177"/>
        <v>2.5</v>
      </c>
      <c r="AQ37" s="2005">
        <f t="shared" si="177"/>
        <v>2.5</v>
      </c>
      <c r="AR37" s="2005">
        <f t="shared" si="177"/>
        <v>2.5</v>
      </c>
      <c r="AS37" s="2299"/>
      <c r="AT37" s="2004">
        <f t="shared" si="142"/>
        <v>17.5</v>
      </c>
      <c r="AU37" s="2005">
        <f t="shared" si="134"/>
        <v>34.41801195741516</v>
      </c>
      <c r="AV37" s="2006">
        <f t="shared" si="143"/>
        <v>16.91801195741516</v>
      </c>
      <c r="AW37" s="2299"/>
      <c r="AX37" s="2005">
        <f t="shared" ref="AX37:BD37" si="178">$J$37</f>
        <v>2.5</v>
      </c>
      <c r="AY37" s="2005">
        <f t="shared" si="178"/>
        <v>2.5</v>
      </c>
      <c r="AZ37" s="2005">
        <f t="shared" si="178"/>
        <v>2.5</v>
      </c>
      <c r="BA37" s="2005">
        <f t="shared" si="178"/>
        <v>2.5</v>
      </c>
      <c r="BB37" s="2005">
        <f t="shared" si="178"/>
        <v>2.5</v>
      </c>
      <c r="BC37" s="2005">
        <f t="shared" si="178"/>
        <v>2.5</v>
      </c>
      <c r="BD37" s="2005">
        <f t="shared" si="178"/>
        <v>2.5</v>
      </c>
      <c r="BE37" s="2299"/>
      <c r="BF37" s="2004">
        <f t="shared" si="145"/>
        <v>17.5</v>
      </c>
      <c r="BG37" s="2005">
        <f t="shared" si="136"/>
        <v>38.206343447884457</v>
      </c>
      <c r="BH37" s="2006">
        <f t="shared" si="146"/>
        <v>20.706343447884457</v>
      </c>
      <c r="BI37" s="1951"/>
      <c r="BJ37" s="2001">
        <f t="shared" ref="BJ37:BK37" si="179">$J$37</f>
        <v>2.5</v>
      </c>
      <c r="BK37" s="2001">
        <f t="shared" si="179"/>
        <v>2.5</v>
      </c>
      <c r="BL37" s="1951"/>
      <c r="BM37" s="2004">
        <f t="shared" si="124"/>
        <v>5</v>
      </c>
      <c r="BN37" s="2005">
        <f t="shared" si="125"/>
        <v>11.240306127441388</v>
      </c>
      <c r="BO37" s="2006">
        <f t="shared" si="174"/>
        <v>6.2403061274413876</v>
      </c>
      <c r="BQ37" s="2007">
        <v>0</v>
      </c>
      <c r="BR37" s="2008">
        <f t="shared" si="126"/>
        <v>0</v>
      </c>
      <c r="BS37" s="1959"/>
      <c r="BT37" s="1901">
        <f t="shared" si="127"/>
        <v>75</v>
      </c>
      <c r="BU37" s="1902">
        <f t="shared" si="128"/>
        <v>1</v>
      </c>
      <c r="BV37" s="1962"/>
      <c r="BW37" s="1905"/>
      <c r="BY37" s="2625"/>
      <c r="BZ37" s="2009">
        <v>43738</v>
      </c>
      <c r="CA37" s="2010"/>
      <c r="CB37" s="2011"/>
      <c r="CC37" s="1946"/>
      <c r="CD37" s="1946"/>
      <c r="CE37" s="1946"/>
      <c r="CF37" s="1946"/>
      <c r="CG37" s="1946"/>
      <c r="CH37" s="2012"/>
    </row>
    <row r="38" spans="1:86" s="1726" customFormat="1" x14ac:dyDescent="0.2">
      <c r="A38" s="1756"/>
      <c r="B38" s="1963">
        <v>22</v>
      </c>
      <c r="C38" s="1963" t="s">
        <v>247</v>
      </c>
      <c r="D38" s="2578"/>
      <c r="E38" s="1728">
        <v>60</v>
      </c>
      <c r="F38" s="1728">
        <v>0</v>
      </c>
      <c r="G38" s="1728">
        <v>0</v>
      </c>
      <c r="H38" s="1728">
        <v>0</v>
      </c>
      <c r="I38" s="1728">
        <v>0</v>
      </c>
      <c r="J38" s="1728">
        <f t="shared" si="117"/>
        <v>2</v>
      </c>
      <c r="K38" s="1729">
        <f t="shared" si="118"/>
        <v>1.761321382441583E-2</v>
      </c>
      <c r="L38" s="1931"/>
      <c r="M38" s="1877"/>
      <c r="N38" s="1728">
        <f>$J$38</f>
        <v>2</v>
      </c>
      <c r="O38" s="1728">
        <f t="shared" ref="O38:T38" si="180">$J$38</f>
        <v>2</v>
      </c>
      <c r="P38" s="1728">
        <f t="shared" si="180"/>
        <v>2</v>
      </c>
      <c r="Q38" s="1728">
        <f t="shared" si="180"/>
        <v>2</v>
      </c>
      <c r="R38" s="1728">
        <f t="shared" si="180"/>
        <v>2</v>
      </c>
      <c r="S38" s="1728">
        <f t="shared" si="180"/>
        <v>2</v>
      </c>
      <c r="T38" s="1728">
        <f t="shared" si="180"/>
        <v>2</v>
      </c>
      <c r="U38" s="2604"/>
      <c r="V38" s="1982">
        <f t="shared" si="28"/>
        <v>14</v>
      </c>
      <c r="W38" s="2268">
        <f t="shared" si="130"/>
        <v>30.375597087948648</v>
      </c>
      <c r="X38" s="1984">
        <f t="shared" si="139"/>
        <v>16.375597087948648</v>
      </c>
      <c r="Y38" s="1881"/>
      <c r="Z38" s="1728">
        <f t="shared" ref="Z38:AF38" si="181">$J$38</f>
        <v>2</v>
      </c>
      <c r="AA38" s="1728">
        <f t="shared" si="181"/>
        <v>2</v>
      </c>
      <c r="AB38" s="1728">
        <f t="shared" si="181"/>
        <v>2</v>
      </c>
      <c r="AC38" s="1728">
        <f t="shared" si="181"/>
        <v>2</v>
      </c>
      <c r="AD38" s="1728">
        <f t="shared" si="181"/>
        <v>2</v>
      </c>
      <c r="AE38" s="1728">
        <f t="shared" si="181"/>
        <v>2</v>
      </c>
      <c r="AF38" s="1728">
        <f t="shared" si="181"/>
        <v>2</v>
      </c>
      <c r="AG38" s="1881"/>
      <c r="AH38" s="1982">
        <f t="shared" si="31"/>
        <v>14</v>
      </c>
      <c r="AI38" s="2268">
        <f t="shared" si="132"/>
        <v>24.52238619906846</v>
      </c>
      <c r="AJ38" s="1984">
        <f t="shared" si="32"/>
        <v>10.52238619906846</v>
      </c>
      <c r="AK38" s="1881"/>
      <c r="AL38" s="2268">
        <f t="shared" ref="AL38:AR38" si="182">$J$38</f>
        <v>2</v>
      </c>
      <c r="AM38" s="2268">
        <f t="shared" si="182"/>
        <v>2</v>
      </c>
      <c r="AN38" s="2268">
        <f t="shared" si="182"/>
        <v>2</v>
      </c>
      <c r="AO38" s="2268">
        <f t="shared" si="182"/>
        <v>2</v>
      </c>
      <c r="AP38" s="2268">
        <f t="shared" si="182"/>
        <v>2</v>
      </c>
      <c r="AQ38" s="2268">
        <f t="shared" si="182"/>
        <v>2</v>
      </c>
      <c r="AR38" s="2268">
        <f t="shared" si="182"/>
        <v>2</v>
      </c>
      <c r="AS38" s="2293"/>
      <c r="AT38" s="1982">
        <f t="shared" si="142"/>
        <v>14</v>
      </c>
      <c r="AU38" s="2268">
        <f t="shared" si="134"/>
        <v>27.534409565932133</v>
      </c>
      <c r="AV38" s="1984">
        <f t="shared" si="143"/>
        <v>13.534409565932133</v>
      </c>
      <c r="AW38" s="2293"/>
      <c r="AX38" s="2268">
        <f t="shared" ref="AX38:BD38" si="183">$J$38</f>
        <v>2</v>
      </c>
      <c r="AY38" s="2268">
        <f t="shared" si="183"/>
        <v>2</v>
      </c>
      <c r="AZ38" s="2268">
        <f t="shared" si="183"/>
        <v>2</v>
      </c>
      <c r="BA38" s="2268">
        <f t="shared" si="183"/>
        <v>2</v>
      </c>
      <c r="BB38" s="2268">
        <f t="shared" si="183"/>
        <v>2</v>
      </c>
      <c r="BC38" s="2268">
        <f t="shared" si="183"/>
        <v>2</v>
      </c>
      <c r="BD38" s="2268">
        <f t="shared" si="183"/>
        <v>2</v>
      </c>
      <c r="BE38" s="2293"/>
      <c r="BF38" s="1982">
        <f t="shared" si="145"/>
        <v>14</v>
      </c>
      <c r="BG38" s="2268">
        <f t="shared" si="136"/>
        <v>30.565074758307567</v>
      </c>
      <c r="BH38" s="1984">
        <f t="shared" si="146"/>
        <v>16.565074758307567</v>
      </c>
      <c r="BI38" s="2604"/>
      <c r="BJ38" s="1728">
        <f t="shared" ref="BJ38:BK38" si="184">$J$38</f>
        <v>2</v>
      </c>
      <c r="BK38" s="1728">
        <f t="shared" si="184"/>
        <v>2</v>
      </c>
      <c r="BL38" s="2604"/>
      <c r="BM38" s="1982">
        <f t="shared" si="124"/>
        <v>4</v>
      </c>
      <c r="BN38" s="2268">
        <f t="shared" si="125"/>
        <v>8.9922449019531108</v>
      </c>
      <c r="BO38" s="1984">
        <f t="shared" si="174"/>
        <v>4.9922449019531108</v>
      </c>
      <c r="BQ38" s="1732">
        <v>0</v>
      </c>
      <c r="BR38" s="1882">
        <f t="shared" si="126"/>
        <v>0</v>
      </c>
      <c r="BS38" s="1740"/>
      <c r="BT38" s="1734">
        <f t="shared" si="127"/>
        <v>60</v>
      </c>
      <c r="BU38" s="1918">
        <f t="shared" si="128"/>
        <v>1</v>
      </c>
      <c r="BV38" s="1997"/>
      <c r="BW38" s="2627"/>
      <c r="BY38" s="2014"/>
      <c r="BZ38" s="2015">
        <v>43738</v>
      </c>
      <c r="CA38" s="1830"/>
      <c r="CB38" s="1817"/>
      <c r="CC38" s="1810"/>
      <c r="CD38" s="1810"/>
      <c r="CE38" s="1810"/>
      <c r="CF38" s="1810"/>
      <c r="CG38" s="1810"/>
      <c r="CH38" s="1986"/>
    </row>
    <row r="39" spans="1:86" s="1885" customFormat="1" x14ac:dyDescent="0.2">
      <c r="A39" s="1947"/>
      <c r="B39" s="2000">
        <v>23</v>
      </c>
      <c r="C39" s="2000" t="s">
        <v>250</v>
      </c>
      <c r="D39" s="2579"/>
      <c r="E39" s="2001">
        <v>50</v>
      </c>
      <c r="F39" s="2001"/>
      <c r="G39" s="2001"/>
      <c r="H39" s="2001"/>
      <c r="I39" s="2001"/>
      <c r="J39" s="2001">
        <f t="shared" si="117"/>
        <v>1.6666666666666667</v>
      </c>
      <c r="K39" s="2584">
        <f t="shared" si="118"/>
        <v>1.4677678187013193E-2</v>
      </c>
      <c r="L39" s="1891"/>
      <c r="M39" s="1950"/>
      <c r="N39" s="2001">
        <f>$J$39</f>
        <v>1.6666666666666667</v>
      </c>
      <c r="O39" s="2001">
        <f t="shared" ref="O39:T39" si="185">$J$39</f>
        <v>1.6666666666666667</v>
      </c>
      <c r="P39" s="2001">
        <f t="shared" si="185"/>
        <v>1.6666666666666667</v>
      </c>
      <c r="Q39" s="2001">
        <f t="shared" si="185"/>
        <v>1.6666666666666667</v>
      </c>
      <c r="R39" s="2001">
        <f t="shared" si="185"/>
        <v>1.6666666666666667</v>
      </c>
      <c r="S39" s="2001">
        <f t="shared" si="185"/>
        <v>1.6666666666666667</v>
      </c>
      <c r="T39" s="2001">
        <f t="shared" si="185"/>
        <v>1.6666666666666667</v>
      </c>
      <c r="U39" s="2626"/>
      <c r="V39" s="2004">
        <f t="shared" si="28"/>
        <v>11.666666666666666</v>
      </c>
      <c r="W39" s="2005">
        <f t="shared" si="130"/>
        <v>25.312997573290541</v>
      </c>
      <c r="X39" s="2006">
        <f t="shared" si="139"/>
        <v>13.646330906623875</v>
      </c>
      <c r="Y39" s="1896"/>
      <c r="Z39" s="2001">
        <f t="shared" ref="Z39:AF39" si="186">$J$39</f>
        <v>1.6666666666666667</v>
      </c>
      <c r="AA39" s="2001">
        <f t="shared" si="186"/>
        <v>1.6666666666666667</v>
      </c>
      <c r="AB39" s="2001">
        <f t="shared" si="186"/>
        <v>1.6666666666666667</v>
      </c>
      <c r="AC39" s="2001">
        <f t="shared" si="186"/>
        <v>1.6666666666666667</v>
      </c>
      <c r="AD39" s="2001">
        <f t="shared" si="186"/>
        <v>1.6666666666666667</v>
      </c>
      <c r="AE39" s="2001">
        <f t="shared" si="186"/>
        <v>1.6666666666666667</v>
      </c>
      <c r="AF39" s="2001">
        <f t="shared" si="186"/>
        <v>1.6666666666666667</v>
      </c>
      <c r="AG39" s="1896"/>
      <c r="AH39" s="2004">
        <f t="shared" si="31"/>
        <v>11.666666666666666</v>
      </c>
      <c r="AI39" s="2005">
        <f t="shared" si="132"/>
        <v>20.435321832557051</v>
      </c>
      <c r="AJ39" s="2006">
        <f t="shared" si="32"/>
        <v>8.7686551658903849</v>
      </c>
      <c r="AK39" s="1896"/>
      <c r="AL39" s="2005">
        <f t="shared" ref="AL39:AR39" si="187">$J$39</f>
        <v>1.6666666666666667</v>
      </c>
      <c r="AM39" s="2005">
        <f t="shared" si="187"/>
        <v>1.6666666666666667</v>
      </c>
      <c r="AN39" s="2005">
        <f t="shared" si="187"/>
        <v>1.6666666666666667</v>
      </c>
      <c r="AO39" s="2005">
        <f t="shared" si="187"/>
        <v>1.6666666666666667</v>
      </c>
      <c r="AP39" s="2005">
        <f t="shared" si="187"/>
        <v>1.6666666666666667</v>
      </c>
      <c r="AQ39" s="2005">
        <f t="shared" si="187"/>
        <v>1.6666666666666667</v>
      </c>
      <c r="AR39" s="2005">
        <f t="shared" si="187"/>
        <v>1.6666666666666667</v>
      </c>
      <c r="AS39" s="2295"/>
      <c r="AT39" s="2004">
        <f t="shared" si="142"/>
        <v>11.666666666666666</v>
      </c>
      <c r="AU39" s="2005">
        <f t="shared" si="134"/>
        <v>22.945341304943444</v>
      </c>
      <c r="AV39" s="2006">
        <f t="shared" si="143"/>
        <v>11.278674638276778</v>
      </c>
      <c r="AW39" s="2295"/>
      <c r="AX39" s="2005">
        <f t="shared" ref="AX39:BD39" si="188">$J$39</f>
        <v>1.6666666666666667</v>
      </c>
      <c r="AY39" s="2005">
        <f t="shared" si="188"/>
        <v>1.6666666666666667</v>
      </c>
      <c r="AZ39" s="2005">
        <f t="shared" si="188"/>
        <v>1.6666666666666667</v>
      </c>
      <c r="BA39" s="2005">
        <f t="shared" si="188"/>
        <v>1.6666666666666667</v>
      </c>
      <c r="BB39" s="2005">
        <f t="shared" si="188"/>
        <v>1.6666666666666667</v>
      </c>
      <c r="BC39" s="2005">
        <f t="shared" si="188"/>
        <v>1.6666666666666667</v>
      </c>
      <c r="BD39" s="2005">
        <f t="shared" si="188"/>
        <v>1.6666666666666667</v>
      </c>
      <c r="BE39" s="2295"/>
      <c r="BF39" s="2004">
        <f t="shared" si="145"/>
        <v>11.666666666666666</v>
      </c>
      <c r="BG39" s="2005">
        <f t="shared" si="136"/>
        <v>25.470895631922978</v>
      </c>
      <c r="BH39" s="2006">
        <f t="shared" si="146"/>
        <v>13.804228965256312</v>
      </c>
      <c r="BI39" s="2626"/>
      <c r="BJ39" s="2001">
        <f t="shared" ref="BJ39:BK39" si="189">$J$39</f>
        <v>1.6666666666666667</v>
      </c>
      <c r="BK39" s="2001">
        <f t="shared" si="189"/>
        <v>1.6666666666666667</v>
      </c>
      <c r="BL39" s="2626"/>
      <c r="BM39" s="2004">
        <f t="shared" si="124"/>
        <v>3.3333333333333335</v>
      </c>
      <c r="BN39" s="2005">
        <f t="shared" si="125"/>
        <v>7.4935374182942587</v>
      </c>
      <c r="BO39" s="2006">
        <f t="shared" si="174"/>
        <v>4.1602040849609256</v>
      </c>
      <c r="BQ39" s="1898">
        <v>0</v>
      </c>
      <c r="BR39" s="1899">
        <f t="shared" si="126"/>
        <v>0</v>
      </c>
      <c r="BS39" s="1900"/>
      <c r="BT39" s="2244">
        <f t="shared" si="127"/>
        <v>50</v>
      </c>
      <c r="BU39" s="2387">
        <f t="shared" si="128"/>
        <v>1</v>
      </c>
      <c r="BV39" s="2010"/>
      <c r="BW39" s="2625"/>
      <c r="BY39" s="2625"/>
      <c r="BZ39" s="2479">
        <f>BZ38-BZ37</f>
        <v>0</v>
      </c>
      <c r="CA39" s="1962"/>
      <c r="CB39" s="1960"/>
      <c r="CC39" s="1906"/>
      <c r="CD39" s="1906"/>
      <c r="CE39" s="1906"/>
      <c r="CF39" s="1906"/>
      <c r="CG39" s="1906"/>
      <c r="CH39" s="2386"/>
    </row>
    <row r="40" spans="1:86" s="1726" customFormat="1" x14ac:dyDescent="0.2">
      <c r="B40" s="1963">
        <v>24</v>
      </c>
      <c r="C40" s="1963" t="s">
        <v>235</v>
      </c>
      <c r="D40" s="2578"/>
      <c r="E40" s="1728">
        <v>35</v>
      </c>
      <c r="F40" s="1728">
        <v>10</v>
      </c>
      <c r="G40" s="1728">
        <v>6.666666666666667</v>
      </c>
      <c r="H40" s="1728">
        <v>5</v>
      </c>
      <c r="I40" s="1728">
        <v>4</v>
      </c>
      <c r="J40" s="1728">
        <f t="shared" si="117"/>
        <v>1.1666666666666667</v>
      </c>
      <c r="K40" s="1729">
        <f t="shared" si="118"/>
        <v>1.0274374730909235E-2</v>
      </c>
      <c r="L40" s="1931"/>
      <c r="M40" s="1924"/>
      <c r="N40" s="1728">
        <f>$J$40</f>
        <v>1.1666666666666667</v>
      </c>
      <c r="O40" s="1728">
        <f t="shared" ref="O40:T40" si="190">$J$40</f>
        <v>1.1666666666666667</v>
      </c>
      <c r="P40" s="1728">
        <f t="shared" si="190"/>
        <v>1.1666666666666667</v>
      </c>
      <c r="Q40" s="1728">
        <f t="shared" si="190"/>
        <v>1.1666666666666667</v>
      </c>
      <c r="R40" s="1728">
        <f t="shared" si="190"/>
        <v>1.1666666666666667</v>
      </c>
      <c r="S40" s="1728">
        <f t="shared" si="190"/>
        <v>1.1666666666666667</v>
      </c>
      <c r="T40" s="1728">
        <f t="shared" si="190"/>
        <v>1.1666666666666667</v>
      </c>
      <c r="U40" s="2604"/>
      <c r="V40" s="1982">
        <f t="shared" si="28"/>
        <v>8.1666666666666679</v>
      </c>
      <c r="W40" s="2268">
        <f>($V$3*K40)*30%</f>
        <v>17.719098301303379</v>
      </c>
      <c r="X40" s="1984">
        <f>W40-V40</f>
        <v>9.5524316346367115</v>
      </c>
      <c r="Y40" s="1881"/>
      <c r="Z40" s="1728">
        <f t="shared" ref="Z40:AF40" si="191">$J$40</f>
        <v>1.1666666666666667</v>
      </c>
      <c r="AA40" s="1728">
        <f t="shared" si="191"/>
        <v>1.1666666666666667</v>
      </c>
      <c r="AB40" s="1728">
        <f t="shared" si="191"/>
        <v>1.1666666666666667</v>
      </c>
      <c r="AC40" s="1728">
        <f t="shared" si="191"/>
        <v>1.1666666666666667</v>
      </c>
      <c r="AD40" s="1728">
        <f t="shared" si="191"/>
        <v>1.1666666666666667</v>
      </c>
      <c r="AE40" s="1728">
        <f t="shared" si="191"/>
        <v>1.1666666666666667</v>
      </c>
      <c r="AF40" s="1728">
        <f t="shared" si="191"/>
        <v>1.1666666666666667</v>
      </c>
      <c r="AG40" s="1881"/>
      <c r="AH40" s="1982">
        <f t="shared" si="31"/>
        <v>8.1666666666666679</v>
      </c>
      <c r="AI40" s="2268">
        <f t="shared" si="132"/>
        <v>14.304725282789937</v>
      </c>
      <c r="AJ40" s="1984">
        <f t="shared" si="32"/>
        <v>6.1380586161232689</v>
      </c>
      <c r="AK40" s="1881"/>
      <c r="AL40" s="2268">
        <f t="shared" ref="AL40:AR40" si="192">$J$40</f>
        <v>1.1666666666666667</v>
      </c>
      <c r="AM40" s="2268">
        <f t="shared" si="192"/>
        <v>1.1666666666666667</v>
      </c>
      <c r="AN40" s="2268">
        <f t="shared" si="192"/>
        <v>1.1666666666666667</v>
      </c>
      <c r="AO40" s="2268">
        <f t="shared" si="192"/>
        <v>1.1666666666666667</v>
      </c>
      <c r="AP40" s="2268">
        <f t="shared" si="192"/>
        <v>1.1666666666666667</v>
      </c>
      <c r="AQ40" s="2268">
        <f t="shared" si="192"/>
        <v>1.1666666666666667</v>
      </c>
      <c r="AR40" s="2268">
        <f t="shared" si="192"/>
        <v>1.1666666666666667</v>
      </c>
      <c r="AS40" s="2293"/>
      <c r="AT40" s="1982">
        <f t="shared" si="142"/>
        <v>8.1666666666666679</v>
      </c>
      <c r="AU40" s="2268">
        <f t="shared" si="134"/>
        <v>16.061738913460413</v>
      </c>
      <c r="AV40" s="1984">
        <f t="shared" si="143"/>
        <v>7.8950722467937453</v>
      </c>
      <c r="AW40" s="2293"/>
      <c r="AX40" s="2268">
        <f t="shared" ref="AX40:BD40" si="193">$J$40</f>
        <v>1.1666666666666667</v>
      </c>
      <c r="AY40" s="2268">
        <f t="shared" si="193"/>
        <v>1.1666666666666667</v>
      </c>
      <c r="AZ40" s="2268">
        <f t="shared" si="193"/>
        <v>1.1666666666666667</v>
      </c>
      <c r="BA40" s="2268">
        <f t="shared" si="193"/>
        <v>1.1666666666666667</v>
      </c>
      <c r="BB40" s="2268">
        <f t="shared" si="193"/>
        <v>1.1666666666666667</v>
      </c>
      <c r="BC40" s="2268">
        <f t="shared" si="193"/>
        <v>1.1666666666666667</v>
      </c>
      <c r="BD40" s="2268">
        <f t="shared" si="193"/>
        <v>1.1666666666666667</v>
      </c>
      <c r="BE40" s="2293"/>
      <c r="BF40" s="1982">
        <f t="shared" si="145"/>
        <v>8.1666666666666679</v>
      </c>
      <c r="BG40" s="2268">
        <f t="shared" si="136"/>
        <v>17.829626942346085</v>
      </c>
      <c r="BH40" s="1984">
        <f t="shared" si="146"/>
        <v>9.6629602756794171</v>
      </c>
      <c r="BI40" s="2604"/>
      <c r="BJ40" s="1728">
        <f t="shared" ref="BJ40:BK40" si="194">$J$40</f>
        <v>1.1666666666666667</v>
      </c>
      <c r="BK40" s="1728">
        <f t="shared" si="194"/>
        <v>1.1666666666666667</v>
      </c>
      <c r="BL40" s="2604"/>
      <c r="BM40" s="1982">
        <f t="shared" si="124"/>
        <v>2.3333333333333335</v>
      </c>
      <c r="BN40" s="2268">
        <f t="shared" si="125"/>
        <v>5.2454761928059819</v>
      </c>
      <c r="BO40" s="1984">
        <f t="shared" si="174"/>
        <v>2.9121428594726484</v>
      </c>
      <c r="BQ40" s="1732">
        <v>0</v>
      </c>
      <c r="BR40" s="1882">
        <f t="shared" si="126"/>
        <v>0</v>
      </c>
      <c r="BS40" s="1740"/>
      <c r="BT40" s="1734">
        <f t="shared" si="127"/>
        <v>35.000000000000007</v>
      </c>
      <c r="BU40" s="1918">
        <f t="shared" si="128"/>
        <v>1.0000000000000002</v>
      </c>
      <c r="BV40" s="1997"/>
      <c r="BW40" s="2627"/>
      <c r="BY40" s="2627"/>
      <c r="BZ40" s="1985"/>
      <c r="CA40" s="1830"/>
      <c r="CB40" s="1817"/>
      <c r="CC40" s="1810"/>
      <c r="CD40" s="1810"/>
      <c r="CE40" s="1810"/>
      <c r="CF40" s="1810"/>
      <c r="CG40" s="1810"/>
      <c r="CH40" s="1986"/>
    </row>
    <row r="41" spans="1:86" s="1885" customFormat="1" x14ac:dyDescent="0.2">
      <c r="B41" s="2580">
        <v>25</v>
      </c>
      <c r="C41" s="2580" t="s">
        <v>240</v>
      </c>
      <c r="D41" s="2596"/>
      <c r="E41" s="2597">
        <v>30</v>
      </c>
      <c r="F41" s="2597">
        <v>5</v>
      </c>
      <c r="G41" s="2597">
        <v>3.3333333333333335</v>
      </c>
      <c r="H41" s="2597">
        <v>2.5</v>
      </c>
      <c r="I41" s="2597">
        <v>2</v>
      </c>
      <c r="J41" s="2597">
        <f t="shared" si="117"/>
        <v>1</v>
      </c>
      <c r="K41" s="2598">
        <f t="shared" si="118"/>
        <v>8.8066069122079149E-3</v>
      </c>
      <c r="L41" s="2003"/>
      <c r="M41" s="1950"/>
      <c r="N41" s="2001">
        <f>$J$41</f>
        <v>1</v>
      </c>
      <c r="O41" s="2001">
        <f t="shared" ref="O41:T41" si="195">$J$41</f>
        <v>1</v>
      </c>
      <c r="P41" s="2001">
        <f t="shared" si="195"/>
        <v>1</v>
      </c>
      <c r="Q41" s="2001">
        <f t="shared" si="195"/>
        <v>1</v>
      </c>
      <c r="R41" s="2001">
        <f t="shared" si="195"/>
        <v>1</v>
      </c>
      <c r="S41" s="2001">
        <f t="shared" si="195"/>
        <v>1</v>
      </c>
      <c r="T41" s="2001">
        <f t="shared" si="195"/>
        <v>1</v>
      </c>
      <c r="U41" s="2630"/>
      <c r="V41" s="2481">
        <f t="shared" si="28"/>
        <v>7</v>
      </c>
      <c r="W41" s="2482">
        <f t="shared" si="130"/>
        <v>15.187798543974324</v>
      </c>
      <c r="X41" s="2483">
        <f t="shared" si="139"/>
        <v>8.1877985439743242</v>
      </c>
      <c r="Y41" s="1896"/>
      <c r="Z41" s="2001">
        <f t="shared" ref="Z41:AF41" si="196">$J$41</f>
        <v>1</v>
      </c>
      <c r="AA41" s="2001">
        <f t="shared" si="196"/>
        <v>1</v>
      </c>
      <c r="AB41" s="2001">
        <f t="shared" si="196"/>
        <v>1</v>
      </c>
      <c r="AC41" s="2001">
        <f t="shared" si="196"/>
        <v>1</v>
      </c>
      <c r="AD41" s="2001">
        <f t="shared" si="196"/>
        <v>1</v>
      </c>
      <c r="AE41" s="2001">
        <f t="shared" si="196"/>
        <v>1</v>
      </c>
      <c r="AF41" s="2001">
        <f t="shared" si="196"/>
        <v>1</v>
      </c>
      <c r="AG41" s="1896"/>
      <c r="AH41" s="2481">
        <f t="shared" si="31"/>
        <v>7</v>
      </c>
      <c r="AI41" s="2482">
        <f t="shared" si="132"/>
        <v>12.26119309953423</v>
      </c>
      <c r="AJ41" s="2483">
        <f t="shared" si="32"/>
        <v>5.2611930995342302</v>
      </c>
      <c r="AK41" s="1896"/>
      <c r="AL41" s="2005">
        <f t="shared" ref="AL41:AR41" si="197">$J$41</f>
        <v>1</v>
      </c>
      <c r="AM41" s="2005">
        <f t="shared" si="197"/>
        <v>1</v>
      </c>
      <c r="AN41" s="2005">
        <f t="shared" si="197"/>
        <v>1</v>
      </c>
      <c r="AO41" s="2005">
        <f t="shared" si="197"/>
        <v>1</v>
      </c>
      <c r="AP41" s="2005">
        <f t="shared" si="197"/>
        <v>1</v>
      </c>
      <c r="AQ41" s="2005">
        <f t="shared" si="197"/>
        <v>1</v>
      </c>
      <c r="AR41" s="2005">
        <f t="shared" si="197"/>
        <v>1</v>
      </c>
      <c r="AS41" s="2295"/>
      <c r="AT41" s="2481">
        <f t="shared" si="142"/>
        <v>7</v>
      </c>
      <c r="AU41" s="2482">
        <f t="shared" si="134"/>
        <v>13.767204782966067</v>
      </c>
      <c r="AV41" s="2483">
        <f t="shared" si="143"/>
        <v>6.7672047829660666</v>
      </c>
      <c r="AW41" s="2295"/>
      <c r="AX41" s="2005">
        <f t="shared" ref="AX41:BD41" si="198">$J$41</f>
        <v>1</v>
      </c>
      <c r="AY41" s="2005">
        <f t="shared" si="198"/>
        <v>1</v>
      </c>
      <c r="AZ41" s="2005">
        <f t="shared" si="198"/>
        <v>1</v>
      </c>
      <c r="BA41" s="2005">
        <f t="shared" si="198"/>
        <v>1</v>
      </c>
      <c r="BB41" s="2005">
        <f t="shared" si="198"/>
        <v>1</v>
      </c>
      <c r="BC41" s="2005">
        <f t="shared" si="198"/>
        <v>1</v>
      </c>
      <c r="BD41" s="2005">
        <f t="shared" si="198"/>
        <v>1</v>
      </c>
      <c r="BE41" s="2295"/>
      <c r="BF41" s="2481">
        <f t="shared" si="145"/>
        <v>7</v>
      </c>
      <c r="BG41" s="2482">
        <f t="shared" si="136"/>
        <v>15.282537379153784</v>
      </c>
      <c r="BH41" s="2483">
        <f t="shared" si="146"/>
        <v>8.2825373791537835</v>
      </c>
      <c r="BI41" s="2630"/>
      <c r="BJ41" s="2001">
        <f t="shared" ref="BJ41:BK41" si="199">$J$41</f>
        <v>1</v>
      </c>
      <c r="BK41" s="2001">
        <f t="shared" si="199"/>
        <v>1</v>
      </c>
      <c r="BL41" s="2630"/>
      <c r="BM41" s="2481">
        <f t="shared" si="124"/>
        <v>2</v>
      </c>
      <c r="BN41" s="2482">
        <f t="shared" si="125"/>
        <v>4.4961224509765554</v>
      </c>
      <c r="BO41" s="2483">
        <f t="shared" si="174"/>
        <v>2.4961224509765554</v>
      </c>
      <c r="BQ41" s="1898">
        <v>0</v>
      </c>
      <c r="BR41" s="1899">
        <f t="shared" si="126"/>
        <v>0</v>
      </c>
      <c r="BS41" s="1900"/>
      <c r="BT41" s="2388">
        <f t="shared" si="127"/>
        <v>30</v>
      </c>
      <c r="BU41" s="2389">
        <f t="shared" si="128"/>
        <v>1</v>
      </c>
      <c r="BV41" s="2010"/>
      <c r="BW41" s="2629"/>
      <c r="BY41" s="2629"/>
      <c r="BZ41" s="2009"/>
      <c r="CA41" s="1962"/>
      <c r="CB41" s="1960"/>
      <c r="CC41" s="1906"/>
      <c r="CD41" s="1906"/>
      <c r="CE41" s="1906"/>
      <c r="CF41" s="1906"/>
      <c r="CG41" s="1906"/>
      <c r="CH41" s="2386"/>
    </row>
    <row r="42" spans="1:86" s="1726" customFormat="1" x14ac:dyDescent="0.2">
      <c r="B42" s="1963">
        <v>26</v>
      </c>
      <c r="C42" s="1963" t="s">
        <v>205</v>
      </c>
      <c r="D42" s="2578"/>
      <c r="E42" s="1728">
        <v>25.5</v>
      </c>
      <c r="F42" s="1728"/>
      <c r="G42" s="1728"/>
      <c r="H42" s="1728"/>
      <c r="I42" s="1728"/>
      <c r="J42" s="1728">
        <f t="shared" si="117"/>
        <v>0.85</v>
      </c>
      <c r="K42" s="1729">
        <f t="shared" si="118"/>
        <v>7.4856158753767279E-3</v>
      </c>
      <c r="L42" s="1931"/>
      <c r="M42" s="1924"/>
      <c r="N42" s="1728">
        <f>$J$42</f>
        <v>0.85</v>
      </c>
      <c r="O42" s="1728">
        <f t="shared" ref="O42:T42" si="200">$J$42</f>
        <v>0.85</v>
      </c>
      <c r="P42" s="1728">
        <f t="shared" si="200"/>
        <v>0.85</v>
      </c>
      <c r="Q42" s="1728">
        <f t="shared" si="200"/>
        <v>0.85</v>
      </c>
      <c r="R42" s="1728">
        <f t="shared" si="200"/>
        <v>0.85</v>
      </c>
      <c r="S42" s="1728">
        <f t="shared" si="200"/>
        <v>0.85</v>
      </c>
      <c r="T42" s="1728">
        <f t="shared" si="200"/>
        <v>0.85</v>
      </c>
      <c r="U42" s="2604"/>
      <c r="V42" s="2016">
        <f t="shared" si="28"/>
        <v>5.9499999999999993</v>
      </c>
      <c r="W42" s="2017">
        <f t="shared" si="130"/>
        <v>12.909628762378176</v>
      </c>
      <c r="X42" s="2018">
        <f t="shared" si="139"/>
        <v>6.959628762378177</v>
      </c>
      <c r="Y42" s="1881"/>
      <c r="Z42" s="1728">
        <f t="shared" ref="Z42:AF42" si="201">$J$42</f>
        <v>0.85</v>
      </c>
      <c r="AA42" s="1728">
        <f t="shared" si="201"/>
        <v>0.85</v>
      </c>
      <c r="AB42" s="1728">
        <f t="shared" si="201"/>
        <v>0.85</v>
      </c>
      <c r="AC42" s="1728">
        <f t="shared" si="201"/>
        <v>0.85</v>
      </c>
      <c r="AD42" s="1728">
        <f t="shared" si="201"/>
        <v>0.85</v>
      </c>
      <c r="AE42" s="1728">
        <f t="shared" si="201"/>
        <v>0.85</v>
      </c>
      <c r="AF42" s="1728">
        <f t="shared" si="201"/>
        <v>0.85</v>
      </c>
      <c r="AG42" s="1881"/>
      <c r="AH42" s="2016">
        <f t="shared" si="31"/>
        <v>5.9499999999999993</v>
      </c>
      <c r="AI42" s="2017">
        <f t="shared" si="132"/>
        <v>10.422014134604094</v>
      </c>
      <c r="AJ42" s="2018">
        <f t="shared" si="32"/>
        <v>4.4720141346040947</v>
      </c>
      <c r="AK42" s="1881"/>
      <c r="AL42" s="2268">
        <f t="shared" ref="AL42:AR42" si="202">$J$42</f>
        <v>0.85</v>
      </c>
      <c r="AM42" s="2268">
        <f t="shared" si="202"/>
        <v>0.85</v>
      </c>
      <c r="AN42" s="2268">
        <f t="shared" si="202"/>
        <v>0.85</v>
      </c>
      <c r="AO42" s="2268">
        <f t="shared" si="202"/>
        <v>0.85</v>
      </c>
      <c r="AP42" s="2268">
        <f t="shared" si="202"/>
        <v>0.85</v>
      </c>
      <c r="AQ42" s="2268">
        <f t="shared" si="202"/>
        <v>0.85</v>
      </c>
      <c r="AR42" s="2268">
        <f t="shared" si="202"/>
        <v>0.85</v>
      </c>
      <c r="AS42" s="2293"/>
      <c r="AT42" s="2016">
        <f t="shared" si="142"/>
        <v>5.9499999999999993</v>
      </c>
      <c r="AU42" s="2017">
        <f t="shared" si="134"/>
        <v>11.702124065521156</v>
      </c>
      <c r="AV42" s="2018">
        <f t="shared" si="143"/>
        <v>5.7521240655211567</v>
      </c>
      <c r="AW42" s="2293"/>
      <c r="AX42" s="2268">
        <f t="shared" ref="AX42:BD42" si="203">$J$42</f>
        <v>0.85</v>
      </c>
      <c r="AY42" s="2268">
        <f t="shared" si="203"/>
        <v>0.85</v>
      </c>
      <c r="AZ42" s="2268">
        <f t="shared" si="203"/>
        <v>0.85</v>
      </c>
      <c r="BA42" s="2268">
        <f t="shared" si="203"/>
        <v>0.85</v>
      </c>
      <c r="BB42" s="2268">
        <f t="shared" si="203"/>
        <v>0.85</v>
      </c>
      <c r="BC42" s="2268">
        <f t="shared" si="203"/>
        <v>0.85</v>
      </c>
      <c r="BD42" s="2268">
        <f t="shared" si="203"/>
        <v>0.85</v>
      </c>
      <c r="BE42" s="2293"/>
      <c r="BF42" s="2016">
        <f t="shared" si="145"/>
        <v>5.9499999999999993</v>
      </c>
      <c r="BG42" s="2017">
        <f t="shared" si="136"/>
        <v>12.990156772280718</v>
      </c>
      <c r="BH42" s="2018">
        <f t="shared" si="146"/>
        <v>7.040156772280719</v>
      </c>
      <c r="BI42" s="2604"/>
      <c r="BJ42" s="1728">
        <f t="shared" ref="BJ42:BK42" si="204">$J$42</f>
        <v>0.85</v>
      </c>
      <c r="BK42" s="1728">
        <f t="shared" si="204"/>
        <v>0.85</v>
      </c>
      <c r="BL42" s="2604"/>
      <c r="BM42" s="2016">
        <f t="shared" si="124"/>
        <v>1.7</v>
      </c>
      <c r="BN42" s="2017">
        <f t="shared" si="125"/>
        <v>3.8217040833300722</v>
      </c>
      <c r="BO42" s="2018">
        <f t="shared" si="174"/>
        <v>2.121704083330072</v>
      </c>
      <c r="BQ42" s="1732">
        <v>0</v>
      </c>
      <c r="BR42" s="1882">
        <f t="shared" si="126"/>
        <v>0</v>
      </c>
      <c r="BS42" s="1740"/>
      <c r="BT42" s="2019">
        <f t="shared" si="127"/>
        <v>25.499999999999996</v>
      </c>
      <c r="BU42" s="2020">
        <f t="shared" si="128"/>
        <v>0.99999999999999989</v>
      </c>
      <c r="BV42" s="1997"/>
      <c r="BW42" s="2627"/>
      <c r="BY42" s="2627"/>
      <c r="BZ42" s="2015"/>
      <c r="CA42" s="1830"/>
      <c r="CB42" s="1817"/>
      <c r="CC42" s="1810"/>
      <c r="CD42" s="1810"/>
      <c r="CE42" s="1810"/>
      <c r="CF42" s="1810"/>
      <c r="CG42" s="1810"/>
      <c r="CH42" s="1986"/>
    </row>
    <row r="43" spans="1:86" s="1885" customFormat="1" x14ac:dyDescent="0.2">
      <c r="B43" s="2000">
        <v>27</v>
      </c>
      <c r="C43" s="2000" t="s">
        <v>208</v>
      </c>
      <c r="D43" s="2579"/>
      <c r="E43" s="2001">
        <v>23</v>
      </c>
      <c r="F43" s="2001"/>
      <c r="G43" s="2001"/>
      <c r="H43" s="2001"/>
      <c r="I43" s="2001"/>
      <c r="J43" s="2001">
        <f t="shared" si="117"/>
        <v>0.76666666666666672</v>
      </c>
      <c r="K43" s="2584">
        <f t="shared" si="118"/>
        <v>6.7517319660260686E-3</v>
      </c>
      <c r="L43" s="2003"/>
      <c r="M43" s="1950"/>
      <c r="N43" s="2001">
        <f>$J$43</f>
        <v>0.76666666666666672</v>
      </c>
      <c r="O43" s="2001">
        <f t="shared" ref="O43:T43" si="205">$J$43</f>
        <v>0.76666666666666672</v>
      </c>
      <c r="P43" s="2001">
        <f t="shared" si="205"/>
        <v>0.76666666666666672</v>
      </c>
      <c r="Q43" s="2001">
        <f t="shared" si="205"/>
        <v>0.76666666666666672</v>
      </c>
      <c r="R43" s="2001">
        <f t="shared" si="205"/>
        <v>0.76666666666666672</v>
      </c>
      <c r="S43" s="2001">
        <f t="shared" si="205"/>
        <v>0.76666666666666672</v>
      </c>
      <c r="T43" s="2001">
        <f t="shared" si="205"/>
        <v>0.76666666666666672</v>
      </c>
      <c r="U43" s="2630"/>
      <c r="V43" s="2481">
        <f t="shared" si="28"/>
        <v>5.3666666666666671</v>
      </c>
      <c r="W43" s="2482">
        <f t="shared" si="130"/>
        <v>11.64397888371365</v>
      </c>
      <c r="X43" s="2483">
        <f t="shared" si="139"/>
        <v>6.2773122170469833</v>
      </c>
      <c r="Y43" s="1896"/>
      <c r="Z43" s="2001">
        <f t="shared" ref="Z43:AF43" si="206">$J$43</f>
        <v>0.76666666666666672</v>
      </c>
      <c r="AA43" s="2001">
        <f t="shared" si="206"/>
        <v>0.76666666666666672</v>
      </c>
      <c r="AB43" s="2001">
        <f t="shared" si="206"/>
        <v>0.76666666666666672</v>
      </c>
      <c r="AC43" s="2001">
        <f t="shared" si="206"/>
        <v>0.76666666666666672</v>
      </c>
      <c r="AD43" s="2001">
        <f t="shared" si="206"/>
        <v>0.76666666666666672</v>
      </c>
      <c r="AE43" s="2001">
        <f t="shared" si="206"/>
        <v>0.76666666666666672</v>
      </c>
      <c r="AF43" s="2001">
        <f t="shared" si="206"/>
        <v>0.76666666666666672</v>
      </c>
      <c r="AG43" s="1896"/>
      <c r="AH43" s="2481">
        <f t="shared" si="31"/>
        <v>5.3666666666666671</v>
      </c>
      <c r="AI43" s="2482">
        <f t="shared" si="132"/>
        <v>9.4002480429762425</v>
      </c>
      <c r="AJ43" s="2483">
        <f t="shared" si="32"/>
        <v>4.0335813763095754</v>
      </c>
      <c r="AK43" s="1896"/>
      <c r="AL43" s="2005">
        <f t="shared" ref="AL43:AR43" si="207">$J$43</f>
        <v>0.76666666666666672</v>
      </c>
      <c r="AM43" s="2005">
        <f t="shared" si="207"/>
        <v>0.76666666666666672</v>
      </c>
      <c r="AN43" s="2005">
        <f t="shared" si="207"/>
        <v>0.76666666666666672</v>
      </c>
      <c r="AO43" s="2005">
        <f t="shared" si="207"/>
        <v>0.76666666666666672</v>
      </c>
      <c r="AP43" s="2005">
        <f t="shared" si="207"/>
        <v>0.76666666666666672</v>
      </c>
      <c r="AQ43" s="2005">
        <f t="shared" si="207"/>
        <v>0.76666666666666672</v>
      </c>
      <c r="AR43" s="2005">
        <f t="shared" si="207"/>
        <v>0.76666666666666672</v>
      </c>
      <c r="AS43" s="2295"/>
      <c r="AT43" s="2481">
        <f t="shared" si="142"/>
        <v>5.3666666666666671</v>
      </c>
      <c r="AU43" s="2482">
        <f t="shared" si="134"/>
        <v>10.554857000273984</v>
      </c>
      <c r="AV43" s="2483">
        <f t="shared" si="143"/>
        <v>5.1881903336073165</v>
      </c>
      <c r="AW43" s="2295"/>
      <c r="AX43" s="2005">
        <f t="shared" ref="AX43:BD43" si="208">$J$43</f>
        <v>0.76666666666666672</v>
      </c>
      <c r="AY43" s="2005">
        <f t="shared" si="208"/>
        <v>0.76666666666666672</v>
      </c>
      <c r="AZ43" s="2005">
        <f t="shared" si="208"/>
        <v>0.76666666666666672</v>
      </c>
      <c r="BA43" s="2005">
        <f t="shared" si="208"/>
        <v>0.76666666666666672</v>
      </c>
      <c r="BB43" s="2005">
        <f t="shared" si="208"/>
        <v>0.76666666666666672</v>
      </c>
      <c r="BC43" s="2005">
        <f t="shared" si="208"/>
        <v>0.76666666666666672</v>
      </c>
      <c r="BD43" s="2005">
        <f t="shared" si="208"/>
        <v>0.76666666666666672</v>
      </c>
      <c r="BE43" s="2295"/>
      <c r="BF43" s="2481">
        <f t="shared" si="145"/>
        <v>5.3666666666666671</v>
      </c>
      <c r="BG43" s="2482">
        <f t="shared" si="136"/>
        <v>11.716611990684569</v>
      </c>
      <c r="BH43" s="2483">
        <f t="shared" si="146"/>
        <v>6.3499453240179022</v>
      </c>
      <c r="BI43" s="2630"/>
      <c r="BJ43" s="2001">
        <f t="shared" ref="BJ43:BK43" si="209">$J$43</f>
        <v>0.76666666666666672</v>
      </c>
      <c r="BK43" s="2001">
        <f t="shared" si="209"/>
        <v>0.76666666666666672</v>
      </c>
      <c r="BL43" s="2630"/>
      <c r="BM43" s="2481">
        <f t="shared" si="124"/>
        <v>1.5333333333333334</v>
      </c>
      <c r="BN43" s="2482">
        <f t="shared" si="125"/>
        <v>3.4470272124153589</v>
      </c>
      <c r="BO43" s="2483">
        <f t="shared" si="174"/>
        <v>1.9136938790820255</v>
      </c>
      <c r="BQ43" s="1898">
        <v>0</v>
      </c>
      <c r="BR43" s="1899">
        <f t="shared" si="126"/>
        <v>0</v>
      </c>
      <c r="BS43" s="1900"/>
      <c r="BT43" s="2388">
        <f t="shared" si="127"/>
        <v>23.000000000000004</v>
      </c>
      <c r="BU43" s="2389">
        <f t="shared" si="128"/>
        <v>1.0000000000000002</v>
      </c>
      <c r="BV43" s="2010"/>
      <c r="BW43" s="2629"/>
      <c r="BY43" s="2629"/>
      <c r="BZ43" s="2480"/>
      <c r="CA43" s="1962"/>
      <c r="CB43" s="1960"/>
      <c r="CC43" s="1906"/>
      <c r="CD43" s="1906"/>
      <c r="CE43" s="1906"/>
      <c r="CF43" s="1906"/>
      <c r="CG43" s="1906"/>
      <c r="CH43" s="2386"/>
    </row>
    <row r="44" spans="1:86" s="1726" customFormat="1" x14ac:dyDescent="0.2">
      <c r="B44" s="1963">
        <v>28</v>
      </c>
      <c r="C44" s="1963" t="s">
        <v>206</v>
      </c>
      <c r="D44" s="2578"/>
      <c r="E44" s="1728">
        <v>16.7</v>
      </c>
      <c r="F44" s="1728"/>
      <c r="G44" s="1728"/>
      <c r="H44" s="1728"/>
      <c r="I44" s="1728"/>
      <c r="J44" s="1728">
        <f t="shared" si="117"/>
        <v>0.55666666666666664</v>
      </c>
      <c r="K44" s="1729">
        <f t="shared" si="118"/>
        <v>4.9023445144624062E-3</v>
      </c>
      <c r="L44" s="1931"/>
      <c r="M44" s="1924"/>
      <c r="N44" s="1728">
        <f>$J$44</f>
        <v>0.55666666666666664</v>
      </c>
      <c r="O44" s="1728">
        <f t="shared" ref="O44:T44" si="210">$J$44</f>
        <v>0.55666666666666664</v>
      </c>
      <c r="P44" s="1728">
        <f t="shared" si="210"/>
        <v>0.55666666666666664</v>
      </c>
      <c r="Q44" s="1728">
        <f t="shared" si="210"/>
        <v>0.55666666666666664</v>
      </c>
      <c r="R44" s="1728">
        <f t="shared" si="210"/>
        <v>0.55666666666666664</v>
      </c>
      <c r="S44" s="1728">
        <f t="shared" si="210"/>
        <v>0.55666666666666664</v>
      </c>
      <c r="T44" s="1728">
        <f t="shared" si="210"/>
        <v>0.55666666666666664</v>
      </c>
      <c r="U44" s="2604"/>
      <c r="V44" s="2016">
        <f t="shared" si="28"/>
        <v>3.8966666666666665</v>
      </c>
      <c r="W44" s="2017">
        <f t="shared" si="130"/>
        <v>8.4545411894790412</v>
      </c>
      <c r="X44" s="2018">
        <f t="shared" si="139"/>
        <v>4.5578745228123747</v>
      </c>
      <c r="Y44" s="1881"/>
      <c r="Z44" s="1728">
        <f t="shared" ref="Z44:AF44" si="211">$J$44</f>
        <v>0.55666666666666664</v>
      </c>
      <c r="AA44" s="1728">
        <f t="shared" si="211"/>
        <v>0.55666666666666664</v>
      </c>
      <c r="AB44" s="1728">
        <f t="shared" si="211"/>
        <v>0.55666666666666664</v>
      </c>
      <c r="AC44" s="1728">
        <f t="shared" si="211"/>
        <v>0.55666666666666664</v>
      </c>
      <c r="AD44" s="1728">
        <f t="shared" si="211"/>
        <v>0.55666666666666664</v>
      </c>
      <c r="AE44" s="1728">
        <f t="shared" si="211"/>
        <v>0.55666666666666664</v>
      </c>
      <c r="AF44" s="1728">
        <f t="shared" si="211"/>
        <v>0.55666666666666664</v>
      </c>
      <c r="AG44" s="1881"/>
      <c r="AH44" s="2016">
        <f t="shared" si="31"/>
        <v>3.8966666666666665</v>
      </c>
      <c r="AI44" s="2017">
        <f t="shared" si="132"/>
        <v>6.8253974920740541</v>
      </c>
      <c r="AJ44" s="2018">
        <f t="shared" si="32"/>
        <v>2.9287308254073876</v>
      </c>
      <c r="AK44" s="1881"/>
      <c r="AL44" s="2268">
        <f t="shared" ref="AL44:AR44" si="212">$J$44</f>
        <v>0.55666666666666664</v>
      </c>
      <c r="AM44" s="2268">
        <f t="shared" si="212"/>
        <v>0.55666666666666664</v>
      </c>
      <c r="AN44" s="2268">
        <f t="shared" si="212"/>
        <v>0.55666666666666664</v>
      </c>
      <c r="AO44" s="2268">
        <f t="shared" si="212"/>
        <v>0.55666666666666664</v>
      </c>
      <c r="AP44" s="2268">
        <f t="shared" si="212"/>
        <v>0.55666666666666664</v>
      </c>
      <c r="AQ44" s="2268">
        <f t="shared" si="212"/>
        <v>0.55666666666666664</v>
      </c>
      <c r="AR44" s="2268">
        <f t="shared" si="212"/>
        <v>0.55666666666666664</v>
      </c>
      <c r="AS44" s="2293"/>
      <c r="AT44" s="2016">
        <f t="shared" si="142"/>
        <v>3.8966666666666665</v>
      </c>
      <c r="AU44" s="2017">
        <f t="shared" si="134"/>
        <v>7.6637439958511102</v>
      </c>
      <c r="AV44" s="2018">
        <f t="shared" si="143"/>
        <v>3.7670773291844437</v>
      </c>
      <c r="AW44" s="2293"/>
      <c r="AX44" s="2268">
        <f t="shared" ref="AX44:BD44" si="213">$J$44</f>
        <v>0.55666666666666664</v>
      </c>
      <c r="AY44" s="2268">
        <f t="shared" si="213"/>
        <v>0.55666666666666664</v>
      </c>
      <c r="AZ44" s="2268">
        <f t="shared" si="213"/>
        <v>0.55666666666666664</v>
      </c>
      <c r="BA44" s="2268">
        <f t="shared" si="213"/>
        <v>0.55666666666666664</v>
      </c>
      <c r="BB44" s="2268">
        <f t="shared" si="213"/>
        <v>0.55666666666666664</v>
      </c>
      <c r="BC44" s="2268">
        <f t="shared" si="213"/>
        <v>0.55666666666666664</v>
      </c>
      <c r="BD44" s="2268">
        <f t="shared" si="213"/>
        <v>0.55666666666666664</v>
      </c>
      <c r="BE44" s="2293"/>
      <c r="BF44" s="2016">
        <f t="shared" si="145"/>
        <v>3.8966666666666665</v>
      </c>
      <c r="BG44" s="2017">
        <f t="shared" si="136"/>
        <v>8.5072791410622735</v>
      </c>
      <c r="BH44" s="2018">
        <f t="shared" si="146"/>
        <v>4.610612474395607</v>
      </c>
      <c r="BI44" s="2604"/>
      <c r="BJ44" s="1728">
        <f t="shared" ref="BJ44:BK44" si="214">$J$44</f>
        <v>0.55666666666666664</v>
      </c>
      <c r="BK44" s="1728">
        <f t="shared" si="214"/>
        <v>0.55666666666666664</v>
      </c>
      <c r="BL44" s="2604"/>
      <c r="BM44" s="2016">
        <f t="shared" si="124"/>
        <v>1.1133333333333333</v>
      </c>
      <c r="BN44" s="2017">
        <f t="shared" si="125"/>
        <v>2.5028414977102824</v>
      </c>
      <c r="BO44" s="2018">
        <f t="shared" si="174"/>
        <v>1.3895081643769491</v>
      </c>
      <c r="BQ44" s="1732">
        <v>0</v>
      </c>
      <c r="BR44" s="1882">
        <f t="shared" si="126"/>
        <v>0</v>
      </c>
      <c r="BS44" s="1740"/>
      <c r="BT44" s="2019">
        <f t="shared" si="127"/>
        <v>16.7</v>
      </c>
      <c r="BU44" s="2020">
        <f t="shared" si="128"/>
        <v>1</v>
      </c>
      <c r="BV44" s="1997"/>
      <c r="BW44" s="2627"/>
      <c r="BY44" s="2627"/>
      <c r="BZ44" s="2015"/>
      <c r="CA44" s="1830"/>
      <c r="CB44" s="1817"/>
      <c r="CC44" s="1810"/>
      <c r="CD44" s="1810"/>
      <c r="CE44" s="1810"/>
      <c r="CF44" s="1810"/>
      <c r="CG44" s="1810"/>
      <c r="CH44" s="1986"/>
    </row>
    <row r="45" spans="1:86" s="1885" customFormat="1" ht="17.25" thickBot="1" x14ac:dyDescent="0.25">
      <c r="B45" s="2000">
        <v>29</v>
      </c>
      <c r="C45" s="2000" t="s">
        <v>244</v>
      </c>
      <c r="D45" s="2579"/>
      <c r="E45" s="2001">
        <v>5</v>
      </c>
      <c r="F45" s="2001">
        <v>0.5</v>
      </c>
      <c r="G45" s="2001">
        <v>0.33333333333333331</v>
      </c>
      <c r="H45" s="2001">
        <v>0.25</v>
      </c>
      <c r="I45" s="2001">
        <v>0.2</v>
      </c>
      <c r="J45" s="2001">
        <f t="shared" si="117"/>
        <v>0.16666666666666666</v>
      </c>
      <c r="K45" s="2584">
        <f t="shared" si="118"/>
        <v>1.4677678187013192E-3</v>
      </c>
      <c r="L45" s="2003"/>
      <c r="M45" s="1950"/>
      <c r="N45" s="2001">
        <f>$J$45</f>
        <v>0.16666666666666666</v>
      </c>
      <c r="O45" s="2001">
        <f t="shared" ref="O45:T45" si="215">$J$45</f>
        <v>0.16666666666666666</v>
      </c>
      <c r="P45" s="2001">
        <f t="shared" si="215"/>
        <v>0.16666666666666666</v>
      </c>
      <c r="Q45" s="2001">
        <f t="shared" si="215"/>
        <v>0.16666666666666666</v>
      </c>
      <c r="R45" s="2001">
        <f t="shared" si="215"/>
        <v>0.16666666666666666</v>
      </c>
      <c r="S45" s="2001">
        <f t="shared" si="215"/>
        <v>0.16666666666666666</v>
      </c>
      <c r="T45" s="2001">
        <f t="shared" si="215"/>
        <v>0.16666666666666666</v>
      </c>
      <c r="U45" s="2630"/>
      <c r="V45" s="2484">
        <f>SUM(N45:T45)</f>
        <v>1.1666666666666665</v>
      </c>
      <c r="W45" s="2485">
        <f>($V$3*K45)*30%</f>
        <v>2.5312997573290543</v>
      </c>
      <c r="X45" s="2486">
        <f t="shared" si="139"/>
        <v>1.3646330906623878</v>
      </c>
      <c r="Y45" s="1896"/>
      <c r="Z45" s="2001">
        <f t="shared" ref="Z45:AF45" si="216">$J$45</f>
        <v>0.16666666666666666</v>
      </c>
      <c r="AA45" s="2001">
        <f t="shared" si="216"/>
        <v>0.16666666666666666</v>
      </c>
      <c r="AB45" s="2001">
        <f t="shared" si="216"/>
        <v>0.16666666666666666</v>
      </c>
      <c r="AC45" s="2001">
        <f t="shared" si="216"/>
        <v>0.16666666666666666</v>
      </c>
      <c r="AD45" s="2001">
        <f t="shared" si="216"/>
        <v>0.16666666666666666</v>
      </c>
      <c r="AE45" s="2001">
        <f t="shared" si="216"/>
        <v>0.16666666666666666</v>
      </c>
      <c r="AF45" s="2001">
        <f t="shared" si="216"/>
        <v>0.16666666666666666</v>
      </c>
      <c r="AG45" s="1896"/>
      <c r="AH45" s="2484">
        <f t="shared" si="31"/>
        <v>1.1666666666666665</v>
      </c>
      <c r="AI45" s="2485">
        <f t="shared" si="132"/>
        <v>2.0435321832557052</v>
      </c>
      <c r="AJ45" s="2486">
        <f t="shared" si="32"/>
        <v>0.87686551658903866</v>
      </c>
      <c r="AK45" s="1896"/>
      <c r="AL45" s="2005">
        <f t="shared" ref="AL45:AR45" si="217">$J$45</f>
        <v>0.16666666666666666</v>
      </c>
      <c r="AM45" s="2005">
        <f t="shared" si="217"/>
        <v>0.16666666666666666</v>
      </c>
      <c r="AN45" s="2005">
        <f t="shared" si="217"/>
        <v>0.16666666666666666</v>
      </c>
      <c r="AO45" s="2005">
        <f t="shared" si="217"/>
        <v>0.16666666666666666</v>
      </c>
      <c r="AP45" s="2005">
        <f t="shared" si="217"/>
        <v>0.16666666666666666</v>
      </c>
      <c r="AQ45" s="2005">
        <f t="shared" si="217"/>
        <v>0.16666666666666666</v>
      </c>
      <c r="AR45" s="2005">
        <f t="shared" si="217"/>
        <v>0.16666666666666666</v>
      </c>
      <c r="AS45" s="2295"/>
      <c r="AT45" s="2484">
        <f t="shared" si="142"/>
        <v>1.1666666666666665</v>
      </c>
      <c r="AU45" s="2485">
        <f t="shared" si="134"/>
        <v>2.2945341304943447</v>
      </c>
      <c r="AV45" s="2486">
        <f t="shared" si="143"/>
        <v>1.1278674638276782</v>
      </c>
      <c r="AW45" s="2295"/>
      <c r="AX45" s="2005">
        <f t="shared" ref="AX45:BD45" si="218">$J$45</f>
        <v>0.16666666666666666</v>
      </c>
      <c r="AY45" s="2005">
        <f t="shared" si="218"/>
        <v>0.16666666666666666</v>
      </c>
      <c r="AZ45" s="2005">
        <f t="shared" si="218"/>
        <v>0.16666666666666666</v>
      </c>
      <c r="BA45" s="2005">
        <f t="shared" si="218"/>
        <v>0.16666666666666666</v>
      </c>
      <c r="BB45" s="2005">
        <f t="shared" si="218"/>
        <v>0.16666666666666666</v>
      </c>
      <c r="BC45" s="2005">
        <f t="shared" si="218"/>
        <v>0.16666666666666666</v>
      </c>
      <c r="BD45" s="2005">
        <f t="shared" si="218"/>
        <v>0.16666666666666666</v>
      </c>
      <c r="BE45" s="2295"/>
      <c r="BF45" s="2484">
        <f t="shared" si="145"/>
        <v>1.1666666666666665</v>
      </c>
      <c r="BG45" s="2485">
        <f t="shared" si="136"/>
        <v>2.5470895631922978</v>
      </c>
      <c r="BH45" s="2486">
        <f t="shared" si="146"/>
        <v>1.3804228965256313</v>
      </c>
      <c r="BI45" s="2630"/>
      <c r="BJ45" s="2001">
        <f t="shared" ref="BJ45:BK45" si="219">$J$45</f>
        <v>0.16666666666666666</v>
      </c>
      <c r="BK45" s="2001">
        <f t="shared" si="219"/>
        <v>0.16666666666666666</v>
      </c>
      <c r="BL45" s="2630"/>
      <c r="BM45" s="2484">
        <f t="shared" si="124"/>
        <v>0.33333333333333331</v>
      </c>
      <c r="BN45" s="2485">
        <f t="shared" si="125"/>
        <v>0.74935374182942593</v>
      </c>
      <c r="BO45" s="2486">
        <f t="shared" si="174"/>
        <v>0.41602040849609262</v>
      </c>
      <c r="BQ45" s="1898">
        <v>0</v>
      </c>
      <c r="BR45" s="1899">
        <f t="shared" si="126"/>
        <v>0</v>
      </c>
      <c r="BS45" s="1900"/>
      <c r="BT45" s="2248">
        <f>SUM(N45:T45)+SUM(Z45:AF45)+SUM(AL45:AR45)+SUM(AX45:BD45)+SUM(BJ45:BK45)</f>
        <v>4.9999999999999991</v>
      </c>
      <c r="BU45" s="2487">
        <f t="shared" si="128"/>
        <v>0.99999999999999978</v>
      </c>
      <c r="BV45" s="2010"/>
      <c r="BW45" s="2629"/>
      <c r="BY45" s="2629"/>
      <c r="BZ45" s="2480"/>
      <c r="CA45" s="2010"/>
      <c r="CB45" s="2011"/>
      <c r="CC45" s="1946"/>
      <c r="CD45" s="1946"/>
      <c r="CE45" s="1946"/>
      <c r="CF45" s="1946"/>
      <c r="CG45" s="1946"/>
      <c r="CH45" s="2012"/>
    </row>
    <row r="46" spans="1:86" s="1923" customFormat="1" ht="4.5" customHeight="1" thickBot="1" x14ac:dyDescent="0.25">
      <c r="B46" s="2525"/>
      <c r="C46" s="2526"/>
      <c r="D46" s="1800"/>
      <c r="E46" s="2527"/>
      <c r="F46" s="2527"/>
      <c r="G46" s="2527"/>
      <c r="H46" s="2527"/>
      <c r="I46" s="2527"/>
      <c r="J46" s="2527"/>
      <c r="K46" s="2528"/>
      <c r="L46" s="1866"/>
      <c r="M46" s="1867"/>
      <c r="N46" s="2026"/>
      <c r="O46" s="2026"/>
      <c r="P46" s="2026"/>
      <c r="Q46" s="2026"/>
      <c r="R46" s="2026"/>
      <c r="S46" s="2026"/>
      <c r="T46" s="2026"/>
      <c r="U46" s="2576"/>
      <c r="V46" s="2576"/>
      <c r="W46" s="2576"/>
      <c r="X46" s="2576"/>
      <c r="Y46" s="1915"/>
      <c r="Z46" s="2026"/>
      <c r="AA46" s="2026"/>
      <c r="AB46" s="2026"/>
      <c r="AC46" s="2026"/>
      <c r="AD46" s="2026"/>
      <c r="AE46" s="2026"/>
      <c r="AF46" s="2026"/>
      <c r="AG46" s="1915"/>
      <c r="AH46" s="2576"/>
      <c r="AI46" s="2576"/>
      <c r="AJ46" s="2576"/>
      <c r="AK46" s="1915"/>
      <c r="AL46" s="2026"/>
      <c r="AM46" s="2026"/>
      <c r="AN46" s="2026"/>
      <c r="AO46" s="2026"/>
      <c r="AP46" s="2026"/>
      <c r="AQ46" s="2026"/>
      <c r="AR46" s="2026"/>
      <c r="AS46" s="2576"/>
      <c r="AT46" s="2576"/>
      <c r="AU46" s="2576"/>
      <c r="AV46" s="2576"/>
      <c r="AW46" s="2576"/>
      <c r="AX46" s="2026"/>
      <c r="AY46" s="2026"/>
      <c r="AZ46" s="2026"/>
      <c r="BA46" s="2026"/>
      <c r="BB46" s="2026"/>
      <c r="BC46" s="2026"/>
      <c r="BD46" s="2026"/>
      <c r="BE46" s="2576"/>
      <c r="BF46" s="2576"/>
      <c r="BG46" s="2576"/>
      <c r="BH46" s="2576"/>
      <c r="BI46" s="2576"/>
      <c r="BJ46" s="2026"/>
      <c r="BK46" s="2026"/>
      <c r="BL46" s="2576"/>
      <c r="BM46" s="2576"/>
      <c r="BN46" s="2576"/>
      <c r="BO46" s="2576"/>
      <c r="BQ46" s="2576"/>
      <c r="BR46" s="1993"/>
      <c r="BS46" s="1994"/>
      <c r="BT46" s="2027"/>
      <c r="BU46" s="2028"/>
      <c r="BV46" s="1993"/>
      <c r="BW46" s="1916"/>
      <c r="BY46" s="1916"/>
      <c r="BZ46" s="2029"/>
      <c r="CA46" s="2030"/>
      <c r="CB46" s="1994"/>
      <c r="CH46" s="1995"/>
    </row>
    <row r="47" spans="1:86" s="1726" customFormat="1" ht="17.25" thickBot="1" x14ac:dyDescent="0.25">
      <c r="B47" s="1963"/>
      <c r="C47" s="2385">
        <f>E47*100/30</f>
        <v>11355.111111111108</v>
      </c>
      <c r="D47" s="1727"/>
      <c r="E47" s="1728">
        <f>SUM(E29:E45)</f>
        <v>3406.5333333333328</v>
      </c>
      <c r="F47" s="1728">
        <f t="shared" ref="F47:K47" si="220">SUM(F29:F45)</f>
        <v>244.13333333333333</v>
      </c>
      <c r="G47" s="1728">
        <f t="shared" si="220"/>
        <v>162.75555555555556</v>
      </c>
      <c r="H47" s="1728">
        <f t="shared" si="220"/>
        <v>122.06666666666666</v>
      </c>
      <c r="I47" s="1728">
        <f t="shared" si="220"/>
        <v>97.653333333333336</v>
      </c>
      <c r="J47" s="1728">
        <f>SUM(J29:J45)</f>
        <v>113.55111111111111</v>
      </c>
      <c r="K47" s="1729">
        <f t="shared" si="220"/>
        <v>1.0000000000000002</v>
      </c>
      <c r="L47" s="1760"/>
      <c r="M47" s="1924"/>
      <c r="N47" s="1728">
        <f>SUM(N29:N45)</f>
        <v>113.55111111111111</v>
      </c>
      <c r="O47" s="1728">
        <f t="shared" ref="O47:P47" si="221">SUM(O29:O45)</f>
        <v>113.55111111111111</v>
      </c>
      <c r="P47" s="1728">
        <f t="shared" si="221"/>
        <v>113.55111111111111</v>
      </c>
      <c r="Q47" s="1728">
        <f t="shared" ref="Q47:R47" si="222">SUM(Q29:Q45)</f>
        <v>113.55111111111111</v>
      </c>
      <c r="R47" s="1728">
        <f t="shared" si="222"/>
        <v>113.55111111111111</v>
      </c>
      <c r="S47" s="1728">
        <f t="shared" ref="S47:T47" si="223">SUM(S29:S45)</f>
        <v>113.55111111111111</v>
      </c>
      <c r="T47" s="1728">
        <f t="shared" si="223"/>
        <v>113.55111111111111</v>
      </c>
      <c r="U47" s="2575"/>
      <c r="V47" s="2031">
        <f>SUM(V29:V45)</f>
        <v>794.85777777777776</v>
      </c>
      <c r="W47" s="2032">
        <f t="shared" ref="W47:X47" si="224">SUM(W29:W45)</f>
        <v>1724.5913999999996</v>
      </c>
      <c r="X47" s="2033">
        <f t="shared" si="224"/>
        <v>929.73362222222249</v>
      </c>
      <c r="Y47" s="1881"/>
      <c r="Z47" s="1728">
        <f t="shared" ref="Z47:AD47" si="225">SUM(Z29:Z45)</f>
        <v>113.55111111111111</v>
      </c>
      <c r="AA47" s="1728">
        <f t="shared" si="225"/>
        <v>113.55111111111111</v>
      </c>
      <c r="AB47" s="1728">
        <f t="shared" si="225"/>
        <v>113.55111111111111</v>
      </c>
      <c r="AC47" s="1728">
        <f t="shared" si="225"/>
        <v>113.55111111111111</v>
      </c>
      <c r="AD47" s="1728">
        <f t="shared" si="225"/>
        <v>113.55111111111111</v>
      </c>
      <c r="AE47" s="1728">
        <f t="shared" ref="AE47:AF47" si="226">SUM(AE29:AE45)</f>
        <v>113.55111111111111</v>
      </c>
      <c r="AF47" s="1728">
        <f t="shared" si="226"/>
        <v>113.55111111111111</v>
      </c>
      <c r="AG47" s="1881"/>
      <c r="AH47" s="2031">
        <f>SUM(AH29:AH45)</f>
        <v>794.85777777777776</v>
      </c>
      <c r="AI47" s="2032">
        <f>SUM(AI29:AI45)</f>
        <v>1392.2721000000001</v>
      </c>
      <c r="AJ47" s="2033">
        <f>SUM(AJ29:AJ45)</f>
        <v>597.41432222222261</v>
      </c>
      <c r="AK47" s="1881"/>
      <c r="AL47" s="2268">
        <f t="shared" ref="AL47:AM47" si="227">SUM(AL29:AL45)</f>
        <v>113.55111111111111</v>
      </c>
      <c r="AM47" s="2268">
        <f t="shared" si="227"/>
        <v>113.55111111111111</v>
      </c>
      <c r="AN47" s="2268">
        <f t="shared" ref="AN47:AO47" si="228">SUM(AN29:AN45)</f>
        <v>113.55111111111111</v>
      </c>
      <c r="AO47" s="2268">
        <f t="shared" si="228"/>
        <v>113.55111111111111</v>
      </c>
      <c r="AP47" s="2268">
        <f t="shared" ref="AP47:AQ47" si="229">SUM(AP29:AP45)</f>
        <v>113.55111111111111</v>
      </c>
      <c r="AQ47" s="2268">
        <f t="shared" si="229"/>
        <v>113.55111111111111</v>
      </c>
      <c r="AR47" s="2268">
        <f t="shared" ref="AR47" si="230">SUM(AR29:AR45)</f>
        <v>113.55111111111111</v>
      </c>
      <c r="AS47" s="2293"/>
      <c r="AT47" s="2031">
        <f>SUM(AT29:AT45)</f>
        <v>794.85777777777776</v>
      </c>
      <c r="AU47" s="2032">
        <f>SUM(AU29:AU45)</f>
        <v>1563.2813999999998</v>
      </c>
      <c r="AV47" s="2033">
        <f>SUM(AV29:AV45)</f>
        <v>768.42362222222209</v>
      </c>
      <c r="AW47" s="2293"/>
      <c r="AX47" s="2268">
        <f t="shared" ref="AX47" si="231">SUM(AX29:AX45)</f>
        <v>113.55111111111111</v>
      </c>
      <c r="AY47" s="2268">
        <f t="shared" ref="AY47:BB47" si="232">SUM(AY29:AY45)</f>
        <v>113.55111111111111</v>
      </c>
      <c r="AZ47" s="2268">
        <f t="shared" si="232"/>
        <v>113.55111111111111</v>
      </c>
      <c r="BA47" s="2268">
        <f t="shared" si="232"/>
        <v>113.55111111111111</v>
      </c>
      <c r="BB47" s="2268">
        <f t="shared" si="232"/>
        <v>113.55111111111111</v>
      </c>
      <c r="BC47" s="2268">
        <f t="shared" ref="BC47:BD47" si="233">SUM(BC29:BC45)</f>
        <v>113.55111111111111</v>
      </c>
      <c r="BD47" s="2268">
        <f t="shared" si="233"/>
        <v>113.55111111111111</v>
      </c>
      <c r="BE47" s="2293"/>
      <c r="BF47" s="2031">
        <f>SUM(BF29:BF45)</f>
        <v>794.85777777777776</v>
      </c>
      <c r="BG47" s="2032">
        <f>SUM(BG29:BG45)</f>
        <v>1735.3491000000004</v>
      </c>
      <c r="BH47" s="2033">
        <f>SUM(BH29:BH45)</f>
        <v>940.49132222222249</v>
      </c>
      <c r="BI47" s="2575"/>
      <c r="BJ47" s="2268">
        <f t="shared" ref="BJ47:BK47" si="234">SUM(BJ29:BJ45)</f>
        <v>113.55111111111111</v>
      </c>
      <c r="BK47" s="2268">
        <f t="shared" si="234"/>
        <v>113.55111111111111</v>
      </c>
      <c r="BL47" s="2575"/>
      <c r="BM47" s="2031">
        <f>SUM(BM29:BM45)</f>
        <v>227.10222222222222</v>
      </c>
      <c r="BN47" s="2032">
        <f>SUM(BN29:BN45)</f>
        <v>510.53970000000004</v>
      </c>
      <c r="BO47" s="2033">
        <f>SUM(BO29:BO45)</f>
        <v>283.4374777777777</v>
      </c>
      <c r="BQ47" s="2034">
        <f>SUM(BQ29:BQ45)</f>
        <v>0</v>
      </c>
      <c r="BR47" s="2035">
        <f>BQ47/E47</f>
        <v>0</v>
      </c>
      <c r="BS47" s="1740"/>
      <c r="BT47" s="2034">
        <f>SUM(BT29:BT45)</f>
        <v>3406.5333333333328</v>
      </c>
      <c r="BU47" s="2035">
        <f>BT47/E47</f>
        <v>1</v>
      </c>
      <c r="BV47" s="1997"/>
      <c r="BW47" s="2577"/>
      <c r="BY47" s="2577"/>
      <c r="BZ47" s="2036"/>
      <c r="CA47" s="1997" t="s">
        <v>157</v>
      </c>
      <c r="CB47" s="2037">
        <f>BT1</f>
        <v>1</v>
      </c>
      <c r="CC47" s="1860"/>
      <c r="CD47" s="1860"/>
      <c r="CE47" s="1860"/>
      <c r="CF47" s="1860"/>
      <c r="CG47" s="1860"/>
      <c r="CH47" s="1998"/>
    </row>
    <row r="48" spans="1:86" s="1923" customFormat="1" ht="4.5" customHeight="1" thickBot="1" x14ac:dyDescent="0.25">
      <c r="B48" s="2023"/>
      <c r="C48" s="2024"/>
      <c r="D48" s="1800"/>
      <c r="E48" s="1803"/>
      <c r="F48" s="1803"/>
      <c r="G48" s="1803"/>
      <c r="H48" s="1803"/>
      <c r="I48" s="1803"/>
      <c r="J48" s="1803"/>
      <c r="K48" s="2025"/>
      <c r="L48" s="1866"/>
      <c r="M48" s="1867"/>
      <c r="N48" s="2026"/>
      <c r="O48" s="2026"/>
      <c r="P48" s="2026"/>
      <c r="Q48" s="2026"/>
      <c r="R48" s="2026"/>
      <c r="S48" s="2026"/>
      <c r="T48" s="2026"/>
      <c r="U48" s="2576"/>
      <c r="V48" s="2576"/>
      <c r="W48" s="2576"/>
      <c r="X48" s="2576"/>
      <c r="Y48" s="1915"/>
      <c r="Z48" s="2026"/>
      <c r="AA48" s="2026"/>
      <c r="AB48" s="2026"/>
      <c r="AC48" s="2026"/>
      <c r="AD48" s="1803"/>
      <c r="AE48" s="1803"/>
      <c r="AF48" s="1803"/>
      <c r="AG48" s="1915"/>
      <c r="AH48" s="2576"/>
      <c r="AI48" s="2576"/>
      <c r="AJ48" s="2576"/>
      <c r="AK48" s="1915"/>
      <c r="AL48" s="2026"/>
      <c r="AM48" s="2026"/>
      <c r="AN48" s="2026"/>
      <c r="AO48" s="2026"/>
      <c r="AP48" s="2026"/>
      <c r="AQ48" s="2026"/>
      <c r="AR48" s="2026"/>
      <c r="AS48" s="2576"/>
      <c r="AT48" s="2576"/>
      <c r="AU48" s="2576"/>
      <c r="AV48" s="2576"/>
      <c r="AW48" s="2576"/>
      <c r="AX48" s="2026"/>
      <c r="AY48" s="2026"/>
      <c r="AZ48" s="2026"/>
      <c r="BA48" s="2026"/>
      <c r="BB48" s="2026"/>
      <c r="BC48" s="2026"/>
      <c r="BD48" s="2026"/>
      <c r="BE48" s="2576"/>
      <c r="BF48" s="2274"/>
      <c r="BG48" s="2274"/>
      <c r="BH48" s="2274"/>
      <c r="BI48" s="2576"/>
      <c r="BJ48" s="2026"/>
      <c r="BK48" s="2026"/>
      <c r="BL48" s="2576"/>
      <c r="BM48" s="2274"/>
      <c r="BN48" s="2274"/>
      <c r="BO48" s="2274"/>
      <c r="BQ48" s="2576"/>
      <c r="BR48" s="1993"/>
      <c r="BS48" s="1994"/>
      <c r="BT48" s="2576"/>
      <c r="BU48" s="1993"/>
      <c r="BV48" s="1993"/>
      <c r="BW48" s="1916"/>
      <c r="BY48" s="1916"/>
      <c r="BZ48" s="2038"/>
      <c r="CA48" s="1994"/>
      <c r="CB48" s="1994"/>
      <c r="CH48" s="1995"/>
    </row>
    <row r="49" spans="1:86" ht="17.25" thickBot="1" x14ac:dyDescent="0.25">
      <c r="B49" s="1751"/>
      <c r="C49" s="1751" t="s">
        <v>17</v>
      </c>
      <c r="D49" s="2039"/>
      <c r="E49" s="1747">
        <f>SUM(E13:E24)+SUM(E29:E45)</f>
        <v>4159.833333333333</v>
      </c>
      <c r="F49" s="1747">
        <f t="shared" ref="F49:I49" si="235">SUM(F13:F24)+SUM(F29:F45)</f>
        <v>319.46333333333331</v>
      </c>
      <c r="G49" s="1747">
        <f t="shared" si="235"/>
        <v>212.97555555555556</v>
      </c>
      <c r="H49" s="1747">
        <f t="shared" si="235"/>
        <v>159.73166666666665</v>
      </c>
      <c r="I49" s="1747">
        <f t="shared" si="235"/>
        <v>127.78533333333334</v>
      </c>
      <c r="J49" s="1747">
        <f>J26+J47</f>
        <v>142.52418803418803</v>
      </c>
      <c r="K49" s="1752">
        <f>E49/E94</f>
        <v>0.63493887043919595</v>
      </c>
      <c r="L49" s="2040"/>
      <c r="M49" s="1916"/>
      <c r="N49" s="1747">
        <f>N26+N47</f>
        <v>142.52418803418803</v>
      </c>
      <c r="O49" s="1747">
        <f t="shared" ref="O49:P49" si="236">O26+O47</f>
        <v>142.52418803418803</v>
      </c>
      <c r="P49" s="1747">
        <f t="shared" si="236"/>
        <v>142.52418803418803</v>
      </c>
      <c r="Q49" s="1747">
        <f t="shared" ref="Q49:R49" si="237">Q26+Q47</f>
        <v>142.52418803418803</v>
      </c>
      <c r="R49" s="1747">
        <f t="shared" si="237"/>
        <v>142.52418803418803</v>
      </c>
      <c r="S49" s="1747">
        <f t="shared" ref="S49:T49" si="238">S26+S47</f>
        <v>113.55111111111111</v>
      </c>
      <c r="T49" s="1747">
        <f t="shared" si="238"/>
        <v>142.52418803418803</v>
      </c>
      <c r="U49" s="2576"/>
      <c r="V49" s="2041">
        <f>SUM(V13:V24)+SUM(V29:V45)</f>
        <v>968.69623931623937</v>
      </c>
      <c r="W49" s="2042" t="e">
        <f>SUM(W13:W24)+SUM(W29:W45)</f>
        <v>#REF!</v>
      </c>
      <c r="X49" s="2043" t="e">
        <f>SUM(X13:X24)+SUM(X29:X45)</f>
        <v>#REF!</v>
      </c>
      <c r="Y49" s="1914"/>
      <c r="Z49" s="2044">
        <f t="shared" ref="Z49" si="239">Z26+Z47</f>
        <v>142.52418803418803</v>
      </c>
      <c r="AA49" s="2044">
        <f t="shared" ref="AA49:AD49" si="240">SUM(AA13:AA24)+SUM(AA29:AA45)</f>
        <v>142.52418803418803</v>
      </c>
      <c r="AB49" s="2044">
        <f t="shared" si="240"/>
        <v>142.52418803418803</v>
      </c>
      <c r="AC49" s="2044">
        <f t="shared" ref="AC49" si="241">SUM(AC13:AC24)+SUM(AC29:AC45)</f>
        <v>142.52418803418803</v>
      </c>
      <c r="AD49" s="2279">
        <f t="shared" si="240"/>
        <v>142.52418803418803</v>
      </c>
      <c r="AE49" s="2279">
        <f t="shared" ref="AE49:AF49" si="242">SUM(AE13:AE24)+SUM(AE29:AE45)</f>
        <v>113.55111111111111</v>
      </c>
      <c r="AF49" s="2279">
        <f t="shared" si="242"/>
        <v>142.52418803418803</v>
      </c>
      <c r="AG49" s="1914"/>
      <c r="AH49" s="2041">
        <f>SUM(Z49:AF49)</f>
        <v>968.69623931623926</v>
      </c>
      <c r="AI49" s="2042" t="e">
        <f>SUM(AI13:AI24)+SUM(AI29:AI45)</f>
        <v>#REF!</v>
      </c>
      <c r="AJ49" s="2043" t="e">
        <f>SUM(AJ13:AJ24)+SUM(AJ29:AJ45)</f>
        <v>#REF!</v>
      </c>
      <c r="AK49" s="1914"/>
      <c r="AL49" s="2044">
        <f t="shared" ref="AL49:AM49" si="243">SUM(AL13:AL24)+SUM(AL29:AL45)</f>
        <v>142.52418803418803</v>
      </c>
      <c r="AM49" s="2044">
        <f t="shared" si="243"/>
        <v>142.52418803418803</v>
      </c>
      <c r="AN49" s="2044">
        <f t="shared" ref="AN49:AO49" si="244">SUM(AN13:AN24)+SUM(AN29:AN45)</f>
        <v>142.52418803418803</v>
      </c>
      <c r="AO49" s="2044">
        <f t="shared" si="244"/>
        <v>142.52418803418803</v>
      </c>
      <c r="AP49" s="2044">
        <f t="shared" ref="AP49:AQ49" si="245">SUM(AP13:AP24)+SUM(AP29:AP45)</f>
        <v>142.52418803418803</v>
      </c>
      <c r="AQ49" s="2044">
        <f t="shared" si="245"/>
        <v>113.55111111111111</v>
      </c>
      <c r="AR49" s="2044">
        <f t="shared" ref="AR49" si="246">SUM(AR13:AR24)+SUM(AR29:AR45)</f>
        <v>142.52418803418803</v>
      </c>
      <c r="AS49" s="2297"/>
      <c r="AT49" s="2041">
        <f>SUM(AL49:AR49)</f>
        <v>968.69623931623926</v>
      </c>
      <c r="AU49" s="2042" t="e">
        <f>SUM(AU13:AU24)+SUM(AU29:AU45)</f>
        <v>#REF!</v>
      </c>
      <c r="AV49" s="2043" t="e">
        <f>SUM(AV13:AV24)+SUM(AV29:AV45)</f>
        <v>#REF!</v>
      </c>
      <c r="AW49" s="2297"/>
      <c r="AX49" s="2044">
        <f t="shared" ref="AX49" si="247">SUM(AX13:AX24)+SUM(AX29:AX45)</f>
        <v>142.52418803418803</v>
      </c>
      <c r="AY49" s="2044">
        <f t="shared" ref="AY49:BB49" si="248">SUM(AY13:AY24)+SUM(AY29:AY45)</f>
        <v>142.52418803418803</v>
      </c>
      <c r="AZ49" s="2044">
        <f t="shared" si="248"/>
        <v>142.52418803418803</v>
      </c>
      <c r="BA49" s="2044">
        <f t="shared" si="248"/>
        <v>142.52418803418803</v>
      </c>
      <c r="BB49" s="2044">
        <f t="shared" si="248"/>
        <v>142.52418803418803</v>
      </c>
      <c r="BC49" s="2044">
        <f t="shared" ref="BC49:BD49" si="249">SUM(BC13:BC24)+SUM(BC29:BC45)</f>
        <v>113.55111111111111</v>
      </c>
      <c r="BD49" s="2044">
        <f t="shared" si="249"/>
        <v>142.52418803418803</v>
      </c>
      <c r="BE49" s="2297"/>
      <c r="BF49" s="2041">
        <f>SUM(AX49:BD49)</f>
        <v>968.69623931623926</v>
      </c>
      <c r="BG49" s="2042" t="e">
        <f>SUM(BG13:BG24)+SUM(BG29:BG45)</f>
        <v>#REF!</v>
      </c>
      <c r="BH49" s="2043" t="e">
        <f>SUM(BH13:BH24)+SUM(BH29:BH45)</f>
        <v>#REF!</v>
      </c>
      <c r="BI49" s="2576"/>
      <c r="BJ49" s="1747">
        <f t="shared" ref="BJ49:BK49" si="250">SUM(BJ13:BJ24)+SUM(BJ29:BJ45)</f>
        <v>142.52418803418803</v>
      </c>
      <c r="BK49" s="1747">
        <f t="shared" si="250"/>
        <v>142.52418803418803</v>
      </c>
      <c r="BL49" s="2576"/>
      <c r="BM49" s="2041">
        <f>SUM(BJ49:BK49)</f>
        <v>285.04837606837606</v>
      </c>
      <c r="BN49" s="2042" t="e">
        <f>SUM(BN13:BN24)+SUM(BN29:BN45)</f>
        <v>#REF!</v>
      </c>
      <c r="BO49" s="2043" t="e">
        <f>SUM(BO13:BO24)+SUM(BO29:BO45)</f>
        <v>#REF!</v>
      </c>
      <c r="BQ49" s="2041">
        <f>SUM(BQ13:BQ24)+SUM(BQ29:BQ45)</f>
        <v>0</v>
      </c>
      <c r="BR49" s="2045">
        <f>BQ49/$E$49</f>
        <v>0</v>
      </c>
      <c r="BS49" s="1754"/>
      <c r="BT49" s="2041">
        <f>SUM(BT13:BT24)+SUM(BT29:BT45)</f>
        <v>4159.833333333333</v>
      </c>
      <c r="BU49" s="2045">
        <f>BT49/$E$49</f>
        <v>1</v>
      </c>
      <c r="BV49" s="1993"/>
      <c r="BW49" s="1916"/>
      <c r="BY49" s="1916"/>
      <c r="BZ49" s="2029"/>
      <c r="CA49" s="1994"/>
      <c r="CB49" s="1994"/>
      <c r="CC49" s="1923"/>
      <c r="CD49" s="1923"/>
      <c r="CE49" s="1923"/>
      <c r="CF49" s="1923"/>
      <c r="CG49" s="1923"/>
      <c r="CH49" s="1995"/>
    </row>
    <row r="50" spans="1:86" s="1923" customFormat="1" ht="4.5" customHeight="1" thickBot="1" x14ac:dyDescent="0.25">
      <c r="B50" s="1994"/>
      <c r="C50" s="1994"/>
      <c r="D50" s="1994"/>
      <c r="E50" s="2576"/>
      <c r="F50" s="2576"/>
      <c r="G50" s="2576"/>
      <c r="H50" s="2576"/>
      <c r="I50" s="2576"/>
      <c r="J50" s="2576"/>
      <c r="K50" s="1993"/>
      <c r="L50" s="1782"/>
      <c r="M50" s="1916"/>
      <c r="N50" s="2576"/>
      <c r="O50" s="2576"/>
      <c r="P50" s="2576"/>
      <c r="Q50" s="2576"/>
      <c r="R50" s="2576"/>
      <c r="S50" s="2576"/>
      <c r="T50" s="2576"/>
      <c r="U50" s="2576"/>
      <c r="V50" s="2576"/>
      <c r="W50" s="2576"/>
      <c r="X50" s="2576"/>
      <c r="Y50" s="1915"/>
      <c r="Z50" s="2576"/>
      <c r="AA50" s="2576"/>
      <c r="AB50" s="2576"/>
      <c r="AC50" s="2576"/>
      <c r="AD50" s="2576"/>
      <c r="AE50" s="2576"/>
      <c r="AF50" s="2576"/>
      <c r="AG50" s="1915"/>
      <c r="AH50" s="2576"/>
      <c r="AI50" s="2576"/>
      <c r="AJ50" s="2576"/>
      <c r="AK50" s="1915"/>
      <c r="AL50" s="2576"/>
      <c r="AM50" s="2576"/>
      <c r="AN50" s="2586"/>
      <c r="AO50" s="2588"/>
      <c r="AP50" s="2592"/>
      <c r="AQ50" s="2595"/>
      <c r="AR50" s="2576"/>
      <c r="AS50" s="2576"/>
      <c r="AT50" s="2576"/>
      <c r="AU50" s="2576"/>
      <c r="AV50" s="2576"/>
      <c r="AW50" s="2576"/>
      <c r="AX50" s="2576"/>
      <c r="AY50" s="2576"/>
      <c r="AZ50" s="2599"/>
      <c r="BA50" s="2599"/>
      <c r="BB50" s="2599"/>
      <c r="BC50" s="2606"/>
      <c r="BD50" s="2576"/>
      <c r="BE50" s="2576"/>
      <c r="BF50" s="2576"/>
      <c r="BG50" s="2576"/>
      <c r="BH50" s="2576"/>
      <c r="BI50" s="2576"/>
      <c r="BJ50" s="2576"/>
      <c r="BK50" s="2576"/>
      <c r="BL50" s="2576"/>
      <c r="BM50" s="2576"/>
      <c r="BN50" s="2576"/>
      <c r="BO50" s="2576"/>
      <c r="BQ50" s="2576"/>
      <c r="BR50" s="2046"/>
      <c r="BS50" s="1994"/>
      <c r="BT50" s="2576"/>
      <c r="BU50" s="2047"/>
      <c r="BV50" s="2047"/>
      <c r="BW50" s="1910"/>
      <c r="BY50" s="1916"/>
      <c r="BZ50" s="2048"/>
      <c r="CA50" s="1993"/>
      <c r="CB50" s="1994"/>
      <c r="CH50" s="1995"/>
    </row>
    <row r="51" spans="1:86" s="1726" customFormat="1" ht="17.25" thickBot="1" x14ac:dyDescent="0.25">
      <c r="B51" s="2049"/>
      <c r="C51" s="2050" t="s">
        <v>150</v>
      </c>
      <c r="D51" s="2051"/>
      <c r="E51" s="2052">
        <f>E49*100/30</f>
        <v>13866.111111111111</v>
      </c>
      <c r="F51" s="2053">
        <f t="shared" ref="F51:I51" si="251">F49*100/30</f>
        <v>1064.8777777777777</v>
      </c>
      <c r="G51" s="2053">
        <f t="shared" si="251"/>
        <v>709.91851851851845</v>
      </c>
      <c r="H51" s="2053">
        <f t="shared" si="251"/>
        <v>532.43888888888887</v>
      </c>
      <c r="I51" s="2053">
        <f t="shared" si="251"/>
        <v>425.95111111111117</v>
      </c>
      <c r="J51" s="2053">
        <f>J49*100/30</f>
        <v>475.08062678062674</v>
      </c>
      <c r="K51" s="2054">
        <f>E51/E92</f>
        <v>0.63493887043919595</v>
      </c>
      <c r="L51" s="1760"/>
      <c r="M51" s="2055"/>
      <c r="N51" s="2056" t="e">
        <f>N7-N26</f>
        <v>#REF!</v>
      </c>
      <c r="O51" s="2052" t="e">
        <f t="shared" ref="O51:P51" si="252">O7-O26</f>
        <v>#REF!</v>
      </c>
      <c r="P51" s="2052" t="e">
        <f t="shared" si="252"/>
        <v>#REF!</v>
      </c>
      <c r="Q51" s="2052" t="e">
        <f t="shared" ref="Q51:R51" si="253">Q7-Q26</f>
        <v>#REF!</v>
      </c>
      <c r="R51" s="2052" t="e">
        <f t="shared" si="253"/>
        <v>#REF!</v>
      </c>
      <c r="S51" s="2052" t="e">
        <f t="shared" ref="S51:T51" si="254">S7-S26</f>
        <v>#REF!</v>
      </c>
      <c r="T51" s="2057" t="e">
        <f t="shared" si="254"/>
        <v>#REF!</v>
      </c>
      <c r="U51" s="1814"/>
      <c r="V51" s="2056" t="e">
        <f>SUM(N51:T51)</f>
        <v>#REF!</v>
      </c>
      <c r="W51" s="2052"/>
      <c r="X51" s="2057"/>
      <c r="Y51" s="1766"/>
      <c r="Z51" s="2056" t="e">
        <f>Z7-Z26</f>
        <v>#REF!</v>
      </c>
      <c r="AA51" s="2053" t="e">
        <f t="shared" ref="AA51:AE51" si="255">AA7-AA26</f>
        <v>#REF!</v>
      </c>
      <c r="AB51" s="2053" t="e">
        <f t="shared" si="255"/>
        <v>#REF!</v>
      </c>
      <c r="AC51" s="2053" t="e">
        <f t="shared" si="255"/>
        <v>#REF!</v>
      </c>
      <c r="AD51" s="2053" t="e">
        <f t="shared" si="255"/>
        <v>#REF!</v>
      </c>
      <c r="AE51" s="2053" t="e">
        <f t="shared" si="255"/>
        <v>#REF!</v>
      </c>
      <c r="AF51" s="2053" t="e">
        <f t="shared" ref="AF51" si="256">AF7-AF26</f>
        <v>#REF!</v>
      </c>
      <c r="AG51" s="1766"/>
      <c r="AH51" s="2056" t="e">
        <f>SUM(Z51:AF51)</f>
        <v>#REF!</v>
      </c>
      <c r="AI51" s="2052"/>
      <c r="AJ51" s="2057"/>
      <c r="AK51" s="1764"/>
      <c r="AL51" s="2056" t="e">
        <f t="shared" ref="AL51" si="257">AL7-AL26</f>
        <v>#REF!</v>
      </c>
      <c r="AM51" s="2053" t="e">
        <f t="shared" ref="AM51" si="258">AM7-AM26</f>
        <v>#REF!</v>
      </c>
      <c r="AN51" s="2053" t="e">
        <f t="shared" ref="AN51:AO51" si="259">AN7-AN26</f>
        <v>#REF!</v>
      </c>
      <c r="AO51" s="2053" t="e">
        <f t="shared" si="259"/>
        <v>#REF!</v>
      </c>
      <c r="AP51" s="2053" t="e">
        <f t="shared" ref="AP51:AQ51" si="260">AP7-AP26</f>
        <v>#REF!</v>
      </c>
      <c r="AQ51" s="2053" t="e">
        <f t="shared" si="260"/>
        <v>#REF!</v>
      </c>
      <c r="AR51" s="2057" t="e">
        <f t="shared" ref="AR51" si="261">AR7-AR26</f>
        <v>#REF!</v>
      </c>
      <c r="AS51" s="2300"/>
      <c r="AT51" s="2056" t="e">
        <f>SUM(AL51:AR51)</f>
        <v>#REF!</v>
      </c>
      <c r="AU51" s="2052"/>
      <c r="AV51" s="2057"/>
      <c r="AW51" s="1814"/>
      <c r="AX51" s="2056" t="e">
        <f t="shared" ref="AX51" si="262">AX7-AX26</f>
        <v>#REF!</v>
      </c>
      <c r="AY51" s="2052" t="e">
        <f t="shared" ref="AY51:BB51" si="263">AY7-AY26</f>
        <v>#REF!</v>
      </c>
      <c r="AZ51" s="2052" t="e">
        <f t="shared" si="263"/>
        <v>#REF!</v>
      </c>
      <c r="BA51" s="2052" t="e">
        <f t="shared" si="263"/>
        <v>#REF!</v>
      </c>
      <c r="BB51" s="2052" t="e">
        <f t="shared" si="263"/>
        <v>#REF!</v>
      </c>
      <c r="BC51" s="2052" t="e">
        <f t="shared" ref="BC51:BD51" si="264">BC7-BC26</f>
        <v>#REF!</v>
      </c>
      <c r="BD51" s="2057" t="e">
        <f t="shared" si="264"/>
        <v>#REF!</v>
      </c>
      <c r="BE51" s="1814"/>
      <c r="BF51" s="2056" t="e">
        <f>SUM(AX51:BD51)</f>
        <v>#REF!</v>
      </c>
      <c r="BG51" s="2052"/>
      <c r="BH51" s="2057"/>
      <c r="BI51" s="1740"/>
      <c r="BJ51" s="2056" t="e">
        <f t="shared" ref="BJ51:BK51" si="265">BJ7-BJ26</f>
        <v>#REF!</v>
      </c>
      <c r="BK51" s="2052" t="e">
        <f t="shared" si="265"/>
        <v>#REF!</v>
      </c>
      <c r="BL51" s="2301"/>
      <c r="BM51" s="2058" t="e">
        <f>SUM(BJ51:BK51)</f>
        <v>#REF!</v>
      </c>
      <c r="BN51" s="2302"/>
      <c r="BO51" s="2057"/>
      <c r="BP51" s="1862"/>
      <c r="BQ51" s="2058" t="e">
        <f>SUM(N51:T51)+SUM(Z51:AF51)+SUM(AL51:AR51)+SUM(AX51:BD51)+SUM(BJ51:BK51)</f>
        <v>#REF!</v>
      </c>
      <c r="BR51" s="2054"/>
      <c r="BS51" s="1740"/>
      <c r="BT51" s="1861"/>
      <c r="BU51" s="1861"/>
      <c r="BV51" s="1861"/>
      <c r="BY51" s="2577"/>
      <c r="BZ51" s="2036"/>
      <c r="CA51" s="2059" t="s">
        <v>155</v>
      </c>
      <c r="CB51" s="1997" t="s">
        <v>156</v>
      </c>
      <c r="CC51" s="1860"/>
      <c r="CD51" s="1860"/>
      <c r="CE51" s="1860"/>
      <c r="CF51" s="1860"/>
      <c r="CG51" s="1860"/>
      <c r="CH51" s="1998"/>
    </row>
    <row r="52" spans="1:86" s="1923" customFormat="1" ht="15" customHeight="1" thickBot="1" x14ac:dyDescent="0.25">
      <c r="B52" s="1994"/>
      <c r="C52" s="1994" t="s">
        <v>191</v>
      </c>
      <c r="D52" s="1994"/>
      <c r="E52" s="2576"/>
      <c r="F52" s="2576"/>
      <c r="G52" s="2576"/>
      <c r="H52" s="2576"/>
      <c r="I52" s="2576"/>
      <c r="J52" s="2576"/>
      <c r="K52" s="2047"/>
      <c r="L52" s="1866"/>
      <c r="M52" s="1910"/>
      <c r="N52" s="2576"/>
      <c r="O52" s="2576"/>
      <c r="P52" s="2576"/>
      <c r="Q52" s="2576"/>
      <c r="R52" s="2576"/>
      <c r="S52" s="2576"/>
      <c r="T52" s="2576"/>
      <c r="U52" s="2576"/>
      <c r="V52" s="2576"/>
      <c r="W52" s="2576"/>
      <c r="X52" s="2576"/>
      <c r="Y52" s="1915"/>
      <c r="Z52" s="2576"/>
      <c r="AA52" s="2576"/>
      <c r="AB52" s="2576"/>
      <c r="AC52" s="2576"/>
      <c r="AD52" s="2576"/>
      <c r="AE52" s="2576"/>
      <c r="AF52" s="2576"/>
      <c r="AG52" s="1915"/>
      <c r="AH52" s="2576"/>
      <c r="AI52" s="2576"/>
      <c r="AJ52" s="2576"/>
      <c r="AK52" s="1915"/>
      <c r="AL52" s="2576"/>
      <c r="AM52" s="2576"/>
      <c r="AN52" s="2576"/>
      <c r="AO52" s="2576"/>
      <c r="AP52" s="2592"/>
      <c r="AQ52" s="2595"/>
      <c r="AR52" s="2576"/>
      <c r="AS52" s="2576"/>
      <c r="AT52" s="2576"/>
      <c r="AU52" s="2576"/>
      <c r="AV52" s="2576"/>
      <c r="AW52" s="2576"/>
      <c r="AX52" s="2576"/>
      <c r="AY52" s="2576"/>
      <c r="AZ52" s="2599"/>
      <c r="BA52" s="2599"/>
      <c r="BB52" s="2599"/>
      <c r="BC52" s="2606"/>
      <c r="BD52" s="2576"/>
      <c r="BE52" s="2576"/>
      <c r="BF52" s="2576"/>
      <c r="BG52" s="2576"/>
      <c r="BH52" s="2576"/>
      <c r="BI52" s="2576"/>
      <c r="BJ52" s="2576"/>
      <c r="BK52" s="2576"/>
      <c r="BL52" s="2576"/>
      <c r="BM52" s="2576"/>
      <c r="BN52" s="2576"/>
      <c r="BO52" s="2576"/>
      <c r="BP52" s="1915"/>
      <c r="BQ52" s="2576"/>
      <c r="BR52" s="2046"/>
      <c r="BS52" s="1994"/>
      <c r="BT52" s="4616" t="s">
        <v>99</v>
      </c>
      <c r="BU52" s="4616"/>
      <c r="BV52" s="2576"/>
      <c r="BW52" s="1915"/>
      <c r="BY52" s="1916"/>
      <c r="BZ52" s="2060" t="s">
        <v>159</v>
      </c>
      <c r="CA52" s="2061">
        <v>0.5</v>
      </c>
      <c r="CB52" s="2062" t="str">
        <f>IF(CB47&lt;=CA52,CB47," ")</f>
        <v xml:space="preserve"> </v>
      </c>
      <c r="CH52" s="1995"/>
    </row>
    <row r="53" spans="1:86" s="1740" customFormat="1" ht="15.75" x14ac:dyDescent="0.2">
      <c r="A53" s="2466"/>
      <c r="B53" s="2444">
        <v>30</v>
      </c>
      <c r="C53" s="2281" t="s">
        <v>245</v>
      </c>
      <c r="D53" s="2051"/>
      <c r="E53" s="2063">
        <v>118</v>
      </c>
      <c r="F53" s="2064">
        <f t="shared" ref="F53" si="266">E53/10</f>
        <v>11.8</v>
      </c>
      <c r="G53" s="2064">
        <f t="shared" ref="G53" si="267">E53/15</f>
        <v>7.8666666666666663</v>
      </c>
      <c r="H53" s="2064">
        <f t="shared" ref="H53" si="268">E53/20</f>
        <v>5.9</v>
      </c>
      <c r="I53" s="2064">
        <f t="shared" ref="I53" si="269">E53/25</f>
        <v>4.72</v>
      </c>
      <c r="J53" s="2065">
        <f t="shared" ref="J53:J59" si="270">E53/30</f>
        <v>3.9333333333333331</v>
      </c>
      <c r="K53" s="2066">
        <f>E53/$E$60</f>
        <v>0.36564657469725703</v>
      </c>
      <c r="L53" s="2465"/>
      <c r="M53" s="2131"/>
      <c r="N53" s="2282" t="e">
        <f>IF(N51&gt;$J$60,$J$53,IF(N51&lt;$J$60,(IF(N51&lt;0,0,N51*$K$53))))</f>
        <v>#REF!</v>
      </c>
      <c r="O53" s="2065" t="e">
        <f t="shared" ref="O53:P53" si="271">IF(O51&gt;$J$60,$J$53,IF(O51&lt;$J$60,(IF(O51&lt;0,0,O51*$K$53))))</f>
        <v>#REF!</v>
      </c>
      <c r="P53" s="2068" t="e">
        <f t="shared" si="271"/>
        <v>#REF!</v>
      </c>
      <c r="Q53" s="2068" t="e">
        <f t="shared" ref="Q53:R53" si="272">IF(Q51&gt;$J$60,$J$53,IF(Q51&lt;$J$60,(IF(Q51&lt;0,0,Q51*$K$53))))</f>
        <v>#REF!</v>
      </c>
      <c r="R53" s="2068" t="e">
        <f t="shared" si="272"/>
        <v>#REF!</v>
      </c>
      <c r="S53" s="2068" t="e">
        <f t="shared" ref="S53" si="273">IF(S51&gt;$J$60,$J$53,IF(S51&lt;$J$60,(IF(S51&lt;0,0,S51*$K$53))))</f>
        <v>#REF!</v>
      </c>
      <c r="T53" s="2069" t="e">
        <f t="shared" ref="T53" si="274">IF(T51&gt;$J$60,$J$53,IF(T51&lt;$J$60,(IF(T51&lt;0,0,T51*$K$53))))</f>
        <v>#REF!</v>
      </c>
      <c r="U53" s="1814"/>
      <c r="V53" s="2067" t="e">
        <f t="shared" si="28"/>
        <v>#REF!</v>
      </c>
      <c r="W53" s="2068">
        <f>$J$53*7</f>
        <v>27.533333333333331</v>
      </c>
      <c r="X53" s="2070" t="e">
        <f>V53-W53</f>
        <v>#REF!</v>
      </c>
      <c r="Y53" s="1814"/>
      <c r="Z53" s="2067" t="e">
        <f t="shared" ref="Z53:AD53" si="275">IF(Z51&gt;$J$60,$J$53,IF(Z51&lt;$J$60,(IF(Z51&lt;0,0,Z51*$K$53))))</f>
        <v>#REF!</v>
      </c>
      <c r="AA53" s="2068" t="e">
        <f t="shared" si="275"/>
        <v>#REF!</v>
      </c>
      <c r="AB53" s="2068" t="e">
        <f t="shared" si="275"/>
        <v>#REF!</v>
      </c>
      <c r="AC53" s="2068" t="e">
        <f t="shared" si="275"/>
        <v>#REF!</v>
      </c>
      <c r="AD53" s="2068" t="e">
        <f t="shared" si="275"/>
        <v>#REF!</v>
      </c>
      <c r="AE53" s="2068" t="e">
        <f t="shared" ref="AE53:AF53" si="276">IF(AE51&gt;$J$60,$J$53,IF(AE51&lt;$J$60,(IF(AE51&lt;0,0,AE51*$K$53))))</f>
        <v>#REF!</v>
      </c>
      <c r="AF53" s="2069" t="e">
        <f t="shared" si="276"/>
        <v>#REF!</v>
      </c>
      <c r="AG53" s="1814"/>
      <c r="AH53" s="2067" t="e">
        <f>SUM(Z53:AF53)</f>
        <v>#REF!</v>
      </c>
      <c r="AI53" s="2068">
        <f>$J$53*7</f>
        <v>27.533333333333331</v>
      </c>
      <c r="AJ53" s="2070" t="e">
        <f>AH53-AI53</f>
        <v>#REF!</v>
      </c>
      <c r="AK53" s="1814"/>
      <c r="AL53" s="2067" t="e">
        <f t="shared" ref="AL53" si="277">IF(AL51&gt;$J$60,$J$53,IF(AL51&lt;$J$60,(IF(AL51&lt;0,0,AL51*$K$53))))</f>
        <v>#REF!</v>
      </c>
      <c r="AM53" s="2065" t="e">
        <f t="shared" ref="AM53:AN53" si="278">IF(AM51&gt;$J$60,$J$53,IF(AM51&lt;$J$60,(IF(AM51&lt;0,0,AM51*$K$53))))</f>
        <v>#REF!</v>
      </c>
      <c r="AN53" s="2065" t="e">
        <f t="shared" si="278"/>
        <v>#REF!</v>
      </c>
      <c r="AO53" s="2065" t="e">
        <f t="shared" ref="AO53:AP53" si="279">IF(AO51&gt;$J$60,$J$53,IF(AO51&lt;$J$60,(IF(AO51&lt;0,0,AO51*$K$53))))</f>
        <v>#REF!</v>
      </c>
      <c r="AP53" s="2065" t="e">
        <f t="shared" si="279"/>
        <v>#REF!</v>
      </c>
      <c r="AQ53" s="2065" t="e">
        <f t="shared" ref="AQ53:AR53" si="280">IF(AQ51&gt;$J$60,$J$53,IF(AQ51&lt;$J$60,(IF(AQ51&lt;0,0,AQ51*$K$53))))</f>
        <v>#REF!</v>
      </c>
      <c r="AR53" s="2069" t="e">
        <f t="shared" si="280"/>
        <v>#REF!</v>
      </c>
      <c r="AS53" s="1814"/>
      <c r="AT53" s="2067" t="e">
        <f>SUM(AL53:AR53)</f>
        <v>#REF!</v>
      </c>
      <c r="AU53" s="2068">
        <f>$J$53*7</f>
        <v>27.533333333333331</v>
      </c>
      <c r="AV53" s="2070" t="e">
        <f>AT53-AU53</f>
        <v>#REF!</v>
      </c>
      <c r="AW53" s="1814"/>
      <c r="AX53" s="2067" t="e">
        <f t="shared" ref="AX53" si="281">IF(AX51&gt;$J$60,$J$53,IF(AX51&lt;$J$60,(IF(AX51&lt;0,0,AX51*$K$53))))</f>
        <v>#REF!</v>
      </c>
      <c r="AY53" s="2068" t="e">
        <f t="shared" ref="AY53:BB53" si="282">IF(AY51&gt;$J$60,$J$53,IF(AY51&lt;$J$60,(IF(AY51&lt;0,0,AY51*$K$53))))</f>
        <v>#REF!</v>
      </c>
      <c r="AZ53" s="2068" t="e">
        <f t="shared" si="282"/>
        <v>#REF!</v>
      </c>
      <c r="BA53" s="2068" t="e">
        <f t="shared" si="282"/>
        <v>#REF!</v>
      </c>
      <c r="BB53" s="2068" t="e">
        <f t="shared" si="282"/>
        <v>#REF!</v>
      </c>
      <c r="BC53" s="2068" t="e">
        <f t="shared" ref="BC53:BD53" si="283">IF(BC51&gt;$J$60,$J$53,IF(BC51&lt;$J$60,(IF(BC51&lt;0,0,BC51*$K$53))))</f>
        <v>#REF!</v>
      </c>
      <c r="BD53" s="2069" t="e">
        <f t="shared" si="283"/>
        <v>#REF!</v>
      </c>
      <c r="BE53" s="1814"/>
      <c r="BF53" s="2067" t="e">
        <f>SUM(AX53:BD53)</f>
        <v>#REF!</v>
      </c>
      <c r="BG53" s="2068">
        <f>$J$53*7</f>
        <v>27.533333333333331</v>
      </c>
      <c r="BH53" s="2070" t="e">
        <f>BF53-BG53</f>
        <v>#REF!</v>
      </c>
      <c r="BI53" s="1814"/>
      <c r="BJ53" s="2067" t="e">
        <f t="shared" ref="BJ53:BK53" si="284">IF(BJ51&gt;$J$60,$J$53,IF(BJ51&lt;$J$60,(IF(BJ51&lt;0,0,BJ51*$K$53))))</f>
        <v>#REF!</v>
      </c>
      <c r="BK53" s="2065" t="e">
        <f t="shared" si="284"/>
        <v>#REF!</v>
      </c>
      <c r="BL53" s="1814"/>
      <c r="BM53" s="2067" t="e">
        <f t="shared" ref="BM53:BM59" si="285">SUM(BJ53:BK53)</f>
        <v>#REF!</v>
      </c>
      <c r="BN53" s="2068">
        <f>$J$53*2</f>
        <v>7.8666666666666663</v>
      </c>
      <c r="BO53" s="2070" t="e">
        <f>BM53-BN53</f>
        <v>#REF!</v>
      </c>
      <c r="BQ53" s="2067"/>
      <c r="BR53" s="2071"/>
      <c r="BT53" s="2067" t="e">
        <f t="shared" ref="BT53:BT59" si="286">SUM(N53:T53)+SUM(Z53:AF53)+SUM(AL53:AR53)+SUM(AX53:BD53)+SUM(BJ53:BK53)</f>
        <v>#REF!</v>
      </c>
      <c r="BU53" s="2072" t="e">
        <f t="shared" ref="BU53:BU60" si="287">BT53/E53</f>
        <v>#REF!</v>
      </c>
      <c r="BV53" s="2351"/>
      <c r="BW53" s="4623" t="e">
        <f>BU60-BT1</f>
        <v>#REF!</v>
      </c>
      <c r="BY53" s="4626"/>
      <c r="BZ53" s="1830" t="s">
        <v>160</v>
      </c>
      <c r="CA53" s="2131">
        <v>0.75</v>
      </c>
      <c r="CB53" s="1830" t="str">
        <f>IF(AND(CB47&gt;CA52,CB47&lt;=CA53),CB47," ")</f>
        <v xml:space="preserve"> </v>
      </c>
      <c r="CC53" s="1861"/>
      <c r="CD53" s="1861"/>
      <c r="CE53" s="1861"/>
      <c r="CF53" s="1861"/>
      <c r="CG53" s="1861"/>
      <c r="CH53" s="2467"/>
    </row>
    <row r="54" spans="1:86" x14ac:dyDescent="0.2">
      <c r="B54" s="2182">
        <v>31</v>
      </c>
      <c r="C54" s="2175" t="s">
        <v>241</v>
      </c>
      <c r="D54" s="2073"/>
      <c r="E54" s="2074">
        <v>83</v>
      </c>
      <c r="F54" s="2075">
        <f>E54/10</f>
        <v>8.3000000000000007</v>
      </c>
      <c r="G54" s="2075">
        <f>E54/15</f>
        <v>5.5333333333333332</v>
      </c>
      <c r="H54" s="2075">
        <f>E54/20</f>
        <v>4.1500000000000004</v>
      </c>
      <c r="I54" s="2075">
        <f>E54/25</f>
        <v>3.32</v>
      </c>
      <c r="J54" s="2075">
        <f t="shared" si="270"/>
        <v>2.7666666666666666</v>
      </c>
      <c r="K54" s="2076">
        <f t="shared" ref="K54:K59" si="288">E54/$E$60</f>
        <v>0.25719208220230788</v>
      </c>
      <c r="L54" s="1866"/>
      <c r="M54" s="1867"/>
      <c r="N54" s="2283" t="e">
        <f>IF(N51&gt;$J$60,$J$54,IF(N51&lt;$J$60,(IF(N51&lt;0,0,N51*$K$54))))</f>
        <v>#REF!</v>
      </c>
      <c r="O54" s="2075" t="e">
        <f t="shared" ref="O54:P54" si="289">IF(O51&gt;$J$60,$J$54,IF(O51&lt;$J$60,(IF(O51&lt;0,0,O51*$K$54))))</f>
        <v>#REF!</v>
      </c>
      <c r="P54" s="2074" t="e">
        <f t="shared" si="289"/>
        <v>#REF!</v>
      </c>
      <c r="Q54" s="2074" t="e">
        <f t="shared" ref="Q54:R54" si="290">IF(Q51&gt;$J$60,$J$54,IF(Q51&lt;$J$60,(IF(Q51&lt;0,0,Q51*$K$54))))</f>
        <v>#REF!</v>
      </c>
      <c r="R54" s="2074" t="e">
        <f t="shared" si="290"/>
        <v>#REF!</v>
      </c>
      <c r="S54" s="2074" t="e">
        <f t="shared" ref="S54" si="291">IF(S51&gt;$J$60,$J$54,IF(S51&lt;$J$60,(IF(S51&lt;0,0,S51*$K$54))))</f>
        <v>#REF!</v>
      </c>
      <c r="T54" s="2078" t="e">
        <f t="shared" ref="T54" si="292">IF(T51&gt;$J$60,$J$54,IF(T51&lt;$J$60,(IF(T51&lt;0,0,T51*$K$54))))</f>
        <v>#REF!</v>
      </c>
      <c r="U54" s="1801"/>
      <c r="V54" s="2077" t="e">
        <f t="shared" si="28"/>
        <v>#REF!</v>
      </c>
      <c r="W54" s="2074">
        <f>$J$54*7</f>
        <v>19.366666666666667</v>
      </c>
      <c r="X54" s="2079" t="e">
        <f t="shared" ref="X54:X72" si="293">V54-W54</f>
        <v>#REF!</v>
      </c>
      <c r="Y54" s="1791"/>
      <c r="Z54" s="2077" t="e">
        <f t="shared" ref="Z54:AD54" si="294">IF(Z51&gt;$J$60,$J$54,IF(Z51&lt;$J$60,(IF(Z51&lt;0,0,Z51*$K$54))))</f>
        <v>#REF!</v>
      </c>
      <c r="AA54" s="2074" t="e">
        <f t="shared" si="294"/>
        <v>#REF!</v>
      </c>
      <c r="AB54" s="2074" t="e">
        <f t="shared" si="294"/>
        <v>#REF!</v>
      </c>
      <c r="AC54" s="2074" t="e">
        <f t="shared" si="294"/>
        <v>#REF!</v>
      </c>
      <c r="AD54" s="2074" t="e">
        <f t="shared" si="294"/>
        <v>#REF!</v>
      </c>
      <c r="AE54" s="2074" t="e">
        <f t="shared" ref="AE54:AF54" si="295">IF(AE51&gt;$J$60,$J$54,IF(AE51&lt;$J$60,(IF(AE51&lt;0,0,AE51*$K$54))))</f>
        <v>#REF!</v>
      </c>
      <c r="AF54" s="2078" t="e">
        <f t="shared" si="295"/>
        <v>#REF!</v>
      </c>
      <c r="AG54" s="1791"/>
      <c r="AH54" s="2077" t="e">
        <f t="shared" ref="AH54:AH72" si="296">SUM(Z54:AF54)</f>
        <v>#REF!</v>
      </c>
      <c r="AI54" s="2074">
        <f>$J$54*7</f>
        <v>19.366666666666667</v>
      </c>
      <c r="AJ54" s="2079" t="e">
        <f t="shared" ref="AJ54:AJ72" si="297">AH54-AI54</f>
        <v>#REF!</v>
      </c>
      <c r="AK54" s="1791"/>
      <c r="AL54" s="2077" t="e">
        <f t="shared" ref="AL54" si="298">IF(AL51&gt;$J$60,$J$54,IF(AL51&lt;$J$60,(IF(AL51&lt;0,0,AL51*$K$54))))</f>
        <v>#REF!</v>
      </c>
      <c r="AM54" s="2075" t="e">
        <f t="shared" ref="AM54:AN54" si="299">IF(AM51&gt;$J$60,$J$54,IF(AM51&lt;$J$60,(IF(AM51&lt;0,0,AM51*$K$54))))</f>
        <v>#REF!</v>
      </c>
      <c r="AN54" s="2075" t="e">
        <f t="shared" si="299"/>
        <v>#REF!</v>
      </c>
      <c r="AO54" s="2075" t="e">
        <f t="shared" ref="AO54:AP54" si="300">IF(AO51&gt;$J$60,$J$54,IF(AO51&lt;$J$60,(IF(AO51&lt;0,0,AO51*$K$54))))</f>
        <v>#REF!</v>
      </c>
      <c r="AP54" s="2075" t="e">
        <f t="shared" si="300"/>
        <v>#REF!</v>
      </c>
      <c r="AQ54" s="2075" t="e">
        <f t="shared" ref="AQ54:AR54" si="301">IF(AQ51&gt;$J$60,$J$54,IF(AQ51&lt;$J$60,(IF(AQ51&lt;0,0,AQ51*$K$54))))</f>
        <v>#REF!</v>
      </c>
      <c r="AR54" s="2078" t="e">
        <f t="shared" si="301"/>
        <v>#REF!</v>
      </c>
      <c r="AS54" s="1801"/>
      <c r="AT54" s="2077" t="e">
        <f t="shared" ref="AT54:AT59" si="302">SUM(AL54:AR54)</f>
        <v>#REF!</v>
      </c>
      <c r="AU54" s="2074">
        <f>$J$54*7</f>
        <v>19.366666666666667</v>
      </c>
      <c r="AV54" s="2079" t="e">
        <f t="shared" ref="AV54:AV59" si="303">AT54-AU54</f>
        <v>#REF!</v>
      </c>
      <c r="AW54" s="1801"/>
      <c r="AX54" s="2077" t="e">
        <f t="shared" ref="AX54" si="304">IF(AX51&gt;$J$60,$J$54,IF(AX51&lt;$J$60,(IF(AX51&lt;0,0,AX51*$K$54))))</f>
        <v>#REF!</v>
      </c>
      <c r="AY54" s="2074" t="e">
        <f t="shared" ref="AY54:BB54" si="305">IF(AY51&gt;$J$60,$J$54,IF(AY51&lt;$J$60,(IF(AY51&lt;0,0,AY51*$K$54))))</f>
        <v>#REF!</v>
      </c>
      <c r="AZ54" s="2074" t="e">
        <f t="shared" si="305"/>
        <v>#REF!</v>
      </c>
      <c r="BA54" s="2074" t="e">
        <f t="shared" si="305"/>
        <v>#REF!</v>
      </c>
      <c r="BB54" s="2074" t="e">
        <f t="shared" si="305"/>
        <v>#REF!</v>
      </c>
      <c r="BC54" s="2074" t="e">
        <f t="shared" ref="BC54:BD54" si="306">IF(BC51&gt;$J$60,$J$54,IF(BC51&lt;$J$60,(IF(BC51&lt;0,0,BC51*$K$54))))</f>
        <v>#REF!</v>
      </c>
      <c r="BD54" s="2078" t="e">
        <f t="shared" si="306"/>
        <v>#REF!</v>
      </c>
      <c r="BE54" s="1801"/>
      <c r="BF54" s="2077" t="e">
        <f t="shared" ref="BF54:BF59" si="307">SUM(AX54:BD54)</f>
        <v>#REF!</v>
      </c>
      <c r="BG54" s="2074">
        <f>$J$54*7</f>
        <v>19.366666666666667</v>
      </c>
      <c r="BH54" s="2079" t="e">
        <f t="shared" ref="BH54:BH59" si="308">BF54-BG54</f>
        <v>#REF!</v>
      </c>
      <c r="BI54" s="1801"/>
      <c r="BJ54" s="2077" t="e">
        <f t="shared" ref="BJ54:BK54" si="309">IF(BJ51&gt;$J$60,$J$54,IF(BJ51&lt;$J$60,(IF(BJ51&lt;0,0,BJ51*$K$54))))</f>
        <v>#REF!</v>
      </c>
      <c r="BK54" s="2075" t="e">
        <f t="shared" si="309"/>
        <v>#REF!</v>
      </c>
      <c r="BL54" s="1801"/>
      <c r="BM54" s="2077" t="e">
        <f t="shared" si="285"/>
        <v>#REF!</v>
      </c>
      <c r="BN54" s="2074">
        <f>$J$54*2</f>
        <v>5.5333333333333332</v>
      </c>
      <c r="BO54" s="2079" t="e">
        <f t="shared" ref="BO54:BO59" si="310">BM54-BN54</f>
        <v>#REF!</v>
      </c>
      <c r="BQ54" s="2077"/>
      <c r="BR54" s="2080"/>
      <c r="BS54" s="1754"/>
      <c r="BT54" s="2077" t="e">
        <f t="shared" si="286"/>
        <v>#REF!</v>
      </c>
      <c r="BU54" s="2081" t="e">
        <f t="shared" si="287"/>
        <v>#REF!</v>
      </c>
      <c r="BV54" s="2352"/>
      <c r="BW54" s="4624"/>
      <c r="BY54" s="4626"/>
      <c r="BZ54" s="2082" t="s">
        <v>161</v>
      </c>
      <c r="CA54" s="2083">
        <v>1</v>
      </c>
      <c r="CB54" s="2084">
        <f>IF(CB47&gt;CA53,CB47," ")</f>
        <v>1</v>
      </c>
      <c r="CC54" s="1923"/>
      <c r="CD54" s="1923"/>
      <c r="CE54" s="1923"/>
      <c r="CF54" s="1923"/>
      <c r="CG54" s="1923"/>
      <c r="CH54" s="1995"/>
    </row>
    <row r="55" spans="1:86" s="1726" customFormat="1" x14ac:dyDescent="0.2">
      <c r="B55" s="2085">
        <v>32</v>
      </c>
      <c r="C55" s="2086" t="s">
        <v>117</v>
      </c>
      <c r="D55" s="2051"/>
      <c r="E55" s="2087">
        <v>37</v>
      </c>
      <c r="F55" s="2088">
        <f t="shared" ref="F55:F59" si="311">E55/10</f>
        <v>3.7</v>
      </c>
      <c r="G55" s="2088">
        <f t="shared" ref="G55:G59" si="312">E55/15</f>
        <v>2.4666666666666668</v>
      </c>
      <c r="H55" s="2088">
        <f t="shared" ref="H55:H59" si="313">E55/20</f>
        <v>1.85</v>
      </c>
      <c r="I55" s="2088">
        <f t="shared" ref="I55:I59" si="314">E55/25</f>
        <v>1.48</v>
      </c>
      <c r="J55" s="2088">
        <f t="shared" si="270"/>
        <v>1.2333333333333334</v>
      </c>
      <c r="K55" s="2089">
        <f t="shared" si="288"/>
        <v>0.11465189206608907</v>
      </c>
      <c r="L55" s="1931"/>
      <c r="M55" s="1924"/>
      <c r="N55" s="2284" t="e">
        <f>IF(N51&gt;$J$60,$J$55,IF(N51&lt;$J$60,(IF(N51&lt;0,0,N51*$K$55))))</f>
        <v>#REF!</v>
      </c>
      <c r="O55" s="2088" t="e">
        <f t="shared" ref="O55:P55" si="315">IF(O51&gt;$J$60,$J$55,IF(O51&lt;$J$60,(IF(O51&lt;0,0,O51*$K$55))))</f>
        <v>#REF!</v>
      </c>
      <c r="P55" s="2087" t="e">
        <f t="shared" si="315"/>
        <v>#REF!</v>
      </c>
      <c r="Q55" s="2087" t="e">
        <f t="shared" ref="Q55:R55" si="316">IF(Q51&gt;$J$60,$J$55,IF(Q51&lt;$J$60,(IF(Q51&lt;0,0,Q51*$K$55))))</f>
        <v>#REF!</v>
      </c>
      <c r="R55" s="2087" t="e">
        <f t="shared" si="316"/>
        <v>#REF!</v>
      </c>
      <c r="S55" s="2087" t="e">
        <f t="shared" ref="S55" si="317">IF(S51&gt;$J$60,$J$55,IF(S51&lt;$J$60,(IF(S51&lt;0,0,S51*$K$55))))</f>
        <v>#REF!</v>
      </c>
      <c r="T55" s="2091" t="e">
        <f t="shared" ref="T55" si="318">IF(T51&gt;$J$60,$J$55,IF(T51&lt;$J$60,(IF(T51&lt;0,0,T51*$K$55))))</f>
        <v>#REF!</v>
      </c>
      <c r="U55" s="1814"/>
      <c r="V55" s="2090" t="e">
        <f t="shared" si="28"/>
        <v>#REF!</v>
      </c>
      <c r="W55" s="2088">
        <f>$J$55*7</f>
        <v>8.6333333333333329</v>
      </c>
      <c r="X55" s="2091" t="e">
        <f t="shared" si="293"/>
        <v>#REF!</v>
      </c>
      <c r="Y55" s="1766"/>
      <c r="Z55" s="2090" t="e">
        <f t="shared" ref="Z55:AD55" si="319">IF(Z51&gt;$J$60,$J$55,IF(Z51&lt;$J$60,(IF(Z51&lt;0,0,Z51*$K$55))))</f>
        <v>#REF!</v>
      </c>
      <c r="AA55" s="2088" t="e">
        <f t="shared" si="319"/>
        <v>#REF!</v>
      </c>
      <c r="AB55" s="2088" t="e">
        <f t="shared" si="319"/>
        <v>#REF!</v>
      </c>
      <c r="AC55" s="2088" t="e">
        <f t="shared" si="319"/>
        <v>#REF!</v>
      </c>
      <c r="AD55" s="2088" t="e">
        <f t="shared" si="319"/>
        <v>#REF!</v>
      </c>
      <c r="AE55" s="2088" t="e">
        <f t="shared" ref="AE55:AF55" si="320">IF(AE51&gt;$J$60,$J$55,IF(AE51&lt;$J$60,(IF(AE51&lt;0,0,AE51*$K$55))))</f>
        <v>#REF!</v>
      </c>
      <c r="AF55" s="2091" t="e">
        <f t="shared" si="320"/>
        <v>#REF!</v>
      </c>
      <c r="AG55" s="1766"/>
      <c r="AH55" s="2090" t="e">
        <f t="shared" si="296"/>
        <v>#REF!</v>
      </c>
      <c r="AI55" s="2088">
        <f>$J$55*7</f>
        <v>8.6333333333333329</v>
      </c>
      <c r="AJ55" s="2091" t="e">
        <f t="shared" si="297"/>
        <v>#REF!</v>
      </c>
      <c r="AK55" s="1766"/>
      <c r="AL55" s="2090" t="e">
        <f t="shared" ref="AL55" si="321">IF(AL51&gt;$J$60,$J$55,IF(AL51&lt;$J$60,(IF(AL51&lt;0,0,AL51*$K$55))))</f>
        <v>#REF!</v>
      </c>
      <c r="AM55" s="2088" t="e">
        <f t="shared" ref="AM55:AN55" si="322">IF(AM51&gt;$J$60,$J$55,IF(AM51&lt;$J$60,(IF(AM51&lt;0,0,AM51*$K$55))))</f>
        <v>#REF!</v>
      </c>
      <c r="AN55" s="2088" t="e">
        <f t="shared" si="322"/>
        <v>#REF!</v>
      </c>
      <c r="AO55" s="2088" t="e">
        <f t="shared" ref="AO55:AP55" si="323">IF(AO51&gt;$J$60,$J$55,IF(AO51&lt;$J$60,(IF(AO51&lt;0,0,AO51*$K$55))))</f>
        <v>#REF!</v>
      </c>
      <c r="AP55" s="2088" t="e">
        <f t="shared" si="323"/>
        <v>#REF!</v>
      </c>
      <c r="AQ55" s="2088" t="e">
        <f t="shared" ref="AQ55:AR55" si="324">IF(AQ51&gt;$J$60,$J$55,IF(AQ51&lt;$J$60,(IF(AQ51&lt;0,0,AQ51*$K$55))))</f>
        <v>#REF!</v>
      </c>
      <c r="AR55" s="2091" t="e">
        <f t="shared" si="324"/>
        <v>#REF!</v>
      </c>
      <c r="AS55" s="1814"/>
      <c r="AT55" s="2090" t="e">
        <f t="shared" si="302"/>
        <v>#REF!</v>
      </c>
      <c r="AU55" s="2088">
        <f>$J$55*7</f>
        <v>8.6333333333333329</v>
      </c>
      <c r="AV55" s="2091" t="e">
        <f t="shared" si="303"/>
        <v>#REF!</v>
      </c>
      <c r="AW55" s="1814"/>
      <c r="AX55" s="2090" t="e">
        <f t="shared" ref="AX55" si="325">IF(AX51&gt;$J$60,$J$55,IF(AX51&lt;$J$60,(IF(AX51&lt;0,0,AX51*$K$55))))</f>
        <v>#REF!</v>
      </c>
      <c r="AY55" s="2087" t="e">
        <f t="shared" ref="AY55:BB55" si="326">IF(AY51&gt;$J$60,$J$55,IF(AY51&lt;$J$60,(IF(AY51&lt;0,0,AY51*$K$55))))</f>
        <v>#REF!</v>
      </c>
      <c r="AZ55" s="2087" t="e">
        <f t="shared" si="326"/>
        <v>#REF!</v>
      </c>
      <c r="BA55" s="2087" t="e">
        <f t="shared" si="326"/>
        <v>#REF!</v>
      </c>
      <c r="BB55" s="2087" t="e">
        <f t="shared" si="326"/>
        <v>#REF!</v>
      </c>
      <c r="BC55" s="2087" t="e">
        <f t="shared" ref="BC55:BD55" si="327">IF(BC51&gt;$J$60,$J$55,IF(BC51&lt;$J$60,(IF(BC51&lt;0,0,BC51*$K$55))))</f>
        <v>#REF!</v>
      </c>
      <c r="BD55" s="2091" t="e">
        <f t="shared" si="327"/>
        <v>#REF!</v>
      </c>
      <c r="BE55" s="1814"/>
      <c r="BF55" s="2090" t="e">
        <f t="shared" si="307"/>
        <v>#REF!</v>
      </c>
      <c r="BG55" s="2088">
        <f>$J$55*7</f>
        <v>8.6333333333333329</v>
      </c>
      <c r="BH55" s="2091" t="e">
        <f t="shared" si="308"/>
        <v>#REF!</v>
      </c>
      <c r="BI55" s="1814"/>
      <c r="BJ55" s="2090" t="e">
        <f t="shared" ref="BJ55:BK55" si="328">IF(BJ51&gt;$J$60,$J$55,IF(BJ51&lt;$J$60,(IF(BJ51&lt;0,0,BJ51*$K$55))))</f>
        <v>#REF!</v>
      </c>
      <c r="BK55" s="2088" t="e">
        <f t="shared" si="328"/>
        <v>#REF!</v>
      </c>
      <c r="BL55" s="1814"/>
      <c r="BM55" s="2090" t="e">
        <f t="shared" si="285"/>
        <v>#REF!</v>
      </c>
      <c r="BN55" s="2088">
        <f>$J$55*2</f>
        <v>2.4666666666666668</v>
      </c>
      <c r="BO55" s="2091" t="e">
        <f t="shared" si="310"/>
        <v>#REF!</v>
      </c>
      <c r="BQ55" s="2092"/>
      <c r="BR55" s="2093"/>
      <c r="BS55" s="1740"/>
      <c r="BT55" s="2092" t="e">
        <f t="shared" si="286"/>
        <v>#REF!</v>
      </c>
      <c r="BU55" s="2094" t="e">
        <f t="shared" si="287"/>
        <v>#REF!</v>
      </c>
      <c r="BV55" s="2351"/>
      <c r="BW55" s="4624"/>
      <c r="BY55" s="4626"/>
      <c r="BZ55" s="1997"/>
      <c r="CA55" s="2059" t="s">
        <v>158</v>
      </c>
      <c r="CB55" s="2037">
        <f>MAX(100%,CB47)-CB47</f>
        <v>0</v>
      </c>
      <c r="CC55" s="1860"/>
      <c r="CD55" s="1860"/>
      <c r="CE55" s="1860"/>
      <c r="CF55" s="1860"/>
      <c r="CG55" s="1860"/>
      <c r="CH55" s="1998"/>
    </row>
    <row r="56" spans="1:86" x14ac:dyDescent="0.2">
      <c r="A56" s="1777"/>
      <c r="B56" s="2095">
        <v>33</v>
      </c>
      <c r="C56" s="2096" t="s">
        <v>243</v>
      </c>
      <c r="D56" s="2073"/>
      <c r="E56" s="2074">
        <v>29</v>
      </c>
      <c r="F56" s="2075">
        <f t="shared" si="311"/>
        <v>2.9</v>
      </c>
      <c r="G56" s="2075">
        <f t="shared" si="312"/>
        <v>1.9333333333333333</v>
      </c>
      <c r="H56" s="2075">
        <f t="shared" si="313"/>
        <v>1.45</v>
      </c>
      <c r="I56" s="2075">
        <f t="shared" si="314"/>
        <v>1.1599999999999999</v>
      </c>
      <c r="J56" s="2075">
        <f t="shared" si="270"/>
        <v>0.96666666666666667</v>
      </c>
      <c r="K56" s="2076">
        <f t="shared" si="288"/>
        <v>8.9862293781529268E-2</v>
      </c>
      <c r="L56" s="1866"/>
      <c r="M56" s="1867"/>
      <c r="N56" s="2283" t="e">
        <f>IF(N51&gt;$J$60,$J$56,IF(N51&lt;$J$60,(IF(N51&lt;0,0,N51*$K$56))))</f>
        <v>#REF!</v>
      </c>
      <c r="O56" s="2075" t="e">
        <f t="shared" ref="O56:P56" si="329">IF(O51&gt;$J$60,$J$56,IF(O51&lt;$J$60,(IF(O51&lt;0,0,O51*$K$56))))</f>
        <v>#REF!</v>
      </c>
      <c r="P56" s="2074" t="e">
        <f t="shared" si="329"/>
        <v>#REF!</v>
      </c>
      <c r="Q56" s="2074" t="e">
        <f t="shared" ref="Q56:R56" si="330">IF(Q51&gt;$J$60,$J$56,IF(Q51&lt;$J$60,(IF(Q51&lt;0,0,Q51*$K$56))))</f>
        <v>#REF!</v>
      </c>
      <c r="R56" s="2074" t="e">
        <f t="shared" si="330"/>
        <v>#REF!</v>
      </c>
      <c r="S56" s="2074" t="e">
        <f t="shared" ref="S56" si="331">IF(S51&gt;$J$60,$J$56,IF(S51&lt;$J$60,(IF(S51&lt;0,0,S51*$K$56))))</f>
        <v>#REF!</v>
      </c>
      <c r="T56" s="2078" t="e">
        <f t="shared" ref="T56" si="332">IF(T51&gt;$J$60,$J$56,IF(T51&lt;$J$60,(IF(T51&lt;0,0,T51*$K$56))))</f>
        <v>#REF!</v>
      </c>
      <c r="U56" s="1801"/>
      <c r="V56" s="2077" t="e">
        <f t="shared" si="28"/>
        <v>#REF!</v>
      </c>
      <c r="W56" s="2075">
        <f>$J$56*7</f>
        <v>6.7666666666666666</v>
      </c>
      <c r="X56" s="2078" t="e">
        <f t="shared" si="293"/>
        <v>#REF!</v>
      </c>
      <c r="Y56" s="1791"/>
      <c r="Z56" s="2077" t="e">
        <f t="shared" ref="Z56:AD56" si="333">IF(Z51&gt;$J$60,$J$56,IF(Z51&lt;$J$60,(IF(Z51&lt;0,0,Z51*$K$56))))</f>
        <v>#REF!</v>
      </c>
      <c r="AA56" s="2075" t="e">
        <f t="shared" si="333"/>
        <v>#REF!</v>
      </c>
      <c r="AB56" s="2075" t="e">
        <f t="shared" si="333"/>
        <v>#REF!</v>
      </c>
      <c r="AC56" s="2075" t="e">
        <f t="shared" si="333"/>
        <v>#REF!</v>
      </c>
      <c r="AD56" s="2075" t="e">
        <f t="shared" si="333"/>
        <v>#REF!</v>
      </c>
      <c r="AE56" s="2075" t="e">
        <f t="shared" ref="AE56:AF56" si="334">IF(AE51&gt;$J$60,$J$56,IF(AE51&lt;$J$60,(IF(AE51&lt;0,0,AE51*$K$56))))</f>
        <v>#REF!</v>
      </c>
      <c r="AF56" s="2078" t="e">
        <f t="shared" si="334"/>
        <v>#REF!</v>
      </c>
      <c r="AG56" s="1791"/>
      <c r="AH56" s="2077" t="e">
        <f t="shared" si="296"/>
        <v>#REF!</v>
      </c>
      <c r="AI56" s="2075">
        <f>$J$56*7</f>
        <v>6.7666666666666666</v>
      </c>
      <c r="AJ56" s="2078" t="e">
        <f t="shared" si="297"/>
        <v>#REF!</v>
      </c>
      <c r="AK56" s="1791"/>
      <c r="AL56" s="2077" t="e">
        <f t="shared" ref="AL56" si="335">IF(AL51&gt;$J$60,$J$56,IF(AL51&lt;$J$60,(IF(AL51&lt;0,0,AL51*$K$56))))</f>
        <v>#REF!</v>
      </c>
      <c r="AM56" s="2075" t="e">
        <f t="shared" ref="AM56:AN56" si="336">IF(AM51&gt;$J$60,$J$56,IF(AM51&lt;$J$60,(IF(AM51&lt;0,0,AM51*$K$56))))</f>
        <v>#REF!</v>
      </c>
      <c r="AN56" s="2075" t="e">
        <f t="shared" si="336"/>
        <v>#REF!</v>
      </c>
      <c r="AO56" s="2075" t="e">
        <f t="shared" ref="AO56:AP56" si="337">IF(AO51&gt;$J$60,$J$56,IF(AO51&lt;$J$60,(IF(AO51&lt;0,0,AO51*$K$56))))</f>
        <v>#REF!</v>
      </c>
      <c r="AP56" s="2075" t="e">
        <f t="shared" si="337"/>
        <v>#REF!</v>
      </c>
      <c r="AQ56" s="2075" t="e">
        <f t="shared" ref="AQ56:AR56" si="338">IF(AQ51&gt;$J$60,$J$56,IF(AQ51&lt;$J$60,(IF(AQ51&lt;0,0,AQ51*$K$56))))</f>
        <v>#REF!</v>
      </c>
      <c r="AR56" s="2078" t="e">
        <f t="shared" si="338"/>
        <v>#REF!</v>
      </c>
      <c r="AS56" s="1801"/>
      <c r="AT56" s="2077" t="e">
        <f t="shared" si="302"/>
        <v>#REF!</v>
      </c>
      <c r="AU56" s="2075">
        <f>$J$56*7</f>
        <v>6.7666666666666666</v>
      </c>
      <c r="AV56" s="2078" t="e">
        <f t="shared" si="303"/>
        <v>#REF!</v>
      </c>
      <c r="AW56" s="1801"/>
      <c r="AX56" s="2077" t="e">
        <f t="shared" ref="AX56" si="339">IF(AX51&gt;$J$60,$J$56,IF(AX51&lt;$J$60,(IF(AX51&lt;0,0,AX51*$K$56))))</f>
        <v>#REF!</v>
      </c>
      <c r="AY56" s="2074" t="e">
        <f t="shared" ref="AY56:BB56" si="340">IF(AY51&gt;$J$60,$J$56,IF(AY51&lt;$J$60,(IF(AY51&lt;0,0,AY51*$K$56))))</f>
        <v>#REF!</v>
      </c>
      <c r="AZ56" s="2074" t="e">
        <f t="shared" si="340"/>
        <v>#REF!</v>
      </c>
      <c r="BA56" s="2074" t="e">
        <f t="shared" si="340"/>
        <v>#REF!</v>
      </c>
      <c r="BB56" s="2074" t="e">
        <f t="shared" si="340"/>
        <v>#REF!</v>
      </c>
      <c r="BC56" s="2074" t="e">
        <f t="shared" ref="BC56:BD56" si="341">IF(BC51&gt;$J$60,$J$56,IF(BC51&lt;$J$60,(IF(BC51&lt;0,0,BC51*$K$56))))</f>
        <v>#REF!</v>
      </c>
      <c r="BD56" s="2078" t="e">
        <f t="shared" si="341"/>
        <v>#REF!</v>
      </c>
      <c r="BE56" s="1801"/>
      <c r="BF56" s="2077" t="e">
        <f t="shared" si="307"/>
        <v>#REF!</v>
      </c>
      <c r="BG56" s="2075">
        <f>$J$56*7</f>
        <v>6.7666666666666666</v>
      </c>
      <c r="BH56" s="2078" t="e">
        <f t="shared" si="308"/>
        <v>#REF!</v>
      </c>
      <c r="BI56" s="1801"/>
      <c r="BJ56" s="2077" t="e">
        <f t="shared" ref="BJ56:BK56" si="342">IF(BJ51&gt;$J$60,$J$56,IF(BJ51&lt;$J$60,(IF(BJ51&lt;0,0,BJ51*$K$56))))</f>
        <v>#REF!</v>
      </c>
      <c r="BK56" s="2075" t="e">
        <f t="shared" si="342"/>
        <v>#REF!</v>
      </c>
      <c r="BL56" s="1801"/>
      <c r="BM56" s="2077" t="e">
        <f t="shared" si="285"/>
        <v>#REF!</v>
      </c>
      <c r="BN56" s="2075">
        <f>$J$56*2</f>
        <v>1.9333333333333333</v>
      </c>
      <c r="BO56" s="2078" t="e">
        <f t="shared" si="310"/>
        <v>#REF!</v>
      </c>
      <c r="BQ56" s="2097"/>
      <c r="BR56" s="2098"/>
      <c r="BS56" s="1754"/>
      <c r="BT56" s="2097" t="e">
        <f t="shared" si="286"/>
        <v>#REF!</v>
      </c>
      <c r="BU56" s="2099" t="e">
        <f t="shared" si="287"/>
        <v>#REF!</v>
      </c>
      <c r="BV56" s="2352"/>
      <c r="BW56" s="4624"/>
      <c r="BY56" s="4626"/>
      <c r="BZ56" s="1916"/>
      <c r="CA56" s="1916"/>
      <c r="CB56" s="1923"/>
      <c r="CC56" s="1923"/>
      <c r="CD56" s="1923"/>
      <c r="CE56" s="1923"/>
      <c r="CF56" s="1923"/>
      <c r="CG56" s="1923"/>
      <c r="CH56" s="1995"/>
    </row>
    <row r="57" spans="1:86" s="1726" customFormat="1" x14ac:dyDescent="0.2">
      <c r="B57" s="2085">
        <v>34</v>
      </c>
      <c r="C57" s="2086" t="s">
        <v>118</v>
      </c>
      <c r="D57" s="2051"/>
      <c r="E57" s="2087">
        <v>26.716000000000001</v>
      </c>
      <c r="F57" s="2088">
        <f t="shared" si="311"/>
        <v>2.6716000000000002</v>
      </c>
      <c r="G57" s="2088">
        <f t="shared" si="312"/>
        <v>1.7810666666666668</v>
      </c>
      <c r="H57" s="2088">
        <f t="shared" si="313"/>
        <v>1.3358000000000001</v>
      </c>
      <c r="I57" s="2088">
        <f t="shared" si="314"/>
        <v>1.06864</v>
      </c>
      <c r="J57" s="2088">
        <f t="shared" si="270"/>
        <v>0.8905333333333334</v>
      </c>
      <c r="K57" s="2089">
        <f t="shared" si="288"/>
        <v>8.2784863471287454E-2</v>
      </c>
      <c r="L57" s="1931"/>
      <c r="M57" s="1924"/>
      <c r="N57" s="2284" t="e">
        <f>IF(N51&gt;$J$60,$J$57,IF(N51&lt;$J$60,(IF(N51&lt;0,0,N51*$K$57))))</f>
        <v>#REF!</v>
      </c>
      <c r="O57" s="2088" t="e">
        <f t="shared" ref="O57:P57" si="343">IF(O51&gt;$J$60,$J$57,IF(O51&lt;$J$60,(IF(O51&lt;0,0,O51*$K$57))))</f>
        <v>#REF!</v>
      </c>
      <c r="P57" s="2087" t="e">
        <f t="shared" si="343"/>
        <v>#REF!</v>
      </c>
      <c r="Q57" s="2087" t="e">
        <f t="shared" ref="Q57:R57" si="344">IF(Q51&gt;$J$60,$J$57,IF(Q51&lt;$J$60,(IF(Q51&lt;0,0,Q51*$K$57))))</f>
        <v>#REF!</v>
      </c>
      <c r="R57" s="2087" t="e">
        <f t="shared" si="344"/>
        <v>#REF!</v>
      </c>
      <c r="S57" s="2087" t="e">
        <f t="shared" ref="S57" si="345">IF(S51&gt;$J$60,$J$57,IF(S51&lt;$J$60,(IF(S51&lt;0,0,S51*$K$57))))</f>
        <v>#REF!</v>
      </c>
      <c r="T57" s="2091" t="e">
        <f t="shared" ref="T57" si="346">IF(T51&gt;$J$60,$J$57,IF(T51&lt;$J$60,(IF(T51&lt;0,0,T51*$K$57))))</f>
        <v>#REF!</v>
      </c>
      <c r="U57" s="1814"/>
      <c r="V57" s="2090" t="e">
        <f t="shared" si="28"/>
        <v>#REF!</v>
      </c>
      <c r="W57" s="2088">
        <f>$J$57*7</f>
        <v>6.2337333333333333</v>
      </c>
      <c r="X57" s="2091" t="e">
        <f t="shared" si="293"/>
        <v>#REF!</v>
      </c>
      <c r="Y57" s="1766"/>
      <c r="Z57" s="2090" t="e">
        <f t="shared" ref="Z57:AD57" si="347">IF(Z51&gt;$J$60,$J$57,IF(Z51&lt;$J$60,(IF(Z51&lt;0,0,Z51*$K$57))))</f>
        <v>#REF!</v>
      </c>
      <c r="AA57" s="2088" t="e">
        <f t="shared" si="347"/>
        <v>#REF!</v>
      </c>
      <c r="AB57" s="2088" t="e">
        <f t="shared" si="347"/>
        <v>#REF!</v>
      </c>
      <c r="AC57" s="2088" t="e">
        <f t="shared" si="347"/>
        <v>#REF!</v>
      </c>
      <c r="AD57" s="2088" t="e">
        <f t="shared" si="347"/>
        <v>#REF!</v>
      </c>
      <c r="AE57" s="2088" t="e">
        <f t="shared" ref="AE57:AF57" si="348">IF(AE51&gt;$J$60,$J$57,IF(AE51&lt;$J$60,(IF(AE51&lt;0,0,AE51*$K$57))))</f>
        <v>#REF!</v>
      </c>
      <c r="AF57" s="2091" t="e">
        <f t="shared" si="348"/>
        <v>#REF!</v>
      </c>
      <c r="AG57" s="1766"/>
      <c r="AH57" s="2090" t="e">
        <f t="shared" si="296"/>
        <v>#REF!</v>
      </c>
      <c r="AI57" s="2088">
        <f>$J$57*7</f>
        <v>6.2337333333333333</v>
      </c>
      <c r="AJ57" s="2091" t="e">
        <f t="shared" si="297"/>
        <v>#REF!</v>
      </c>
      <c r="AK57" s="1766"/>
      <c r="AL57" s="2090" t="e">
        <f t="shared" ref="AL57" si="349">IF(AL51&gt;$J$60,$J$57,IF(AL51&lt;$J$60,(IF(AL51&lt;0,0,AL51*$K$57))))</f>
        <v>#REF!</v>
      </c>
      <c r="AM57" s="2088" t="e">
        <f t="shared" ref="AM57:AN57" si="350">IF(AM51&gt;$J$60,$J$57,IF(AM51&lt;$J$60,(IF(AM51&lt;0,0,AM51*$K$57))))</f>
        <v>#REF!</v>
      </c>
      <c r="AN57" s="2088" t="e">
        <f t="shared" si="350"/>
        <v>#REF!</v>
      </c>
      <c r="AO57" s="2088" t="e">
        <f t="shared" ref="AO57:AP57" si="351">IF(AO51&gt;$J$60,$J$57,IF(AO51&lt;$J$60,(IF(AO51&lt;0,0,AO51*$K$57))))</f>
        <v>#REF!</v>
      </c>
      <c r="AP57" s="2088" t="e">
        <f t="shared" si="351"/>
        <v>#REF!</v>
      </c>
      <c r="AQ57" s="2088" t="e">
        <f t="shared" ref="AQ57:AR57" si="352">IF(AQ51&gt;$J$60,$J$57,IF(AQ51&lt;$J$60,(IF(AQ51&lt;0,0,AQ51*$K$57))))</f>
        <v>#REF!</v>
      </c>
      <c r="AR57" s="2091" t="e">
        <f t="shared" si="352"/>
        <v>#REF!</v>
      </c>
      <c r="AS57" s="1814"/>
      <c r="AT57" s="2090" t="e">
        <f t="shared" si="302"/>
        <v>#REF!</v>
      </c>
      <c r="AU57" s="2088">
        <f>$J$57*7</f>
        <v>6.2337333333333333</v>
      </c>
      <c r="AV57" s="2091" t="e">
        <f t="shared" si="303"/>
        <v>#REF!</v>
      </c>
      <c r="AW57" s="1814"/>
      <c r="AX57" s="2090" t="e">
        <f t="shared" ref="AX57" si="353">IF(AX51&gt;$J$60,$J$57,IF(AX51&lt;$J$60,(IF(AX51&lt;0,0,AX51*$K$57))))</f>
        <v>#REF!</v>
      </c>
      <c r="AY57" s="2087" t="e">
        <f t="shared" ref="AY57:BB57" si="354">IF(AY51&gt;$J$60,$J$57,IF(AY51&lt;$J$60,(IF(AY51&lt;0,0,AY51*$K$57))))</f>
        <v>#REF!</v>
      </c>
      <c r="AZ57" s="2087" t="e">
        <f t="shared" si="354"/>
        <v>#REF!</v>
      </c>
      <c r="BA57" s="2087" t="e">
        <f t="shared" si="354"/>
        <v>#REF!</v>
      </c>
      <c r="BB57" s="2087" t="e">
        <f t="shared" si="354"/>
        <v>#REF!</v>
      </c>
      <c r="BC57" s="2087" t="e">
        <f t="shared" ref="BC57:BD57" si="355">IF(BC51&gt;$J$60,$J$57,IF(BC51&lt;$J$60,(IF(BC51&lt;0,0,BC51*$K$57))))</f>
        <v>#REF!</v>
      </c>
      <c r="BD57" s="2091" t="e">
        <f t="shared" si="355"/>
        <v>#REF!</v>
      </c>
      <c r="BE57" s="1814"/>
      <c r="BF57" s="2090" t="e">
        <f t="shared" si="307"/>
        <v>#REF!</v>
      </c>
      <c r="BG57" s="2088">
        <f>$J$57*7</f>
        <v>6.2337333333333333</v>
      </c>
      <c r="BH57" s="2091" t="e">
        <f t="shared" si="308"/>
        <v>#REF!</v>
      </c>
      <c r="BI57" s="1814"/>
      <c r="BJ57" s="2090" t="e">
        <f t="shared" ref="BJ57:BK57" si="356">IF(BJ51&gt;$J$60,$J$57,IF(BJ51&lt;$J$60,(IF(BJ51&lt;0,0,BJ51*$K$57))))</f>
        <v>#REF!</v>
      </c>
      <c r="BK57" s="2088" t="e">
        <f t="shared" si="356"/>
        <v>#REF!</v>
      </c>
      <c r="BL57" s="1814"/>
      <c r="BM57" s="2090" t="e">
        <f t="shared" si="285"/>
        <v>#REF!</v>
      </c>
      <c r="BN57" s="2088">
        <f>$J$57*2</f>
        <v>1.7810666666666668</v>
      </c>
      <c r="BO57" s="2091" t="e">
        <f t="shared" si="310"/>
        <v>#REF!</v>
      </c>
      <c r="BQ57" s="2092"/>
      <c r="BR57" s="2093"/>
      <c r="BS57" s="1740"/>
      <c r="BT57" s="2092" t="e">
        <f t="shared" si="286"/>
        <v>#REF!</v>
      </c>
      <c r="BU57" s="2094" t="e">
        <f t="shared" si="287"/>
        <v>#REF!</v>
      </c>
      <c r="BV57" s="2351"/>
      <c r="BW57" s="4624"/>
      <c r="BY57" s="4626"/>
      <c r="BZ57" s="2577"/>
      <c r="CA57" s="2577"/>
      <c r="CB57" s="1860"/>
      <c r="CC57" s="1860"/>
      <c r="CD57" s="1860"/>
      <c r="CE57" s="1860"/>
      <c r="CF57" s="1860"/>
      <c r="CG57" s="1860"/>
      <c r="CH57" s="1998"/>
    </row>
    <row r="58" spans="1:86" ht="17.25" thickBot="1" x14ac:dyDescent="0.25">
      <c r="B58" s="2095">
        <v>35</v>
      </c>
      <c r="C58" s="2100" t="s">
        <v>123</v>
      </c>
      <c r="D58" s="2073"/>
      <c r="E58" s="2101">
        <v>25</v>
      </c>
      <c r="F58" s="2102">
        <f t="shared" si="311"/>
        <v>2.5</v>
      </c>
      <c r="G58" s="2102">
        <f t="shared" si="312"/>
        <v>1.6666666666666667</v>
      </c>
      <c r="H58" s="2102">
        <f t="shared" si="313"/>
        <v>1.25</v>
      </c>
      <c r="I58" s="2102">
        <f t="shared" si="314"/>
        <v>1</v>
      </c>
      <c r="J58" s="2102">
        <f t="shared" si="270"/>
        <v>0.83333333333333337</v>
      </c>
      <c r="K58" s="2103">
        <f t="shared" si="288"/>
        <v>7.7467494639249374E-2</v>
      </c>
      <c r="L58" s="1866"/>
      <c r="M58" s="1867"/>
      <c r="N58" s="2283" t="e">
        <f>IF(N51&gt;$J$60,$J$58,IF(N51&lt;$J$60,(IF(N51&lt;0,0,N51*$K$58))))</f>
        <v>#REF!</v>
      </c>
      <c r="O58" s="2075" t="e">
        <f t="shared" ref="O58:P58" si="357">IF(O51&gt;$J$60,$J$58,IF(O51&lt;$J$60,(IF(O51&lt;0,0,O51*$K$58))))</f>
        <v>#REF!</v>
      </c>
      <c r="P58" s="2074" t="e">
        <f t="shared" si="357"/>
        <v>#REF!</v>
      </c>
      <c r="Q58" s="2074" t="e">
        <f t="shared" ref="Q58:R58" si="358">IF(Q51&gt;$J$60,$J$58,IF(Q51&lt;$J$60,(IF(Q51&lt;0,0,Q51*$K$58))))</f>
        <v>#REF!</v>
      </c>
      <c r="R58" s="2074" t="e">
        <f t="shared" si="358"/>
        <v>#REF!</v>
      </c>
      <c r="S58" s="2074" t="e">
        <f t="shared" ref="S58" si="359">IF(S51&gt;$J$60,$J$58,IF(S51&lt;$J$60,(IF(S51&lt;0,0,S51*$K$58))))</f>
        <v>#REF!</v>
      </c>
      <c r="T58" s="2078" t="e">
        <f t="shared" ref="T58" si="360">IF(T51&gt;$J$60,$J$58,IF(T51&lt;$J$60,(IF(T51&lt;0,0,T51*$K$58))))</f>
        <v>#REF!</v>
      </c>
      <c r="U58" s="1801"/>
      <c r="V58" s="2077" t="e">
        <f>SUM(N58:T58)</f>
        <v>#REF!</v>
      </c>
      <c r="W58" s="2074">
        <f>$J$58*7</f>
        <v>5.8333333333333339</v>
      </c>
      <c r="X58" s="2079" t="e">
        <f t="shared" si="293"/>
        <v>#REF!</v>
      </c>
      <c r="Y58" s="1791"/>
      <c r="Z58" s="2077" t="e">
        <f t="shared" ref="Z58:AD58" si="361">IF(Z51&gt;$J$60,$J$58,IF(Z51&lt;$J$60,(IF(Z51&lt;0,0,Z51*$K$58))))</f>
        <v>#REF!</v>
      </c>
      <c r="AA58" s="2074" t="e">
        <f t="shared" si="361"/>
        <v>#REF!</v>
      </c>
      <c r="AB58" s="2074" t="e">
        <f t="shared" si="361"/>
        <v>#REF!</v>
      </c>
      <c r="AC58" s="2074" t="e">
        <f t="shared" si="361"/>
        <v>#REF!</v>
      </c>
      <c r="AD58" s="2074" t="e">
        <f t="shared" si="361"/>
        <v>#REF!</v>
      </c>
      <c r="AE58" s="2074" t="e">
        <f t="shared" ref="AE58:AF58" si="362">IF(AE51&gt;$J$60,$J$58,IF(AE51&lt;$J$60,(IF(AE51&lt;0,0,AE51*$K$58))))</f>
        <v>#REF!</v>
      </c>
      <c r="AF58" s="2078" t="e">
        <f t="shared" si="362"/>
        <v>#REF!</v>
      </c>
      <c r="AG58" s="1791"/>
      <c r="AH58" s="2077" t="e">
        <f t="shared" si="296"/>
        <v>#REF!</v>
      </c>
      <c r="AI58" s="2074">
        <f>$J$58*7</f>
        <v>5.8333333333333339</v>
      </c>
      <c r="AJ58" s="2079" t="e">
        <f t="shared" si="297"/>
        <v>#REF!</v>
      </c>
      <c r="AK58" s="1791"/>
      <c r="AL58" s="2077" t="e">
        <f t="shared" ref="AL58" si="363">IF(AL51&gt;$J$60,$J$58,IF(AL51&lt;$J$60,(IF(AL51&lt;0,0,AL51*$K$58))))</f>
        <v>#REF!</v>
      </c>
      <c r="AM58" s="2075" t="e">
        <f t="shared" ref="AM58:AN58" si="364">IF(AM51&gt;$J$60,$J$58,IF(AM51&lt;$J$60,(IF(AM51&lt;0,0,AM51*$K$58))))</f>
        <v>#REF!</v>
      </c>
      <c r="AN58" s="2075" t="e">
        <f t="shared" si="364"/>
        <v>#REF!</v>
      </c>
      <c r="AO58" s="2075" t="e">
        <f t="shared" ref="AO58:AP58" si="365">IF(AO51&gt;$J$60,$J$58,IF(AO51&lt;$J$60,(IF(AO51&lt;0,0,AO51*$K$58))))</f>
        <v>#REF!</v>
      </c>
      <c r="AP58" s="2075" t="e">
        <f t="shared" si="365"/>
        <v>#REF!</v>
      </c>
      <c r="AQ58" s="2075" t="e">
        <f t="shared" ref="AQ58:AR58" si="366">IF(AQ51&gt;$J$60,$J$58,IF(AQ51&lt;$J$60,(IF(AQ51&lt;0,0,AQ51*$K$58))))</f>
        <v>#REF!</v>
      </c>
      <c r="AR58" s="2078" t="e">
        <f t="shared" si="366"/>
        <v>#REF!</v>
      </c>
      <c r="AS58" s="1801"/>
      <c r="AT58" s="2077" t="e">
        <f t="shared" si="302"/>
        <v>#REF!</v>
      </c>
      <c r="AU58" s="2074">
        <f>$J$58*7</f>
        <v>5.8333333333333339</v>
      </c>
      <c r="AV58" s="2079" t="e">
        <f t="shared" si="303"/>
        <v>#REF!</v>
      </c>
      <c r="AW58" s="1801"/>
      <c r="AX58" s="2077" t="e">
        <f t="shared" ref="AX58" si="367">IF(AX51&gt;$J$60,$J$58,IF(AX51&lt;$J$60,(IF(AX51&lt;0,0,AX51*$K$58))))</f>
        <v>#REF!</v>
      </c>
      <c r="AY58" s="2074" t="e">
        <f t="shared" ref="AY58:BB58" si="368">IF(AY51&gt;$J$60,$J$58,IF(AY51&lt;$J$60,(IF(AY51&lt;0,0,AY51*$K$58))))</f>
        <v>#REF!</v>
      </c>
      <c r="AZ58" s="2074" t="e">
        <f t="shared" si="368"/>
        <v>#REF!</v>
      </c>
      <c r="BA58" s="2074" t="e">
        <f t="shared" si="368"/>
        <v>#REF!</v>
      </c>
      <c r="BB58" s="2074" t="e">
        <f t="shared" si="368"/>
        <v>#REF!</v>
      </c>
      <c r="BC58" s="2074" t="e">
        <f t="shared" ref="BC58:BD58" si="369">IF(BC51&gt;$J$60,$J$58,IF(BC51&lt;$J$60,(IF(BC51&lt;0,0,BC51*$K$58))))</f>
        <v>#REF!</v>
      </c>
      <c r="BD58" s="2078" t="e">
        <f t="shared" si="369"/>
        <v>#REF!</v>
      </c>
      <c r="BE58" s="1801"/>
      <c r="BF58" s="2077" t="e">
        <f t="shared" si="307"/>
        <v>#REF!</v>
      </c>
      <c r="BG58" s="2074">
        <f>$J$58*7</f>
        <v>5.8333333333333339</v>
      </c>
      <c r="BH58" s="2079" t="e">
        <f t="shared" si="308"/>
        <v>#REF!</v>
      </c>
      <c r="BI58" s="1801"/>
      <c r="BJ58" s="2077" t="e">
        <f t="shared" ref="BJ58:BK58" si="370">IF(BJ51&gt;$J$60,$J$58,IF(BJ51&lt;$J$60,(IF(BJ51&lt;0,0,BJ51*$K$58))))</f>
        <v>#REF!</v>
      </c>
      <c r="BK58" s="2075" t="e">
        <f t="shared" si="370"/>
        <v>#REF!</v>
      </c>
      <c r="BL58" s="1801"/>
      <c r="BM58" s="2077" t="e">
        <f t="shared" si="285"/>
        <v>#REF!</v>
      </c>
      <c r="BN58" s="2074">
        <f>$J$58*2</f>
        <v>1.6666666666666667</v>
      </c>
      <c r="BO58" s="2079" t="e">
        <f t="shared" si="310"/>
        <v>#REF!</v>
      </c>
      <c r="BQ58" s="2097"/>
      <c r="BR58" s="2098"/>
      <c r="BS58" s="1754"/>
      <c r="BT58" s="2097" t="e">
        <f t="shared" si="286"/>
        <v>#REF!</v>
      </c>
      <c r="BU58" s="2099" t="e">
        <f t="shared" si="287"/>
        <v>#REF!</v>
      </c>
      <c r="BV58" s="2352"/>
      <c r="BW58" s="4624"/>
      <c r="BY58" s="4626"/>
      <c r="BZ58" s="2104"/>
      <c r="CA58" s="2105"/>
      <c r="CB58" s="2105"/>
      <c r="CC58" s="2105"/>
      <c r="CD58" s="2105"/>
      <c r="CE58" s="2105"/>
      <c r="CF58" s="2105"/>
      <c r="CG58" s="2105"/>
      <c r="CH58" s="2106"/>
    </row>
    <row r="59" spans="1:86" s="1726" customFormat="1" ht="17.25" thickBot="1" x14ac:dyDescent="0.25">
      <c r="B59" s="2107">
        <v>36</v>
      </c>
      <c r="C59" s="2108" t="s">
        <v>119</v>
      </c>
      <c r="D59" s="2109"/>
      <c r="E59" s="2110">
        <v>4</v>
      </c>
      <c r="F59" s="2111">
        <f t="shared" si="311"/>
        <v>0.4</v>
      </c>
      <c r="G59" s="2111">
        <f t="shared" si="312"/>
        <v>0.26666666666666666</v>
      </c>
      <c r="H59" s="2111">
        <f t="shared" si="313"/>
        <v>0.2</v>
      </c>
      <c r="I59" s="2111">
        <f t="shared" si="314"/>
        <v>0.16</v>
      </c>
      <c r="J59" s="2111">
        <f t="shared" si="270"/>
        <v>0.13333333333333333</v>
      </c>
      <c r="K59" s="2112">
        <f t="shared" si="288"/>
        <v>1.2394799142279899E-2</v>
      </c>
      <c r="L59" s="1931"/>
      <c r="M59" s="1924"/>
      <c r="N59" s="2285" t="e">
        <f>IF(N51&gt;$J$60,$J$59,IF(N51&lt;$J$60,(IF(N51&lt;0,0,N51*$K$59))))</f>
        <v>#REF!</v>
      </c>
      <c r="O59" s="2111" t="e">
        <f t="shared" ref="O59:P59" si="371">IF(O51&gt;$J$60,$J$59,IF(O51&lt;$J$60,(IF(O51&lt;0,0,O51*$K$59))))</f>
        <v>#REF!</v>
      </c>
      <c r="P59" s="2110" t="e">
        <f t="shared" si="371"/>
        <v>#REF!</v>
      </c>
      <c r="Q59" s="2110" t="e">
        <f t="shared" ref="Q59:R59" si="372">IF(Q51&gt;$J$60,$J$59,IF(Q51&lt;$J$60,(IF(Q51&lt;0,0,Q51*$K$59))))</f>
        <v>#REF!</v>
      </c>
      <c r="R59" s="2110" t="e">
        <f t="shared" si="372"/>
        <v>#REF!</v>
      </c>
      <c r="S59" s="2110" t="e">
        <f t="shared" ref="S59" si="373">IF(S51&gt;$J$60,$J$59,IF(S51&lt;$J$60,(IF(S51&lt;0,0,S51*$K$59))))</f>
        <v>#REF!</v>
      </c>
      <c r="T59" s="2113" t="e">
        <f t="shared" ref="T59" si="374">IF(T51&gt;$J$60,$J$59,IF(T51&lt;$J$60,(IF(T51&lt;0,0,T51*$K$59))))</f>
        <v>#REF!</v>
      </c>
      <c r="U59" s="1814"/>
      <c r="V59" s="2092" t="e">
        <f t="shared" ref="V59:V71" si="375">SUM(N59:T59)</f>
        <v>#REF!</v>
      </c>
      <c r="W59" s="2110">
        <f>$J$59*7</f>
        <v>0.93333333333333335</v>
      </c>
      <c r="X59" s="2114" t="e">
        <f t="shared" si="293"/>
        <v>#REF!</v>
      </c>
      <c r="Y59" s="1766"/>
      <c r="Z59" s="2092" t="e">
        <f t="shared" ref="Z59:AD59" si="376">IF(Z51&gt;$J$60,$J$59,IF(Z51&lt;$J$60,(IF(Z51&lt;0,0,Z51*$K$59))))</f>
        <v>#REF!</v>
      </c>
      <c r="AA59" s="2110" t="e">
        <f t="shared" si="376"/>
        <v>#REF!</v>
      </c>
      <c r="AB59" s="2110" t="e">
        <f t="shared" si="376"/>
        <v>#REF!</v>
      </c>
      <c r="AC59" s="2110" t="e">
        <f t="shared" si="376"/>
        <v>#REF!</v>
      </c>
      <c r="AD59" s="2110" t="e">
        <f t="shared" si="376"/>
        <v>#REF!</v>
      </c>
      <c r="AE59" s="2110" t="e">
        <f t="shared" ref="AE59:AF59" si="377">IF(AE51&gt;$J$60,$J$59,IF(AE51&lt;$J$60,(IF(AE51&lt;0,0,AE51*$K$59))))</f>
        <v>#REF!</v>
      </c>
      <c r="AF59" s="2113" t="e">
        <f t="shared" si="377"/>
        <v>#REF!</v>
      </c>
      <c r="AG59" s="1766"/>
      <c r="AH59" s="2092" t="e">
        <f t="shared" si="296"/>
        <v>#REF!</v>
      </c>
      <c r="AI59" s="2110">
        <f>$J$59*7</f>
        <v>0.93333333333333335</v>
      </c>
      <c r="AJ59" s="2114" t="e">
        <f t="shared" si="297"/>
        <v>#REF!</v>
      </c>
      <c r="AK59" s="1766"/>
      <c r="AL59" s="2092" t="e">
        <f t="shared" ref="AL59" si="378">IF(AL51&gt;$J$60,$J$59,IF(AL51&lt;$J$60,(IF(AL51&lt;0,0,AL51*$K$59))))</f>
        <v>#REF!</v>
      </c>
      <c r="AM59" s="2111" t="e">
        <f t="shared" ref="AM59:AN59" si="379">IF(AM51&gt;$J$60,$J$59,IF(AM51&lt;$J$60,(IF(AM51&lt;0,0,AM51*$K$59))))</f>
        <v>#REF!</v>
      </c>
      <c r="AN59" s="2111" t="e">
        <f t="shared" si="379"/>
        <v>#REF!</v>
      </c>
      <c r="AO59" s="2111" t="e">
        <f t="shared" ref="AO59:AP59" si="380">IF(AO51&gt;$J$60,$J$59,IF(AO51&lt;$J$60,(IF(AO51&lt;0,0,AO51*$K$59))))</f>
        <v>#REF!</v>
      </c>
      <c r="AP59" s="2111" t="e">
        <f t="shared" si="380"/>
        <v>#REF!</v>
      </c>
      <c r="AQ59" s="2111" t="e">
        <f t="shared" ref="AQ59:AR59" si="381">IF(AQ51&gt;$J$60,$J$59,IF(AQ51&lt;$J$60,(IF(AQ51&lt;0,0,AQ51*$K$59))))</f>
        <v>#REF!</v>
      </c>
      <c r="AR59" s="2113" t="e">
        <f t="shared" si="381"/>
        <v>#REF!</v>
      </c>
      <c r="AS59" s="1814"/>
      <c r="AT59" s="2090" t="e">
        <f t="shared" si="302"/>
        <v>#REF!</v>
      </c>
      <c r="AU59" s="2087">
        <f>$J$59*7</f>
        <v>0.93333333333333335</v>
      </c>
      <c r="AV59" s="2174" t="e">
        <f t="shared" si="303"/>
        <v>#REF!</v>
      </c>
      <c r="AW59" s="1814"/>
      <c r="AX59" s="2193" t="e">
        <f t="shared" ref="AX59" si="382">IF(AX51&gt;$J$60,$J$59,IF(AX51&lt;$J$60,(IF(AX51&lt;0,0,AX51*$K$59))))</f>
        <v>#REF!</v>
      </c>
      <c r="AY59" s="2110" t="e">
        <f t="shared" ref="AY59:BB59" si="383">IF(AY51&gt;$J$60,$J$59,IF(AY51&lt;$J$60,(IF(AY51&lt;0,0,AY51*$K$59))))</f>
        <v>#REF!</v>
      </c>
      <c r="AZ59" s="2110" t="e">
        <f t="shared" si="383"/>
        <v>#REF!</v>
      </c>
      <c r="BA59" s="2110" t="e">
        <f t="shared" si="383"/>
        <v>#REF!</v>
      </c>
      <c r="BB59" s="2110" t="e">
        <f t="shared" si="383"/>
        <v>#REF!</v>
      </c>
      <c r="BC59" s="2110" t="e">
        <f t="shared" ref="BC59:BD59" si="384">IF(BC51&gt;$J$60,$J$59,IF(BC51&lt;$J$60,(IF(BC51&lt;0,0,BC51*$K$59))))</f>
        <v>#REF!</v>
      </c>
      <c r="BD59" s="2113" t="e">
        <f t="shared" si="384"/>
        <v>#REF!</v>
      </c>
      <c r="BE59" s="1814"/>
      <c r="BF59" s="2090" t="e">
        <f t="shared" si="307"/>
        <v>#REF!</v>
      </c>
      <c r="BG59" s="2087">
        <f>$J$59*7</f>
        <v>0.93333333333333335</v>
      </c>
      <c r="BH59" s="2174" t="e">
        <f t="shared" si="308"/>
        <v>#REF!</v>
      </c>
      <c r="BI59" s="1814"/>
      <c r="BJ59" s="2092" t="e">
        <f t="shared" ref="BJ59:BK59" si="385">IF(BJ51&gt;$J$60,$J$59,IF(BJ51&lt;$J$60,(IF(BJ51&lt;0,0,BJ51*$K$59))))</f>
        <v>#REF!</v>
      </c>
      <c r="BK59" s="2111" t="e">
        <f t="shared" si="385"/>
        <v>#REF!</v>
      </c>
      <c r="BL59" s="1814"/>
      <c r="BM59" s="2092" t="e">
        <f t="shared" si="285"/>
        <v>#REF!</v>
      </c>
      <c r="BN59" s="2110">
        <f>$J$59*2</f>
        <v>0.26666666666666666</v>
      </c>
      <c r="BO59" s="2114" t="e">
        <f t="shared" si="310"/>
        <v>#REF!</v>
      </c>
      <c r="BQ59" s="2092"/>
      <c r="BR59" s="2093"/>
      <c r="BS59" s="1740"/>
      <c r="BT59" s="2092" t="e">
        <f t="shared" si="286"/>
        <v>#REF!</v>
      </c>
      <c r="BU59" s="2094" t="e">
        <f t="shared" si="287"/>
        <v>#REF!</v>
      </c>
      <c r="BV59" s="2351"/>
      <c r="BW59" s="4624"/>
      <c r="BY59" s="4627"/>
      <c r="BZ59" s="2115"/>
      <c r="CA59" s="2116"/>
      <c r="CB59" s="2116"/>
      <c r="CC59" s="2116"/>
      <c r="CD59" s="2116"/>
      <c r="CE59" s="2116"/>
      <c r="CF59" s="2116"/>
      <c r="CG59" s="2116"/>
      <c r="CH59" s="2116"/>
    </row>
    <row r="60" spans="1:86" s="1885" customFormat="1" ht="17.25" thickBot="1" x14ac:dyDescent="0.25">
      <c r="B60" s="2117"/>
      <c r="C60" s="2118" t="s">
        <v>192</v>
      </c>
      <c r="D60" s="2119"/>
      <c r="E60" s="2120">
        <f>SUM(E53:E59)</f>
        <v>322.71600000000001</v>
      </c>
      <c r="F60" s="2121"/>
      <c r="G60" s="2121"/>
      <c r="H60" s="2121"/>
      <c r="I60" s="2121"/>
      <c r="J60" s="2121">
        <f t="shared" ref="J60:K60" si="386">SUM(J53:J59)</f>
        <v>10.757199999999999</v>
      </c>
      <c r="K60" s="2122">
        <f t="shared" si="386"/>
        <v>1</v>
      </c>
      <c r="L60" s="2003"/>
      <c r="M60" s="1950"/>
      <c r="N60" s="2286" t="e">
        <f>SUM(N53:N59)</f>
        <v>#REF!</v>
      </c>
      <c r="O60" s="2121" t="e">
        <f t="shared" ref="O60:P60" si="387">SUM(O53:O59)</f>
        <v>#REF!</v>
      </c>
      <c r="P60" s="2123" t="e">
        <f t="shared" si="387"/>
        <v>#REF!</v>
      </c>
      <c r="Q60" s="2123" t="e">
        <f t="shared" ref="Q60:R60" si="388">SUM(Q53:Q59)</f>
        <v>#REF!</v>
      </c>
      <c r="R60" s="2123" t="e">
        <f t="shared" si="388"/>
        <v>#REF!</v>
      </c>
      <c r="S60" s="2123" t="e">
        <f t="shared" ref="S60" si="389">SUM(S53:S59)</f>
        <v>#REF!</v>
      </c>
      <c r="T60" s="2124" t="e">
        <f t="shared" ref="T60" si="390">SUM(T53:T59)</f>
        <v>#REF!</v>
      </c>
      <c r="U60" s="1951"/>
      <c r="V60" s="2120" t="e">
        <f>SUM(V53:V59)</f>
        <v>#REF!</v>
      </c>
      <c r="W60" s="2123">
        <f t="shared" ref="W60" si="391">SUM(W53:W59)</f>
        <v>75.300399999999996</v>
      </c>
      <c r="X60" s="2125" t="e">
        <f>SUM(X53:X59)</f>
        <v>#REF!</v>
      </c>
      <c r="Y60" s="1956"/>
      <c r="Z60" s="2120" t="e">
        <f t="shared" ref="Z60:AD60" si="392">SUM(Z53:Z59)</f>
        <v>#REF!</v>
      </c>
      <c r="AA60" s="2123" t="e">
        <f t="shared" si="392"/>
        <v>#REF!</v>
      </c>
      <c r="AB60" s="2123" t="e">
        <f t="shared" si="392"/>
        <v>#REF!</v>
      </c>
      <c r="AC60" s="2123" t="e">
        <f t="shared" si="392"/>
        <v>#REF!</v>
      </c>
      <c r="AD60" s="2123" t="e">
        <f t="shared" si="392"/>
        <v>#REF!</v>
      </c>
      <c r="AE60" s="2123" t="e">
        <f t="shared" ref="AE60:AF60" si="393">SUM(AE53:AE59)</f>
        <v>#REF!</v>
      </c>
      <c r="AF60" s="2124" t="e">
        <f t="shared" si="393"/>
        <v>#REF!</v>
      </c>
      <c r="AG60" s="1956"/>
      <c r="AH60" s="2120" t="e">
        <f>SUM(AH53:AH59)</f>
        <v>#REF!</v>
      </c>
      <c r="AI60" s="2123">
        <f>SUM(AI53:AI59)</f>
        <v>75.300399999999996</v>
      </c>
      <c r="AJ60" s="2125" t="e">
        <f>SUM(AJ53:AJ59)</f>
        <v>#REF!</v>
      </c>
      <c r="AK60" s="1956"/>
      <c r="AL60" s="2120" t="e">
        <f t="shared" ref="AL60" si="394">SUM(AL53:AL59)</f>
        <v>#REF!</v>
      </c>
      <c r="AM60" s="2121" t="e">
        <f t="shared" ref="AM60:AN60" si="395">SUM(AM53:AM59)</f>
        <v>#REF!</v>
      </c>
      <c r="AN60" s="2121" t="e">
        <f t="shared" si="395"/>
        <v>#REF!</v>
      </c>
      <c r="AO60" s="2121" t="e">
        <f t="shared" ref="AO60:AP60" si="396">SUM(AO53:AO59)</f>
        <v>#REF!</v>
      </c>
      <c r="AP60" s="2121" t="e">
        <f t="shared" si="396"/>
        <v>#REF!</v>
      </c>
      <c r="AQ60" s="2121" t="e">
        <f t="shared" ref="AQ60:AR60" si="397">SUM(AQ53:AQ59)</f>
        <v>#REF!</v>
      </c>
      <c r="AR60" s="2124" t="e">
        <f t="shared" si="397"/>
        <v>#REF!</v>
      </c>
      <c r="AS60" s="1951"/>
      <c r="AT60" s="2120" t="e">
        <f>SUM(AT53:AT59)</f>
        <v>#REF!</v>
      </c>
      <c r="AU60" s="2123">
        <f>SUM(AU53:AU59)</f>
        <v>75.300399999999996</v>
      </c>
      <c r="AV60" s="2125" t="e">
        <f>SUM(AV53:AV59)</f>
        <v>#REF!</v>
      </c>
      <c r="AW60" s="1951"/>
      <c r="AX60" s="2120" t="e">
        <f t="shared" ref="AX60" si="398">SUM(AX53:AX59)</f>
        <v>#REF!</v>
      </c>
      <c r="AY60" s="2123" t="e">
        <f t="shared" ref="AY60:BB60" si="399">SUM(AY53:AY59)</f>
        <v>#REF!</v>
      </c>
      <c r="AZ60" s="2123" t="e">
        <f t="shared" si="399"/>
        <v>#REF!</v>
      </c>
      <c r="BA60" s="2123" t="e">
        <f t="shared" si="399"/>
        <v>#REF!</v>
      </c>
      <c r="BB60" s="2123" t="e">
        <f t="shared" si="399"/>
        <v>#REF!</v>
      </c>
      <c r="BC60" s="2123" t="e">
        <f t="shared" ref="BC60:BD60" si="400">SUM(BC53:BC59)</f>
        <v>#REF!</v>
      </c>
      <c r="BD60" s="2124" t="e">
        <f t="shared" si="400"/>
        <v>#REF!</v>
      </c>
      <c r="BE60" s="1951"/>
      <c r="BF60" s="2120" t="e">
        <f>SUM(BF53:BF59)</f>
        <v>#REF!</v>
      </c>
      <c r="BG60" s="2123">
        <f>SUM(BG53:BG59)</f>
        <v>75.300399999999996</v>
      </c>
      <c r="BH60" s="2125" t="e">
        <f>SUM(BH53:BH59)</f>
        <v>#REF!</v>
      </c>
      <c r="BI60" s="1951"/>
      <c r="BJ60" s="2120" t="e">
        <f t="shared" ref="BJ60:BK60" si="401">SUM(BJ53:BJ59)</f>
        <v>#REF!</v>
      </c>
      <c r="BK60" s="2121" t="e">
        <f t="shared" si="401"/>
        <v>#REF!</v>
      </c>
      <c r="BL60" s="1951"/>
      <c r="BM60" s="2120" t="e">
        <f>SUM(BM53:BM59)</f>
        <v>#REF!</v>
      </c>
      <c r="BN60" s="2123">
        <f>SUM(BN53:BN59)</f>
        <v>21.514399999999998</v>
      </c>
      <c r="BO60" s="2125" t="e">
        <f>SUM(BO53:BO59)</f>
        <v>#REF!</v>
      </c>
      <c r="BQ60" s="2120" t="e">
        <f>X60+AJ60+AV60</f>
        <v>#REF!</v>
      </c>
      <c r="BR60" s="2129"/>
      <c r="BS60" s="1900"/>
      <c r="BT60" s="2120" t="e">
        <f>SUM(BT53:BT59)</f>
        <v>#REF!</v>
      </c>
      <c r="BU60" s="2130" t="e">
        <f t="shared" si="287"/>
        <v>#REF!</v>
      </c>
      <c r="BV60" s="2353"/>
      <c r="BW60" s="4625"/>
      <c r="BY60" s="4627"/>
      <c r="BZ60" s="2573"/>
      <c r="CA60" s="1946"/>
      <c r="CB60" s="1946"/>
      <c r="CC60" s="1946"/>
      <c r="CD60" s="1946"/>
      <c r="CE60" s="1946"/>
      <c r="CF60" s="1946"/>
      <c r="CG60" s="1946"/>
      <c r="CH60" s="1946"/>
    </row>
    <row r="61" spans="1:86" s="1810" customFormat="1" ht="4.5" customHeight="1" thickBot="1" x14ac:dyDescent="0.25">
      <c r="B61" s="1817"/>
      <c r="C61" s="1817"/>
      <c r="D61" s="1817"/>
      <c r="E61" s="1814"/>
      <c r="F61" s="1814"/>
      <c r="G61" s="1814"/>
      <c r="H61" s="1814"/>
      <c r="I61" s="1814"/>
      <c r="J61" s="1814"/>
      <c r="K61" s="2131"/>
      <c r="L61" s="1924"/>
      <c r="M61" s="1924"/>
      <c r="N61" s="2571"/>
      <c r="O61" s="2571"/>
      <c r="P61" s="2571"/>
      <c r="Q61" s="2571"/>
      <c r="R61" s="2571"/>
      <c r="S61" s="2571"/>
      <c r="T61" s="2571"/>
      <c r="U61" s="1814"/>
      <c r="V61" s="1814"/>
      <c r="W61" s="1814"/>
      <c r="X61" s="1814"/>
      <c r="Y61" s="1766"/>
      <c r="Z61" s="2571"/>
      <c r="AA61" s="2571"/>
      <c r="AB61" s="2571"/>
      <c r="AC61" s="2571"/>
      <c r="AD61" s="2571"/>
      <c r="AE61" s="2581"/>
      <c r="AF61" s="2571"/>
      <c r="AG61" s="1766"/>
      <c r="AH61" s="1814"/>
      <c r="AI61" s="1814"/>
      <c r="AJ61" s="1814"/>
      <c r="AK61" s="1766"/>
      <c r="AL61" s="2571"/>
      <c r="AM61" s="2571"/>
      <c r="AN61" s="2585"/>
      <c r="AO61" s="2587"/>
      <c r="AP61" s="2589"/>
      <c r="AQ61" s="2594"/>
      <c r="AR61" s="2571"/>
      <c r="AS61" s="1814"/>
      <c r="AT61" s="2137"/>
      <c r="AU61" s="2137"/>
      <c r="AV61" s="2137"/>
      <c r="AW61" s="1814"/>
      <c r="AX61" s="1944"/>
      <c r="AY61" s="1944"/>
      <c r="AZ61" s="1944"/>
      <c r="BA61" s="1944"/>
      <c r="BB61" s="1944"/>
      <c r="BC61" s="1944"/>
      <c r="BD61" s="1944"/>
      <c r="BE61" s="1814"/>
      <c r="BF61" s="2137"/>
      <c r="BG61" s="2137"/>
      <c r="BH61" s="2137"/>
      <c r="BI61" s="1814"/>
      <c r="BJ61" s="2571"/>
      <c r="BK61" s="2571"/>
      <c r="BL61" s="1814"/>
      <c r="BM61" s="1814"/>
      <c r="BN61" s="1814"/>
      <c r="BO61" s="1814"/>
      <c r="BQ61" s="1814"/>
      <c r="BR61" s="2132"/>
      <c r="BS61" s="1817"/>
      <c r="BT61" s="1814"/>
      <c r="BU61" s="1830"/>
      <c r="BV61" s="1830"/>
      <c r="BW61" s="2133"/>
      <c r="BZ61" s="1761"/>
    </row>
    <row r="62" spans="1:86" s="1810" customFormat="1" ht="17.25" thickBot="1" x14ac:dyDescent="0.25">
      <c r="B62" s="1817"/>
      <c r="C62" s="1817" t="s">
        <v>193</v>
      </c>
      <c r="D62" s="1817"/>
      <c r="E62" s="2134" t="e">
        <f>#REF!-E60</f>
        <v>#REF!</v>
      </c>
      <c r="F62" s="1814"/>
      <c r="G62" s="1814"/>
      <c r="H62" s="1814"/>
      <c r="I62" s="1814"/>
      <c r="J62" s="1814"/>
      <c r="K62" s="2131"/>
      <c r="L62" s="1931"/>
      <c r="M62" s="1924"/>
      <c r="N62" s="2056" t="e">
        <f>N51-N60</f>
        <v>#REF!</v>
      </c>
      <c r="O62" s="2052" t="e">
        <f t="shared" ref="O62:P62" si="402">O51-O60</f>
        <v>#REF!</v>
      </c>
      <c r="P62" s="2052" t="e">
        <f t="shared" si="402"/>
        <v>#REF!</v>
      </c>
      <c r="Q62" s="2052" t="e">
        <f t="shared" ref="Q62:R62" si="403">Q51-Q60</f>
        <v>#REF!</v>
      </c>
      <c r="R62" s="2052" t="e">
        <f t="shared" si="403"/>
        <v>#REF!</v>
      </c>
      <c r="S62" s="2052" t="e">
        <f t="shared" ref="S62" si="404">S51-S60</f>
        <v>#REF!</v>
      </c>
      <c r="T62" s="2057" t="e">
        <f t="shared" ref="T62" si="405">T51-T60</f>
        <v>#REF!</v>
      </c>
      <c r="U62" s="1814"/>
      <c r="V62" s="1814"/>
      <c r="W62" s="1814"/>
      <c r="X62" s="1814"/>
      <c r="Y62" s="1766"/>
      <c r="Z62" s="2056" t="e">
        <f t="shared" ref="Z62:AD62" si="406">Z51-Z60</f>
        <v>#REF!</v>
      </c>
      <c r="AA62" s="2052" t="e">
        <f t="shared" si="406"/>
        <v>#REF!</v>
      </c>
      <c r="AB62" s="2052" t="e">
        <f t="shared" si="406"/>
        <v>#REF!</v>
      </c>
      <c r="AC62" s="2052" t="e">
        <f t="shared" si="406"/>
        <v>#REF!</v>
      </c>
      <c r="AD62" s="2052" t="e">
        <f t="shared" si="406"/>
        <v>#REF!</v>
      </c>
      <c r="AE62" s="2052" t="e">
        <f t="shared" ref="AE62:AF62" si="407">AE51-AE60</f>
        <v>#REF!</v>
      </c>
      <c r="AF62" s="2057" t="e">
        <f t="shared" si="407"/>
        <v>#REF!</v>
      </c>
      <c r="AG62" s="1766"/>
      <c r="AH62" s="1814"/>
      <c r="AI62" s="1814"/>
      <c r="AJ62" s="1814"/>
      <c r="AK62" s="1766"/>
      <c r="AL62" s="2056" t="e">
        <f t="shared" ref="AL62" si="408">AL51-AL60</f>
        <v>#REF!</v>
      </c>
      <c r="AM62" s="2052" t="e">
        <f t="shared" ref="AM62:AN62" si="409">AM51-AM60</f>
        <v>#REF!</v>
      </c>
      <c r="AN62" s="2052" t="e">
        <f t="shared" si="409"/>
        <v>#REF!</v>
      </c>
      <c r="AO62" s="2052" t="e">
        <f t="shared" ref="AO62:AP62" si="410">AO51-AO60</f>
        <v>#REF!</v>
      </c>
      <c r="AP62" s="2052" t="e">
        <f t="shared" si="410"/>
        <v>#REF!</v>
      </c>
      <c r="AQ62" s="2052" t="e">
        <f t="shared" ref="AQ62:AR62" si="411">AQ51-AQ60</f>
        <v>#REF!</v>
      </c>
      <c r="AR62" s="2057" t="e">
        <f t="shared" si="411"/>
        <v>#REF!</v>
      </c>
      <c r="AS62" s="1814"/>
      <c r="AT62" s="1814"/>
      <c r="AU62" s="1814"/>
      <c r="AV62" s="1814"/>
      <c r="AW62" s="1814"/>
      <c r="AX62" s="2056" t="e">
        <f t="shared" ref="AX62" si="412">AX51-AX60</f>
        <v>#REF!</v>
      </c>
      <c r="AY62" s="2052" t="e">
        <f t="shared" ref="AY62:BB62" si="413">AY51-AY60</f>
        <v>#REF!</v>
      </c>
      <c r="AZ62" s="2052" t="e">
        <f t="shared" si="413"/>
        <v>#REF!</v>
      </c>
      <c r="BA62" s="2052" t="e">
        <f t="shared" si="413"/>
        <v>#REF!</v>
      </c>
      <c r="BB62" s="2052" t="e">
        <f t="shared" si="413"/>
        <v>#REF!</v>
      </c>
      <c r="BC62" s="2052" t="e">
        <f t="shared" ref="BC62:BD62" si="414">BC51-BC60</f>
        <v>#REF!</v>
      </c>
      <c r="BD62" s="2057" t="e">
        <f t="shared" si="414"/>
        <v>#REF!</v>
      </c>
      <c r="BE62" s="1814"/>
      <c r="BF62" s="1814"/>
      <c r="BG62" s="1814"/>
      <c r="BH62" s="1814"/>
      <c r="BI62" s="1814"/>
      <c r="BJ62" s="2056" t="e">
        <f t="shared" ref="BJ62:BK62" si="415">BJ51-BJ60</f>
        <v>#REF!</v>
      </c>
      <c r="BK62" s="2052" t="e">
        <f t="shared" si="415"/>
        <v>#REF!</v>
      </c>
      <c r="BL62" s="1814"/>
      <c r="BM62" s="1814"/>
      <c r="BN62" s="1814"/>
      <c r="BO62" s="1814"/>
      <c r="BQ62" s="1735"/>
      <c r="BR62" s="2135"/>
      <c r="BS62" s="1817"/>
      <c r="BT62" s="1735"/>
      <c r="BU62" s="1768"/>
      <c r="BV62" s="1830"/>
      <c r="BW62" s="2136"/>
      <c r="BZ62" s="1761"/>
    </row>
    <row r="63" spans="1:86" s="1810" customFormat="1" ht="4.5" customHeight="1" thickBot="1" x14ac:dyDescent="0.25">
      <c r="B63" s="1817"/>
      <c r="C63" s="1817"/>
      <c r="D63" s="1817"/>
      <c r="E63" s="1814"/>
      <c r="F63" s="1814"/>
      <c r="G63" s="1814"/>
      <c r="H63" s="1814"/>
      <c r="I63" s="1814"/>
      <c r="J63" s="1814"/>
      <c r="K63" s="2131"/>
      <c r="L63" s="1924"/>
      <c r="M63" s="1924"/>
      <c r="N63" s="2137"/>
      <c r="O63" s="2137"/>
      <c r="P63" s="2137"/>
      <c r="Q63" s="2137"/>
      <c r="R63" s="2137"/>
      <c r="S63" s="2137"/>
      <c r="T63" s="2137"/>
      <c r="U63" s="1814"/>
      <c r="V63" s="1814"/>
      <c r="W63" s="1814"/>
      <c r="X63" s="1814"/>
      <c r="Y63" s="1766"/>
      <c r="Z63" s="1944"/>
      <c r="AA63" s="1944"/>
      <c r="AB63" s="1944"/>
      <c r="AC63" s="1944"/>
      <c r="AD63" s="1944"/>
      <c r="AE63" s="1944"/>
      <c r="AF63" s="1944"/>
      <c r="AG63" s="1766"/>
      <c r="AH63" s="1814"/>
      <c r="AI63" s="1814"/>
      <c r="AJ63" s="1814"/>
      <c r="AK63" s="1766"/>
      <c r="AL63" s="2137"/>
      <c r="AM63" s="2137"/>
      <c r="AN63" s="2137"/>
      <c r="AO63" s="2137"/>
      <c r="AP63" s="2137"/>
      <c r="AQ63" s="2137"/>
      <c r="AR63" s="2137"/>
      <c r="AS63" s="1814"/>
      <c r="AT63" s="1814"/>
      <c r="AU63" s="1814"/>
      <c r="AV63" s="1814"/>
      <c r="AW63" s="1814"/>
      <c r="AX63" s="2137"/>
      <c r="AY63" s="2137"/>
      <c r="AZ63" s="2137"/>
      <c r="BA63" s="2137"/>
      <c r="BB63" s="2137"/>
      <c r="BC63" s="2137"/>
      <c r="BD63" s="2137"/>
      <c r="BE63" s="1814"/>
      <c r="BF63" s="1814"/>
      <c r="BG63" s="1814"/>
      <c r="BH63" s="1814"/>
      <c r="BI63" s="1814"/>
      <c r="BJ63" s="2137"/>
      <c r="BK63" s="2137"/>
      <c r="BL63" s="1814"/>
      <c r="BM63" s="1814"/>
      <c r="BN63" s="1814"/>
      <c r="BO63" s="1814"/>
      <c r="BQ63" s="2137"/>
      <c r="BR63" s="2138"/>
      <c r="BS63" s="1817"/>
      <c r="BT63" s="2137"/>
      <c r="BU63" s="2139"/>
      <c r="BV63" s="1830"/>
      <c r="BW63" s="2140"/>
      <c r="BZ63" s="1761"/>
    </row>
    <row r="64" spans="1:86" s="1754" customFormat="1" ht="15.75" x14ac:dyDescent="0.2">
      <c r="A64" s="2461"/>
      <c r="B64" s="2141">
        <v>37</v>
      </c>
      <c r="C64" s="2142" t="s">
        <v>132</v>
      </c>
      <c r="D64" s="1806"/>
      <c r="E64" s="2143">
        <v>465</v>
      </c>
      <c r="F64" s="2144">
        <f>E64/10</f>
        <v>46.5</v>
      </c>
      <c r="G64" s="2144">
        <f>E64/15</f>
        <v>31</v>
      </c>
      <c r="H64" s="2144">
        <f>E64/20</f>
        <v>23.25</v>
      </c>
      <c r="I64" s="2144">
        <f>E64/25</f>
        <v>18.600000000000001</v>
      </c>
      <c r="J64" s="2144">
        <f t="shared" ref="J64:J72" si="416">E64/30</f>
        <v>15.5</v>
      </c>
      <c r="K64" s="2145">
        <f t="shared" ref="K64:K72" si="417">E64/$E$73</f>
        <v>0.27050610820244331</v>
      </c>
      <c r="L64" s="2462"/>
      <c r="M64" s="2463"/>
      <c r="N64" s="2143" t="e">
        <f t="shared" ref="N64" si="418">IF(N62&gt;$J$73,$J$64,IF(N62&lt;$J$73,(IF(N62&lt;0,0,N62*$K$64))))</f>
        <v>#REF!</v>
      </c>
      <c r="O64" s="2144" t="e">
        <f t="shared" ref="O64:P64" si="419">IF(O62&gt;$J$73,$J$64,IF(O62&lt;$J$73,(IF(O62&lt;0,0,O62*$K$64))))</f>
        <v>#REF!</v>
      </c>
      <c r="P64" s="2144" t="e">
        <f t="shared" si="419"/>
        <v>#REF!</v>
      </c>
      <c r="Q64" s="2144" t="e">
        <f t="shared" ref="Q64:R64" si="420">IF(Q62&gt;$J$73,$J$64,IF(Q62&lt;$J$73,(IF(Q62&lt;0,0,Q62*$K$64))))</f>
        <v>#REF!</v>
      </c>
      <c r="R64" s="2144" t="e">
        <f t="shared" si="420"/>
        <v>#REF!</v>
      </c>
      <c r="S64" s="2144" t="e">
        <f t="shared" ref="S64" si="421">IF(S62&gt;$J$73,$J$64,IF(S62&lt;$J$73,(IF(S62&lt;0,0,S62*$K$64))))</f>
        <v>#REF!</v>
      </c>
      <c r="T64" s="2146" t="e">
        <f t="shared" ref="T64" si="422">IF(T62&gt;$J$73,$J$64,IF(T62&lt;$J$73,(IF(T62&lt;0,0,T62*$K$64))))</f>
        <v>#REF!</v>
      </c>
      <c r="U64" s="1801"/>
      <c r="V64" s="2143" t="e">
        <f t="shared" si="375"/>
        <v>#REF!</v>
      </c>
      <c r="W64" s="2147">
        <f>$J$64*7</f>
        <v>108.5</v>
      </c>
      <c r="X64" s="2148" t="e">
        <f t="shared" si="293"/>
        <v>#REF!</v>
      </c>
      <c r="Y64" s="1801"/>
      <c r="Z64" s="2077" t="e">
        <f t="shared" ref="Z64:AD64" si="423">IF(Z62&gt;$J$73,$J$64,IF(Z62&lt;$J$73,(IF(Z62&lt;0,0,Z62*$K$64))))</f>
        <v>#REF!</v>
      </c>
      <c r="AA64" s="2074" t="e">
        <f t="shared" si="423"/>
        <v>#REF!</v>
      </c>
      <c r="AB64" s="2074" t="e">
        <f t="shared" si="423"/>
        <v>#REF!</v>
      </c>
      <c r="AC64" s="2074" t="e">
        <f t="shared" si="423"/>
        <v>#REF!</v>
      </c>
      <c r="AD64" s="2074" t="e">
        <f t="shared" si="423"/>
        <v>#REF!</v>
      </c>
      <c r="AE64" s="2074" t="e">
        <f t="shared" ref="AE64:AF64" si="424">IF(AE62&gt;$J$73,$J$64,IF(AE62&lt;$J$73,(IF(AE62&lt;0,0,AE62*$K$64))))</f>
        <v>#REF!</v>
      </c>
      <c r="AF64" s="2078" t="e">
        <f t="shared" si="424"/>
        <v>#REF!</v>
      </c>
      <c r="AG64" s="1801"/>
      <c r="AH64" s="2143" t="e">
        <f t="shared" si="296"/>
        <v>#REF!</v>
      </c>
      <c r="AI64" s="2147">
        <f>$J$64*7</f>
        <v>108.5</v>
      </c>
      <c r="AJ64" s="2148" t="e">
        <f>AH64-AI64</f>
        <v>#REF!</v>
      </c>
      <c r="AK64" s="1801"/>
      <c r="AL64" s="2143" t="e">
        <f t="shared" ref="AL64" si="425">IF(AL62&gt;$J$73,$J$64,IF(AL62&lt;$J$73,(IF(AL62&lt;0,0,AL62*$K$64))))</f>
        <v>#REF!</v>
      </c>
      <c r="AM64" s="2144" t="e">
        <f t="shared" ref="AM64:AN64" si="426">IF(AM62&gt;$J$73,$J$64,IF(AM62&lt;$J$73,(IF(AM62&lt;0,0,AM62*$K$64))))</f>
        <v>#REF!</v>
      </c>
      <c r="AN64" s="2144" t="e">
        <f t="shared" si="426"/>
        <v>#REF!</v>
      </c>
      <c r="AO64" s="2144" t="e">
        <f t="shared" ref="AO64:AP64" si="427">IF(AO62&gt;$J$73,$J$64,IF(AO62&lt;$J$73,(IF(AO62&lt;0,0,AO62*$K$64))))</f>
        <v>#REF!</v>
      </c>
      <c r="AP64" s="2144" t="e">
        <f t="shared" si="427"/>
        <v>#REF!</v>
      </c>
      <c r="AQ64" s="2144" t="e">
        <f t="shared" ref="AQ64:AR64" si="428">IF(AQ62&gt;$J$73,$J$64,IF(AQ62&lt;$J$73,(IF(AQ62&lt;0,0,AQ62*$K$64))))</f>
        <v>#REF!</v>
      </c>
      <c r="AR64" s="2146" t="e">
        <f t="shared" si="428"/>
        <v>#REF!</v>
      </c>
      <c r="AS64" s="1801"/>
      <c r="AT64" s="2143" t="e">
        <f>SUM(AL64:AR64)</f>
        <v>#REF!</v>
      </c>
      <c r="AU64" s="2147">
        <f>$J$64*7</f>
        <v>108.5</v>
      </c>
      <c r="AV64" s="2148" t="e">
        <f>AT64-AU64</f>
        <v>#REF!</v>
      </c>
      <c r="AW64" s="1801"/>
      <c r="AX64" s="2143" t="e">
        <f t="shared" ref="AX64" si="429">IF(AX62&gt;$J$73,$J$64,IF(AX62&lt;$J$73,(IF(AX62&lt;0,0,AX62*$K$64))))</f>
        <v>#REF!</v>
      </c>
      <c r="AY64" s="2303" t="e">
        <f t="shared" ref="AY64:BB64" si="430">IF(AY62&gt;$J$73,$J$64,IF(AY62&lt;$J$73,(IF(AY62&lt;0,0,AY62*$K$64))))</f>
        <v>#REF!</v>
      </c>
      <c r="AZ64" s="2303" t="e">
        <f t="shared" si="430"/>
        <v>#REF!</v>
      </c>
      <c r="BA64" s="2303" t="e">
        <f t="shared" si="430"/>
        <v>#REF!</v>
      </c>
      <c r="BB64" s="2303" t="e">
        <f t="shared" si="430"/>
        <v>#REF!</v>
      </c>
      <c r="BC64" s="2303" t="e">
        <f t="shared" ref="BC64:BD64" si="431">IF(BC62&gt;$J$73,$J$64,IF(BC62&lt;$J$73,(IF(BC62&lt;0,0,BC62*$K$64))))</f>
        <v>#REF!</v>
      </c>
      <c r="BD64" s="2146" t="e">
        <f t="shared" si="431"/>
        <v>#REF!</v>
      </c>
      <c r="BE64" s="1801"/>
      <c r="BF64" s="2143" t="e">
        <f t="shared" ref="BF64:BF72" si="432">SUM(AX64:BD64)</f>
        <v>#REF!</v>
      </c>
      <c r="BG64" s="2147">
        <f>$J$64*7</f>
        <v>108.5</v>
      </c>
      <c r="BH64" s="2148" t="e">
        <f t="shared" ref="BH64:BH72" si="433">BF64-BG64</f>
        <v>#REF!</v>
      </c>
      <c r="BI64" s="1801"/>
      <c r="BJ64" s="2143" t="e">
        <f t="shared" ref="BJ64:BK64" si="434">IF(BJ62&gt;$J$73,$J$64,IF(BJ62&lt;$J$73,(IF(BJ62&lt;0,0,BJ62*$K$64))))</f>
        <v>#REF!</v>
      </c>
      <c r="BK64" s="2303" t="e">
        <f t="shared" si="434"/>
        <v>#REF!</v>
      </c>
      <c r="BL64" s="1801"/>
      <c r="BM64" s="2143" t="e">
        <f t="shared" ref="BM64:BM73" si="435">SUM(BJ64:BK64)</f>
        <v>#REF!</v>
      </c>
      <c r="BN64" s="2147">
        <f>$J$64*2</f>
        <v>31</v>
      </c>
      <c r="BO64" s="2148" t="e">
        <f t="shared" ref="BO64:BO72" si="436">BM64-BN64</f>
        <v>#REF!</v>
      </c>
      <c r="BQ64" s="2143"/>
      <c r="BR64" s="2149"/>
      <c r="BT64" s="2143" t="e">
        <f t="shared" ref="BT64:BT72" si="437">SUM(N64:T64)+SUM(Z64:AF64)+SUM(AL64:AR64)+SUM(AX64:BD64)+SUM(BJ64:BK64)</f>
        <v>#REF!</v>
      </c>
      <c r="BU64" s="2150" t="e">
        <f t="shared" ref="BU64:BU73" si="438">BT64/E64</f>
        <v>#REF!</v>
      </c>
      <c r="BV64" s="2352"/>
      <c r="BW64" s="4623" t="e">
        <f>BU73-BT1</f>
        <v>#REF!</v>
      </c>
      <c r="BZ64" s="1993"/>
      <c r="CA64" s="1994"/>
      <c r="CB64" s="1994"/>
      <c r="CC64" s="1994"/>
      <c r="CD64" s="1994"/>
      <c r="CE64" s="1994"/>
      <c r="CF64" s="1994"/>
      <c r="CG64" s="1994"/>
      <c r="CH64" s="1994"/>
    </row>
    <row r="65" spans="1:86" s="1740" customFormat="1" ht="15.75" x14ac:dyDescent="0.2">
      <c r="A65" s="2464"/>
      <c r="B65" s="2151">
        <v>38</v>
      </c>
      <c r="C65" s="2152" t="s">
        <v>232</v>
      </c>
      <c r="D65" s="1817"/>
      <c r="E65" s="2153">
        <v>345</v>
      </c>
      <c r="F65" s="2154">
        <f>E65/10</f>
        <v>34.5</v>
      </c>
      <c r="G65" s="2154">
        <f>E65/15</f>
        <v>23</v>
      </c>
      <c r="H65" s="2154">
        <f>E65/20</f>
        <v>17.25</v>
      </c>
      <c r="I65" s="2154">
        <f>E65/25</f>
        <v>13.8</v>
      </c>
      <c r="J65" s="2154">
        <f t="shared" si="416"/>
        <v>11.5</v>
      </c>
      <c r="K65" s="2155">
        <f t="shared" si="417"/>
        <v>0.20069808027923211</v>
      </c>
      <c r="L65" s="2465"/>
      <c r="M65" s="2131"/>
      <c r="N65" s="2153" t="e">
        <f t="shared" ref="N65" si="439">IF(N62&gt;$J$73,$J$65,IF(N62&lt;$J$73,(IF(N62&lt;0,0,N62*$K$65))))</f>
        <v>#REF!</v>
      </c>
      <c r="O65" s="2154" t="e">
        <f t="shared" ref="O65:P65" si="440">IF(O62&gt;$J$73,$J$65,IF(O62&lt;$J$73,(IF(O62&lt;0,0,O62*$K$65))))</f>
        <v>#REF!</v>
      </c>
      <c r="P65" s="2154" t="e">
        <f t="shared" si="440"/>
        <v>#REF!</v>
      </c>
      <c r="Q65" s="2154" t="e">
        <f t="shared" ref="Q65:R65" si="441">IF(Q62&gt;$J$73,$J$65,IF(Q62&lt;$J$73,(IF(Q62&lt;0,0,Q62*$K$65))))</f>
        <v>#REF!</v>
      </c>
      <c r="R65" s="2154" t="e">
        <f t="shared" si="441"/>
        <v>#REF!</v>
      </c>
      <c r="S65" s="2154" t="e">
        <f t="shared" ref="S65" si="442">IF(S62&gt;$J$73,$J$65,IF(S62&lt;$J$73,(IF(S62&lt;0,0,S62*$K$65))))</f>
        <v>#REF!</v>
      </c>
      <c r="T65" s="2156" t="e">
        <f t="shared" ref="T65" si="443">IF(T62&gt;$J$73,$J$65,IF(T62&lt;$J$73,(IF(T62&lt;0,0,T62*$K$65))))</f>
        <v>#REF!</v>
      </c>
      <c r="U65" s="1814"/>
      <c r="V65" s="2153" t="e">
        <f t="shared" si="375"/>
        <v>#REF!</v>
      </c>
      <c r="W65" s="2157">
        <f>$J$65*7</f>
        <v>80.5</v>
      </c>
      <c r="X65" s="2158" t="e">
        <f t="shared" si="293"/>
        <v>#REF!</v>
      </c>
      <c r="Y65" s="1814"/>
      <c r="Z65" s="2090" t="e">
        <f t="shared" ref="Z65:AD65" si="444">IF(Z62&gt;$J$73,$J$65,IF(Z62&lt;$J$73,(IF(Z62&lt;0,0,Z62*$K$65))))</f>
        <v>#REF!</v>
      </c>
      <c r="AA65" s="2087" t="e">
        <f t="shared" si="444"/>
        <v>#REF!</v>
      </c>
      <c r="AB65" s="2087" t="e">
        <f t="shared" si="444"/>
        <v>#REF!</v>
      </c>
      <c r="AC65" s="2087" t="e">
        <f t="shared" si="444"/>
        <v>#REF!</v>
      </c>
      <c r="AD65" s="2087" t="e">
        <f t="shared" si="444"/>
        <v>#REF!</v>
      </c>
      <c r="AE65" s="2087" t="e">
        <f t="shared" ref="AE65:AF65" si="445">IF(AE62&gt;$J$73,$J$65,IF(AE62&lt;$J$73,(IF(AE62&lt;0,0,AE62*$K$65))))</f>
        <v>#REF!</v>
      </c>
      <c r="AF65" s="2091" t="e">
        <f t="shared" si="445"/>
        <v>#REF!</v>
      </c>
      <c r="AG65" s="1814"/>
      <c r="AH65" s="2153" t="e">
        <f>SUM(Z65:AF65)</f>
        <v>#REF!</v>
      </c>
      <c r="AI65" s="2157">
        <f>$J$65*7</f>
        <v>80.5</v>
      </c>
      <c r="AJ65" s="2158" t="e">
        <f t="shared" ref="AJ65:AJ66" si="446">AH65-AI65</f>
        <v>#REF!</v>
      </c>
      <c r="AK65" s="1814"/>
      <c r="AL65" s="2153" t="e">
        <f t="shared" ref="AL65" si="447">IF(AL62&gt;$J$73,$J$65,IF(AL62&lt;$J$73,(IF(AL62&lt;0,0,AL62*$K$65))))</f>
        <v>#REF!</v>
      </c>
      <c r="AM65" s="2154" t="e">
        <f t="shared" ref="AM65:AN65" si="448">IF(AM62&gt;$J$73,$J$65,IF(AM62&lt;$J$73,(IF(AM62&lt;0,0,AM62*$K$65))))</f>
        <v>#REF!</v>
      </c>
      <c r="AN65" s="2154" t="e">
        <f t="shared" si="448"/>
        <v>#REF!</v>
      </c>
      <c r="AO65" s="2154" t="e">
        <f t="shared" ref="AO65:AP65" si="449">IF(AO62&gt;$J$73,$J$65,IF(AO62&lt;$J$73,(IF(AO62&lt;0,0,AO62*$K$65))))</f>
        <v>#REF!</v>
      </c>
      <c r="AP65" s="2154" t="e">
        <f t="shared" si="449"/>
        <v>#REF!</v>
      </c>
      <c r="AQ65" s="2154" t="e">
        <f t="shared" ref="AQ65:AR65" si="450">IF(AQ62&gt;$J$73,$J$65,IF(AQ62&lt;$J$73,(IF(AQ62&lt;0,0,AQ62*$K$65))))</f>
        <v>#REF!</v>
      </c>
      <c r="AR65" s="2156" t="e">
        <f t="shared" si="450"/>
        <v>#REF!</v>
      </c>
      <c r="AS65" s="1814"/>
      <c r="AT65" s="2153" t="e">
        <f t="shared" ref="AT65:AT72" si="451">SUM(AL65:AR65)</f>
        <v>#REF!</v>
      </c>
      <c r="AU65" s="2157">
        <f>$J$65*7</f>
        <v>80.5</v>
      </c>
      <c r="AV65" s="2158" t="e">
        <f t="shared" ref="AV65:AV72" si="452">AT65-AU65</f>
        <v>#REF!</v>
      </c>
      <c r="AW65" s="1814"/>
      <c r="AX65" s="2153" t="e">
        <f t="shared" ref="AX65" si="453">IF(AX62&gt;$J$73,$J$65,IF(AX62&lt;$J$73,(IF(AX62&lt;0,0,AX62*$K$65))))</f>
        <v>#REF!</v>
      </c>
      <c r="AY65" s="2304" t="e">
        <f t="shared" ref="AY65:BB65" si="454">IF(AY62&gt;$J$73,$J$65,IF(AY62&lt;$J$73,(IF(AY62&lt;0,0,AY62*$K$65))))</f>
        <v>#REF!</v>
      </c>
      <c r="AZ65" s="2304" t="e">
        <f t="shared" si="454"/>
        <v>#REF!</v>
      </c>
      <c r="BA65" s="2304" t="e">
        <f t="shared" si="454"/>
        <v>#REF!</v>
      </c>
      <c r="BB65" s="2304" t="e">
        <f t="shared" si="454"/>
        <v>#REF!</v>
      </c>
      <c r="BC65" s="2304" t="e">
        <f t="shared" ref="BC65:BD65" si="455">IF(BC62&gt;$J$73,$J$65,IF(BC62&lt;$J$73,(IF(BC62&lt;0,0,BC62*$K$65))))</f>
        <v>#REF!</v>
      </c>
      <c r="BD65" s="2156" t="e">
        <f t="shared" si="455"/>
        <v>#REF!</v>
      </c>
      <c r="BE65" s="1814"/>
      <c r="BF65" s="2153" t="e">
        <f t="shared" si="432"/>
        <v>#REF!</v>
      </c>
      <c r="BG65" s="2157">
        <f>$J$64*7</f>
        <v>108.5</v>
      </c>
      <c r="BH65" s="2158" t="e">
        <f t="shared" si="433"/>
        <v>#REF!</v>
      </c>
      <c r="BI65" s="1814"/>
      <c r="BJ65" s="2090" t="e">
        <f t="shared" ref="BJ65:BK65" si="456">IF(BJ62&gt;$J$73,$J$65,IF(BJ62&lt;$J$73,(IF(BJ62&lt;0,0,BJ62*$K$65))))</f>
        <v>#REF!</v>
      </c>
      <c r="BK65" s="2305" t="e">
        <f t="shared" si="456"/>
        <v>#REF!</v>
      </c>
      <c r="BL65" s="1814"/>
      <c r="BM65" s="2090" t="e">
        <f t="shared" si="435"/>
        <v>#REF!</v>
      </c>
      <c r="BN65" s="2087">
        <f>$J$64*2</f>
        <v>31</v>
      </c>
      <c r="BO65" s="2174" t="e">
        <f t="shared" si="436"/>
        <v>#REF!</v>
      </c>
      <c r="BQ65" s="2090"/>
      <c r="BR65" s="2159"/>
      <c r="BT65" s="2090" t="e">
        <f t="shared" si="437"/>
        <v>#REF!</v>
      </c>
      <c r="BU65" s="2160" t="e">
        <f t="shared" si="438"/>
        <v>#REF!</v>
      </c>
      <c r="BV65" s="2351"/>
      <c r="BW65" s="4624"/>
      <c r="BZ65" s="1997"/>
      <c r="CA65" s="1861"/>
      <c r="CB65" s="1861"/>
      <c r="CC65" s="1861"/>
      <c r="CD65" s="1861"/>
      <c r="CE65" s="1861"/>
      <c r="CF65" s="1861"/>
      <c r="CG65" s="1861"/>
      <c r="CH65" s="1861"/>
    </row>
    <row r="66" spans="1:86" s="1885" customFormat="1" x14ac:dyDescent="0.2">
      <c r="A66" s="1947"/>
      <c r="B66" s="2161">
        <v>39</v>
      </c>
      <c r="C66" s="2162" t="s">
        <v>4</v>
      </c>
      <c r="D66" s="1960"/>
      <c r="E66" s="2163">
        <v>300</v>
      </c>
      <c r="F66" s="2164"/>
      <c r="G66" s="2164"/>
      <c r="H66" s="2164"/>
      <c r="I66" s="2164"/>
      <c r="J66" s="2164">
        <f t="shared" si="416"/>
        <v>10</v>
      </c>
      <c r="K66" s="2165">
        <f t="shared" si="417"/>
        <v>0.17452006980802792</v>
      </c>
      <c r="L66" s="2003"/>
      <c r="M66" s="1950"/>
      <c r="N66" s="2163" t="e">
        <f t="shared" ref="N66" si="457">IF(N62&gt;$J$73,$J$66,IF(N62&lt;$J$73,(IF(N62&lt;0,0,N62*$K$66))))</f>
        <v>#REF!</v>
      </c>
      <c r="O66" s="2164" t="e">
        <f t="shared" ref="O66:P66" si="458">IF(O62&gt;$J$73,$J$66,IF(O62&lt;$J$73,(IF(O62&lt;0,0,O62*$K$66))))</f>
        <v>#REF!</v>
      </c>
      <c r="P66" s="2164" t="e">
        <f t="shared" si="458"/>
        <v>#REF!</v>
      </c>
      <c r="Q66" s="2164" t="e">
        <f t="shared" ref="Q66:R66" si="459">IF(Q62&gt;$J$73,$J$66,IF(Q62&lt;$J$73,(IF(Q62&lt;0,0,Q62*$K$66))))</f>
        <v>#REF!</v>
      </c>
      <c r="R66" s="2164" t="e">
        <f t="shared" si="459"/>
        <v>#REF!</v>
      </c>
      <c r="S66" s="2164" t="e">
        <f t="shared" ref="S66" si="460">IF(S62&gt;$J$73,$J$66,IF(S62&lt;$J$73,(IF(S62&lt;0,0,S62*$K$66))))</f>
        <v>#REF!</v>
      </c>
      <c r="T66" s="2166" t="e">
        <f t="shared" ref="T66" si="461">IF(T62&gt;$J$73,$J$66,IF(T62&lt;$J$73,(IF(T62&lt;0,0,T62*$K$66))))</f>
        <v>#REF!</v>
      </c>
      <c r="U66" s="1951"/>
      <c r="V66" s="2163" t="e">
        <f t="shared" si="375"/>
        <v>#REF!</v>
      </c>
      <c r="W66" s="2167">
        <f>$J$66*7</f>
        <v>70</v>
      </c>
      <c r="X66" s="2168" t="e">
        <f t="shared" si="293"/>
        <v>#REF!</v>
      </c>
      <c r="Y66" s="1956"/>
      <c r="Z66" s="2169" t="e">
        <f t="shared" ref="Z66:AD66" si="462">IF(Z62&gt;$J$73,$J$66,IF(Z62&lt;$J$73,(IF(Z62&lt;0,0,Z62*$K$66))))</f>
        <v>#REF!</v>
      </c>
      <c r="AA66" s="2170" t="e">
        <f t="shared" si="462"/>
        <v>#REF!</v>
      </c>
      <c r="AB66" s="2170" t="e">
        <f t="shared" si="462"/>
        <v>#REF!</v>
      </c>
      <c r="AC66" s="2170" t="e">
        <f t="shared" si="462"/>
        <v>#REF!</v>
      </c>
      <c r="AD66" s="2170" t="e">
        <f t="shared" si="462"/>
        <v>#REF!</v>
      </c>
      <c r="AE66" s="2170" t="e">
        <f t="shared" ref="AE66:AF66" si="463">IF(AE62&gt;$J$73,$J$66,IF(AE62&lt;$J$73,(IF(AE62&lt;0,0,AE62*$K$66))))</f>
        <v>#REF!</v>
      </c>
      <c r="AF66" s="2171" t="e">
        <f t="shared" si="463"/>
        <v>#REF!</v>
      </c>
      <c r="AG66" s="1956"/>
      <c r="AH66" s="2163" t="e">
        <f t="shared" ref="AH66" si="464">SUM(Z66:AF66)</f>
        <v>#REF!</v>
      </c>
      <c r="AI66" s="2167">
        <f>$J$66*7</f>
        <v>70</v>
      </c>
      <c r="AJ66" s="2168" t="e">
        <f t="shared" si="446"/>
        <v>#REF!</v>
      </c>
      <c r="AK66" s="1956"/>
      <c r="AL66" s="2163" t="e">
        <f t="shared" ref="AL66" si="465">IF(AL62&gt;$J$73,$J$66,IF(AL62&lt;$J$73,(IF(AL62&lt;0,0,AL62*$K$66))))</f>
        <v>#REF!</v>
      </c>
      <c r="AM66" s="2164" t="e">
        <f t="shared" ref="AM66:AN66" si="466">IF(AM62&gt;$J$73,$J$66,IF(AM62&lt;$J$73,(IF(AM62&lt;0,0,AM62*$K$66))))</f>
        <v>#REF!</v>
      </c>
      <c r="AN66" s="2164" t="e">
        <f t="shared" si="466"/>
        <v>#REF!</v>
      </c>
      <c r="AO66" s="2164" t="e">
        <f t="shared" ref="AO66:AP66" si="467">IF(AO62&gt;$J$73,$J$66,IF(AO62&lt;$J$73,(IF(AO62&lt;0,0,AO62*$K$66))))</f>
        <v>#REF!</v>
      </c>
      <c r="AP66" s="2164" t="e">
        <f t="shared" si="467"/>
        <v>#REF!</v>
      </c>
      <c r="AQ66" s="2164" t="e">
        <f t="shared" ref="AQ66:AR66" si="468">IF(AQ62&gt;$J$73,$J$66,IF(AQ62&lt;$J$73,(IF(AQ62&lt;0,0,AQ62*$K$66))))</f>
        <v>#REF!</v>
      </c>
      <c r="AR66" s="2166" t="e">
        <f t="shared" si="468"/>
        <v>#REF!</v>
      </c>
      <c r="AS66" s="1951"/>
      <c r="AT66" s="2163" t="e">
        <f t="shared" si="451"/>
        <v>#REF!</v>
      </c>
      <c r="AU66" s="2167">
        <f>$J$66*7</f>
        <v>70</v>
      </c>
      <c r="AV66" s="2168" t="e">
        <f t="shared" si="452"/>
        <v>#REF!</v>
      </c>
      <c r="AW66" s="1951"/>
      <c r="AX66" s="2163" t="e">
        <f t="shared" ref="AX66" si="469">IF(AX62&gt;$J$73,$J$66,IF(AX62&lt;$J$73,(IF(AX62&lt;0,0,AX62*$K$66))))</f>
        <v>#REF!</v>
      </c>
      <c r="AY66" s="2306" t="e">
        <f t="shared" ref="AY66:BB66" si="470">IF(AY62&gt;$J$73,$J$66,IF(AY62&lt;$J$73,(IF(AY62&lt;0,0,AY62*$K$66))))</f>
        <v>#REF!</v>
      </c>
      <c r="AZ66" s="2306" t="e">
        <f t="shared" si="470"/>
        <v>#REF!</v>
      </c>
      <c r="BA66" s="2306" t="e">
        <f t="shared" si="470"/>
        <v>#REF!</v>
      </c>
      <c r="BB66" s="2306" t="e">
        <f t="shared" si="470"/>
        <v>#REF!</v>
      </c>
      <c r="BC66" s="2306" t="e">
        <f t="shared" ref="BC66:BD66" si="471">IF(BC62&gt;$J$73,$J$66,IF(BC62&lt;$J$73,(IF(BC62&lt;0,0,BC62*$K$66))))</f>
        <v>#REF!</v>
      </c>
      <c r="BD66" s="2166" t="e">
        <f t="shared" si="471"/>
        <v>#REF!</v>
      </c>
      <c r="BE66" s="1951"/>
      <c r="BF66" s="2163" t="e">
        <f t="shared" si="432"/>
        <v>#REF!</v>
      </c>
      <c r="BG66" s="2167">
        <f>$J$64*7</f>
        <v>108.5</v>
      </c>
      <c r="BH66" s="2168" t="e">
        <f t="shared" si="433"/>
        <v>#REF!</v>
      </c>
      <c r="BI66" s="1951"/>
      <c r="BJ66" s="2169" t="e">
        <f t="shared" ref="BJ66:BK66" si="472">IF(BJ62&gt;$J$73,$J$66,IF(BJ62&lt;$J$73,(IF(BJ62&lt;0,0,BJ62*$K$66))))</f>
        <v>#REF!</v>
      </c>
      <c r="BK66" s="2307" t="e">
        <f t="shared" si="472"/>
        <v>#REF!</v>
      </c>
      <c r="BL66" s="1951"/>
      <c r="BM66" s="2169" t="e">
        <f t="shared" si="435"/>
        <v>#REF!</v>
      </c>
      <c r="BN66" s="2170">
        <f>$J$64*2</f>
        <v>31</v>
      </c>
      <c r="BO66" s="2178" t="e">
        <f t="shared" si="436"/>
        <v>#REF!</v>
      </c>
      <c r="BQ66" s="2169"/>
      <c r="BR66" s="2172"/>
      <c r="BS66" s="1900"/>
      <c r="BT66" s="2169" t="e">
        <f t="shared" si="437"/>
        <v>#REF!</v>
      </c>
      <c r="BU66" s="2173" t="e">
        <f t="shared" si="438"/>
        <v>#REF!</v>
      </c>
      <c r="BV66" s="2353"/>
      <c r="BW66" s="4624"/>
      <c r="BZ66" s="2573"/>
      <c r="CA66" s="1946"/>
      <c r="CB66" s="1946"/>
      <c r="CC66" s="1946"/>
      <c r="CD66" s="1946"/>
      <c r="CE66" s="1946"/>
      <c r="CF66" s="1946"/>
      <c r="CG66" s="1946"/>
      <c r="CH66" s="1946"/>
    </row>
    <row r="67" spans="1:86" s="1740" customFormat="1" ht="15.75" x14ac:dyDescent="0.2">
      <c r="A67" s="2466"/>
      <c r="B67" s="2151">
        <v>40</v>
      </c>
      <c r="C67" s="2086" t="s">
        <v>121</v>
      </c>
      <c r="D67" s="1817"/>
      <c r="E67" s="2090">
        <v>250</v>
      </c>
      <c r="F67" s="2088">
        <f>E67/10</f>
        <v>25</v>
      </c>
      <c r="G67" s="2088">
        <f>E67/15</f>
        <v>16.666666666666668</v>
      </c>
      <c r="H67" s="2088">
        <f>E67/20</f>
        <v>12.5</v>
      </c>
      <c r="I67" s="2088">
        <f>E67/25</f>
        <v>10</v>
      </c>
      <c r="J67" s="2088">
        <f t="shared" si="416"/>
        <v>8.3333333333333339</v>
      </c>
      <c r="K67" s="2089">
        <f t="shared" si="417"/>
        <v>0.14543339150668994</v>
      </c>
      <c r="L67" s="2465"/>
      <c r="M67" s="2131"/>
      <c r="N67" s="2090" t="e">
        <f t="shared" ref="N67" si="473">IF(N62&gt;$J$73,$J$67,IF(N62&lt;$J$73,(IF(N62&lt;0,0,N62*$K$67))))</f>
        <v>#REF!</v>
      </c>
      <c r="O67" s="2088" t="e">
        <f t="shared" ref="O67:P67" si="474">IF(O62&gt;$J$73,$J$67,IF(O62&lt;$J$73,(IF(O62&lt;0,0,O62*$K$67))))</f>
        <v>#REF!</v>
      </c>
      <c r="P67" s="2088" t="e">
        <f t="shared" si="474"/>
        <v>#REF!</v>
      </c>
      <c r="Q67" s="2088" t="e">
        <f t="shared" ref="Q67:R67" si="475">IF(Q62&gt;$J$73,$J$67,IF(Q62&lt;$J$73,(IF(Q62&lt;0,0,Q62*$K$67))))</f>
        <v>#REF!</v>
      </c>
      <c r="R67" s="2088" t="e">
        <f t="shared" si="475"/>
        <v>#REF!</v>
      </c>
      <c r="S67" s="2088" t="e">
        <f t="shared" ref="S67" si="476">IF(S62&gt;$J$73,$J$67,IF(S62&lt;$J$73,(IF(S62&lt;0,0,S62*$K$67))))</f>
        <v>#REF!</v>
      </c>
      <c r="T67" s="2091" t="e">
        <f t="shared" ref="T67" si="477">IF(T62&gt;$J$73,$J$67,IF(T62&lt;$J$73,(IF(T62&lt;0,0,T62*$K$67))))</f>
        <v>#REF!</v>
      </c>
      <c r="U67" s="1814"/>
      <c r="V67" s="2090" t="e">
        <f t="shared" si="375"/>
        <v>#REF!</v>
      </c>
      <c r="W67" s="2087">
        <f>$J$67*7</f>
        <v>58.333333333333336</v>
      </c>
      <c r="X67" s="2174" t="e">
        <f t="shared" si="293"/>
        <v>#REF!</v>
      </c>
      <c r="Y67" s="1814"/>
      <c r="Z67" s="2090" t="e">
        <f t="shared" ref="Z67:AD67" si="478">IF(Z62&gt;$J$73,$J$67,IF(Z62&lt;$J$73,(IF(Z62&lt;0,0,Z62*$K$67))))</f>
        <v>#REF!</v>
      </c>
      <c r="AA67" s="2087" t="e">
        <f t="shared" si="478"/>
        <v>#REF!</v>
      </c>
      <c r="AB67" s="2087" t="e">
        <f t="shared" si="478"/>
        <v>#REF!</v>
      </c>
      <c r="AC67" s="2087" t="e">
        <f t="shared" si="478"/>
        <v>#REF!</v>
      </c>
      <c r="AD67" s="2087" t="e">
        <f t="shared" si="478"/>
        <v>#REF!</v>
      </c>
      <c r="AE67" s="2087" t="e">
        <f t="shared" ref="AE67:AF67" si="479">IF(AE62&gt;$J$73,$J$67,IF(AE62&lt;$J$73,(IF(AE62&lt;0,0,AE62*$K$67))))</f>
        <v>#REF!</v>
      </c>
      <c r="AF67" s="2091" t="e">
        <f t="shared" si="479"/>
        <v>#REF!</v>
      </c>
      <c r="AG67" s="1814"/>
      <c r="AH67" s="2090" t="e">
        <f t="shared" si="296"/>
        <v>#REF!</v>
      </c>
      <c r="AI67" s="2087">
        <f>$J$67*7</f>
        <v>58.333333333333336</v>
      </c>
      <c r="AJ67" s="2174" t="e">
        <f t="shared" si="297"/>
        <v>#REF!</v>
      </c>
      <c r="AK67" s="1814"/>
      <c r="AL67" s="2090" t="e">
        <f t="shared" ref="AL67" si="480">IF(AL62&gt;$J$73,$J$67,IF(AL62&lt;$J$73,(IF(AL62&lt;0,0,AL62*$K$67))))</f>
        <v>#REF!</v>
      </c>
      <c r="AM67" s="2088" t="e">
        <f t="shared" ref="AM67:AN67" si="481">IF(AM62&gt;$J$73,$J$67,IF(AM62&lt;$J$73,(IF(AM62&lt;0,0,AM62*$K$67))))</f>
        <v>#REF!</v>
      </c>
      <c r="AN67" s="2088" t="e">
        <f t="shared" si="481"/>
        <v>#REF!</v>
      </c>
      <c r="AO67" s="2088" t="e">
        <f t="shared" ref="AO67:AP67" si="482">IF(AO62&gt;$J$73,$J$67,IF(AO62&lt;$J$73,(IF(AO62&lt;0,0,AO62*$K$67))))</f>
        <v>#REF!</v>
      </c>
      <c r="AP67" s="2088" t="e">
        <f t="shared" si="482"/>
        <v>#REF!</v>
      </c>
      <c r="AQ67" s="2088" t="e">
        <f t="shared" ref="AQ67:AR67" si="483">IF(AQ62&gt;$J$73,$J$67,IF(AQ62&lt;$J$73,(IF(AQ62&lt;0,0,AQ62*$K$67))))</f>
        <v>#REF!</v>
      </c>
      <c r="AR67" s="2091" t="e">
        <f t="shared" si="483"/>
        <v>#REF!</v>
      </c>
      <c r="AS67" s="1814"/>
      <c r="AT67" s="2090" t="e">
        <f t="shared" si="451"/>
        <v>#REF!</v>
      </c>
      <c r="AU67" s="2087">
        <f>$J$67*7</f>
        <v>58.333333333333336</v>
      </c>
      <c r="AV67" s="2174" t="e">
        <f t="shared" si="452"/>
        <v>#REF!</v>
      </c>
      <c r="AW67" s="1814"/>
      <c r="AX67" s="2090" t="e">
        <f t="shared" ref="AX67" si="484">IF(AX62&gt;$J$73,$J$67,IF(AX62&lt;$J$73,(IF(AX62&lt;0,0,AX62*$K$67))))</f>
        <v>#REF!</v>
      </c>
      <c r="AY67" s="2305" t="e">
        <f t="shared" ref="AY67:BB67" si="485">IF(AY62&gt;$J$73,$J$67,IF(AY62&lt;$J$73,(IF(AY62&lt;0,0,AY62*$K$67))))</f>
        <v>#REF!</v>
      </c>
      <c r="AZ67" s="2305" t="e">
        <f t="shared" si="485"/>
        <v>#REF!</v>
      </c>
      <c r="BA67" s="2305" t="e">
        <f t="shared" si="485"/>
        <v>#REF!</v>
      </c>
      <c r="BB67" s="2305" t="e">
        <f t="shared" si="485"/>
        <v>#REF!</v>
      </c>
      <c r="BC67" s="2305" t="e">
        <f t="shared" ref="BC67:BD67" si="486">IF(BC62&gt;$J$73,$J$67,IF(BC62&lt;$J$73,(IF(BC62&lt;0,0,BC62*$K$67))))</f>
        <v>#REF!</v>
      </c>
      <c r="BD67" s="2091" t="e">
        <f t="shared" si="486"/>
        <v>#REF!</v>
      </c>
      <c r="BE67" s="1814"/>
      <c r="BF67" s="2090" t="e">
        <f t="shared" si="432"/>
        <v>#REF!</v>
      </c>
      <c r="BG67" s="2087">
        <f>$J$67*7</f>
        <v>58.333333333333336</v>
      </c>
      <c r="BH67" s="2174" t="e">
        <f t="shared" si="433"/>
        <v>#REF!</v>
      </c>
      <c r="BI67" s="1814"/>
      <c r="BJ67" s="2090" t="e">
        <f t="shared" ref="BJ67:BK67" si="487">IF(BJ62&gt;$J$73,$J$67,IF(BJ62&lt;$J$73,(IF(BJ62&lt;0,0,BJ62*$K$67))))</f>
        <v>#REF!</v>
      </c>
      <c r="BK67" s="2305" t="e">
        <f t="shared" si="487"/>
        <v>#REF!</v>
      </c>
      <c r="BL67" s="1814"/>
      <c r="BM67" s="2090" t="e">
        <f t="shared" si="435"/>
        <v>#REF!</v>
      </c>
      <c r="BN67" s="2087">
        <f>$J$67*2</f>
        <v>16.666666666666668</v>
      </c>
      <c r="BO67" s="2174" t="e">
        <f t="shared" si="436"/>
        <v>#REF!</v>
      </c>
      <c r="BQ67" s="2092"/>
      <c r="BR67" s="2093"/>
      <c r="BT67" s="2092" t="e">
        <f t="shared" si="437"/>
        <v>#REF!</v>
      </c>
      <c r="BU67" s="2094" t="e">
        <f t="shared" si="438"/>
        <v>#REF!</v>
      </c>
      <c r="BV67" s="2351"/>
      <c r="BW67" s="4624"/>
      <c r="BZ67" s="1997"/>
      <c r="CA67" s="1861"/>
      <c r="CB67" s="1861"/>
      <c r="CC67" s="1861"/>
      <c r="CD67" s="1861"/>
      <c r="CE67" s="1861"/>
      <c r="CF67" s="1861"/>
      <c r="CG67" s="1861"/>
      <c r="CH67" s="1861"/>
    </row>
    <row r="68" spans="1:86" s="1900" customFormat="1" ht="15.75" x14ac:dyDescent="0.2">
      <c r="A68" s="2464"/>
      <c r="B68" s="2161">
        <v>41</v>
      </c>
      <c r="C68" s="2175" t="s">
        <v>229</v>
      </c>
      <c r="D68" s="1960"/>
      <c r="E68" s="2169">
        <v>209</v>
      </c>
      <c r="F68" s="2176">
        <f>E68/10</f>
        <v>20.9</v>
      </c>
      <c r="G68" s="2176">
        <f>E68/15</f>
        <v>13.933333333333334</v>
      </c>
      <c r="H68" s="2176">
        <f>E68/20</f>
        <v>10.45</v>
      </c>
      <c r="I68" s="2176">
        <f>E68/25</f>
        <v>8.36</v>
      </c>
      <c r="J68" s="2176">
        <f t="shared" si="416"/>
        <v>6.9666666666666668</v>
      </c>
      <c r="K68" s="2177">
        <f t="shared" si="417"/>
        <v>0.12158231529959279</v>
      </c>
      <c r="L68" s="2468"/>
      <c r="M68" s="2339"/>
      <c r="N68" s="2169" t="e">
        <f t="shared" ref="N68" si="488">IF(N62&gt;$J$73,$J$68,IF(N62&lt;$J$73,(IF(N62&lt;0,0,N62*$K$68))))</f>
        <v>#REF!</v>
      </c>
      <c r="O68" s="2176" t="e">
        <f t="shared" ref="O68:P68" si="489">IF(O62&gt;$J$73,$J$68,IF(O62&lt;$J$73,(IF(O62&lt;0,0,O62*$K$68))))</f>
        <v>#REF!</v>
      </c>
      <c r="P68" s="2176" t="e">
        <f t="shared" si="489"/>
        <v>#REF!</v>
      </c>
      <c r="Q68" s="2176" t="e">
        <f t="shared" ref="Q68:R68" si="490">IF(Q62&gt;$J$73,$J$68,IF(Q62&lt;$J$73,(IF(Q62&lt;0,0,Q62*$K$68))))</f>
        <v>#REF!</v>
      </c>
      <c r="R68" s="2176" t="e">
        <f t="shared" si="490"/>
        <v>#REF!</v>
      </c>
      <c r="S68" s="2176" t="e">
        <f t="shared" ref="S68" si="491">IF(S62&gt;$J$73,$J$68,IF(S62&lt;$J$73,(IF(S62&lt;0,0,S62*$K$68))))</f>
        <v>#REF!</v>
      </c>
      <c r="T68" s="2171" t="e">
        <f t="shared" ref="T68" si="492">IF(T62&gt;$J$73,$J$68,IF(T62&lt;$J$73,(IF(T62&lt;0,0,T62*$K$68))))</f>
        <v>#REF!</v>
      </c>
      <c r="U68" s="1951"/>
      <c r="V68" s="2169" t="e">
        <f t="shared" si="375"/>
        <v>#REF!</v>
      </c>
      <c r="W68" s="2170">
        <f>$J$68*7</f>
        <v>48.766666666666666</v>
      </c>
      <c r="X68" s="2178" t="e">
        <f t="shared" si="293"/>
        <v>#REF!</v>
      </c>
      <c r="Y68" s="1951"/>
      <c r="Z68" s="2169" t="e">
        <f t="shared" ref="Z68:AD68" si="493">IF(Z62&gt;$J$73,$J$68,IF(Z62&lt;$J$73,(IF(Z62&lt;0,0,Z62*$K$68))))</f>
        <v>#REF!</v>
      </c>
      <c r="AA68" s="2170" t="e">
        <f t="shared" si="493"/>
        <v>#REF!</v>
      </c>
      <c r="AB68" s="2170" t="e">
        <f t="shared" si="493"/>
        <v>#REF!</v>
      </c>
      <c r="AC68" s="2170" t="e">
        <f t="shared" si="493"/>
        <v>#REF!</v>
      </c>
      <c r="AD68" s="2170" t="e">
        <f t="shared" si="493"/>
        <v>#REF!</v>
      </c>
      <c r="AE68" s="2170" t="e">
        <f t="shared" ref="AE68:AF68" si="494">IF(AE62&gt;$J$73,$J$68,IF(AE62&lt;$J$73,(IF(AE62&lt;0,0,AE62*$K$68))))</f>
        <v>#REF!</v>
      </c>
      <c r="AF68" s="2171" t="e">
        <f t="shared" si="494"/>
        <v>#REF!</v>
      </c>
      <c r="AG68" s="1951"/>
      <c r="AH68" s="2169" t="e">
        <f t="shared" si="296"/>
        <v>#REF!</v>
      </c>
      <c r="AI68" s="2170">
        <f>$J$68*7</f>
        <v>48.766666666666666</v>
      </c>
      <c r="AJ68" s="2178" t="e">
        <f t="shared" si="297"/>
        <v>#REF!</v>
      </c>
      <c r="AK68" s="1951"/>
      <c r="AL68" s="2169" t="e">
        <f t="shared" ref="AL68" si="495">IF(AL62&gt;$J$73,$J$68,IF(AL62&lt;$J$73,(IF(AL62&lt;0,0,AL62*$K$68))))</f>
        <v>#REF!</v>
      </c>
      <c r="AM68" s="2176" t="e">
        <f t="shared" ref="AM68:AN68" si="496">IF(AM62&gt;$J$73,$J$68,IF(AM62&lt;$J$73,(IF(AM62&lt;0,0,AM62*$K$68))))</f>
        <v>#REF!</v>
      </c>
      <c r="AN68" s="2176" t="e">
        <f t="shared" si="496"/>
        <v>#REF!</v>
      </c>
      <c r="AO68" s="2176" t="e">
        <f t="shared" ref="AO68:AP68" si="497">IF(AO62&gt;$J$73,$J$68,IF(AO62&lt;$J$73,(IF(AO62&lt;0,0,AO62*$K$68))))</f>
        <v>#REF!</v>
      </c>
      <c r="AP68" s="2176" t="e">
        <f t="shared" si="497"/>
        <v>#REF!</v>
      </c>
      <c r="AQ68" s="2176" t="e">
        <f t="shared" ref="AQ68:AR68" si="498">IF(AQ62&gt;$J$73,$J$68,IF(AQ62&lt;$J$73,(IF(AQ62&lt;0,0,AQ62*$K$68))))</f>
        <v>#REF!</v>
      </c>
      <c r="AR68" s="2171" t="e">
        <f t="shared" si="498"/>
        <v>#REF!</v>
      </c>
      <c r="AS68" s="1951"/>
      <c r="AT68" s="2169" t="e">
        <f t="shared" si="451"/>
        <v>#REF!</v>
      </c>
      <c r="AU68" s="2170">
        <f>$J$68*7</f>
        <v>48.766666666666666</v>
      </c>
      <c r="AV68" s="2178" t="e">
        <f t="shared" si="452"/>
        <v>#REF!</v>
      </c>
      <c r="AW68" s="1951"/>
      <c r="AX68" s="2169" t="e">
        <f t="shared" ref="AX68" si="499">IF(AX62&gt;$J$73,$J$68,IF(AX62&lt;$J$73,(IF(AX62&lt;0,0,AX62*$K$68))))</f>
        <v>#REF!</v>
      </c>
      <c r="AY68" s="2307" t="e">
        <f t="shared" ref="AY68:BB68" si="500">IF(AY62&gt;$J$73,$J$68,IF(AY62&lt;$J$73,(IF(AY62&lt;0,0,AY62*$K$68))))</f>
        <v>#REF!</v>
      </c>
      <c r="AZ68" s="2307" t="e">
        <f t="shared" si="500"/>
        <v>#REF!</v>
      </c>
      <c r="BA68" s="2307" t="e">
        <f t="shared" si="500"/>
        <v>#REF!</v>
      </c>
      <c r="BB68" s="2307" t="e">
        <f t="shared" si="500"/>
        <v>#REF!</v>
      </c>
      <c r="BC68" s="2307" t="e">
        <f t="shared" ref="BC68:BD68" si="501">IF(BC62&gt;$J$73,$J$68,IF(BC62&lt;$J$73,(IF(BC62&lt;0,0,BC62*$K$68))))</f>
        <v>#REF!</v>
      </c>
      <c r="BD68" s="2171" t="e">
        <f t="shared" si="501"/>
        <v>#REF!</v>
      </c>
      <c r="BE68" s="1951"/>
      <c r="BF68" s="2169" t="e">
        <f t="shared" si="432"/>
        <v>#REF!</v>
      </c>
      <c r="BG68" s="2170">
        <f>$J$68*7</f>
        <v>48.766666666666666</v>
      </c>
      <c r="BH68" s="2178" t="e">
        <f t="shared" si="433"/>
        <v>#REF!</v>
      </c>
      <c r="BI68" s="1951"/>
      <c r="BJ68" s="2169" t="e">
        <f t="shared" ref="BJ68:BK68" si="502">IF(BJ62&gt;$J$73,$J$68,IF(BJ62&lt;$J$73,(IF(BJ62&lt;0,0,BJ62*$K$68))))</f>
        <v>#REF!</v>
      </c>
      <c r="BK68" s="2307" t="e">
        <f t="shared" si="502"/>
        <v>#REF!</v>
      </c>
      <c r="BL68" s="1951"/>
      <c r="BM68" s="2169" t="e">
        <f t="shared" si="435"/>
        <v>#REF!</v>
      </c>
      <c r="BN68" s="2170">
        <f>$J$68*2</f>
        <v>13.933333333333334</v>
      </c>
      <c r="BO68" s="2178" t="e">
        <f t="shared" si="436"/>
        <v>#REF!</v>
      </c>
      <c r="BQ68" s="2179"/>
      <c r="BR68" s="2180"/>
      <c r="BT68" s="2179" t="e">
        <f t="shared" si="437"/>
        <v>#REF!</v>
      </c>
      <c r="BU68" s="2181" t="e">
        <f t="shared" si="438"/>
        <v>#REF!</v>
      </c>
      <c r="BV68" s="2353"/>
      <c r="BW68" s="4624"/>
      <c r="BZ68" s="2010"/>
      <c r="CA68" s="2011"/>
      <c r="CB68" s="2011"/>
      <c r="CC68" s="2011"/>
      <c r="CD68" s="2011"/>
      <c r="CE68" s="2011"/>
      <c r="CF68" s="2011"/>
      <c r="CG68" s="2011"/>
      <c r="CH68" s="2011"/>
    </row>
    <row r="69" spans="1:86" s="1726" customFormat="1" x14ac:dyDescent="0.2">
      <c r="A69" s="1756"/>
      <c r="B69" s="2531">
        <v>42</v>
      </c>
      <c r="C69" s="2108" t="s">
        <v>122</v>
      </c>
      <c r="D69" s="1817"/>
      <c r="E69" s="2092">
        <v>75</v>
      </c>
      <c r="F69" s="2111">
        <f>E69/10</f>
        <v>7.5</v>
      </c>
      <c r="G69" s="2111">
        <f>E69/15</f>
        <v>5</v>
      </c>
      <c r="H69" s="2111">
        <f>E69/20</f>
        <v>3.75</v>
      </c>
      <c r="I69" s="2111">
        <f>E69/25</f>
        <v>3</v>
      </c>
      <c r="J69" s="2111">
        <f t="shared" si="416"/>
        <v>2.5</v>
      </c>
      <c r="K69" s="2112">
        <f t="shared" si="417"/>
        <v>4.3630017452006981E-2</v>
      </c>
      <c r="L69" s="1931"/>
      <c r="M69" s="1924"/>
      <c r="N69" s="2090" t="e">
        <f t="shared" ref="N69" si="503">IF(N62&gt;$J$73,$J$69,IF(N62&lt;$J$73,(IF(N62&lt;0,0,N62*$K$69))))</f>
        <v>#REF!</v>
      </c>
      <c r="O69" s="2088" t="e">
        <f t="shared" ref="O69:P69" si="504">IF(O62&gt;$J$73,$J$69,IF(O62&lt;$J$73,(IF(O62&lt;0,0,O62*$K$69))))</f>
        <v>#REF!</v>
      </c>
      <c r="P69" s="2088" t="e">
        <f t="shared" si="504"/>
        <v>#REF!</v>
      </c>
      <c r="Q69" s="2088" t="e">
        <f t="shared" ref="Q69:R69" si="505">IF(Q62&gt;$J$73,$J$69,IF(Q62&lt;$J$73,(IF(Q62&lt;0,0,Q62*$K$69))))</f>
        <v>#REF!</v>
      </c>
      <c r="R69" s="2088" t="e">
        <f t="shared" si="505"/>
        <v>#REF!</v>
      </c>
      <c r="S69" s="2088" t="e">
        <f t="shared" ref="S69" si="506">IF(S62&gt;$J$73,$J$69,IF(S62&lt;$J$73,(IF(S62&lt;0,0,S62*$K$69))))</f>
        <v>#REF!</v>
      </c>
      <c r="T69" s="2091" t="e">
        <f t="shared" ref="T69" si="507">IF(T62&gt;$J$73,$J$69,IF(T62&lt;$J$73,(IF(T62&lt;0,0,T62*$K$69))))</f>
        <v>#REF!</v>
      </c>
      <c r="U69" s="1814"/>
      <c r="V69" s="2090" t="e">
        <f t="shared" si="375"/>
        <v>#REF!</v>
      </c>
      <c r="W69" s="2087">
        <f>$J$69*7</f>
        <v>17.5</v>
      </c>
      <c r="X69" s="2174" t="e">
        <f t="shared" si="293"/>
        <v>#REF!</v>
      </c>
      <c r="Y69" s="1766"/>
      <c r="Z69" s="2090" t="e">
        <f t="shared" ref="Z69:AD69" si="508">IF(Z62&gt;$J$73,$J$69,IF(Z62&lt;$J$73,(IF(Z62&lt;0,0,Z62*$K$69))))</f>
        <v>#REF!</v>
      </c>
      <c r="AA69" s="2087" t="e">
        <f t="shared" si="508"/>
        <v>#REF!</v>
      </c>
      <c r="AB69" s="2087" t="e">
        <f t="shared" si="508"/>
        <v>#REF!</v>
      </c>
      <c r="AC69" s="2087" t="e">
        <f t="shared" si="508"/>
        <v>#REF!</v>
      </c>
      <c r="AD69" s="2087" t="e">
        <f t="shared" si="508"/>
        <v>#REF!</v>
      </c>
      <c r="AE69" s="2087" t="e">
        <f t="shared" ref="AE69:AF69" si="509">IF(AE62&gt;$J$73,$J$69,IF(AE62&lt;$J$73,(IF(AE62&lt;0,0,AE62*$K$69))))</f>
        <v>#REF!</v>
      </c>
      <c r="AF69" s="2091" t="e">
        <f t="shared" si="509"/>
        <v>#REF!</v>
      </c>
      <c r="AG69" s="1766"/>
      <c r="AH69" s="2090" t="e">
        <f t="shared" si="296"/>
        <v>#REF!</v>
      </c>
      <c r="AI69" s="2087">
        <f>$J$69*7</f>
        <v>17.5</v>
      </c>
      <c r="AJ69" s="2174" t="e">
        <f t="shared" si="297"/>
        <v>#REF!</v>
      </c>
      <c r="AK69" s="1766"/>
      <c r="AL69" s="2090" t="e">
        <f t="shared" ref="AL69" si="510">IF(AL62&gt;$J$73,$J$69,IF(AL62&lt;$J$73,(IF(AL62&lt;0,0,AL62*$K$69))))</f>
        <v>#REF!</v>
      </c>
      <c r="AM69" s="2088" t="e">
        <f t="shared" ref="AM69:AN69" si="511">IF(AM62&gt;$J$73,$J$69,IF(AM62&lt;$J$73,(IF(AM62&lt;0,0,AM62*$K$69))))</f>
        <v>#REF!</v>
      </c>
      <c r="AN69" s="2088" t="e">
        <f t="shared" si="511"/>
        <v>#REF!</v>
      </c>
      <c r="AO69" s="2088" t="e">
        <f t="shared" ref="AO69:AP69" si="512">IF(AO62&gt;$J$73,$J$69,IF(AO62&lt;$J$73,(IF(AO62&lt;0,0,AO62*$K$69))))</f>
        <v>#REF!</v>
      </c>
      <c r="AP69" s="2088" t="e">
        <f t="shared" si="512"/>
        <v>#REF!</v>
      </c>
      <c r="AQ69" s="2088" t="e">
        <f t="shared" ref="AQ69:AR69" si="513">IF(AQ62&gt;$J$73,$J$69,IF(AQ62&lt;$J$73,(IF(AQ62&lt;0,0,AQ62*$K$69))))</f>
        <v>#REF!</v>
      </c>
      <c r="AR69" s="2091" t="e">
        <f t="shared" si="513"/>
        <v>#REF!</v>
      </c>
      <c r="AS69" s="1814"/>
      <c r="AT69" s="2090" t="e">
        <f t="shared" si="451"/>
        <v>#REF!</v>
      </c>
      <c r="AU69" s="2087">
        <f>$J$69*7</f>
        <v>17.5</v>
      </c>
      <c r="AV69" s="2174" t="e">
        <f t="shared" si="452"/>
        <v>#REF!</v>
      </c>
      <c r="AW69" s="1814"/>
      <c r="AX69" s="2090" t="e">
        <f t="shared" ref="AX69" si="514">IF(AX62&gt;$J$73,$J$69,IF(AX62&lt;$J$73,(IF(AX62&lt;0,0,AX62*$K$69))))</f>
        <v>#REF!</v>
      </c>
      <c r="AY69" s="2305" t="e">
        <f t="shared" ref="AY69:BB69" si="515">IF(AY62&gt;$J$73,$J$69,IF(AY62&lt;$J$73,(IF(AY62&lt;0,0,AY62*$K$69))))</f>
        <v>#REF!</v>
      </c>
      <c r="AZ69" s="2305" t="e">
        <f t="shared" si="515"/>
        <v>#REF!</v>
      </c>
      <c r="BA69" s="2305" t="e">
        <f t="shared" si="515"/>
        <v>#REF!</v>
      </c>
      <c r="BB69" s="2305" t="e">
        <f t="shared" si="515"/>
        <v>#REF!</v>
      </c>
      <c r="BC69" s="2305" t="e">
        <f t="shared" ref="BC69:BD69" si="516">IF(BC62&gt;$J$73,$J$69,IF(BC62&lt;$J$73,(IF(BC62&lt;0,0,BC62*$K$69))))</f>
        <v>#REF!</v>
      </c>
      <c r="BD69" s="2091" t="e">
        <f t="shared" si="516"/>
        <v>#REF!</v>
      </c>
      <c r="BE69" s="1814"/>
      <c r="BF69" s="2090" t="e">
        <f t="shared" si="432"/>
        <v>#REF!</v>
      </c>
      <c r="BG69" s="2087">
        <f>$J$69*7</f>
        <v>17.5</v>
      </c>
      <c r="BH69" s="2174" t="e">
        <f t="shared" si="433"/>
        <v>#REF!</v>
      </c>
      <c r="BI69" s="1814"/>
      <c r="BJ69" s="2090" t="e">
        <f t="shared" ref="BJ69:BK69" si="517">IF(BJ62&gt;$J$73,$J$69,IF(BJ62&lt;$J$73,(IF(BJ62&lt;0,0,BJ62*$K$69))))</f>
        <v>#REF!</v>
      </c>
      <c r="BK69" s="2305" t="e">
        <f t="shared" si="517"/>
        <v>#REF!</v>
      </c>
      <c r="BL69" s="1814"/>
      <c r="BM69" s="2090" t="e">
        <f t="shared" si="435"/>
        <v>#REF!</v>
      </c>
      <c r="BN69" s="2087">
        <f>$J$69*2</f>
        <v>5</v>
      </c>
      <c r="BO69" s="2174" t="e">
        <f t="shared" si="436"/>
        <v>#REF!</v>
      </c>
      <c r="BQ69" s="2092"/>
      <c r="BR69" s="2093"/>
      <c r="BS69" s="1740"/>
      <c r="BT69" s="2092" t="e">
        <f t="shared" si="437"/>
        <v>#REF!</v>
      </c>
      <c r="BU69" s="2094" t="e">
        <f t="shared" si="438"/>
        <v>#REF!</v>
      </c>
      <c r="BV69" s="2351"/>
      <c r="BW69" s="4624"/>
      <c r="BZ69" s="2577"/>
      <c r="CA69" s="1860"/>
      <c r="CB69" s="1860"/>
      <c r="CC69" s="1860"/>
      <c r="CD69" s="1860"/>
      <c r="CE69" s="1860"/>
      <c r="CF69" s="1860"/>
      <c r="CG69" s="1860"/>
      <c r="CH69" s="1860"/>
    </row>
    <row r="70" spans="1:86" s="1885" customFormat="1" ht="17.25" thickBot="1" x14ac:dyDescent="0.25">
      <c r="A70" s="1947"/>
      <c r="B70" s="2420">
        <v>43</v>
      </c>
      <c r="C70" s="2417" t="s">
        <v>242</v>
      </c>
      <c r="D70" s="2564"/>
      <c r="E70" s="2179">
        <v>75</v>
      </c>
      <c r="F70" s="2418">
        <f>E70/10</f>
        <v>7.5</v>
      </c>
      <c r="G70" s="2418">
        <f>E70/15</f>
        <v>5</v>
      </c>
      <c r="H70" s="2418">
        <f>E70/20</f>
        <v>3.75</v>
      </c>
      <c r="I70" s="2418">
        <f>E70/25</f>
        <v>3</v>
      </c>
      <c r="J70" s="2418">
        <f t="shared" si="416"/>
        <v>2.5</v>
      </c>
      <c r="K70" s="2419">
        <f t="shared" si="417"/>
        <v>4.3630017452006981E-2</v>
      </c>
      <c r="L70" s="2003"/>
      <c r="M70" s="1950"/>
      <c r="N70" s="2169" t="e">
        <f t="shared" ref="N70" si="518">IF(N62&gt;$J$73,$J$70,IF(N62&lt;$J$73,(IF(N62&lt;0,0,N62*$K$70))))</f>
        <v>#REF!</v>
      </c>
      <c r="O70" s="2176" t="e">
        <f t="shared" ref="O70:P70" si="519">IF(O62&gt;$J$73,$J$70,IF(O62&lt;$J$73,(IF(O62&lt;0,0,O62*$K$70))))</f>
        <v>#REF!</v>
      </c>
      <c r="P70" s="2176" t="e">
        <f t="shared" si="519"/>
        <v>#REF!</v>
      </c>
      <c r="Q70" s="2176" t="e">
        <f t="shared" ref="Q70:R70" si="520">IF(Q62&gt;$J$73,$J$70,IF(Q62&lt;$J$73,(IF(Q62&lt;0,0,Q62*$K$70))))</f>
        <v>#REF!</v>
      </c>
      <c r="R70" s="2176" t="e">
        <f t="shared" si="520"/>
        <v>#REF!</v>
      </c>
      <c r="S70" s="2176" t="e">
        <f t="shared" ref="S70" si="521">IF(S62&gt;$J$73,$J$70,IF(S62&lt;$J$73,(IF(S62&lt;0,0,S62*$K$70))))</f>
        <v>#REF!</v>
      </c>
      <c r="T70" s="2171" t="e">
        <f t="shared" ref="T70" si="522">IF(T62&gt;$J$73,$J$70,IF(T62&lt;$J$73,(IF(T62&lt;0,0,T62*$K$70))))</f>
        <v>#REF!</v>
      </c>
      <c r="U70" s="1951"/>
      <c r="V70" s="2169" t="e">
        <f t="shared" si="375"/>
        <v>#REF!</v>
      </c>
      <c r="W70" s="2170">
        <f>$J$70*7</f>
        <v>17.5</v>
      </c>
      <c r="X70" s="2178" t="e">
        <f t="shared" si="293"/>
        <v>#REF!</v>
      </c>
      <c r="Y70" s="1956"/>
      <c r="Z70" s="2169" t="e">
        <f t="shared" ref="Z70:AD70" si="523">IF(Z62&gt;$J$73,$J$70,IF(Z62&lt;$J$73,(IF(Z62&lt;0,0,Z62*$K$70))))</f>
        <v>#REF!</v>
      </c>
      <c r="AA70" s="2170" t="e">
        <f t="shared" si="523"/>
        <v>#REF!</v>
      </c>
      <c r="AB70" s="2170" t="e">
        <f t="shared" si="523"/>
        <v>#REF!</v>
      </c>
      <c r="AC70" s="2170" t="e">
        <f t="shared" si="523"/>
        <v>#REF!</v>
      </c>
      <c r="AD70" s="2170" t="e">
        <f t="shared" si="523"/>
        <v>#REF!</v>
      </c>
      <c r="AE70" s="2170" t="e">
        <f t="shared" ref="AE70:AF70" si="524">IF(AE62&gt;$J$73,$J$70,IF(AE62&lt;$J$73,(IF(AE62&lt;0,0,AE62*$K$70))))</f>
        <v>#REF!</v>
      </c>
      <c r="AF70" s="2171" t="e">
        <f t="shared" si="524"/>
        <v>#REF!</v>
      </c>
      <c r="AG70" s="1956"/>
      <c r="AH70" s="2169" t="e">
        <f t="shared" si="296"/>
        <v>#REF!</v>
      </c>
      <c r="AI70" s="2170">
        <f>$J$70*7</f>
        <v>17.5</v>
      </c>
      <c r="AJ70" s="2178" t="e">
        <f t="shared" si="297"/>
        <v>#REF!</v>
      </c>
      <c r="AK70" s="1956"/>
      <c r="AL70" s="2169" t="e">
        <f t="shared" ref="AL70" si="525">IF(AL62&gt;$J$73,$J$70,IF(AL62&lt;$J$73,(IF(AL62&lt;0,0,AL62*$K$70))))</f>
        <v>#REF!</v>
      </c>
      <c r="AM70" s="2176" t="e">
        <f t="shared" ref="AM70:AN70" si="526">IF(AM62&gt;$J$73,$J$70,IF(AM62&lt;$J$73,(IF(AM62&lt;0,0,AM62*$K$70))))</f>
        <v>#REF!</v>
      </c>
      <c r="AN70" s="2176" t="e">
        <f t="shared" si="526"/>
        <v>#REF!</v>
      </c>
      <c r="AO70" s="2176" t="e">
        <f t="shared" ref="AO70:AP70" si="527">IF(AO62&gt;$J$73,$J$70,IF(AO62&lt;$J$73,(IF(AO62&lt;0,0,AO62*$K$70))))</f>
        <v>#REF!</v>
      </c>
      <c r="AP70" s="2176" t="e">
        <f t="shared" si="527"/>
        <v>#REF!</v>
      </c>
      <c r="AQ70" s="2176" t="e">
        <f t="shared" ref="AQ70:AR70" si="528">IF(AQ62&gt;$J$73,$J$70,IF(AQ62&lt;$J$73,(IF(AQ62&lt;0,0,AQ62*$K$70))))</f>
        <v>#REF!</v>
      </c>
      <c r="AR70" s="2171" t="e">
        <f t="shared" si="528"/>
        <v>#REF!</v>
      </c>
      <c r="AS70" s="1951"/>
      <c r="AT70" s="2169" t="e">
        <f t="shared" si="451"/>
        <v>#REF!</v>
      </c>
      <c r="AU70" s="2170">
        <f>$J$70*7</f>
        <v>17.5</v>
      </c>
      <c r="AV70" s="2178" t="e">
        <f t="shared" si="452"/>
        <v>#REF!</v>
      </c>
      <c r="AW70" s="1951"/>
      <c r="AX70" s="2169" t="e">
        <f t="shared" ref="AX70" si="529">IF(AX62&gt;$J$73,$J$70,IF(AX62&lt;$J$73,(IF(AX62&lt;0,0,AX62*$K$70))))</f>
        <v>#REF!</v>
      </c>
      <c r="AY70" s="2307" t="e">
        <f t="shared" ref="AY70:BB70" si="530">IF(AY62&gt;$J$73,$J$70,IF(AY62&lt;$J$73,(IF(AY62&lt;0,0,AY62*$K$70))))</f>
        <v>#REF!</v>
      </c>
      <c r="AZ70" s="2307" t="e">
        <f t="shared" si="530"/>
        <v>#REF!</v>
      </c>
      <c r="BA70" s="2307" t="e">
        <f t="shared" si="530"/>
        <v>#REF!</v>
      </c>
      <c r="BB70" s="2307" t="e">
        <f t="shared" si="530"/>
        <v>#REF!</v>
      </c>
      <c r="BC70" s="2307" t="e">
        <f t="shared" ref="BC70:BD70" si="531">IF(BC62&gt;$J$73,$J$70,IF(BC62&lt;$J$73,(IF(BC62&lt;0,0,BC62*$K$70))))</f>
        <v>#REF!</v>
      </c>
      <c r="BD70" s="2171" t="e">
        <f t="shared" si="531"/>
        <v>#REF!</v>
      </c>
      <c r="BE70" s="1951"/>
      <c r="BF70" s="2169" t="e">
        <f t="shared" si="432"/>
        <v>#REF!</v>
      </c>
      <c r="BG70" s="2170">
        <f>$J$70*7</f>
        <v>17.5</v>
      </c>
      <c r="BH70" s="2178" t="e">
        <f t="shared" si="433"/>
        <v>#REF!</v>
      </c>
      <c r="BI70" s="1951"/>
      <c r="BJ70" s="2169" t="e">
        <f t="shared" ref="BJ70:BK70" si="532">IF(BJ62&gt;$J$73,$J$70,IF(BJ62&lt;$J$73,(IF(BJ62&lt;0,0,BJ62*$K$70))))</f>
        <v>#REF!</v>
      </c>
      <c r="BK70" s="2307" t="e">
        <f t="shared" si="532"/>
        <v>#REF!</v>
      </c>
      <c r="BL70" s="1951"/>
      <c r="BM70" s="2169" t="e">
        <f t="shared" si="435"/>
        <v>#REF!</v>
      </c>
      <c r="BN70" s="2170">
        <f>$J$70*2</f>
        <v>5</v>
      </c>
      <c r="BO70" s="2178" t="e">
        <f t="shared" si="436"/>
        <v>#REF!</v>
      </c>
      <c r="BQ70" s="2179"/>
      <c r="BR70" s="2180"/>
      <c r="BS70" s="1900"/>
      <c r="BT70" s="2179" t="e">
        <f t="shared" si="437"/>
        <v>#REF!</v>
      </c>
      <c r="BU70" s="2181" t="e">
        <f t="shared" si="438"/>
        <v>#REF!</v>
      </c>
      <c r="BV70" s="2353"/>
      <c r="BW70" s="4624"/>
      <c r="BZ70" s="2573"/>
      <c r="CA70" s="1946"/>
      <c r="CB70" s="1946"/>
      <c r="CC70" s="1946"/>
      <c r="CD70" s="1946"/>
      <c r="CE70" s="1946"/>
      <c r="CF70" s="1946"/>
      <c r="CG70" s="1946"/>
      <c r="CH70" s="1946"/>
    </row>
    <row r="71" spans="1:86" s="1726" customFormat="1" x14ac:dyDescent="0.2">
      <c r="B71" s="2565">
        <v>44</v>
      </c>
      <c r="C71" s="2566" t="s">
        <v>227</v>
      </c>
      <c r="D71" s="2567"/>
      <c r="E71" s="2568">
        <v>0</v>
      </c>
      <c r="F71" s="2569"/>
      <c r="G71" s="2569"/>
      <c r="H71" s="2569"/>
      <c r="I71" s="2569"/>
      <c r="J71" s="2569">
        <f t="shared" si="416"/>
        <v>0</v>
      </c>
      <c r="K71" s="2570">
        <f t="shared" si="417"/>
        <v>0</v>
      </c>
      <c r="L71" s="1931"/>
      <c r="M71" s="1924"/>
      <c r="N71" s="2090" t="e">
        <f t="shared" ref="N71" si="533">IF(N62&gt;$J$73,$J$71,IF(N62&lt;$J$73,(IF(N62&lt;0,0,N62*$K$71))))</f>
        <v>#REF!</v>
      </c>
      <c r="O71" s="2088" t="e">
        <f t="shared" ref="O71:P71" si="534">IF(O62&gt;$J$73,$J$71,IF(O62&lt;$J$73,(IF(O62&lt;0,0,O62*$K$71))))</f>
        <v>#REF!</v>
      </c>
      <c r="P71" s="2088" t="e">
        <f t="shared" si="534"/>
        <v>#REF!</v>
      </c>
      <c r="Q71" s="2088" t="e">
        <f t="shared" ref="Q71:R71" si="535">IF(Q62&gt;$J$73,$J$71,IF(Q62&lt;$J$73,(IF(Q62&lt;0,0,Q62*$K$71))))</f>
        <v>#REF!</v>
      </c>
      <c r="R71" s="2088" t="e">
        <f t="shared" si="535"/>
        <v>#REF!</v>
      </c>
      <c r="S71" s="2088" t="e">
        <f t="shared" ref="S71" si="536">IF(S62&gt;$J$73,$J$71,IF(S62&lt;$J$73,(IF(S62&lt;0,0,S62*$K$71))))</f>
        <v>#REF!</v>
      </c>
      <c r="T71" s="2091" t="e">
        <f t="shared" ref="T71" si="537">IF(T62&gt;$J$73,$J$71,IF(T62&lt;$J$73,(IF(T62&lt;0,0,T62*$K$71))))</f>
        <v>#REF!</v>
      </c>
      <c r="U71" s="1814"/>
      <c r="V71" s="2090" t="e">
        <f t="shared" si="375"/>
        <v>#REF!</v>
      </c>
      <c r="W71" s="2087">
        <f>$J$71*7</f>
        <v>0</v>
      </c>
      <c r="X71" s="2174" t="e">
        <f t="shared" si="293"/>
        <v>#REF!</v>
      </c>
      <c r="Y71" s="1766"/>
      <c r="Z71" s="2090" t="e">
        <f t="shared" ref="Z71:AD71" si="538">IF(Z62&gt;$J$73,$J$71,IF(Z62&lt;$J$73,(IF(Z62&lt;0,0,Z62*$K$71))))</f>
        <v>#REF!</v>
      </c>
      <c r="AA71" s="2087" t="e">
        <f t="shared" si="538"/>
        <v>#REF!</v>
      </c>
      <c r="AB71" s="2087" t="e">
        <f t="shared" si="538"/>
        <v>#REF!</v>
      </c>
      <c r="AC71" s="2087" t="e">
        <f t="shared" si="538"/>
        <v>#REF!</v>
      </c>
      <c r="AD71" s="2087" t="e">
        <f t="shared" si="538"/>
        <v>#REF!</v>
      </c>
      <c r="AE71" s="2087" t="e">
        <f t="shared" ref="AE71:AF71" si="539">IF(AE62&gt;$J$73,$J$71,IF(AE62&lt;$J$73,(IF(AE62&lt;0,0,AE62*$K$71))))</f>
        <v>#REF!</v>
      </c>
      <c r="AF71" s="2091" t="e">
        <f t="shared" si="539"/>
        <v>#REF!</v>
      </c>
      <c r="AG71" s="1766"/>
      <c r="AH71" s="2090" t="e">
        <f t="shared" si="296"/>
        <v>#REF!</v>
      </c>
      <c r="AI71" s="2087">
        <f>$J$71*7</f>
        <v>0</v>
      </c>
      <c r="AJ71" s="2174" t="e">
        <f t="shared" si="297"/>
        <v>#REF!</v>
      </c>
      <c r="AK71" s="1766"/>
      <c r="AL71" s="2090" t="e">
        <f t="shared" ref="AL71" si="540">IF(AL62&gt;$J$73,$J$71,IF(AL62&lt;$J$73,(IF(AL62&lt;0,0,AL62*$K$71))))</f>
        <v>#REF!</v>
      </c>
      <c r="AM71" s="2088" t="e">
        <f t="shared" ref="AM71:AN71" si="541">IF(AM62&gt;$J$73,$J$71,IF(AM62&lt;$J$73,(IF(AM62&lt;0,0,AM62*$K$71))))</f>
        <v>#REF!</v>
      </c>
      <c r="AN71" s="2088" t="e">
        <f t="shared" si="541"/>
        <v>#REF!</v>
      </c>
      <c r="AO71" s="2088" t="e">
        <f t="shared" ref="AO71:AP71" si="542">IF(AO62&gt;$J$73,$J$71,IF(AO62&lt;$J$73,(IF(AO62&lt;0,0,AO62*$K$71))))</f>
        <v>#REF!</v>
      </c>
      <c r="AP71" s="2088" t="e">
        <f t="shared" si="542"/>
        <v>#REF!</v>
      </c>
      <c r="AQ71" s="2088" t="e">
        <f t="shared" ref="AQ71:AR71" si="543">IF(AQ62&gt;$J$73,$J$71,IF(AQ62&lt;$J$73,(IF(AQ62&lt;0,0,AQ62*$K$71))))</f>
        <v>#REF!</v>
      </c>
      <c r="AR71" s="2091" t="e">
        <f t="shared" si="543"/>
        <v>#REF!</v>
      </c>
      <c r="AS71" s="1814"/>
      <c r="AT71" s="2090" t="e">
        <f t="shared" si="451"/>
        <v>#REF!</v>
      </c>
      <c r="AU71" s="2087">
        <f>$J$71*7</f>
        <v>0</v>
      </c>
      <c r="AV71" s="2174" t="e">
        <f t="shared" si="452"/>
        <v>#REF!</v>
      </c>
      <c r="AW71" s="1814"/>
      <c r="AX71" s="2090" t="e">
        <f t="shared" ref="AX71" si="544">IF(AX62&gt;$J$73,$J$71,IF(AX62&lt;$J$73,(IF(AX62&lt;0,0,AX62*$K$71))))</f>
        <v>#REF!</v>
      </c>
      <c r="AY71" s="2305" t="e">
        <f t="shared" ref="AY71:BB71" si="545">IF(AY62&gt;$J$73,$J$71,IF(AY62&lt;$J$73,(IF(AY62&lt;0,0,AY62*$K$71))))</f>
        <v>#REF!</v>
      </c>
      <c r="AZ71" s="2305" t="e">
        <f t="shared" si="545"/>
        <v>#REF!</v>
      </c>
      <c r="BA71" s="2305" t="e">
        <f t="shared" si="545"/>
        <v>#REF!</v>
      </c>
      <c r="BB71" s="2305" t="e">
        <f t="shared" si="545"/>
        <v>#REF!</v>
      </c>
      <c r="BC71" s="2305" t="e">
        <f t="shared" ref="BC71:BD71" si="546">IF(BC62&gt;$J$73,$J$71,IF(BC62&lt;$J$73,(IF(BC62&lt;0,0,BC62*$K$71))))</f>
        <v>#REF!</v>
      </c>
      <c r="BD71" s="2091" t="e">
        <f t="shared" si="546"/>
        <v>#REF!</v>
      </c>
      <c r="BE71" s="1814"/>
      <c r="BF71" s="2090" t="e">
        <f t="shared" si="432"/>
        <v>#REF!</v>
      </c>
      <c r="BG71" s="2087">
        <f>$J$71*7</f>
        <v>0</v>
      </c>
      <c r="BH71" s="2174" t="e">
        <f t="shared" si="433"/>
        <v>#REF!</v>
      </c>
      <c r="BI71" s="1814"/>
      <c r="BJ71" s="2090" t="e">
        <f t="shared" ref="BJ71:BK71" si="547">IF(BJ62&gt;$J$73,$J$71,IF(BJ62&lt;$J$73,(IF(BJ62&lt;0,0,BJ62*$K$71))))</f>
        <v>#REF!</v>
      </c>
      <c r="BK71" s="2305" t="e">
        <f t="shared" si="547"/>
        <v>#REF!</v>
      </c>
      <c r="BL71" s="1814"/>
      <c r="BM71" s="2090" t="e">
        <f t="shared" si="435"/>
        <v>#REF!</v>
      </c>
      <c r="BN71" s="2087">
        <f>$J$71*2</f>
        <v>0</v>
      </c>
      <c r="BO71" s="2174" t="e">
        <f t="shared" si="436"/>
        <v>#REF!</v>
      </c>
      <c r="BQ71" s="2092"/>
      <c r="BR71" s="2093"/>
      <c r="BS71" s="1740"/>
      <c r="BT71" s="2092" t="e">
        <f t="shared" si="437"/>
        <v>#REF!</v>
      </c>
      <c r="BU71" s="2094" t="e">
        <f t="shared" si="438"/>
        <v>#REF!</v>
      </c>
      <c r="BV71" s="2351"/>
      <c r="BW71" s="4624"/>
      <c r="BZ71" s="2577"/>
      <c r="CA71" s="1860"/>
      <c r="CB71" s="1860"/>
      <c r="CC71" s="1860"/>
      <c r="CD71" s="1860"/>
      <c r="CE71" s="1860"/>
      <c r="CF71" s="1860"/>
      <c r="CG71" s="1860"/>
      <c r="CH71" s="1860"/>
    </row>
    <row r="72" spans="1:86" s="1885" customFormat="1" ht="17.25" thickBot="1" x14ac:dyDescent="0.25">
      <c r="B72" s="2535">
        <v>45</v>
      </c>
      <c r="C72" s="2536" t="s">
        <v>228</v>
      </c>
      <c r="D72" s="2537"/>
      <c r="E72" s="2187">
        <v>0</v>
      </c>
      <c r="F72" s="2308">
        <f>E72/10</f>
        <v>0</v>
      </c>
      <c r="G72" s="2308">
        <f>E72/15</f>
        <v>0</v>
      </c>
      <c r="H72" s="2308">
        <f>E72/20</f>
        <v>0</v>
      </c>
      <c r="I72" s="2308">
        <f>E72/25</f>
        <v>0</v>
      </c>
      <c r="J72" s="2308">
        <f t="shared" si="416"/>
        <v>0</v>
      </c>
      <c r="K72" s="2427">
        <f t="shared" si="417"/>
        <v>0</v>
      </c>
      <c r="L72" s="2003"/>
      <c r="M72" s="1950"/>
      <c r="N72" s="2169" t="e">
        <f t="shared" ref="N72" si="548">IF(N62&gt;$J$73,$J$72,IF(N62&lt;$J$73,(IF(N62&lt;0,0,N62*$K$72))))</f>
        <v>#REF!</v>
      </c>
      <c r="O72" s="2176" t="e">
        <f t="shared" ref="O72:P72" si="549">IF(O62&gt;$J$73,$J$72,IF(O62&lt;$J$73,(IF(O62&lt;0,0,O62*$K$72))))</f>
        <v>#REF!</v>
      </c>
      <c r="P72" s="2176" t="e">
        <f t="shared" si="549"/>
        <v>#REF!</v>
      </c>
      <c r="Q72" s="2176" t="e">
        <f t="shared" ref="Q72:R72" si="550">IF(Q62&gt;$J$73,$J$72,IF(Q62&lt;$J$73,(IF(Q62&lt;0,0,Q62*$K$72))))</f>
        <v>#REF!</v>
      </c>
      <c r="R72" s="2176" t="e">
        <f t="shared" si="550"/>
        <v>#REF!</v>
      </c>
      <c r="S72" s="2176" t="e">
        <f t="shared" ref="S72" si="551">IF(S62&gt;$J$73,$J$72,IF(S62&lt;$J$73,(IF(S62&lt;0,0,S62*$K$72))))</f>
        <v>#REF!</v>
      </c>
      <c r="T72" s="2171" t="e">
        <f t="shared" ref="T72" si="552">IF(T62&gt;$J$73,$J$72,IF(T62&lt;$J$73,(IF(T62&lt;0,0,T62*$K$72))))</f>
        <v>#REF!</v>
      </c>
      <c r="U72" s="1951"/>
      <c r="V72" s="2183" t="e">
        <f t="shared" si="28"/>
        <v>#REF!</v>
      </c>
      <c r="W72" s="2184">
        <f>$J$72*7</f>
        <v>0</v>
      </c>
      <c r="X72" s="2185" t="e">
        <f t="shared" si="293"/>
        <v>#REF!</v>
      </c>
      <c r="Y72" s="1956"/>
      <c r="Z72" s="2183" t="e">
        <f t="shared" ref="Z72:AD72" si="553">IF(Z62&gt;$J$73,$J$72,IF(Z62&lt;$J$73,(IF(Z62&lt;0,0,Z62*$K$72))))</f>
        <v>#REF!</v>
      </c>
      <c r="AA72" s="2184" t="e">
        <f t="shared" si="553"/>
        <v>#REF!</v>
      </c>
      <c r="AB72" s="2184" t="e">
        <f t="shared" si="553"/>
        <v>#REF!</v>
      </c>
      <c r="AC72" s="2184" t="e">
        <f t="shared" si="553"/>
        <v>#REF!</v>
      </c>
      <c r="AD72" s="2184" t="e">
        <f t="shared" si="553"/>
        <v>#REF!</v>
      </c>
      <c r="AE72" s="2184" t="e">
        <f t="shared" ref="AE72:AF72" si="554">IF(AE62&gt;$J$73,$J$72,IF(AE62&lt;$J$73,(IF(AE62&lt;0,0,AE62*$K$72))))</f>
        <v>#REF!</v>
      </c>
      <c r="AF72" s="2186" t="e">
        <f t="shared" si="554"/>
        <v>#REF!</v>
      </c>
      <c r="AG72" s="1956"/>
      <c r="AH72" s="2183" t="e">
        <f t="shared" si="296"/>
        <v>#REF!</v>
      </c>
      <c r="AI72" s="2184">
        <f>$J$72*7</f>
        <v>0</v>
      </c>
      <c r="AJ72" s="2185" t="e">
        <f t="shared" si="297"/>
        <v>#REF!</v>
      </c>
      <c r="AK72" s="1956"/>
      <c r="AL72" s="2187" t="e">
        <f t="shared" ref="AL72" si="555">IF(AL62&gt;$J$73,$J$72,IF(AL62&lt;$J$73,(IF(AL62&lt;0,0,AL62*$K$72))))</f>
        <v>#REF!</v>
      </c>
      <c r="AM72" s="2308" t="e">
        <f t="shared" ref="AM72:AN72" si="556">IF(AM62&gt;$J$73,$J$72,IF(AM62&lt;$J$73,(IF(AM62&lt;0,0,AM62*$K$72))))</f>
        <v>#REF!</v>
      </c>
      <c r="AN72" s="2308" t="e">
        <f t="shared" si="556"/>
        <v>#REF!</v>
      </c>
      <c r="AO72" s="2308" t="e">
        <f t="shared" ref="AO72:AP72" si="557">IF(AO62&gt;$J$73,$J$72,IF(AO62&lt;$J$73,(IF(AO62&lt;0,0,AO62*$K$72))))</f>
        <v>#REF!</v>
      </c>
      <c r="AP72" s="2308" t="e">
        <f t="shared" si="557"/>
        <v>#REF!</v>
      </c>
      <c r="AQ72" s="2308" t="e">
        <f t="shared" ref="AQ72:AR72" si="558">IF(AQ62&gt;$J$73,$J$72,IF(AQ62&lt;$J$73,(IF(AQ62&lt;0,0,AQ62*$K$72))))</f>
        <v>#REF!</v>
      </c>
      <c r="AR72" s="2309" t="e">
        <f t="shared" si="558"/>
        <v>#REF!</v>
      </c>
      <c r="AS72" s="1951"/>
      <c r="AT72" s="2183" t="e">
        <f t="shared" si="451"/>
        <v>#REF!</v>
      </c>
      <c r="AU72" s="2184">
        <f>$J$72*7</f>
        <v>0</v>
      </c>
      <c r="AV72" s="2185" t="e">
        <f t="shared" si="452"/>
        <v>#REF!</v>
      </c>
      <c r="AW72" s="1951"/>
      <c r="AX72" s="2183" t="e">
        <f t="shared" ref="AX72" si="559">IF(AX62&gt;$J$73,$J$72,IF(AX62&lt;$J$73,(IF(AX62&lt;0,0,AX62*$K$72))))</f>
        <v>#REF!</v>
      </c>
      <c r="AY72" s="2310" t="e">
        <f t="shared" ref="AY72:BB72" si="560">IF(AY62&gt;$J$73,$J$72,IF(AY62&lt;$J$73,(IF(AY62&lt;0,0,AY62*$K$72))))</f>
        <v>#REF!</v>
      </c>
      <c r="AZ72" s="2310" t="e">
        <f t="shared" si="560"/>
        <v>#REF!</v>
      </c>
      <c r="BA72" s="2310" t="e">
        <f t="shared" si="560"/>
        <v>#REF!</v>
      </c>
      <c r="BB72" s="2310" t="e">
        <f t="shared" si="560"/>
        <v>#REF!</v>
      </c>
      <c r="BC72" s="2310" t="e">
        <f t="shared" ref="BC72:BD72" si="561">IF(BC62&gt;$J$73,$J$72,IF(BC62&lt;$J$73,(IF(BC62&lt;0,0,BC62*$K$72))))</f>
        <v>#REF!</v>
      </c>
      <c r="BD72" s="2186" t="e">
        <f t="shared" si="561"/>
        <v>#REF!</v>
      </c>
      <c r="BE72" s="1951"/>
      <c r="BF72" s="2183" t="e">
        <f t="shared" si="432"/>
        <v>#REF!</v>
      </c>
      <c r="BG72" s="2184">
        <f>$J$72*7</f>
        <v>0</v>
      </c>
      <c r="BH72" s="2185" t="e">
        <f t="shared" si="433"/>
        <v>#REF!</v>
      </c>
      <c r="BI72" s="1951"/>
      <c r="BJ72" s="2183" t="e">
        <f t="shared" ref="BJ72:BK72" si="562">IF(BJ62&gt;$J$73,$J$72,IF(BJ62&lt;$J$73,(IF(BJ62&lt;0,0,BJ62*$K$72))))</f>
        <v>#REF!</v>
      </c>
      <c r="BK72" s="2310" t="e">
        <f t="shared" si="562"/>
        <v>#REF!</v>
      </c>
      <c r="BL72" s="1951"/>
      <c r="BM72" s="2183" t="e">
        <f t="shared" si="435"/>
        <v>#REF!</v>
      </c>
      <c r="BN72" s="2184">
        <f>$J$72*2</f>
        <v>0</v>
      </c>
      <c r="BO72" s="2185" t="e">
        <f t="shared" si="436"/>
        <v>#REF!</v>
      </c>
      <c r="BQ72" s="2187"/>
      <c r="BR72" s="2188"/>
      <c r="BS72" s="1900"/>
      <c r="BT72" s="2187" t="e">
        <f t="shared" si="437"/>
        <v>#REF!</v>
      </c>
      <c r="BU72" s="2189" t="e">
        <f t="shared" si="438"/>
        <v>#REF!</v>
      </c>
      <c r="BV72" s="2353"/>
      <c r="BW72" s="4624"/>
      <c r="BZ72" s="2573"/>
      <c r="CA72" s="2573"/>
      <c r="CB72" s="1946"/>
      <c r="CC72" s="1946"/>
      <c r="CD72" s="1946"/>
      <c r="CE72" s="1946"/>
      <c r="CF72" s="1946"/>
      <c r="CG72" s="1946"/>
      <c r="CH72" s="1946"/>
    </row>
    <row r="73" spans="1:86" s="1726" customFormat="1" ht="17.25" thickBot="1" x14ac:dyDescent="0.25">
      <c r="B73" s="2532"/>
      <c r="C73" s="2533" t="s">
        <v>194</v>
      </c>
      <c r="D73" s="2051"/>
      <c r="E73" s="2445">
        <f>SUM(E64:E72)</f>
        <v>1719</v>
      </c>
      <c r="F73" s="2446">
        <f>SUM(F53:F72)</f>
        <v>174.17160000000001</v>
      </c>
      <c r="G73" s="2446">
        <f>SUM(G53:G72)</f>
        <v>116.1144</v>
      </c>
      <c r="H73" s="2446">
        <f>SUM(H53:H72)</f>
        <v>87.085800000000006</v>
      </c>
      <c r="I73" s="2446">
        <f>SUM(I53:I72)</f>
        <v>69.668639999999996</v>
      </c>
      <c r="J73" s="2446">
        <f>SUM(J64:J72)</f>
        <v>57.300000000000004</v>
      </c>
      <c r="K73" s="2534">
        <f>SUM(K64:K72)</f>
        <v>1</v>
      </c>
      <c r="L73" s="1931"/>
      <c r="M73" s="1924"/>
      <c r="N73" s="2056" t="e">
        <f t="shared" ref="N73" si="563">SUM(N64:N72)</f>
        <v>#REF!</v>
      </c>
      <c r="O73" s="2052" t="e">
        <f t="shared" ref="O73:P73" si="564">SUM(O64:O72)</f>
        <v>#REF!</v>
      </c>
      <c r="P73" s="2052" t="e">
        <f t="shared" si="564"/>
        <v>#REF!</v>
      </c>
      <c r="Q73" s="2052" t="e">
        <f t="shared" ref="Q73:R73" si="565">SUM(Q64:Q72)</f>
        <v>#REF!</v>
      </c>
      <c r="R73" s="2052" t="e">
        <f t="shared" si="565"/>
        <v>#REF!</v>
      </c>
      <c r="S73" s="2052" t="e">
        <f t="shared" ref="S73" si="566">SUM(S64:S72)</f>
        <v>#REF!</v>
      </c>
      <c r="T73" s="2057" t="e">
        <f t="shared" ref="T73" si="567">SUM(T64:T72)</f>
        <v>#REF!</v>
      </c>
      <c r="U73" s="1814"/>
      <c r="V73" s="2056" t="e">
        <f>SUM(V64:V72)</f>
        <v>#REF!</v>
      </c>
      <c r="W73" s="2052">
        <f>SUM(W64:W72)</f>
        <v>401.09999999999997</v>
      </c>
      <c r="X73" s="2192" t="e">
        <f>SUM(X64:X72)</f>
        <v>#REF!</v>
      </c>
      <c r="Y73" s="1766"/>
      <c r="Z73" s="2056" t="e">
        <f t="shared" ref="Z73:AD73" si="568">SUM(Z64:Z72)</f>
        <v>#REF!</v>
      </c>
      <c r="AA73" s="2052" t="e">
        <f t="shared" si="568"/>
        <v>#REF!</v>
      </c>
      <c r="AB73" s="2052" t="e">
        <f t="shared" si="568"/>
        <v>#REF!</v>
      </c>
      <c r="AC73" s="2052" t="e">
        <f t="shared" si="568"/>
        <v>#REF!</v>
      </c>
      <c r="AD73" s="2052" t="e">
        <f t="shared" si="568"/>
        <v>#REF!</v>
      </c>
      <c r="AE73" s="2052" t="e">
        <f t="shared" ref="AE73:AF73" si="569">SUM(AE64:AE72)</f>
        <v>#REF!</v>
      </c>
      <c r="AF73" s="2057" t="e">
        <f t="shared" si="569"/>
        <v>#REF!</v>
      </c>
      <c r="AG73" s="1766"/>
      <c r="AH73" s="2056" t="e">
        <f>SUM(Z73:AF73)</f>
        <v>#REF!</v>
      </c>
      <c r="AI73" s="2052">
        <f>SUM(AI53:AI72)</f>
        <v>551.70079999999996</v>
      </c>
      <c r="AJ73" s="2192" t="e">
        <f>SUM(AJ53:AJ72)</f>
        <v>#REF!</v>
      </c>
      <c r="AK73" s="1766"/>
      <c r="AL73" s="2056" t="e">
        <f t="shared" ref="AL73" si="570">SUM(AL64:AL72)</f>
        <v>#REF!</v>
      </c>
      <c r="AM73" s="2053" t="e">
        <f t="shared" ref="AM73:AN73" si="571">SUM(AM64:AM72)</f>
        <v>#REF!</v>
      </c>
      <c r="AN73" s="2053" t="e">
        <f t="shared" si="571"/>
        <v>#REF!</v>
      </c>
      <c r="AO73" s="2053" t="e">
        <f t="shared" ref="AO73:AP73" si="572">SUM(AO64:AO72)</f>
        <v>#REF!</v>
      </c>
      <c r="AP73" s="2053" t="e">
        <f t="shared" si="572"/>
        <v>#REF!</v>
      </c>
      <c r="AQ73" s="2053" t="e">
        <f t="shared" ref="AQ73:AR73" si="573">SUM(AQ64:AQ72)</f>
        <v>#REF!</v>
      </c>
      <c r="AR73" s="2057" t="e">
        <f t="shared" si="573"/>
        <v>#REF!</v>
      </c>
      <c r="AS73" s="1814"/>
      <c r="AT73" s="2056" t="e">
        <f>SUM(AL73:AR73)</f>
        <v>#REF!</v>
      </c>
      <c r="AU73" s="2052">
        <f>SUM(AU53:AU72)</f>
        <v>551.70079999999996</v>
      </c>
      <c r="AV73" s="2192" t="e">
        <f>SUM(AV53:AV72)</f>
        <v>#REF!</v>
      </c>
      <c r="AW73" s="1814"/>
      <c r="AX73" s="2193" t="e">
        <f t="shared" ref="AX73" si="574">SUM(AX64:AX72)</f>
        <v>#REF!</v>
      </c>
      <c r="AY73" s="2312" t="e">
        <f t="shared" ref="AY73:BB73" si="575">SUM(AY64:AY72)</f>
        <v>#REF!</v>
      </c>
      <c r="AZ73" s="2312" t="e">
        <f t="shared" si="575"/>
        <v>#REF!</v>
      </c>
      <c r="BA73" s="2312" t="e">
        <f t="shared" si="575"/>
        <v>#REF!</v>
      </c>
      <c r="BB73" s="2312" t="e">
        <f t="shared" si="575"/>
        <v>#REF!</v>
      </c>
      <c r="BC73" s="2312" t="e">
        <f t="shared" ref="BC73:BD73" si="576">SUM(BC64:BC72)</f>
        <v>#REF!</v>
      </c>
      <c r="BD73" s="2314" t="e">
        <f t="shared" si="576"/>
        <v>#REF!</v>
      </c>
      <c r="BE73" s="1814"/>
      <c r="BF73" s="2193" t="e">
        <f>SUM(AX73:BD73)</f>
        <v>#REF!</v>
      </c>
      <c r="BG73" s="2315">
        <f>SUM(BG53:BG72)</f>
        <v>618.20079999999996</v>
      </c>
      <c r="BH73" s="2316" t="e">
        <f>SUM(BH53:BH72)</f>
        <v>#REF!</v>
      </c>
      <c r="BI73" s="1814"/>
      <c r="BJ73" s="2193" t="e">
        <f t="shared" ref="BJ73:BK73" si="577">SUM(BJ64:BJ72)</f>
        <v>#REF!</v>
      </c>
      <c r="BK73" s="2312" t="e">
        <f t="shared" si="577"/>
        <v>#REF!</v>
      </c>
      <c r="BL73" s="1814"/>
      <c r="BM73" s="2193" t="e">
        <f t="shared" si="435"/>
        <v>#REF!</v>
      </c>
      <c r="BN73" s="2315">
        <f>SUM(BN53:BN72)</f>
        <v>176.62879999999998</v>
      </c>
      <c r="BO73" s="2316" t="e">
        <f>SUM(BO53:BO72)</f>
        <v>#REF!</v>
      </c>
      <c r="BQ73" s="2193" t="e">
        <f>X73+AJ73+AV73</f>
        <v>#REF!</v>
      </c>
      <c r="BR73" s="2194"/>
      <c r="BS73" s="1740"/>
      <c r="BT73" s="2193" t="e">
        <f>SUM(BT64:BT72)</f>
        <v>#REF!</v>
      </c>
      <c r="BU73" s="2195" t="e">
        <f t="shared" si="438"/>
        <v>#REF!</v>
      </c>
      <c r="BV73" s="2351"/>
      <c r="BW73" s="4625"/>
      <c r="BZ73" s="2577"/>
      <c r="CA73" s="1860"/>
      <c r="CB73" s="1860"/>
      <c r="CC73" s="1860"/>
      <c r="CD73" s="1860"/>
      <c r="CE73" s="1860"/>
      <c r="CF73" s="1860"/>
      <c r="CG73" s="1860"/>
      <c r="CH73" s="1860"/>
    </row>
    <row r="74" spans="1:86" s="1860" customFormat="1" ht="4.5" customHeight="1" x14ac:dyDescent="0.2">
      <c r="B74" s="2196"/>
      <c r="C74" s="2196"/>
      <c r="D74" s="1861"/>
      <c r="E74" s="2197"/>
      <c r="F74" s="2197"/>
      <c r="G74" s="2197"/>
      <c r="H74" s="2197"/>
      <c r="I74" s="2197"/>
      <c r="J74" s="2197"/>
      <c r="K74" s="2198"/>
      <c r="L74" s="1760"/>
      <c r="M74" s="2577"/>
      <c r="N74" s="2197"/>
      <c r="O74" s="2197"/>
      <c r="P74" s="2197"/>
      <c r="Q74" s="2197"/>
      <c r="R74" s="2197"/>
      <c r="S74" s="2197"/>
      <c r="T74" s="2197"/>
      <c r="U74" s="2575"/>
      <c r="V74" s="2575"/>
      <c r="W74" s="2575"/>
      <c r="X74" s="2575"/>
      <c r="Y74" s="1862"/>
      <c r="Z74" s="2199"/>
      <c r="AA74" s="2199"/>
      <c r="AB74" s="2199"/>
      <c r="AC74" s="2199"/>
      <c r="AD74" s="2199"/>
      <c r="AE74" s="2199"/>
      <c r="AF74" s="2199"/>
      <c r="AG74" s="1862"/>
      <c r="AH74" s="2575"/>
      <c r="AI74" s="2575"/>
      <c r="AJ74" s="2575"/>
      <c r="AK74" s="1862"/>
      <c r="AL74" s="2197"/>
      <c r="AM74" s="2197"/>
      <c r="AN74" s="2197"/>
      <c r="AO74" s="2197"/>
      <c r="AP74" s="2197"/>
      <c r="AQ74" s="2197"/>
      <c r="AR74" s="2197"/>
      <c r="AS74" s="2575"/>
      <c r="AT74" s="2575"/>
      <c r="AU74" s="2575"/>
      <c r="AV74" s="2575"/>
      <c r="AW74" s="2575"/>
      <c r="AX74" s="2197"/>
      <c r="AY74" s="2197"/>
      <c r="AZ74" s="2197"/>
      <c r="BA74" s="2197"/>
      <c r="BB74" s="2197"/>
      <c r="BC74" s="2197"/>
      <c r="BD74" s="2197"/>
      <c r="BE74" s="2575"/>
      <c r="BF74" s="2575"/>
      <c r="BG74" s="2575"/>
      <c r="BH74" s="2575"/>
      <c r="BI74" s="2575"/>
      <c r="BJ74" s="2197"/>
      <c r="BK74" s="2197"/>
      <c r="BL74" s="2575"/>
      <c r="BM74" s="2575"/>
      <c r="BN74" s="2575"/>
      <c r="BO74" s="2575"/>
      <c r="BQ74" s="2197"/>
      <c r="BR74" s="2200"/>
      <c r="BS74" s="1861"/>
      <c r="BT74" s="2197"/>
      <c r="BU74" s="2198"/>
      <c r="BV74" s="1997"/>
      <c r="BW74" s="2577"/>
    </row>
    <row r="75" spans="1:86" s="1946" customFormat="1" ht="15.75" customHeight="1" x14ac:dyDescent="0.2">
      <c r="B75" s="2201"/>
      <c r="C75" s="2354" t="e">
        <f>K6-E75</f>
        <v>#REF!</v>
      </c>
      <c r="D75" s="2011"/>
      <c r="E75" s="1898">
        <f t="shared" ref="E75:I75" si="578">E60+E73</f>
        <v>2041.7159999999999</v>
      </c>
      <c r="F75" s="1898">
        <f t="shared" si="578"/>
        <v>174.17160000000001</v>
      </c>
      <c r="G75" s="1898">
        <f t="shared" si="578"/>
        <v>116.1144</v>
      </c>
      <c r="H75" s="1898">
        <f t="shared" si="578"/>
        <v>87.085800000000006</v>
      </c>
      <c r="I75" s="1898">
        <f t="shared" si="578"/>
        <v>69.668639999999996</v>
      </c>
      <c r="J75" s="1898">
        <f>J60+J73</f>
        <v>68.057200000000009</v>
      </c>
      <c r="K75" s="1899">
        <f>E77/E92</f>
        <v>0.31163865158002324</v>
      </c>
      <c r="L75" s="1949"/>
      <c r="M75" s="2573"/>
      <c r="N75" s="1898" t="e">
        <f t="shared" ref="N75" si="579">N62-N73</f>
        <v>#REF!</v>
      </c>
      <c r="O75" s="1898" t="e">
        <f t="shared" ref="O75:P75" si="580">O62-O73</f>
        <v>#REF!</v>
      </c>
      <c r="P75" s="1898" t="e">
        <f t="shared" si="580"/>
        <v>#REF!</v>
      </c>
      <c r="Q75" s="1898" t="e">
        <f t="shared" ref="Q75:R75" si="581">Q62-Q73</f>
        <v>#REF!</v>
      </c>
      <c r="R75" s="1898" t="e">
        <f t="shared" si="581"/>
        <v>#REF!</v>
      </c>
      <c r="S75" s="1898" t="e">
        <f t="shared" ref="S75" si="582">S62-S73</f>
        <v>#REF!</v>
      </c>
      <c r="T75" s="1898" t="e">
        <f t="shared" ref="T75" si="583">T62-T73</f>
        <v>#REF!</v>
      </c>
      <c r="U75" s="2574"/>
      <c r="V75" s="2574"/>
      <c r="W75" s="2574"/>
      <c r="X75" s="2574"/>
      <c r="Y75" s="1897"/>
      <c r="Z75" s="1898" t="e">
        <f t="shared" ref="Z75:AD75" si="584">Z62-Z73</f>
        <v>#REF!</v>
      </c>
      <c r="AA75" s="1898" t="e">
        <f t="shared" si="584"/>
        <v>#REF!</v>
      </c>
      <c r="AB75" s="1898" t="e">
        <f t="shared" si="584"/>
        <v>#REF!</v>
      </c>
      <c r="AC75" s="1898" t="e">
        <f t="shared" si="584"/>
        <v>#REF!</v>
      </c>
      <c r="AD75" s="1898" t="e">
        <f t="shared" si="584"/>
        <v>#REF!</v>
      </c>
      <c r="AE75" s="1898" t="e">
        <f t="shared" ref="AE75:AF75" si="585">AE62-AE73</f>
        <v>#REF!</v>
      </c>
      <c r="AF75" s="1898" t="e">
        <f t="shared" si="585"/>
        <v>#REF!</v>
      </c>
      <c r="AG75" s="1897"/>
      <c r="AH75" s="2574"/>
      <c r="AI75" s="2574"/>
      <c r="AJ75" s="2574"/>
      <c r="AK75" s="1897"/>
      <c r="AL75" s="1898" t="e">
        <f t="shared" ref="AL75" si="586">AL62-AL73</f>
        <v>#REF!</v>
      </c>
      <c r="AM75" s="1898" t="e">
        <f t="shared" ref="AM75:AN75" si="587">AM62-AM73</f>
        <v>#REF!</v>
      </c>
      <c r="AN75" s="1898" t="e">
        <f t="shared" si="587"/>
        <v>#REF!</v>
      </c>
      <c r="AO75" s="1898" t="e">
        <f t="shared" ref="AO75:AP75" si="588">AO62-AO73</f>
        <v>#REF!</v>
      </c>
      <c r="AP75" s="1898" t="e">
        <f t="shared" si="588"/>
        <v>#REF!</v>
      </c>
      <c r="AQ75" s="1898" t="e">
        <f t="shared" ref="AQ75:AR75" si="589">AQ62-AQ73</f>
        <v>#REF!</v>
      </c>
      <c r="AR75" s="1898" t="e">
        <f t="shared" si="589"/>
        <v>#REF!</v>
      </c>
      <c r="AS75" s="2574"/>
      <c r="AT75" s="2574"/>
      <c r="AU75" s="2574"/>
      <c r="AV75" s="2574"/>
      <c r="AW75" s="2574"/>
      <c r="AX75" s="1898" t="e">
        <f t="shared" ref="AX75" si="590">AX62-AX73</f>
        <v>#REF!</v>
      </c>
      <c r="AY75" s="1898" t="e">
        <f t="shared" ref="AY75:BB75" si="591">AY62-AY73</f>
        <v>#REF!</v>
      </c>
      <c r="AZ75" s="1898" t="e">
        <f t="shared" si="591"/>
        <v>#REF!</v>
      </c>
      <c r="BA75" s="1898" t="e">
        <f t="shared" si="591"/>
        <v>#REF!</v>
      </c>
      <c r="BB75" s="1898" t="e">
        <f t="shared" si="591"/>
        <v>#REF!</v>
      </c>
      <c r="BC75" s="1898" t="e">
        <f t="shared" ref="BC75:BD75" si="592">BC62-BC73</f>
        <v>#REF!</v>
      </c>
      <c r="BD75" s="1898" t="e">
        <f t="shared" si="592"/>
        <v>#REF!</v>
      </c>
      <c r="BE75" s="2574"/>
      <c r="BF75" s="2574"/>
      <c r="BG75" s="2574"/>
      <c r="BH75" s="2574"/>
      <c r="BI75" s="2574"/>
      <c r="BJ75" s="1898" t="e">
        <f t="shared" ref="BJ75:BK75" si="593">BJ62-BJ73</f>
        <v>#REF!</v>
      </c>
      <c r="BK75" s="1898" t="e">
        <f t="shared" si="593"/>
        <v>#REF!</v>
      </c>
      <c r="BL75" s="2574"/>
      <c r="BM75" s="2574"/>
      <c r="BN75" s="2574"/>
      <c r="BO75" s="2574"/>
      <c r="BQ75" s="1898"/>
      <c r="BR75" s="2202"/>
      <c r="BS75" s="2011"/>
      <c r="BT75" s="1898"/>
      <c r="BU75" s="1899"/>
      <c r="BV75" s="2010"/>
      <c r="BW75" s="2573"/>
    </row>
    <row r="76" spans="1:86" s="1860" customFormat="1" ht="4.5" customHeight="1" thickBot="1" x14ac:dyDescent="0.25">
      <c r="B76" s="2196"/>
      <c r="C76" s="2196"/>
      <c r="D76" s="1861"/>
      <c r="E76" s="2197"/>
      <c r="F76" s="2197"/>
      <c r="G76" s="2197"/>
      <c r="H76" s="2197"/>
      <c r="I76" s="2197"/>
      <c r="J76" s="2197"/>
      <c r="K76" s="2198"/>
      <c r="L76" s="1760"/>
      <c r="M76" s="2577"/>
      <c r="N76" s="2575"/>
      <c r="O76" s="2575"/>
      <c r="P76" s="2575"/>
      <c r="Q76" s="2575"/>
      <c r="R76" s="2575"/>
      <c r="S76" s="2575"/>
      <c r="T76" s="2575"/>
      <c r="U76" s="2575"/>
      <c r="V76" s="2575"/>
      <c r="W76" s="2575"/>
      <c r="X76" s="2575"/>
      <c r="Y76" s="1862"/>
      <c r="Z76" s="2232"/>
      <c r="AA76" s="2232"/>
      <c r="AB76" s="2232"/>
      <c r="AC76" s="2232"/>
      <c r="AD76" s="2232"/>
      <c r="AE76" s="2232"/>
      <c r="AF76" s="2232"/>
      <c r="AG76" s="1862"/>
      <c r="AH76" s="2575"/>
      <c r="AI76" s="2575"/>
      <c r="AJ76" s="2575"/>
      <c r="AK76" s="1862"/>
      <c r="AL76" s="2232"/>
      <c r="AM76" s="2232"/>
      <c r="AN76" s="2232"/>
      <c r="AO76" s="2232"/>
      <c r="AP76" s="2232"/>
      <c r="AQ76" s="2232"/>
      <c r="AR76" s="2232"/>
      <c r="AS76" s="2575"/>
      <c r="AT76" s="2575"/>
      <c r="AU76" s="2575"/>
      <c r="AV76" s="2575"/>
      <c r="AW76" s="2575"/>
      <c r="AX76" s="2232"/>
      <c r="AY76" s="2232"/>
      <c r="AZ76" s="2232"/>
      <c r="BA76" s="2232"/>
      <c r="BB76" s="2232"/>
      <c r="BC76" s="2232"/>
      <c r="BD76" s="2232"/>
      <c r="BE76" s="2575"/>
      <c r="BF76" s="2575"/>
      <c r="BG76" s="2575"/>
      <c r="BH76" s="2575"/>
      <c r="BI76" s="2575"/>
      <c r="BJ76" s="2199"/>
      <c r="BK76" s="2199"/>
      <c r="BL76" s="2575"/>
      <c r="BM76" s="2575"/>
      <c r="BN76" s="2575"/>
      <c r="BO76" s="2575"/>
      <c r="BQ76" s="2199"/>
      <c r="BR76" s="2203"/>
      <c r="BS76" s="1861"/>
      <c r="BT76" s="2199"/>
      <c r="BU76" s="2204"/>
      <c r="BV76" s="1997"/>
      <c r="BW76" s="2577"/>
    </row>
    <row r="77" spans="1:86" s="1726" customFormat="1" ht="17.25" thickBot="1" x14ac:dyDescent="0.25">
      <c r="B77" s="1739"/>
      <c r="C77" s="1739" t="s">
        <v>151</v>
      </c>
      <c r="D77" s="2205"/>
      <c r="E77" s="1732">
        <f>(E73+E60)*100/30</f>
        <v>6805.7199999999993</v>
      </c>
      <c r="F77" s="1732">
        <f>F49+F73</f>
        <v>493.63493333333332</v>
      </c>
      <c r="G77" s="1732">
        <f>G49+G73</f>
        <v>329.08995555555555</v>
      </c>
      <c r="H77" s="1732">
        <f>H49+H73</f>
        <v>246.81746666666666</v>
      </c>
      <c r="I77" s="1732">
        <f>I49+I73</f>
        <v>197.45397333333335</v>
      </c>
      <c r="J77" s="1732">
        <f>(J73+J60)*100/30</f>
        <v>226.85733333333337</v>
      </c>
      <c r="K77" s="1882">
        <f>E77/E92</f>
        <v>0.31163865158002324</v>
      </c>
      <c r="L77" s="1760"/>
      <c r="M77" s="2577"/>
      <c r="N77" s="2206"/>
      <c r="O77" s="2206"/>
      <c r="P77" s="2206"/>
      <c r="Q77" s="2206"/>
      <c r="R77" s="2206"/>
      <c r="S77" s="2206"/>
      <c r="T77" s="2206"/>
      <c r="U77" s="2575"/>
      <c r="V77" s="2207"/>
      <c r="W77" s="2208"/>
      <c r="X77" s="2209"/>
      <c r="Y77" s="1862"/>
      <c r="Z77" s="2206"/>
      <c r="AA77" s="2206"/>
      <c r="AB77" s="2206"/>
      <c r="AC77" s="2206"/>
      <c r="AD77" s="2206"/>
      <c r="AE77" s="2206"/>
      <c r="AF77" s="2206"/>
      <c r="AG77" s="1881"/>
      <c r="AH77" s="2207"/>
      <c r="AI77" s="2208"/>
      <c r="AJ77" s="2209"/>
      <c r="AK77" s="1862"/>
      <c r="AL77" s="2206"/>
      <c r="AM77" s="2206"/>
      <c r="AN77" s="2206"/>
      <c r="AO77" s="2206"/>
      <c r="AP77" s="2206"/>
      <c r="AQ77" s="2206"/>
      <c r="AR77" s="2206"/>
      <c r="AS77" s="2293"/>
      <c r="AT77" s="2207"/>
      <c r="AU77" s="2208"/>
      <c r="AV77" s="2209"/>
      <c r="AW77" s="2575"/>
      <c r="AX77" s="2206"/>
      <c r="AY77" s="2206"/>
      <c r="AZ77" s="2206"/>
      <c r="BA77" s="2206"/>
      <c r="BB77" s="2206"/>
      <c r="BC77" s="2206"/>
      <c r="BD77" s="2206"/>
      <c r="BE77" s="2293"/>
      <c r="BF77" s="2207">
        <f t="shared" ref="BF77:BF78" si="594">SUM(AX77:BD77)</f>
        <v>0</v>
      </c>
      <c r="BG77" s="2208"/>
      <c r="BH77" s="2209"/>
      <c r="BI77" s="2575"/>
      <c r="BJ77" s="1732"/>
      <c r="BK77" s="1732"/>
      <c r="BL77" s="2575"/>
      <c r="BM77" s="2207">
        <f>SUM(BJ77:BK77)</f>
        <v>0</v>
      </c>
      <c r="BN77" s="2208"/>
      <c r="BO77" s="2209"/>
      <c r="BQ77" s="1732"/>
      <c r="BR77" s="2211"/>
      <c r="BS77" s="1740"/>
      <c r="BT77" s="1732"/>
      <c r="BU77" s="1882"/>
      <c r="BV77" s="1997"/>
      <c r="BW77" s="2577"/>
    </row>
    <row r="78" spans="1:86" s="1885" customFormat="1" ht="17.25" thickBot="1" x14ac:dyDescent="0.25">
      <c r="B78" s="2117"/>
      <c r="C78" s="2212" t="s">
        <v>149</v>
      </c>
      <c r="D78" s="2119"/>
      <c r="E78" s="2123"/>
      <c r="F78" s="2121"/>
      <c r="G78" s="2121"/>
      <c r="H78" s="2121"/>
      <c r="I78" s="2121"/>
      <c r="J78" s="2121"/>
      <c r="K78" s="2129"/>
      <c r="L78" s="2213"/>
      <c r="M78" s="2214"/>
      <c r="N78" s="2120" t="e">
        <f>IF(N75&gt;$J$75,N75,IF(N75&lt;$J$75,(IF(N75&lt;0,-57.3,N62-$J$73))))</f>
        <v>#REF!</v>
      </c>
      <c r="O78" s="2121" t="e">
        <f t="shared" ref="O78:T78" si="595">IF(O75&gt;$J$75,O75,IF(O75&lt;$J$75,(IF(O75&lt;0,-57.3,O62-$J$73))))</f>
        <v>#REF!</v>
      </c>
      <c r="P78" s="2121" t="e">
        <f t="shared" si="595"/>
        <v>#REF!</v>
      </c>
      <c r="Q78" s="2121" t="e">
        <f t="shared" si="595"/>
        <v>#REF!</v>
      </c>
      <c r="R78" s="2121" t="e">
        <f t="shared" si="595"/>
        <v>#REF!</v>
      </c>
      <c r="S78" s="2121" t="e">
        <f t="shared" si="595"/>
        <v>#REF!</v>
      </c>
      <c r="T78" s="2124" t="e">
        <f t="shared" si="595"/>
        <v>#REF!</v>
      </c>
      <c r="U78" s="1951"/>
      <c r="V78" s="2120" t="e">
        <f>SUM(N78:T78)</f>
        <v>#REF!</v>
      </c>
      <c r="W78" s="2123"/>
      <c r="X78" s="2124"/>
      <c r="Y78" s="1956"/>
      <c r="Z78" s="2120" t="e">
        <f t="shared" ref="Z78:AF78" si="596">IF(Z75&gt;$J$75,Z75,IF(Z75&lt;$J$75,(IF(Z75&lt;0,-57.3,Z62-$J$73))))</f>
        <v>#REF!</v>
      </c>
      <c r="AA78" s="2121" t="e">
        <f t="shared" si="596"/>
        <v>#REF!</v>
      </c>
      <c r="AB78" s="2121" t="e">
        <f t="shared" si="596"/>
        <v>#REF!</v>
      </c>
      <c r="AC78" s="2121" t="e">
        <f t="shared" si="596"/>
        <v>#REF!</v>
      </c>
      <c r="AD78" s="2121" t="e">
        <f t="shared" si="596"/>
        <v>#REF!</v>
      </c>
      <c r="AE78" s="2121" t="e">
        <f t="shared" si="596"/>
        <v>#REF!</v>
      </c>
      <c r="AF78" s="2121" t="e">
        <f t="shared" si="596"/>
        <v>#REF!</v>
      </c>
      <c r="AG78" s="1956"/>
      <c r="AH78" s="2120" t="e">
        <f>SUM(Z78:AF78)</f>
        <v>#REF!</v>
      </c>
      <c r="AI78" s="2123"/>
      <c r="AJ78" s="2124"/>
      <c r="AK78" s="1955"/>
      <c r="AL78" s="2120" t="e">
        <f t="shared" ref="AL78:AN78" si="597">IF(AL75&gt;$J$75,AL75,IF(AL75&lt;$J$75,(IF(AL75&lt;0,-57.3,AL62-$J$73))))</f>
        <v>#REF!</v>
      </c>
      <c r="AM78" s="2121" t="e">
        <f t="shared" si="597"/>
        <v>#REF!</v>
      </c>
      <c r="AN78" s="2121" t="e">
        <f t="shared" si="597"/>
        <v>#REF!</v>
      </c>
      <c r="AO78" s="2121" t="e">
        <f t="shared" ref="AO78:AP78" si="598">IF(AO75&gt;$J$75,AO75,IF(AO75&lt;$J$75,(IF(AO75&lt;0,-57.3,AO62-$J$73))))</f>
        <v>#REF!</v>
      </c>
      <c r="AP78" s="2121" t="e">
        <f t="shared" si="598"/>
        <v>#REF!</v>
      </c>
      <c r="AQ78" s="2121" t="e">
        <f t="shared" ref="AQ78:AR78" si="599">IF(AQ75&gt;$J$75,AQ75,IF(AQ75&lt;$J$75,(IF(AQ75&lt;0,-57.3,AQ62-$J$73))))</f>
        <v>#REF!</v>
      </c>
      <c r="AR78" s="2124" t="e">
        <f t="shared" si="599"/>
        <v>#REF!</v>
      </c>
      <c r="AS78" s="2254"/>
      <c r="AT78" s="2120" t="e">
        <f t="shared" ref="AT78" si="600">SUM(AL78:AR78)</f>
        <v>#REF!</v>
      </c>
      <c r="AU78" s="2123"/>
      <c r="AV78" s="2124"/>
      <c r="AW78" s="1951"/>
      <c r="AX78" s="2120" t="e">
        <f t="shared" ref="AX78" si="601">IF(AX75&gt;$J$75,AX75,IF(AX75&lt;$J$75,(IF(AX75&lt;0,-57.3,AX62-$J$73))))</f>
        <v>#REF!</v>
      </c>
      <c r="AY78" s="2123" t="e">
        <f t="shared" ref="AY78:BB78" si="602">IF(AY75&gt;$J$75,AY75,IF(AY75&lt;$J$75,(IF(AY75&lt;0,-57.3,AY62-$J$73))))</f>
        <v>#REF!</v>
      </c>
      <c r="AZ78" s="2123" t="e">
        <f t="shared" si="602"/>
        <v>#REF!</v>
      </c>
      <c r="BA78" s="2123" t="e">
        <f t="shared" si="602"/>
        <v>#REF!</v>
      </c>
      <c r="BB78" s="2123" t="e">
        <f t="shared" si="602"/>
        <v>#REF!</v>
      </c>
      <c r="BC78" s="2123" t="e">
        <f t="shared" ref="BC78:BD78" si="603">IF(BC75&gt;$J$75,BC75,IF(BC75&lt;$J$75,(IF(BC75&lt;0,-57.3,BC62-$J$73))))</f>
        <v>#REF!</v>
      </c>
      <c r="BD78" s="2121" t="e">
        <f t="shared" si="603"/>
        <v>#REF!</v>
      </c>
      <c r="BE78" s="1951"/>
      <c r="BF78" s="2120" t="e">
        <f t="shared" si="594"/>
        <v>#REF!</v>
      </c>
      <c r="BG78" s="2123"/>
      <c r="BH78" s="2124"/>
      <c r="BI78" s="1900"/>
      <c r="BJ78" s="2120" t="e">
        <f t="shared" ref="BJ78:BK78" si="604">IF(BJ75&gt;$J$75,BJ75,IF(BJ75&lt;$J$75,(IF(BJ75&lt;0,-57.3,BJ62-$J$73))))</f>
        <v>#REF!</v>
      </c>
      <c r="BK78" s="2123" t="e">
        <f t="shared" si="604"/>
        <v>#REF!</v>
      </c>
      <c r="BL78" s="2317"/>
      <c r="BM78" s="2215" t="e">
        <f>SUM(BJ78:BK78)</f>
        <v>#REF!</v>
      </c>
      <c r="BN78" s="2318"/>
      <c r="BO78" s="2118"/>
      <c r="BP78" s="1897"/>
      <c r="BQ78" s="2215" t="e">
        <f>SUM(N78:T78)+SUM(Z78:AF78)+SUM(AL78:AR78)+SUM(AX78:BD78)+SUM(BJ78:BK78)</f>
        <v>#REF!</v>
      </c>
      <c r="BR78" s="2130"/>
      <c r="BS78" s="1900"/>
      <c r="BT78" s="1900"/>
      <c r="BU78" s="1900"/>
      <c r="BV78" s="2011"/>
    </row>
    <row r="79" spans="1:86" s="1756" customFormat="1" ht="17.25" thickBot="1" x14ac:dyDescent="0.25">
      <c r="B79" s="1817"/>
      <c r="C79" s="1817"/>
      <c r="D79" s="1817"/>
      <c r="E79" s="1814"/>
      <c r="F79" s="1814"/>
      <c r="G79" s="1814"/>
      <c r="H79" s="1814"/>
      <c r="I79" s="1814"/>
      <c r="J79" s="1814"/>
      <c r="K79" s="1818"/>
      <c r="L79" s="2216"/>
      <c r="M79" s="2055"/>
      <c r="N79" s="1814"/>
      <c r="O79" s="1814"/>
      <c r="P79" s="1814"/>
      <c r="Q79" s="1814"/>
      <c r="R79" s="1814"/>
      <c r="S79" s="1814"/>
      <c r="T79" s="1814"/>
      <c r="U79" s="1814"/>
      <c r="V79" s="1814"/>
      <c r="W79" s="1814"/>
      <c r="X79" s="1814"/>
      <c r="Y79" s="1766"/>
      <c r="Z79" s="1814"/>
      <c r="AA79" s="1814"/>
      <c r="AB79" s="1814"/>
      <c r="AC79" s="1814"/>
      <c r="AD79" s="1814"/>
      <c r="AE79" s="1814"/>
      <c r="AF79" s="1814"/>
      <c r="AG79" s="1766"/>
      <c r="AH79" s="1814"/>
      <c r="AI79" s="1814"/>
      <c r="AJ79" s="1814"/>
      <c r="AK79" s="1766"/>
      <c r="AL79" s="1814"/>
      <c r="AM79" s="1814"/>
      <c r="AN79" s="1814"/>
      <c r="AO79" s="1814"/>
      <c r="AP79" s="1814"/>
      <c r="AQ79" s="1814"/>
      <c r="AR79" s="1814"/>
      <c r="AS79" s="1814"/>
      <c r="AT79" s="1814"/>
      <c r="AU79" s="1814"/>
      <c r="AV79" s="1814"/>
      <c r="AW79" s="1814"/>
      <c r="AX79" s="1814"/>
      <c r="AY79" s="1814"/>
      <c r="AZ79" s="1814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814"/>
      <c r="BP79" s="1766"/>
      <c r="BQ79" s="1814"/>
      <c r="BR79" s="1830"/>
      <c r="BS79" s="2572"/>
      <c r="BT79" s="2572"/>
      <c r="BU79" s="2572"/>
      <c r="BV79" s="1817"/>
    </row>
    <row r="80" spans="1:86" s="1947" customFormat="1" x14ac:dyDescent="0.2">
      <c r="A80" s="2217"/>
      <c r="B80" s="2218">
        <v>46</v>
      </c>
      <c r="C80" s="2218" t="s">
        <v>74</v>
      </c>
      <c r="D80" s="2219"/>
      <c r="E80" s="2007">
        <v>350</v>
      </c>
      <c r="F80" s="2007">
        <f t="shared" ref="F80:F89" si="605">E80/10</f>
        <v>35</v>
      </c>
      <c r="G80" s="2007">
        <f t="shared" ref="G80:G81" si="606">E80/15</f>
        <v>23.333333333333332</v>
      </c>
      <c r="H80" s="2007">
        <f t="shared" ref="H80:H81" si="607">E80/20</f>
        <v>17.5</v>
      </c>
      <c r="I80" s="2007">
        <f t="shared" ref="I80:I81" si="608">E80/25</f>
        <v>14</v>
      </c>
      <c r="J80" s="2007">
        <f>E80/30</f>
        <v>11.666666666666666</v>
      </c>
      <c r="K80" s="2008">
        <f>E80/E94</f>
        <v>5.3422477980780939E-2</v>
      </c>
      <c r="L80" s="1949"/>
      <c r="M80" s="1905"/>
      <c r="N80" s="2007">
        <f>$J$80</f>
        <v>11.666666666666666</v>
      </c>
      <c r="O80" s="2007">
        <f t="shared" ref="O80:T80" si="609">$J$80</f>
        <v>11.666666666666666</v>
      </c>
      <c r="P80" s="2007">
        <f t="shared" si="609"/>
        <v>11.666666666666666</v>
      </c>
      <c r="Q80" s="2007">
        <f t="shared" si="609"/>
        <v>11.666666666666666</v>
      </c>
      <c r="R80" s="2007">
        <f t="shared" si="609"/>
        <v>11.666666666666666</v>
      </c>
      <c r="S80" s="2007">
        <f t="shared" si="609"/>
        <v>11.666666666666666</v>
      </c>
      <c r="T80" s="2007">
        <f t="shared" si="609"/>
        <v>11.666666666666666</v>
      </c>
      <c r="U80" s="1951"/>
      <c r="V80" s="2220">
        <f t="shared" si="28"/>
        <v>81.666666666666671</v>
      </c>
      <c r="W80" s="2221"/>
      <c r="X80" s="2222"/>
      <c r="Y80" s="1955"/>
      <c r="Z80" s="2223">
        <f t="shared" ref="Z80:AF80" si="610">$J$80</f>
        <v>11.666666666666666</v>
      </c>
      <c r="AA80" s="2223">
        <f t="shared" si="610"/>
        <v>11.666666666666666</v>
      </c>
      <c r="AB80" s="2223">
        <f t="shared" si="610"/>
        <v>11.666666666666666</v>
      </c>
      <c r="AC80" s="2223">
        <f t="shared" si="610"/>
        <v>11.666666666666666</v>
      </c>
      <c r="AD80" s="2223">
        <f t="shared" si="610"/>
        <v>11.666666666666666</v>
      </c>
      <c r="AE80" s="2223">
        <f t="shared" si="610"/>
        <v>11.666666666666666</v>
      </c>
      <c r="AF80" s="2223">
        <f t="shared" si="610"/>
        <v>11.666666666666666</v>
      </c>
      <c r="AG80" s="1955"/>
      <c r="AH80" s="2220">
        <f t="shared" ref="AH80:AH81" si="611">SUM(Z80:AF80)</f>
        <v>81.666666666666671</v>
      </c>
      <c r="AI80" s="2221"/>
      <c r="AJ80" s="2222"/>
      <c r="AK80" s="1955"/>
      <c r="AL80" s="2223">
        <f t="shared" ref="AL80:AR80" si="612">$J$80</f>
        <v>11.666666666666666</v>
      </c>
      <c r="AM80" s="2223">
        <f t="shared" si="612"/>
        <v>11.666666666666666</v>
      </c>
      <c r="AN80" s="2223">
        <f t="shared" si="612"/>
        <v>11.666666666666666</v>
      </c>
      <c r="AO80" s="2223">
        <f t="shared" si="612"/>
        <v>11.666666666666666</v>
      </c>
      <c r="AP80" s="2223">
        <f t="shared" si="612"/>
        <v>11.666666666666666</v>
      </c>
      <c r="AQ80" s="2223">
        <f t="shared" si="612"/>
        <v>11.666666666666666</v>
      </c>
      <c r="AR80" s="2223">
        <f t="shared" si="612"/>
        <v>11.666666666666666</v>
      </c>
      <c r="AS80" s="2299"/>
      <c r="AT80" s="2220">
        <f t="shared" ref="AT80:AT83" si="613">SUM(AL80:AR80)</f>
        <v>81.666666666666671</v>
      </c>
      <c r="AU80" s="2221"/>
      <c r="AV80" s="2222"/>
      <c r="AW80" s="2299"/>
      <c r="AX80" s="2223">
        <f t="shared" ref="AX80:BD80" si="614">$J$80</f>
        <v>11.666666666666666</v>
      </c>
      <c r="AY80" s="2223">
        <f t="shared" si="614"/>
        <v>11.666666666666666</v>
      </c>
      <c r="AZ80" s="2223">
        <f t="shared" si="614"/>
        <v>11.666666666666666</v>
      </c>
      <c r="BA80" s="2223">
        <f t="shared" si="614"/>
        <v>11.666666666666666</v>
      </c>
      <c r="BB80" s="2223">
        <f t="shared" si="614"/>
        <v>11.666666666666666</v>
      </c>
      <c r="BC80" s="2223">
        <f t="shared" si="614"/>
        <v>11.666666666666666</v>
      </c>
      <c r="BD80" s="2223">
        <f t="shared" si="614"/>
        <v>11.666666666666666</v>
      </c>
      <c r="BE80" s="2299"/>
      <c r="BF80" s="2220">
        <f t="shared" ref="BF80:BF81" si="615">SUM(AX80:BD80)</f>
        <v>81.666666666666671</v>
      </c>
      <c r="BG80" s="2221"/>
      <c r="BH80" s="2222"/>
      <c r="BI80" s="1951"/>
      <c r="BJ80" s="2007">
        <f t="shared" ref="BJ80:BK80" si="616">$J$80</f>
        <v>11.666666666666666</v>
      </c>
      <c r="BK80" s="2223">
        <f t="shared" si="616"/>
        <v>11.666666666666666</v>
      </c>
      <c r="BL80" s="1951"/>
      <c r="BM80" s="2220">
        <f>SUM(BJ80:BK80)</f>
        <v>23.333333333333332</v>
      </c>
      <c r="BN80" s="2221"/>
      <c r="BO80" s="2222"/>
      <c r="BQ80" s="2007">
        <f>SUM(N80:T80)+SUM(Z80:AF80)+SUM(AL80:AR80)+SUM(AX80:BD80)+SUM(BJ80:BK80)</f>
        <v>350</v>
      </c>
      <c r="BR80" s="2008">
        <f>BQ80/E80</f>
        <v>1</v>
      </c>
      <c r="BS80" s="1959"/>
      <c r="BT80" s="2224"/>
      <c r="BU80" s="2225"/>
      <c r="BV80" s="2339"/>
      <c r="BW80" s="1950"/>
    </row>
    <row r="81" spans="2:76" s="1860" customFormat="1" ht="17.25" thickBot="1" x14ac:dyDescent="0.25">
      <c r="B81" s="1739"/>
      <c r="C81" s="1739" t="s">
        <v>153</v>
      </c>
      <c r="D81" s="2205"/>
      <c r="E81" s="1732">
        <f>E80*100/30</f>
        <v>1166.6666666666667</v>
      </c>
      <c r="F81" s="1732">
        <f t="shared" si="605"/>
        <v>116.66666666666667</v>
      </c>
      <c r="G81" s="1732">
        <f t="shared" si="606"/>
        <v>77.777777777777786</v>
      </c>
      <c r="H81" s="1732">
        <f t="shared" si="607"/>
        <v>58.333333333333336</v>
      </c>
      <c r="I81" s="1732">
        <f t="shared" si="608"/>
        <v>46.666666666666671</v>
      </c>
      <c r="J81" s="1732">
        <f>J80*100/30</f>
        <v>38.888888888888886</v>
      </c>
      <c r="K81" s="1882">
        <f>E81/E92</f>
        <v>5.3422477980780946E-2</v>
      </c>
      <c r="L81" s="1760"/>
      <c r="M81" s="2577"/>
      <c r="N81" s="1732">
        <f>$J$81</f>
        <v>38.888888888888886</v>
      </c>
      <c r="O81" s="1732">
        <f t="shared" ref="O81:T81" si="617">$J$81</f>
        <v>38.888888888888886</v>
      </c>
      <c r="P81" s="1732">
        <f t="shared" si="617"/>
        <v>38.888888888888886</v>
      </c>
      <c r="Q81" s="1732">
        <f t="shared" si="617"/>
        <v>38.888888888888886</v>
      </c>
      <c r="R81" s="1732">
        <f t="shared" si="617"/>
        <v>38.888888888888886</v>
      </c>
      <c r="S81" s="1732">
        <f t="shared" si="617"/>
        <v>38.888888888888886</v>
      </c>
      <c r="T81" s="1732">
        <f t="shared" si="617"/>
        <v>38.888888888888886</v>
      </c>
      <c r="U81" s="2575"/>
      <c r="V81" s="2226">
        <f t="shared" si="28"/>
        <v>272.22222222222217</v>
      </c>
      <c r="W81" s="2227"/>
      <c r="X81" s="2228"/>
      <c r="Y81" s="1881"/>
      <c r="Z81" s="2210">
        <f t="shared" ref="Z81:AF81" si="618">$J$81</f>
        <v>38.888888888888886</v>
      </c>
      <c r="AA81" s="2210">
        <f t="shared" si="618"/>
        <v>38.888888888888886</v>
      </c>
      <c r="AB81" s="2210">
        <f t="shared" si="618"/>
        <v>38.888888888888886</v>
      </c>
      <c r="AC81" s="2210">
        <f t="shared" si="618"/>
        <v>38.888888888888886</v>
      </c>
      <c r="AD81" s="2210">
        <f t="shared" si="618"/>
        <v>38.888888888888886</v>
      </c>
      <c r="AE81" s="2210">
        <f t="shared" si="618"/>
        <v>38.888888888888886</v>
      </c>
      <c r="AF81" s="2210">
        <f t="shared" si="618"/>
        <v>38.888888888888886</v>
      </c>
      <c r="AG81" s="1881"/>
      <c r="AH81" s="2226">
        <f t="shared" si="611"/>
        <v>272.22222222222217</v>
      </c>
      <c r="AI81" s="2227"/>
      <c r="AJ81" s="2228"/>
      <c r="AK81" s="1881"/>
      <c r="AL81" s="2210">
        <f t="shared" ref="AL81:AR81" si="619">$J$81</f>
        <v>38.888888888888886</v>
      </c>
      <c r="AM81" s="2210">
        <f t="shared" si="619"/>
        <v>38.888888888888886</v>
      </c>
      <c r="AN81" s="2210">
        <f t="shared" si="619"/>
        <v>38.888888888888886</v>
      </c>
      <c r="AO81" s="2210">
        <f t="shared" si="619"/>
        <v>38.888888888888886</v>
      </c>
      <c r="AP81" s="2210">
        <f t="shared" si="619"/>
        <v>38.888888888888886</v>
      </c>
      <c r="AQ81" s="2210">
        <f t="shared" si="619"/>
        <v>38.888888888888886</v>
      </c>
      <c r="AR81" s="2210">
        <f t="shared" si="619"/>
        <v>38.888888888888886</v>
      </c>
      <c r="AS81" s="2293"/>
      <c r="AT81" s="2226">
        <f t="shared" si="613"/>
        <v>272.22222222222217</v>
      </c>
      <c r="AU81" s="2227"/>
      <c r="AV81" s="2228"/>
      <c r="AW81" s="2293"/>
      <c r="AX81" s="2210">
        <f t="shared" ref="AX81:BD81" si="620">$J$81</f>
        <v>38.888888888888886</v>
      </c>
      <c r="AY81" s="2210">
        <f t="shared" si="620"/>
        <v>38.888888888888886</v>
      </c>
      <c r="AZ81" s="2210">
        <f t="shared" si="620"/>
        <v>38.888888888888886</v>
      </c>
      <c r="BA81" s="2210">
        <f t="shared" si="620"/>
        <v>38.888888888888886</v>
      </c>
      <c r="BB81" s="2210">
        <f t="shared" si="620"/>
        <v>38.888888888888886</v>
      </c>
      <c r="BC81" s="2210">
        <f t="shared" si="620"/>
        <v>38.888888888888886</v>
      </c>
      <c r="BD81" s="2210">
        <f t="shared" si="620"/>
        <v>38.888888888888886</v>
      </c>
      <c r="BE81" s="2293"/>
      <c r="BF81" s="2226">
        <f t="shared" si="615"/>
        <v>272.22222222222217</v>
      </c>
      <c r="BG81" s="2227"/>
      <c r="BH81" s="2228"/>
      <c r="BI81" s="2575"/>
      <c r="BJ81" s="1732">
        <f t="shared" ref="BJ81:BK81" si="621">$J$81</f>
        <v>38.888888888888886</v>
      </c>
      <c r="BK81" s="2210">
        <f t="shared" si="621"/>
        <v>38.888888888888886</v>
      </c>
      <c r="BL81" s="2575"/>
      <c r="BM81" s="2226">
        <f>SUM(BJ81:BK81)</f>
        <v>77.777777777777771</v>
      </c>
      <c r="BN81" s="2227"/>
      <c r="BO81" s="2228"/>
      <c r="BP81" s="1726"/>
      <c r="BQ81" s="1732">
        <f>SUM(N81:T81)+SUM(Z81:AF81)+SUM(AL81:AR81)+SUM(AX81:BD81)+SUM(BJ81:BK81)</f>
        <v>1166.6666666666665</v>
      </c>
      <c r="BR81" s="1882">
        <f>BQ81/E81</f>
        <v>0.99999999999999978</v>
      </c>
      <c r="BS81" s="1740"/>
      <c r="BT81" s="2229"/>
      <c r="BU81" s="2230"/>
      <c r="BV81" s="2059"/>
      <c r="BW81" s="1877"/>
      <c r="BX81" s="1726"/>
    </row>
    <row r="82" spans="2:76" s="1860" customFormat="1" ht="4.5" customHeight="1" thickBot="1" x14ac:dyDescent="0.25">
      <c r="B82" s="2231"/>
      <c r="C82" s="2231"/>
      <c r="D82" s="1861"/>
      <c r="E82" s="2232"/>
      <c r="F82" s="2232"/>
      <c r="G82" s="2232"/>
      <c r="H82" s="2232"/>
      <c r="I82" s="2232"/>
      <c r="J82" s="2232"/>
      <c r="K82" s="2233"/>
      <c r="L82" s="1760"/>
      <c r="M82" s="2577"/>
      <c r="N82" s="2232"/>
      <c r="O82" s="2232"/>
      <c r="P82" s="2232"/>
      <c r="Q82" s="2232"/>
      <c r="R82" s="2232"/>
      <c r="S82" s="2232"/>
      <c r="T82" s="2232"/>
      <c r="U82" s="2575"/>
      <c r="V82" s="2575"/>
      <c r="W82" s="2575"/>
      <c r="X82" s="2575"/>
      <c r="Y82" s="1862"/>
      <c r="Z82" s="2232"/>
      <c r="AA82" s="2232"/>
      <c r="AB82" s="2232"/>
      <c r="AC82" s="2232"/>
      <c r="AD82" s="2232"/>
      <c r="AE82" s="2232"/>
      <c r="AF82" s="2232"/>
      <c r="AG82" s="1862"/>
      <c r="AH82" s="2575"/>
      <c r="AI82" s="2575"/>
      <c r="AJ82" s="2575"/>
      <c r="AK82" s="1862"/>
      <c r="AL82" s="2232"/>
      <c r="AM82" s="2232"/>
      <c r="AN82" s="2232"/>
      <c r="AO82" s="2232"/>
      <c r="AP82" s="2232"/>
      <c r="AQ82" s="2232"/>
      <c r="AR82" s="2232"/>
      <c r="AS82" s="2575"/>
      <c r="AT82" s="2575"/>
      <c r="AU82" s="2575"/>
      <c r="AV82" s="2575"/>
      <c r="AW82" s="2575"/>
      <c r="AX82" s="2232"/>
      <c r="AY82" s="2232"/>
      <c r="AZ82" s="2232"/>
      <c r="BA82" s="2232"/>
      <c r="BB82" s="2232"/>
      <c r="BC82" s="2232"/>
      <c r="BD82" s="2232"/>
      <c r="BE82" s="2575"/>
      <c r="BF82" s="2575"/>
      <c r="BG82" s="2575"/>
      <c r="BH82" s="2575"/>
      <c r="BI82" s="2575"/>
      <c r="BJ82" s="2232"/>
      <c r="BK82" s="2232"/>
      <c r="BL82" s="2575"/>
      <c r="BM82" s="2575"/>
      <c r="BN82" s="2575"/>
      <c r="BO82" s="2575"/>
      <c r="BP82" s="1726"/>
      <c r="BQ82" s="2232"/>
      <c r="BR82" s="2233"/>
      <c r="BS82" s="1740"/>
      <c r="BT82" s="2575"/>
      <c r="BU82" s="2059"/>
      <c r="BV82" s="2059"/>
      <c r="BW82" s="1877"/>
      <c r="BX82" s="1726"/>
    </row>
    <row r="83" spans="2:76" s="1885" customFormat="1" ht="17.25" thickBot="1" x14ac:dyDescent="0.25">
      <c r="B83" s="2117"/>
      <c r="C83" s="2212" t="s">
        <v>154</v>
      </c>
      <c r="D83" s="2119"/>
      <c r="E83" s="2123"/>
      <c r="F83" s="2121"/>
      <c r="G83" s="2121"/>
      <c r="H83" s="2121"/>
      <c r="I83" s="2121"/>
      <c r="J83" s="2121"/>
      <c r="K83" s="2129"/>
      <c r="L83" s="2213"/>
      <c r="M83" s="2214"/>
      <c r="N83" s="2120" t="e">
        <f>IF(N78&gt;$J$80,N78-N80,IF(N78&lt;$J$80,(IF(N78&lt;0,-11.667,N78-N80))))</f>
        <v>#REF!</v>
      </c>
      <c r="O83" s="2121" t="e">
        <f t="shared" ref="O83:P83" si="622">IF(O78&gt;$J$80,O78-O80,IF(O78&lt;$J$80,(IF(O78&lt;0,-11.667,O78-O80))))</f>
        <v>#REF!</v>
      </c>
      <c r="P83" s="2121" t="e">
        <f t="shared" si="622"/>
        <v>#REF!</v>
      </c>
      <c r="Q83" s="2121" t="e">
        <f t="shared" ref="Q83:R83" si="623">IF(Q78&gt;$J$80,Q78-Q80,IF(Q78&lt;$J$80,(IF(Q78&lt;0,-11.667,Q78-Q80))))</f>
        <v>#REF!</v>
      </c>
      <c r="R83" s="2121" t="e">
        <f t="shared" si="623"/>
        <v>#REF!</v>
      </c>
      <c r="S83" s="2121" t="e">
        <f t="shared" ref="S83" si="624">IF(S78&gt;$J$80,S78-S80,IF(S78&lt;$J$80,(IF(S78&lt;0,-11.667,S78-S80))))</f>
        <v>#REF!</v>
      </c>
      <c r="T83" s="2124" t="e">
        <f t="shared" ref="T83" si="625">IF(T78&gt;$J$80,T78-T80,IF(T78&lt;$J$80,(IF(T78&lt;0,-11.667,T78-T80))))</f>
        <v>#REF!</v>
      </c>
      <c r="U83" s="1951"/>
      <c r="V83" s="2120" t="e">
        <f>SUM(N83:T83)</f>
        <v>#REF!</v>
      </c>
      <c r="W83" s="2123"/>
      <c r="X83" s="2124"/>
      <c r="Y83" s="1956"/>
      <c r="Z83" s="2120" t="e">
        <f t="shared" ref="Z83:AD83" si="626">IF(Z78&gt;$J$80,Z78-Z80,IF(Z78&lt;$J$80,(IF(Z78&lt;0,-11.667,Z78-Z80))))</f>
        <v>#REF!</v>
      </c>
      <c r="AA83" s="2121" t="e">
        <f t="shared" si="626"/>
        <v>#REF!</v>
      </c>
      <c r="AB83" s="2121" t="e">
        <f t="shared" si="626"/>
        <v>#REF!</v>
      </c>
      <c r="AC83" s="2121" t="e">
        <f t="shared" si="626"/>
        <v>#REF!</v>
      </c>
      <c r="AD83" s="2121" t="e">
        <f t="shared" si="626"/>
        <v>#REF!</v>
      </c>
      <c r="AE83" s="2121" t="e">
        <f t="shared" ref="AE83:AF83" si="627">IF(AE78&gt;$J$80,AE78-AE80,IF(AE78&lt;$J$80,(IF(AE78&lt;0,-11.667,AE78-AE80))))</f>
        <v>#REF!</v>
      </c>
      <c r="AF83" s="2121" t="e">
        <f t="shared" si="627"/>
        <v>#REF!</v>
      </c>
      <c r="AG83" s="1956"/>
      <c r="AH83" s="2120" t="e">
        <f>SUM(Z83:AF83)</f>
        <v>#REF!</v>
      </c>
      <c r="AI83" s="2123"/>
      <c r="AJ83" s="2124"/>
      <c r="AK83" s="1955"/>
      <c r="AL83" s="2120" t="e">
        <f t="shared" ref="AL83" si="628">IF(AL78&gt;$J$80,AL78-AL80,IF(AL78&lt;$J$80,(IF(AL78&lt;0,-11.667,AL78-AL80))))</f>
        <v>#REF!</v>
      </c>
      <c r="AM83" s="2121" t="e">
        <f t="shared" ref="AM83:AN83" si="629">IF(AM78&gt;$J$80,AM78-AM80,IF(AM78&lt;$J$80,(IF(AM78&lt;0,-11.667,AM78-AM80))))</f>
        <v>#REF!</v>
      </c>
      <c r="AN83" s="2121" t="e">
        <f t="shared" si="629"/>
        <v>#REF!</v>
      </c>
      <c r="AO83" s="2121" t="e">
        <f t="shared" ref="AO83:AP83" si="630">IF(AO78&gt;$J$80,AO78-AO80,IF(AO78&lt;$J$80,(IF(AO78&lt;0,-11.667,AO78-AO80))))</f>
        <v>#REF!</v>
      </c>
      <c r="AP83" s="2121" t="e">
        <f t="shared" si="630"/>
        <v>#REF!</v>
      </c>
      <c r="AQ83" s="2121" t="e">
        <f t="shared" ref="AQ83:AR83" si="631">IF(AQ78&gt;$J$80,AQ78-AQ80,IF(AQ78&lt;$J$80,(IF(AQ78&lt;0,-11.667,AQ78-AQ80))))</f>
        <v>#REF!</v>
      </c>
      <c r="AR83" s="2124" t="e">
        <f t="shared" si="631"/>
        <v>#REF!</v>
      </c>
      <c r="AS83" s="2254"/>
      <c r="AT83" s="2120" t="e">
        <f t="shared" si="613"/>
        <v>#REF!</v>
      </c>
      <c r="AU83" s="2123"/>
      <c r="AV83" s="2124"/>
      <c r="AW83" s="1951"/>
      <c r="AX83" s="2120" t="e">
        <f t="shared" ref="AX83" si="632">IF(AX78&gt;$J$80,AX78-AX80,IF(AX78&lt;$J$80,(IF(AX78&lt;0,-11.667,AX78-AX80))))</f>
        <v>#REF!</v>
      </c>
      <c r="AY83" s="2123" t="e">
        <f t="shared" ref="AY83:BB83" si="633">IF(AY78&gt;$J$80,AY78-AY80,IF(AY78&lt;$J$80,(IF(AY78&lt;0,-11.667,AY78-AY80))))</f>
        <v>#REF!</v>
      </c>
      <c r="AZ83" s="2123" t="e">
        <f t="shared" si="633"/>
        <v>#REF!</v>
      </c>
      <c r="BA83" s="2123" t="e">
        <f t="shared" si="633"/>
        <v>#REF!</v>
      </c>
      <c r="BB83" s="2123" t="e">
        <f t="shared" si="633"/>
        <v>#REF!</v>
      </c>
      <c r="BC83" s="2123" t="e">
        <f t="shared" ref="BC83:BD83" si="634">IF(BC78&gt;$J$80,BC78-BC80,IF(BC78&lt;$J$80,(IF(BC78&lt;0,-11.667,BC78-BC80))))</f>
        <v>#REF!</v>
      </c>
      <c r="BD83" s="2121" t="e">
        <f t="shared" si="634"/>
        <v>#REF!</v>
      </c>
      <c r="BE83" s="1951"/>
      <c r="BF83" s="2120" t="e">
        <f t="shared" ref="BF83" si="635">SUM(AX83:BD83)</f>
        <v>#REF!</v>
      </c>
      <c r="BG83" s="2123"/>
      <c r="BH83" s="2124"/>
      <c r="BI83" s="1900"/>
      <c r="BJ83" s="2120" t="e">
        <f t="shared" ref="BJ83:BK83" si="636">IF(BJ78&gt;$J$80,BJ78-BJ80,IF(BJ78&lt;$J$80,(IF(BJ78&lt;0,-11.667,BJ78-BJ80))))</f>
        <v>#REF!</v>
      </c>
      <c r="BK83" s="2123" t="e">
        <f t="shared" si="636"/>
        <v>#REF!</v>
      </c>
      <c r="BL83" s="2317"/>
      <c r="BM83" s="2215" t="e">
        <f>SUM(BJ83:BK83)</f>
        <v>#REF!</v>
      </c>
      <c r="BN83" s="2318"/>
      <c r="BO83" s="2118"/>
      <c r="BP83" s="1897"/>
      <c r="BQ83" s="2215" t="e">
        <f>SUM(N83:T83)+SUM(Z83:AF83)+SUM(AL83:AR83)+SUM(AX83:BD83)+SUM(BJ83:BK83)</f>
        <v>#REF!</v>
      </c>
      <c r="BR83" s="2130" t="e">
        <f>BQ83/E80</f>
        <v>#REF!</v>
      </c>
      <c r="BS83" s="1900"/>
      <c r="BT83" s="1900"/>
      <c r="BU83" s="1900"/>
      <c r="BV83" s="2011"/>
    </row>
    <row r="84" spans="2:76" s="1756" customFormat="1" ht="17.25" thickBot="1" x14ac:dyDescent="0.25">
      <c r="B84" s="1817"/>
      <c r="C84" s="1817"/>
      <c r="D84" s="1817"/>
      <c r="E84" s="1814"/>
      <c r="F84" s="1814"/>
      <c r="G84" s="1814"/>
      <c r="H84" s="1814"/>
      <c r="I84" s="1814"/>
      <c r="J84" s="1814"/>
      <c r="K84" s="1818"/>
      <c r="L84" s="2216"/>
      <c r="M84" s="2055"/>
      <c r="N84" s="1814"/>
      <c r="O84" s="1814"/>
      <c r="P84" s="1814"/>
      <c r="Q84" s="1814"/>
      <c r="R84" s="1814"/>
      <c r="S84" s="1814"/>
      <c r="T84" s="1814"/>
      <c r="U84" s="1814"/>
      <c r="V84" s="1814"/>
      <c r="W84" s="1814"/>
      <c r="X84" s="1814"/>
      <c r="Y84" s="1766"/>
      <c r="Z84" s="1814"/>
      <c r="AA84" s="1814"/>
      <c r="AB84" s="1814"/>
      <c r="AC84" s="1814"/>
      <c r="AD84" s="1814"/>
      <c r="AE84" s="1814"/>
      <c r="AF84" s="1814"/>
      <c r="AG84" s="1766"/>
      <c r="AH84" s="1814"/>
      <c r="AI84" s="1814"/>
      <c r="AJ84" s="1814"/>
      <c r="AK84" s="1766"/>
      <c r="AL84" s="1814"/>
      <c r="AM84" s="1814"/>
      <c r="AN84" s="1814"/>
      <c r="AO84" s="1814"/>
      <c r="AP84" s="1814"/>
      <c r="AQ84" s="1814"/>
      <c r="AR84" s="1814"/>
      <c r="AS84" s="1814"/>
      <c r="AT84" s="1814"/>
      <c r="AU84" s="1814"/>
      <c r="AV84" s="1814"/>
      <c r="AW84" s="1814"/>
      <c r="AX84" s="1814"/>
      <c r="AY84" s="1814"/>
      <c r="AZ84" s="1814"/>
      <c r="BA84" s="1814"/>
      <c r="BB84" s="1814"/>
      <c r="BC84" s="1814"/>
      <c r="BD84" s="1814"/>
      <c r="BE84" s="1814"/>
      <c r="BF84" s="1814"/>
      <c r="BG84" s="1814"/>
      <c r="BH84" s="1814"/>
      <c r="BI84" s="1814"/>
      <c r="BJ84" s="1814"/>
      <c r="BK84" s="1814"/>
      <c r="BL84" s="1814"/>
      <c r="BM84" s="1814"/>
      <c r="BN84" s="1814"/>
      <c r="BO84" s="1814"/>
      <c r="BP84" s="1766"/>
      <c r="BQ84" s="1814"/>
      <c r="BR84" s="1830"/>
      <c r="BS84" s="2572"/>
      <c r="BT84" s="2572"/>
      <c r="BU84" s="2572"/>
      <c r="BV84" s="1817"/>
    </row>
    <row r="85" spans="2:76" s="1946" customFormat="1" x14ac:dyDescent="0.2">
      <c r="B85" s="2234"/>
      <c r="C85" s="2235" t="s">
        <v>212</v>
      </c>
      <c r="D85" s="2011"/>
      <c r="E85" s="2220">
        <f>C26</f>
        <v>2511</v>
      </c>
      <c r="F85" s="2236">
        <f t="shared" si="605"/>
        <v>251.1</v>
      </c>
      <c r="G85" s="2237">
        <f t="shared" ref="G85:G89" si="637">E85/15</f>
        <v>167.4</v>
      </c>
      <c r="H85" s="2238">
        <f>E85/20</f>
        <v>125.55</v>
      </c>
      <c r="I85" s="2239">
        <f t="shared" ref="I85:I89" si="638">E85/25</f>
        <v>100.44</v>
      </c>
      <c r="J85" s="2240">
        <f>E85/30</f>
        <v>83.7</v>
      </c>
      <c r="K85" s="2241">
        <f>J85*30%</f>
        <v>25.11</v>
      </c>
      <c r="L85" s="2213"/>
      <c r="M85" s="2214"/>
      <c r="N85" s="4552" t="e">
        <f>IF(N51&gt;0,"0.000",N51)</f>
        <v>#REF!</v>
      </c>
      <c r="O85" s="4554" t="e">
        <f t="shared" ref="O85:T85" si="639">IF(O51&gt;0,"0.000",O51)</f>
        <v>#REF!</v>
      </c>
      <c r="P85" s="4554" t="e">
        <f t="shared" si="639"/>
        <v>#REF!</v>
      </c>
      <c r="Q85" s="4554" t="e">
        <f t="shared" si="639"/>
        <v>#REF!</v>
      </c>
      <c r="R85" s="4554" t="e">
        <f t="shared" si="639"/>
        <v>#REF!</v>
      </c>
      <c r="S85" s="4554" t="e">
        <f t="shared" si="639"/>
        <v>#REF!</v>
      </c>
      <c r="T85" s="4547" t="e">
        <f t="shared" si="639"/>
        <v>#REF!</v>
      </c>
      <c r="U85" s="2574"/>
      <c r="V85" s="4552" t="e">
        <f t="shared" si="28"/>
        <v>#REF!</v>
      </c>
      <c r="W85" s="4554"/>
      <c r="X85" s="4547"/>
      <c r="Y85" s="1897"/>
      <c r="Z85" s="4552" t="e">
        <f t="shared" ref="Z85:AF85" si="640">IF(Z51&gt;0,"0.000",Z51)</f>
        <v>#REF!</v>
      </c>
      <c r="AA85" s="4554" t="e">
        <f t="shared" si="640"/>
        <v>#REF!</v>
      </c>
      <c r="AB85" s="4554" t="e">
        <f t="shared" si="640"/>
        <v>#REF!</v>
      </c>
      <c r="AC85" s="4554" t="e">
        <f t="shared" si="640"/>
        <v>#REF!</v>
      </c>
      <c r="AD85" s="4554" t="e">
        <f t="shared" si="640"/>
        <v>#REF!</v>
      </c>
      <c r="AE85" s="4554" t="e">
        <f t="shared" si="640"/>
        <v>#REF!</v>
      </c>
      <c r="AF85" s="4547" t="e">
        <f t="shared" si="640"/>
        <v>#REF!</v>
      </c>
      <c r="AG85" s="1897"/>
      <c r="AH85" s="4552" t="e">
        <f t="shared" ref="AH85:AH90" si="641">SUM(Z85:AF85)</f>
        <v>#REF!</v>
      </c>
      <c r="AI85" s="4554"/>
      <c r="AJ85" s="4547"/>
      <c r="AK85" s="1897"/>
      <c r="AL85" s="4552" t="e">
        <f t="shared" ref="AL85:AR85" si="642">IF(AL51&gt;0,"0.000",AL51)</f>
        <v>#REF!</v>
      </c>
      <c r="AM85" s="4554" t="e">
        <f t="shared" si="642"/>
        <v>#REF!</v>
      </c>
      <c r="AN85" s="4554" t="e">
        <f t="shared" si="642"/>
        <v>#REF!</v>
      </c>
      <c r="AO85" s="4554" t="e">
        <f t="shared" si="642"/>
        <v>#REF!</v>
      </c>
      <c r="AP85" s="4554" t="e">
        <f t="shared" si="642"/>
        <v>#REF!</v>
      </c>
      <c r="AQ85" s="4554" t="e">
        <f t="shared" si="642"/>
        <v>#REF!</v>
      </c>
      <c r="AR85" s="4547" t="e">
        <f t="shared" si="642"/>
        <v>#REF!</v>
      </c>
      <c r="AS85" s="2574"/>
      <c r="AT85" s="4552" t="e">
        <f t="shared" ref="AT85:AT90" si="643">SUM(AL85:AR85)</f>
        <v>#REF!</v>
      </c>
      <c r="AU85" s="4554"/>
      <c r="AV85" s="4547"/>
      <c r="AW85" s="2574"/>
      <c r="AX85" s="4552" t="e">
        <f t="shared" ref="AX85:BD85" si="644">IF(AX51&gt;0,"0.000",AX51)</f>
        <v>#REF!</v>
      </c>
      <c r="AY85" s="4554" t="e">
        <f t="shared" si="644"/>
        <v>#REF!</v>
      </c>
      <c r="AZ85" s="4554" t="e">
        <f t="shared" si="644"/>
        <v>#REF!</v>
      </c>
      <c r="BA85" s="4554" t="e">
        <f t="shared" si="644"/>
        <v>#REF!</v>
      </c>
      <c r="BB85" s="4554" t="e">
        <f t="shared" si="644"/>
        <v>#REF!</v>
      </c>
      <c r="BC85" s="4554" t="e">
        <f t="shared" si="644"/>
        <v>#REF!</v>
      </c>
      <c r="BD85" s="4547" t="e">
        <f t="shared" si="644"/>
        <v>#REF!</v>
      </c>
      <c r="BE85" s="2574"/>
      <c r="BF85" s="4552" t="e">
        <f t="shared" ref="BF85:BF90" si="645">SUM(AX85:BD85)</f>
        <v>#REF!</v>
      </c>
      <c r="BG85" s="4554"/>
      <c r="BH85" s="4547"/>
      <c r="BI85" s="2574"/>
      <c r="BJ85" s="4552" t="e">
        <f>IF(BJ51&gt;0,"0.000",BJ51)</f>
        <v>#REF!</v>
      </c>
      <c r="BK85" s="4547" t="e">
        <f>IF(BK51&gt;0,"0.000",BK51)</f>
        <v>#REF!</v>
      </c>
      <c r="BL85" s="2574"/>
      <c r="BM85" s="4552" t="e">
        <f>SUM(BJ85:BK85)</f>
        <v>#REF!</v>
      </c>
      <c r="BN85" s="4554"/>
      <c r="BO85" s="4547"/>
      <c r="BP85" s="1885"/>
      <c r="BQ85" s="4552" t="e">
        <f>SUM(N85:T85)+SUM(Z85:AF85)+SUM(AL85:AR85)+SUM(AX85:BD85)+SUM(BJ85:BK85)</f>
        <v>#REF!</v>
      </c>
      <c r="BR85" s="4547"/>
      <c r="BS85" s="1900"/>
      <c r="BT85" s="2574"/>
      <c r="BU85" s="2010"/>
      <c r="BV85" s="2010"/>
      <c r="BW85" s="2573"/>
    </row>
    <row r="86" spans="2:76" s="1860" customFormat="1" ht="17.25" thickBot="1" x14ac:dyDescent="0.25">
      <c r="B86" s="2355"/>
      <c r="C86" s="2356" t="s">
        <v>213</v>
      </c>
      <c r="D86" s="1861"/>
      <c r="E86" s="1939">
        <f>C47</f>
        <v>11355.111111111108</v>
      </c>
      <c r="F86" s="2361"/>
      <c r="G86" s="2362"/>
      <c r="H86" s="2363"/>
      <c r="I86" s="2364"/>
      <c r="J86" s="2365">
        <f>E86/30</f>
        <v>378.50370370370359</v>
      </c>
      <c r="K86" s="2366">
        <f>J86*30%</f>
        <v>113.55111111111107</v>
      </c>
      <c r="L86" s="2216"/>
      <c r="M86" s="2055"/>
      <c r="N86" s="4557"/>
      <c r="O86" s="4556"/>
      <c r="P86" s="4556"/>
      <c r="Q86" s="4556"/>
      <c r="R86" s="4556"/>
      <c r="S86" s="4556"/>
      <c r="T86" s="4548"/>
      <c r="U86" s="2575"/>
      <c r="V86" s="4557"/>
      <c r="W86" s="4556"/>
      <c r="X86" s="4548"/>
      <c r="Y86" s="1862"/>
      <c r="Z86" s="4557"/>
      <c r="AA86" s="4556"/>
      <c r="AB86" s="4556"/>
      <c r="AC86" s="4556"/>
      <c r="AD86" s="4556"/>
      <c r="AE86" s="4556"/>
      <c r="AF86" s="4548"/>
      <c r="AG86" s="1862"/>
      <c r="AH86" s="4557"/>
      <c r="AI86" s="4556"/>
      <c r="AJ86" s="4548"/>
      <c r="AK86" s="1862"/>
      <c r="AL86" s="4557"/>
      <c r="AM86" s="4556"/>
      <c r="AN86" s="4556"/>
      <c r="AO86" s="4556"/>
      <c r="AP86" s="4556"/>
      <c r="AQ86" s="4556"/>
      <c r="AR86" s="4548"/>
      <c r="AS86" s="2575"/>
      <c r="AT86" s="4557"/>
      <c r="AU86" s="4556"/>
      <c r="AV86" s="4548"/>
      <c r="AW86" s="2575"/>
      <c r="AX86" s="4557"/>
      <c r="AY86" s="4556"/>
      <c r="AZ86" s="4556"/>
      <c r="BA86" s="4556"/>
      <c r="BB86" s="4556"/>
      <c r="BC86" s="4556"/>
      <c r="BD86" s="4548"/>
      <c r="BE86" s="2575"/>
      <c r="BF86" s="4557"/>
      <c r="BG86" s="4556"/>
      <c r="BH86" s="4548"/>
      <c r="BI86" s="2575"/>
      <c r="BJ86" s="4557"/>
      <c r="BK86" s="4548"/>
      <c r="BL86" s="2575"/>
      <c r="BM86" s="4557"/>
      <c r="BN86" s="4556"/>
      <c r="BO86" s="4548"/>
      <c r="BP86" s="1726"/>
      <c r="BQ86" s="4557"/>
      <c r="BR86" s="4548"/>
      <c r="BS86" s="1740"/>
      <c r="BT86" s="2575"/>
      <c r="BU86" s="1997"/>
      <c r="BV86" s="1997"/>
      <c r="BW86" s="2577"/>
    </row>
    <row r="87" spans="2:76" s="1860" customFormat="1" ht="5.25" customHeight="1" thickBot="1" x14ac:dyDescent="0.25">
      <c r="B87" s="1861"/>
      <c r="C87" s="1861"/>
      <c r="D87" s="1861"/>
      <c r="E87" s="1814"/>
      <c r="F87" s="2367"/>
      <c r="G87" s="2368"/>
      <c r="H87" s="2369"/>
      <c r="I87" s="2370"/>
      <c r="J87" s="1814"/>
      <c r="K87" s="1818"/>
      <c r="L87" s="2055"/>
      <c r="M87" s="2055"/>
      <c r="N87" s="2574"/>
      <c r="O87" s="2574"/>
      <c r="P87" s="2574"/>
      <c r="Q87" s="2574"/>
      <c r="R87" s="2574"/>
      <c r="S87" s="2574"/>
      <c r="T87" s="2574"/>
      <c r="U87" s="2575"/>
      <c r="V87" s="2574"/>
      <c r="W87" s="2574"/>
      <c r="X87" s="2574"/>
      <c r="Y87" s="1862"/>
      <c r="Z87" s="2574"/>
      <c r="AA87" s="2574"/>
      <c r="AB87" s="2574"/>
      <c r="AC87" s="2574"/>
      <c r="AD87" s="2574"/>
      <c r="AE87" s="2574"/>
      <c r="AF87" s="2574"/>
      <c r="AG87" s="1862"/>
      <c r="AH87" s="2574"/>
      <c r="AI87" s="2574"/>
      <c r="AJ87" s="2574"/>
      <c r="AK87" s="1862"/>
      <c r="AL87" s="2574"/>
      <c r="AM87" s="2574"/>
      <c r="AN87" s="2574"/>
      <c r="AO87" s="2574"/>
      <c r="AP87" s="2574"/>
      <c r="AQ87" s="2574"/>
      <c r="AR87" s="2574"/>
      <c r="AS87" s="2575"/>
      <c r="AT87" s="2574"/>
      <c r="AU87" s="2574"/>
      <c r="AV87" s="2574"/>
      <c r="AW87" s="2575"/>
      <c r="AX87" s="2575"/>
      <c r="AY87" s="2575"/>
      <c r="AZ87" s="2575"/>
      <c r="BA87" s="2575"/>
      <c r="BB87" s="2575"/>
      <c r="BC87" s="2575"/>
      <c r="BD87" s="2575"/>
      <c r="BE87" s="2575"/>
      <c r="BF87" s="2575"/>
      <c r="BG87" s="2575"/>
      <c r="BH87" s="2575"/>
      <c r="BI87" s="2575"/>
      <c r="BJ87" s="2604"/>
      <c r="BK87" s="2604"/>
      <c r="BL87" s="2575"/>
      <c r="BM87" s="2604"/>
      <c r="BN87" s="2604"/>
      <c r="BO87" s="2604"/>
      <c r="BQ87" s="2574"/>
      <c r="BR87" s="2575"/>
      <c r="BS87" s="1861"/>
      <c r="BT87" s="2575"/>
      <c r="BU87" s="1997"/>
      <c r="BV87" s="1997"/>
      <c r="BW87" s="2577"/>
    </row>
    <row r="88" spans="2:76" s="1885" customFormat="1" x14ac:dyDescent="0.2">
      <c r="B88" s="2234"/>
      <c r="C88" s="2235" t="s">
        <v>143</v>
      </c>
      <c r="D88" s="2011"/>
      <c r="E88" s="2220">
        <f>E77</f>
        <v>6805.7199999999993</v>
      </c>
      <c r="F88" s="2236">
        <f t="shared" si="605"/>
        <v>680.57199999999989</v>
      </c>
      <c r="G88" s="2237">
        <f t="shared" si="637"/>
        <v>453.71466666666663</v>
      </c>
      <c r="H88" s="2238">
        <f t="shared" ref="H88:H89" si="646">E88/20</f>
        <v>340.28599999999994</v>
      </c>
      <c r="I88" s="2239">
        <f t="shared" si="638"/>
        <v>272.22879999999998</v>
      </c>
      <c r="J88" s="2240">
        <f>E88/30</f>
        <v>226.85733333333332</v>
      </c>
      <c r="K88" s="2241">
        <f>J88*30%</f>
        <v>68.057199999999995</v>
      </c>
      <c r="L88" s="2213"/>
      <c r="M88" s="2214"/>
      <c r="N88" s="2319" t="e">
        <f>IF(N78&gt;0,"0.000",N78)</f>
        <v>#REF!</v>
      </c>
      <c r="O88" s="2320" t="e">
        <f>IF(O78&gt;0,"0.000",O78)</f>
        <v>#REF!</v>
      </c>
      <c r="P88" s="2320" t="e">
        <f t="shared" ref="P88:T88" si="647">IF(P78&gt;0,"0.000",P78)</f>
        <v>#REF!</v>
      </c>
      <c r="Q88" s="2320" t="e">
        <f t="shared" si="647"/>
        <v>#REF!</v>
      </c>
      <c r="R88" s="2320" t="e">
        <f t="shared" si="647"/>
        <v>#REF!</v>
      </c>
      <c r="S88" s="2320" t="e">
        <f t="shared" si="647"/>
        <v>#REF!</v>
      </c>
      <c r="T88" s="2242" t="e">
        <f t="shared" si="647"/>
        <v>#REF!</v>
      </c>
      <c r="U88" s="2574"/>
      <c r="V88" s="2319" t="e">
        <f t="shared" si="28"/>
        <v>#REF!</v>
      </c>
      <c r="W88" s="2320"/>
      <c r="X88" s="2242"/>
      <c r="Y88" s="1897"/>
      <c r="Z88" s="2319" t="e">
        <f t="shared" ref="Z88:AF88" si="648">IF(Z78&gt;0,"0.000",Z78)</f>
        <v>#REF!</v>
      </c>
      <c r="AA88" s="2320" t="e">
        <f t="shared" si="648"/>
        <v>#REF!</v>
      </c>
      <c r="AB88" s="2320" t="e">
        <f t="shared" si="648"/>
        <v>#REF!</v>
      </c>
      <c r="AC88" s="2320" t="e">
        <f t="shared" si="648"/>
        <v>#REF!</v>
      </c>
      <c r="AD88" s="2320" t="e">
        <f t="shared" si="648"/>
        <v>#REF!</v>
      </c>
      <c r="AE88" s="2320" t="e">
        <f t="shared" si="648"/>
        <v>#REF!</v>
      </c>
      <c r="AF88" s="2242" t="e">
        <f t="shared" si="648"/>
        <v>#REF!</v>
      </c>
      <c r="AG88" s="1897"/>
      <c r="AH88" s="2319" t="e">
        <f>SUM(Z88:AF88)</f>
        <v>#REF!</v>
      </c>
      <c r="AI88" s="2320"/>
      <c r="AJ88" s="2242"/>
      <c r="AK88" s="1897"/>
      <c r="AL88" s="2319" t="e">
        <f t="shared" ref="AL88:AR88" si="649">IF(AL78&gt;0,"0.000",AL78)</f>
        <v>#REF!</v>
      </c>
      <c r="AM88" s="2320" t="e">
        <f t="shared" si="649"/>
        <v>#REF!</v>
      </c>
      <c r="AN88" s="2320" t="e">
        <f t="shared" si="649"/>
        <v>#REF!</v>
      </c>
      <c r="AO88" s="2320" t="e">
        <f t="shared" si="649"/>
        <v>#REF!</v>
      </c>
      <c r="AP88" s="2320" t="e">
        <f t="shared" si="649"/>
        <v>#REF!</v>
      </c>
      <c r="AQ88" s="2320" t="e">
        <f t="shared" si="649"/>
        <v>#REF!</v>
      </c>
      <c r="AR88" s="2242" t="e">
        <f t="shared" si="649"/>
        <v>#REF!</v>
      </c>
      <c r="AS88" s="2574"/>
      <c r="AT88" s="2319" t="e">
        <f t="shared" si="643"/>
        <v>#REF!</v>
      </c>
      <c r="AU88" s="2320"/>
      <c r="AV88" s="2242"/>
      <c r="AW88" s="2574"/>
      <c r="AX88" s="2319" t="e">
        <f t="shared" ref="AX88:BD88" si="650">IF(AX78&gt;0,"0.000",AX78)</f>
        <v>#REF!</v>
      </c>
      <c r="AY88" s="2320" t="e">
        <f t="shared" si="650"/>
        <v>#REF!</v>
      </c>
      <c r="AZ88" s="2320" t="e">
        <f t="shared" si="650"/>
        <v>#REF!</v>
      </c>
      <c r="BA88" s="2320" t="e">
        <f t="shared" si="650"/>
        <v>#REF!</v>
      </c>
      <c r="BB88" s="2320" t="e">
        <f t="shared" si="650"/>
        <v>#REF!</v>
      </c>
      <c r="BC88" s="2320" t="e">
        <f t="shared" si="650"/>
        <v>#REF!</v>
      </c>
      <c r="BD88" s="2242" t="e">
        <f t="shared" si="650"/>
        <v>#REF!</v>
      </c>
      <c r="BE88" s="2574"/>
      <c r="BF88" s="2319" t="e">
        <f t="shared" si="645"/>
        <v>#REF!</v>
      </c>
      <c r="BG88" s="2320"/>
      <c r="BH88" s="2242"/>
      <c r="BI88" s="2574"/>
      <c r="BJ88" s="2319" t="e">
        <f>IF(BJ78&gt;0,"0.000",BJ78)</f>
        <v>#REF!</v>
      </c>
      <c r="BK88" s="2433" t="e">
        <f>IF(BK78&gt;0,"0.000",BK78)</f>
        <v>#REF!</v>
      </c>
      <c r="BL88" s="2574"/>
      <c r="BM88" s="2319" t="e">
        <f>SUM(BJ88:BK88)</f>
        <v>#REF!</v>
      </c>
      <c r="BN88" s="2320"/>
      <c r="BO88" s="2242"/>
      <c r="BQ88" s="2381" t="e">
        <f>SUM(N88:T88)+SUM(Z88:AF88)+SUM(AL88:AR88)+SUM(AX88:BD88)+SUM(BJ88:BK88)</f>
        <v>#REF!</v>
      </c>
      <c r="BR88" s="2242"/>
      <c r="BS88" s="1900"/>
      <c r="BT88" s="2574"/>
      <c r="BU88" s="2251"/>
      <c r="BV88" s="2251"/>
      <c r="BW88" s="2252"/>
    </row>
    <row r="89" spans="2:76" s="1726" customFormat="1" ht="17.25" thickBot="1" x14ac:dyDescent="0.25">
      <c r="B89" s="2357"/>
      <c r="C89" s="2358" t="s">
        <v>178</v>
      </c>
      <c r="D89" s="1861"/>
      <c r="E89" s="2539">
        <f>E81</f>
        <v>1166.6666666666667</v>
      </c>
      <c r="F89" s="2540">
        <f t="shared" si="605"/>
        <v>116.66666666666667</v>
      </c>
      <c r="G89" s="2541">
        <f t="shared" si="637"/>
        <v>77.777777777777786</v>
      </c>
      <c r="H89" s="2542">
        <f t="shared" si="646"/>
        <v>58.333333333333336</v>
      </c>
      <c r="I89" s="2543">
        <f t="shared" si="638"/>
        <v>46.666666666666671</v>
      </c>
      <c r="J89" s="2544">
        <f>E89/30</f>
        <v>38.888888888888893</v>
      </c>
      <c r="K89" s="2545">
        <f>J89*30%</f>
        <v>11.666666666666668</v>
      </c>
      <c r="L89" s="2216"/>
      <c r="M89" s="2055"/>
      <c r="N89" s="1734" t="e">
        <f>IF(N83&gt;0,"0.000",N83)</f>
        <v>#REF!</v>
      </c>
      <c r="O89" s="1732" t="e">
        <f t="shared" ref="O89:T89" si="651">IF(O83&gt;0,"0.000",O83)</f>
        <v>#REF!</v>
      </c>
      <c r="P89" s="1732" t="e">
        <f t="shared" si="651"/>
        <v>#REF!</v>
      </c>
      <c r="Q89" s="1732" t="e">
        <f t="shared" si="651"/>
        <v>#REF!</v>
      </c>
      <c r="R89" s="1732" t="e">
        <f t="shared" si="651"/>
        <v>#REF!</v>
      </c>
      <c r="S89" s="1732" t="e">
        <f t="shared" si="651"/>
        <v>#REF!</v>
      </c>
      <c r="T89" s="1736" t="e">
        <f t="shared" si="651"/>
        <v>#REF!</v>
      </c>
      <c r="U89" s="2575"/>
      <c r="V89" s="1734" t="e">
        <f t="shared" si="28"/>
        <v>#REF!</v>
      </c>
      <c r="W89" s="1732"/>
      <c r="X89" s="1736"/>
      <c r="Y89" s="1862"/>
      <c r="Z89" s="1734" t="e">
        <f t="shared" ref="Z89:AF89" si="652">IF(Z83&gt;0,"0.000",Z83)</f>
        <v>#REF!</v>
      </c>
      <c r="AA89" s="1732" t="e">
        <f t="shared" si="652"/>
        <v>#REF!</v>
      </c>
      <c r="AB89" s="1732" t="e">
        <f t="shared" si="652"/>
        <v>#REF!</v>
      </c>
      <c r="AC89" s="1732" t="e">
        <f t="shared" si="652"/>
        <v>#REF!</v>
      </c>
      <c r="AD89" s="1732" t="e">
        <f t="shared" si="652"/>
        <v>#REF!</v>
      </c>
      <c r="AE89" s="1732" t="e">
        <f t="shared" si="652"/>
        <v>#REF!</v>
      </c>
      <c r="AF89" s="1736" t="e">
        <f t="shared" si="652"/>
        <v>#REF!</v>
      </c>
      <c r="AG89" s="1862"/>
      <c r="AH89" s="1734" t="e">
        <f t="shared" si="641"/>
        <v>#REF!</v>
      </c>
      <c r="AI89" s="1732"/>
      <c r="AJ89" s="1736"/>
      <c r="AK89" s="1862"/>
      <c r="AL89" s="1734" t="e">
        <f t="shared" ref="AL89:AR89" si="653">IF(AL83&gt;0,"0.000",AL83)</f>
        <v>#REF!</v>
      </c>
      <c r="AM89" s="1732" t="e">
        <f t="shared" si="653"/>
        <v>#REF!</v>
      </c>
      <c r="AN89" s="1732" t="e">
        <f t="shared" si="653"/>
        <v>#REF!</v>
      </c>
      <c r="AO89" s="1732" t="e">
        <f t="shared" si="653"/>
        <v>#REF!</v>
      </c>
      <c r="AP89" s="1732" t="e">
        <f t="shared" si="653"/>
        <v>#REF!</v>
      </c>
      <c r="AQ89" s="1732" t="e">
        <f t="shared" si="653"/>
        <v>#REF!</v>
      </c>
      <c r="AR89" s="1736" t="e">
        <f t="shared" si="653"/>
        <v>#REF!</v>
      </c>
      <c r="AS89" s="2575"/>
      <c r="AT89" s="1734" t="e">
        <f t="shared" si="643"/>
        <v>#REF!</v>
      </c>
      <c r="AU89" s="1732"/>
      <c r="AV89" s="1736"/>
      <c r="AW89" s="2575"/>
      <c r="AX89" s="1734" t="e">
        <f t="shared" ref="AX89:BD89" si="654">IF(AX83&gt;0,"0.000",AX83)</f>
        <v>#REF!</v>
      </c>
      <c r="AY89" s="1732" t="e">
        <f t="shared" si="654"/>
        <v>#REF!</v>
      </c>
      <c r="AZ89" s="1732" t="e">
        <f t="shared" si="654"/>
        <v>#REF!</v>
      </c>
      <c r="BA89" s="1732" t="e">
        <f t="shared" si="654"/>
        <v>#REF!</v>
      </c>
      <c r="BB89" s="1732" t="e">
        <f t="shared" si="654"/>
        <v>#REF!</v>
      </c>
      <c r="BC89" s="1732" t="e">
        <f t="shared" si="654"/>
        <v>#REF!</v>
      </c>
      <c r="BD89" s="1736" t="e">
        <f t="shared" si="654"/>
        <v>#REF!</v>
      </c>
      <c r="BE89" s="2575"/>
      <c r="BF89" s="1734" t="e">
        <f t="shared" si="645"/>
        <v>#REF!</v>
      </c>
      <c r="BG89" s="1732"/>
      <c r="BH89" s="1736"/>
      <c r="BI89" s="2575"/>
      <c r="BJ89" s="1734" t="e">
        <f>IF(BJ83&gt;0,"0.000",BJ83)</f>
        <v>#REF!</v>
      </c>
      <c r="BK89" s="2538" t="e">
        <f>IF(BK83&gt;0,"0.000",BK83)</f>
        <v>#REF!</v>
      </c>
      <c r="BL89" s="2575"/>
      <c r="BM89" s="1734" t="e">
        <f>SUM(BJ89:BK89)</f>
        <v>#REF!</v>
      </c>
      <c r="BN89" s="1732"/>
      <c r="BO89" s="1736"/>
      <c r="BQ89" s="1734" t="e">
        <f>SUM(N89:T89)+SUM(Z89:AF89)+SUM(AL89:AR89)+SUM(AX89:BD89)+SUM(BJ89:BK89)</f>
        <v>#REF!</v>
      </c>
      <c r="BR89" s="1736"/>
      <c r="BS89" s="1740"/>
      <c r="BT89" s="2575"/>
      <c r="BU89" s="2246"/>
      <c r="BV89" s="2246"/>
      <c r="BW89" s="2247"/>
    </row>
    <row r="90" spans="2:76" s="1885" customFormat="1" ht="17.25" thickBot="1" x14ac:dyDescent="0.25">
      <c r="B90" s="2359"/>
      <c r="C90" s="2360" t="s">
        <v>215</v>
      </c>
      <c r="D90" s="2011"/>
      <c r="E90" s="2546">
        <f>E88+E89</f>
        <v>7972.3866666666663</v>
      </c>
      <c r="F90" s="2547"/>
      <c r="G90" s="2548"/>
      <c r="H90" s="2549"/>
      <c r="I90" s="2550"/>
      <c r="J90" s="2551">
        <f>J88+J89</f>
        <v>265.74622222222223</v>
      </c>
      <c r="K90" s="2552">
        <f>K88+K89</f>
        <v>79.723866666666666</v>
      </c>
      <c r="L90" s="2213"/>
      <c r="M90" s="2214"/>
      <c r="N90" s="2248" t="e">
        <f>IF(N83&lt;0,"0.000",N83)</f>
        <v>#REF!</v>
      </c>
      <c r="O90" s="2249" t="e">
        <f t="shared" ref="O90:T90" si="655">IF(O83&lt;0,"0.000",O83)</f>
        <v>#REF!</v>
      </c>
      <c r="P90" s="2249" t="e">
        <f t="shared" si="655"/>
        <v>#REF!</v>
      </c>
      <c r="Q90" s="2249" t="e">
        <f t="shared" si="655"/>
        <v>#REF!</v>
      </c>
      <c r="R90" s="2249" t="e">
        <f t="shared" si="655"/>
        <v>#REF!</v>
      </c>
      <c r="S90" s="2249" t="e">
        <f t="shared" si="655"/>
        <v>#REF!</v>
      </c>
      <c r="T90" s="2250" t="e">
        <f t="shared" si="655"/>
        <v>#REF!</v>
      </c>
      <c r="U90" s="2574"/>
      <c r="V90" s="2248" t="e">
        <f t="shared" si="28"/>
        <v>#REF!</v>
      </c>
      <c r="W90" s="2249"/>
      <c r="X90" s="2250"/>
      <c r="Y90" s="1897"/>
      <c r="Z90" s="2248" t="e">
        <f t="shared" ref="Z90:AF90" si="656">IF(Z83&lt;0,"0.000",Z83)</f>
        <v>#REF!</v>
      </c>
      <c r="AA90" s="2249" t="e">
        <f t="shared" si="656"/>
        <v>#REF!</v>
      </c>
      <c r="AB90" s="2249" t="e">
        <f t="shared" si="656"/>
        <v>#REF!</v>
      </c>
      <c r="AC90" s="2249" t="e">
        <f t="shared" si="656"/>
        <v>#REF!</v>
      </c>
      <c r="AD90" s="2249" t="e">
        <f t="shared" si="656"/>
        <v>#REF!</v>
      </c>
      <c r="AE90" s="2249" t="e">
        <f t="shared" si="656"/>
        <v>#REF!</v>
      </c>
      <c r="AF90" s="2250" t="e">
        <f t="shared" si="656"/>
        <v>#REF!</v>
      </c>
      <c r="AG90" s="1897"/>
      <c r="AH90" s="2248" t="e">
        <f t="shared" si="641"/>
        <v>#REF!</v>
      </c>
      <c r="AI90" s="2249"/>
      <c r="AJ90" s="2250"/>
      <c r="AK90" s="1897"/>
      <c r="AL90" s="2248" t="e">
        <f t="shared" ref="AL90:AR90" si="657">IF(AL83&lt;0,"0.000",AL83)</f>
        <v>#REF!</v>
      </c>
      <c r="AM90" s="2249" t="e">
        <f t="shared" si="657"/>
        <v>#REF!</v>
      </c>
      <c r="AN90" s="2249" t="e">
        <f t="shared" si="657"/>
        <v>#REF!</v>
      </c>
      <c r="AO90" s="2249" t="e">
        <f t="shared" si="657"/>
        <v>#REF!</v>
      </c>
      <c r="AP90" s="2249" t="e">
        <f t="shared" si="657"/>
        <v>#REF!</v>
      </c>
      <c r="AQ90" s="2249" t="e">
        <f t="shared" si="657"/>
        <v>#REF!</v>
      </c>
      <c r="AR90" s="2250" t="e">
        <f t="shared" si="657"/>
        <v>#REF!</v>
      </c>
      <c r="AS90" s="2574"/>
      <c r="AT90" s="2248" t="e">
        <f t="shared" si="643"/>
        <v>#REF!</v>
      </c>
      <c r="AU90" s="2249"/>
      <c r="AV90" s="2250"/>
      <c r="AW90" s="2574"/>
      <c r="AX90" s="2248" t="e">
        <f t="shared" ref="AX90:BD90" si="658">IF(AX83&lt;0,"0.000",AX83)</f>
        <v>#REF!</v>
      </c>
      <c r="AY90" s="2249" t="e">
        <f t="shared" si="658"/>
        <v>#REF!</v>
      </c>
      <c r="AZ90" s="2249" t="e">
        <f t="shared" si="658"/>
        <v>#REF!</v>
      </c>
      <c r="BA90" s="2249" t="e">
        <f t="shared" si="658"/>
        <v>#REF!</v>
      </c>
      <c r="BB90" s="2249" t="e">
        <f t="shared" si="658"/>
        <v>#REF!</v>
      </c>
      <c r="BC90" s="2249" t="e">
        <f t="shared" si="658"/>
        <v>#REF!</v>
      </c>
      <c r="BD90" s="2250" t="e">
        <f t="shared" si="658"/>
        <v>#REF!</v>
      </c>
      <c r="BE90" s="2574"/>
      <c r="BF90" s="2248" t="e">
        <f t="shared" si="645"/>
        <v>#REF!</v>
      </c>
      <c r="BG90" s="2249"/>
      <c r="BH90" s="2250"/>
      <c r="BI90" s="2574"/>
      <c r="BJ90" s="2248" t="e">
        <f>IF(BJ83&lt;0,"0.000",BJ83)</f>
        <v>#REF!</v>
      </c>
      <c r="BK90" s="2499" t="e">
        <f>IF(BK83&lt;0,"0.000",BK83)</f>
        <v>#REF!</v>
      </c>
      <c r="BL90" s="2574"/>
      <c r="BM90" s="2248" t="e">
        <f>SUM(BJ90:BK90)</f>
        <v>#REF!</v>
      </c>
      <c r="BN90" s="2249"/>
      <c r="BO90" s="2250"/>
      <c r="BQ90" s="2248" t="e">
        <f>SUM(N90:T90)+SUM(Z90:AF90)+SUM(AL90:AR90)+SUM(AX90:BD90)+SUM(BJ90:BK90)</f>
        <v>#REF!</v>
      </c>
      <c r="BR90" s="2250"/>
      <c r="BS90" s="1900"/>
      <c r="BT90" s="2574"/>
      <c r="BU90" s="2251"/>
      <c r="BV90" s="2251"/>
      <c r="BW90" s="2252"/>
    </row>
    <row r="91" spans="2:76" s="1726" customFormat="1" ht="4.5" customHeight="1" thickBot="1" x14ac:dyDescent="0.25">
      <c r="B91" s="1740"/>
      <c r="C91" s="1740"/>
      <c r="D91" s="1861"/>
      <c r="E91" s="1740"/>
      <c r="F91" s="1740"/>
      <c r="G91" s="1740"/>
      <c r="H91" s="1740"/>
      <c r="I91" s="1740"/>
      <c r="J91" s="1740"/>
      <c r="K91" s="1997"/>
      <c r="L91" s="1760"/>
      <c r="M91" s="2577"/>
      <c r="N91" s="1740"/>
      <c r="O91" s="1740"/>
      <c r="P91" s="1740"/>
      <c r="Q91" s="1740"/>
      <c r="R91" s="1740"/>
      <c r="S91" s="1740"/>
      <c r="T91" s="1740"/>
      <c r="U91" s="1861"/>
      <c r="V91" s="1740"/>
      <c r="W91" s="1740"/>
      <c r="X91" s="1740"/>
      <c r="Y91" s="1860"/>
      <c r="Z91" s="1740"/>
      <c r="AA91" s="1740"/>
      <c r="AB91" s="1740"/>
      <c r="AC91" s="1740"/>
      <c r="AD91" s="1740"/>
      <c r="AE91" s="1740"/>
      <c r="AF91" s="1740"/>
      <c r="AG91" s="1860"/>
      <c r="AH91" s="1740"/>
      <c r="AI91" s="1740"/>
      <c r="AJ91" s="1740"/>
      <c r="AK91" s="1860"/>
      <c r="AL91" s="1740"/>
      <c r="AM91" s="1740"/>
      <c r="AN91" s="1740"/>
      <c r="AO91" s="1740"/>
      <c r="AP91" s="1740"/>
      <c r="AQ91" s="1740"/>
      <c r="AR91" s="1740"/>
      <c r="AS91" s="1861"/>
      <c r="AT91" s="1740"/>
      <c r="AU91" s="1740"/>
      <c r="AV91" s="1740"/>
      <c r="AW91" s="1861"/>
      <c r="AX91" s="1740"/>
      <c r="AY91" s="1740"/>
      <c r="AZ91" s="1740"/>
      <c r="BA91" s="1740"/>
      <c r="BB91" s="1740"/>
      <c r="BC91" s="1740"/>
      <c r="BD91" s="1740"/>
      <c r="BE91" s="1861"/>
      <c r="BF91" s="1740"/>
      <c r="BG91" s="1740"/>
      <c r="BH91" s="1740"/>
      <c r="BI91" s="1740"/>
      <c r="BJ91" s="1740"/>
      <c r="BK91" s="1740"/>
      <c r="BL91" s="1740"/>
      <c r="BM91" s="1740"/>
      <c r="BN91" s="1740"/>
      <c r="BO91" s="1740"/>
      <c r="BQ91" s="1740"/>
      <c r="BR91" s="1740"/>
      <c r="BS91" s="1740"/>
      <c r="BT91" s="1740"/>
      <c r="BU91" s="1740"/>
      <c r="BV91" s="1861"/>
    </row>
    <row r="92" spans="2:76" s="1726" customFormat="1" ht="17.25" thickBot="1" x14ac:dyDescent="0.25">
      <c r="B92" s="2049"/>
      <c r="C92" s="2050"/>
      <c r="D92" s="2051"/>
      <c r="E92" s="2052">
        <f>SUM(E85:E89)</f>
        <v>21838.497777777775</v>
      </c>
      <c r="F92" s="2053"/>
      <c r="G92" s="2053"/>
      <c r="H92" s="2053"/>
      <c r="I92" s="2053"/>
      <c r="J92" s="2053">
        <f>E92/30</f>
        <v>727.94992592592587</v>
      </c>
      <c r="K92" s="2253">
        <f>J92*30%</f>
        <v>218.38497777777775</v>
      </c>
      <c r="L92" s="2216"/>
      <c r="M92" s="2055"/>
      <c r="N92" s="2056" t="e">
        <f>SUM(N85:N90)</f>
        <v>#REF!</v>
      </c>
      <c r="O92" s="2052" t="e">
        <f t="shared" ref="O92:T92" si="659">SUM(O85:O90)</f>
        <v>#REF!</v>
      </c>
      <c r="P92" s="2052" t="e">
        <f t="shared" si="659"/>
        <v>#REF!</v>
      </c>
      <c r="Q92" s="2052" t="e">
        <f t="shared" si="659"/>
        <v>#REF!</v>
      </c>
      <c r="R92" s="2052" t="e">
        <f t="shared" si="659"/>
        <v>#REF!</v>
      </c>
      <c r="S92" s="2052" t="e">
        <f t="shared" si="659"/>
        <v>#REF!</v>
      </c>
      <c r="T92" s="2057" t="e">
        <f t="shared" si="659"/>
        <v>#REF!</v>
      </c>
      <c r="U92" s="1814"/>
      <c r="V92" s="2056" t="e">
        <f>SUM(N92:T92)</f>
        <v>#REF!</v>
      </c>
      <c r="W92" s="2052"/>
      <c r="X92" s="2057"/>
      <c r="Y92" s="1766"/>
      <c r="Z92" s="2056" t="e">
        <f t="shared" ref="Z92:AF92" si="660">SUM(Z85:Z90)</f>
        <v>#REF!</v>
      </c>
      <c r="AA92" s="2052" t="e">
        <f t="shared" si="660"/>
        <v>#REF!</v>
      </c>
      <c r="AB92" s="2052" t="e">
        <f t="shared" si="660"/>
        <v>#REF!</v>
      </c>
      <c r="AC92" s="2052" t="e">
        <f t="shared" si="660"/>
        <v>#REF!</v>
      </c>
      <c r="AD92" s="2052" t="e">
        <f t="shared" si="660"/>
        <v>#REF!</v>
      </c>
      <c r="AE92" s="2052" t="e">
        <f t="shared" si="660"/>
        <v>#REF!</v>
      </c>
      <c r="AF92" s="2057" t="e">
        <f t="shared" si="660"/>
        <v>#REF!</v>
      </c>
      <c r="AG92" s="1766"/>
      <c r="AH92" s="2056" t="e">
        <f>SUM(Z92:AF92)</f>
        <v>#REF!</v>
      </c>
      <c r="AI92" s="2052"/>
      <c r="AJ92" s="2057"/>
      <c r="AK92" s="1764"/>
      <c r="AL92" s="2056" t="e">
        <f t="shared" ref="AL92:AR92" si="661">SUM(AL85:AL90)</f>
        <v>#REF!</v>
      </c>
      <c r="AM92" s="2053" t="e">
        <f t="shared" si="661"/>
        <v>#REF!</v>
      </c>
      <c r="AN92" s="2053" t="e">
        <f t="shared" si="661"/>
        <v>#REF!</v>
      </c>
      <c r="AO92" s="2053" t="e">
        <f t="shared" si="661"/>
        <v>#REF!</v>
      </c>
      <c r="AP92" s="2053" t="e">
        <f t="shared" si="661"/>
        <v>#REF!</v>
      </c>
      <c r="AQ92" s="2053" t="e">
        <f t="shared" si="661"/>
        <v>#REF!</v>
      </c>
      <c r="AR92" s="2057" t="e">
        <f t="shared" si="661"/>
        <v>#REF!</v>
      </c>
      <c r="AS92" s="2300"/>
      <c r="AT92" s="2056" t="e">
        <f>SUM(AL92:AR92)</f>
        <v>#REF!</v>
      </c>
      <c r="AU92" s="2052"/>
      <c r="AV92" s="2057"/>
      <c r="AW92" s="1814"/>
      <c r="AX92" s="2056" t="e">
        <f t="shared" ref="AX92:BD92" si="662">SUM(AX85:AX90)</f>
        <v>#REF!</v>
      </c>
      <c r="AY92" s="2053" t="e">
        <f t="shared" si="662"/>
        <v>#REF!</v>
      </c>
      <c r="AZ92" s="2053" t="e">
        <f t="shared" si="662"/>
        <v>#REF!</v>
      </c>
      <c r="BA92" s="2053" t="e">
        <f t="shared" si="662"/>
        <v>#REF!</v>
      </c>
      <c r="BB92" s="2053" t="e">
        <f t="shared" si="662"/>
        <v>#REF!</v>
      </c>
      <c r="BC92" s="2053" t="e">
        <f t="shared" si="662"/>
        <v>#REF!</v>
      </c>
      <c r="BD92" s="2057" t="e">
        <f t="shared" si="662"/>
        <v>#REF!</v>
      </c>
      <c r="BE92" s="1814"/>
      <c r="BF92" s="2056" t="e">
        <f>SUM(AX92:BD92)</f>
        <v>#REF!</v>
      </c>
      <c r="BG92" s="2052"/>
      <c r="BH92" s="2057"/>
      <c r="BI92" s="1740"/>
      <c r="BJ92" s="2056" t="e">
        <f t="shared" ref="BJ92:BK92" si="663">SUM(BJ85:BJ90)</f>
        <v>#REF!</v>
      </c>
      <c r="BK92" s="2052" t="e">
        <f t="shared" si="663"/>
        <v>#REF!</v>
      </c>
      <c r="BL92" s="2301"/>
      <c r="BM92" s="2058" t="e">
        <f>SUM(BJ92:BK92)</f>
        <v>#REF!</v>
      </c>
      <c r="BN92" s="2324"/>
      <c r="BO92" s="2190"/>
      <c r="BP92" s="1862"/>
      <c r="BQ92" s="2058" t="e">
        <f>SUM(N92:T92)+SUM(Z92:AF92)+SUM(AL92:AR92)+SUM(AX92:BD92)+SUM(BJ92:BK92)</f>
        <v>#REF!</v>
      </c>
      <c r="BR92" s="2054"/>
      <c r="BS92" s="1740"/>
      <c r="BT92" s="1740"/>
      <c r="BU92" s="1740"/>
      <c r="BV92" s="1861"/>
    </row>
    <row r="93" spans="2:76" s="1726" customFormat="1" ht="4.5" customHeight="1" thickBot="1" x14ac:dyDescent="0.25">
      <c r="B93" s="1740"/>
      <c r="C93" s="1740"/>
      <c r="D93" s="1861"/>
      <c r="E93" s="1740"/>
      <c r="F93" s="1740"/>
      <c r="G93" s="1740"/>
      <c r="H93" s="1740"/>
      <c r="I93" s="1740"/>
      <c r="J93" s="1740"/>
      <c r="K93" s="1861"/>
      <c r="L93" s="1827"/>
      <c r="M93" s="1810"/>
      <c r="N93" s="1740"/>
      <c r="O93" s="1740"/>
      <c r="P93" s="1740"/>
      <c r="Q93" s="1740"/>
      <c r="R93" s="1740"/>
      <c r="S93" s="1740"/>
      <c r="T93" s="1740"/>
      <c r="U93" s="1861"/>
      <c r="V93" s="1740"/>
      <c r="W93" s="1740"/>
      <c r="X93" s="1740"/>
      <c r="Y93" s="1860"/>
      <c r="AG93" s="1860"/>
      <c r="AH93" s="1740"/>
      <c r="AI93" s="1740"/>
      <c r="AJ93" s="1740"/>
      <c r="AK93" s="1860"/>
      <c r="AL93" s="1740"/>
      <c r="AM93" s="1740"/>
      <c r="AN93" s="1740"/>
      <c r="AO93" s="1740"/>
      <c r="AP93" s="1740"/>
      <c r="AQ93" s="1740"/>
      <c r="AR93" s="1740"/>
      <c r="AS93" s="1861"/>
      <c r="AT93" s="1740"/>
      <c r="AU93" s="1740"/>
      <c r="AV93" s="1740"/>
      <c r="AW93" s="1861"/>
      <c r="AX93" s="1740"/>
      <c r="AY93" s="1740"/>
      <c r="AZ93" s="1740"/>
      <c r="BA93" s="1740"/>
      <c r="BB93" s="1740"/>
      <c r="BC93" s="1740"/>
      <c r="BD93" s="1740"/>
      <c r="BE93" s="1861"/>
      <c r="BF93" s="1740"/>
      <c r="BG93" s="1740"/>
      <c r="BH93" s="1740"/>
      <c r="BI93" s="1740"/>
      <c r="BJ93" s="1740"/>
      <c r="BK93" s="1740"/>
      <c r="BL93" s="1740"/>
      <c r="BM93" s="1740"/>
      <c r="BN93" s="1740"/>
      <c r="BO93" s="1740"/>
      <c r="BQ93" s="1740"/>
      <c r="BR93" s="1740"/>
      <c r="BS93" s="1740"/>
      <c r="BT93" s="1740"/>
      <c r="BU93" s="1740"/>
      <c r="BV93" s="1861"/>
    </row>
    <row r="94" spans="2:76" s="1885" customFormat="1" ht="17.25" thickBot="1" x14ac:dyDescent="0.25">
      <c r="B94" s="2117"/>
      <c r="C94" s="2212"/>
      <c r="D94" s="2119"/>
      <c r="E94" s="2123">
        <f>E92*30%</f>
        <v>6551.5493333333325</v>
      </c>
      <c r="F94" s="2121"/>
      <c r="G94" s="2121"/>
      <c r="H94" s="2121"/>
      <c r="I94" s="2121"/>
      <c r="J94" s="2121"/>
      <c r="K94" s="2129"/>
      <c r="L94" s="2213"/>
      <c r="M94" s="2214"/>
      <c r="N94" s="2120" t="e">
        <f>N92*100/30</f>
        <v>#REF!</v>
      </c>
      <c r="O94" s="2123" t="e">
        <f t="shared" ref="O94:T94" si="664">O92*100/30</f>
        <v>#REF!</v>
      </c>
      <c r="P94" s="2123" t="e">
        <f t="shared" si="664"/>
        <v>#REF!</v>
      </c>
      <c r="Q94" s="2123" t="e">
        <f t="shared" si="664"/>
        <v>#REF!</v>
      </c>
      <c r="R94" s="2123" t="e">
        <f t="shared" si="664"/>
        <v>#REF!</v>
      </c>
      <c r="S94" s="2123" t="e">
        <f t="shared" si="664"/>
        <v>#REF!</v>
      </c>
      <c r="T94" s="2125" t="e">
        <f t="shared" si="664"/>
        <v>#REF!</v>
      </c>
      <c r="U94" s="2254"/>
      <c r="V94" s="2120" t="e">
        <f>SUM(N94:T94)</f>
        <v>#REF!</v>
      </c>
      <c r="W94" s="2123"/>
      <c r="X94" s="2124"/>
      <c r="Y94" s="1956"/>
      <c r="Z94" s="2126" t="e">
        <f t="shared" ref="Z94:AF94" si="665">Z92*100/30</f>
        <v>#REF!</v>
      </c>
      <c r="AA94" s="2128" t="e">
        <f t="shared" si="665"/>
        <v>#REF!</v>
      </c>
      <c r="AB94" s="2128" t="e">
        <f t="shared" si="665"/>
        <v>#REF!</v>
      </c>
      <c r="AC94" s="2123" t="e">
        <f t="shared" si="665"/>
        <v>#REF!</v>
      </c>
      <c r="AD94" s="2128" t="e">
        <f t="shared" si="665"/>
        <v>#REF!</v>
      </c>
      <c r="AE94" s="2128" t="e">
        <f t="shared" si="665"/>
        <v>#REF!</v>
      </c>
      <c r="AF94" s="2127" t="e">
        <f t="shared" si="665"/>
        <v>#REF!</v>
      </c>
      <c r="AG94" s="1956"/>
      <c r="AH94" s="2120" t="e">
        <f>SUM(Z94:AF94)</f>
        <v>#REF!</v>
      </c>
      <c r="AI94" s="2123"/>
      <c r="AJ94" s="2124"/>
      <c r="AK94" s="1955"/>
      <c r="AL94" s="2120" t="e">
        <f t="shared" ref="AL94:AR94" si="666">AL92*100/30</f>
        <v>#REF!</v>
      </c>
      <c r="AM94" s="2121" t="e">
        <f t="shared" si="666"/>
        <v>#REF!</v>
      </c>
      <c r="AN94" s="2121" t="e">
        <f t="shared" si="666"/>
        <v>#REF!</v>
      </c>
      <c r="AO94" s="2121" t="e">
        <f t="shared" si="666"/>
        <v>#REF!</v>
      </c>
      <c r="AP94" s="2121" t="e">
        <f t="shared" si="666"/>
        <v>#REF!</v>
      </c>
      <c r="AQ94" s="2121" t="e">
        <f t="shared" si="666"/>
        <v>#REF!</v>
      </c>
      <c r="AR94" s="2124" t="e">
        <f t="shared" si="666"/>
        <v>#REF!</v>
      </c>
      <c r="AS94" s="2254"/>
      <c r="AT94" s="2120" t="e">
        <f>SUM(AL94:AR94)</f>
        <v>#REF!</v>
      </c>
      <c r="AU94" s="2123"/>
      <c r="AV94" s="2124"/>
      <c r="AW94" s="1951"/>
      <c r="AX94" s="2120" t="e">
        <f t="shared" ref="AX94:BD94" si="667">AX92*100/30</f>
        <v>#REF!</v>
      </c>
      <c r="AY94" s="2121" t="e">
        <f t="shared" si="667"/>
        <v>#REF!</v>
      </c>
      <c r="AZ94" s="2121" t="e">
        <f t="shared" si="667"/>
        <v>#REF!</v>
      </c>
      <c r="BA94" s="2121" t="e">
        <f t="shared" si="667"/>
        <v>#REF!</v>
      </c>
      <c r="BB94" s="2121" t="e">
        <f t="shared" si="667"/>
        <v>#REF!</v>
      </c>
      <c r="BC94" s="2121" t="e">
        <f t="shared" si="667"/>
        <v>#REF!</v>
      </c>
      <c r="BD94" s="2124" t="e">
        <f t="shared" si="667"/>
        <v>#REF!</v>
      </c>
      <c r="BE94" s="1951"/>
      <c r="BF94" s="2120" t="e">
        <f>SUM(AX94:BD94)</f>
        <v>#REF!</v>
      </c>
      <c r="BG94" s="2123"/>
      <c r="BH94" s="2124"/>
      <c r="BI94" s="1900"/>
      <c r="BJ94" s="2120" t="e">
        <f t="shared" ref="BJ94:BK94" si="668">BJ92*100/30</f>
        <v>#REF!</v>
      </c>
      <c r="BK94" s="2123" t="e">
        <f t="shared" si="668"/>
        <v>#REF!</v>
      </c>
      <c r="BL94" s="2317"/>
      <c r="BM94" s="2215" t="e">
        <f>SUM(BJ94:BK94)</f>
        <v>#REF!</v>
      </c>
      <c r="BN94" s="2318"/>
      <c r="BO94" s="2118"/>
      <c r="BP94" s="1897"/>
      <c r="BQ94" s="2215" t="e">
        <f>SUM(N94:T94)+SUM(Z94:AF94)+SUM(AL94:AR94)+SUM(AX94:BD94)+SUM(BJ94:BK94)</f>
        <v>#REF!</v>
      </c>
      <c r="BR94" s="2350" t="e">
        <f>BQ94/BZ32</f>
        <v>#REF!</v>
      </c>
      <c r="BS94" s="1900"/>
      <c r="BT94" s="1900"/>
      <c r="BU94" s="1900"/>
      <c r="BV94" s="2011"/>
    </row>
    <row r="96" spans="2:76" ht="18" x14ac:dyDescent="0.2">
      <c r="C96" s="2448">
        <f>E96*30%</f>
        <v>8189.9653333333317</v>
      </c>
      <c r="D96" s="2450"/>
      <c r="E96" s="2449">
        <f>E90*2+E86</f>
        <v>27299.88444444444</v>
      </c>
      <c r="F96" s="2449"/>
      <c r="G96" s="2449"/>
      <c r="H96" s="2449"/>
      <c r="I96" s="2449"/>
      <c r="J96" s="2449">
        <f>J90*2+J86</f>
        <v>909.996148148148</v>
      </c>
    </row>
    <row r="97" spans="3:39" ht="18" x14ac:dyDescent="0.2">
      <c r="C97" s="2448">
        <f>E97*30%</f>
        <v>10581.681333333332</v>
      </c>
      <c r="D97" s="2450"/>
      <c r="E97" s="2449">
        <f>E90*3+E86</f>
        <v>35272.271111111106</v>
      </c>
      <c r="F97" s="2449"/>
      <c r="G97" s="2449"/>
      <c r="H97" s="2449"/>
      <c r="I97" s="2449"/>
      <c r="J97" s="2449">
        <f>J90*3+J86</f>
        <v>1175.7423703703703</v>
      </c>
      <c r="P97" s="2255"/>
      <c r="Q97" s="2256"/>
      <c r="R97" s="2256"/>
      <c r="S97" s="2257"/>
      <c r="T97" s="2257"/>
      <c r="U97" s="1915"/>
      <c r="V97" s="2257"/>
    </row>
    <row r="98" spans="3:39" ht="18" x14ac:dyDescent="0.2">
      <c r="C98" s="2451">
        <f>C97-E47</f>
        <v>7175.1479999999992</v>
      </c>
      <c r="AM98" s="2257"/>
    </row>
    <row r="99" spans="3:39" ht="18" x14ac:dyDescent="0.2">
      <c r="C99" s="2452">
        <f>C98/3</f>
        <v>2391.7159999999999</v>
      </c>
      <c r="J99" s="1747">
        <f>BT3-E97</f>
        <v>-12185.492111111107</v>
      </c>
    </row>
  </sheetData>
  <sortState xmlns:xlrd2="http://schemas.microsoft.com/office/spreadsheetml/2017/richdata2" ref="C32:K48">
    <sortCondition descending="1" ref="K48"/>
  </sortState>
  <mergeCells count="87">
    <mergeCell ref="BF85:BF86"/>
    <mergeCell ref="BG85:BG86"/>
    <mergeCell ref="BH85:BH86"/>
    <mergeCell ref="BQ85:BQ86"/>
    <mergeCell ref="BR85:BR86"/>
    <mergeCell ref="BJ85:BJ86"/>
    <mergeCell ref="BK85:BK86"/>
    <mergeCell ref="BM85:BM86"/>
    <mergeCell ref="BN85:BN86"/>
    <mergeCell ref="BO85:BO86"/>
    <mergeCell ref="BD85:BD86"/>
    <mergeCell ref="AQ85:AQ86"/>
    <mergeCell ref="AR85:AR86"/>
    <mergeCell ref="AT85:AT86"/>
    <mergeCell ref="AU85:AU86"/>
    <mergeCell ref="AV85:AV86"/>
    <mergeCell ref="AX85:AX86"/>
    <mergeCell ref="AY85:AY86"/>
    <mergeCell ref="AZ85:AZ86"/>
    <mergeCell ref="BA85:BA86"/>
    <mergeCell ref="BB85:BB86"/>
    <mergeCell ref="BC85:BC86"/>
    <mergeCell ref="AP85:AP86"/>
    <mergeCell ref="AC85:AC86"/>
    <mergeCell ref="AD85:AD86"/>
    <mergeCell ref="AE85:AE86"/>
    <mergeCell ref="AF85:AF86"/>
    <mergeCell ref="AH85:AH86"/>
    <mergeCell ref="AI85:AI86"/>
    <mergeCell ref="AJ85:AJ86"/>
    <mergeCell ref="AL85:AL86"/>
    <mergeCell ref="AM85:AM86"/>
    <mergeCell ref="AN85:AN86"/>
    <mergeCell ref="AO85:AO86"/>
    <mergeCell ref="AB85:AB86"/>
    <mergeCell ref="BW53:BW60"/>
    <mergeCell ref="BY53:BY60"/>
    <mergeCell ref="BW64:BW73"/>
    <mergeCell ref="N85:N86"/>
    <mergeCell ref="O85:O86"/>
    <mergeCell ref="P85:P86"/>
    <mergeCell ref="Q85:Q86"/>
    <mergeCell ref="R85:R86"/>
    <mergeCell ref="S85:S86"/>
    <mergeCell ref="T85:T86"/>
    <mergeCell ref="V85:V86"/>
    <mergeCell ref="W85:W86"/>
    <mergeCell ref="X85:X86"/>
    <mergeCell ref="Z85:Z86"/>
    <mergeCell ref="AA85:AA86"/>
    <mergeCell ref="BT12:BU12"/>
    <mergeCell ref="BT52:BU52"/>
    <mergeCell ref="N28:T28"/>
    <mergeCell ref="V28:X28"/>
    <mergeCell ref="AH28:AJ28"/>
    <mergeCell ref="AT28:AV28"/>
    <mergeCell ref="BF28:BH28"/>
    <mergeCell ref="BM28:BO28"/>
    <mergeCell ref="S13:S24"/>
    <mergeCell ref="AE13:AE24"/>
    <mergeCell ref="AQ13:AQ24"/>
    <mergeCell ref="BC13:BC24"/>
    <mergeCell ref="CI1:CI2"/>
    <mergeCell ref="AT1:AV2"/>
    <mergeCell ref="AX1:BD2"/>
    <mergeCell ref="BF1:BH2"/>
    <mergeCell ref="BQ1:BQ10"/>
    <mergeCell ref="BR1:BR10"/>
    <mergeCell ref="BT1:BW2"/>
    <mergeCell ref="CC1:CC2"/>
    <mergeCell ref="CD1:CD2"/>
    <mergeCell ref="CE1:CE2"/>
    <mergeCell ref="CG1:CG2"/>
    <mergeCell ref="CH1:CH2"/>
    <mergeCell ref="BY6:BZ7"/>
    <mergeCell ref="BZ9:BZ10"/>
    <mergeCell ref="CA9:CA10"/>
    <mergeCell ref="K6:K7"/>
    <mergeCell ref="AC12:AF12"/>
    <mergeCell ref="AL1:AR2"/>
    <mergeCell ref="BJ1:BK2"/>
    <mergeCell ref="BM1:BO2"/>
    <mergeCell ref="C1:K2"/>
    <mergeCell ref="N1:T2"/>
    <mergeCell ref="V1:X2"/>
    <mergeCell ref="Z1:AF2"/>
    <mergeCell ref="AH1:AJ2"/>
  </mergeCells>
  <conditionalFormatting sqref="BR88">
    <cfRule type="cellIs" dxfId="370" priority="3" operator="greaterThan">
      <formula>0</formula>
    </cfRule>
    <cfRule type="cellIs" dxfId="369" priority="4" operator="lessThan">
      <formula>0</formula>
    </cfRule>
  </conditionalFormatting>
  <conditionalFormatting sqref="J99">
    <cfRule type="cellIs" dxfId="368" priority="1" operator="lessThan">
      <formula>0</formula>
    </cfRule>
    <cfRule type="cellIs" dxfId="36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400-00007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(9-19)'!N83:N83</xm:f>
              <xm:sqref>N84</xm:sqref>
            </x14:sparkline>
            <x14:sparkline>
              <xm:f>'RAWABI INCOME (9-19)'!O83:O83</xm:f>
              <xm:sqref>O84</xm:sqref>
            </x14:sparkline>
            <x14:sparkline>
              <xm:f>'RAWABI INCOME (9-19)'!P83:P83</xm:f>
              <xm:sqref>P84</xm:sqref>
            </x14:sparkline>
            <x14:sparkline>
              <xm:f>'RAWABI INCOME (9-19)'!Q83:Q83</xm:f>
              <xm:sqref>Q84</xm:sqref>
            </x14:sparkline>
            <x14:sparkline>
              <xm:f>'RAWABI INCOME (9-19)'!R83:R83</xm:f>
              <xm:sqref>R84</xm:sqref>
            </x14:sparkline>
            <x14:sparkline>
              <xm:f>'RAWABI INCOME (9-19)'!S83:S83</xm:f>
              <xm:sqref>S84</xm:sqref>
            </x14:sparkline>
            <x14:sparkline>
              <xm:f>'RAWABI INCOME (9-19)'!T83:T83</xm:f>
              <xm:sqref>T84</xm:sqref>
            </x14:sparkline>
            <x14:sparkline>
              <xm:f>'RAWABI INCOME (9-19)'!V83:V83</xm:f>
              <xm:sqref>V84</xm:sqref>
            </x14:sparkline>
            <x14:sparkline>
              <xm:f>'RAWABI INCOME (9-19)'!W83:W83</xm:f>
              <xm:sqref>W84</xm:sqref>
            </x14:sparkline>
            <x14:sparkline>
              <xm:f>'RAWABI INCOME (9-19)'!X83:X83</xm:f>
              <xm:sqref>X84</xm:sqref>
            </x14:sparkline>
            <x14:sparkline>
              <xm:f>'RAWABI INCOME (9-19)'!Y83:Y83</xm:f>
              <xm:sqref>Y84</xm:sqref>
            </x14:sparkline>
            <x14:sparkline>
              <xm:f>'RAWABI INCOME (9-19)'!Z83:Z83</xm:f>
              <xm:sqref>Z84</xm:sqref>
            </x14:sparkline>
            <x14:sparkline>
              <xm:f>'RAWABI INCOME (9-19)'!AA83:AA83</xm:f>
              <xm:sqref>AA84</xm:sqref>
            </x14:sparkline>
            <x14:sparkline>
              <xm:f>'RAWABI INCOME (9-19)'!AB83:AB83</xm:f>
              <xm:sqref>AB84</xm:sqref>
            </x14:sparkline>
            <x14:sparkline>
              <xm:f>'RAWABI INCOME (9-19)'!AC83:AC83</xm:f>
              <xm:sqref>AC84</xm:sqref>
            </x14:sparkline>
            <x14:sparkline>
              <xm:f>'RAWABI INCOME (9-19)'!AD83:AD83</xm:f>
              <xm:sqref>AD84</xm:sqref>
            </x14:sparkline>
            <x14:sparkline>
              <xm:f>'RAWABI INCOME (9-19)'!AE83:AE83</xm:f>
              <xm:sqref>AE84</xm:sqref>
            </x14:sparkline>
            <x14:sparkline>
              <xm:f>'RAWABI INCOME (9-19)'!AF83:AF83</xm:f>
              <xm:sqref>AF84</xm:sqref>
            </x14:sparkline>
            <x14:sparkline>
              <xm:f>'RAWABI INCOME (9-19)'!AG83:AG83</xm:f>
              <xm:sqref>AG84</xm:sqref>
            </x14:sparkline>
            <x14:sparkline>
              <xm:f>'RAWABI INCOME (9-19)'!AH83:AH83</xm:f>
              <xm:sqref>AH84</xm:sqref>
            </x14:sparkline>
            <x14:sparkline>
              <xm:f>'RAWABI INCOME (9-19)'!AI83:AI83</xm:f>
              <xm:sqref>AI84</xm:sqref>
            </x14:sparkline>
            <x14:sparkline>
              <xm:f>'RAWABI INCOME (9-19)'!AJ83:AJ83</xm:f>
              <xm:sqref>AJ84</xm:sqref>
            </x14:sparkline>
            <x14:sparkline>
              <xm:f>'RAWABI INCOME (9-19)'!AK83:AK83</xm:f>
              <xm:sqref>AK84</xm:sqref>
            </x14:sparkline>
            <x14:sparkline>
              <xm:f>'RAWABI INCOME (9-19)'!AL83:AL83</xm:f>
              <xm:sqref>AL84</xm:sqref>
            </x14:sparkline>
            <x14:sparkline>
              <xm:f>'RAWABI INCOME (9-19)'!AM83:AM83</xm:f>
              <xm:sqref>AM84</xm:sqref>
            </x14:sparkline>
            <x14:sparkline>
              <xm:f>'RAWABI INCOME (9-19)'!AN83:AN83</xm:f>
              <xm:sqref>AN84</xm:sqref>
            </x14:sparkline>
            <x14:sparkline>
              <xm:f>'RAWABI INCOME (9-19)'!AO83:AO83</xm:f>
              <xm:sqref>AO84</xm:sqref>
            </x14:sparkline>
            <x14:sparkline>
              <xm:f>'RAWABI INCOME (9-19)'!AP83:AP83</xm:f>
              <xm:sqref>AP84</xm:sqref>
            </x14:sparkline>
            <x14:sparkline>
              <xm:f>'RAWABI INCOME (9-19)'!AQ83:AQ83</xm:f>
              <xm:sqref>AQ84</xm:sqref>
            </x14:sparkline>
            <x14:sparkline>
              <xm:f>'RAWABI INCOME (9-19)'!AR83:AR83</xm:f>
              <xm:sqref>AR84</xm:sqref>
            </x14:sparkline>
            <x14:sparkline>
              <xm:f>'RAWABI INCOME (9-19)'!AS83:AS83</xm:f>
              <xm:sqref>AS84</xm:sqref>
            </x14:sparkline>
            <x14:sparkline>
              <xm:f>'RAWABI INCOME (9-19)'!AT83:AT83</xm:f>
              <xm:sqref>AT84</xm:sqref>
            </x14:sparkline>
            <x14:sparkline>
              <xm:f>'RAWABI INCOME (9-19)'!AU83:AU83</xm:f>
              <xm:sqref>AU84</xm:sqref>
            </x14:sparkline>
            <x14:sparkline>
              <xm:f>'RAWABI INCOME (9-19)'!AV83:AV83</xm:f>
              <xm:sqref>AV84</xm:sqref>
            </x14:sparkline>
            <x14:sparkline>
              <xm:f>'RAWABI INCOME (9-19)'!AW83:AW83</xm:f>
              <xm:sqref>AW84</xm:sqref>
            </x14:sparkline>
            <x14:sparkline>
              <xm:f>'RAWABI INCOME (9-19)'!AX83:AX83</xm:f>
              <xm:sqref>AX84</xm:sqref>
            </x14:sparkline>
            <x14:sparkline>
              <xm:f>'RAWABI INCOME (9-19)'!AY83:AY83</xm:f>
              <xm:sqref>AY84</xm:sqref>
            </x14:sparkline>
            <x14:sparkline>
              <xm:f>'RAWABI INCOME (9-19)'!AZ83:AZ83</xm:f>
              <xm:sqref>AZ84</xm:sqref>
            </x14:sparkline>
            <x14:sparkline>
              <xm:f>'RAWABI INCOME (9-19)'!BA83:BA83</xm:f>
              <xm:sqref>BA84</xm:sqref>
            </x14:sparkline>
            <x14:sparkline>
              <xm:f>'RAWABI INCOME (9-19)'!BB83:BB83</xm:f>
              <xm:sqref>BB84</xm:sqref>
            </x14:sparkline>
            <x14:sparkline>
              <xm:f>'RAWABI INCOME (9-19)'!BC83:BC83</xm:f>
              <xm:sqref>BC84</xm:sqref>
            </x14:sparkline>
            <x14:sparkline>
              <xm:f>'RAWABI INCOME (9-19)'!BD83:BD83</xm:f>
              <xm:sqref>BD84</xm:sqref>
            </x14:sparkline>
            <x14:sparkline>
              <xm:f>'RAWABI INCOME (9-19)'!BE83:BE83</xm:f>
              <xm:sqref>BE84</xm:sqref>
            </x14:sparkline>
            <x14:sparkline>
              <xm:f>'RAWABI INCOME (9-19)'!BF83:BF83</xm:f>
              <xm:sqref>BF84</xm:sqref>
            </x14:sparkline>
            <x14:sparkline>
              <xm:f>'RAWABI INCOME (9-19)'!BG83:BG83</xm:f>
              <xm:sqref>BG84</xm:sqref>
            </x14:sparkline>
            <x14:sparkline>
              <xm:f>'RAWABI INCOME (9-19)'!BH83:BH83</xm:f>
              <xm:sqref>BH84</xm:sqref>
            </x14:sparkline>
            <x14:sparkline>
              <xm:f>'RAWABI INCOME (9-19)'!BI83:BI83</xm:f>
              <xm:sqref>BI84</xm:sqref>
            </x14:sparkline>
            <x14:sparkline>
              <xm:f>'RAWABI INCOME (9-19)'!BJ83:BJ83</xm:f>
              <xm:sqref>BJ84</xm:sqref>
            </x14:sparkline>
            <x14:sparkline>
              <xm:f>'RAWABI INCOME (9-19)'!BK83:BK83</xm:f>
              <xm:sqref>BK84</xm:sqref>
            </x14:sparkline>
            <x14:sparkline>
              <xm:f>'RAWABI INCOME (9-19)'!BL83:BL83</xm:f>
              <xm:sqref>BL84</xm:sqref>
            </x14:sparkline>
            <x14:sparkline>
              <xm:f>'RAWABI INCOME (9-19)'!BM83:BM83</xm:f>
              <xm:sqref>BM84</xm:sqref>
            </x14:sparkline>
            <x14:sparkline>
              <xm:f>'RAWABI INCOME (9-19)'!BN83:BN83</xm:f>
              <xm:sqref>BN84</xm:sqref>
            </x14:sparkline>
            <x14:sparkline>
              <xm:f>'RAWABI INCOME (9-19)'!BO83:BO83</xm:f>
              <xm:sqref>BO84</xm:sqref>
            </x14:sparkline>
            <x14:sparkline>
              <xm:f>'RAWABI INCOME (9-19)'!BQ83:BQ83</xm:f>
              <xm:sqref>BQ84</xm:sqref>
            </x14:sparkline>
          </x14:sparklines>
        </x14:sparklineGroup>
        <x14:sparklineGroup type="stacked" displayEmptyCellsAs="gap" negative="1" xr2:uid="{00000000-0003-0000-1400-00007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(9-19)'!BP51:BP51</xm:f>
              <xm:sqref>BP52</xm:sqref>
            </x14:sparkline>
          </x14:sparklines>
        </x14:sparklineGroup>
        <x14:sparklineGroup type="stacked" displayEmptyCellsAs="gap" negative="1" xr2:uid="{00000000-0003-0000-1400-00007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(9-19)'!BQ90:BQ90</xm:f>
              <xm:sqref>BR90</xm:sqref>
            </x14:sparkline>
          </x14:sparklines>
        </x14:sparklineGroup>
        <x14:sparklineGroup type="stacked" displayEmptyCellsAs="gap" negative="1" xr2:uid="{00000000-0003-0000-1400-00007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(9-19)'!U78:U78</xm:f>
              <xm:sqref>U79</xm:sqref>
            </x14:sparkline>
          </x14:sparklines>
        </x14:sparklineGroup>
        <x14:sparklineGroup type="stacked" displayEmptyCellsAs="gap" negative="1" xr2:uid="{00000000-0003-0000-1400-00007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(9-19)'!BQ88:BQ88</xm:f>
              <xm:sqref>BR88</xm:sqref>
            </x14:sparkline>
          </x14:sparklines>
        </x14:sparklineGroup>
        <x14:sparklineGroup type="stacked" displayEmptyCellsAs="gap" negative="1" xr2:uid="{00000000-0003-0000-1400-00007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(9-19)'!BP83:BP83</xm:f>
              <xm:sqref>BP84</xm:sqref>
            </x14:sparkline>
          </x14:sparklines>
        </x14:sparklineGroup>
        <x14:sparklineGroup type="stacked" displayEmptyCellsAs="gap" negative="1" xr2:uid="{00000000-0003-0000-1400-00007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(9-19)'!N78:N78</xm:f>
              <xm:sqref>N79</xm:sqref>
            </x14:sparkline>
            <x14:sparkline>
              <xm:f>'RAWABI INCOME (9-19)'!V78:V78</xm:f>
              <xm:sqref>V79</xm:sqref>
            </x14:sparkline>
            <x14:sparkline>
              <xm:f>'RAWABI INCOME (9-19)'!W78:W78</xm:f>
              <xm:sqref>W79</xm:sqref>
            </x14:sparkline>
            <x14:sparkline>
              <xm:f>'RAWABI INCOME (9-19)'!X78:X78</xm:f>
              <xm:sqref>X79</xm:sqref>
            </x14:sparkline>
            <x14:sparkline>
              <xm:f>'RAWABI INCOME (9-19)'!Y78:Y78</xm:f>
              <xm:sqref>Y79</xm:sqref>
            </x14:sparkline>
            <x14:sparkline>
              <xm:f>'RAWABI INCOME (9-19)'!Z78:Z78</xm:f>
              <xm:sqref>Z79</xm:sqref>
            </x14:sparkline>
            <x14:sparkline>
              <xm:f>'RAWABI INCOME (9-19)'!AG78:AG78</xm:f>
              <xm:sqref>AG79</xm:sqref>
            </x14:sparkline>
            <x14:sparkline>
              <xm:f>'RAWABI INCOME (9-19)'!AH78:AH78</xm:f>
              <xm:sqref>AH79</xm:sqref>
            </x14:sparkline>
            <x14:sparkline>
              <xm:f>'RAWABI INCOME (9-19)'!AI78:AI78</xm:f>
              <xm:sqref>AI79</xm:sqref>
            </x14:sparkline>
            <x14:sparkline>
              <xm:f>'RAWABI INCOME (9-19)'!AJ78:AJ78</xm:f>
              <xm:sqref>AJ79</xm:sqref>
            </x14:sparkline>
            <x14:sparkline>
              <xm:f>'RAWABI INCOME (9-19)'!AK78:AK78</xm:f>
              <xm:sqref>AK79</xm:sqref>
            </x14:sparkline>
            <x14:sparkline>
              <xm:f>'RAWABI INCOME (9-19)'!AL78:AL78</xm:f>
              <xm:sqref>AL79</xm:sqref>
            </x14:sparkline>
            <x14:sparkline>
              <xm:f>'RAWABI INCOME (9-19)'!AS78:AS78</xm:f>
              <xm:sqref>AS79</xm:sqref>
            </x14:sparkline>
            <x14:sparkline>
              <xm:f>'RAWABI INCOME (9-19)'!AT78:AT78</xm:f>
              <xm:sqref>AT79</xm:sqref>
            </x14:sparkline>
            <x14:sparkline>
              <xm:f>'RAWABI INCOME (9-19)'!AU78:AU78</xm:f>
              <xm:sqref>AU79</xm:sqref>
            </x14:sparkline>
            <x14:sparkline>
              <xm:f>'RAWABI INCOME (9-19)'!AV78:AV78</xm:f>
              <xm:sqref>AV79</xm:sqref>
            </x14:sparkline>
            <x14:sparkline>
              <xm:f>'RAWABI INCOME (9-19)'!AW78:AW78</xm:f>
              <xm:sqref>AW79</xm:sqref>
            </x14:sparkline>
            <x14:sparkline>
              <xm:f>'RAWABI INCOME (9-19)'!AX78:AX78</xm:f>
              <xm:sqref>AX79</xm:sqref>
            </x14:sparkline>
            <x14:sparkline>
              <xm:f>'RAWABI INCOME (9-19)'!BE78:BE78</xm:f>
              <xm:sqref>BE79</xm:sqref>
            </x14:sparkline>
            <x14:sparkline>
              <xm:f>'RAWABI INCOME (9-19)'!BF78:BF78</xm:f>
              <xm:sqref>BF79</xm:sqref>
            </x14:sparkline>
            <x14:sparkline>
              <xm:f>'RAWABI INCOME (9-19)'!BG78:BG78</xm:f>
              <xm:sqref>BG79</xm:sqref>
            </x14:sparkline>
            <x14:sparkline>
              <xm:f>'RAWABI INCOME (9-19)'!BH78:BH78</xm:f>
              <xm:sqref>BH79</xm:sqref>
            </x14:sparkline>
            <x14:sparkline>
              <xm:f>'RAWABI INCOME (9-19)'!BI78:BI78</xm:f>
              <xm:sqref>BI79</xm:sqref>
            </x14:sparkline>
            <x14:sparkline>
              <xm:f>'RAWABI INCOME (9-19)'!BJ78:BJ78</xm:f>
              <xm:sqref>BJ79</xm:sqref>
            </x14:sparkline>
            <x14:sparkline>
              <xm:f>'RAWABI INCOME (9-19)'!BK78:BK78</xm:f>
              <xm:sqref>BK79</xm:sqref>
            </x14:sparkline>
            <x14:sparkline>
              <xm:f>'RAWABI INCOME (9-19)'!BL78:BL78</xm:f>
              <xm:sqref>BL79</xm:sqref>
            </x14:sparkline>
            <x14:sparkline>
              <xm:f>'RAWABI INCOME (9-19)'!BM78:BM78</xm:f>
              <xm:sqref>BM79</xm:sqref>
            </x14:sparkline>
            <x14:sparkline>
              <xm:f>'RAWABI INCOME (9-19)'!BN78:BN78</xm:f>
              <xm:sqref>BN79</xm:sqref>
            </x14:sparkline>
            <x14:sparkline>
              <xm:f>'RAWABI INCOME (9-19)'!BO78:BO78</xm:f>
              <xm:sqref>BO79</xm:sqref>
            </x14:sparkline>
            <x14:sparkline>
              <xm:f>'RAWABI INCOME (9-19)'!BQ78:BQ78</xm:f>
              <xm:sqref>BQ79</xm:sqref>
            </x14:sparkline>
            <x14:sparkline>
              <xm:f>'RAWABI INCOME (9-19)'!AR78:AR78</xm:f>
              <xm:sqref>AR79</xm:sqref>
            </x14:sparkline>
            <x14:sparkline>
              <xm:f>'RAWABI INCOME (9-19)'!BD78:BD78</xm:f>
              <xm:sqref>BD79</xm:sqref>
            </x14:sparkline>
            <x14:sparkline>
              <xm:f>'RAWABI INCOME (9-19)'!T78:T78</xm:f>
              <xm:sqref>T79</xm:sqref>
            </x14:sparkline>
            <x14:sparkline>
              <xm:f>'RAWABI INCOME (9-19)'!AY78:AY78</xm:f>
              <xm:sqref>AY79</xm:sqref>
            </x14:sparkline>
            <x14:sparkline>
              <xm:f>'RAWABI INCOME (9-19)'!O78:O78</xm:f>
              <xm:sqref>O79</xm:sqref>
            </x14:sparkline>
            <x14:sparkline>
              <xm:f>'RAWABI INCOME (9-19)'!P78:P78</xm:f>
              <xm:sqref>P79</xm:sqref>
            </x14:sparkline>
            <x14:sparkline>
              <xm:f>'RAWABI INCOME (9-19)'!AA78:AA78</xm:f>
              <xm:sqref>AA79</xm:sqref>
            </x14:sparkline>
            <x14:sparkline>
              <xm:f>'RAWABI INCOME (9-19)'!AB78:AB78</xm:f>
              <xm:sqref>AB79</xm:sqref>
            </x14:sparkline>
            <x14:sparkline>
              <xm:f>'RAWABI INCOME (9-19)'!AC78:AC78</xm:f>
              <xm:sqref>AC79</xm:sqref>
            </x14:sparkline>
            <x14:sparkline>
              <xm:f>'RAWABI INCOME (9-19)'!AD78:AD78</xm:f>
              <xm:sqref>AD79</xm:sqref>
            </x14:sparkline>
            <x14:sparkline>
              <xm:f>'RAWABI INCOME (9-19)'!AF78:AF78</xm:f>
              <xm:sqref>AF79</xm:sqref>
            </x14:sparkline>
            <x14:sparkline>
              <xm:f>'RAWABI INCOME (9-19)'!AM78:AM78</xm:f>
              <xm:sqref>AM79</xm:sqref>
            </x14:sparkline>
            <x14:sparkline>
              <xm:f>'RAWABI INCOME (9-19)'!Q78:Q78</xm:f>
              <xm:sqref>Q79</xm:sqref>
            </x14:sparkline>
            <x14:sparkline>
              <xm:f>'RAWABI INCOME (9-19)'!R78:R78</xm:f>
              <xm:sqref>R79</xm:sqref>
            </x14:sparkline>
            <x14:sparkline>
              <xm:f>'RAWABI INCOME (9-19)'!S78:S78</xm:f>
              <xm:sqref>S79</xm:sqref>
            </x14:sparkline>
            <x14:sparkline>
              <xm:f>'RAWABI INCOME (9-19)'!AE78:AE78</xm:f>
              <xm:sqref>AE79</xm:sqref>
            </x14:sparkline>
            <x14:sparkline>
              <xm:f>'RAWABI INCOME (9-19)'!AN78:AN78</xm:f>
              <xm:sqref>AN79</xm:sqref>
            </x14:sparkline>
            <x14:sparkline>
              <xm:f>'RAWABI INCOME (9-19)'!AO78:AO78</xm:f>
              <xm:sqref>AO79</xm:sqref>
            </x14:sparkline>
            <x14:sparkline>
              <xm:f>'RAWABI INCOME (9-19)'!AP78:AP78</xm:f>
              <xm:sqref>AP79</xm:sqref>
            </x14:sparkline>
            <x14:sparkline>
              <xm:f>'RAWABI INCOME (9-19)'!AQ78:AQ78</xm:f>
              <xm:sqref>AQ79</xm:sqref>
            </x14:sparkline>
            <x14:sparkline>
              <xm:f>'RAWABI INCOME (9-19)'!AZ78:AZ78</xm:f>
              <xm:sqref>AZ79</xm:sqref>
            </x14:sparkline>
            <x14:sparkline>
              <xm:f>'RAWABI INCOME (9-19)'!BA78:BA78</xm:f>
              <xm:sqref>BA79</xm:sqref>
            </x14:sparkline>
            <x14:sparkline>
              <xm:f>'RAWABI INCOME (9-19)'!BB78:BB78</xm:f>
              <xm:sqref>BB79</xm:sqref>
            </x14:sparkline>
            <x14:sparkline>
              <xm:f>'RAWABI INCOME (9-19)'!BC78:BC78</xm:f>
              <xm:sqref>BC79</xm:sqref>
            </x14:sparkline>
          </x14:sparklines>
        </x14:sparklineGroup>
        <x14:sparklineGroup type="stacked" displayEmptyCellsAs="gap" negative="1" xr2:uid="{00000000-0003-0000-1400-00007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(9-19)'!U51:U51</xm:f>
              <xm:sqref>U52</xm:sqref>
            </x14:sparkline>
          </x14:sparklines>
        </x14:sparklineGroup>
        <x14:sparklineGroup type="stacked" displayEmptyCellsAs="gap" negative="1" xr2:uid="{00000000-0003-0000-1400-00007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(9-19)'!BQ85:BQ85</xm:f>
              <xm:sqref>BR85</xm:sqref>
            </x14:sparkline>
            <x14:sparkline>
              <xm:f>'RAWABI INCOME (9-19)'!BQ87:BQ87</xm:f>
              <xm:sqref>BR87</xm:sqref>
            </x14:sparkline>
          </x14:sparklines>
        </x14:sparklineGroup>
        <x14:sparklineGroup type="stacked" displayEmptyCellsAs="gap" negative="1" xr2:uid="{00000000-0003-0000-1400-00007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(9-19)'!BP78:BP78</xm:f>
              <xm:sqref>BP79</xm:sqref>
            </x14:sparkline>
          </x14:sparklines>
        </x14:sparklineGroup>
        <x14:sparklineGroup type="stacked" displayEmptyCellsAs="gap" negative="1" xr2:uid="{00000000-0003-0000-1400-00007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(9-19)'!Y51:Y51</xm:f>
              <xm:sqref>Y52</xm:sqref>
            </x14:sparkline>
            <x14:sparkline>
              <xm:f>'RAWABI INCOME (9-19)'!AG51:AG51</xm:f>
              <xm:sqref>AG52</xm:sqref>
            </x14:sparkline>
            <x14:sparkline>
              <xm:f>'RAWABI INCOME (9-19)'!AI51:AI51</xm:f>
              <xm:sqref>AI52</xm:sqref>
            </x14:sparkline>
            <x14:sparkline>
              <xm:f>'RAWABI INCOME (9-19)'!AJ51:AJ51</xm:f>
              <xm:sqref>AJ52</xm:sqref>
            </x14:sparkline>
            <x14:sparkline>
              <xm:f>'RAWABI INCOME (9-19)'!AK51:AK51</xm:f>
              <xm:sqref>AK52</xm:sqref>
            </x14:sparkline>
            <x14:sparkline>
              <xm:f>'RAWABI INCOME (9-19)'!AL51:AL51</xm:f>
              <xm:sqref>AL52</xm:sqref>
            </x14:sparkline>
            <x14:sparkline>
              <xm:f>'RAWABI INCOME (9-19)'!AM51:AM51</xm:f>
              <xm:sqref>AM52</xm:sqref>
            </x14:sparkline>
            <x14:sparkline>
              <xm:f>'RAWABI INCOME (9-19)'!AN51:AN51</xm:f>
              <xm:sqref>AN52</xm:sqref>
            </x14:sparkline>
            <x14:sparkline>
              <xm:f>'RAWABI INCOME (9-19)'!AO51:AO51</xm:f>
              <xm:sqref>AO52</xm:sqref>
            </x14:sparkline>
            <x14:sparkline>
              <xm:f>'RAWABI INCOME (9-19)'!AR51:AR51</xm:f>
              <xm:sqref>AR52</xm:sqref>
            </x14:sparkline>
            <x14:sparkline>
              <xm:f>'RAWABI INCOME (9-19)'!AS51:AS51</xm:f>
              <xm:sqref>AS52</xm:sqref>
            </x14:sparkline>
            <x14:sparkline>
              <xm:f>'RAWABI INCOME (9-19)'!AT51:AT51</xm:f>
              <xm:sqref>AT52</xm:sqref>
            </x14:sparkline>
            <x14:sparkline>
              <xm:f>'RAWABI INCOME (9-19)'!AU51:AU51</xm:f>
              <xm:sqref>AU52</xm:sqref>
            </x14:sparkline>
            <x14:sparkline>
              <xm:f>'RAWABI INCOME (9-19)'!AV51:AV51</xm:f>
              <xm:sqref>AV52</xm:sqref>
            </x14:sparkline>
            <x14:sparkline>
              <xm:f>'RAWABI INCOME (9-19)'!AW51:AW51</xm:f>
              <xm:sqref>AW52</xm:sqref>
            </x14:sparkline>
            <x14:sparkline>
              <xm:f>'RAWABI INCOME (9-19)'!AX51:AX51</xm:f>
              <xm:sqref>AX52</xm:sqref>
            </x14:sparkline>
            <x14:sparkline>
              <xm:f>'RAWABI INCOME (9-19)'!BD51:BD51</xm:f>
              <xm:sqref>BD52</xm:sqref>
            </x14:sparkline>
            <x14:sparkline>
              <xm:f>'RAWABI INCOME (9-19)'!BE51:BE51</xm:f>
              <xm:sqref>BE52</xm:sqref>
            </x14:sparkline>
            <x14:sparkline>
              <xm:f>'RAWABI INCOME (9-19)'!BF51:BF51</xm:f>
              <xm:sqref>BF52</xm:sqref>
            </x14:sparkline>
            <x14:sparkline>
              <xm:f>'RAWABI INCOME (9-19)'!BG51:BG51</xm:f>
              <xm:sqref>BG52</xm:sqref>
            </x14:sparkline>
            <x14:sparkline>
              <xm:f>'RAWABI INCOME (9-19)'!BH51:BH51</xm:f>
              <xm:sqref>BH52</xm:sqref>
            </x14:sparkline>
            <x14:sparkline>
              <xm:f>'RAWABI INCOME (9-19)'!BI51:BI51</xm:f>
              <xm:sqref>BI52</xm:sqref>
            </x14:sparkline>
            <x14:sparkline>
              <xm:f>'RAWABI INCOME (9-19)'!BJ51:BJ51</xm:f>
              <xm:sqref>BJ52</xm:sqref>
            </x14:sparkline>
            <x14:sparkline>
              <xm:f>'RAWABI INCOME (9-19)'!BK51:BK51</xm:f>
              <xm:sqref>BK52</xm:sqref>
            </x14:sparkline>
            <x14:sparkline>
              <xm:f>'RAWABI INCOME (9-19)'!BL51:BL51</xm:f>
              <xm:sqref>BL52</xm:sqref>
            </x14:sparkline>
            <x14:sparkline>
              <xm:f>'RAWABI INCOME (9-19)'!BM51:BM51</xm:f>
              <xm:sqref>BM52</xm:sqref>
            </x14:sparkline>
            <x14:sparkline>
              <xm:f>'RAWABI INCOME (9-19)'!BN51:BN51</xm:f>
              <xm:sqref>BN52</xm:sqref>
            </x14:sparkline>
            <x14:sparkline>
              <xm:f>'RAWABI INCOME (9-19)'!BO51:BO51</xm:f>
              <xm:sqref>BO52</xm:sqref>
            </x14:sparkline>
            <x14:sparkline>
              <xm:f>'RAWABI INCOME (9-19)'!AY51:AY51</xm:f>
              <xm:sqref>AY52</xm:sqref>
            </x14:sparkline>
            <x14:sparkline>
              <xm:f>'RAWABI INCOME (9-19)'!AP51:AP51</xm:f>
              <xm:sqref>AP52</xm:sqref>
            </x14:sparkline>
            <x14:sparkline>
              <xm:f>'RAWABI INCOME (9-19)'!AQ51:AQ51</xm:f>
              <xm:sqref>AQ52</xm:sqref>
            </x14:sparkline>
            <x14:sparkline>
              <xm:f>'RAWABI INCOME (9-19)'!AZ51:AZ51</xm:f>
              <xm:sqref>AZ52</xm:sqref>
            </x14:sparkline>
            <x14:sparkline>
              <xm:f>'RAWABI INCOME (9-19)'!BA51:BA51</xm:f>
              <xm:sqref>BA52</xm:sqref>
            </x14:sparkline>
            <x14:sparkline>
              <xm:f>'RAWABI INCOME (9-19)'!BB51:BB51</xm:f>
              <xm:sqref>BB52</xm:sqref>
            </x14:sparkline>
            <x14:sparkline>
              <xm:f>'RAWABI INCOME (9-19)'!BC51:BC51</xm:f>
              <xm:sqref>BC52</xm:sqref>
            </x14:sparkline>
          </x14:sparklines>
        </x14:sparklineGroup>
        <x14:sparklineGroup type="stacked" displayEmptyCellsAs="gap" negative="1" xr2:uid="{00000000-0003-0000-1400-00007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(9-19)'!U83:U83</xm:f>
              <xm:sqref>U84</xm:sqref>
            </x14:sparkline>
          </x14:sparklines>
        </x14:sparklineGroup>
        <x14:sparklineGroup type="stacked" displayEmptyCellsAs="gap" negative="1" xr2:uid="{00000000-0003-0000-1400-00007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(9-19)'!Z51:Z51</xm:f>
              <xm:sqref>Z52</xm:sqref>
            </x14:sparkline>
            <x14:sparkline>
              <xm:f>'RAWABI INCOME (9-19)'!AA51:AA51</xm:f>
              <xm:sqref>AA52</xm:sqref>
            </x14:sparkline>
            <x14:sparkline>
              <xm:f>'RAWABI INCOME (9-19)'!AB51:AB51</xm:f>
              <xm:sqref>AB52</xm:sqref>
            </x14:sparkline>
            <x14:sparkline>
              <xm:f>'RAWABI INCOME (9-19)'!AC51:AC51</xm:f>
              <xm:sqref>AC52</xm:sqref>
            </x14:sparkline>
            <x14:sparkline>
              <xm:f>'RAWABI INCOME (9-19)'!AD51:AD51</xm:f>
              <xm:sqref>AD52</xm:sqref>
            </x14:sparkline>
            <x14:sparkline>
              <xm:f>'RAWABI INCOME (9-19)'!AE51:AE51</xm:f>
              <xm:sqref>AE52</xm:sqref>
            </x14:sparkline>
            <x14:sparkline>
              <xm:f>'RAWABI INCOME (9-19)'!AF51:AF51</xm:f>
              <xm:sqref>AF52</xm:sqref>
            </x14:sparkline>
          </x14:sparklines>
        </x14:sparklineGroup>
        <x14:sparklineGroup type="stacked" displayEmptyCellsAs="gap" negative="1" xr2:uid="{00000000-0003-0000-1400-00007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(9-19)'!BQ51:BQ51</xm:f>
              <xm:sqref>BQ52</xm:sqref>
            </x14:sparkline>
          </x14:sparklines>
        </x14:sparklineGroup>
        <x14:sparklineGroup type="stacked" displayEmptyCellsAs="gap" negative="1" xr2:uid="{00000000-0003-0000-1400-00007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(9-19)'!BQ51:BQ51</xm:f>
              <xm:sqref>BR51</xm:sqref>
            </x14:sparkline>
          </x14:sparklines>
        </x14:sparklineGroup>
        <x14:sparklineGroup type="stacked" displayEmptyCellsAs="gap" negative="1" xr2:uid="{00000000-0003-0000-1400-00007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(9-19)'!N51:N51</xm:f>
              <xm:sqref>N52</xm:sqref>
            </x14:sparkline>
            <x14:sparkline>
              <xm:f>'RAWABI INCOME (9-19)'!O51:O51</xm:f>
              <xm:sqref>O52</xm:sqref>
            </x14:sparkline>
            <x14:sparkline>
              <xm:f>'RAWABI INCOME (9-19)'!P51:P51</xm:f>
              <xm:sqref>P52</xm:sqref>
            </x14:sparkline>
            <x14:sparkline>
              <xm:f>'RAWABI INCOME (9-19)'!Q51:Q51</xm:f>
              <xm:sqref>Q52</xm:sqref>
            </x14:sparkline>
            <x14:sparkline>
              <xm:f>'RAWABI INCOME (9-19)'!R51:R51</xm:f>
              <xm:sqref>R52</xm:sqref>
            </x14:sparkline>
            <x14:sparkline>
              <xm:f>'RAWABI INCOME (9-19)'!S51:S51</xm:f>
              <xm:sqref>S52</xm:sqref>
            </x14:sparkline>
            <x14:sparkline>
              <xm:f>'RAWABI INCOME (9-19)'!T51:T51</xm:f>
              <xm:sqref>T52</xm:sqref>
            </x14:sparkline>
          </x14:sparklines>
        </x14:sparklineGroup>
        <x14:sparklineGroup type="stacked" displayEmptyCellsAs="gap" negative="1" xr2:uid="{00000000-0003-0000-1400-00006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(9-19)'!V51:V51</xm:f>
              <xm:sqref>V52</xm:sqref>
            </x14:sparkline>
            <x14:sparkline>
              <xm:f>'RAWABI INCOME (9-19)'!W51:W51</xm:f>
              <xm:sqref>W52</xm:sqref>
            </x14:sparkline>
            <x14:sparkline>
              <xm:f>'RAWABI INCOME (9-19)'!X51:X51</xm:f>
              <xm:sqref>X52</xm:sqref>
            </x14:sparkline>
          </x14:sparklines>
        </x14:sparklineGroup>
        <x14:sparklineGroup type="stacked" displayEmptyCellsAs="gap" negative="1" xr2:uid="{00000000-0003-0000-1400-00006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(9-19)'!AH51:AH51</xm:f>
              <xm:sqref>AH52</xm:sqref>
            </x14:sparkline>
          </x14:sparklines>
        </x14:sparklineGroup>
        <x14:sparklineGroup type="stacked" displayEmptyCellsAs="gap" negative="1" xr2:uid="{00000000-0003-0000-1400-00006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(9-19)'!BQ89:BQ89</xm:f>
              <xm:sqref>BR89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FR113"/>
  <sheetViews>
    <sheetView zoomScale="80" zoomScaleNormal="80" zoomScaleSheetLayoutView="80" workbookViewId="0">
      <pane xSplit="12" ySplit="12" topLeftCell="BM13" activePane="bottomRight" state="frozen"/>
      <selection activeCell="BT4" sqref="BT4:BT5"/>
      <selection pane="topRight" activeCell="BT4" sqref="BT4:BT5"/>
      <selection pane="bottomLeft" activeCell="BT4" sqref="BT4:BT5"/>
      <selection pane="bottomRight" activeCell="BT4" sqref="BT4:BT5"/>
    </sheetView>
  </sheetViews>
  <sheetFormatPr defaultColWidth="9.125" defaultRowHeight="16.5" x14ac:dyDescent="0.2"/>
  <cols>
    <col min="1" max="1" width="1.75" style="1719" customWidth="1"/>
    <col min="2" max="2" width="4.75" style="1719" customWidth="1"/>
    <col min="3" max="3" width="59.75" style="1719" bestFit="1" customWidth="1"/>
    <col min="4" max="4" width="0.875" style="1923" customWidth="1"/>
    <col min="5" max="5" width="13.75" style="1719" bestFit="1" customWidth="1"/>
    <col min="6" max="9" width="10.875" style="1719" hidden="1" customWidth="1"/>
    <col min="10" max="10" width="12.875" style="1719" bestFit="1" customWidth="1"/>
    <col min="11" max="11" width="12" style="1719" bestFit="1" customWidth="1"/>
    <col min="12" max="12" width="0.875" style="1719" customWidth="1"/>
    <col min="13" max="13" width="0.875" style="1923" customWidth="1"/>
    <col min="14" max="20" width="8.875" style="1719" customWidth="1"/>
    <col min="21" max="21" width="0.875" style="1923" customWidth="1"/>
    <col min="22" max="22" width="10.125" style="1719" customWidth="1"/>
    <col min="23" max="23" width="9.625" style="1719" customWidth="1"/>
    <col min="24" max="24" width="9.375" style="1719" customWidth="1"/>
    <col min="25" max="25" width="0.875" style="1923" customWidth="1"/>
    <col min="26" max="26" width="8.875" style="1719" customWidth="1"/>
    <col min="27" max="27" width="8.75" style="1719" customWidth="1"/>
    <col min="28" max="28" width="9.25" style="1719" customWidth="1"/>
    <col min="29" max="30" width="8.875" style="1719" customWidth="1"/>
    <col min="31" max="32" width="9.25" style="1719" customWidth="1"/>
    <col min="33" max="33" width="0.875" style="1923" customWidth="1"/>
    <col min="34" max="34" width="10.125" style="1719" customWidth="1"/>
    <col min="35" max="36" width="9.375" style="1719" customWidth="1"/>
    <col min="37" max="37" width="0.875" style="1923" customWidth="1"/>
    <col min="38" max="44" width="8.875" style="1719" customWidth="1"/>
    <col min="45" max="45" width="0.875" style="1923" customWidth="1"/>
    <col min="46" max="46" width="10.125" style="1719" customWidth="1"/>
    <col min="47" max="47" width="9.625" style="1719" customWidth="1"/>
    <col min="48" max="48" width="9.375" style="1719" customWidth="1"/>
    <col min="49" max="49" width="0.875" style="1923" customWidth="1"/>
    <col min="50" max="50" width="9" style="1719" customWidth="1"/>
    <col min="51" max="55" width="8.875" style="1719" customWidth="1"/>
    <col min="56" max="56" width="9.125" style="1719" customWidth="1"/>
    <col min="57" max="57" width="0.875" style="1923" customWidth="1"/>
    <col min="58" max="58" width="10" style="1719" customWidth="1"/>
    <col min="59" max="59" width="9.25" style="1719" customWidth="1"/>
    <col min="60" max="60" width="9" style="1719" customWidth="1"/>
    <col min="61" max="61" width="0.875" style="1719" customWidth="1"/>
    <col min="62" max="62" width="8.875" style="1719" customWidth="1"/>
    <col min="63" max="64" width="9" style="1719" customWidth="1"/>
    <col min="65" max="65" width="0.875" style="1719" customWidth="1"/>
    <col min="66" max="68" width="9" style="1719" customWidth="1"/>
    <col min="69" max="69" width="0.875" style="1719" customWidth="1"/>
    <col min="70" max="70" width="10" style="1719" bestFit="1" customWidth="1"/>
    <col min="71" max="71" width="11" style="1719" bestFit="1" customWidth="1"/>
    <col min="72" max="72" width="0.875" style="1719" customWidth="1"/>
    <col min="73" max="73" width="10.375" style="1719" bestFit="1" customWidth="1"/>
    <col min="74" max="74" width="10.25" style="1719" bestFit="1" customWidth="1"/>
    <col min="75" max="75" width="0.875" style="1923" customWidth="1"/>
    <col min="76" max="76" width="10.375" style="1719" bestFit="1" customWidth="1"/>
    <col min="77" max="77" width="1.875" style="1719" customWidth="1"/>
    <col min="78" max="79" width="12.25" style="1719" bestFit="1" customWidth="1"/>
    <col min="80" max="80" width="13.125" style="1719" bestFit="1" customWidth="1"/>
    <col min="81" max="81" width="16.25" style="1719" bestFit="1" customWidth="1"/>
    <col min="82" max="82" width="12" style="1719" customWidth="1"/>
    <col min="83" max="83" width="12" style="1719" bestFit="1" customWidth="1"/>
    <col min="84" max="84" width="10.875" style="1719" customWidth="1"/>
    <col min="85" max="85" width="10" style="1719" bestFit="1" customWidth="1"/>
    <col min="86" max="86" width="13" style="1719" bestFit="1" customWidth="1"/>
    <col min="87" max="87" width="12" style="1719" bestFit="1" customWidth="1"/>
    <col min="88" max="88" width="12.125" style="1719" bestFit="1" customWidth="1"/>
    <col min="89" max="89" width="11" style="1719" bestFit="1" customWidth="1"/>
    <col min="90" max="91" width="9.125" style="1719" customWidth="1"/>
    <col min="92" max="16384" width="9.125" style="1719"/>
  </cols>
  <sheetData>
    <row r="1" spans="2:174" s="1726" customFormat="1" ht="18" customHeight="1" x14ac:dyDescent="0.2">
      <c r="C1" s="4558" t="s">
        <v>256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535" t="s">
        <v>145</v>
      </c>
      <c r="BK1" s="4536"/>
      <c r="BL1" s="4536"/>
      <c r="BN1" s="4541" t="s">
        <v>146</v>
      </c>
      <c r="BO1" s="4542"/>
      <c r="BP1" s="4543"/>
      <c r="BR1" s="4613" t="s">
        <v>54</v>
      </c>
      <c r="BS1" s="4579" t="s">
        <v>61</v>
      </c>
      <c r="BU1" s="4582">
        <f>CA34/31</f>
        <v>1</v>
      </c>
      <c r="BV1" s="4583"/>
      <c r="BW1" s="4583"/>
      <c r="BX1" s="4584"/>
      <c r="BZ1" s="2454" t="e">
        <f>BU3/'RAWABI INCOME 1-2020'!CA1712/31/CA201934*31</f>
        <v>#DIV/0!</v>
      </c>
      <c r="CA1" s="2455" t="e">
        <f>BZ1*BU5</f>
        <v>#DIV/0!</v>
      </c>
      <c r="CB1" s="2456" t="e">
        <f>CA1-E56+BX5</f>
        <v>#DIV/0!</v>
      </c>
      <c r="CC1" s="2762" t="e">
        <f>CB1/2</f>
        <v>#DIV/0!</v>
      </c>
      <c r="CD1" s="4570"/>
      <c r="CE1" s="4566"/>
      <c r="CF1" s="4568"/>
      <c r="CH1" s="4570"/>
      <c r="CI1" s="4566"/>
      <c r="CJ1" s="4568"/>
    </row>
    <row r="2" spans="2:174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1721"/>
      <c r="N2" s="4575"/>
      <c r="O2" s="4576"/>
      <c r="P2" s="4576"/>
      <c r="Q2" s="4576"/>
      <c r="R2" s="4576"/>
      <c r="S2" s="4576"/>
      <c r="T2" s="4577"/>
      <c r="U2" s="2258"/>
      <c r="V2" s="4544"/>
      <c r="W2" s="4545"/>
      <c r="X2" s="4546"/>
      <c r="Y2" s="2258"/>
      <c r="Z2" s="4575"/>
      <c r="AA2" s="4576"/>
      <c r="AB2" s="4576"/>
      <c r="AC2" s="4576"/>
      <c r="AD2" s="4576"/>
      <c r="AE2" s="4576"/>
      <c r="AF2" s="4577"/>
      <c r="AG2" s="2258"/>
      <c r="AH2" s="4544"/>
      <c r="AI2" s="4545"/>
      <c r="AJ2" s="4546"/>
      <c r="AK2" s="2258"/>
      <c r="AL2" s="4575"/>
      <c r="AM2" s="4576"/>
      <c r="AN2" s="4576"/>
      <c r="AO2" s="4576"/>
      <c r="AP2" s="4576"/>
      <c r="AQ2" s="4576"/>
      <c r="AR2" s="4577"/>
      <c r="AS2" s="2258"/>
      <c r="AT2" s="4544"/>
      <c r="AU2" s="4545"/>
      <c r="AV2" s="4546"/>
      <c r="AW2" s="2258"/>
      <c r="AX2" s="4575"/>
      <c r="AY2" s="4576"/>
      <c r="AZ2" s="4576"/>
      <c r="BA2" s="4576"/>
      <c r="BB2" s="4576"/>
      <c r="BC2" s="4576"/>
      <c r="BD2" s="4577"/>
      <c r="BE2" s="2258"/>
      <c r="BF2" s="4544"/>
      <c r="BG2" s="4545"/>
      <c r="BH2" s="4546"/>
      <c r="BI2" s="1724"/>
      <c r="BJ2" s="4538"/>
      <c r="BK2" s="4539"/>
      <c r="BL2" s="4539"/>
      <c r="BM2" s="1724"/>
      <c r="BN2" s="4544"/>
      <c r="BO2" s="4545"/>
      <c r="BP2" s="4546"/>
      <c r="BR2" s="4614"/>
      <c r="BS2" s="4580"/>
      <c r="BU2" s="4585"/>
      <c r="BV2" s="4586"/>
      <c r="BW2" s="4586"/>
      <c r="BX2" s="4587"/>
      <c r="BZ2" s="2744"/>
      <c r="CA2" s="2833" t="e">
        <f>CA1/BZ1</f>
        <v>#DIV/0!</v>
      </c>
      <c r="CB2" s="2745"/>
      <c r="CC2" s="2746"/>
      <c r="CD2" s="4571"/>
      <c r="CE2" s="4567"/>
      <c r="CF2" s="4569"/>
      <c r="CG2" s="1725"/>
      <c r="CH2" s="4571"/>
      <c r="CI2" s="4567"/>
      <c r="CJ2" s="4569"/>
      <c r="CK2" s="1725"/>
    </row>
    <row r="3" spans="2:174" s="1726" customFormat="1" ht="17.25" customHeight="1" x14ac:dyDescent="0.2">
      <c r="C3" s="2259" t="s">
        <v>189</v>
      </c>
      <c r="D3" s="1727"/>
      <c r="E3" s="2260"/>
      <c r="F3" s="2260"/>
      <c r="G3" s="2260"/>
      <c r="H3" s="2260"/>
      <c r="I3" s="2260"/>
      <c r="J3" s="2261">
        <f>BU3</f>
        <v>24641.410000000003</v>
      </c>
      <c r="K3" s="2469">
        <f>BU3/CA34</f>
        <v>794.8841935483872</v>
      </c>
      <c r="L3" s="1730"/>
      <c r="M3" s="1731"/>
      <c r="N3" s="1732">
        <v>708.75199999999995</v>
      </c>
      <c r="O3" s="1732">
        <v>576.20100000000002</v>
      </c>
      <c r="P3" s="1732">
        <v>450.9</v>
      </c>
      <c r="Q3" s="1732">
        <v>914.55</v>
      </c>
      <c r="R3" s="1732">
        <v>913.298</v>
      </c>
      <c r="S3" s="1732">
        <v>1160.74</v>
      </c>
      <c r="T3" s="1732">
        <v>512.69899999999996</v>
      </c>
      <c r="U3" s="1733"/>
      <c r="V3" s="2207">
        <f>SUM(N3:T3)</f>
        <v>5237.1399999999994</v>
      </c>
      <c r="W3" s="2275">
        <f>($J$56*100/25)*7</f>
        <v>2888.0952258064517</v>
      </c>
      <c r="X3" s="2277">
        <f>V3-W3</f>
        <v>2349.0447741935477</v>
      </c>
      <c r="Y3" s="1737"/>
      <c r="Z3" s="1732">
        <v>575.65</v>
      </c>
      <c r="AA3" s="1732">
        <v>755.44600000000003</v>
      </c>
      <c r="AB3" s="1732">
        <v>838.851</v>
      </c>
      <c r="AC3" s="1732">
        <v>824.65</v>
      </c>
      <c r="AD3" s="1732">
        <v>1115.799</v>
      </c>
      <c r="AE3" s="1732">
        <v>1049.2</v>
      </c>
      <c r="AF3" s="1732">
        <v>787.99599999999998</v>
      </c>
      <c r="AG3" s="1738"/>
      <c r="AH3" s="2207">
        <f>SUM(Z3:AF3)</f>
        <v>5947.5920000000006</v>
      </c>
      <c r="AI3" s="2275">
        <f>($J$56*100/25)*7</f>
        <v>2888.0952258064517</v>
      </c>
      <c r="AJ3" s="2277">
        <f>AH3-AI3</f>
        <v>3059.4967741935488</v>
      </c>
      <c r="AK3" s="1738"/>
      <c r="AL3" s="1732">
        <v>1272.846</v>
      </c>
      <c r="AM3" s="1732">
        <v>555.98099999999999</v>
      </c>
      <c r="AN3" s="1732">
        <v>710.3</v>
      </c>
      <c r="AO3" s="1732">
        <v>701.5</v>
      </c>
      <c r="AP3" s="1732">
        <v>1154.498</v>
      </c>
      <c r="AQ3" s="1732">
        <v>848.29600000000005</v>
      </c>
      <c r="AR3" s="1732">
        <v>840.54899999999998</v>
      </c>
      <c r="AS3" s="2205"/>
      <c r="AT3" s="2207">
        <f>SUM(AL3:AR3)</f>
        <v>6083.97</v>
      </c>
      <c r="AU3" s="2275">
        <f>($J$56*100/25)*7</f>
        <v>2888.0952258064517</v>
      </c>
      <c r="AV3" s="2277">
        <f>AT3-AU3</f>
        <v>3195.8747741935485</v>
      </c>
      <c r="AW3" s="2205"/>
      <c r="AX3" s="1732">
        <v>681.4</v>
      </c>
      <c r="AY3" s="1732">
        <v>738.35199999999998</v>
      </c>
      <c r="AZ3" s="1732">
        <v>509.45</v>
      </c>
      <c r="BA3" s="1732">
        <v>883.048</v>
      </c>
      <c r="BB3" s="1732">
        <v>944.40200000000004</v>
      </c>
      <c r="BC3" s="1732">
        <v>731.95</v>
      </c>
      <c r="BD3" s="1732">
        <v>672.99800000000005</v>
      </c>
      <c r="BE3" s="2205"/>
      <c r="BF3" s="2207">
        <f>SUM(AX3:BD3)</f>
        <v>5161.6000000000004</v>
      </c>
      <c r="BG3" s="2275">
        <f>($J$56*100/25)*7</f>
        <v>2888.0952258064517</v>
      </c>
      <c r="BH3" s="2277">
        <f>BF3-BG3</f>
        <v>2273.5047741935487</v>
      </c>
      <c r="BI3" s="1861"/>
      <c r="BJ3" s="1732">
        <v>684.09900000000005</v>
      </c>
      <c r="BK3" s="1739">
        <v>910.25900000000001</v>
      </c>
      <c r="BL3" s="1732">
        <v>616.75</v>
      </c>
      <c r="BM3" s="1861"/>
      <c r="BN3" s="2207">
        <f>SUM(BJ3:BL3)</f>
        <v>2211.1080000000002</v>
      </c>
      <c r="BO3" s="2275">
        <f>($J$56*100/25)*2</f>
        <v>825.17006451612906</v>
      </c>
      <c r="BP3" s="2277">
        <f>BN3-BO3</f>
        <v>1385.9379354838711</v>
      </c>
      <c r="BR3" s="4614"/>
      <c r="BS3" s="4580"/>
      <c r="BU3" s="2345">
        <f>SUM(N3:T3)+SUM(Z3:AF3)+SUM(AL3:AR3)+SUM(AX3:BD3)+SUM(BJ3:BL3)</f>
        <v>24641.410000000003</v>
      </c>
      <c r="BV3" s="2346">
        <f>BU3/BZ3</f>
        <v>1.9265948383973404</v>
      </c>
      <c r="BW3" s="1997"/>
      <c r="BX3" s="2797">
        <f>BU3/CA34*30</f>
        <v>23846.525806451617</v>
      </c>
      <c r="BY3" s="1740"/>
      <c r="BZ3" s="2747">
        <f>C56</f>
        <v>12790.135999999999</v>
      </c>
      <c r="CA3" s="2748">
        <f>BZ3-BU3</f>
        <v>-11851.274000000005</v>
      </c>
      <c r="CB3" s="2749" t="e">
        <f>CA3/CA37</f>
        <v>#DIV/0!</v>
      </c>
      <c r="CC3" s="2582" t="e">
        <f>BZ1/'RAWABI INCOME (9-19)'!BY1-1</f>
        <v>#DIV/0!</v>
      </c>
      <c r="CD3" s="2333"/>
      <c r="CE3" s="2334"/>
      <c r="CF3" s="2335"/>
      <c r="CG3" s="1742"/>
      <c r="CH3" s="2333"/>
      <c r="CI3" s="2334"/>
      <c r="CJ3" s="2335"/>
      <c r="CK3" s="1742"/>
    </row>
    <row r="4" spans="2:174" s="2713" customFormat="1" ht="17.25" customHeight="1" x14ac:dyDescent="0.2">
      <c r="C4" s="2714"/>
      <c r="D4" s="2715"/>
      <c r="E4" s="2716"/>
      <c r="F4" s="2716"/>
      <c r="G4" s="2716"/>
      <c r="H4" s="2716"/>
      <c r="I4" s="2716"/>
      <c r="J4" s="2717">
        <f>BU4</f>
        <v>6055.3610000000008</v>
      </c>
      <c r="K4" s="2718"/>
      <c r="L4" s="2719"/>
      <c r="M4" s="2720"/>
      <c r="N4" s="2721">
        <v>183.995</v>
      </c>
      <c r="O4" s="2721">
        <v>134.096</v>
      </c>
      <c r="P4" s="2721">
        <v>126.143</v>
      </c>
      <c r="Q4" s="2721">
        <v>219.33</v>
      </c>
      <c r="R4" s="2721">
        <v>221.155</v>
      </c>
      <c r="S4" s="2721">
        <v>292.35700000000003</v>
      </c>
      <c r="T4" s="2721">
        <v>114.67400000000001</v>
      </c>
      <c r="U4" s="2722"/>
      <c r="V4" s="2781">
        <f>SUM(N4:T4)</f>
        <v>1291.75</v>
      </c>
      <c r="W4" s="2782">
        <f>W3*V5</f>
        <v>712.35388168647091</v>
      </c>
      <c r="X4" s="2783">
        <f>X3*25%</f>
        <v>587.26119354838693</v>
      </c>
      <c r="Y4" s="2723"/>
      <c r="Z4" s="2721">
        <v>137.51300000000001</v>
      </c>
      <c r="AA4" s="2721">
        <v>188.77799999999999</v>
      </c>
      <c r="AB4" s="2721">
        <v>206.077</v>
      </c>
      <c r="AC4" s="2721">
        <v>202.55600000000001</v>
      </c>
      <c r="AD4" s="2721">
        <v>269.65199999999999</v>
      </c>
      <c r="AE4" s="2721">
        <v>268.53399999999999</v>
      </c>
      <c r="AF4" s="2721">
        <v>199.572</v>
      </c>
      <c r="AG4" s="2724"/>
      <c r="AH4" s="2781">
        <f>SUM(Z4:AF4)</f>
        <v>1472.6820000000002</v>
      </c>
      <c r="AI4" s="2782">
        <f>AI3*AH5</f>
        <v>715.12064938736501</v>
      </c>
      <c r="AJ4" s="2783">
        <f>AJ3*25%</f>
        <v>764.87419354838721</v>
      </c>
      <c r="AK4" s="2724"/>
      <c r="AL4" s="2721">
        <v>287.02699999999999</v>
      </c>
      <c r="AM4" s="2721">
        <v>147.36600000000001</v>
      </c>
      <c r="AN4" s="2721">
        <v>185.96600000000001</v>
      </c>
      <c r="AO4" s="2721">
        <v>171.76400000000001</v>
      </c>
      <c r="AP4" s="2721">
        <v>277.06400000000002</v>
      </c>
      <c r="AQ4" s="2721">
        <v>221.45599999999999</v>
      </c>
      <c r="AR4" s="2721">
        <v>196.46100000000001</v>
      </c>
      <c r="AS4" s="2725"/>
      <c r="AT4" s="2781">
        <f>SUM(AL4:AR4)</f>
        <v>1487.104</v>
      </c>
      <c r="AU4" s="2782">
        <f>AU3*AT5</f>
        <v>705.93674240301596</v>
      </c>
      <c r="AV4" s="2783">
        <f>AV3*25%</f>
        <v>798.96869354838714</v>
      </c>
      <c r="AW4" s="2725"/>
      <c r="AX4" s="2721">
        <v>154.89099999999999</v>
      </c>
      <c r="AY4" s="2721">
        <v>185.99</v>
      </c>
      <c r="AZ4" s="2721">
        <v>127.791</v>
      </c>
      <c r="BA4" s="2721">
        <v>213.124</v>
      </c>
      <c r="BB4" s="2721">
        <v>230.22</v>
      </c>
      <c r="BC4" s="2721">
        <v>179.84899999999999</v>
      </c>
      <c r="BD4" s="2721">
        <v>158.69999999999999</v>
      </c>
      <c r="BE4" s="2725"/>
      <c r="BF4" s="2781">
        <f>SUM(AX4:BD4)</f>
        <v>1250.5650000000001</v>
      </c>
      <c r="BG4" s="2782">
        <f>BG3*BF5</f>
        <v>699.73473459017464</v>
      </c>
      <c r="BH4" s="2783">
        <f>BH3*25%</f>
        <v>568.37619354838716</v>
      </c>
      <c r="BI4" s="2726"/>
      <c r="BJ4" s="2721">
        <v>167.102</v>
      </c>
      <c r="BK4" s="2721">
        <v>231.02</v>
      </c>
      <c r="BL4" s="2721">
        <v>155.13800000000001</v>
      </c>
      <c r="BM4" s="2726"/>
      <c r="BN4" s="2781">
        <f>SUM(BJ4:BL4)</f>
        <v>553.26</v>
      </c>
      <c r="BO4" s="2782">
        <f>BO3*BN5</f>
        <v>206.47276835604302</v>
      </c>
      <c r="BP4" s="2783">
        <f>BP3*25%</f>
        <v>346.48448387096778</v>
      </c>
      <c r="BR4" s="4614"/>
      <c r="BS4" s="4580"/>
      <c r="BU4" s="2727">
        <f>SUM(N4:T4)+SUM(Z4:AF4)+SUM(AL4:AR4)+SUM(AX4:BD4)+SUM(BJ4:BL4)</f>
        <v>6055.3610000000008</v>
      </c>
      <c r="BV4" s="2728">
        <f>BU4/E56</f>
        <v>1.893759691061925</v>
      </c>
      <c r="BW4" s="2729"/>
      <c r="BX4" s="2798"/>
      <c r="BY4" s="2730"/>
      <c r="BZ4" s="2750"/>
      <c r="CA4" s="2751">
        <f>CA3/K3</f>
        <v>-14.90943472796403</v>
      </c>
      <c r="CB4" s="2752" t="s">
        <v>251</v>
      </c>
      <c r="CC4" s="2772" t="s">
        <v>253</v>
      </c>
      <c r="CD4" s="2731"/>
      <c r="CE4" s="2732"/>
      <c r="CF4" s="2733"/>
      <c r="CG4" s="2734"/>
      <c r="CH4" s="2731"/>
      <c r="CI4" s="2732"/>
      <c r="CJ4" s="2733"/>
      <c r="CK4" s="2734"/>
    </row>
    <row r="5" spans="2:174" s="1885" customFormat="1" ht="17.25" customHeight="1" x14ac:dyDescent="0.2">
      <c r="C5" s="2812"/>
      <c r="D5" s="1888"/>
      <c r="E5" s="2813"/>
      <c r="F5" s="2813"/>
      <c r="G5" s="2813"/>
      <c r="H5" s="2813"/>
      <c r="I5" s="2813"/>
      <c r="J5" s="2814"/>
      <c r="K5" s="2815"/>
      <c r="L5" s="2816"/>
      <c r="M5" s="2817"/>
      <c r="N5" s="2818">
        <f>N4/N3</f>
        <v>0.25960420570241777</v>
      </c>
      <c r="O5" s="2818">
        <f t="shared" ref="O5:T5" si="0">O4/O3</f>
        <v>0.23272434445618803</v>
      </c>
      <c r="P5" s="2818">
        <f t="shared" si="0"/>
        <v>0.27975826125526726</v>
      </c>
      <c r="Q5" s="2818">
        <f t="shared" si="0"/>
        <v>0.23982286370346073</v>
      </c>
      <c r="R5" s="2818">
        <f t="shared" si="0"/>
        <v>0.24214987879093133</v>
      </c>
      <c r="S5" s="2818">
        <f t="shared" si="0"/>
        <v>0.25187122008373969</v>
      </c>
      <c r="T5" s="2818">
        <f t="shared" si="0"/>
        <v>0.22366729796625315</v>
      </c>
      <c r="U5" s="2819"/>
      <c r="V5" s="2820">
        <f>V4/V3</f>
        <v>0.24665179850070842</v>
      </c>
      <c r="W5" s="2821">
        <v>1279.9059999999999</v>
      </c>
      <c r="X5" s="2245">
        <f>W5-V4</f>
        <v>-11.844000000000051</v>
      </c>
      <c r="Y5" s="2822"/>
      <c r="Z5" s="2818">
        <f>Z4/Z3</f>
        <v>0.23888300182402503</v>
      </c>
      <c r="AA5" s="2818">
        <f t="shared" ref="AA5:AF5" si="1">AA4/AA3</f>
        <v>0.24988946926716138</v>
      </c>
      <c r="AB5" s="2818">
        <f t="shared" si="1"/>
        <v>0.24566579762079321</v>
      </c>
      <c r="AC5" s="2818">
        <f t="shared" si="1"/>
        <v>0.24562662947917299</v>
      </c>
      <c r="AD5" s="2818">
        <f t="shared" si="1"/>
        <v>0.24166718199245563</v>
      </c>
      <c r="AE5" s="2818">
        <f t="shared" si="1"/>
        <v>0.25594166984369043</v>
      </c>
      <c r="AF5" s="2818">
        <f t="shared" si="1"/>
        <v>0.25326524500124364</v>
      </c>
      <c r="AG5" s="2823"/>
      <c r="AH5" s="2820">
        <f>AH4/AH3</f>
        <v>0.24760978897005714</v>
      </c>
      <c r="AI5" s="2821">
        <v>1477.8510000000001</v>
      </c>
      <c r="AJ5" s="2245">
        <f>AI5-AH4</f>
        <v>5.168999999999869</v>
      </c>
      <c r="AK5" s="2823"/>
      <c r="AL5" s="2818">
        <f>AL4/AL3</f>
        <v>0.22550017834050623</v>
      </c>
      <c r="AM5" s="2818">
        <f t="shared" ref="AM5" si="2">AM4/AM3</f>
        <v>0.2650558202528504</v>
      </c>
      <c r="AN5" s="2818">
        <f t="shared" ref="AN5" si="3">AN4/AN3</f>
        <v>0.26181331831620447</v>
      </c>
      <c r="AO5" s="2818">
        <f t="shared" ref="AO5" si="4">AO4/AO3</f>
        <v>0.24485245901639346</v>
      </c>
      <c r="AP5" s="2818">
        <f t="shared" ref="AP5" si="5">AP4/AP3</f>
        <v>0.23998655692777296</v>
      </c>
      <c r="AQ5" s="2818">
        <f t="shared" ref="AQ5" si="6">AQ4/AQ3</f>
        <v>0.26105981874251438</v>
      </c>
      <c r="AR5" s="2818">
        <f t="shared" ref="AR5" si="7">AR4/AR3</f>
        <v>0.2337293840097365</v>
      </c>
      <c r="AS5" s="2823"/>
      <c r="AT5" s="2820">
        <f>AT4/AT3</f>
        <v>0.24442987062723845</v>
      </c>
      <c r="AU5" s="2821">
        <v>1488.7239999999999</v>
      </c>
      <c r="AV5" s="2245">
        <f>AU5-AT4</f>
        <v>1.6199999999998909</v>
      </c>
      <c r="AW5" s="2402"/>
      <c r="AX5" s="2818">
        <f>AX4/AX3</f>
        <v>0.22731288523627824</v>
      </c>
      <c r="AY5" s="2818">
        <f t="shared" ref="AY5" si="8">AY4/AY3</f>
        <v>0.25189882332545999</v>
      </c>
      <c r="AZ5" s="2818">
        <f t="shared" ref="AZ5" si="9">AZ4/AZ3</f>
        <v>0.25084110315045638</v>
      </c>
      <c r="BA5" s="2818">
        <f t="shared" ref="BA5" si="10">BA4/BA3</f>
        <v>0.24135041356755238</v>
      </c>
      <c r="BB5" s="2818">
        <f t="shared" ref="BB5" si="11">BB4/BB3</f>
        <v>0.24377330840044811</v>
      </c>
      <c r="BC5" s="2818">
        <f t="shared" ref="BC5" si="12">BC4/BC3</f>
        <v>0.24571213880729556</v>
      </c>
      <c r="BD5" s="2818">
        <f t="shared" ref="BD5" si="13">BD4/BD3</f>
        <v>0.23581050760923505</v>
      </c>
      <c r="BE5" s="2823"/>
      <c r="BF5" s="2820">
        <f>BF4/BF3</f>
        <v>0.24228243180409176</v>
      </c>
      <c r="BG5" s="2821">
        <v>1259.047</v>
      </c>
      <c r="BH5" s="2245">
        <f>BG5-BF4</f>
        <v>8.4819999999999709</v>
      </c>
      <c r="BI5" s="2011"/>
      <c r="BJ5" s="2818">
        <f t="shared" ref="BJ5" si="14">BJ4/BJ3</f>
        <v>0.24426581532789843</v>
      </c>
      <c r="BK5" s="2818">
        <f t="shared" ref="BK5:BL5" si="15">BK4/BK3</f>
        <v>0.2537958976511081</v>
      </c>
      <c r="BL5" s="2818">
        <f t="shared" si="15"/>
        <v>0.25154114308877179</v>
      </c>
      <c r="BM5" s="2823"/>
      <c r="BN5" s="2820">
        <f>BN4/BN3</f>
        <v>0.25021844251841158</v>
      </c>
      <c r="BO5" s="2821">
        <v>554.35199999999998</v>
      </c>
      <c r="BP5" s="2245">
        <f>BO5-BN4</f>
        <v>1.0919999999999845</v>
      </c>
      <c r="BR5" s="4614"/>
      <c r="BS5" s="4580"/>
      <c r="BU5" s="2820">
        <f>BU4/BU3</f>
        <v>0.24573922514985952</v>
      </c>
      <c r="BV5" s="2821">
        <v>6059.75</v>
      </c>
      <c r="BW5" s="2010"/>
      <c r="BX5" s="2824">
        <f>BV5-BU4</f>
        <v>4.3889999999992142</v>
      </c>
      <c r="BY5" s="1900"/>
      <c r="BZ5" s="2825"/>
      <c r="CA5" s="2826"/>
      <c r="CB5" s="2827"/>
      <c r="CC5" s="2828"/>
      <c r="CD5" s="2829"/>
      <c r="CE5" s="2830"/>
      <c r="CF5" s="2831"/>
      <c r="CG5" s="2832"/>
      <c r="CH5" s="2829"/>
      <c r="CI5" s="2830"/>
      <c r="CJ5" s="2831"/>
      <c r="CK5" s="2832"/>
    </row>
    <row r="6" spans="2:174" ht="17.25" customHeight="1" thickBot="1" x14ac:dyDescent="0.25">
      <c r="C6" s="1743"/>
      <c r="D6" s="1744"/>
      <c r="E6" s="1745"/>
      <c r="F6" s="1745"/>
      <c r="G6" s="1745"/>
      <c r="H6" s="1745"/>
      <c r="I6" s="1745"/>
      <c r="J6" s="1746"/>
      <c r="K6" s="2382"/>
      <c r="L6" s="1720"/>
      <c r="M6" s="1721"/>
      <c r="N6" s="1747"/>
      <c r="O6" s="1747"/>
      <c r="P6" s="1747"/>
      <c r="Q6" s="1747"/>
      <c r="R6" s="1747"/>
      <c r="S6" s="1747"/>
      <c r="T6" s="1747"/>
      <c r="U6" s="1748"/>
      <c r="V6" s="2021"/>
      <c r="W6" s="1786"/>
      <c r="X6" s="2278"/>
      <c r="Y6" s="1722"/>
      <c r="Z6" s="1747"/>
      <c r="AA6" s="1747"/>
      <c r="AB6" s="1747"/>
      <c r="AC6" s="1747"/>
      <c r="AD6" s="1747"/>
      <c r="AE6" s="1747"/>
      <c r="AF6" s="1747"/>
      <c r="AG6" s="1723"/>
      <c r="AH6" s="2021"/>
      <c r="AI6" s="1786"/>
      <c r="AJ6" s="2278"/>
      <c r="AK6" s="1723"/>
      <c r="AL6" s="1747"/>
      <c r="AM6" s="1747"/>
      <c r="AN6" s="1747"/>
      <c r="AO6" s="1747"/>
      <c r="AP6" s="1747"/>
      <c r="AQ6" s="1747"/>
      <c r="AR6" s="1747"/>
      <c r="AS6" s="2039"/>
      <c r="AT6" s="2021"/>
      <c r="AU6" s="1786"/>
      <c r="AV6" s="2278"/>
      <c r="AW6" s="2039"/>
      <c r="AX6" s="1747"/>
      <c r="AY6" s="1747"/>
      <c r="AZ6" s="1747"/>
      <c r="BA6" s="1747"/>
      <c r="BB6" s="1747"/>
      <c r="BC6" s="1747"/>
      <c r="BD6" s="1747"/>
      <c r="BE6" s="2039"/>
      <c r="BF6" s="2021"/>
      <c r="BG6" s="1786"/>
      <c r="BH6" s="2278"/>
      <c r="BI6" s="1994"/>
      <c r="BJ6" s="1747"/>
      <c r="BK6" s="1747"/>
      <c r="BL6" s="1747"/>
      <c r="BM6" s="1994"/>
      <c r="BN6" s="2021"/>
      <c r="BO6" s="1786"/>
      <c r="BP6" s="2278"/>
      <c r="BR6" s="4614"/>
      <c r="BS6" s="4580"/>
      <c r="BU6" s="2326">
        <f>SUM(N6:T6)+SUM(Z6:AF6)+SUM(AL6:AR6)+SUM(AX6:BD6)+SUM(BJ6:BL6)</f>
        <v>0</v>
      </c>
      <c r="BV6" s="2022">
        <f>BU6/E56</f>
        <v>0</v>
      </c>
      <c r="BW6" s="1993"/>
      <c r="BX6" s="2342"/>
      <c r="BY6" s="1754"/>
      <c r="BZ6" s="2753"/>
      <c r="CA6" s="2754"/>
      <c r="CB6" s="2755"/>
      <c r="CC6" s="1755"/>
      <c r="CD6" s="2336"/>
      <c r="CE6" s="2337"/>
      <c r="CF6" s="2338"/>
      <c r="CG6" s="1725"/>
      <c r="CH6" s="2336"/>
      <c r="CI6" s="2337"/>
      <c r="CJ6" s="2338"/>
      <c r="CK6" s="1725"/>
    </row>
    <row r="7" spans="2:174" s="1923" customFormat="1" ht="5.25" customHeight="1" thickBot="1" x14ac:dyDescent="0.25">
      <c r="C7" s="2273"/>
      <c r="D7" s="1800"/>
      <c r="E7" s="1804"/>
      <c r="F7" s="1804"/>
      <c r="G7" s="1804"/>
      <c r="H7" s="1804"/>
      <c r="I7" s="1804"/>
      <c r="J7" s="1803"/>
      <c r="K7" s="2272"/>
      <c r="L7" s="1721"/>
      <c r="M7" s="1721"/>
      <c r="N7" s="2026"/>
      <c r="O7" s="2026"/>
      <c r="P7" s="2026"/>
      <c r="Q7" s="2026"/>
      <c r="R7" s="2026"/>
      <c r="S7" s="2026"/>
      <c r="T7" s="2026"/>
      <c r="U7" s="1994"/>
      <c r="V7" s="2606"/>
      <c r="W7" s="1801"/>
      <c r="X7" s="2606"/>
      <c r="Y7" s="2258"/>
      <c r="Z7" s="2026"/>
      <c r="AA7" s="2026"/>
      <c r="AB7" s="2026"/>
      <c r="AC7" s="2026"/>
      <c r="AD7" s="2026"/>
      <c r="AE7" s="2026"/>
      <c r="AF7" s="2026"/>
      <c r="AG7" s="2258"/>
      <c r="AH7" s="2606"/>
      <c r="AI7" s="1801"/>
      <c r="AJ7" s="2606"/>
      <c r="AK7" s="2258"/>
      <c r="AL7" s="2026"/>
      <c r="AM7" s="2026"/>
      <c r="AN7" s="2026"/>
      <c r="AO7" s="2026"/>
      <c r="AP7" s="2026"/>
      <c r="AQ7" s="2026"/>
      <c r="AR7" s="2026"/>
      <c r="AS7" s="1994"/>
      <c r="AT7" s="2606"/>
      <c r="AU7" s="1801"/>
      <c r="AV7" s="2606"/>
      <c r="AW7" s="1994"/>
      <c r="AX7" s="2026"/>
      <c r="AY7" s="2026"/>
      <c r="AZ7" s="2026"/>
      <c r="BA7" s="2026"/>
      <c r="BB7" s="2026"/>
      <c r="BC7" s="2026"/>
      <c r="BD7" s="2026"/>
      <c r="BE7" s="1994"/>
      <c r="BF7" s="2606"/>
      <c r="BG7" s="1801"/>
      <c r="BH7" s="2606"/>
      <c r="BI7" s="1994"/>
      <c r="BJ7" s="2023"/>
      <c r="BK7" s="2023"/>
      <c r="BL7" s="2023"/>
      <c r="BM7" s="1994"/>
      <c r="BN7" s="2606"/>
      <c r="BO7" s="1801"/>
      <c r="BP7" s="2606"/>
      <c r="BR7" s="4614"/>
      <c r="BS7" s="4580"/>
      <c r="BU7" s="1805"/>
      <c r="BV7" s="1993"/>
      <c r="BW7" s="1993"/>
      <c r="BX7" s="2325"/>
      <c r="BY7" s="1994"/>
      <c r="BZ7" s="2270"/>
      <c r="CA7" s="2270"/>
      <c r="CB7" s="2270"/>
      <c r="CC7" s="1755"/>
      <c r="CD7" s="2271"/>
      <c r="CE7" s="2271"/>
      <c r="CF7" s="2271"/>
      <c r="CG7" s="1725"/>
      <c r="CH7" s="2271"/>
      <c r="CI7" s="2271"/>
      <c r="CJ7" s="2271"/>
      <c r="CK7" s="1725"/>
    </row>
    <row r="8" spans="2:174" s="1810" customFormat="1" ht="17.25" customHeight="1" x14ac:dyDescent="0.2">
      <c r="C8" s="1811" t="s">
        <v>190</v>
      </c>
      <c r="D8" s="1727"/>
      <c r="E8" s="1812"/>
      <c r="F8" s="1812"/>
      <c r="G8" s="1812"/>
      <c r="H8" s="1812"/>
      <c r="I8" s="1812"/>
      <c r="J8" s="1813">
        <f>BU8</f>
        <v>1428.9135000000001</v>
      </c>
      <c r="K8" s="4564"/>
      <c r="L8" s="1760"/>
      <c r="M8" s="1761"/>
      <c r="N8" s="1735">
        <f t="shared" ref="N8:T8" si="16">(N4-N56)/2</f>
        <v>40.424370967741936</v>
      </c>
      <c r="O8" s="1735">
        <f t="shared" si="16"/>
        <v>15.474870967741936</v>
      </c>
      <c r="P8" s="1735">
        <f t="shared" si="16"/>
        <v>11.498370967741934</v>
      </c>
      <c r="Q8" s="1735">
        <f t="shared" si="16"/>
        <v>58.09187096774194</v>
      </c>
      <c r="R8" s="1735">
        <f t="shared" si="16"/>
        <v>59.004370967741934</v>
      </c>
      <c r="S8" s="1735">
        <f t="shared" si="16"/>
        <v>94.605370967741948</v>
      </c>
      <c r="T8" s="1735">
        <f t="shared" si="16"/>
        <v>5.7638709677419371</v>
      </c>
      <c r="U8" s="1814"/>
      <c r="V8" s="1771">
        <f>SUM(N8:T8)</f>
        <v>284.86309677419354</v>
      </c>
      <c r="W8" s="1815"/>
      <c r="X8" s="1816"/>
      <c r="Y8" s="1764"/>
      <c r="Z8" s="1735">
        <f t="shared" ref="Z8:AF8" si="17">(Z4-Z56)/2</f>
        <v>17.183370967741936</v>
      </c>
      <c r="AA8" s="1735">
        <f t="shared" si="17"/>
        <v>42.81587096774193</v>
      </c>
      <c r="AB8" s="1735">
        <f t="shared" si="17"/>
        <v>51.465370967741933</v>
      </c>
      <c r="AC8" s="1735">
        <f t="shared" si="17"/>
        <v>49.70487096774194</v>
      </c>
      <c r="AD8" s="1735">
        <f t="shared" si="17"/>
        <v>83.252870967741927</v>
      </c>
      <c r="AE8" s="1735">
        <f t="shared" si="17"/>
        <v>82.69387096774193</v>
      </c>
      <c r="AF8" s="1735">
        <f t="shared" si="17"/>
        <v>48.212870967741935</v>
      </c>
      <c r="AG8" s="1764"/>
      <c r="AH8" s="1771">
        <f>SUM(Z8:AF8)</f>
        <v>375.32909677419349</v>
      </c>
      <c r="AI8" s="1815"/>
      <c r="AJ8" s="1816"/>
      <c r="AK8" s="1764"/>
      <c r="AL8" s="1735">
        <f t="shared" ref="AL8:AR8" si="18">(AL4-AL56)/2</f>
        <v>91.940370967741927</v>
      </c>
      <c r="AM8" s="1735">
        <f t="shared" si="18"/>
        <v>22.109870967741941</v>
      </c>
      <c r="AN8" s="1735">
        <f t="shared" si="18"/>
        <v>41.409870967741938</v>
      </c>
      <c r="AO8" s="1735">
        <f t="shared" si="18"/>
        <v>34.308870967741939</v>
      </c>
      <c r="AP8" s="1735">
        <f t="shared" si="18"/>
        <v>86.958870967741944</v>
      </c>
      <c r="AQ8" s="1735">
        <f t="shared" si="18"/>
        <v>59.154870967741928</v>
      </c>
      <c r="AR8" s="1735">
        <f t="shared" si="18"/>
        <v>46.65737096774194</v>
      </c>
      <c r="AS8" s="2289"/>
      <c r="AT8" s="1771">
        <f>SUM(AL8:AR8)</f>
        <v>382.54009677419361</v>
      </c>
      <c r="AU8" s="1815"/>
      <c r="AV8" s="1816"/>
      <c r="AW8" s="2289"/>
      <c r="AX8" s="1735">
        <f t="shared" ref="AX8:BD8" si="19">(AX4-AX56)/2</f>
        <v>25.872370967741929</v>
      </c>
      <c r="AY8" s="1735">
        <f t="shared" si="19"/>
        <v>41.421870967741938</v>
      </c>
      <c r="AZ8" s="1735">
        <f t="shared" si="19"/>
        <v>12.322370967741932</v>
      </c>
      <c r="BA8" s="1735">
        <f t="shared" si="19"/>
        <v>54.988870967741931</v>
      </c>
      <c r="BB8" s="1735">
        <f t="shared" si="19"/>
        <v>63.536870967741933</v>
      </c>
      <c r="BC8" s="1735">
        <f t="shared" si="19"/>
        <v>38.351370967741929</v>
      </c>
      <c r="BD8" s="1735">
        <f t="shared" si="19"/>
        <v>27.776870967741928</v>
      </c>
      <c r="BE8" s="2289"/>
      <c r="BF8" s="1771">
        <f>SUM(AX8:BD8)</f>
        <v>264.27059677419351</v>
      </c>
      <c r="BG8" s="1815"/>
      <c r="BH8" s="1816"/>
      <c r="BI8" s="1814"/>
      <c r="BJ8" s="1735">
        <f>(BJ4-BJ56)/2</f>
        <v>31.977870967741936</v>
      </c>
      <c r="BK8" s="1735">
        <f>(BK4-BK56)/2</f>
        <v>63.936870967741939</v>
      </c>
      <c r="BL8" s="1735">
        <f>(BL4-BL56)/2</f>
        <v>25.995870967741936</v>
      </c>
      <c r="BM8" s="1814"/>
      <c r="BN8" s="1771">
        <f>SUM(BJ8:BL8)</f>
        <v>121.91061290322581</v>
      </c>
      <c r="BO8" s="1815"/>
      <c r="BP8" s="1816"/>
      <c r="BQ8" s="1766"/>
      <c r="BR8" s="4614"/>
      <c r="BS8" s="4580"/>
      <c r="BT8" s="1766"/>
      <c r="BU8" s="1771">
        <f>SUM(N8:T8)+SUM(Z8:AF8)+SUM(AL8:AR8)+SUM(AX8:BD8)+SUM(BJ8:BL8)</f>
        <v>1428.9135000000001</v>
      </c>
      <c r="BV8" s="2340"/>
      <c r="BW8" s="1830"/>
      <c r="BX8" s="2348">
        <v>0</v>
      </c>
      <c r="BY8" s="1817"/>
      <c r="BZ8" s="4578" t="s">
        <v>226</v>
      </c>
      <c r="CA8" s="4578"/>
      <c r="CB8" s="1818"/>
      <c r="CC8" s="1774"/>
      <c r="CD8" s="1766"/>
      <c r="CE8" s="1766"/>
      <c r="CF8" s="1819"/>
      <c r="CG8" s="1820"/>
      <c r="CH8" s="1766"/>
      <c r="CI8" s="1766"/>
      <c r="CJ8" s="1819"/>
      <c r="CK8" s="1820"/>
      <c r="CL8" s="1821"/>
      <c r="CM8" s="1821"/>
      <c r="CN8" s="1821"/>
      <c r="CO8" s="1821"/>
      <c r="CP8" s="1821"/>
      <c r="CQ8" s="1821"/>
      <c r="CR8" s="1821"/>
      <c r="CS8" s="1821"/>
      <c r="CT8" s="1821"/>
      <c r="CU8" s="1821"/>
      <c r="CV8" s="1821"/>
      <c r="CW8" s="1821"/>
      <c r="CX8" s="1821"/>
      <c r="CY8" s="1821"/>
      <c r="CZ8" s="1821"/>
      <c r="DA8" s="1821"/>
      <c r="DB8" s="1821"/>
      <c r="DC8" s="1821"/>
      <c r="DD8" s="1821"/>
      <c r="DE8" s="1821"/>
      <c r="DF8" s="1821"/>
      <c r="DG8" s="1821"/>
      <c r="DH8" s="1821"/>
      <c r="DI8" s="1821"/>
      <c r="DJ8" s="1821"/>
      <c r="DK8" s="1821"/>
      <c r="DL8" s="1821"/>
      <c r="DM8" s="1821"/>
      <c r="DN8" s="1821"/>
      <c r="DO8" s="1821"/>
      <c r="DP8" s="1821"/>
      <c r="DQ8" s="1821"/>
      <c r="DR8" s="1821"/>
      <c r="DS8" s="1821"/>
      <c r="DT8" s="1821"/>
      <c r="DU8" s="1821"/>
      <c r="DV8" s="1821"/>
      <c r="DW8" s="1821"/>
      <c r="DX8" s="1821"/>
      <c r="DY8" s="1821"/>
      <c r="DZ8" s="1821"/>
      <c r="EA8" s="1821"/>
      <c r="EB8" s="1821"/>
      <c r="EC8" s="1821"/>
      <c r="ED8" s="1821"/>
      <c r="EE8" s="1821"/>
      <c r="EF8" s="1821"/>
      <c r="EG8" s="1821"/>
      <c r="EH8" s="1821"/>
      <c r="EI8" s="1821"/>
      <c r="EJ8" s="1821"/>
      <c r="EK8" s="1821"/>
      <c r="EL8" s="1821"/>
      <c r="EM8" s="1821"/>
      <c r="EN8" s="1821"/>
      <c r="EO8" s="1821"/>
      <c r="EP8" s="1821"/>
      <c r="EQ8" s="1821"/>
      <c r="ER8" s="1821"/>
      <c r="ES8" s="1821"/>
      <c r="ET8" s="1821"/>
      <c r="EU8" s="1821"/>
      <c r="EV8" s="1821"/>
      <c r="EW8" s="1821"/>
      <c r="EX8" s="1821"/>
      <c r="EY8" s="1821"/>
      <c r="EZ8" s="1821"/>
      <c r="FA8" s="1821"/>
      <c r="FB8" s="1821"/>
      <c r="FC8" s="1821"/>
      <c r="FD8" s="1821"/>
      <c r="FE8" s="1821"/>
      <c r="FF8" s="1821"/>
      <c r="FG8" s="1821"/>
      <c r="FH8" s="1821"/>
      <c r="FI8" s="1821"/>
      <c r="FJ8" s="1821"/>
      <c r="FK8" s="1821"/>
      <c r="FL8" s="1821"/>
      <c r="FM8" s="1821"/>
      <c r="FN8" s="1821"/>
      <c r="FO8" s="1821"/>
      <c r="FP8" s="1821"/>
      <c r="FQ8" s="1821"/>
      <c r="FR8" s="1821"/>
    </row>
    <row r="9" spans="2:174" s="1777" customFormat="1" ht="17.25" customHeight="1" thickBot="1" x14ac:dyDescent="0.25">
      <c r="C9" s="1822" t="s">
        <v>169</v>
      </c>
      <c r="D9" s="1744"/>
      <c r="E9" s="1823"/>
      <c r="F9" s="1823"/>
      <c r="G9" s="1823"/>
      <c r="H9" s="1823"/>
      <c r="I9" s="1823"/>
      <c r="J9" s="1824"/>
      <c r="K9" s="4565">
        <f t="shared" ref="K9" si="20">BR67</f>
        <v>0</v>
      </c>
      <c r="L9" s="1782"/>
      <c r="M9" s="1783"/>
      <c r="N9" s="1750">
        <f t="shared" ref="N9:S9" si="21">N8</f>
        <v>40.424370967741936</v>
      </c>
      <c r="O9" s="1750">
        <f t="shared" si="21"/>
        <v>15.474870967741936</v>
      </c>
      <c r="P9" s="1750">
        <f t="shared" si="21"/>
        <v>11.498370967741934</v>
      </c>
      <c r="Q9" s="1750">
        <f t="shared" si="21"/>
        <v>58.09187096774194</v>
      </c>
      <c r="R9" s="1750">
        <f t="shared" si="21"/>
        <v>59.004370967741934</v>
      </c>
      <c r="S9" s="1750">
        <f t="shared" si="21"/>
        <v>94.605370967741948</v>
      </c>
      <c r="T9" s="1750">
        <f t="shared" ref="T9" si="22">T8</f>
        <v>5.7638709677419371</v>
      </c>
      <c r="U9" s="1801"/>
      <c r="V9" s="1785">
        <f>SUM(N9:T9)</f>
        <v>284.86309677419354</v>
      </c>
      <c r="W9" s="1825"/>
      <c r="X9" s="1826"/>
      <c r="Y9" s="1788"/>
      <c r="Z9" s="1750">
        <f t="shared" ref="Z9:AA9" si="23">Z8</f>
        <v>17.183370967741936</v>
      </c>
      <c r="AA9" s="1750">
        <f t="shared" si="23"/>
        <v>42.81587096774193</v>
      </c>
      <c r="AB9" s="1750">
        <f t="shared" ref="AB9:AC9" si="24">AB8</f>
        <v>51.465370967741933</v>
      </c>
      <c r="AC9" s="1750">
        <f t="shared" si="24"/>
        <v>49.70487096774194</v>
      </c>
      <c r="AD9" s="1750">
        <f t="shared" ref="AD9:AE9" si="25">AD8</f>
        <v>83.252870967741927</v>
      </c>
      <c r="AE9" s="1750">
        <f t="shared" si="25"/>
        <v>82.69387096774193</v>
      </c>
      <c r="AF9" s="1750">
        <f t="shared" ref="AF9" si="26">AF8</f>
        <v>48.212870967741935</v>
      </c>
      <c r="AG9" s="1788"/>
      <c r="AH9" s="1785">
        <f>SUM(Z9:AF9)</f>
        <v>375.32909677419349</v>
      </c>
      <c r="AI9" s="1825"/>
      <c r="AJ9" s="1826"/>
      <c r="AK9" s="1788"/>
      <c r="AL9" s="1750">
        <f t="shared" ref="AL9" si="27">AL8</f>
        <v>91.940370967741927</v>
      </c>
      <c r="AM9" s="1750">
        <f t="shared" ref="AM9" si="28">AM8</f>
        <v>22.109870967741941</v>
      </c>
      <c r="AN9" s="1750">
        <f t="shared" ref="AN9:AR9" si="29">AN8</f>
        <v>41.409870967741938</v>
      </c>
      <c r="AO9" s="1750">
        <f t="shared" si="29"/>
        <v>34.308870967741939</v>
      </c>
      <c r="AP9" s="1750">
        <f t="shared" si="29"/>
        <v>86.958870967741944</v>
      </c>
      <c r="AQ9" s="1750">
        <f t="shared" si="29"/>
        <v>59.154870967741928</v>
      </c>
      <c r="AR9" s="1750">
        <f t="shared" si="29"/>
        <v>46.65737096774194</v>
      </c>
      <c r="AS9" s="2290"/>
      <c r="AT9" s="1785">
        <f>SUM(AL9:AR9)</f>
        <v>382.54009677419361</v>
      </c>
      <c r="AU9" s="1825"/>
      <c r="AV9" s="1826"/>
      <c r="AW9" s="2290"/>
      <c r="AX9" s="1750">
        <f t="shared" ref="AX9:BD9" si="30">AX8</f>
        <v>25.872370967741929</v>
      </c>
      <c r="AY9" s="1750">
        <f t="shared" si="30"/>
        <v>41.421870967741938</v>
      </c>
      <c r="AZ9" s="1750">
        <f t="shared" si="30"/>
        <v>12.322370967741932</v>
      </c>
      <c r="BA9" s="1750">
        <f t="shared" si="30"/>
        <v>54.988870967741931</v>
      </c>
      <c r="BB9" s="1750">
        <f t="shared" si="30"/>
        <v>63.536870967741933</v>
      </c>
      <c r="BC9" s="1750">
        <f t="shared" si="30"/>
        <v>38.351370967741929</v>
      </c>
      <c r="BD9" s="1750">
        <f t="shared" si="30"/>
        <v>27.776870967741928</v>
      </c>
      <c r="BE9" s="2290"/>
      <c r="BF9" s="1785">
        <f>SUM(AX9:BD9)</f>
        <v>264.27059677419351</v>
      </c>
      <c r="BG9" s="1825"/>
      <c r="BH9" s="1826"/>
      <c r="BI9" s="1801"/>
      <c r="BJ9" s="1750">
        <f t="shared" ref="BJ9:BK9" si="31">BJ8</f>
        <v>31.977870967741936</v>
      </c>
      <c r="BK9" s="1750">
        <f t="shared" si="31"/>
        <v>63.936870967741939</v>
      </c>
      <c r="BL9" s="1750">
        <f t="shared" ref="BL9" si="32">BL8</f>
        <v>25.995870967741936</v>
      </c>
      <c r="BM9" s="1801"/>
      <c r="BN9" s="1785">
        <f>SUM(BJ9:BL9)</f>
        <v>121.91061290322581</v>
      </c>
      <c r="BO9" s="1825"/>
      <c r="BP9" s="1826"/>
      <c r="BQ9" s="1792"/>
      <c r="BR9" s="4614"/>
      <c r="BS9" s="4580"/>
      <c r="BT9" s="1792"/>
      <c r="BU9" s="1793"/>
      <c r="BV9" s="2341"/>
      <c r="BW9" s="1802"/>
      <c r="BX9" s="2349"/>
      <c r="BY9" s="1795"/>
      <c r="BZ9" s="4578"/>
      <c r="CA9" s="4578"/>
      <c r="CB9" s="1805"/>
      <c r="CC9" s="1797"/>
      <c r="CD9" s="1791"/>
      <c r="CE9" s="1791"/>
      <c r="CF9" s="1807"/>
      <c r="CG9" s="1798"/>
      <c r="CH9" s="1791"/>
      <c r="CI9" s="1791"/>
      <c r="CJ9" s="1807"/>
      <c r="CK9" s="1798"/>
      <c r="CL9" s="1799"/>
      <c r="CM9" s="1799"/>
      <c r="CN9" s="1799"/>
      <c r="CO9" s="1799"/>
      <c r="CP9" s="1799"/>
      <c r="CQ9" s="1799"/>
      <c r="CR9" s="1799"/>
      <c r="CS9" s="1799"/>
      <c r="CT9" s="1799"/>
      <c r="CU9" s="1799"/>
      <c r="CV9" s="1799"/>
      <c r="CW9" s="1799"/>
      <c r="CX9" s="1799"/>
      <c r="CY9" s="1799"/>
      <c r="CZ9" s="1799"/>
      <c r="DA9" s="1799"/>
      <c r="DB9" s="1799"/>
      <c r="DC9" s="1799"/>
      <c r="DD9" s="1799"/>
      <c r="DE9" s="1799"/>
      <c r="DF9" s="1799"/>
      <c r="DG9" s="1799"/>
      <c r="DH9" s="1799"/>
      <c r="DI9" s="1799"/>
      <c r="DJ9" s="1799"/>
      <c r="DK9" s="1799"/>
      <c r="DL9" s="1799"/>
      <c r="DM9" s="1799"/>
      <c r="DN9" s="1799"/>
      <c r="DO9" s="1799"/>
      <c r="DP9" s="1799"/>
      <c r="DQ9" s="1799"/>
      <c r="DR9" s="1799"/>
      <c r="DS9" s="1799"/>
      <c r="DT9" s="1799"/>
      <c r="DU9" s="1799"/>
      <c r="DV9" s="1799"/>
      <c r="DW9" s="1799"/>
      <c r="DX9" s="1799"/>
      <c r="DY9" s="1799"/>
      <c r="DZ9" s="1799"/>
      <c r="EA9" s="1799"/>
      <c r="EB9" s="1799"/>
      <c r="EC9" s="1799"/>
      <c r="ED9" s="1799"/>
      <c r="EE9" s="1799"/>
      <c r="EF9" s="1799"/>
      <c r="EG9" s="1799"/>
      <c r="EH9" s="1799"/>
      <c r="EI9" s="1799"/>
      <c r="EJ9" s="1799"/>
      <c r="EK9" s="1799"/>
      <c r="EL9" s="1799"/>
      <c r="EM9" s="1799"/>
      <c r="EN9" s="1799"/>
      <c r="EO9" s="1799"/>
      <c r="EP9" s="1799"/>
      <c r="EQ9" s="1799"/>
      <c r="ER9" s="1799"/>
      <c r="ES9" s="1799"/>
      <c r="ET9" s="1799"/>
      <c r="EU9" s="1799"/>
      <c r="EV9" s="1799"/>
      <c r="EW9" s="1799"/>
      <c r="EX9" s="1799"/>
      <c r="EY9" s="1799"/>
      <c r="EZ9" s="1799"/>
      <c r="FA9" s="1799"/>
      <c r="FB9" s="1799"/>
      <c r="FC9" s="1799"/>
      <c r="FD9" s="1799"/>
      <c r="FE9" s="1799"/>
      <c r="FF9" s="1799"/>
      <c r="FG9" s="1799"/>
      <c r="FH9" s="1799"/>
      <c r="FI9" s="1799"/>
      <c r="FJ9" s="1799"/>
      <c r="FK9" s="1799"/>
      <c r="FL9" s="1799"/>
      <c r="FM9" s="1799"/>
      <c r="FN9" s="1799"/>
      <c r="FO9" s="1799"/>
      <c r="FP9" s="1799"/>
      <c r="FQ9" s="1799"/>
      <c r="FR9" s="1799"/>
    </row>
    <row r="10" spans="2:174" s="1800" customFormat="1" ht="4.5" customHeight="1" thickBot="1" x14ac:dyDescent="0.25">
      <c r="E10" s="1791"/>
      <c r="F10" s="1791"/>
      <c r="G10" s="1791"/>
      <c r="H10" s="1791"/>
      <c r="I10" s="1791"/>
      <c r="J10" s="1791"/>
      <c r="K10" s="1783"/>
      <c r="L10" s="1782"/>
      <c r="M10" s="1783"/>
      <c r="N10" s="1803"/>
      <c r="O10" s="1803"/>
      <c r="P10" s="1803"/>
      <c r="Q10" s="1803"/>
      <c r="R10" s="1803"/>
      <c r="S10" s="1803"/>
      <c r="T10" s="1803"/>
      <c r="U10" s="1801"/>
      <c r="V10" s="1801"/>
      <c r="W10" s="1801"/>
      <c r="X10" s="1801"/>
      <c r="Y10" s="1791"/>
      <c r="Z10" s="1803"/>
      <c r="AA10" s="1803"/>
      <c r="AB10" s="1803"/>
      <c r="AC10" s="1803"/>
      <c r="AD10" s="1803"/>
      <c r="AE10" s="1803"/>
      <c r="AF10" s="1803"/>
      <c r="AG10" s="1791"/>
      <c r="AH10" s="1801"/>
      <c r="AI10" s="1801"/>
      <c r="AJ10" s="1801"/>
      <c r="AK10" s="1791"/>
      <c r="AL10" s="1803"/>
      <c r="AM10" s="1803"/>
      <c r="AN10" s="1803"/>
      <c r="AO10" s="1803"/>
      <c r="AP10" s="1803"/>
      <c r="AQ10" s="1803"/>
      <c r="AR10" s="1803"/>
      <c r="AS10" s="1801"/>
      <c r="AT10" s="1801"/>
      <c r="AU10" s="1801"/>
      <c r="AV10" s="1801"/>
      <c r="AW10" s="1801"/>
      <c r="AX10" s="1803"/>
      <c r="AY10" s="1803"/>
      <c r="AZ10" s="1803"/>
      <c r="BA10" s="1803"/>
      <c r="BB10" s="1803"/>
      <c r="BC10" s="1803"/>
      <c r="BD10" s="1803"/>
      <c r="BE10" s="1801"/>
      <c r="BF10" s="1801"/>
      <c r="BG10" s="1801"/>
      <c r="BH10" s="1801"/>
      <c r="BI10" s="1801"/>
      <c r="BJ10" s="1803"/>
      <c r="BK10" s="1803"/>
      <c r="BL10" s="1803"/>
      <c r="BM10" s="1801"/>
      <c r="BN10" s="1801"/>
      <c r="BO10" s="1801"/>
      <c r="BP10" s="1801"/>
      <c r="BQ10" s="1791"/>
      <c r="BR10" s="4614"/>
      <c r="BS10" s="4580"/>
      <c r="BT10" s="1791"/>
      <c r="BU10" s="1801"/>
      <c r="BV10" s="1802"/>
      <c r="BW10" s="1802"/>
      <c r="BX10" s="1805"/>
      <c r="BY10" s="1806"/>
      <c r="BZ10" s="1801"/>
      <c r="CA10" s="1805"/>
      <c r="CB10" s="1805"/>
      <c r="CC10" s="1797"/>
      <c r="CD10" s="1791"/>
      <c r="CE10" s="1791"/>
      <c r="CF10" s="1807"/>
      <c r="CG10" s="1808"/>
      <c r="CH10" s="1791"/>
      <c r="CI10" s="1791"/>
      <c r="CJ10" s="1807"/>
      <c r="CK10" s="1808"/>
      <c r="CL10" s="1809"/>
      <c r="CM10" s="1809"/>
      <c r="CN10" s="1809"/>
      <c r="CO10" s="1809"/>
      <c r="CP10" s="1809"/>
      <c r="CQ10" s="1809"/>
      <c r="CR10" s="1809"/>
      <c r="CS10" s="1809"/>
      <c r="CT10" s="1809"/>
      <c r="CU10" s="1809"/>
      <c r="CV10" s="1809"/>
      <c r="CW10" s="1809"/>
      <c r="CX10" s="1809"/>
      <c r="CY10" s="1809"/>
      <c r="CZ10" s="1809"/>
      <c r="DA10" s="1809"/>
      <c r="DB10" s="1809"/>
      <c r="DC10" s="1809"/>
      <c r="DD10" s="1809"/>
      <c r="DE10" s="1809"/>
      <c r="DF10" s="1809"/>
      <c r="DG10" s="1809"/>
      <c r="DH10" s="1809"/>
      <c r="DI10" s="1809"/>
      <c r="DJ10" s="1809"/>
      <c r="DK10" s="1809"/>
      <c r="DL10" s="1809"/>
      <c r="DM10" s="1809"/>
      <c r="DN10" s="1809"/>
      <c r="DO10" s="1809"/>
      <c r="DP10" s="1809"/>
      <c r="DQ10" s="1809"/>
      <c r="DR10" s="1809"/>
      <c r="DS10" s="1809"/>
      <c r="DT10" s="1809"/>
      <c r="DU10" s="1809"/>
      <c r="DV10" s="1809"/>
      <c r="DW10" s="1809"/>
      <c r="DX10" s="1809"/>
      <c r="DY10" s="1809"/>
      <c r="DZ10" s="1809"/>
      <c r="EA10" s="1809"/>
      <c r="EB10" s="1809"/>
      <c r="EC10" s="1809"/>
      <c r="ED10" s="1809"/>
      <c r="EE10" s="1809"/>
      <c r="EF10" s="1809"/>
      <c r="EG10" s="1809"/>
      <c r="EH10" s="1809"/>
      <c r="EI10" s="1809"/>
      <c r="EJ10" s="1809"/>
      <c r="EK10" s="1809"/>
      <c r="EL10" s="1809"/>
      <c r="EM10" s="1809"/>
      <c r="EN10" s="1809"/>
      <c r="EO10" s="1809"/>
      <c r="EP10" s="1809"/>
      <c r="EQ10" s="1809"/>
      <c r="ER10" s="1809"/>
      <c r="ES10" s="1809"/>
      <c r="ET10" s="1809"/>
      <c r="EU10" s="1809"/>
      <c r="EV10" s="1809"/>
      <c r="EW10" s="1809"/>
      <c r="EX10" s="1809"/>
      <c r="EY10" s="1809"/>
      <c r="EZ10" s="1809"/>
      <c r="FA10" s="1809"/>
      <c r="FB10" s="1809"/>
      <c r="FC10" s="1809"/>
      <c r="FD10" s="1809"/>
      <c r="FE10" s="1809"/>
      <c r="FF10" s="1809"/>
      <c r="FG10" s="1809"/>
      <c r="FH10" s="1809"/>
      <c r="FI10" s="1809"/>
      <c r="FJ10" s="1809"/>
      <c r="FK10" s="1809"/>
      <c r="FL10" s="1809"/>
      <c r="FM10" s="1809"/>
      <c r="FN10" s="1809"/>
      <c r="FO10" s="1809"/>
      <c r="FP10" s="1809"/>
      <c r="FQ10" s="1809"/>
      <c r="FR10" s="1809"/>
    </row>
    <row r="11" spans="2:174" s="1756" customFormat="1" ht="15" customHeight="1" x14ac:dyDescent="0.2">
      <c r="C11" s="1810"/>
      <c r="D11" s="1810"/>
      <c r="K11" s="1810"/>
      <c r="L11" s="1827"/>
      <c r="M11" s="1810"/>
      <c r="N11" s="1735" t="s">
        <v>112</v>
      </c>
      <c r="O11" s="1735" t="s">
        <v>50</v>
      </c>
      <c r="P11" s="1735" t="s">
        <v>112</v>
      </c>
      <c r="Q11" s="1813" t="s">
        <v>45</v>
      </c>
      <c r="R11" s="1735" t="s">
        <v>46</v>
      </c>
      <c r="S11" s="1735" t="s">
        <v>47</v>
      </c>
      <c r="T11" s="1735" t="s">
        <v>48</v>
      </c>
      <c r="U11" s="1814"/>
      <c r="V11" s="1771"/>
      <c r="W11" s="1815"/>
      <c r="X11" s="1816"/>
      <c r="Y11" s="1764"/>
      <c r="Z11" s="1735" t="s">
        <v>112</v>
      </c>
      <c r="AA11" s="1735" t="s">
        <v>50</v>
      </c>
      <c r="AB11" s="1735" t="s">
        <v>51</v>
      </c>
      <c r="AC11" s="1813" t="s">
        <v>45</v>
      </c>
      <c r="AD11" s="1735" t="s">
        <v>46</v>
      </c>
      <c r="AE11" s="1735" t="s">
        <v>47</v>
      </c>
      <c r="AF11" s="1735" t="s">
        <v>48</v>
      </c>
      <c r="AG11" s="1764"/>
      <c r="AH11" s="1771"/>
      <c r="AI11" s="1815"/>
      <c r="AJ11" s="1829"/>
      <c r="AK11" s="1764"/>
      <c r="AL11" s="1735" t="s">
        <v>112</v>
      </c>
      <c r="AM11" s="1735" t="s">
        <v>50</v>
      </c>
      <c r="AN11" s="1735" t="s">
        <v>112</v>
      </c>
      <c r="AO11" s="1813" t="s">
        <v>45</v>
      </c>
      <c r="AP11" s="1735" t="s">
        <v>46</v>
      </c>
      <c r="AQ11" s="1735" t="s">
        <v>47</v>
      </c>
      <c r="AR11" s="1735" t="s">
        <v>48</v>
      </c>
      <c r="AS11" s="2289"/>
      <c r="AT11" s="1771"/>
      <c r="AU11" s="1815"/>
      <c r="AV11" s="1816"/>
      <c r="AW11" s="2289"/>
      <c r="AX11" s="1735" t="s">
        <v>112</v>
      </c>
      <c r="AY11" s="1735" t="s">
        <v>50</v>
      </c>
      <c r="AZ11" s="1735" t="s">
        <v>112</v>
      </c>
      <c r="BA11" s="1813" t="s">
        <v>45</v>
      </c>
      <c r="BB11" s="1735" t="s">
        <v>46</v>
      </c>
      <c r="BC11" s="1735" t="s">
        <v>47</v>
      </c>
      <c r="BD11" s="1735" t="s">
        <v>48</v>
      </c>
      <c r="BE11" s="2289"/>
      <c r="BF11" s="1771"/>
      <c r="BG11" s="1815"/>
      <c r="BH11" s="1816"/>
      <c r="BI11" s="1814"/>
      <c r="BJ11" s="1735" t="s">
        <v>112</v>
      </c>
      <c r="BK11" s="1735" t="s">
        <v>50</v>
      </c>
      <c r="BL11" s="1735" t="s">
        <v>112</v>
      </c>
      <c r="BM11" s="1814"/>
      <c r="BN11" s="1771"/>
      <c r="BO11" s="1815"/>
      <c r="BP11" s="1816"/>
      <c r="BR11" s="4614"/>
      <c r="BS11" s="4580"/>
      <c r="BU11" s="1814"/>
      <c r="BV11" s="1830"/>
      <c r="BW11" s="1830"/>
      <c r="BX11" s="1818"/>
      <c r="BY11" s="2600"/>
      <c r="BZ11" s="2742">
        <f>BV4-BU1</f>
        <v>0.89375969106192499</v>
      </c>
      <c r="CA11" s="4607"/>
      <c r="CB11" s="4608" t="s">
        <v>101</v>
      </c>
      <c r="CC11" s="1831"/>
      <c r="CD11" s="1832"/>
      <c r="CE11" s="1832" t="s">
        <v>252</v>
      </c>
      <c r="CF11" s="1833"/>
      <c r="CG11" s="1776"/>
      <c r="CH11" s="1776"/>
      <c r="CI11" s="1776"/>
      <c r="CJ11" s="1834"/>
      <c r="CK11" s="1776"/>
      <c r="CL11" s="1776"/>
      <c r="CM11" s="1776"/>
      <c r="CN11" s="1776"/>
      <c r="CO11" s="1776"/>
      <c r="CP11" s="1776"/>
      <c r="CQ11" s="1776"/>
      <c r="CR11" s="1776"/>
      <c r="CS11" s="1776"/>
      <c r="CT11" s="1776"/>
      <c r="CU11" s="1776"/>
      <c r="CV11" s="1776"/>
      <c r="CW11" s="1776"/>
      <c r="CX11" s="1776"/>
      <c r="CY11" s="1776"/>
      <c r="CZ11" s="1776"/>
      <c r="DA11" s="1776"/>
      <c r="DB11" s="1776"/>
      <c r="DC11" s="1776"/>
      <c r="DD11" s="1776"/>
      <c r="DE11" s="1776"/>
      <c r="DF11" s="1776"/>
      <c r="DG11" s="1776"/>
      <c r="DH11" s="1776"/>
      <c r="DI11" s="1776"/>
      <c r="DJ11" s="1776"/>
      <c r="DK11" s="1776"/>
      <c r="DL11" s="1776"/>
      <c r="DM11" s="1776"/>
      <c r="DN11" s="1776"/>
      <c r="DO11" s="1776"/>
      <c r="DP11" s="1776"/>
      <c r="DQ11" s="1776"/>
      <c r="DR11" s="1776"/>
      <c r="DS11" s="1776"/>
      <c r="DT11" s="1776"/>
      <c r="DU11" s="1776"/>
      <c r="DV11" s="1776"/>
      <c r="DW11" s="1776"/>
      <c r="DX11" s="1776"/>
      <c r="DY11" s="1776"/>
      <c r="DZ11" s="1776"/>
      <c r="EA11" s="1776"/>
      <c r="EB11" s="1776"/>
      <c r="EC11" s="1776"/>
      <c r="ED11" s="1776"/>
      <c r="EE11" s="1776"/>
      <c r="EF11" s="1776"/>
      <c r="EG11" s="1776"/>
      <c r="EH11" s="1776"/>
      <c r="EI11" s="1776"/>
      <c r="EJ11" s="1776"/>
      <c r="EK11" s="1776"/>
      <c r="EL11" s="1776"/>
      <c r="EM11" s="1776"/>
      <c r="EN11" s="1776"/>
      <c r="EO11" s="1776"/>
      <c r="EP11" s="1776"/>
      <c r="EQ11" s="1776"/>
      <c r="ER11" s="1776"/>
      <c r="ES11" s="1776"/>
      <c r="ET11" s="1776"/>
      <c r="EU11" s="1776"/>
      <c r="EV11" s="1776"/>
      <c r="EW11" s="1776"/>
      <c r="EX11" s="1776"/>
      <c r="EY11" s="1776"/>
      <c r="EZ11" s="1776"/>
      <c r="FA11" s="1776"/>
      <c r="FB11" s="1776"/>
      <c r="FC11" s="1776"/>
      <c r="FD11" s="1776"/>
      <c r="FE11" s="1776"/>
      <c r="FF11" s="1776"/>
      <c r="FG11" s="1776"/>
      <c r="FH11" s="1776"/>
      <c r="FI11" s="1776"/>
      <c r="FJ11" s="1776"/>
      <c r="FK11" s="1776"/>
      <c r="FL11" s="1776"/>
      <c r="FM11" s="1776"/>
      <c r="FN11" s="1776"/>
      <c r="FO11" s="1776"/>
      <c r="FP11" s="1776"/>
      <c r="FQ11" s="1776"/>
      <c r="FR11" s="1776"/>
    </row>
    <row r="12" spans="2:174" s="1777" customFormat="1" ht="18.75" thickBot="1" x14ac:dyDescent="0.25">
      <c r="B12" s="1835" t="s">
        <v>0</v>
      </c>
      <c r="C12" s="1836" t="s">
        <v>1</v>
      </c>
      <c r="D12" s="1744"/>
      <c r="E12" s="1836" t="s">
        <v>24</v>
      </c>
      <c r="F12" s="1837" t="s">
        <v>108</v>
      </c>
      <c r="G12" s="1838" t="s">
        <v>109</v>
      </c>
      <c r="H12" s="1839" t="s">
        <v>110</v>
      </c>
      <c r="I12" s="1840" t="s">
        <v>111</v>
      </c>
      <c r="J12" s="1841" t="s">
        <v>113</v>
      </c>
      <c r="K12" s="1836" t="s">
        <v>2</v>
      </c>
      <c r="L12" s="1842"/>
      <c r="M12" s="1800"/>
      <c r="N12" s="1835">
        <v>1</v>
      </c>
      <c r="O12" s="1835">
        <v>2</v>
      </c>
      <c r="P12" s="1835">
        <v>3</v>
      </c>
      <c r="Q12" s="1835">
        <v>4</v>
      </c>
      <c r="R12" s="1835">
        <v>5</v>
      </c>
      <c r="S12" s="1835">
        <v>6</v>
      </c>
      <c r="T12" s="1835">
        <v>7</v>
      </c>
      <c r="U12" s="1843"/>
      <c r="V12" s="1844"/>
      <c r="W12" s="1845"/>
      <c r="X12" s="1846"/>
      <c r="Y12" s="1847"/>
      <c r="Z12" s="1835">
        <v>8</v>
      </c>
      <c r="AA12" s="1835">
        <v>9</v>
      </c>
      <c r="AB12" s="1835">
        <v>10</v>
      </c>
      <c r="AC12" s="1835">
        <v>11</v>
      </c>
      <c r="AD12" s="1835">
        <v>12</v>
      </c>
      <c r="AE12" s="1835">
        <v>13</v>
      </c>
      <c r="AF12" s="1835">
        <v>14</v>
      </c>
      <c r="AG12" s="1744"/>
      <c r="AH12" s="1844"/>
      <c r="AI12" s="1845"/>
      <c r="AJ12" s="1846"/>
      <c r="AK12" s="1744"/>
      <c r="AL12" s="1835">
        <v>15</v>
      </c>
      <c r="AM12" s="1835">
        <v>16</v>
      </c>
      <c r="AN12" s="1835">
        <v>17</v>
      </c>
      <c r="AO12" s="1835">
        <v>18</v>
      </c>
      <c r="AP12" s="1835">
        <v>19</v>
      </c>
      <c r="AQ12" s="1835">
        <v>20</v>
      </c>
      <c r="AR12" s="1835">
        <v>21</v>
      </c>
      <c r="AS12" s="2291"/>
      <c r="AT12" s="1844"/>
      <c r="AU12" s="1845"/>
      <c r="AV12" s="1846"/>
      <c r="AW12" s="2291"/>
      <c r="AX12" s="1835">
        <v>22</v>
      </c>
      <c r="AY12" s="1835">
        <v>23</v>
      </c>
      <c r="AZ12" s="1835">
        <v>24</v>
      </c>
      <c r="BA12" s="1835">
        <v>25</v>
      </c>
      <c r="BB12" s="1835">
        <v>26</v>
      </c>
      <c r="BC12" s="1835">
        <v>27</v>
      </c>
      <c r="BD12" s="1835">
        <v>28</v>
      </c>
      <c r="BE12" s="2291"/>
      <c r="BF12" s="1844"/>
      <c r="BG12" s="1845"/>
      <c r="BH12" s="1846"/>
      <c r="BI12" s="1806"/>
      <c r="BJ12" s="1835">
        <v>29</v>
      </c>
      <c r="BK12" s="1835">
        <v>30</v>
      </c>
      <c r="BL12" s="1835">
        <v>31</v>
      </c>
      <c r="BM12" s="1806"/>
      <c r="BN12" s="1844"/>
      <c r="BO12" s="1845"/>
      <c r="BP12" s="1846"/>
      <c r="BR12" s="4615"/>
      <c r="BS12" s="4581"/>
      <c r="BU12" s="1835" t="s">
        <v>7</v>
      </c>
      <c r="BV12" s="1835" t="s">
        <v>2</v>
      </c>
      <c r="BW12" s="1806"/>
      <c r="BX12" s="1806"/>
      <c r="BY12" s="1795"/>
      <c r="BZ12" s="2743"/>
      <c r="CA12" s="4607"/>
      <c r="CB12" s="4608"/>
      <c r="CC12" s="1848"/>
      <c r="CD12" s="1799"/>
      <c r="CE12" s="1799"/>
      <c r="CF12" s="1799"/>
      <c r="CG12" s="1799"/>
      <c r="CH12" s="1799"/>
      <c r="CI12" s="1799"/>
      <c r="CJ12" s="1799"/>
      <c r="CK12" s="1799"/>
      <c r="CL12" s="1799"/>
      <c r="CM12" s="1799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799"/>
      <c r="DR12" s="1799"/>
      <c r="DS12" s="1799"/>
      <c r="DT12" s="1799"/>
      <c r="DU12" s="1799"/>
      <c r="DV12" s="1799"/>
      <c r="DW12" s="1799"/>
      <c r="DX12" s="1799"/>
      <c r="DY12" s="1799"/>
      <c r="DZ12" s="1799"/>
      <c r="EA12" s="1799"/>
      <c r="EB12" s="1799"/>
      <c r="EC12" s="1799"/>
      <c r="ED12" s="1799"/>
      <c r="EE12" s="1799"/>
      <c r="EF12" s="1799"/>
      <c r="EG12" s="1799"/>
      <c r="EH12" s="1799"/>
      <c r="EI12" s="1799"/>
      <c r="EJ12" s="1799"/>
      <c r="EK12" s="1799"/>
      <c r="EL12" s="1799"/>
      <c r="EM12" s="1799"/>
      <c r="EN12" s="1799"/>
      <c r="EO12" s="1799"/>
      <c r="EP12" s="1799"/>
      <c r="EQ12" s="1799"/>
      <c r="ER12" s="1799"/>
      <c r="ES12" s="1799"/>
      <c r="ET12" s="1799"/>
      <c r="EU12" s="1799"/>
      <c r="EV12" s="1799"/>
      <c r="EW12" s="1799"/>
      <c r="EX12" s="1799"/>
      <c r="EY12" s="1799"/>
      <c r="EZ12" s="1799"/>
      <c r="FA12" s="1799"/>
      <c r="FB12" s="1799"/>
      <c r="FC12" s="1799"/>
      <c r="FD12" s="1799"/>
      <c r="FE12" s="1799"/>
      <c r="FF12" s="1799"/>
      <c r="FG12" s="1799"/>
      <c r="FH12" s="1799"/>
      <c r="FI12" s="1799"/>
      <c r="FJ12" s="1799"/>
      <c r="FK12" s="1799"/>
      <c r="FL12" s="1799"/>
      <c r="FM12" s="1799"/>
      <c r="FN12" s="1799"/>
      <c r="FO12" s="1799"/>
      <c r="FP12" s="1799"/>
      <c r="FQ12" s="1799"/>
      <c r="FR12" s="1799"/>
    </row>
    <row r="13" spans="2:174" s="1777" customFormat="1" ht="4.5" customHeight="1" x14ac:dyDescent="0.2">
      <c r="B13" s="1806"/>
      <c r="C13" s="1800"/>
      <c r="D13" s="1800"/>
      <c r="E13" s="1800"/>
      <c r="F13" s="1849"/>
      <c r="G13" s="1850"/>
      <c r="H13" s="1851"/>
      <c r="I13" s="1852"/>
      <c r="J13" s="1800"/>
      <c r="K13" s="1800"/>
      <c r="L13" s="1842"/>
      <c r="M13" s="1800"/>
      <c r="N13" s="1806"/>
      <c r="O13" s="1806"/>
      <c r="P13" s="1806"/>
      <c r="Q13" s="1806"/>
      <c r="R13" s="1806"/>
      <c r="S13" s="1806"/>
      <c r="T13" s="1806"/>
      <c r="U13" s="1806"/>
      <c r="V13" s="1806"/>
      <c r="W13" s="1806"/>
      <c r="X13" s="1806"/>
      <c r="Y13" s="1800"/>
      <c r="Z13" s="1806"/>
      <c r="AA13" s="1806"/>
      <c r="AB13" s="1806"/>
      <c r="AC13" s="1806"/>
      <c r="AD13" s="1806"/>
      <c r="AE13" s="1806"/>
      <c r="AF13" s="1806"/>
      <c r="AG13" s="1800"/>
      <c r="AH13" s="1806"/>
      <c r="AI13" s="1806"/>
      <c r="AJ13" s="1806"/>
      <c r="AK13" s="1800"/>
      <c r="AL13" s="1806"/>
      <c r="AM13" s="1806"/>
      <c r="AN13" s="1806"/>
      <c r="AO13" s="1806"/>
      <c r="AP13" s="1806"/>
      <c r="AQ13" s="1806"/>
      <c r="AR13" s="1806"/>
      <c r="AS13" s="1806"/>
      <c r="AT13" s="1806"/>
      <c r="AU13" s="1806"/>
      <c r="AV13" s="1806"/>
      <c r="AW13" s="1806"/>
      <c r="AX13" s="1806"/>
      <c r="AY13" s="1806"/>
      <c r="AZ13" s="1806"/>
      <c r="BA13" s="1806"/>
      <c r="BB13" s="1806"/>
      <c r="BC13" s="1806"/>
      <c r="BD13" s="1806"/>
      <c r="BE13" s="1806"/>
      <c r="BF13" s="1806"/>
      <c r="BG13" s="1806"/>
      <c r="BH13" s="1806"/>
      <c r="BI13" s="1806"/>
      <c r="BJ13" s="1806"/>
      <c r="BK13" s="1806"/>
      <c r="BL13" s="1806"/>
      <c r="BM13" s="1806"/>
      <c r="BN13" s="1806"/>
      <c r="BO13" s="1806"/>
      <c r="BP13" s="1806"/>
      <c r="BR13" s="1853"/>
      <c r="BS13" s="1854"/>
      <c r="BU13" s="1800"/>
      <c r="BV13" s="1800"/>
      <c r="BW13" s="1800"/>
      <c r="BX13" s="1800"/>
      <c r="BZ13" s="1855"/>
      <c r="CA13" s="1800"/>
      <c r="CB13" s="1800"/>
      <c r="CC13" s="1856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  <c r="CY13" s="1800"/>
      <c r="CZ13" s="1800"/>
      <c r="DA13" s="1800"/>
      <c r="DB13" s="1800"/>
      <c r="DC13" s="1800"/>
      <c r="DD13" s="1800"/>
      <c r="DE13" s="1800"/>
      <c r="DF13" s="1800"/>
      <c r="DG13" s="1800"/>
      <c r="DH13" s="1800"/>
      <c r="DI13" s="1800"/>
      <c r="DJ13" s="1800"/>
      <c r="DK13" s="1800"/>
      <c r="DL13" s="1800"/>
      <c r="DM13" s="1800"/>
      <c r="DN13" s="1800"/>
      <c r="DO13" s="1800"/>
      <c r="DP13" s="1800"/>
      <c r="DQ13" s="1800"/>
      <c r="DR13" s="1800"/>
      <c r="DS13" s="1800"/>
      <c r="DT13" s="1800"/>
      <c r="DU13" s="1800"/>
      <c r="DV13" s="1800"/>
      <c r="DW13" s="1800"/>
      <c r="DX13" s="1800"/>
      <c r="DY13" s="1800"/>
      <c r="DZ13" s="1800"/>
      <c r="EA13" s="1800"/>
      <c r="EB13" s="1800"/>
      <c r="EC13" s="1800"/>
      <c r="ED13" s="1800"/>
      <c r="EE13" s="1800"/>
      <c r="EF13" s="1800"/>
      <c r="EG13" s="1800"/>
      <c r="EH13" s="1800"/>
      <c r="EI13" s="1800"/>
      <c r="EJ13" s="1800"/>
      <c r="EK13" s="1800"/>
      <c r="EL13" s="1800"/>
      <c r="EM13" s="1800"/>
      <c r="EN13" s="1800"/>
      <c r="EO13" s="1800"/>
      <c r="EP13" s="1800"/>
      <c r="EQ13" s="1800"/>
      <c r="ER13" s="1800"/>
      <c r="ES13" s="1800"/>
      <c r="ET13" s="1800"/>
      <c r="EU13" s="1800"/>
      <c r="EV13" s="1800"/>
      <c r="EW13" s="1800"/>
      <c r="EX13" s="1800"/>
      <c r="EY13" s="1800"/>
      <c r="EZ13" s="1800"/>
      <c r="FA13" s="1800"/>
      <c r="FB13" s="1800"/>
      <c r="FC13" s="1800"/>
      <c r="FD13" s="1800"/>
      <c r="FE13" s="1800"/>
      <c r="FF13" s="1800"/>
      <c r="FG13" s="1800"/>
      <c r="FH13" s="1800"/>
      <c r="FI13" s="1800"/>
      <c r="FJ13" s="1800"/>
      <c r="FK13" s="1800"/>
      <c r="FL13" s="1800"/>
      <c r="FM13" s="1800"/>
      <c r="FN13" s="1800"/>
      <c r="FO13" s="1800"/>
      <c r="FP13" s="1800"/>
      <c r="FQ13" s="1800"/>
      <c r="FR13" s="1800"/>
    </row>
    <row r="14" spans="2:174" s="1726" customFormat="1" ht="21" hidden="1" thickBot="1" x14ac:dyDescent="0.25">
      <c r="B14" s="1857"/>
      <c r="C14" s="1858" t="s">
        <v>170</v>
      </c>
      <c r="D14" s="1727"/>
      <c r="E14" s="2609"/>
      <c r="F14" s="2609"/>
      <c r="G14" s="2609"/>
      <c r="H14" s="2609"/>
      <c r="I14" s="2609"/>
      <c r="J14" s="2607">
        <f>J28*100/30</f>
        <v>140.67948717948721</v>
      </c>
      <c r="K14" s="2609"/>
      <c r="L14" s="1859"/>
      <c r="M14" s="1860"/>
      <c r="N14" s="1861"/>
      <c r="O14" s="1861"/>
      <c r="P14" s="1861"/>
      <c r="Q14" s="1861"/>
      <c r="R14" s="1861"/>
      <c r="S14" s="1861"/>
      <c r="T14" s="1861"/>
      <c r="U14" s="1861"/>
      <c r="V14" s="1861"/>
      <c r="W14" s="1861"/>
      <c r="X14" s="1861"/>
      <c r="Y14" s="1860"/>
      <c r="Z14" s="1861"/>
      <c r="AA14" s="1861"/>
      <c r="AB14" s="1861"/>
      <c r="AC14" s="4605"/>
      <c r="AD14" s="4605"/>
      <c r="AE14" s="4605"/>
      <c r="AF14" s="4605"/>
      <c r="AG14" s="1860"/>
      <c r="AH14" s="1861"/>
      <c r="AI14" s="1861"/>
      <c r="AJ14" s="1861"/>
      <c r="AK14" s="1860"/>
      <c r="AL14" s="1861"/>
      <c r="AM14" s="1861"/>
      <c r="AN14" s="1861"/>
      <c r="AO14" s="1861"/>
      <c r="AP14" s="1861"/>
      <c r="AQ14" s="1861"/>
      <c r="AR14" s="1861"/>
      <c r="AS14" s="1861"/>
      <c r="AT14" s="1861"/>
      <c r="AU14" s="1861"/>
      <c r="AV14" s="1861"/>
      <c r="AW14" s="1861"/>
      <c r="AX14" s="1861"/>
      <c r="AY14" s="1861"/>
      <c r="AZ14" s="1861"/>
      <c r="BA14" s="1861"/>
      <c r="BB14" s="1861"/>
      <c r="BC14" s="1861"/>
      <c r="BD14" s="1861"/>
      <c r="BE14" s="1861"/>
      <c r="BF14" s="1861"/>
      <c r="BG14" s="1861"/>
      <c r="BH14" s="1861"/>
      <c r="BI14" s="1861"/>
      <c r="BJ14" s="1861"/>
      <c r="BK14" s="1861"/>
      <c r="BL14" s="1861"/>
      <c r="BM14" s="1861"/>
      <c r="BN14" s="1861"/>
      <c r="BO14" s="1861"/>
      <c r="BP14" s="1861"/>
      <c r="BU14" s="4612" t="s">
        <v>99</v>
      </c>
      <c r="BV14" s="4612"/>
      <c r="BW14" s="1860"/>
      <c r="BX14" s="1862"/>
      <c r="BZ14" s="1862"/>
    </row>
    <row r="15" spans="2:174" s="1777" customFormat="1" ht="16.5" hidden="1" customHeight="1" x14ac:dyDescent="0.2">
      <c r="B15" s="1863">
        <v>1</v>
      </c>
      <c r="C15" s="1863" t="s">
        <v>216</v>
      </c>
      <c r="D15" s="1744"/>
      <c r="E15" s="2610">
        <v>400</v>
      </c>
      <c r="F15" s="2610">
        <f t="shared" ref="F15:F24" si="33">E15/10</f>
        <v>40</v>
      </c>
      <c r="G15" s="2610">
        <f t="shared" ref="G15:G24" si="34">E15/15</f>
        <v>26.666666666666668</v>
      </c>
      <c r="H15" s="2610">
        <f t="shared" ref="H15:H24" si="35">E15/20</f>
        <v>20</v>
      </c>
      <c r="I15" s="2610">
        <f t="shared" ref="I15:I24" si="36">E15/25</f>
        <v>16</v>
      </c>
      <c r="J15" s="2610">
        <f t="shared" ref="J15:J26" si="37">E15/26</f>
        <v>15.384615384615385</v>
      </c>
      <c r="K15" s="2611">
        <f>E15/$E$28</f>
        <v>0.36453112184452752</v>
      </c>
      <c r="L15" s="1866"/>
      <c r="M15" s="1867"/>
      <c r="N15" s="1780"/>
      <c r="O15" s="1780"/>
      <c r="P15" s="1780"/>
      <c r="Q15" s="1780"/>
      <c r="R15" s="1780"/>
      <c r="S15" s="4617"/>
      <c r="T15" s="1780"/>
      <c r="U15" s="1801"/>
      <c r="V15" s="1868">
        <f>SUM(N15:T15)</f>
        <v>0</v>
      </c>
      <c r="W15" s="1869" t="e">
        <f>(#REF!*K15)*30%</f>
        <v>#REF!</v>
      </c>
      <c r="X15" s="1870" t="e">
        <f>W15-V15</f>
        <v>#REF!</v>
      </c>
      <c r="Y15" s="1788"/>
      <c r="Z15" s="1780"/>
      <c r="AA15" s="1780"/>
      <c r="AB15" s="1780"/>
      <c r="AC15" s="1780"/>
      <c r="AD15" s="1780"/>
      <c r="AE15" s="4620"/>
      <c r="AF15" s="1780"/>
      <c r="AG15" s="1791"/>
      <c r="AH15" s="1868">
        <f>SUM(Z15:AF15)</f>
        <v>0</v>
      </c>
      <c r="AI15" s="1869" t="e">
        <f>(#REF!*K15)*30%</f>
        <v>#REF!</v>
      </c>
      <c r="AJ15" s="1870" t="e">
        <f>AI15-AH15</f>
        <v>#REF!</v>
      </c>
      <c r="AK15" s="1788"/>
      <c r="AL15" s="1780"/>
      <c r="AM15" s="1780"/>
      <c r="AN15" s="1780"/>
      <c r="AO15" s="1780"/>
      <c r="AP15" s="1780"/>
      <c r="AQ15" s="4617"/>
      <c r="AR15" s="1780"/>
      <c r="AS15" s="2290"/>
      <c r="AT15" s="1868">
        <f>SUM(AL15:AR15)</f>
        <v>0</v>
      </c>
      <c r="AU15" s="1869" t="e">
        <f>(#REF!*K15)*30%</f>
        <v>#REF!</v>
      </c>
      <c r="AV15" s="1870" t="e">
        <f>AU15-AT15</f>
        <v>#REF!</v>
      </c>
      <c r="AW15" s="2290"/>
      <c r="AX15" s="1780"/>
      <c r="AY15" s="1780"/>
      <c r="AZ15" s="1780"/>
      <c r="BA15" s="1780"/>
      <c r="BB15" s="1780"/>
      <c r="BC15" s="4620"/>
      <c r="BD15" s="1780"/>
      <c r="BE15" s="2290"/>
      <c r="BF15" s="1868">
        <f t="shared" ref="BF15:BF26" si="38">SUM(AX15:BD15)</f>
        <v>0</v>
      </c>
      <c r="BG15" s="1869" t="e">
        <f>(#REF!*K15)*30%</f>
        <v>#REF!</v>
      </c>
      <c r="BH15" s="1870" t="e">
        <f>BG15-BF15</f>
        <v>#REF!</v>
      </c>
      <c r="BI15" s="1801"/>
      <c r="BJ15" s="1780"/>
      <c r="BK15" s="2292"/>
      <c r="BL15" s="2292"/>
      <c r="BM15" s="1801"/>
      <c r="BN15" s="1868">
        <f>SUM(BJ15:BL15)</f>
        <v>0</v>
      </c>
      <c r="BO15" s="1869" t="e">
        <f>(#REF!*K15)*30%</f>
        <v>#REF!</v>
      </c>
      <c r="BP15" s="1870" t="e">
        <f>BO15-BN15</f>
        <v>#REF!</v>
      </c>
      <c r="BR15" s="1750">
        <v>0</v>
      </c>
      <c r="BS15" s="1871">
        <f t="shared" ref="BS15:BS26" si="39">BR15/E15</f>
        <v>0</v>
      </c>
      <c r="BT15" s="1795"/>
      <c r="BU15" s="1872">
        <f t="shared" ref="BU15:BU26" si="40">SUM(N15:T15)+SUM(Z15:AF15)+SUM(AL15:AR15)+SUM(AX15:BD15)+SUM(BJ15:BL15)</f>
        <v>0</v>
      </c>
      <c r="BV15" s="1873">
        <f t="shared" ref="BV15:BV26" si="41">BU15/E15</f>
        <v>0</v>
      </c>
      <c r="BW15" s="1802"/>
      <c r="BX15" s="1783"/>
      <c r="BZ15" s="2605"/>
      <c r="CA15" s="2605"/>
      <c r="CB15" s="1860"/>
      <c r="CC15" s="1860"/>
      <c r="CD15" s="1860"/>
      <c r="CE15" s="1860"/>
      <c r="CF15" s="1860"/>
      <c r="CG15" s="1860"/>
      <c r="CH15" s="1860"/>
    </row>
    <row r="16" spans="2:174" s="1726" customFormat="1" hidden="1" x14ac:dyDescent="0.2">
      <c r="B16" s="1857">
        <v>2</v>
      </c>
      <c r="C16" s="1857" t="s">
        <v>217</v>
      </c>
      <c r="D16" s="1727"/>
      <c r="E16" s="2607">
        <v>300</v>
      </c>
      <c r="F16" s="2607">
        <f t="shared" si="33"/>
        <v>30</v>
      </c>
      <c r="G16" s="2607">
        <f t="shared" si="34"/>
        <v>20</v>
      </c>
      <c r="H16" s="2607">
        <f t="shared" si="35"/>
        <v>15</v>
      </c>
      <c r="I16" s="2607">
        <f t="shared" si="36"/>
        <v>12</v>
      </c>
      <c r="J16" s="2607">
        <f t="shared" si="37"/>
        <v>11.538461538461538</v>
      </c>
      <c r="K16" s="2608">
        <f>E16/$E$28</f>
        <v>0.27339834138339564</v>
      </c>
      <c r="L16" s="1876"/>
      <c r="M16" s="1877"/>
      <c r="N16" s="1759"/>
      <c r="O16" s="1759"/>
      <c r="P16" s="1759"/>
      <c r="Q16" s="1759"/>
      <c r="R16" s="1759"/>
      <c r="S16" s="4618"/>
      <c r="T16" s="1759"/>
      <c r="U16" s="2604"/>
      <c r="V16" s="1879">
        <f t="shared" ref="V16:V103" si="42">SUM(N16:T16)</f>
        <v>0</v>
      </c>
      <c r="W16" s="1759" t="e">
        <f>(#REF!*K16)*30%</f>
        <v>#REF!</v>
      </c>
      <c r="X16" s="1880" t="e">
        <f t="shared" ref="X16:X25" si="43">W16-V16</f>
        <v>#REF!</v>
      </c>
      <c r="Y16" s="1881"/>
      <c r="Z16" s="1759"/>
      <c r="AA16" s="1759"/>
      <c r="AB16" s="1759"/>
      <c r="AC16" s="1759"/>
      <c r="AD16" s="1759"/>
      <c r="AE16" s="4621"/>
      <c r="AF16" s="1759"/>
      <c r="AG16" s="1862"/>
      <c r="AH16" s="1879">
        <f t="shared" ref="AH16:AH54" si="44">SUM(Z16:AF16)</f>
        <v>0</v>
      </c>
      <c r="AI16" s="1759" t="e">
        <f>(#REF!*K16)*30%</f>
        <v>#REF!</v>
      </c>
      <c r="AJ16" s="1880" t="e">
        <f t="shared" ref="AJ16:AJ54" si="45">AI16-AH16</f>
        <v>#REF!</v>
      </c>
      <c r="AK16" s="1881"/>
      <c r="AL16" s="1759"/>
      <c r="AM16" s="1759"/>
      <c r="AN16" s="1759"/>
      <c r="AO16" s="1759"/>
      <c r="AP16" s="1759"/>
      <c r="AQ16" s="4618"/>
      <c r="AR16" s="1759"/>
      <c r="AS16" s="2293"/>
      <c r="AT16" s="1879">
        <f t="shared" ref="AT16:AT26" si="46">SUM(AL16:AR16)</f>
        <v>0</v>
      </c>
      <c r="AU16" s="1759" t="e">
        <f>(#REF!*K16)*30%</f>
        <v>#REF!</v>
      </c>
      <c r="AV16" s="1880" t="e">
        <f t="shared" ref="AV16" si="47">AU16-AT16</f>
        <v>#REF!</v>
      </c>
      <c r="AW16" s="2293"/>
      <c r="AX16" s="1759"/>
      <c r="AY16" s="1759"/>
      <c r="AZ16" s="1759"/>
      <c r="BA16" s="1759"/>
      <c r="BB16" s="1759"/>
      <c r="BC16" s="4621"/>
      <c r="BD16" s="1759"/>
      <c r="BE16" s="2293"/>
      <c r="BF16" s="1879">
        <f t="shared" si="38"/>
        <v>0</v>
      </c>
      <c r="BG16" s="1759" t="e">
        <f>(#REF!*K16)*30%</f>
        <v>#REF!</v>
      </c>
      <c r="BH16" s="1880" t="e">
        <f t="shared" ref="BH16" si="48">BG16-BF16</f>
        <v>#REF!</v>
      </c>
      <c r="BI16" s="2604"/>
      <c r="BJ16" s="1759"/>
      <c r="BK16" s="2294"/>
      <c r="BL16" s="2294"/>
      <c r="BM16" s="2604"/>
      <c r="BN16" s="1879">
        <f>SUM(BJ16:BL16)</f>
        <v>0</v>
      </c>
      <c r="BO16" s="1759" t="e">
        <f>(#REF!*K16)*30%</f>
        <v>#REF!</v>
      </c>
      <c r="BP16" s="1880" t="e">
        <f t="shared" ref="BP16" si="49">BO16-BN16</f>
        <v>#REF!</v>
      </c>
      <c r="BR16" s="1732">
        <v>0</v>
      </c>
      <c r="BS16" s="1882">
        <f t="shared" si="39"/>
        <v>0</v>
      </c>
      <c r="BT16" s="1740"/>
      <c r="BU16" s="1763">
        <f t="shared" si="40"/>
        <v>0</v>
      </c>
      <c r="BV16" s="1883">
        <f t="shared" si="41"/>
        <v>0</v>
      </c>
      <c r="BW16" s="1830"/>
      <c r="BX16" s="2605"/>
      <c r="BZ16" s="1884"/>
      <c r="CA16" s="1783"/>
      <c r="CB16" s="1800"/>
      <c r="CC16" s="1810"/>
      <c r="CD16" s="1810"/>
      <c r="CE16" s="1810"/>
      <c r="CF16" s="1810"/>
      <c r="CG16" s="1810"/>
      <c r="CH16" s="1810"/>
    </row>
    <row r="17" spans="1:87" s="1885" customFormat="1" hidden="1" x14ac:dyDescent="0.2">
      <c r="A17" s="2530"/>
      <c r="B17" s="1886">
        <v>3</v>
      </c>
      <c r="C17" s="1887" t="s">
        <v>237</v>
      </c>
      <c r="D17" s="1888"/>
      <c r="E17" s="2607">
        <v>150</v>
      </c>
      <c r="F17" s="2607"/>
      <c r="G17" s="2607"/>
      <c r="H17" s="2607"/>
      <c r="I17" s="2607"/>
      <c r="J17" s="2607">
        <f t="shared" si="37"/>
        <v>5.7692307692307692</v>
      </c>
      <c r="K17" s="2608">
        <f t="shared" ref="K17:K26" si="50">E17/$E$28</f>
        <v>0.13669917069169782</v>
      </c>
      <c r="L17" s="1891"/>
      <c r="M17" s="1892"/>
      <c r="N17" s="1889"/>
      <c r="O17" s="1889"/>
      <c r="P17" s="1889"/>
      <c r="Q17" s="1889"/>
      <c r="R17" s="1889"/>
      <c r="S17" s="4618"/>
      <c r="T17" s="1889"/>
      <c r="U17" s="2602"/>
      <c r="V17" s="1894">
        <f>SUM(N17:T17)</f>
        <v>0</v>
      </c>
      <c r="W17" s="1889" t="e">
        <f>(#REF!*K17)*30%</f>
        <v>#REF!</v>
      </c>
      <c r="X17" s="1895" t="e">
        <f>W17-V17</f>
        <v>#REF!</v>
      </c>
      <c r="Y17" s="1896"/>
      <c r="Z17" s="1889"/>
      <c r="AA17" s="1889"/>
      <c r="AB17" s="1889"/>
      <c r="AC17" s="1889"/>
      <c r="AD17" s="1889"/>
      <c r="AE17" s="4621"/>
      <c r="AF17" s="1889"/>
      <c r="AG17" s="1897"/>
      <c r="AH17" s="1894">
        <f>SUM(Z17:AF17)</f>
        <v>0</v>
      </c>
      <c r="AI17" s="1889" t="e">
        <f>(#REF!*K17)*30%</f>
        <v>#REF!</v>
      </c>
      <c r="AJ17" s="1895" t="e">
        <f>AI17-AH17</f>
        <v>#REF!</v>
      </c>
      <c r="AK17" s="1896"/>
      <c r="AL17" s="1889"/>
      <c r="AM17" s="1889"/>
      <c r="AN17" s="1889"/>
      <c r="AO17" s="1889"/>
      <c r="AP17" s="1889"/>
      <c r="AQ17" s="4618"/>
      <c r="AR17" s="1889"/>
      <c r="AS17" s="2295"/>
      <c r="AT17" s="1894">
        <f>SUM(AL17:AR17)</f>
        <v>0</v>
      </c>
      <c r="AU17" s="1889" t="e">
        <f>(#REF!*K17)*30%</f>
        <v>#REF!</v>
      </c>
      <c r="AV17" s="1895" t="e">
        <f>AU17-AT17</f>
        <v>#REF!</v>
      </c>
      <c r="AW17" s="2295"/>
      <c r="AX17" s="1889"/>
      <c r="AY17" s="1889"/>
      <c r="AZ17" s="1889"/>
      <c r="BA17" s="1889"/>
      <c r="BB17" s="1889"/>
      <c r="BC17" s="4621"/>
      <c r="BD17" s="1889"/>
      <c r="BE17" s="2295"/>
      <c r="BF17" s="1894">
        <f t="shared" si="38"/>
        <v>0</v>
      </c>
      <c r="BG17" s="1889" t="e">
        <f>(#REF!*K17)*30%</f>
        <v>#REF!</v>
      </c>
      <c r="BH17" s="1895" t="e">
        <f>BG17-BF17</f>
        <v>#REF!</v>
      </c>
      <c r="BI17" s="2602"/>
      <c r="BJ17" s="1889"/>
      <c r="BK17" s="2296"/>
      <c r="BL17" s="2296"/>
      <c r="BM17" s="2602"/>
      <c r="BN17" s="1894">
        <f>SUM(BJ17:BL17)</f>
        <v>0</v>
      </c>
      <c r="BO17" s="1889" t="e">
        <f>(#REF!*K17)*30%</f>
        <v>#REF!</v>
      </c>
      <c r="BP17" s="1895" t="e">
        <f>BO17-BN17</f>
        <v>#REF!</v>
      </c>
      <c r="BR17" s="1898">
        <v>0</v>
      </c>
      <c r="BS17" s="1899">
        <f t="shared" si="39"/>
        <v>0</v>
      </c>
      <c r="BT17" s="1900"/>
      <c r="BU17" s="1901">
        <f t="shared" si="40"/>
        <v>0</v>
      </c>
      <c r="BV17" s="1902">
        <f t="shared" si="41"/>
        <v>0</v>
      </c>
      <c r="BW17" s="1962"/>
      <c r="BX17" s="2601"/>
      <c r="BZ17" s="1904"/>
      <c r="CA17" s="1905"/>
      <c r="CB17" s="1906"/>
      <c r="CC17" s="1906"/>
      <c r="CD17" s="1906"/>
      <c r="CE17" s="1906"/>
      <c r="CF17" s="1906"/>
      <c r="CG17" s="1906"/>
      <c r="CH17" s="1906"/>
    </row>
    <row r="18" spans="1:87" s="1726" customFormat="1" hidden="1" x14ac:dyDescent="0.2">
      <c r="A18" s="2443"/>
      <c r="B18" s="1857">
        <v>4</v>
      </c>
      <c r="C18" s="1857" t="s">
        <v>236</v>
      </c>
      <c r="D18" s="1727"/>
      <c r="E18" s="2607">
        <v>118</v>
      </c>
      <c r="F18" s="2607"/>
      <c r="G18" s="2607"/>
      <c r="H18" s="2607"/>
      <c r="I18" s="2607"/>
      <c r="J18" s="2607">
        <f t="shared" si="37"/>
        <v>4.5384615384615383</v>
      </c>
      <c r="K18" s="2608">
        <f t="shared" si="50"/>
        <v>0.10753668094413561</v>
      </c>
      <c r="L18" s="1876"/>
      <c r="M18" s="1877"/>
      <c r="N18" s="1759"/>
      <c r="O18" s="1759"/>
      <c r="P18" s="1759"/>
      <c r="Q18" s="1759"/>
      <c r="R18" s="1759"/>
      <c r="S18" s="4618"/>
      <c r="T18" s="1759"/>
      <c r="U18" s="2604"/>
      <c r="V18" s="1879">
        <f>SUM(N18:T18)</f>
        <v>0</v>
      </c>
      <c r="W18" s="1759" t="e">
        <f>(#REF!*K18)*30%</f>
        <v>#REF!</v>
      </c>
      <c r="X18" s="1880" t="e">
        <f>W18-V18</f>
        <v>#REF!</v>
      </c>
      <c r="Y18" s="1881"/>
      <c r="Z18" s="1759"/>
      <c r="AA18" s="1759"/>
      <c r="AB18" s="1759"/>
      <c r="AC18" s="1759"/>
      <c r="AD18" s="1759"/>
      <c r="AE18" s="4621"/>
      <c r="AF18" s="1759"/>
      <c r="AG18" s="1862"/>
      <c r="AH18" s="1879">
        <f t="shared" ref="AH18:AH19" si="51">SUM(Z18:AF18)</f>
        <v>0</v>
      </c>
      <c r="AI18" s="1759" t="e">
        <f>(#REF!*K18)*30%</f>
        <v>#REF!</v>
      </c>
      <c r="AJ18" s="1880" t="e">
        <f t="shared" ref="AJ18:AJ19" si="52">AI18-AH18</f>
        <v>#REF!</v>
      </c>
      <c r="AK18" s="1881"/>
      <c r="AL18" s="1759"/>
      <c r="AM18" s="1759"/>
      <c r="AN18" s="1759"/>
      <c r="AO18" s="1759"/>
      <c r="AP18" s="1759"/>
      <c r="AQ18" s="4618"/>
      <c r="AR18" s="1759"/>
      <c r="AS18" s="2293"/>
      <c r="AT18" s="1879">
        <f t="shared" ref="AT18:AT19" si="53">SUM(AL18:AR18)</f>
        <v>0</v>
      </c>
      <c r="AU18" s="1759" t="e">
        <f>(#REF!*K18)*30%</f>
        <v>#REF!</v>
      </c>
      <c r="AV18" s="1880" t="e">
        <f t="shared" ref="AV18:AV19" si="54">AU18-AT18</f>
        <v>#REF!</v>
      </c>
      <c r="AW18" s="2293"/>
      <c r="AX18" s="1759"/>
      <c r="AY18" s="1759"/>
      <c r="AZ18" s="1759"/>
      <c r="BA18" s="1759"/>
      <c r="BB18" s="1759"/>
      <c r="BC18" s="4621"/>
      <c r="BD18" s="1759"/>
      <c r="BE18" s="2293"/>
      <c r="BF18" s="1879">
        <f t="shared" si="38"/>
        <v>0</v>
      </c>
      <c r="BG18" s="1759" t="e">
        <f>(#REF!*K18)*30%</f>
        <v>#REF!</v>
      </c>
      <c r="BH18" s="1880" t="e">
        <f t="shared" ref="BH18:BH19" si="55">BG18-BF18</f>
        <v>#REF!</v>
      </c>
      <c r="BI18" s="2604"/>
      <c r="BJ18" s="1759"/>
      <c r="BK18" s="2294"/>
      <c r="BL18" s="2294"/>
      <c r="BM18" s="2604"/>
      <c r="BN18" s="1879">
        <f>SUM(BJ18:BL18)</f>
        <v>0</v>
      </c>
      <c r="BO18" s="1759" t="e">
        <f>(#REF!*K18)*30%</f>
        <v>#REF!</v>
      </c>
      <c r="BP18" s="1880" t="e">
        <f t="shared" ref="BP18" si="56">BO18-BN18</f>
        <v>#REF!</v>
      </c>
      <c r="BR18" s="1732">
        <v>0</v>
      </c>
      <c r="BS18" s="1882">
        <f t="shared" si="39"/>
        <v>0</v>
      </c>
      <c r="BT18" s="1740"/>
      <c r="BU18" s="1763">
        <f t="shared" si="40"/>
        <v>0</v>
      </c>
      <c r="BV18" s="1883">
        <f t="shared" si="41"/>
        <v>0</v>
      </c>
      <c r="BW18" s="1830"/>
      <c r="BX18" s="2605"/>
      <c r="BZ18" s="1884"/>
      <c r="CA18" s="1761"/>
      <c r="CB18" s="1810"/>
      <c r="CC18" s="1810"/>
      <c r="CD18" s="1810"/>
      <c r="CE18" s="1810"/>
      <c r="CF18" s="1810"/>
      <c r="CG18" s="1810"/>
      <c r="CH18" s="1810"/>
    </row>
    <row r="19" spans="1:87" hidden="1" x14ac:dyDescent="0.2">
      <c r="B19" s="1863">
        <v>5</v>
      </c>
      <c r="C19" s="1907" t="s">
        <v>246</v>
      </c>
      <c r="D19" s="1744"/>
      <c r="E19" s="2607">
        <v>30</v>
      </c>
      <c r="F19" s="2607"/>
      <c r="G19" s="2607"/>
      <c r="H19" s="2607"/>
      <c r="I19" s="2607"/>
      <c r="J19" s="2607">
        <f t="shared" si="37"/>
        <v>1.1538461538461537</v>
      </c>
      <c r="K19" s="2608">
        <f t="shared" si="50"/>
        <v>2.7339834138339562E-2</v>
      </c>
      <c r="L19" s="1909"/>
      <c r="M19" s="1910"/>
      <c r="N19" s="1780"/>
      <c r="O19" s="1780"/>
      <c r="P19" s="1780"/>
      <c r="Q19" s="1780"/>
      <c r="R19" s="1780"/>
      <c r="S19" s="4618"/>
      <c r="T19" s="1780"/>
      <c r="U19" s="2606"/>
      <c r="V19" s="1912">
        <f>SUM(N19:T19)</f>
        <v>0</v>
      </c>
      <c r="W19" s="1780" t="e">
        <f>(#REF!*K19)*30%</f>
        <v>#REF!</v>
      </c>
      <c r="X19" s="1913" t="e">
        <f>W19-V19</f>
        <v>#REF!</v>
      </c>
      <c r="Y19" s="1914"/>
      <c r="Z19" s="1780"/>
      <c r="AA19" s="1780"/>
      <c r="AB19" s="1780"/>
      <c r="AC19" s="1780"/>
      <c r="AD19" s="1780"/>
      <c r="AE19" s="4621"/>
      <c r="AF19" s="1780"/>
      <c r="AG19" s="1915"/>
      <c r="AH19" s="1912">
        <f t="shared" si="51"/>
        <v>0</v>
      </c>
      <c r="AI19" s="1780" t="e">
        <f>(#REF!*K19)*30%</f>
        <v>#REF!</v>
      </c>
      <c r="AJ19" s="1913" t="e">
        <f t="shared" si="52"/>
        <v>#REF!</v>
      </c>
      <c r="AK19" s="1914"/>
      <c r="AL19" s="1780"/>
      <c r="AM19" s="1780"/>
      <c r="AN19" s="1780"/>
      <c r="AO19" s="1780"/>
      <c r="AP19" s="1780"/>
      <c r="AQ19" s="4618"/>
      <c r="AR19" s="1780"/>
      <c r="AS19" s="2297"/>
      <c r="AT19" s="1912">
        <f t="shared" si="53"/>
        <v>0</v>
      </c>
      <c r="AU19" s="1780" t="e">
        <f>(#REF!*K19)*30%</f>
        <v>#REF!</v>
      </c>
      <c r="AV19" s="1913" t="e">
        <f t="shared" si="54"/>
        <v>#REF!</v>
      </c>
      <c r="AW19" s="2297"/>
      <c r="AX19" s="1780"/>
      <c r="AY19" s="1780"/>
      <c r="AZ19" s="1780"/>
      <c r="BA19" s="1780"/>
      <c r="BB19" s="1780"/>
      <c r="BC19" s="4621"/>
      <c r="BD19" s="1780"/>
      <c r="BE19" s="2297"/>
      <c r="BF19" s="1912">
        <f t="shared" si="38"/>
        <v>0</v>
      </c>
      <c r="BG19" s="1780" t="e">
        <f>(#REF!*K19)*30%</f>
        <v>#REF!</v>
      </c>
      <c r="BH19" s="1913" t="e">
        <f t="shared" si="55"/>
        <v>#REF!</v>
      </c>
      <c r="BI19" s="2606"/>
      <c r="BJ19" s="1780"/>
      <c r="BK19" s="2292"/>
      <c r="BL19" s="2292"/>
      <c r="BM19" s="2606"/>
      <c r="BN19" s="1912">
        <f>SUM(BJ19:BL19)</f>
        <v>0</v>
      </c>
      <c r="BO19" s="1780" t="e">
        <f>(#REF!*K19)*30%</f>
        <v>#REF!</v>
      </c>
      <c r="BP19" s="1913" t="e">
        <f t="shared" ref="BP19" si="57">BO19-BN19</f>
        <v>#REF!</v>
      </c>
      <c r="BR19" s="1747">
        <v>0</v>
      </c>
      <c r="BS19" s="1752">
        <f t="shared" si="39"/>
        <v>0</v>
      </c>
      <c r="BT19" s="1754"/>
      <c r="BU19" s="1749">
        <f t="shared" si="40"/>
        <v>0</v>
      </c>
      <c r="BV19" s="1753">
        <f t="shared" si="41"/>
        <v>0</v>
      </c>
      <c r="BW19" s="1993"/>
      <c r="BX19" s="1916"/>
      <c r="BZ19" s="1917"/>
      <c r="CA19" s="1761"/>
      <c r="CB19" s="1810"/>
      <c r="CC19" s="1800"/>
      <c r="CD19" s="1800"/>
      <c r="CE19" s="1800"/>
      <c r="CF19" s="1800"/>
      <c r="CG19" s="1800"/>
      <c r="CH19" s="1800"/>
    </row>
    <row r="20" spans="1:87" s="1726" customFormat="1" hidden="1" x14ac:dyDescent="0.2">
      <c r="B20" s="1857">
        <v>6</v>
      </c>
      <c r="C20" s="1857" t="s">
        <v>211</v>
      </c>
      <c r="D20" s="1727"/>
      <c r="E20" s="2607">
        <v>27.8</v>
      </c>
      <c r="F20" s="2607">
        <f t="shared" si="33"/>
        <v>2.7800000000000002</v>
      </c>
      <c r="G20" s="2607">
        <f t="shared" si="34"/>
        <v>1.8533333333333333</v>
      </c>
      <c r="H20" s="2607">
        <f t="shared" si="35"/>
        <v>1.3900000000000001</v>
      </c>
      <c r="I20" s="2607">
        <f t="shared" si="36"/>
        <v>1.1120000000000001</v>
      </c>
      <c r="J20" s="2607">
        <f t="shared" si="37"/>
        <v>1.0692307692307692</v>
      </c>
      <c r="K20" s="2608">
        <f t="shared" si="50"/>
        <v>2.5334912968194661E-2</v>
      </c>
      <c r="L20" s="1876"/>
      <c r="M20" s="1877"/>
      <c r="N20" s="1759"/>
      <c r="O20" s="1759"/>
      <c r="P20" s="1759"/>
      <c r="Q20" s="1759"/>
      <c r="R20" s="1759"/>
      <c r="S20" s="4618"/>
      <c r="T20" s="1759"/>
      <c r="U20" s="2604"/>
      <c r="V20" s="1879">
        <f t="shared" si="42"/>
        <v>0</v>
      </c>
      <c r="W20" s="1759" t="e">
        <f>(#REF!*K20)*30%</f>
        <v>#REF!</v>
      </c>
      <c r="X20" s="1880" t="e">
        <f>W20-V20</f>
        <v>#REF!</v>
      </c>
      <c r="Y20" s="1881"/>
      <c r="Z20" s="1759"/>
      <c r="AA20" s="1759"/>
      <c r="AB20" s="1759"/>
      <c r="AC20" s="1759"/>
      <c r="AD20" s="1759"/>
      <c r="AE20" s="4621"/>
      <c r="AF20" s="1759"/>
      <c r="AG20" s="1862"/>
      <c r="AH20" s="1879">
        <f t="shared" si="44"/>
        <v>0</v>
      </c>
      <c r="AI20" s="1759" t="e">
        <f>(#REF!*K20)*30%</f>
        <v>#REF!</v>
      </c>
      <c r="AJ20" s="1880" t="e">
        <f>AI20-AH20</f>
        <v>#REF!</v>
      </c>
      <c r="AK20" s="1881"/>
      <c r="AL20" s="1759"/>
      <c r="AM20" s="1759"/>
      <c r="AN20" s="1759"/>
      <c r="AO20" s="1759"/>
      <c r="AP20" s="1759"/>
      <c r="AQ20" s="4618"/>
      <c r="AR20" s="1759"/>
      <c r="AS20" s="2293"/>
      <c r="AT20" s="1879">
        <f t="shared" si="46"/>
        <v>0</v>
      </c>
      <c r="AU20" s="1759" t="e">
        <f>(#REF!*K20)*30%</f>
        <v>#REF!</v>
      </c>
      <c r="AV20" s="1880" t="e">
        <f>AU20-AT20</f>
        <v>#REF!</v>
      </c>
      <c r="AW20" s="2293"/>
      <c r="AX20" s="1759"/>
      <c r="AY20" s="1759"/>
      <c r="AZ20" s="1759"/>
      <c r="BA20" s="1759"/>
      <c r="BB20" s="1759"/>
      <c r="BC20" s="4621"/>
      <c r="BD20" s="1759"/>
      <c r="BE20" s="2293"/>
      <c r="BF20" s="1879">
        <f t="shared" si="38"/>
        <v>0</v>
      </c>
      <c r="BG20" s="1759" t="e">
        <f>(#REF!*K20)*30%</f>
        <v>#REF!</v>
      </c>
      <c r="BH20" s="1880" t="e">
        <f>BG20-BF20</f>
        <v>#REF!</v>
      </c>
      <c r="BI20" s="2604"/>
      <c r="BJ20" s="1759"/>
      <c r="BK20" s="2294"/>
      <c r="BL20" s="2294"/>
      <c r="BM20" s="2604"/>
      <c r="BN20" s="1879">
        <f t="shared" ref="BN20:BN26" si="58">SUM(BJ20:BL20)</f>
        <v>0</v>
      </c>
      <c r="BO20" s="1759" t="e">
        <f>(#REF!*K20)*30%</f>
        <v>#REF!</v>
      </c>
      <c r="BP20" s="1880" t="e">
        <f>BO20-BN20</f>
        <v>#REF!</v>
      </c>
      <c r="BR20" s="1732">
        <v>0</v>
      </c>
      <c r="BS20" s="1882">
        <f t="shared" si="39"/>
        <v>0</v>
      </c>
      <c r="BT20" s="1740"/>
      <c r="BU20" s="1734">
        <f t="shared" si="40"/>
        <v>0</v>
      </c>
      <c r="BV20" s="1918">
        <f t="shared" si="41"/>
        <v>0</v>
      </c>
      <c r="BW20" s="1997"/>
      <c r="BX20" s="2605"/>
      <c r="BZ20" s="1919"/>
      <c r="CA20" s="2605"/>
      <c r="CB20" s="1920"/>
      <c r="CC20" s="1810"/>
      <c r="CD20" s="1810"/>
      <c r="CE20" s="1810"/>
      <c r="CF20" s="1810"/>
      <c r="CG20" s="1810"/>
      <c r="CH20" s="1810"/>
    </row>
    <row r="21" spans="1:87" hidden="1" x14ac:dyDescent="0.2">
      <c r="A21" s="1777"/>
      <c r="B21" s="1863">
        <v>7</v>
      </c>
      <c r="C21" s="1907" t="s">
        <v>218</v>
      </c>
      <c r="D21" s="1744"/>
      <c r="E21" s="2607">
        <v>25.5</v>
      </c>
      <c r="F21" s="2607">
        <f t="shared" si="33"/>
        <v>2.5499999999999998</v>
      </c>
      <c r="G21" s="2607">
        <f t="shared" si="34"/>
        <v>1.7</v>
      </c>
      <c r="H21" s="2607">
        <f t="shared" si="35"/>
        <v>1.2749999999999999</v>
      </c>
      <c r="I21" s="2607">
        <f t="shared" si="36"/>
        <v>1.02</v>
      </c>
      <c r="J21" s="2607">
        <f t="shared" si="37"/>
        <v>0.98076923076923073</v>
      </c>
      <c r="K21" s="2608">
        <f t="shared" si="50"/>
        <v>2.3238859017588629E-2</v>
      </c>
      <c r="L21" s="1909"/>
      <c r="M21" s="1910"/>
      <c r="N21" s="1780"/>
      <c r="O21" s="1780"/>
      <c r="P21" s="1780"/>
      <c r="Q21" s="1780"/>
      <c r="R21" s="1780"/>
      <c r="S21" s="4618"/>
      <c r="T21" s="1780"/>
      <c r="U21" s="2606"/>
      <c r="V21" s="1912">
        <f t="shared" si="42"/>
        <v>0</v>
      </c>
      <c r="W21" s="1780" t="e">
        <f>(#REF!*K21)*30%</f>
        <v>#REF!</v>
      </c>
      <c r="X21" s="1913" t="e">
        <f t="shared" si="43"/>
        <v>#REF!</v>
      </c>
      <c r="Y21" s="1914"/>
      <c r="Z21" s="1780"/>
      <c r="AA21" s="1780"/>
      <c r="AB21" s="1780"/>
      <c r="AC21" s="1780"/>
      <c r="AD21" s="1780"/>
      <c r="AE21" s="4621"/>
      <c r="AF21" s="1780"/>
      <c r="AG21" s="1915"/>
      <c r="AH21" s="1912">
        <f t="shared" si="44"/>
        <v>0</v>
      </c>
      <c r="AI21" s="1780" t="e">
        <f>(#REF!*K21)*30%</f>
        <v>#REF!</v>
      </c>
      <c r="AJ21" s="1913" t="e">
        <f t="shared" si="45"/>
        <v>#REF!</v>
      </c>
      <c r="AK21" s="1914"/>
      <c r="AL21" s="1780"/>
      <c r="AM21" s="1780"/>
      <c r="AN21" s="1780"/>
      <c r="AO21" s="1780"/>
      <c r="AP21" s="1780"/>
      <c r="AQ21" s="4618"/>
      <c r="AR21" s="1780"/>
      <c r="AS21" s="2297"/>
      <c r="AT21" s="1912">
        <f t="shared" si="46"/>
        <v>0</v>
      </c>
      <c r="AU21" s="1780" t="e">
        <f>(#REF!*K21)*30%</f>
        <v>#REF!</v>
      </c>
      <c r="AV21" s="1913" t="e">
        <f t="shared" ref="AV21:AV26" si="59">AU21-AT21</f>
        <v>#REF!</v>
      </c>
      <c r="AW21" s="2297"/>
      <c r="AX21" s="1780"/>
      <c r="AY21" s="1780"/>
      <c r="AZ21" s="1780"/>
      <c r="BA21" s="1780"/>
      <c r="BB21" s="1780"/>
      <c r="BC21" s="4621"/>
      <c r="BD21" s="1780"/>
      <c r="BE21" s="2297"/>
      <c r="BF21" s="1912">
        <f t="shared" si="38"/>
        <v>0</v>
      </c>
      <c r="BG21" s="1780" t="e">
        <f>(#REF!*K21)*30%</f>
        <v>#REF!</v>
      </c>
      <c r="BH21" s="1913" t="e">
        <f t="shared" ref="BH21:BH26" si="60">BG21-BF21</f>
        <v>#REF!</v>
      </c>
      <c r="BI21" s="2606"/>
      <c r="BJ21" s="1780"/>
      <c r="BK21" s="2292"/>
      <c r="BL21" s="2292"/>
      <c r="BM21" s="2606"/>
      <c r="BN21" s="1912">
        <f t="shared" si="58"/>
        <v>0</v>
      </c>
      <c r="BO21" s="1780" t="e">
        <f>(#REF!*K21)*30%</f>
        <v>#REF!</v>
      </c>
      <c r="BP21" s="1913" t="e">
        <f t="shared" ref="BP21:BP33" si="61">BO21-BN21</f>
        <v>#REF!</v>
      </c>
      <c r="BR21" s="1747">
        <v>0</v>
      </c>
      <c r="BS21" s="1752">
        <f t="shared" si="39"/>
        <v>0</v>
      </c>
      <c r="BT21" s="1754"/>
      <c r="BU21" s="1749">
        <f t="shared" si="40"/>
        <v>0</v>
      </c>
      <c r="BV21" s="1753">
        <f t="shared" si="41"/>
        <v>0</v>
      </c>
      <c r="BW21" s="1993"/>
      <c r="BX21" s="1916"/>
      <c r="BZ21" s="1921"/>
      <c r="CA21" s="1783"/>
      <c r="CB21" s="1922"/>
      <c r="CC21" s="1923"/>
      <c r="CD21" s="1923"/>
      <c r="CE21" s="1923"/>
      <c r="CF21" s="1923"/>
      <c r="CG21" s="1923"/>
      <c r="CH21" s="1923"/>
    </row>
    <row r="22" spans="1:87" s="1726" customFormat="1" hidden="1" x14ac:dyDescent="0.2">
      <c r="A22" s="1756"/>
      <c r="B22" s="1857">
        <v>8</v>
      </c>
      <c r="C22" s="1857" t="s">
        <v>235</v>
      </c>
      <c r="D22" s="1727"/>
      <c r="E22" s="2607">
        <v>20</v>
      </c>
      <c r="F22" s="2607">
        <f t="shared" si="33"/>
        <v>2</v>
      </c>
      <c r="G22" s="2607">
        <f t="shared" si="34"/>
        <v>1.3333333333333333</v>
      </c>
      <c r="H22" s="2607">
        <f t="shared" si="35"/>
        <v>1</v>
      </c>
      <c r="I22" s="2607">
        <f t="shared" si="36"/>
        <v>0.8</v>
      </c>
      <c r="J22" s="2607">
        <f t="shared" si="37"/>
        <v>0.76923076923076927</v>
      </c>
      <c r="K22" s="2608">
        <f t="shared" si="50"/>
        <v>1.8226556092226374E-2</v>
      </c>
      <c r="L22" s="1876"/>
      <c r="M22" s="1924"/>
      <c r="N22" s="1759"/>
      <c r="O22" s="1759"/>
      <c r="P22" s="1759"/>
      <c r="Q22" s="1759"/>
      <c r="R22" s="1759"/>
      <c r="S22" s="4618"/>
      <c r="T22" s="1759"/>
      <c r="U22" s="2604"/>
      <c r="V22" s="1879">
        <f t="shared" si="42"/>
        <v>0</v>
      </c>
      <c r="W22" s="1759" t="e">
        <f>(#REF!*K22)*30%</f>
        <v>#REF!</v>
      </c>
      <c r="X22" s="1880" t="e">
        <f t="shared" si="43"/>
        <v>#REF!</v>
      </c>
      <c r="Y22" s="1881"/>
      <c r="Z22" s="1759"/>
      <c r="AA22" s="1759"/>
      <c r="AB22" s="1759"/>
      <c r="AC22" s="1759"/>
      <c r="AD22" s="1759"/>
      <c r="AE22" s="4621"/>
      <c r="AF22" s="1759"/>
      <c r="AG22" s="1862"/>
      <c r="AH22" s="1879">
        <f>SUM(Z22:AF22)</f>
        <v>0</v>
      </c>
      <c r="AI22" s="1759" t="e">
        <f>(#REF!*K22)*30%</f>
        <v>#REF!</v>
      </c>
      <c r="AJ22" s="1880" t="e">
        <f t="shared" si="45"/>
        <v>#REF!</v>
      </c>
      <c r="AK22" s="1881"/>
      <c r="AL22" s="1759"/>
      <c r="AM22" s="1759"/>
      <c r="AN22" s="1759"/>
      <c r="AO22" s="1759"/>
      <c r="AP22" s="1759"/>
      <c r="AQ22" s="4618"/>
      <c r="AR22" s="1759"/>
      <c r="AS22" s="2293"/>
      <c r="AT22" s="1879">
        <f t="shared" si="46"/>
        <v>0</v>
      </c>
      <c r="AU22" s="1759" t="e">
        <f>(#REF!*K22)*30%</f>
        <v>#REF!</v>
      </c>
      <c r="AV22" s="1880" t="e">
        <f t="shared" si="59"/>
        <v>#REF!</v>
      </c>
      <c r="AW22" s="2293"/>
      <c r="AX22" s="1759"/>
      <c r="AY22" s="1759"/>
      <c r="AZ22" s="1759"/>
      <c r="BA22" s="1759"/>
      <c r="BB22" s="1759"/>
      <c r="BC22" s="4621"/>
      <c r="BD22" s="1759"/>
      <c r="BE22" s="2293"/>
      <c r="BF22" s="1879">
        <f t="shared" si="38"/>
        <v>0</v>
      </c>
      <c r="BG22" s="1759" t="e">
        <f>(#REF!*K22)*30%</f>
        <v>#REF!</v>
      </c>
      <c r="BH22" s="1880" t="e">
        <f t="shared" si="60"/>
        <v>#REF!</v>
      </c>
      <c r="BI22" s="2604"/>
      <c r="BJ22" s="1759"/>
      <c r="BK22" s="2294"/>
      <c r="BL22" s="2294"/>
      <c r="BM22" s="2604"/>
      <c r="BN22" s="1879">
        <f t="shared" si="58"/>
        <v>0</v>
      </c>
      <c r="BO22" s="1759" t="e">
        <f>(#REF!*K22)*30%</f>
        <v>#REF!</v>
      </c>
      <c r="BP22" s="1880" t="e">
        <f t="shared" si="61"/>
        <v>#REF!</v>
      </c>
      <c r="BR22" s="1732">
        <v>0</v>
      </c>
      <c r="BS22" s="1882">
        <f t="shared" si="39"/>
        <v>0</v>
      </c>
      <c r="BT22" s="1740"/>
      <c r="BU22" s="1734">
        <f t="shared" si="40"/>
        <v>0</v>
      </c>
      <c r="BV22" s="1918">
        <f t="shared" si="41"/>
        <v>0</v>
      </c>
      <c r="BW22" s="1997"/>
      <c r="BX22" s="2605"/>
      <c r="BZ22" s="1925"/>
      <c r="CA22" s="1916"/>
      <c r="CB22" s="1923"/>
      <c r="CC22" s="1860"/>
      <c r="CD22" s="1860"/>
      <c r="CE22" s="1860"/>
      <c r="CF22" s="1860"/>
      <c r="CG22" s="1860"/>
      <c r="CH22" s="1860"/>
    </row>
    <row r="23" spans="1:87" s="1777" customFormat="1" hidden="1" x14ac:dyDescent="0.2">
      <c r="B23" s="1863">
        <v>9</v>
      </c>
      <c r="C23" s="1907" t="s">
        <v>219</v>
      </c>
      <c r="D23" s="1744"/>
      <c r="E23" s="2607">
        <v>12</v>
      </c>
      <c r="F23" s="2607">
        <f t="shared" si="33"/>
        <v>1.2</v>
      </c>
      <c r="G23" s="2607">
        <f t="shared" si="34"/>
        <v>0.8</v>
      </c>
      <c r="H23" s="2607">
        <f t="shared" si="35"/>
        <v>0.6</v>
      </c>
      <c r="I23" s="2607">
        <f t="shared" si="36"/>
        <v>0.48</v>
      </c>
      <c r="J23" s="2607">
        <f t="shared" si="37"/>
        <v>0.46153846153846156</v>
      </c>
      <c r="K23" s="2608">
        <f t="shared" si="50"/>
        <v>1.0935933655335824E-2</v>
      </c>
      <c r="L23" s="1866"/>
      <c r="M23" s="1910"/>
      <c r="N23" s="1780"/>
      <c r="O23" s="1780"/>
      <c r="P23" s="1780"/>
      <c r="Q23" s="1780"/>
      <c r="R23" s="1780"/>
      <c r="S23" s="4618"/>
      <c r="T23" s="1780"/>
      <c r="U23" s="1801"/>
      <c r="V23" s="1912">
        <f t="shared" si="42"/>
        <v>0</v>
      </c>
      <c r="W23" s="1780" t="e">
        <f>(#REF!*K23)*30%</f>
        <v>#REF!</v>
      </c>
      <c r="X23" s="1913" t="e">
        <f t="shared" si="43"/>
        <v>#REF!</v>
      </c>
      <c r="Y23" s="1788"/>
      <c r="Z23" s="1780"/>
      <c r="AA23" s="1780"/>
      <c r="AB23" s="1780"/>
      <c r="AC23" s="1780"/>
      <c r="AD23" s="1780"/>
      <c r="AE23" s="4621"/>
      <c r="AF23" s="1780"/>
      <c r="AG23" s="1926"/>
      <c r="AH23" s="1912">
        <f t="shared" si="44"/>
        <v>0</v>
      </c>
      <c r="AI23" s="1780" t="e">
        <f>(#REF!*K23)*30%</f>
        <v>#REF!</v>
      </c>
      <c r="AJ23" s="1913" t="e">
        <f t="shared" si="45"/>
        <v>#REF!</v>
      </c>
      <c r="AK23" s="1927"/>
      <c r="AL23" s="1780"/>
      <c r="AM23" s="1780"/>
      <c r="AN23" s="1780"/>
      <c r="AO23" s="1780"/>
      <c r="AP23" s="1780"/>
      <c r="AQ23" s="4618"/>
      <c r="AR23" s="1780"/>
      <c r="AS23" s="1750"/>
      <c r="AT23" s="1912">
        <f t="shared" si="46"/>
        <v>0</v>
      </c>
      <c r="AU23" s="1780" t="e">
        <f>(#REF!*K23)*30%</f>
        <v>#REF!</v>
      </c>
      <c r="AV23" s="1913" t="e">
        <f t="shared" si="59"/>
        <v>#REF!</v>
      </c>
      <c r="AW23" s="1935"/>
      <c r="AX23" s="1780"/>
      <c r="AY23" s="1780"/>
      <c r="AZ23" s="1780"/>
      <c r="BA23" s="1780"/>
      <c r="BB23" s="1780"/>
      <c r="BC23" s="4621"/>
      <c r="BD23" s="1780"/>
      <c r="BE23" s="1750"/>
      <c r="BF23" s="1912">
        <f t="shared" si="38"/>
        <v>0</v>
      </c>
      <c r="BG23" s="1780" t="e">
        <f>(#REF!*K23)*30%</f>
        <v>#REF!</v>
      </c>
      <c r="BH23" s="1913" t="e">
        <f t="shared" si="60"/>
        <v>#REF!</v>
      </c>
      <c r="BI23" s="1935"/>
      <c r="BJ23" s="2292"/>
      <c r="BK23" s="2292"/>
      <c r="BL23" s="2292"/>
      <c r="BM23" s="2290"/>
      <c r="BN23" s="1912">
        <f t="shared" si="58"/>
        <v>0</v>
      </c>
      <c r="BO23" s="1780" t="e">
        <f>(#REF!*K23)*30%</f>
        <v>#REF!</v>
      </c>
      <c r="BP23" s="1913" t="e">
        <f t="shared" si="61"/>
        <v>#REF!</v>
      </c>
      <c r="BQ23" s="1790"/>
      <c r="BR23" s="1750">
        <v>0</v>
      </c>
      <c r="BS23" s="1871">
        <f t="shared" si="39"/>
        <v>0</v>
      </c>
      <c r="BT23" s="1928"/>
      <c r="BU23" s="1929">
        <f t="shared" si="40"/>
        <v>0</v>
      </c>
      <c r="BV23" s="1930">
        <f t="shared" si="41"/>
        <v>0</v>
      </c>
      <c r="BW23" s="1802"/>
      <c r="BX23" s="1791"/>
      <c r="BY23" s="1791"/>
      <c r="BZ23" s="1791"/>
      <c r="CA23" s="1791"/>
      <c r="CB23" s="1791"/>
      <c r="CC23" s="1791"/>
      <c r="CD23" s="1791"/>
      <c r="CE23" s="1791"/>
      <c r="CF23" s="1791"/>
      <c r="CG23" s="1923"/>
      <c r="CH23" s="1923"/>
    </row>
    <row r="24" spans="1:87" s="1726" customFormat="1" hidden="1" x14ac:dyDescent="0.2">
      <c r="A24" s="1756"/>
      <c r="B24" s="1857">
        <v>10</v>
      </c>
      <c r="C24" s="1857" t="s">
        <v>204</v>
      </c>
      <c r="D24" s="1727"/>
      <c r="E24" s="2607">
        <v>5</v>
      </c>
      <c r="F24" s="2607">
        <f t="shared" si="33"/>
        <v>0.5</v>
      </c>
      <c r="G24" s="2607">
        <f t="shared" si="34"/>
        <v>0.33333333333333331</v>
      </c>
      <c r="H24" s="2607">
        <f t="shared" si="35"/>
        <v>0.25</v>
      </c>
      <c r="I24" s="2607">
        <f t="shared" si="36"/>
        <v>0.2</v>
      </c>
      <c r="J24" s="2607">
        <f t="shared" si="37"/>
        <v>0.19230769230769232</v>
      </c>
      <c r="K24" s="2608">
        <f t="shared" si="50"/>
        <v>4.5566390230565934E-3</v>
      </c>
      <c r="L24" s="1931"/>
      <c r="M24" s="1924"/>
      <c r="N24" s="1759"/>
      <c r="O24" s="1759"/>
      <c r="P24" s="1759"/>
      <c r="Q24" s="1759"/>
      <c r="R24" s="1759"/>
      <c r="S24" s="4618"/>
      <c r="T24" s="1759"/>
      <c r="U24" s="2604"/>
      <c r="V24" s="1879">
        <f t="shared" si="42"/>
        <v>0</v>
      </c>
      <c r="W24" s="1759" t="e">
        <f>(#REF!*K24)*30%</f>
        <v>#REF!</v>
      </c>
      <c r="X24" s="1880" t="e">
        <f t="shared" si="43"/>
        <v>#REF!</v>
      </c>
      <c r="Y24" s="1881"/>
      <c r="Z24" s="1759"/>
      <c r="AA24" s="1759"/>
      <c r="AB24" s="1759"/>
      <c r="AC24" s="1759"/>
      <c r="AD24" s="1759"/>
      <c r="AE24" s="4621"/>
      <c r="AF24" s="1759"/>
      <c r="AG24" s="1862"/>
      <c r="AH24" s="1879">
        <f t="shared" si="44"/>
        <v>0</v>
      </c>
      <c r="AI24" s="1759" t="e">
        <f>(#REF!*K24)*30%</f>
        <v>#REF!</v>
      </c>
      <c r="AJ24" s="1880" t="e">
        <f t="shared" si="45"/>
        <v>#REF!</v>
      </c>
      <c r="AK24" s="1881"/>
      <c r="AL24" s="1759"/>
      <c r="AM24" s="1759"/>
      <c r="AN24" s="1759"/>
      <c r="AO24" s="1759"/>
      <c r="AP24" s="1759"/>
      <c r="AQ24" s="4618"/>
      <c r="AR24" s="1759"/>
      <c r="AS24" s="2293"/>
      <c r="AT24" s="1879">
        <f t="shared" si="46"/>
        <v>0</v>
      </c>
      <c r="AU24" s="1759" t="e">
        <f>(#REF!*K24)*30%</f>
        <v>#REF!</v>
      </c>
      <c r="AV24" s="1880" t="e">
        <f t="shared" si="59"/>
        <v>#REF!</v>
      </c>
      <c r="AW24" s="2293"/>
      <c r="AX24" s="1759"/>
      <c r="AY24" s="1759"/>
      <c r="AZ24" s="1759"/>
      <c r="BA24" s="1759"/>
      <c r="BB24" s="1759"/>
      <c r="BC24" s="4621"/>
      <c r="BD24" s="1759"/>
      <c r="BE24" s="2293"/>
      <c r="BF24" s="1879">
        <f t="shared" si="38"/>
        <v>0</v>
      </c>
      <c r="BG24" s="1759" t="e">
        <f>(#REF!*K24)*30%</f>
        <v>#REF!</v>
      </c>
      <c r="BH24" s="1880" t="e">
        <f t="shared" si="60"/>
        <v>#REF!</v>
      </c>
      <c r="BI24" s="2604"/>
      <c r="BJ24" s="1759"/>
      <c r="BK24" s="2294"/>
      <c r="BL24" s="2294"/>
      <c r="BM24" s="2604"/>
      <c r="BN24" s="1879">
        <f t="shared" si="58"/>
        <v>0</v>
      </c>
      <c r="BO24" s="1759" t="e">
        <f>(#REF!*K24)*30%</f>
        <v>#REF!</v>
      </c>
      <c r="BP24" s="1880" t="e">
        <f t="shared" si="61"/>
        <v>#REF!</v>
      </c>
      <c r="BR24" s="1732">
        <v>0</v>
      </c>
      <c r="BS24" s="1882">
        <f t="shared" si="39"/>
        <v>0</v>
      </c>
      <c r="BT24" s="1740"/>
      <c r="BU24" s="1734">
        <f t="shared" si="40"/>
        <v>0</v>
      </c>
      <c r="BV24" s="1918">
        <f t="shared" si="41"/>
        <v>0</v>
      </c>
      <c r="BW24" s="1997"/>
      <c r="BX24" s="2605"/>
      <c r="BZ24" s="1923"/>
      <c r="CA24" s="1860"/>
      <c r="CB24" s="1860"/>
      <c r="CC24" s="1860"/>
      <c r="CD24" s="1860"/>
      <c r="CE24" s="1860"/>
      <c r="CF24" s="1860"/>
      <c r="CG24" s="1860"/>
      <c r="CH24" s="1860"/>
    </row>
    <row r="25" spans="1:87" s="1777" customFormat="1" hidden="1" x14ac:dyDescent="0.2">
      <c r="B25" s="1863">
        <v>11</v>
      </c>
      <c r="C25" s="1932" t="s">
        <v>220</v>
      </c>
      <c r="D25" s="1744"/>
      <c r="E25" s="2612">
        <v>5</v>
      </c>
      <c r="F25" s="2612"/>
      <c r="G25" s="2612"/>
      <c r="H25" s="2612"/>
      <c r="I25" s="2612"/>
      <c r="J25" s="2612">
        <f t="shared" si="37"/>
        <v>0.19230769230769232</v>
      </c>
      <c r="K25" s="2613">
        <f t="shared" si="50"/>
        <v>4.5566390230565934E-3</v>
      </c>
      <c r="L25" s="1866"/>
      <c r="M25" s="1867"/>
      <c r="N25" s="1780"/>
      <c r="O25" s="1780"/>
      <c r="P25" s="1780"/>
      <c r="Q25" s="1780"/>
      <c r="R25" s="1780"/>
      <c r="S25" s="4618"/>
      <c r="T25" s="1780"/>
      <c r="U25" s="1801"/>
      <c r="V25" s="1912">
        <f t="shared" si="42"/>
        <v>0</v>
      </c>
      <c r="W25" s="1780" t="e">
        <f>(#REF!*K25)*30%</f>
        <v>#REF!</v>
      </c>
      <c r="X25" s="1913" t="e">
        <f t="shared" si="43"/>
        <v>#REF!</v>
      </c>
      <c r="Y25" s="1788"/>
      <c r="Z25" s="1780"/>
      <c r="AA25" s="1780"/>
      <c r="AB25" s="1780"/>
      <c r="AC25" s="1780"/>
      <c r="AD25" s="1780"/>
      <c r="AE25" s="4621"/>
      <c r="AF25" s="1780"/>
      <c r="AG25" s="1791"/>
      <c r="AH25" s="1912">
        <f>SUM(Z25:AF25)</f>
        <v>0</v>
      </c>
      <c r="AI25" s="1780" t="e">
        <f>(#REF!*K25)*30%</f>
        <v>#REF!</v>
      </c>
      <c r="AJ25" s="1913" t="e">
        <f t="shared" si="45"/>
        <v>#REF!</v>
      </c>
      <c r="AK25" s="1788"/>
      <c r="AL25" s="1780"/>
      <c r="AM25" s="1780"/>
      <c r="AN25" s="1780"/>
      <c r="AO25" s="1780"/>
      <c r="AP25" s="1780"/>
      <c r="AQ25" s="4618"/>
      <c r="AR25" s="1780"/>
      <c r="AS25" s="2290"/>
      <c r="AT25" s="1912">
        <f t="shared" si="46"/>
        <v>0</v>
      </c>
      <c r="AU25" s="1780" t="e">
        <f>(#REF!*K25)*30%</f>
        <v>#REF!</v>
      </c>
      <c r="AV25" s="1913" t="e">
        <f t="shared" si="59"/>
        <v>#REF!</v>
      </c>
      <c r="AW25" s="2290"/>
      <c r="AX25" s="1780"/>
      <c r="AY25" s="1780"/>
      <c r="AZ25" s="1780"/>
      <c r="BA25" s="1780"/>
      <c r="BB25" s="1780"/>
      <c r="BC25" s="4621"/>
      <c r="BD25" s="1780"/>
      <c r="BE25" s="2290"/>
      <c r="BF25" s="1912">
        <f t="shared" si="38"/>
        <v>0</v>
      </c>
      <c r="BG25" s="1780" t="e">
        <f>(#REF!*K25)*30%</f>
        <v>#REF!</v>
      </c>
      <c r="BH25" s="1913" t="e">
        <f t="shared" si="60"/>
        <v>#REF!</v>
      </c>
      <c r="BI25" s="1801"/>
      <c r="BJ25" s="1933"/>
      <c r="BK25" s="2298"/>
      <c r="BL25" s="2298"/>
      <c r="BM25" s="1801"/>
      <c r="BN25" s="1912">
        <f t="shared" si="58"/>
        <v>0</v>
      </c>
      <c r="BO25" s="1780" t="e">
        <f>(#REF!*K25)*30%</f>
        <v>#REF!</v>
      </c>
      <c r="BP25" s="1913" t="e">
        <f t="shared" si="61"/>
        <v>#REF!</v>
      </c>
      <c r="BR25" s="1750">
        <v>0</v>
      </c>
      <c r="BS25" s="1871">
        <f t="shared" si="39"/>
        <v>0</v>
      </c>
      <c r="BT25" s="1795"/>
      <c r="BU25" s="1935">
        <f t="shared" si="40"/>
        <v>0</v>
      </c>
      <c r="BV25" s="1930">
        <f t="shared" si="41"/>
        <v>0</v>
      </c>
      <c r="BW25" s="1802"/>
      <c r="BX25" s="1783"/>
      <c r="BZ25" s="1860"/>
      <c r="CA25" s="1916"/>
      <c r="CB25" s="1923"/>
      <c r="CC25" s="1923"/>
      <c r="CD25" s="1923"/>
      <c r="CE25" s="1923"/>
      <c r="CF25" s="1923"/>
      <c r="CG25" s="1923"/>
      <c r="CH25" s="1923"/>
    </row>
    <row r="26" spans="1:87" s="1756" customFormat="1" ht="17.25" hidden="1" thickBot="1" x14ac:dyDescent="0.25">
      <c r="B26" s="1857">
        <v>12</v>
      </c>
      <c r="C26" s="1857" t="s">
        <v>221</v>
      </c>
      <c r="D26" s="1727"/>
      <c r="E26" s="2607">
        <v>4</v>
      </c>
      <c r="F26" s="2607">
        <f>E26/10</f>
        <v>0.4</v>
      </c>
      <c r="G26" s="2607">
        <f>E26/15</f>
        <v>0.26666666666666666</v>
      </c>
      <c r="H26" s="2607">
        <f>E26/20</f>
        <v>0.2</v>
      </c>
      <c r="I26" s="2607">
        <f>E26/25</f>
        <v>0.16</v>
      </c>
      <c r="J26" s="2607">
        <f t="shared" si="37"/>
        <v>0.15384615384615385</v>
      </c>
      <c r="K26" s="2608">
        <f t="shared" si="50"/>
        <v>3.6453112184452749E-3</v>
      </c>
      <c r="L26" s="1931"/>
      <c r="M26" s="1924"/>
      <c r="N26" s="1759"/>
      <c r="O26" s="1759"/>
      <c r="P26" s="1759"/>
      <c r="Q26" s="1759"/>
      <c r="R26" s="1759"/>
      <c r="S26" s="4619"/>
      <c r="T26" s="1759"/>
      <c r="U26" s="1814"/>
      <c r="V26" s="1936">
        <f t="shared" si="42"/>
        <v>0</v>
      </c>
      <c r="W26" s="1937" t="e">
        <f>(#REF!*K26)*30%</f>
        <v>#REF!</v>
      </c>
      <c r="X26" s="1938" t="e">
        <f>W26-V26</f>
        <v>#REF!</v>
      </c>
      <c r="Y26" s="1764"/>
      <c r="Z26" s="1759"/>
      <c r="AA26" s="1759"/>
      <c r="AB26" s="1759"/>
      <c r="AC26" s="1759"/>
      <c r="AD26" s="1759"/>
      <c r="AE26" s="4622"/>
      <c r="AF26" s="1759"/>
      <c r="AG26" s="1766"/>
      <c r="AH26" s="1936">
        <f t="shared" si="44"/>
        <v>0</v>
      </c>
      <c r="AI26" s="1937" t="e">
        <f>(#REF!*K26)*30%</f>
        <v>#REF!</v>
      </c>
      <c r="AJ26" s="1938" t="e">
        <f t="shared" si="45"/>
        <v>#REF!</v>
      </c>
      <c r="AK26" s="1764"/>
      <c r="AL26" s="1759"/>
      <c r="AM26" s="1759"/>
      <c r="AN26" s="1759"/>
      <c r="AO26" s="1759"/>
      <c r="AP26" s="1759"/>
      <c r="AQ26" s="4619"/>
      <c r="AR26" s="1759"/>
      <c r="AS26" s="2289"/>
      <c r="AT26" s="1936">
        <f t="shared" si="46"/>
        <v>0</v>
      </c>
      <c r="AU26" s="1937" t="e">
        <f>(#REF!*K26)*30%</f>
        <v>#REF!</v>
      </c>
      <c r="AV26" s="1938" t="e">
        <f t="shared" si="59"/>
        <v>#REF!</v>
      </c>
      <c r="AW26" s="2289"/>
      <c r="AX26" s="1759"/>
      <c r="AY26" s="1759"/>
      <c r="AZ26" s="1759"/>
      <c r="BA26" s="1759"/>
      <c r="BB26" s="1759"/>
      <c r="BC26" s="4622"/>
      <c r="BD26" s="1759"/>
      <c r="BE26" s="2289"/>
      <c r="BF26" s="1936">
        <f t="shared" si="38"/>
        <v>0</v>
      </c>
      <c r="BG26" s="1937" t="e">
        <f>(#REF!*K26)*30%</f>
        <v>#REF!</v>
      </c>
      <c r="BH26" s="1938" t="e">
        <f t="shared" si="60"/>
        <v>#REF!</v>
      </c>
      <c r="BI26" s="1814"/>
      <c r="BJ26" s="1759"/>
      <c r="BK26" s="2294"/>
      <c r="BL26" s="2294"/>
      <c r="BM26" s="1814"/>
      <c r="BN26" s="1936">
        <f t="shared" si="58"/>
        <v>0</v>
      </c>
      <c r="BO26" s="1937" t="e">
        <f>(#REF!*K26)*30%</f>
        <v>#REF!</v>
      </c>
      <c r="BP26" s="1938" t="e">
        <f t="shared" si="61"/>
        <v>#REF!</v>
      </c>
      <c r="BR26" s="1735">
        <v>0</v>
      </c>
      <c r="BS26" s="1768">
        <f t="shared" si="39"/>
        <v>0</v>
      </c>
      <c r="BT26" s="2600"/>
      <c r="BU26" s="1939">
        <f t="shared" si="40"/>
        <v>0</v>
      </c>
      <c r="BV26" s="1940">
        <f t="shared" si="41"/>
        <v>0</v>
      </c>
      <c r="BW26" s="1830"/>
      <c r="BX26" s="1761"/>
      <c r="BZ26" s="1941"/>
      <c r="CA26" s="1860"/>
      <c r="CB26" s="1860"/>
      <c r="CC26" s="1860"/>
      <c r="CD26" s="1860"/>
      <c r="CE26" s="1860"/>
      <c r="CF26" s="1860"/>
      <c r="CG26" s="1860"/>
      <c r="CH26" s="1860"/>
    </row>
    <row r="27" spans="1:87" s="1810" customFormat="1" ht="4.5" hidden="1" customHeight="1" thickBot="1" x14ac:dyDescent="0.25">
      <c r="B27" s="1942"/>
      <c r="C27" s="1943"/>
      <c r="E27" s="1944"/>
      <c r="F27" s="1944"/>
      <c r="G27" s="1944"/>
      <c r="H27" s="1944"/>
      <c r="I27" s="1944"/>
      <c r="J27" s="1944"/>
      <c r="K27" s="1945"/>
      <c r="L27" s="1931"/>
      <c r="M27" s="1924"/>
      <c r="N27" s="1944"/>
      <c r="O27" s="1944"/>
      <c r="P27" s="1944"/>
      <c r="Q27" s="1944"/>
      <c r="R27" s="1944"/>
      <c r="S27" s="1944"/>
      <c r="T27" s="1944"/>
      <c r="U27" s="1814"/>
      <c r="V27" s="1814"/>
      <c r="W27" s="1814"/>
      <c r="X27" s="1814"/>
      <c r="Y27" s="1766"/>
      <c r="Z27" s="1944"/>
      <c r="AA27" s="1944"/>
      <c r="AB27" s="1944"/>
      <c r="AC27" s="1944"/>
      <c r="AD27" s="1944"/>
      <c r="AE27" s="1944"/>
      <c r="AF27" s="1944"/>
      <c r="AG27" s="1766"/>
      <c r="AH27" s="1814"/>
      <c r="AI27" s="1814"/>
      <c r="AJ27" s="1814"/>
      <c r="AK27" s="1766"/>
      <c r="AL27" s="1944"/>
      <c r="AM27" s="1944"/>
      <c r="AN27" s="1944"/>
      <c r="AO27" s="1944"/>
      <c r="AP27" s="1944"/>
      <c r="AQ27" s="1944"/>
      <c r="AR27" s="1944"/>
      <c r="AS27" s="1814"/>
      <c r="AT27" s="1814"/>
      <c r="AU27" s="1814"/>
      <c r="AV27" s="1814"/>
      <c r="AW27" s="1814"/>
      <c r="AX27" s="1944"/>
      <c r="AY27" s="1944"/>
      <c r="AZ27" s="1944"/>
      <c r="BA27" s="1944"/>
      <c r="BB27" s="1944"/>
      <c r="BC27" s="1944"/>
      <c r="BD27" s="1944"/>
      <c r="BE27" s="1814"/>
      <c r="BF27" s="1814"/>
      <c r="BG27" s="1814"/>
      <c r="BH27" s="1814"/>
      <c r="BI27" s="1814"/>
      <c r="BJ27" s="1944"/>
      <c r="BK27" s="1944"/>
      <c r="BL27" s="1944"/>
      <c r="BM27" s="1814"/>
      <c r="BN27" s="1814"/>
      <c r="BO27" s="1814"/>
      <c r="BP27" s="1814"/>
      <c r="BR27" s="1814"/>
      <c r="BS27" s="1830"/>
      <c r="BT27" s="1817"/>
      <c r="BU27" s="1814"/>
      <c r="BV27" s="1830"/>
      <c r="BW27" s="1830"/>
      <c r="BX27" s="1761"/>
      <c r="BZ27" s="1941"/>
      <c r="CA27" s="1946"/>
      <c r="CB27" s="1946"/>
      <c r="CC27" s="1860"/>
      <c r="CD27" s="1860"/>
      <c r="CE27" s="1860"/>
      <c r="CF27" s="1860"/>
      <c r="CG27" s="1860"/>
      <c r="CH27" s="1860"/>
    </row>
    <row r="28" spans="1:87" s="1947" customFormat="1" ht="17.25" hidden="1" thickBot="1" x14ac:dyDescent="0.25">
      <c r="B28" s="1887"/>
      <c r="C28" s="2384">
        <f>E28*100/30</f>
        <v>3657.6666666666665</v>
      </c>
      <c r="D28" s="1888"/>
      <c r="E28" s="2607">
        <f>SUM(E15:E26)</f>
        <v>1097.3</v>
      </c>
      <c r="F28" s="2607">
        <f t="shared" ref="F28:K28" si="62">SUM(F15:F26)</f>
        <v>79.430000000000007</v>
      </c>
      <c r="G28" s="2607">
        <f t="shared" si="62"/>
        <v>52.95333333333334</v>
      </c>
      <c r="H28" s="2607">
        <f t="shared" si="62"/>
        <v>39.715000000000003</v>
      </c>
      <c r="I28" s="2607">
        <f t="shared" si="62"/>
        <v>31.772000000000002</v>
      </c>
      <c r="J28" s="2607">
        <f t="shared" si="62"/>
        <v>42.203846153846158</v>
      </c>
      <c r="K28" s="2614">
        <f t="shared" si="62"/>
        <v>0.99999999999999989</v>
      </c>
      <c r="L28" s="1949"/>
      <c r="M28" s="1950"/>
      <c r="N28" s="1889">
        <f>SUM(N15:N26)</f>
        <v>0</v>
      </c>
      <c r="O28" s="1889">
        <f t="shared" ref="O28:T28" si="63">SUM(O15:O26)</f>
        <v>0</v>
      </c>
      <c r="P28" s="1889">
        <f t="shared" si="63"/>
        <v>0</v>
      </c>
      <c r="Q28" s="1889">
        <f t="shared" si="63"/>
        <v>0</v>
      </c>
      <c r="R28" s="1889">
        <f t="shared" si="63"/>
        <v>0</v>
      </c>
      <c r="S28" s="1889">
        <f t="shared" si="63"/>
        <v>0</v>
      </c>
      <c r="T28" s="1889">
        <f t="shared" si="63"/>
        <v>0</v>
      </c>
      <c r="U28" s="1951"/>
      <c r="V28" s="1952">
        <f>SUM(V15:V26)</f>
        <v>0</v>
      </c>
      <c r="W28" s="1953" t="e">
        <f>SUM(W15:W26)</f>
        <v>#REF!</v>
      </c>
      <c r="X28" s="1954" t="e">
        <f t="shared" ref="X28" si="64">SUM(X15:X26)</f>
        <v>#REF!</v>
      </c>
      <c r="Y28" s="1955"/>
      <c r="Z28" s="1889">
        <f t="shared" ref="Z28:AF28" si="65">SUM(Z15:Z26)</f>
        <v>0</v>
      </c>
      <c r="AA28" s="1889">
        <f t="shared" si="65"/>
        <v>0</v>
      </c>
      <c r="AB28" s="1889">
        <f t="shared" ref="AB28" si="66">SUM(AB15:AB26)</f>
        <v>0</v>
      </c>
      <c r="AC28" s="1889">
        <f t="shared" si="65"/>
        <v>0</v>
      </c>
      <c r="AD28" s="1889">
        <f t="shared" si="65"/>
        <v>0</v>
      </c>
      <c r="AE28" s="1889">
        <f t="shared" si="65"/>
        <v>0</v>
      </c>
      <c r="AF28" s="1889">
        <f t="shared" si="65"/>
        <v>0</v>
      </c>
      <c r="AG28" s="1955"/>
      <c r="AH28" s="1952">
        <f>SUM(AH15:AH26)</f>
        <v>0</v>
      </c>
      <c r="AI28" s="1953" t="e">
        <f>SUM(AI15:AI26)</f>
        <v>#REF!</v>
      </c>
      <c r="AJ28" s="1954" t="e">
        <f>SUM(AJ15:AJ26)</f>
        <v>#REF!</v>
      </c>
      <c r="AK28" s="1955"/>
      <c r="AL28" s="1889">
        <f t="shared" ref="AL28:AR28" si="67">SUM(AL15:AL26)</f>
        <v>0</v>
      </c>
      <c r="AM28" s="1889">
        <f t="shared" si="67"/>
        <v>0</v>
      </c>
      <c r="AN28" s="1889">
        <f t="shared" si="67"/>
        <v>0</v>
      </c>
      <c r="AO28" s="1889">
        <f t="shared" si="67"/>
        <v>0</v>
      </c>
      <c r="AP28" s="1889">
        <f t="shared" si="67"/>
        <v>0</v>
      </c>
      <c r="AQ28" s="1889">
        <f t="shared" si="67"/>
        <v>0</v>
      </c>
      <c r="AR28" s="1889">
        <f t="shared" si="67"/>
        <v>0</v>
      </c>
      <c r="AS28" s="2299"/>
      <c r="AT28" s="1952">
        <f>SUM(AT15:AT26)</f>
        <v>0</v>
      </c>
      <c r="AU28" s="1953" t="e">
        <f>SUM(AU15:AU26)</f>
        <v>#REF!</v>
      </c>
      <c r="AV28" s="1954" t="e">
        <f>SUM(AV15:AV26)</f>
        <v>#REF!</v>
      </c>
      <c r="AW28" s="2299"/>
      <c r="AX28" s="1889">
        <f t="shared" ref="AX28" si="68">SUM(AX15:AX26)</f>
        <v>0</v>
      </c>
      <c r="AY28" s="1889">
        <f t="shared" ref="AY28:BC28" si="69">SUM(AY15:AY26)</f>
        <v>0</v>
      </c>
      <c r="AZ28" s="1889">
        <f t="shared" si="69"/>
        <v>0</v>
      </c>
      <c r="BA28" s="1889">
        <f t="shared" si="69"/>
        <v>0</v>
      </c>
      <c r="BB28" s="1889">
        <f t="shared" si="69"/>
        <v>0</v>
      </c>
      <c r="BC28" s="1889">
        <f t="shared" si="69"/>
        <v>0</v>
      </c>
      <c r="BD28" s="1889">
        <f t="shared" ref="BD28" si="70">SUM(BD15:BD26)</f>
        <v>0</v>
      </c>
      <c r="BE28" s="2299"/>
      <c r="BF28" s="1952">
        <f>SUM(BF15:BF26)</f>
        <v>0</v>
      </c>
      <c r="BG28" s="1953" t="e">
        <f>SUM(BG15:BG26)</f>
        <v>#REF!</v>
      </c>
      <c r="BH28" s="1954" t="e">
        <f>SUM(BH15:BH26)</f>
        <v>#REF!</v>
      </c>
      <c r="BI28" s="1951"/>
      <c r="BJ28" s="1889">
        <f t="shared" ref="BJ28:BL28" si="71">SUM(BJ15:BJ26)</f>
        <v>0</v>
      </c>
      <c r="BK28" s="1889"/>
      <c r="BL28" s="1889">
        <f t="shared" si="71"/>
        <v>0</v>
      </c>
      <c r="BM28" s="1951"/>
      <c r="BN28" s="1952">
        <f>SUM(BN15:BN26)</f>
        <v>0</v>
      </c>
      <c r="BO28" s="1953" t="e">
        <f>SUM(BO15:BO26)</f>
        <v>#REF!</v>
      </c>
      <c r="BP28" s="1954" t="e">
        <f>SUM(BP15:BP26)</f>
        <v>#REF!</v>
      </c>
      <c r="BR28" s="1957">
        <f>SUM(BR15:BR26)</f>
        <v>0</v>
      </c>
      <c r="BS28" s="1958">
        <f>BR28/E28</f>
        <v>0</v>
      </c>
      <c r="BT28" s="1959"/>
      <c r="BU28" s="1957">
        <f>SUM(BU15:BU26)</f>
        <v>0</v>
      </c>
      <c r="BV28" s="1958">
        <f>BU28/E28</f>
        <v>0</v>
      </c>
      <c r="BW28" s="1962"/>
      <c r="BX28" s="1905"/>
      <c r="BZ28" s="1916"/>
      <c r="CA28" s="1860"/>
      <c r="CB28" s="1860"/>
      <c r="CC28" s="1946"/>
      <c r="CD28" s="1946"/>
      <c r="CE28" s="1946"/>
      <c r="CF28" s="1946"/>
      <c r="CG28" s="1946"/>
      <c r="CH28" s="1946"/>
    </row>
    <row r="29" spans="1:87" s="1906" customFormat="1" ht="4.5" hidden="1" customHeight="1" x14ac:dyDescent="0.2">
      <c r="B29" s="1960"/>
      <c r="C29" s="1961"/>
      <c r="E29" s="1951"/>
      <c r="F29" s="1951"/>
      <c r="G29" s="1951"/>
      <c r="H29" s="1951"/>
      <c r="I29" s="1951"/>
      <c r="J29" s="1951"/>
      <c r="K29" s="1962"/>
      <c r="L29" s="1905"/>
      <c r="M29" s="1950"/>
      <c r="N29" s="1951"/>
      <c r="O29" s="1951"/>
      <c r="P29" s="1951"/>
      <c r="Q29" s="1951"/>
      <c r="R29" s="1951"/>
      <c r="S29" s="1951"/>
      <c r="T29" s="1951"/>
      <c r="U29" s="1951"/>
      <c r="V29" s="1951"/>
      <c r="W29" s="1951"/>
      <c r="X29" s="1951"/>
      <c r="Y29" s="1956"/>
      <c r="Z29" s="1951"/>
      <c r="AA29" s="1951"/>
      <c r="AB29" s="1951"/>
      <c r="AC29" s="1951"/>
      <c r="AD29" s="1951"/>
      <c r="AE29" s="1951"/>
      <c r="AF29" s="1951"/>
      <c r="AG29" s="1956"/>
      <c r="AH29" s="1951"/>
      <c r="AI29" s="1951"/>
      <c r="AJ29" s="1951"/>
      <c r="AK29" s="1956"/>
      <c r="AL29" s="1951"/>
      <c r="AM29" s="1951"/>
      <c r="AN29" s="1951"/>
      <c r="AO29" s="1951"/>
      <c r="AP29" s="1951"/>
      <c r="AQ29" s="1951"/>
      <c r="AR29" s="1951"/>
      <c r="AS29" s="1951"/>
      <c r="AT29" s="1951"/>
      <c r="AU29" s="1951"/>
      <c r="AV29" s="1951"/>
      <c r="AW29" s="1951"/>
      <c r="AX29" s="1951"/>
      <c r="AY29" s="1951"/>
      <c r="AZ29" s="1951"/>
      <c r="BA29" s="1951"/>
      <c r="BB29" s="1951"/>
      <c r="BC29" s="1951"/>
      <c r="BD29" s="1951"/>
      <c r="BE29" s="1951"/>
      <c r="BF29" s="1951"/>
      <c r="BG29" s="1951"/>
      <c r="BH29" s="1951"/>
      <c r="BI29" s="1951"/>
      <c r="BJ29" s="1951"/>
      <c r="BK29" s="1951"/>
      <c r="BL29" s="1951"/>
      <c r="BM29" s="1951"/>
      <c r="BN29" s="1951"/>
      <c r="BO29" s="1951"/>
      <c r="BP29" s="1951"/>
      <c r="BR29" s="1951"/>
      <c r="BS29" s="1962"/>
      <c r="BT29" s="1960"/>
      <c r="BU29" s="1951"/>
      <c r="BV29" s="1962"/>
      <c r="BW29" s="1962"/>
      <c r="BX29" s="1905"/>
      <c r="BZ29" s="1916"/>
      <c r="CA29" s="1860"/>
      <c r="CB29" s="1860"/>
      <c r="CC29" s="1946"/>
      <c r="CD29" s="1946"/>
      <c r="CE29" s="1946"/>
      <c r="CF29" s="1946"/>
      <c r="CG29" s="1946"/>
      <c r="CH29" s="1946"/>
    </row>
    <row r="30" spans="1:87" s="1810" customFormat="1" ht="21" thickBot="1" x14ac:dyDescent="0.25">
      <c r="B30" s="1963"/>
      <c r="C30" s="1964" t="s">
        <v>188</v>
      </c>
      <c r="D30" s="2578"/>
      <c r="E30" s="1728"/>
      <c r="F30" s="1728"/>
      <c r="G30" s="1728"/>
      <c r="H30" s="1728"/>
      <c r="I30" s="1728"/>
      <c r="J30" s="1728">
        <f>J56*100/25</f>
        <v>412.58503225806453</v>
      </c>
      <c r="K30" s="2383">
        <f>J30*CA34</f>
        <v>12790.136</v>
      </c>
      <c r="L30" s="1924"/>
      <c r="M30" s="1966"/>
      <c r="N30" s="2266"/>
      <c r="O30" s="2266"/>
      <c r="P30" s="2266"/>
      <c r="Q30" s="2266"/>
      <c r="R30" s="2266"/>
      <c r="S30" s="2266"/>
      <c r="T30" s="2266"/>
      <c r="U30" s="1814"/>
      <c r="V30" s="4588"/>
      <c r="W30" s="4588"/>
      <c r="X30" s="4588"/>
      <c r="Y30" s="1766"/>
      <c r="Z30" s="2266"/>
      <c r="AA30" s="2266"/>
      <c r="AB30" s="2266"/>
      <c r="AC30" s="2266"/>
      <c r="AD30" s="2266"/>
      <c r="AE30" s="2266"/>
      <c r="AF30" s="2266"/>
      <c r="AG30" s="1766"/>
      <c r="AH30" s="4588"/>
      <c r="AI30" s="4588"/>
      <c r="AJ30" s="4588"/>
      <c r="AK30" s="1766"/>
      <c r="AL30" s="2266"/>
      <c r="AM30" s="2266"/>
      <c r="AN30" s="2266"/>
      <c r="AO30" s="2266"/>
      <c r="AP30" s="2266"/>
      <c r="AQ30" s="2266"/>
      <c r="AR30" s="2266"/>
      <c r="AS30" s="1814"/>
      <c r="AT30" s="4588"/>
      <c r="AU30" s="4588"/>
      <c r="AV30" s="4588"/>
      <c r="AW30" s="1814"/>
      <c r="AX30" s="2266"/>
      <c r="AY30" s="2266"/>
      <c r="AZ30" s="2266"/>
      <c r="BA30" s="2266"/>
      <c r="BB30" s="2266"/>
      <c r="BC30" s="2266"/>
      <c r="BD30" s="2266"/>
      <c r="BE30" s="1814"/>
      <c r="BF30" s="4588"/>
      <c r="BG30" s="4588"/>
      <c r="BH30" s="4588"/>
      <c r="BI30" s="1814"/>
      <c r="BJ30" s="4589"/>
      <c r="BK30" s="4589"/>
      <c r="BL30" s="4589"/>
      <c r="BM30" s="1814"/>
      <c r="BN30" s="4588"/>
      <c r="BO30" s="4588"/>
      <c r="BP30" s="4588"/>
      <c r="BR30" s="2603"/>
      <c r="BS30" s="1968"/>
      <c r="BT30" s="1817"/>
      <c r="BU30" s="1814"/>
      <c r="BV30" s="1830"/>
      <c r="BW30" s="1830"/>
      <c r="BX30" s="1761"/>
      <c r="BZ30" s="1860"/>
      <c r="CA30" s="2605"/>
      <c r="CB30" s="1860"/>
      <c r="CC30" s="1860"/>
      <c r="CD30" s="1860"/>
      <c r="CE30" s="1860"/>
      <c r="CF30" s="1860"/>
      <c r="CG30" s="1860"/>
      <c r="CH30" s="1860"/>
    </row>
    <row r="31" spans="1:87" x14ac:dyDescent="0.2">
      <c r="A31" s="1777"/>
      <c r="B31" s="1987">
        <v>13</v>
      </c>
      <c r="C31" s="1987" t="s">
        <v>197</v>
      </c>
      <c r="D31" s="1836"/>
      <c r="E31" s="1746">
        <v>1442</v>
      </c>
      <c r="F31" s="1746">
        <v>108.33333333333333</v>
      </c>
      <c r="G31" s="1746">
        <v>72.222222222222214</v>
      </c>
      <c r="H31" s="1746">
        <v>54.166666666666664</v>
      </c>
      <c r="I31" s="1746">
        <v>43.333333333333329</v>
      </c>
      <c r="J31" s="1746">
        <f t="shared" ref="J31:J54" si="72">E31/31</f>
        <v>46.516129032258064</v>
      </c>
      <c r="K31" s="2583">
        <f t="shared" ref="K31:K54" si="73">E31/$E$56</f>
        <v>0.45097253070647575</v>
      </c>
      <c r="L31" s="1909"/>
      <c r="M31" s="1910"/>
      <c r="N31" s="1746">
        <f t="shared" ref="N31:T31" si="74">$J$31</f>
        <v>46.516129032258064</v>
      </c>
      <c r="O31" s="1746">
        <f t="shared" si="74"/>
        <v>46.516129032258064</v>
      </c>
      <c r="P31" s="1746">
        <f t="shared" si="74"/>
        <v>46.516129032258064</v>
      </c>
      <c r="Q31" s="1746">
        <f t="shared" si="74"/>
        <v>46.516129032258064</v>
      </c>
      <c r="R31" s="1746">
        <f t="shared" si="74"/>
        <v>46.516129032258064</v>
      </c>
      <c r="S31" s="1746">
        <f t="shared" si="74"/>
        <v>46.516129032258064</v>
      </c>
      <c r="T31" s="1746">
        <f t="shared" si="74"/>
        <v>46.516129032258064</v>
      </c>
      <c r="U31" s="2606"/>
      <c r="V31" s="1972">
        <f>SUM(N31:T31)</f>
        <v>325.61290322580641</v>
      </c>
      <c r="W31" s="1973">
        <f>($V$3*K31)*25%</f>
        <v>590.45156986602808</v>
      </c>
      <c r="X31" s="1974">
        <f>W31-V31</f>
        <v>264.83866664022167</v>
      </c>
      <c r="Y31" s="1914"/>
      <c r="Z31" s="1746">
        <f t="shared" ref="Z31:AF31" si="75">$J$31</f>
        <v>46.516129032258064</v>
      </c>
      <c r="AA31" s="1746">
        <f t="shared" si="75"/>
        <v>46.516129032258064</v>
      </c>
      <c r="AB31" s="1746">
        <f t="shared" si="75"/>
        <v>46.516129032258064</v>
      </c>
      <c r="AC31" s="1746">
        <f t="shared" si="75"/>
        <v>46.516129032258064</v>
      </c>
      <c r="AD31" s="1746">
        <f t="shared" si="75"/>
        <v>46.516129032258064</v>
      </c>
      <c r="AE31" s="1746">
        <f t="shared" si="75"/>
        <v>46.516129032258064</v>
      </c>
      <c r="AF31" s="1746">
        <f t="shared" si="75"/>
        <v>46.516129032258064</v>
      </c>
      <c r="AG31" s="1914"/>
      <c r="AH31" s="1972">
        <f>SUM(Z31:AF31)</f>
        <v>325.61290322580641</v>
      </c>
      <c r="AI31" s="1973">
        <f>($AH$3*K31)*25%</f>
        <v>670.55015396239742</v>
      </c>
      <c r="AJ31" s="1974">
        <f>AI31-AH31</f>
        <v>344.93725073659101</v>
      </c>
      <c r="AK31" s="1914"/>
      <c r="AL31" s="1990">
        <f t="shared" ref="AL31:AR31" si="76">$J$31</f>
        <v>46.516129032258064</v>
      </c>
      <c r="AM31" s="1990">
        <f t="shared" si="76"/>
        <v>46.516129032258064</v>
      </c>
      <c r="AN31" s="1990">
        <f t="shared" si="76"/>
        <v>46.516129032258064</v>
      </c>
      <c r="AO31" s="1990">
        <f t="shared" si="76"/>
        <v>46.516129032258064</v>
      </c>
      <c r="AP31" s="1990">
        <f t="shared" si="76"/>
        <v>46.516129032258064</v>
      </c>
      <c r="AQ31" s="1990">
        <f t="shared" si="76"/>
        <v>46.516129032258064</v>
      </c>
      <c r="AR31" s="1990">
        <f t="shared" si="76"/>
        <v>46.516129032258064</v>
      </c>
      <c r="AS31" s="2297"/>
      <c r="AT31" s="1972">
        <f>SUM(AL31:AR31)</f>
        <v>325.61290322580641</v>
      </c>
      <c r="AU31" s="1973">
        <f>($AT$3*K31)*30%</f>
        <v>823.11100429268322</v>
      </c>
      <c r="AV31" s="1974">
        <f>AU31-AT31</f>
        <v>497.49810106687681</v>
      </c>
      <c r="AW31" s="2297"/>
      <c r="AX31" s="1990">
        <f t="shared" ref="AX31:BD31" si="77">$J$31</f>
        <v>46.516129032258064</v>
      </c>
      <c r="AY31" s="1990">
        <f t="shared" si="77"/>
        <v>46.516129032258064</v>
      </c>
      <c r="AZ31" s="1990">
        <f t="shared" si="77"/>
        <v>46.516129032258064</v>
      </c>
      <c r="BA31" s="1990">
        <f t="shared" si="77"/>
        <v>46.516129032258064</v>
      </c>
      <c r="BB31" s="1990">
        <f t="shared" si="77"/>
        <v>46.516129032258064</v>
      </c>
      <c r="BC31" s="1990">
        <f t="shared" si="77"/>
        <v>46.516129032258064</v>
      </c>
      <c r="BD31" s="1990">
        <f t="shared" si="77"/>
        <v>46.516129032258064</v>
      </c>
      <c r="BE31" s="2297"/>
      <c r="BF31" s="1972">
        <f>SUM(AX31:BD31)</f>
        <v>325.61290322580641</v>
      </c>
      <c r="BG31" s="1973">
        <f>($BF$3*K31)*30%</f>
        <v>698.32194434836367</v>
      </c>
      <c r="BH31" s="1974">
        <f>BG31-BF31</f>
        <v>372.70904112255727</v>
      </c>
      <c r="BI31" s="2606"/>
      <c r="BJ31" s="1746">
        <f t="shared" ref="BJ31:BL31" si="78">$J$31</f>
        <v>46.516129032258064</v>
      </c>
      <c r="BK31" s="1746">
        <f t="shared" si="78"/>
        <v>46.516129032258064</v>
      </c>
      <c r="BL31" s="1746">
        <f t="shared" si="78"/>
        <v>46.516129032258064</v>
      </c>
      <c r="BM31" s="2606"/>
      <c r="BN31" s="1972">
        <f t="shared" ref="BN31:BN54" si="79">SUM(BJ31:BL31)</f>
        <v>139.54838709677421</v>
      </c>
      <c r="BO31" s="1973">
        <f>($BN$3*K31)*30%</f>
        <v>299.14469112760025</v>
      </c>
      <c r="BP31" s="1974">
        <f>BO31-BN31</f>
        <v>159.59630403082605</v>
      </c>
      <c r="BR31" s="1747">
        <v>0</v>
      </c>
      <c r="BS31" s="1752">
        <f t="shared" ref="BS31:BS54" si="80">BR31/E31</f>
        <v>0</v>
      </c>
      <c r="BT31" s="1754"/>
      <c r="BU31" s="1975">
        <f t="shared" ref="BU31:BU51" si="81">SUM(N31:T31)+SUM(Z31:AF31)+SUM(AL31:AR31)+SUM(AX31:BD31)+SUM(BJ31:BL31)</f>
        <v>1441.9999999999998</v>
      </c>
      <c r="BV31" s="1976">
        <f t="shared" ref="BV31:BV54" si="82">BU31/E31</f>
        <v>0.99999999999999989</v>
      </c>
      <c r="BW31" s="1993"/>
      <c r="BX31" s="1977"/>
      <c r="BZ31" s="1923"/>
      <c r="CA31" s="1978"/>
      <c r="CB31" s="1979"/>
      <c r="CC31" s="1980"/>
      <c r="CD31" s="1980"/>
      <c r="CE31" s="1980"/>
      <c r="CF31" s="1980"/>
      <c r="CG31" s="1980"/>
      <c r="CH31" s="1980"/>
      <c r="CI31" s="1981"/>
    </row>
    <row r="32" spans="1:87" s="1726" customFormat="1" x14ac:dyDescent="0.2">
      <c r="B32" s="1963">
        <v>14</v>
      </c>
      <c r="C32" s="1963" t="s">
        <v>198</v>
      </c>
      <c r="D32" s="2578"/>
      <c r="E32" s="1728">
        <v>450</v>
      </c>
      <c r="F32" s="1728">
        <v>45</v>
      </c>
      <c r="G32" s="1728">
        <v>30</v>
      </c>
      <c r="H32" s="1728">
        <v>22.5</v>
      </c>
      <c r="I32" s="1728">
        <v>18</v>
      </c>
      <c r="J32" s="1728">
        <f t="shared" si="72"/>
        <v>14.516129032258064</v>
      </c>
      <c r="K32" s="1729">
        <f t="shared" si="73"/>
        <v>0.14073345271700005</v>
      </c>
      <c r="L32" s="1876"/>
      <c r="M32" s="1877"/>
      <c r="N32" s="1728">
        <f t="shared" ref="N32:T32" si="83">$J$32</f>
        <v>14.516129032258064</v>
      </c>
      <c r="O32" s="1728">
        <f t="shared" si="83"/>
        <v>14.516129032258064</v>
      </c>
      <c r="P32" s="1728">
        <f t="shared" si="83"/>
        <v>14.516129032258064</v>
      </c>
      <c r="Q32" s="1728">
        <f t="shared" si="83"/>
        <v>14.516129032258064</v>
      </c>
      <c r="R32" s="1728">
        <f t="shared" si="83"/>
        <v>14.516129032258064</v>
      </c>
      <c r="S32" s="1728">
        <f t="shared" si="83"/>
        <v>14.516129032258064</v>
      </c>
      <c r="T32" s="1728">
        <f t="shared" si="83"/>
        <v>14.516129032258064</v>
      </c>
      <c r="U32" s="2604"/>
      <c r="V32" s="1982">
        <f>SUM(N32:T32)</f>
        <v>101.61290322580645</v>
      </c>
      <c r="W32" s="2268">
        <f>($V$3*K32)*25%</f>
        <v>184.26019864057739</v>
      </c>
      <c r="X32" s="1984">
        <f>W32-V32</f>
        <v>82.647295414770937</v>
      </c>
      <c r="Y32" s="1881"/>
      <c r="Z32" s="1728">
        <f t="shared" ref="Z32:AF32" si="84">$J$32</f>
        <v>14.516129032258064</v>
      </c>
      <c r="AA32" s="1728">
        <f t="shared" si="84"/>
        <v>14.516129032258064</v>
      </c>
      <c r="AB32" s="1728">
        <f t="shared" si="84"/>
        <v>14.516129032258064</v>
      </c>
      <c r="AC32" s="1728">
        <f t="shared" si="84"/>
        <v>14.516129032258064</v>
      </c>
      <c r="AD32" s="1728">
        <f t="shared" si="84"/>
        <v>14.516129032258064</v>
      </c>
      <c r="AE32" s="1728">
        <f t="shared" si="84"/>
        <v>14.516129032258064</v>
      </c>
      <c r="AF32" s="1728">
        <f t="shared" si="84"/>
        <v>14.516129032258064</v>
      </c>
      <c r="AG32" s="1881"/>
      <c r="AH32" s="1982">
        <f>SUM(Z32:AF32)</f>
        <v>101.61290322580645</v>
      </c>
      <c r="AI32" s="2268">
        <f t="shared" ref="AI32:AI54" si="85">($AH$3*K32)*25%</f>
        <v>209.25628937800195</v>
      </c>
      <c r="AJ32" s="1984">
        <f>AI32-AH32</f>
        <v>107.6433861521955</v>
      </c>
      <c r="AK32" s="1881"/>
      <c r="AL32" s="2268">
        <f t="shared" ref="AL32:AR32" si="86">$J$32</f>
        <v>14.516129032258064</v>
      </c>
      <c r="AM32" s="2268">
        <f t="shared" si="86"/>
        <v>14.516129032258064</v>
      </c>
      <c r="AN32" s="2268">
        <f t="shared" si="86"/>
        <v>14.516129032258064</v>
      </c>
      <c r="AO32" s="2268">
        <f t="shared" si="86"/>
        <v>14.516129032258064</v>
      </c>
      <c r="AP32" s="2268">
        <f t="shared" si="86"/>
        <v>14.516129032258064</v>
      </c>
      <c r="AQ32" s="2268">
        <f t="shared" si="86"/>
        <v>14.516129032258064</v>
      </c>
      <c r="AR32" s="2268">
        <f t="shared" si="86"/>
        <v>14.516129032258064</v>
      </c>
      <c r="AS32" s="2293"/>
      <c r="AT32" s="1982">
        <f>SUM(AL32:AR32)</f>
        <v>101.61290322580645</v>
      </c>
      <c r="AU32" s="2268">
        <f t="shared" ref="AU32:AU54" si="87">($AT$3*K32)*30%</f>
        <v>256.86543129799406</v>
      </c>
      <c r="AV32" s="1984">
        <f>AU32-AT32</f>
        <v>155.2525280721876</v>
      </c>
      <c r="AW32" s="2293"/>
      <c r="AX32" s="2268">
        <f t="shared" ref="AX32:BD32" si="88">$J$32</f>
        <v>14.516129032258064</v>
      </c>
      <c r="AY32" s="2268">
        <f t="shared" si="88"/>
        <v>14.516129032258064</v>
      </c>
      <c r="AZ32" s="2268">
        <f t="shared" si="88"/>
        <v>14.516129032258064</v>
      </c>
      <c r="BA32" s="2268">
        <f t="shared" si="88"/>
        <v>14.516129032258064</v>
      </c>
      <c r="BB32" s="2268">
        <f t="shared" si="88"/>
        <v>14.516129032258064</v>
      </c>
      <c r="BC32" s="2268">
        <f t="shared" si="88"/>
        <v>14.516129032258064</v>
      </c>
      <c r="BD32" s="2268">
        <f t="shared" si="88"/>
        <v>14.516129032258064</v>
      </c>
      <c r="BE32" s="2293"/>
      <c r="BF32" s="1982">
        <f>SUM(AX32:BD32)</f>
        <v>101.61290322580645</v>
      </c>
      <c r="BG32" s="2268">
        <f t="shared" ref="BG32:BG54" si="89">($BF$3*K32)*30%</f>
        <v>217.92293686322026</v>
      </c>
      <c r="BH32" s="1984">
        <f>BG32-BF32</f>
        <v>116.31003363741381</v>
      </c>
      <c r="BI32" s="2604"/>
      <c r="BJ32" s="1728">
        <f t="shared" ref="BJ32:BL32" si="90">$J$32</f>
        <v>14.516129032258064</v>
      </c>
      <c r="BK32" s="1728">
        <f t="shared" si="90"/>
        <v>14.516129032258064</v>
      </c>
      <c r="BL32" s="1728">
        <f t="shared" si="90"/>
        <v>14.516129032258064</v>
      </c>
      <c r="BM32" s="2604"/>
      <c r="BN32" s="1982">
        <f t="shared" si="79"/>
        <v>43.548387096774192</v>
      </c>
      <c r="BO32" s="2268">
        <f t="shared" ref="BO32:BO54" si="91">($BN$3*K32)*30%</f>
        <v>93.353058951054166</v>
      </c>
      <c r="BP32" s="1984">
        <f>BO32-BN32</f>
        <v>49.804671854279974</v>
      </c>
      <c r="BR32" s="1732">
        <v>0</v>
      </c>
      <c r="BS32" s="1882">
        <f t="shared" si="80"/>
        <v>0</v>
      </c>
      <c r="BT32" s="1740"/>
      <c r="BU32" s="1734">
        <f t="shared" si="81"/>
        <v>450</v>
      </c>
      <c r="BV32" s="1918">
        <f t="shared" si="82"/>
        <v>1</v>
      </c>
      <c r="BW32" s="1997"/>
      <c r="BX32" s="2624"/>
      <c r="BZ32" s="1860"/>
      <c r="CA32" s="1985">
        <v>43769</v>
      </c>
      <c r="CB32" s="1830"/>
      <c r="CC32" s="1817"/>
      <c r="CD32" s="1810"/>
      <c r="CE32" s="1810"/>
      <c r="CF32" s="1810"/>
      <c r="CG32" s="1810"/>
      <c r="CH32" s="1810"/>
      <c r="CI32" s="1986"/>
    </row>
    <row r="33" spans="1:87" s="1947" customFormat="1" x14ac:dyDescent="0.2">
      <c r="B33" s="2000">
        <v>15</v>
      </c>
      <c r="C33" s="2000" t="s">
        <v>211</v>
      </c>
      <c r="D33" s="2579"/>
      <c r="E33" s="2001">
        <v>250</v>
      </c>
      <c r="F33" s="2001"/>
      <c r="G33" s="2001"/>
      <c r="H33" s="2001"/>
      <c r="I33" s="2001"/>
      <c r="J33" s="2001">
        <f t="shared" si="72"/>
        <v>8.064516129032258</v>
      </c>
      <c r="K33" s="2584">
        <f t="shared" si="73"/>
        <v>7.818525150944447E-2</v>
      </c>
      <c r="L33" s="2003"/>
      <c r="M33" s="1950"/>
      <c r="N33" s="2001">
        <f t="shared" ref="N33:T33" si="92">$J$33</f>
        <v>8.064516129032258</v>
      </c>
      <c r="O33" s="2001">
        <f t="shared" si="92"/>
        <v>8.064516129032258</v>
      </c>
      <c r="P33" s="2001">
        <f t="shared" si="92"/>
        <v>8.064516129032258</v>
      </c>
      <c r="Q33" s="2001">
        <f t="shared" si="92"/>
        <v>8.064516129032258</v>
      </c>
      <c r="R33" s="2001">
        <f t="shared" si="92"/>
        <v>8.064516129032258</v>
      </c>
      <c r="S33" s="2001">
        <f t="shared" si="92"/>
        <v>8.064516129032258</v>
      </c>
      <c r="T33" s="2001">
        <f t="shared" si="92"/>
        <v>8.064516129032258</v>
      </c>
      <c r="U33" s="1951"/>
      <c r="V33" s="2004">
        <f>SUM(N33:T33)</f>
        <v>56.451612903225801</v>
      </c>
      <c r="W33" s="2005">
        <f>($V$3*K33)*25%</f>
        <v>102.36677702254299</v>
      </c>
      <c r="X33" s="2006">
        <f t="shared" ref="X33:X51" si="93">W33-V33</f>
        <v>45.91516411931719</v>
      </c>
      <c r="Y33" s="1955"/>
      <c r="Z33" s="2001">
        <f t="shared" ref="Z33:AF33" si="94">$J$33</f>
        <v>8.064516129032258</v>
      </c>
      <c r="AA33" s="2001">
        <f t="shared" si="94"/>
        <v>8.064516129032258</v>
      </c>
      <c r="AB33" s="2001">
        <f t="shared" si="94"/>
        <v>8.064516129032258</v>
      </c>
      <c r="AC33" s="2001">
        <f t="shared" si="94"/>
        <v>8.064516129032258</v>
      </c>
      <c r="AD33" s="2001">
        <f t="shared" si="94"/>
        <v>8.064516129032258</v>
      </c>
      <c r="AE33" s="2001">
        <f t="shared" si="94"/>
        <v>8.064516129032258</v>
      </c>
      <c r="AF33" s="2001">
        <f t="shared" si="94"/>
        <v>8.064516129032258</v>
      </c>
      <c r="AG33" s="1955"/>
      <c r="AH33" s="2004">
        <f t="shared" si="44"/>
        <v>56.451612903225801</v>
      </c>
      <c r="AI33" s="2005">
        <f t="shared" si="85"/>
        <v>116.25349409888997</v>
      </c>
      <c r="AJ33" s="2006">
        <f t="shared" si="45"/>
        <v>59.801881195664173</v>
      </c>
      <c r="AK33" s="1955"/>
      <c r="AL33" s="2005">
        <f t="shared" ref="AL33:AR33" si="95">$J$33</f>
        <v>8.064516129032258</v>
      </c>
      <c r="AM33" s="2005">
        <f t="shared" si="95"/>
        <v>8.064516129032258</v>
      </c>
      <c r="AN33" s="2005">
        <f t="shared" si="95"/>
        <v>8.064516129032258</v>
      </c>
      <c r="AO33" s="2005">
        <f t="shared" si="95"/>
        <v>8.064516129032258</v>
      </c>
      <c r="AP33" s="2005">
        <f t="shared" si="95"/>
        <v>8.064516129032258</v>
      </c>
      <c r="AQ33" s="2005">
        <f t="shared" si="95"/>
        <v>8.064516129032258</v>
      </c>
      <c r="AR33" s="2005">
        <f t="shared" si="95"/>
        <v>8.064516129032258</v>
      </c>
      <c r="AS33" s="2299"/>
      <c r="AT33" s="2004">
        <f t="shared" ref="AT33:AT54" si="96">SUM(AL33:AR33)</f>
        <v>56.451612903225801</v>
      </c>
      <c r="AU33" s="2005">
        <f t="shared" si="87"/>
        <v>142.70301738777448</v>
      </c>
      <c r="AV33" s="2006">
        <f t="shared" ref="AV33:AV54" si="97">AU33-AT33</f>
        <v>86.251404484548686</v>
      </c>
      <c r="AW33" s="2299"/>
      <c r="AX33" s="2005">
        <f t="shared" ref="AX33:BD33" si="98">$J$33</f>
        <v>8.064516129032258</v>
      </c>
      <c r="AY33" s="2005">
        <f t="shared" si="98"/>
        <v>8.064516129032258</v>
      </c>
      <c r="AZ33" s="2005">
        <f t="shared" si="98"/>
        <v>8.064516129032258</v>
      </c>
      <c r="BA33" s="2005">
        <f t="shared" si="98"/>
        <v>8.064516129032258</v>
      </c>
      <c r="BB33" s="2005">
        <f t="shared" si="98"/>
        <v>8.064516129032258</v>
      </c>
      <c r="BC33" s="2005">
        <f t="shared" si="98"/>
        <v>8.064516129032258</v>
      </c>
      <c r="BD33" s="2005">
        <f t="shared" si="98"/>
        <v>8.064516129032258</v>
      </c>
      <c r="BE33" s="2299"/>
      <c r="BF33" s="2004">
        <f t="shared" ref="BF33:BF54" si="99">SUM(AX33:BD33)</f>
        <v>56.451612903225801</v>
      </c>
      <c r="BG33" s="2005">
        <f t="shared" si="89"/>
        <v>121.06829825734458</v>
      </c>
      <c r="BH33" s="2006">
        <f t="shared" ref="BH33:BH54" si="100">BG33-BF33</f>
        <v>64.616685354118772</v>
      </c>
      <c r="BI33" s="1951"/>
      <c r="BJ33" s="2001">
        <f t="shared" ref="BJ33:BL33" si="101">$J$33</f>
        <v>8.064516129032258</v>
      </c>
      <c r="BK33" s="2001">
        <f t="shared" si="101"/>
        <v>8.064516129032258</v>
      </c>
      <c r="BL33" s="2001">
        <f t="shared" si="101"/>
        <v>8.064516129032258</v>
      </c>
      <c r="BM33" s="1951"/>
      <c r="BN33" s="2004">
        <f t="shared" si="79"/>
        <v>24.193548387096776</v>
      </c>
      <c r="BO33" s="2005">
        <f t="shared" si="91"/>
        <v>51.862810528363426</v>
      </c>
      <c r="BP33" s="2006">
        <f t="shared" si="61"/>
        <v>27.66926214126665</v>
      </c>
      <c r="BR33" s="2007">
        <v>0</v>
      </c>
      <c r="BS33" s="2008">
        <f t="shared" si="80"/>
        <v>0</v>
      </c>
      <c r="BT33" s="1959"/>
      <c r="BU33" s="1901">
        <f t="shared" si="81"/>
        <v>249.99999999999997</v>
      </c>
      <c r="BV33" s="1902">
        <f t="shared" si="82"/>
        <v>0.99999999999999989</v>
      </c>
      <c r="BW33" s="1962"/>
      <c r="BX33" s="1905"/>
      <c r="BZ33" s="2623"/>
      <c r="CA33" s="2009">
        <v>43738</v>
      </c>
      <c r="CB33" s="2010"/>
      <c r="CC33" s="2011"/>
      <c r="CD33" s="1946"/>
      <c r="CE33" s="1946"/>
      <c r="CF33" s="1946"/>
      <c r="CG33" s="1946"/>
      <c r="CH33" s="1946"/>
      <c r="CI33" s="2012"/>
    </row>
    <row r="34" spans="1:87" s="1756" customFormat="1" x14ac:dyDescent="0.2">
      <c r="B34" s="1963">
        <v>16</v>
      </c>
      <c r="C34" s="1963" t="s">
        <v>230</v>
      </c>
      <c r="D34" s="2578"/>
      <c r="E34" s="1728">
        <v>209.55</v>
      </c>
      <c r="F34" s="1728"/>
      <c r="G34" s="1728"/>
      <c r="H34" s="1728"/>
      <c r="I34" s="1728"/>
      <c r="J34" s="1728">
        <f t="shared" si="72"/>
        <v>6.7596774193548388</v>
      </c>
      <c r="K34" s="1729">
        <f t="shared" si="73"/>
        <v>6.5534877815216358E-2</v>
      </c>
      <c r="L34" s="1931"/>
      <c r="M34" s="1924"/>
      <c r="N34" s="1728">
        <f t="shared" ref="N34:T34" si="102">$J$34</f>
        <v>6.7596774193548388</v>
      </c>
      <c r="O34" s="1728">
        <f t="shared" si="102"/>
        <v>6.7596774193548388</v>
      </c>
      <c r="P34" s="1728">
        <f t="shared" si="102"/>
        <v>6.7596774193548388</v>
      </c>
      <c r="Q34" s="1728">
        <f t="shared" si="102"/>
        <v>6.7596774193548388</v>
      </c>
      <c r="R34" s="1728">
        <f t="shared" si="102"/>
        <v>6.7596774193548388</v>
      </c>
      <c r="S34" s="1728">
        <f t="shared" si="102"/>
        <v>6.7596774193548388</v>
      </c>
      <c r="T34" s="1728">
        <f t="shared" si="102"/>
        <v>6.7596774193548388</v>
      </c>
      <c r="U34" s="1814"/>
      <c r="V34" s="1982">
        <f t="shared" ref="V34:V37" si="103">SUM(N34:T34)</f>
        <v>47.317741935483866</v>
      </c>
      <c r="W34" s="2268">
        <f>($V$3*K34)*25%</f>
        <v>85.803832500295542</v>
      </c>
      <c r="X34" s="1984">
        <f t="shared" si="93"/>
        <v>38.486090564811676</v>
      </c>
      <c r="Y34" s="1764"/>
      <c r="Z34" s="1728">
        <f t="shared" ref="Z34:AF34" si="104">$J$34</f>
        <v>6.7596774193548388</v>
      </c>
      <c r="AA34" s="1728">
        <f t="shared" si="104"/>
        <v>6.7596774193548388</v>
      </c>
      <c r="AB34" s="1728">
        <f t="shared" si="104"/>
        <v>6.7596774193548388</v>
      </c>
      <c r="AC34" s="1728">
        <f t="shared" si="104"/>
        <v>6.7596774193548388</v>
      </c>
      <c r="AD34" s="1728">
        <f t="shared" si="104"/>
        <v>6.7596774193548388</v>
      </c>
      <c r="AE34" s="1728">
        <f t="shared" si="104"/>
        <v>6.7596774193548388</v>
      </c>
      <c r="AF34" s="1728">
        <f t="shared" si="104"/>
        <v>6.7596774193548388</v>
      </c>
      <c r="AG34" s="1764"/>
      <c r="AH34" s="1982">
        <f t="shared" si="44"/>
        <v>47.317741935483866</v>
      </c>
      <c r="AI34" s="2268">
        <f t="shared" si="85"/>
        <v>97.443678753689582</v>
      </c>
      <c r="AJ34" s="1984">
        <f t="shared" si="45"/>
        <v>50.125936818205716</v>
      </c>
      <c r="AK34" s="1764"/>
      <c r="AL34" s="2268">
        <f t="shared" ref="AL34:AR34" si="105">$J$34</f>
        <v>6.7596774193548388</v>
      </c>
      <c r="AM34" s="2268">
        <f t="shared" si="105"/>
        <v>6.7596774193548388</v>
      </c>
      <c r="AN34" s="2268">
        <f t="shared" si="105"/>
        <v>6.7596774193548388</v>
      </c>
      <c r="AO34" s="2268">
        <f t="shared" si="105"/>
        <v>6.7596774193548388</v>
      </c>
      <c r="AP34" s="2268">
        <f t="shared" si="105"/>
        <v>6.7596774193548388</v>
      </c>
      <c r="AQ34" s="2268">
        <f t="shared" si="105"/>
        <v>6.7596774193548388</v>
      </c>
      <c r="AR34" s="2268">
        <f t="shared" si="105"/>
        <v>6.7596774193548388</v>
      </c>
      <c r="AS34" s="2289"/>
      <c r="AT34" s="1982">
        <f t="shared" si="96"/>
        <v>47.317741935483866</v>
      </c>
      <c r="AU34" s="2268">
        <f t="shared" si="87"/>
        <v>119.61366917443256</v>
      </c>
      <c r="AV34" s="1984">
        <f t="shared" si="97"/>
        <v>72.295927238948693</v>
      </c>
      <c r="AW34" s="2289"/>
      <c r="AX34" s="2268">
        <f t="shared" ref="AX34:BD34" si="106">$J$34</f>
        <v>6.7596774193548388</v>
      </c>
      <c r="AY34" s="2268">
        <f t="shared" si="106"/>
        <v>6.7596774193548388</v>
      </c>
      <c r="AZ34" s="2268">
        <f t="shared" si="106"/>
        <v>6.7596774193548388</v>
      </c>
      <c r="BA34" s="2268">
        <f t="shared" si="106"/>
        <v>6.7596774193548388</v>
      </c>
      <c r="BB34" s="2268">
        <f t="shared" si="106"/>
        <v>6.7596774193548388</v>
      </c>
      <c r="BC34" s="2268">
        <f t="shared" si="106"/>
        <v>6.7596774193548388</v>
      </c>
      <c r="BD34" s="2268">
        <f t="shared" si="106"/>
        <v>6.7596774193548388</v>
      </c>
      <c r="BE34" s="2289"/>
      <c r="BF34" s="1982">
        <f t="shared" si="99"/>
        <v>47.317741935483866</v>
      </c>
      <c r="BG34" s="2268">
        <f t="shared" si="89"/>
        <v>101.47944759930624</v>
      </c>
      <c r="BH34" s="1984">
        <f t="shared" si="100"/>
        <v>54.161705663822374</v>
      </c>
      <c r="BI34" s="1814"/>
      <c r="BJ34" s="1728">
        <f t="shared" ref="BJ34:BL34" si="107">$J$34</f>
        <v>6.7596774193548388</v>
      </c>
      <c r="BK34" s="1728">
        <f t="shared" si="107"/>
        <v>6.7596774193548388</v>
      </c>
      <c r="BL34" s="1728">
        <f t="shared" si="107"/>
        <v>6.7596774193548388</v>
      </c>
      <c r="BM34" s="1814"/>
      <c r="BN34" s="1982">
        <f t="shared" si="79"/>
        <v>20.279032258064518</v>
      </c>
      <c r="BO34" s="2268">
        <f t="shared" si="91"/>
        <v>43.471407784874224</v>
      </c>
      <c r="BP34" s="1984">
        <f>BO34-BN34</f>
        <v>23.192375526809705</v>
      </c>
      <c r="BR34" s="1735">
        <v>0</v>
      </c>
      <c r="BS34" s="1768">
        <f t="shared" si="80"/>
        <v>0</v>
      </c>
      <c r="BT34" s="2622"/>
      <c r="BU34" s="1763">
        <f t="shared" si="81"/>
        <v>209.54999999999998</v>
      </c>
      <c r="BV34" s="1883">
        <f t="shared" si="82"/>
        <v>0.99999999999999989</v>
      </c>
      <c r="BW34" s="1830"/>
      <c r="BX34" s="1761"/>
      <c r="BZ34" s="2624"/>
      <c r="CA34" s="1996">
        <f>CA32-CA33</f>
        <v>31</v>
      </c>
      <c r="CB34" s="1997"/>
      <c r="CC34" s="1861"/>
      <c r="CD34" s="1860"/>
      <c r="CE34" s="1860"/>
      <c r="CF34" s="1860"/>
      <c r="CG34" s="1860"/>
      <c r="CH34" s="1860"/>
      <c r="CI34" s="1998"/>
    </row>
    <row r="35" spans="1:87" s="1947" customFormat="1" x14ac:dyDescent="0.2">
      <c r="B35" s="2000">
        <v>17</v>
      </c>
      <c r="C35" s="2000" t="s">
        <v>255</v>
      </c>
      <c r="D35" s="2579"/>
      <c r="E35" s="2001">
        <v>179.834</v>
      </c>
      <c r="F35" s="2001"/>
      <c r="G35" s="2001"/>
      <c r="H35" s="2001"/>
      <c r="I35" s="2001"/>
      <c r="J35" s="2001">
        <f t="shared" si="72"/>
        <v>5.8010967741935486</v>
      </c>
      <c r="K35" s="2584">
        <f t="shared" si="73"/>
        <v>5.6241466079797749E-2</v>
      </c>
      <c r="L35" s="2003"/>
      <c r="M35" s="1950"/>
      <c r="N35" s="2001">
        <f t="shared" ref="N35:T35" si="108">$J$35</f>
        <v>5.8010967741935486</v>
      </c>
      <c r="O35" s="2001">
        <f t="shared" si="108"/>
        <v>5.8010967741935486</v>
      </c>
      <c r="P35" s="2001">
        <f t="shared" si="108"/>
        <v>5.8010967741935486</v>
      </c>
      <c r="Q35" s="2001">
        <f t="shared" si="108"/>
        <v>5.8010967741935486</v>
      </c>
      <c r="R35" s="2001">
        <f t="shared" si="108"/>
        <v>5.8010967741935486</v>
      </c>
      <c r="S35" s="2001">
        <f t="shared" si="108"/>
        <v>5.8010967741935486</v>
      </c>
      <c r="T35" s="2001">
        <f t="shared" si="108"/>
        <v>5.8010967741935486</v>
      </c>
      <c r="U35" s="1951"/>
      <c r="V35" s="2004">
        <f t="shared" si="103"/>
        <v>40.607677419354836</v>
      </c>
      <c r="W35" s="2005">
        <f t="shared" ref="W35:W54" si="109">($V$3*K35)*25%</f>
        <v>73.636107916287983</v>
      </c>
      <c r="X35" s="2006">
        <f t="shared" si="93"/>
        <v>33.028430496933147</v>
      </c>
      <c r="Y35" s="1955"/>
      <c r="Z35" s="2001">
        <f t="shared" ref="Z35:AF35" si="110">$J$35</f>
        <v>5.8010967741935486</v>
      </c>
      <c r="AA35" s="2001">
        <f t="shared" si="110"/>
        <v>5.8010967741935486</v>
      </c>
      <c r="AB35" s="2001">
        <f t="shared" si="110"/>
        <v>5.8010967741935486</v>
      </c>
      <c r="AC35" s="2001">
        <f t="shared" si="110"/>
        <v>5.8010967741935486</v>
      </c>
      <c r="AD35" s="2001">
        <f t="shared" si="110"/>
        <v>5.8010967741935486</v>
      </c>
      <c r="AE35" s="2001">
        <f t="shared" si="110"/>
        <v>5.8010967741935486</v>
      </c>
      <c r="AF35" s="2001">
        <f t="shared" si="110"/>
        <v>5.8010967741935486</v>
      </c>
      <c r="AG35" s="1955"/>
      <c r="AH35" s="2004">
        <f t="shared" si="44"/>
        <v>40.607677419354836</v>
      </c>
      <c r="AI35" s="2005">
        <f t="shared" si="85"/>
        <v>83.625323431119114</v>
      </c>
      <c r="AJ35" s="2006">
        <f t="shared" si="45"/>
        <v>43.017646011764278</v>
      </c>
      <c r="AK35" s="1955"/>
      <c r="AL35" s="2005">
        <f t="shared" ref="AL35:AR35" si="111">$J$35</f>
        <v>5.8010967741935486</v>
      </c>
      <c r="AM35" s="2005">
        <f t="shared" si="111"/>
        <v>5.8010967741935486</v>
      </c>
      <c r="AN35" s="2005">
        <f t="shared" si="111"/>
        <v>5.8010967741935486</v>
      </c>
      <c r="AO35" s="2005">
        <f t="shared" si="111"/>
        <v>5.8010967741935486</v>
      </c>
      <c r="AP35" s="2005">
        <f t="shared" si="111"/>
        <v>5.8010967741935486</v>
      </c>
      <c r="AQ35" s="2005">
        <f t="shared" si="111"/>
        <v>5.8010967741935486</v>
      </c>
      <c r="AR35" s="2005">
        <f t="shared" si="111"/>
        <v>5.8010967741935486</v>
      </c>
      <c r="AS35" s="2299"/>
      <c r="AT35" s="2004">
        <f t="shared" si="96"/>
        <v>40.607677419354836</v>
      </c>
      <c r="AU35" s="2005">
        <f t="shared" si="87"/>
        <v>102.65141771565214</v>
      </c>
      <c r="AV35" s="2006">
        <f t="shared" si="97"/>
        <v>62.043740296297308</v>
      </c>
      <c r="AW35" s="2299"/>
      <c r="AX35" s="2005">
        <f t="shared" ref="AX35:BD35" si="112">$J$35</f>
        <v>5.8010967741935486</v>
      </c>
      <c r="AY35" s="2005">
        <f t="shared" si="112"/>
        <v>5.8010967741935486</v>
      </c>
      <c r="AZ35" s="2005">
        <f t="shared" si="112"/>
        <v>5.8010967741935486</v>
      </c>
      <c r="BA35" s="2005">
        <f t="shared" si="112"/>
        <v>5.8010967741935486</v>
      </c>
      <c r="BB35" s="2005">
        <f t="shared" si="112"/>
        <v>5.8010967741935486</v>
      </c>
      <c r="BC35" s="2005">
        <f t="shared" si="112"/>
        <v>5.8010967741935486</v>
      </c>
      <c r="BD35" s="2005">
        <f t="shared" si="112"/>
        <v>5.8010967741935486</v>
      </c>
      <c r="BE35" s="2299"/>
      <c r="BF35" s="2004">
        <f t="shared" si="99"/>
        <v>40.607677419354836</v>
      </c>
      <c r="BG35" s="2005">
        <f t="shared" si="89"/>
        <v>87.088785395245225</v>
      </c>
      <c r="BH35" s="2006">
        <f t="shared" si="100"/>
        <v>46.481107975890389</v>
      </c>
      <c r="BI35" s="1951"/>
      <c r="BJ35" s="2001">
        <f t="shared" ref="BJ35:BL35" si="113">$J$35</f>
        <v>5.8010967741935486</v>
      </c>
      <c r="BK35" s="2001">
        <f t="shared" si="113"/>
        <v>5.8010967741935486</v>
      </c>
      <c r="BL35" s="2001">
        <f t="shared" si="113"/>
        <v>5.8010967741935486</v>
      </c>
      <c r="BM35" s="1951"/>
      <c r="BN35" s="2004">
        <f t="shared" si="79"/>
        <v>17.403290322580645</v>
      </c>
      <c r="BO35" s="2005">
        <f t="shared" si="91"/>
        <v>37.306786674230835</v>
      </c>
      <c r="BP35" s="2006">
        <f>BO35-BN35</f>
        <v>19.90349635165019</v>
      </c>
      <c r="BR35" s="2007">
        <v>0</v>
      </c>
      <c r="BS35" s="2008">
        <f t="shared" si="80"/>
        <v>0</v>
      </c>
      <c r="BT35" s="1959"/>
      <c r="BU35" s="1901">
        <f t="shared" si="81"/>
        <v>179.834</v>
      </c>
      <c r="BV35" s="1902">
        <f t="shared" si="82"/>
        <v>1</v>
      </c>
      <c r="BW35" s="1962"/>
      <c r="BX35" s="1905"/>
      <c r="BZ35" s="2808"/>
      <c r="CA35" s="2009">
        <v>43769</v>
      </c>
      <c r="CB35" s="2010"/>
      <c r="CC35" s="2011"/>
      <c r="CD35" s="1946"/>
      <c r="CE35" s="1946"/>
      <c r="CF35" s="1946"/>
      <c r="CG35" s="1946"/>
      <c r="CH35" s="1946"/>
      <c r="CI35" s="2012"/>
    </row>
    <row r="36" spans="1:87" s="1756" customFormat="1" x14ac:dyDescent="0.2">
      <c r="B36" s="1963">
        <v>18</v>
      </c>
      <c r="C36" s="1963" t="s">
        <v>260</v>
      </c>
      <c r="D36" s="2578"/>
      <c r="E36" s="1728">
        <v>150</v>
      </c>
      <c r="F36" s="1728">
        <v>5</v>
      </c>
      <c r="G36" s="1728">
        <v>3.3333333333333335</v>
      </c>
      <c r="H36" s="1728">
        <v>2.5</v>
      </c>
      <c r="I36" s="1728">
        <v>2</v>
      </c>
      <c r="J36" s="1728">
        <f t="shared" si="72"/>
        <v>4.838709677419355</v>
      </c>
      <c r="K36" s="1729">
        <f t="shared" si="73"/>
        <v>4.6911150905666686E-2</v>
      </c>
      <c r="L36" s="1931"/>
      <c r="M36" s="1924"/>
      <c r="N36" s="1728">
        <f t="shared" ref="N36:T36" si="114">$J$36</f>
        <v>4.838709677419355</v>
      </c>
      <c r="O36" s="1728">
        <f t="shared" si="114"/>
        <v>4.838709677419355</v>
      </c>
      <c r="P36" s="1728">
        <f t="shared" si="114"/>
        <v>4.838709677419355</v>
      </c>
      <c r="Q36" s="1728">
        <f t="shared" si="114"/>
        <v>4.838709677419355</v>
      </c>
      <c r="R36" s="1728">
        <f t="shared" si="114"/>
        <v>4.838709677419355</v>
      </c>
      <c r="S36" s="1728">
        <f t="shared" si="114"/>
        <v>4.838709677419355</v>
      </c>
      <c r="T36" s="1728">
        <f t="shared" si="114"/>
        <v>4.838709677419355</v>
      </c>
      <c r="U36" s="1814"/>
      <c r="V36" s="1982">
        <f t="shared" si="103"/>
        <v>33.870967741935488</v>
      </c>
      <c r="W36" s="2268">
        <f t="shared" si="109"/>
        <v>61.4200662135258</v>
      </c>
      <c r="X36" s="1984">
        <f t="shared" si="93"/>
        <v>27.549098471590312</v>
      </c>
      <c r="Y36" s="1764"/>
      <c r="Z36" s="1728">
        <f t="shared" ref="Z36:AF36" si="115">$J$36</f>
        <v>4.838709677419355</v>
      </c>
      <c r="AA36" s="1728">
        <f t="shared" si="115"/>
        <v>4.838709677419355</v>
      </c>
      <c r="AB36" s="1728">
        <f t="shared" si="115"/>
        <v>4.838709677419355</v>
      </c>
      <c r="AC36" s="1728">
        <f t="shared" si="115"/>
        <v>4.838709677419355</v>
      </c>
      <c r="AD36" s="1728">
        <f t="shared" si="115"/>
        <v>4.838709677419355</v>
      </c>
      <c r="AE36" s="1728">
        <f t="shared" si="115"/>
        <v>4.838709677419355</v>
      </c>
      <c r="AF36" s="1728">
        <f t="shared" si="115"/>
        <v>4.838709677419355</v>
      </c>
      <c r="AG36" s="1764"/>
      <c r="AH36" s="1982">
        <f t="shared" si="44"/>
        <v>33.870967741935488</v>
      </c>
      <c r="AI36" s="2268">
        <f t="shared" si="85"/>
        <v>69.752096459333984</v>
      </c>
      <c r="AJ36" s="1984">
        <f t="shared" si="45"/>
        <v>35.881128717398497</v>
      </c>
      <c r="AK36" s="1764"/>
      <c r="AL36" s="2268">
        <f t="shared" ref="AL36:AR36" si="116">$J$36</f>
        <v>4.838709677419355</v>
      </c>
      <c r="AM36" s="2268">
        <f t="shared" si="116"/>
        <v>4.838709677419355</v>
      </c>
      <c r="AN36" s="2268">
        <f t="shared" si="116"/>
        <v>4.838709677419355</v>
      </c>
      <c r="AO36" s="2268">
        <f t="shared" si="116"/>
        <v>4.838709677419355</v>
      </c>
      <c r="AP36" s="2268">
        <f t="shared" si="116"/>
        <v>4.838709677419355</v>
      </c>
      <c r="AQ36" s="2268">
        <f t="shared" si="116"/>
        <v>4.838709677419355</v>
      </c>
      <c r="AR36" s="2268">
        <f t="shared" si="116"/>
        <v>4.838709677419355</v>
      </c>
      <c r="AS36" s="2289"/>
      <c r="AT36" s="1982">
        <f t="shared" si="96"/>
        <v>33.870967741935488</v>
      </c>
      <c r="AU36" s="2268">
        <f t="shared" si="87"/>
        <v>85.621810432664688</v>
      </c>
      <c r="AV36" s="1984">
        <f t="shared" si="97"/>
        <v>51.750842690729201</v>
      </c>
      <c r="AW36" s="2289"/>
      <c r="AX36" s="2268">
        <f t="shared" ref="AX36:BD36" si="117">$J$36</f>
        <v>4.838709677419355</v>
      </c>
      <c r="AY36" s="2268">
        <f t="shared" si="117"/>
        <v>4.838709677419355</v>
      </c>
      <c r="AZ36" s="2268">
        <f t="shared" si="117"/>
        <v>4.838709677419355</v>
      </c>
      <c r="BA36" s="2268">
        <f t="shared" si="117"/>
        <v>4.838709677419355</v>
      </c>
      <c r="BB36" s="2268">
        <f t="shared" si="117"/>
        <v>4.838709677419355</v>
      </c>
      <c r="BC36" s="2268">
        <f t="shared" si="117"/>
        <v>4.838709677419355</v>
      </c>
      <c r="BD36" s="2268">
        <f t="shared" si="117"/>
        <v>4.838709677419355</v>
      </c>
      <c r="BE36" s="2289"/>
      <c r="BF36" s="1982">
        <f t="shared" si="99"/>
        <v>33.870967741935488</v>
      </c>
      <c r="BG36" s="2268">
        <f t="shared" si="89"/>
        <v>72.640978954406748</v>
      </c>
      <c r="BH36" s="1984">
        <f t="shared" si="100"/>
        <v>38.77001121247126</v>
      </c>
      <c r="BI36" s="1814"/>
      <c r="BJ36" s="1728">
        <f t="shared" ref="BJ36:BL36" si="118">$J$36</f>
        <v>4.838709677419355</v>
      </c>
      <c r="BK36" s="1728">
        <f t="shared" si="118"/>
        <v>4.838709677419355</v>
      </c>
      <c r="BL36" s="1728">
        <f t="shared" si="118"/>
        <v>4.838709677419355</v>
      </c>
      <c r="BM36" s="1814"/>
      <c r="BN36" s="1982">
        <f t="shared" si="79"/>
        <v>14.516129032258064</v>
      </c>
      <c r="BO36" s="2268">
        <f t="shared" si="91"/>
        <v>31.117686317018059</v>
      </c>
      <c r="BP36" s="1984">
        <f>BO36-BN36</f>
        <v>16.601557284759995</v>
      </c>
      <c r="BR36" s="1735">
        <v>0</v>
      </c>
      <c r="BS36" s="1768">
        <f t="shared" si="80"/>
        <v>0</v>
      </c>
      <c r="BT36" s="2766"/>
      <c r="BU36" s="1763">
        <f t="shared" si="81"/>
        <v>150</v>
      </c>
      <c r="BV36" s="1883">
        <f t="shared" si="82"/>
        <v>1</v>
      </c>
      <c r="BW36" s="1830"/>
      <c r="BX36" s="1761"/>
      <c r="BZ36" s="2769"/>
      <c r="CA36" s="2015">
        <v>43769</v>
      </c>
      <c r="CB36" s="1997"/>
      <c r="CC36" s="1861"/>
      <c r="CD36" s="1860"/>
      <c r="CE36" s="1860"/>
      <c r="CF36" s="1860"/>
      <c r="CG36" s="1860"/>
      <c r="CH36" s="1860"/>
      <c r="CI36" s="1998"/>
    </row>
    <row r="37" spans="1:87" s="1947" customFormat="1" x14ac:dyDescent="0.2">
      <c r="B37" s="2000">
        <v>19</v>
      </c>
      <c r="C37" s="2000" t="s">
        <v>239</v>
      </c>
      <c r="D37" s="2579"/>
      <c r="E37" s="2001">
        <v>75</v>
      </c>
      <c r="F37" s="2001"/>
      <c r="G37" s="2001"/>
      <c r="H37" s="2001"/>
      <c r="I37" s="2001"/>
      <c r="J37" s="2001">
        <f t="shared" si="72"/>
        <v>2.4193548387096775</v>
      </c>
      <c r="K37" s="2584">
        <f t="shared" si="73"/>
        <v>2.3455575452833343E-2</v>
      </c>
      <c r="L37" s="2003"/>
      <c r="M37" s="1950"/>
      <c r="N37" s="2001">
        <f t="shared" ref="N37:T37" si="119">$J$37</f>
        <v>2.4193548387096775</v>
      </c>
      <c r="O37" s="2001">
        <f t="shared" si="119"/>
        <v>2.4193548387096775</v>
      </c>
      <c r="P37" s="2001">
        <f t="shared" si="119"/>
        <v>2.4193548387096775</v>
      </c>
      <c r="Q37" s="2001">
        <f t="shared" si="119"/>
        <v>2.4193548387096775</v>
      </c>
      <c r="R37" s="2001">
        <f t="shared" si="119"/>
        <v>2.4193548387096775</v>
      </c>
      <c r="S37" s="2001">
        <f t="shared" si="119"/>
        <v>2.4193548387096775</v>
      </c>
      <c r="T37" s="2001">
        <f t="shared" si="119"/>
        <v>2.4193548387096775</v>
      </c>
      <c r="U37" s="1951"/>
      <c r="V37" s="2004">
        <f t="shared" si="103"/>
        <v>16.935483870967744</v>
      </c>
      <c r="W37" s="2005">
        <f t="shared" si="109"/>
        <v>30.7100331067629</v>
      </c>
      <c r="X37" s="2006">
        <f t="shared" si="93"/>
        <v>13.774549235795156</v>
      </c>
      <c r="Y37" s="1955"/>
      <c r="Z37" s="2001">
        <f t="shared" ref="Z37:AF37" si="120">$J$37</f>
        <v>2.4193548387096775</v>
      </c>
      <c r="AA37" s="2001">
        <f t="shared" si="120"/>
        <v>2.4193548387096775</v>
      </c>
      <c r="AB37" s="2001">
        <f t="shared" si="120"/>
        <v>2.4193548387096775</v>
      </c>
      <c r="AC37" s="2001">
        <f t="shared" si="120"/>
        <v>2.4193548387096775</v>
      </c>
      <c r="AD37" s="2001">
        <f t="shared" si="120"/>
        <v>2.4193548387096775</v>
      </c>
      <c r="AE37" s="2001">
        <f t="shared" si="120"/>
        <v>2.4193548387096775</v>
      </c>
      <c r="AF37" s="2001">
        <f t="shared" si="120"/>
        <v>2.4193548387096775</v>
      </c>
      <c r="AG37" s="1955"/>
      <c r="AH37" s="2004">
        <f t="shared" si="44"/>
        <v>16.935483870967744</v>
      </c>
      <c r="AI37" s="2005">
        <f t="shared" si="85"/>
        <v>34.876048229666992</v>
      </c>
      <c r="AJ37" s="2006">
        <f t="shared" si="45"/>
        <v>17.940564358699248</v>
      </c>
      <c r="AK37" s="1955"/>
      <c r="AL37" s="2005">
        <f t="shared" ref="AL37:AR37" si="121">$J$37</f>
        <v>2.4193548387096775</v>
      </c>
      <c r="AM37" s="2005">
        <f t="shared" si="121"/>
        <v>2.4193548387096775</v>
      </c>
      <c r="AN37" s="2005">
        <f t="shared" si="121"/>
        <v>2.4193548387096775</v>
      </c>
      <c r="AO37" s="2005">
        <f t="shared" si="121"/>
        <v>2.4193548387096775</v>
      </c>
      <c r="AP37" s="2005">
        <f t="shared" si="121"/>
        <v>2.4193548387096775</v>
      </c>
      <c r="AQ37" s="2005">
        <f t="shared" si="121"/>
        <v>2.4193548387096775</v>
      </c>
      <c r="AR37" s="2005">
        <f t="shared" si="121"/>
        <v>2.4193548387096775</v>
      </c>
      <c r="AS37" s="2299"/>
      <c r="AT37" s="2004">
        <f t="shared" si="96"/>
        <v>16.935483870967744</v>
      </c>
      <c r="AU37" s="2005">
        <f t="shared" si="87"/>
        <v>42.810905216332344</v>
      </c>
      <c r="AV37" s="2006">
        <f t="shared" si="97"/>
        <v>25.8754213453646</v>
      </c>
      <c r="AW37" s="2299"/>
      <c r="AX37" s="2005">
        <f t="shared" ref="AX37:BD37" si="122">$J$37</f>
        <v>2.4193548387096775</v>
      </c>
      <c r="AY37" s="2005">
        <f t="shared" si="122"/>
        <v>2.4193548387096775</v>
      </c>
      <c r="AZ37" s="2005">
        <f t="shared" si="122"/>
        <v>2.4193548387096775</v>
      </c>
      <c r="BA37" s="2005">
        <f t="shared" si="122"/>
        <v>2.4193548387096775</v>
      </c>
      <c r="BB37" s="2005">
        <f t="shared" si="122"/>
        <v>2.4193548387096775</v>
      </c>
      <c r="BC37" s="2005">
        <f t="shared" si="122"/>
        <v>2.4193548387096775</v>
      </c>
      <c r="BD37" s="2005">
        <f t="shared" si="122"/>
        <v>2.4193548387096775</v>
      </c>
      <c r="BE37" s="2299"/>
      <c r="BF37" s="2004">
        <f t="shared" si="99"/>
        <v>16.935483870967744</v>
      </c>
      <c r="BG37" s="2005">
        <f t="shared" si="89"/>
        <v>36.320489477203374</v>
      </c>
      <c r="BH37" s="2006">
        <f t="shared" si="100"/>
        <v>19.38500560623563</v>
      </c>
      <c r="BI37" s="1951"/>
      <c r="BJ37" s="2001">
        <f t="shared" ref="BJ37:BL37" si="123">$J$37</f>
        <v>2.4193548387096775</v>
      </c>
      <c r="BK37" s="2001">
        <f t="shared" si="123"/>
        <v>2.4193548387096775</v>
      </c>
      <c r="BL37" s="2001">
        <f t="shared" si="123"/>
        <v>2.4193548387096775</v>
      </c>
      <c r="BM37" s="1951"/>
      <c r="BN37" s="2004">
        <f t="shared" si="79"/>
        <v>7.258064516129032</v>
      </c>
      <c r="BO37" s="2005">
        <f t="shared" si="91"/>
        <v>15.558843158509029</v>
      </c>
      <c r="BP37" s="2006">
        <f>BO37-BN37</f>
        <v>8.3007786423799974</v>
      </c>
      <c r="BR37" s="2007">
        <v>0</v>
      </c>
      <c r="BS37" s="2008">
        <f t="shared" si="80"/>
        <v>0</v>
      </c>
      <c r="BT37" s="1959"/>
      <c r="BU37" s="1901">
        <f t="shared" si="81"/>
        <v>75</v>
      </c>
      <c r="BV37" s="1902">
        <f t="shared" si="82"/>
        <v>1</v>
      </c>
      <c r="BW37" s="1962"/>
      <c r="BX37" s="1905"/>
      <c r="BZ37" s="2767"/>
      <c r="CA37" s="2479">
        <f>CA36-CA35</f>
        <v>0</v>
      </c>
      <c r="CB37" s="2010"/>
      <c r="CC37" s="2011"/>
      <c r="CD37" s="1946"/>
      <c r="CE37" s="1946"/>
      <c r="CF37" s="1946"/>
      <c r="CG37" s="1946"/>
      <c r="CH37" s="1946"/>
      <c r="CI37" s="2012"/>
    </row>
    <row r="38" spans="1:87" s="1756" customFormat="1" x14ac:dyDescent="0.2">
      <c r="B38" s="1963">
        <v>20</v>
      </c>
      <c r="C38" s="1963" t="s">
        <v>214</v>
      </c>
      <c r="D38" s="2578"/>
      <c r="E38" s="1728">
        <v>63</v>
      </c>
      <c r="F38" s="1728">
        <v>75.3</v>
      </c>
      <c r="G38" s="1728">
        <v>50.2</v>
      </c>
      <c r="H38" s="1728">
        <v>37.65</v>
      </c>
      <c r="I38" s="1728">
        <v>30.12</v>
      </c>
      <c r="J38" s="1728">
        <f t="shared" si="72"/>
        <v>2.032258064516129</v>
      </c>
      <c r="K38" s="1729">
        <f t="shared" si="73"/>
        <v>1.9702683380380007E-2</v>
      </c>
      <c r="L38" s="1931"/>
      <c r="M38" s="1924"/>
      <c r="N38" s="1728">
        <f t="shared" ref="N38:T38" si="124">$J$38</f>
        <v>2.032258064516129</v>
      </c>
      <c r="O38" s="1728">
        <f t="shared" si="124"/>
        <v>2.032258064516129</v>
      </c>
      <c r="P38" s="1728">
        <f t="shared" si="124"/>
        <v>2.032258064516129</v>
      </c>
      <c r="Q38" s="1728">
        <f t="shared" si="124"/>
        <v>2.032258064516129</v>
      </c>
      <c r="R38" s="1728">
        <f t="shared" si="124"/>
        <v>2.032258064516129</v>
      </c>
      <c r="S38" s="1728">
        <f t="shared" si="124"/>
        <v>2.032258064516129</v>
      </c>
      <c r="T38" s="1728">
        <f t="shared" si="124"/>
        <v>2.032258064516129</v>
      </c>
      <c r="U38" s="1814"/>
      <c r="V38" s="1982">
        <f t="shared" si="42"/>
        <v>14.2258064516129</v>
      </c>
      <c r="W38" s="2268">
        <f t="shared" si="109"/>
        <v>25.796427809680836</v>
      </c>
      <c r="X38" s="1984">
        <f t="shared" si="93"/>
        <v>11.570621358067935</v>
      </c>
      <c r="Y38" s="1764"/>
      <c r="Z38" s="1728">
        <f t="shared" ref="Z38:AF38" si="125">$J$38</f>
        <v>2.032258064516129</v>
      </c>
      <c r="AA38" s="1728">
        <f t="shared" si="125"/>
        <v>2.032258064516129</v>
      </c>
      <c r="AB38" s="1728">
        <f t="shared" si="125"/>
        <v>2.032258064516129</v>
      </c>
      <c r="AC38" s="1728">
        <f t="shared" si="125"/>
        <v>2.032258064516129</v>
      </c>
      <c r="AD38" s="1728">
        <f t="shared" si="125"/>
        <v>2.032258064516129</v>
      </c>
      <c r="AE38" s="1728">
        <f t="shared" si="125"/>
        <v>2.032258064516129</v>
      </c>
      <c r="AF38" s="1728">
        <f t="shared" si="125"/>
        <v>2.032258064516129</v>
      </c>
      <c r="AG38" s="1764"/>
      <c r="AH38" s="1982">
        <f t="shared" si="44"/>
        <v>14.2258064516129</v>
      </c>
      <c r="AI38" s="2268">
        <f t="shared" si="85"/>
        <v>29.295880512920274</v>
      </c>
      <c r="AJ38" s="1984">
        <f t="shared" si="45"/>
        <v>15.070074061307373</v>
      </c>
      <c r="AK38" s="1764"/>
      <c r="AL38" s="2268">
        <f t="shared" ref="AL38:AR38" si="126">$J$38</f>
        <v>2.032258064516129</v>
      </c>
      <c r="AM38" s="2268">
        <f t="shared" si="126"/>
        <v>2.032258064516129</v>
      </c>
      <c r="AN38" s="2268">
        <f t="shared" si="126"/>
        <v>2.032258064516129</v>
      </c>
      <c r="AO38" s="2268">
        <f t="shared" si="126"/>
        <v>2.032258064516129</v>
      </c>
      <c r="AP38" s="2268">
        <f t="shared" si="126"/>
        <v>2.032258064516129</v>
      </c>
      <c r="AQ38" s="2268">
        <f t="shared" si="126"/>
        <v>2.032258064516129</v>
      </c>
      <c r="AR38" s="2268">
        <f t="shared" si="126"/>
        <v>2.032258064516129</v>
      </c>
      <c r="AS38" s="2289"/>
      <c r="AT38" s="1982">
        <f t="shared" si="96"/>
        <v>14.2258064516129</v>
      </c>
      <c r="AU38" s="2268">
        <f t="shared" si="87"/>
        <v>35.961160381719168</v>
      </c>
      <c r="AV38" s="1984">
        <f t="shared" si="97"/>
        <v>21.735353930106267</v>
      </c>
      <c r="AW38" s="2289"/>
      <c r="AX38" s="2268">
        <f t="shared" ref="AX38:BD38" si="127">$J$38</f>
        <v>2.032258064516129</v>
      </c>
      <c r="AY38" s="2268">
        <f t="shared" si="127"/>
        <v>2.032258064516129</v>
      </c>
      <c r="AZ38" s="2268">
        <f t="shared" si="127"/>
        <v>2.032258064516129</v>
      </c>
      <c r="BA38" s="2268">
        <f t="shared" si="127"/>
        <v>2.032258064516129</v>
      </c>
      <c r="BB38" s="2268">
        <f t="shared" si="127"/>
        <v>2.032258064516129</v>
      </c>
      <c r="BC38" s="2268">
        <f t="shared" si="127"/>
        <v>2.032258064516129</v>
      </c>
      <c r="BD38" s="2268">
        <f t="shared" si="127"/>
        <v>2.032258064516129</v>
      </c>
      <c r="BE38" s="2289"/>
      <c r="BF38" s="1982">
        <f t="shared" si="99"/>
        <v>14.2258064516129</v>
      </c>
      <c r="BG38" s="2268">
        <f t="shared" si="89"/>
        <v>30.509211160850835</v>
      </c>
      <c r="BH38" s="1984">
        <f t="shared" si="100"/>
        <v>16.283404709237935</v>
      </c>
      <c r="BI38" s="1814"/>
      <c r="BJ38" s="1728">
        <f t="shared" ref="BJ38:BL38" si="128">$J$38</f>
        <v>2.032258064516129</v>
      </c>
      <c r="BK38" s="1728">
        <f t="shared" si="128"/>
        <v>2.032258064516129</v>
      </c>
      <c r="BL38" s="1728">
        <f t="shared" si="128"/>
        <v>2.032258064516129</v>
      </c>
      <c r="BM38" s="1814"/>
      <c r="BN38" s="1982">
        <f t="shared" si="79"/>
        <v>6.096774193548387</v>
      </c>
      <c r="BO38" s="2268">
        <f t="shared" si="91"/>
        <v>13.069428253147585</v>
      </c>
      <c r="BP38" s="1984">
        <f t="shared" ref="BP38:BP54" si="129">BO38-BN38</f>
        <v>6.9726540595991979</v>
      </c>
      <c r="BR38" s="1735">
        <v>0</v>
      </c>
      <c r="BS38" s="1768">
        <f t="shared" si="80"/>
        <v>0</v>
      </c>
      <c r="BT38" s="2766"/>
      <c r="BU38" s="1763">
        <f t="shared" si="81"/>
        <v>62.999999999999986</v>
      </c>
      <c r="BV38" s="1883">
        <f t="shared" si="82"/>
        <v>0.99999999999999978</v>
      </c>
      <c r="BW38" s="1830"/>
      <c r="BX38" s="1761"/>
      <c r="BZ38" s="2769"/>
      <c r="CA38" s="2009"/>
      <c r="CB38" s="1997"/>
      <c r="CC38" s="1861"/>
      <c r="CD38" s="1860"/>
      <c r="CE38" s="1860"/>
      <c r="CF38" s="1860"/>
      <c r="CG38" s="1860"/>
      <c r="CH38" s="1860"/>
      <c r="CI38" s="1998"/>
    </row>
    <row r="39" spans="1:87" s="1947" customFormat="1" x14ac:dyDescent="0.2">
      <c r="B39" s="2000">
        <v>21</v>
      </c>
      <c r="C39" s="2000" t="s">
        <v>247</v>
      </c>
      <c r="D39" s="2579"/>
      <c r="E39" s="2001">
        <v>58</v>
      </c>
      <c r="F39" s="2001">
        <v>0</v>
      </c>
      <c r="G39" s="2001">
        <v>0</v>
      </c>
      <c r="H39" s="2001">
        <v>0</v>
      </c>
      <c r="I39" s="2001">
        <v>0</v>
      </c>
      <c r="J39" s="2001">
        <f t="shared" si="72"/>
        <v>1.8709677419354838</v>
      </c>
      <c r="K39" s="2584">
        <f t="shared" si="73"/>
        <v>1.8138978350191119E-2</v>
      </c>
      <c r="L39" s="2003"/>
      <c r="M39" s="1950"/>
      <c r="N39" s="2001">
        <f t="shared" ref="N39:T39" si="130">$J$39</f>
        <v>1.8709677419354838</v>
      </c>
      <c r="O39" s="2001">
        <f t="shared" si="130"/>
        <v>1.8709677419354838</v>
      </c>
      <c r="P39" s="2001">
        <f t="shared" si="130"/>
        <v>1.8709677419354838</v>
      </c>
      <c r="Q39" s="2001">
        <f t="shared" si="130"/>
        <v>1.8709677419354838</v>
      </c>
      <c r="R39" s="2001">
        <f t="shared" si="130"/>
        <v>1.8709677419354838</v>
      </c>
      <c r="S39" s="2001">
        <f t="shared" si="130"/>
        <v>1.8709677419354838</v>
      </c>
      <c r="T39" s="2001">
        <f t="shared" si="130"/>
        <v>1.8709677419354838</v>
      </c>
      <c r="U39" s="1951"/>
      <c r="V39" s="2004">
        <f t="shared" si="42"/>
        <v>13.096774193548386</v>
      </c>
      <c r="W39" s="2005">
        <f t="shared" si="109"/>
        <v>23.749092269229976</v>
      </c>
      <c r="X39" s="2006">
        <f t="shared" si="93"/>
        <v>10.65231807568159</v>
      </c>
      <c r="Y39" s="1955"/>
      <c r="Z39" s="2001">
        <f t="shared" ref="Z39:AF39" si="131">$J$39</f>
        <v>1.8709677419354838</v>
      </c>
      <c r="AA39" s="2001">
        <f t="shared" si="131"/>
        <v>1.8709677419354838</v>
      </c>
      <c r="AB39" s="2001">
        <f t="shared" si="131"/>
        <v>1.8709677419354838</v>
      </c>
      <c r="AC39" s="2001">
        <f t="shared" si="131"/>
        <v>1.8709677419354838</v>
      </c>
      <c r="AD39" s="2001">
        <f t="shared" si="131"/>
        <v>1.8709677419354838</v>
      </c>
      <c r="AE39" s="2001">
        <f t="shared" si="131"/>
        <v>1.8709677419354838</v>
      </c>
      <c r="AF39" s="2001">
        <f t="shared" si="131"/>
        <v>1.8709677419354838</v>
      </c>
      <c r="AG39" s="1955"/>
      <c r="AH39" s="2004">
        <f t="shared" si="44"/>
        <v>13.096774193548386</v>
      </c>
      <c r="AI39" s="2005">
        <f t="shared" si="85"/>
        <v>26.970810630942477</v>
      </c>
      <c r="AJ39" s="2006">
        <f t="shared" si="45"/>
        <v>13.874036437394091</v>
      </c>
      <c r="AK39" s="1955"/>
      <c r="AL39" s="2005">
        <f t="shared" ref="AL39:AR39" si="132">$J$39</f>
        <v>1.8709677419354838</v>
      </c>
      <c r="AM39" s="2005">
        <f t="shared" si="132"/>
        <v>1.8709677419354838</v>
      </c>
      <c r="AN39" s="2005">
        <f t="shared" si="132"/>
        <v>1.8709677419354838</v>
      </c>
      <c r="AO39" s="2005">
        <f t="shared" si="132"/>
        <v>1.8709677419354838</v>
      </c>
      <c r="AP39" s="2005">
        <f t="shared" si="132"/>
        <v>1.8709677419354838</v>
      </c>
      <c r="AQ39" s="2005">
        <f t="shared" si="132"/>
        <v>1.8709677419354838</v>
      </c>
      <c r="AR39" s="2005">
        <f t="shared" si="132"/>
        <v>1.8709677419354838</v>
      </c>
      <c r="AS39" s="2299"/>
      <c r="AT39" s="2004">
        <f t="shared" si="96"/>
        <v>13.096774193548386</v>
      </c>
      <c r="AU39" s="2005">
        <f t="shared" si="87"/>
        <v>33.107100033963675</v>
      </c>
      <c r="AV39" s="2006">
        <f t="shared" si="97"/>
        <v>20.010325840415291</v>
      </c>
      <c r="AW39" s="2299"/>
      <c r="AX39" s="2005">
        <f t="shared" ref="AX39:BD39" si="133">$J$39</f>
        <v>1.8709677419354838</v>
      </c>
      <c r="AY39" s="2005">
        <f t="shared" si="133"/>
        <v>1.8709677419354838</v>
      </c>
      <c r="AZ39" s="2005">
        <f t="shared" si="133"/>
        <v>1.8709677419354838</v>
      </c>
      <c r="BA39" s="2005">
        <f t="shared" si="133"/>
        <v>1.8709677419354838</v>
      </c>
      <c r="BB39" s="2005">
        <f t="shared" si="133"/>
        <v>1.8709677419354838</v>
      </c>
      <c r="BC39" s="2005">
        <f t="shared" si="133"/>
        <v>1.8709677419354838</v>
      </c>
      <c r="BD39" s="2005">
        <f t="shared" si="133"/>
        <v>1.8709677419354838</v>
      </c>
      <c r="BE39" s="2299"/>
      <c r="BF39" s="2004">
        <f t="shared" si="99"/>
        <v>13.096774193548386</v>
      </c>
      <c r="BG39" s="2005">
        <f t="shared" si="89"/>
        <v>28.087845195703945</v>
      </c>
      <c r="BH39" s="2006">
        <f t="shared" si="100"/>
        <v>14.991071002155559</v>
      </c>
      <c r="BI39" s="1951"/>
      <c r="BJ39" s="2001">
        <f t="shared" ref="BJ39:BL39" si="134">$J$39</f>
        <v>1.8709677419354838</v>
      </c>
      <c r="BK39" s="2001">
        <f t="shared" si="134"/>
        <v>1.8709677419354838</v>
      </c>
      <c r="BL39" s="2001">
        <f t="shared" si="134"/>
        <v>1.8709677419354838</v>
      </c>
      <c r="BM39" s="1951"/>
      <c r="BN39" s="2004">
        <f t="shared" si="79"/>
        <v>5.6129032258064511</v>
      </c>
      <c r="BO39" s="2005">
        <f t="shared" si="91"/>
        <v>12.032172042580317</v>
      </c>
      <c r="BP39" s="2006">
        <f t="shared" si="129"/>
        <v>6.4192688167738661</v>
      </c>
      <c r="BR39" s="2007">
        <v>0</v>
      </c>
      <c r="BS39" s="2008">
        <f t="shared" si="80"/>
        <v>0</v>
      </c>
      <c r="BT39" s="1959"/>
      <c r="BU39" s="1901">
        <f t="shared" si="81"/>
        <v>57.999999999999993</v>
      </c>
      <c r="BV39" s="1902">
        <f t="shared" si="82"/>
        <v>0.99999999999999989</v>
      </c>
      <c r="BW39" s="1962"/>
      <c r="BX39" s="1905"/>
      <c r="BZ39" s="2767"/>
      <c r="CA39" s="2488"/>
      <c r="CD39" s="1946"/>
      <c r="CE39" s="1946"/>
      <c r="CF39" s="1946"/>
      <c r="CG39" s="1946"/>
      <c r="CH39" s="1946"/>
      <c r="CI39" s="2012"/>
    </row>
    <row r="40" spans="1:87" s="1726" customFormat="1" x14ac:dyDescent="0.2">
      <c r="A40" s="1756"/>
      <c r="B40" s="1963">
        <v>22</v>
      </c>
      <c r="C40" s="1963" t="s">
        <v>205</v>
      </c>
      <c r="D40" s="2578"/>
      <c r="E40" s="1728">
        <v>41.5</v>
      </c>
      <c r="F40" s="1728"/>
      <c r="G40" s="1728"/>
      <c r="H40" s="1728"/>
      <c r="I40" s="1728"/>
      <c r="J40" s="1728">
        <f t="shared" si="72"/>
        <v>1.3387096774193548</v>
      </c>
      <c r="K40" s="1729">
        <f t="shared" si="73"/>
        <v>1.2978751750567783E-2</v>
      </c>
      <c r="L40" s="1931"/>
      <c r="M40" s="1877"/>
      <c r="N40" s="1728">
        <f t="shared" ref="N40:T40" si="135">$J$40</f>
        <v>1.3387096774193548</v>
      </c>
      <c r="O40" s="1728">
        <f t="shared" si="135"/>
        <v>1.3387096774193548</v>
      </c>
      <c r="P40" s="1728">
        <f t="shared" si="135"/>
        <v>1.3387096774193548</v>
      </c>
      <c r="Q40" s="1728">
        <f t="shared" si="135"/>
        <v>1.3387096774193548</v>
      </c>
      <c r="R40" s="1728">
        <f t="shared" si="135"/>
        <v>1.3387096774193548</v>
      </c>
      <c r="S40" s="1728">
        <f t="shared" si="135"/>
        <v>1.3387096774193548</v>
      </c>
      <c r="T40" s="1728">
        <f t="shared" si="135"/>
        <v>1.3387096774193548</v>
      </c>
      <c r="U40" s="2770"/>
      <c r="V40" s="1982">
        <f t="shared" si="42"/>
        <v>9.3709677419354822</v>
      </c>
      <c r="W40" s="2268">
        <f t="shared" si="109"/>
        <v>16.992884985742137</v>
      </c>
      <c r="X40" s="1984">
        <f t="shared" si="93"/>
        <v>7.6219172438066547</v>
      </c>
      <c r="Y40" s="1881"/>
      <c r="Z40" s="1728">
        <f t="shared" ref="Z40:AF40" si="136">$J$40</f>
        <v>1.3387096774193548</v>
      </c>
      <c r="AA40" s="1728">
        <f t="shared" si="136"/>
        <v>1.3387096774193548</v>
      </c>
      <c r="AB40" s="1728">
        <f t="shared" si="136"/>
        <v>1.3387096774193548</v>
      </c>
      <c r="AC40" s="1728">
        <f t="shared" si="136"/>
        <v>1.3387096774193548</v>
      </c>
      <c r="AD40" s="1728">
        <f t="shared" si="136"/>
        <v>1.3387096774193548</v>
      </c>
      <c r="AE40" s="1728">
        <f t="shared" si="136"/>
        <v>1.3387096774193548</v>
      </c>
      <c r="AF40" s="1728">
        <f t="shared" si="136"/>
        <v>1.3387096774193548</v>
      </c>
      <c r="AG40" s="1881"/>
      <c r="AH40" s="1982">
        <f t="shared" si="44"/>
        <v>9.3709677419354822</v>
      </c>
      <c r="AI40" s="2268">
        <f t="shared" si="85"/>
        <v>19.298080020415739</v>
      </c>
      <c r="AJ40" s="1984">
        <f t="shared" si="45"/>
        <v>9.9271122784802568</v>
      </c>
      <c r="AK40" s="1881"/>
      <c r="AL40" s="2268">
        <f t="shared" ref="AL40:AR40" si="137">$J$40</f>
        <v>1.3387096774193548</v>
      </c>
      <c r="AM40" s="2268">
        <f t="shared" si="137"/>
        <v>1.3387096774193548</v>
      </c>
      <c r="AN40" s="2268">
        <f t="shared" si="137"/>
        <v>1.3387096774193548</v>
      </c>
      <c r="AO40" s="2268">
        <f t="shared" si="137"/>
        <v>1.3387096774193548</v>
      </c>
      <c r="AP40" s="2268">
        <f t="shared" si="137"/>
        <v>1.3387096774193548</v>
      </c>
      <c r="AQ40" s="2268">
        <f t="shared" si="137"/>
        <v>1.3387096774193548</v>
      </c>
      <c r="AR40" s="2268">
        <f t="shared" si="137"/>
        <v>1.3387096774193548</v>
      </c>
      <c r="AS40" s="2293"/>
      <c r="AT40" s="1982">
        <f t="shared" si="96"/>
        <v>9.3709677419354822</v>
      </c>
      <c r="AU40" s="2268">
        <f t="shared" si="87"/>
        <v>23.688700886370562</v>
      </c>
      <c r="AV40" s="1984">
        <f t="shared" si="97"/>
        <v>14.317733144435079</v>
      </c>
      <c r="AW40" s="2293"/>
      <c r="AX40" s="2268">
        <f t="shared" ref="AX40:BD40" si="138">$J$40</f>
        <v>1.3387096774193548</v>
      </c>
      <c r="AY40" s="2268">
        <f t="shared" si="138"/>
        <v>1.3387096774193548</v>
      </c>
      <c r="AZ40" s="2268">
        <f t="shared" si="138"/>
        <v>1.3387096774193548</v>
      </c>
      <c r="BA40" s="2268">
        <f t="shared" si="138"/>
        <v>1.3387096774193548</v>
      </c>
      <c r="BB40" s="2268">
        <f t="shared" si="138"/>
        <v>1.3387096774193548</v>
      </c>
      <c r="BC40" s="2268">
        <f t="shared" si="138"/>
        <v>1.3387096774193548</v>
      </c>
      <c r="BD40" s="2268">
        <f t="shared" si="138"/>
        <v>1.3387096774193548</v>
      </c>
      <c r="BE40" s="2293"/>
      <c r="BF40" s="1982">
        <f t="shared" si="99"/>
        <v>9.3709677419354822</v>
      </c>
      <c r="BG40" s="2268">
        <f t="shared" si="89"/>
        <v>20.097337510719203</v>
      </c>
      <c r="BH40" s="1984">
        <f t="shared" si="100"/>
        <v>10.726369768783721</v>
      </c>
      <c r="BI40" s="2770"/>
      <c r="BJ40" s="1728">
        <f t="shared" ref="BJ40:BL40" si="139">$J$40</f>
        <v>1.3387096774193548</v>
      </c>
      <c r="BK40" s="1728">
        <f t="shared" si="139"/>
        <v>1.3387096774193548</v>
      </c>
      <c r="BL40" s="1728">
        <f t="shared" si="139"/>
        <v>1.3387096774193548</v>
      </c>
      <c r="BM40" s="2770"/>
      <c r="BN40" s="1982">
        <f t="shared" si="79"/>
        <v>4.0161290322580641</v>
      </c>
      <c r="BO40" s="2268">
        <f t="shared" si="91"/>
        <v>8.6092265477083298</v>
      </c>
      <c r="BP40" s="1984">
        <f t="shared" si="129"/>
        <v>4.5930975154502658</v>
      </c>
      <c r="BR40" s="1732">
        <v>0</v>
      </c>
      <c r="BS40" s="1882">
        <f t="shared" si="80"/>
        <v>0</v>
      </c>
      <c r="BT40" s="1740"/>
      <c r="BU40" s="1734">
        <f t="shared" si="81"/>
        <v>41.499999999999993</v>
      </c>
      <c r="BV40" s="1918">
        <f t="shared" si="82"/>
        <v>0.99999999999999978</v>
      </c>
      <c r="BW40" s="1997"/>
      <c r="BX40" s="2769"/>
      <c r="BZ40" s="2014"/>
      <c r="CA40" s="2637"/>
      <c r="CB40" s="1962"/>
      <c r="CC40" s="2638"/>
      <c r="CD40" s="1810"/>
      <c r="CE40" s="1810"/>
      <c r="CF40" s="1810"/>
      <c r="CG40" s="1810"/>
      <c r="CH40" s="1810"/>
      <c r="CI40" s="1986"/>
    </row>
    <row r="41" spans="1:87" s="1885" customFormat="1" x14ac:dyDescent="0.2">
      <c r="A41" s="1947"/>
      <c r="B41" s="2000">
        <v>23</v>
      </c>
      <c r="C41" s="2000" t="s">
        <v>235</v>
      </c>
      <c r="D41" s="2579"/>
      <c r="E41" s="2001">
        <v>35</v>
      </c>
      <c r="F41" s="2001">
        <v>10</v>
      </c>
      <c r="G41" s="2001">
        <v>6.666666666666667</v>
      </c>
      <c r="H41" s="2001">
        <v>5</v>
      </c>
      <c r="I41" s="2001">
        <v>4</v>
      </c>
      <c r="J41" s="2001">
        <f t="shared" si="72"/>
        <v>1.1290322580645162</v>
      </c>
      <c r="K41" s="2584">
        <f t="shared" si="73"/>
        <v>1.0945935211322226E-2</v>
      </c>
      <c r="L41" s="1891"/>
      <c r="M41" s="1950"/>
      <c r="N41" s="2001">
        <f t="shared" ref="N41:T41" si="140">$J$41</f>
        <v>1.1290322580645162</v>
      </c>
      <c r="O41" s="2001">
        <f t="shared" si="140"/>
        <v>1.1290322580645162</v>
      </c>
      <c r="P41" s="2001">
        <f t="shared" si="140"/>
        <v>1.1290322580645162</v>
      </c>
      <c r="Q41" s="2001">
        <f t="shared" si="140"/>
        <v>1.1290322580645162</v>
      </c>
      <c r="R41" s="2001">
        <f t="shared" si="140"/>
        <v>1.1290322580645162</v>
      </c>
      <c r="S41" s="2001">
        <f t="shared" si="140"/>
        <v>1.1290322580645162</v>
      </c>
      <c r="T41" s="2001">
        <f t="shared" si="140"/>
        <v>1.1290322580645162</v>
      </c>
      <c r="U41" s="2768"/>
      <c r="V41" s="2004">
        <f t="shared" si="42"/>
        <v>7.903225806451613</v>
      </c>
      <c r="W41" s="2005">
        <f t="shared" si="109"/>
        <v>14.331348783156018</v>
      </c>
      <c r="X41" s="2006">
        <f t="shared" si="93"/>
        <v>6.4281229767044055</v>
      </c>
      <c r="Y41" s="1896"/>
      <c r="Z41" s="2001">
        <f t="shared" ref="Z41:AF41" si="141">$J$41</f>
        <v>1.1290322580645162</v>
      </c>
      <c r="AA41" s="2001">
        <f t="shared" si="141"/>
        <v>1.1290322580645162</v>
      </c>
      <c r="AB41" s="2001">
        <f t="shared" si="141"/>
        <v>1.1290322580645162</v>
      </c>
      <c r="AC41" s="2001">
        <f t="shared" si="141"/>
        <v>1.1290322580645162</v>
      </c>
      <c r="AD41" s="2001">
        <f t="shared" si="141"/>
        <v>1.1290322580645162</v>
      </c>
      <c r="AE41" s="2001">
        <f t="shared" si="141"/>
        <v>1.1290322580645162</v>
      </c>
      <c r="AF41" s="2001">
        <f t="shared" si="141"/>
        <v>1.1290322580645162</v>
      </c>
      <c r="AG41" s="1896"/>
      <c r="AH41" s="2004">
        <f t="shared" si="44"/>
        <v>7.903225806451613</v>
      </c>
      <c r="AI41" s="2005">
        <f t="shared" si="85"/>
        <v>16.275489173844598</v>
      </c>
      <c r="AJ41" s="2006">
        <f t="shared" si="45"/>
        <v>8.3722633673929856</v>
      </c>
      <c r="AK41" s="1896"/>
      <c r="AL41" s="2005">
        <f t="shared" ref="AL41:AR41" si="142">$J$41</f>
        <v>1.1290322580645162</v>
      </c>
      <c r="AM41" s="2005">
        <f t="shared" si="142"/>
        <v>1.1290322580645162</v>
      </c>
      <c r="AN41" s="2005">
        <f t="shared" si="142"/>
        <v>1.1290322580645162</v>
      </c>
      <c r="AO41" s="2005">
        <f t="shared" si="142"/>
        <v>1.1290322580645162</v>
      </c>
      <c r="AP41" s="2005">
        <f t="shared" si="142"/>
        <v>1.1290322580645162</v>
      </c>
      <c r="AQ41" s="2005">
        <f t="shared" si="142"/>
        <v>1.1290322580645162</v>
      </c>
      <c r="AR41" s="2005">
        <f t="shared" si="142"/>
        <v>1.1290322580645162</v>
      </c>
      <c r="AS41" s="2295"/>
      <c r="AT41" s="2004">
        <f t="shared" si="96"/>
        <v>7.903225806451613</v>
      </c>
      <c r="AU41" s="2005">
        <f t="shared" si="87"/>
        <v>19.978422434288422</v>
      </c>
      <c r="AV41" s="2006">
        <f t="shared" si="97"/>
        <v>12.07519662783681</v>
      </c>
      <c r="AW41" s="2295"/>
      <c r="AX41" s="2005">
        <f t="shared" ref="AX41:BD41" si="143">$J$41</f>
        <v>1.1290322580645162</v>
      </c>
      <c r="AY41" s="2005">
        <f t="shared" si="143"/>
        <v>1.1290322580645162</v>
      </c>
      <c r="AZ41" s="2005">
        <f t="shared" si="143"/>
        <v>1.1290322580645162</v>
      </c>
      <c r="BA41" s="2005">
        <f t="shared" si="143"/>
        <v>1.1290322580645162</v>
      </c>
      <c r="BB41" s="2005">
        <f t="shared" si="143"/>
        <v>1.1290322580645162</v>
      </c>
      <c r="BC41" s="2005">
        <f t="shared" si="143"/>
        <v>1.1290322580645162</v>
      </c>
      <c r="BD41" s="2005">
        <f t="shared" si="143"/>
        <v>1.1290322580645162</v>
      </c>
      <c r="BE41" s="2295"/>
      <c r="BF41" s="2004">
        <f t="shared" si="99"/>
        <v>7.903225806451613</v>
      </c>
      <c r="BG41" s="2005">
        <f t="shared" si="89"/>
        <v>16.949561756028238</v>
      </c>
      <c r="BH41" s="2006">
        <f t="shared" si="100"/>
        <v>9.0463359495766262</v>
      </c>
      <c r="BI41" s="2768"/>
      <c r="BJ41" s="2001">
        <f t="shared" ref="BJ41:BL41" si="144">$J$41</f>
        <v>1.1290322580645162</v>
      </c>
      <c r="BK41" s="2001">
        <f t="shared" si="144"/>
        <v>1.1290322580645162</v>
      </c>
      <c r="BL41" s="2001">
        <f t="shared" si="144"/>
        <v>1.1290322580645162</v>
      </c>
      <c r="BM41" s="2768"/>
      <c r="BN41" s="2004">
        <f t="shared" si="79"/>
        <v>3.3870967741935489</v>
      </c>
      <c r="BO41" s="2005">
        <f t="shared" si="91"/>
        <v>7.2607934739708799</v>
      </c>
      <c r="BP41" s="2006">
        <f t="shared" si="129"/>
        <v>3.873696699777331</v>
      </c>
      <c r="BR41" s="1898">
        <v>0</v>
      </c>
      <c r="BS41" s="1899">
        <f t="shared" si="80"/>
        <v>0</v>
      </c>
      <c r="BT41" s="1900"/>
      <c r="BU41" s="2244">
        <f t="shared" si="81"/>
        <v>35</v>
      </c>
      <c r="BV41" s="2387">
        <f t="shared" si="82"/>
        <v>1</v>
      </c>
      <c r="BW41" s="2010"/>
      <c r="BX41" s="2767"/>
      <c r="BZ41" s="2767"/>
      <c r="CA41" s="2036"/>
      <c r="CB41" s="1997"/>
      <c r="CC41" s="2037"/>
      <c r="CD41" s="1906"/>
      <c r="CE41" s="1906"/>
      <c r="CF41" s="1906"/>
      <c r="CG41" s="1906"/>
      <c r="CH41" s="1906"/>
      <c r="CI41" s="2386"/>
    </row>
    <row r="42" spans="1:87" s="1726" customFormat="1" x14ac:dyDescent="0.2">
      <c r="B42" s="1963">
        <v>24</v>
      </c>
      <c r="C42" s="1963" t="s">
        <v>208</v>
      </c>
      <c r="D42" s="2578"/>
      <c r="E42" s="1728">
        <v>34.5</v>
      </c>
      <c r="F42" s="1728"/>
      <c r="G42" s="1728"/>
      <c r="H42" s="1728"/>
      <c r="I42" s="1728"/>
      <c r="J42" s="1728">
        <f t="shared" si="72"/>
        <v>1.1129032258064515</v>
      </c>
      <c r="K42" s="1729">
        <f t="shared" si="73"/>
        <v>1.0789564708303338E-2</v>
      </c>
      <c r="L42" s="1931"/>
      <c r="M42" s="1924"/>
      <c r="N42" s="1728">
        <f t="shared" ref="N42:T42" si="145">$J$42</f>
        <v>1.1129032258064515</v>
      </c>
      <c r="O42" s="1728">
        <f t="shared" si="145"/>
        <v>1.1129032258064515</v>
      </c>
      <c r="P42" s="1728">
        <f t="shared" si="145"/>
        <v>1.1129032258064515</v>
      </c>
      <c r="Q42" s="1728">
        <f t="shared" si="145"/>
        <v>1.1129032258064515</v>
      </c>
      <c r="R42" s="1728">
        <f t="shared" si="145"/>
        <v>1.1129032258064515</v>
      </c>
      <c r="S42" s="1728">
        <f t="shared" si="145"/>
        <v>1.1129032258064515</v>
      </c>
      <c r="T42" s="1728">
        <f t="shared" si="145"/>
        <v>1.1129032258064515</v>
      </c>
      <c r="U42" s="2770"/>
      <c r="V42" s="1982">
        <f t="shared" si="42"/>
        <v>7.7903225806451619</v>
      </c>
      <c r="W42" s="2268">
        <f t="shared" si="109"/>
        <v>14.126615229110934</v>
      </c>
      <c r="X42" s="1984">
        <f>W42-V42</f>
        <v>6.336292648465772</v>
      </c>
      <c r="Y42" s="1881"/>
      <c r="Z42" s="1728">
        <f t="shared" ref="Z42:AF42" si="146">$J$42</f>
        <v>1.1129032258064515</v>
      </c>
      <c r="AA42" s="1728">
        <f t="shared" si="146"/>
        <v>1.1129032258064515</v>
      </c>
      <c r="AB42" s="1728">
        <f t="shared" si="146"/>
        <v>1.1129032258064515</v>
      </c>
      <c r="AC42" s="1728">
        <f t="shared" si="146"/>
        <v>1.1129032258064515</v>
      </c>
      <c r="AD42" s="1728">
        <f t="shared" si="146"/>
        <v>1.1129032258064515</v>
      </c>
      <c r="AE42" s="1728">
        <f t="shared" si="146"/>
        <v>1.1129032258064515</v>
      </c>
      <c r="AF42" s="1728">
        <f t="shared" si="146"/>
        <v>1.1129032258064515</v>
      </c>
      <c r="AG42" s="1881"/>
      <c r="AH42" s="1982">
        <f t="shared" si="44"/>
        <v>7.7903225806451619</v>
      </c>
      <c r="AI42" s="2268">
        <f t="shared" si="85"/>
        <v>16.042982185646817</v>
      </c>
      <c r="AJ42" s="1984">
        <f t="shared" si="45"/>
        <v>8.2526596050016554</v>
      </c>
      <c r="AK42" s="1881"/>
      <c r="AL42" s="2268">
        <f t="shared" ref="AL42:AR42" si="147">$J$42</f>
        <v>1.1129032258064515</v>
      </c>
      <c r="AM42" s="2268">
        <f t="shared" si="147"/>
        <v>1.1129032258064515</v>
      </c>
      <c r="AN42" s="2268">
        <f t="shared" si="147"/>
        <v>1.1129032258064515</v>
      </c>
      <c r="AO42" s="2268">
        <f t="shared" si="147"/>
        <v>1.1129032258064515</v>
      </c>
      <c r="AP42" s="2268">
        <f t="shared" si="147"/>
        <v>1.1129032258064515</v>
      </c>
      <c r="AQ42" s="2268">
        <f t="shared" si="147"/>
        <v>1.1129032258064515</v>
      </c>
      <c r="AR42" s="2268">
        <f t="shared" si="147"/>
        <v>1.1129032258064515</v>
      </c>
      <c r="AS42" s="2293"/>
      <c r="AT42" s="1982">
        <f t="shared" si="96"/>
        <v>7.7903225806451619</v>
      </c>
      <c r="AU42" s="2268">
        <f t="shared" si="87"/>
        <v>19.693016399512874</v>
      </c>
      <c r="AV42" s="1984">
        <f t="shared" si="97"/>
        <v>11.902693818867712</v>
      </c>
      <c r="AW42" s="2293"/>
      <c r="AX42" s="2268">
        <f t="shared" ref="AX42:BD42" si="148">$J$42</f>
        <v>1.1129032258064515</v>
      </c>
      <c r="AY42" s="2268">
        <f t="shared" si="148"/>
        <v>1.1129032258064515</v>
      </c>
      <c r="AZ42" s="2268">
        <f t="shared" si="148"/>
        <v>1.1129032258064515</v>
      </c>
      <c r="BA42" s="2268">
        <f t="shared" si="148"/>
        <v>1.1129032258064515</v>
      </c>
      <c r="BB42" s="2268">
        <f t="shared" si="148"/>
        <v>1.1129032258064515</v>
      </c>
      <c r="BC42" s="2268">
        <f t="shared" si="148"/>
        <v>1.1129032258064515</v>
      </c>
      <c r="BD42" s="2268">
        <f t="shared" si="148"/>
        <v>1.1129032258064515</v>
      </c>
      <c r="BE42" s="2293"/>
      <c r="BF42" s="1982">
        <f t="shared" si="99"/>
        <v>7.7903225806451619</v>
      </c>
      <c r="BG42" s="2268">
        <f t="shared" si="89"/>
        <v>16.707425159513551</v>
      </c>
      <c r="BH42" s="1984">
        <f t="shared" si="100"/>
        <v>8.9171025788683895</v>
      </c>
      <c r="BI42" s="2770"/>
      <c r="BJ42" s="1728">
        <f t="shared" ref="BJ42:BL42" si="149">$J$42</f>
        <v>1.1129032258064515</v>
      </c>
      <c r="BK42" s="1728">
        <f t="shared" si="149"/>
        <v>1.1129032258064515</v>
      </c>
      <c r="BL42" s="1728">
        <f t="shared" si="149"/>
        <v>1.1129032258064515</v>
      </c>
      <c r="BM42" s="2770"/>
      <c r="BN42" s="1982">
        <f t="shared" si="79"/>
        <v>3.3387096774193545</v>
      </c>
      <c r="BO42" s="2268">
        <f t="shared" si="91"/>
        <v>7.1570678529141531</v>
      </c>
      <c r="BP42" s="1984">
        <f t="shared" si="129"/>
        <v>3.8183581754947986</v>
      </c>
      <c r="BR42" s="1732">
        <v>0</v>
      </c>
      <c r="BS42" s="1882">
        <f t="shared" si="80"/>
        <v>0</v>
      </c>
      <c r="BT42" s="1740"/>
      <c r="BU42" s="1734">
        <f t="shared" si="81"/>
        <v>34.5</v>
      </c>
      <c r="BV42" s="1918">
        <f t="shared" si="82"/>
        <v>1</v>
      </c>
      <c r="BW42" s="1997"/>
      <c r="BX42" s="2769"/>
      <c r="BZ42" s="2769"/>
      <c r="CA42" s="2038"/>
      <c r="CB42" s="1994"/>
      <c r="CC42" s="1994"/>
      <c r="CD42" s="1810"/>
      <c r="CE42" s="1810"/>
      <c r="CF42" s="1810"/>
      <c r="CG42" s="1810"/>
      <c r="CH42" s="1810"/>
      <c r="CI42" s="1986"/>
    </row>
    <row r="43" spans="1:87" s="1885" customFormat="1" x14ac:dyDescent="0.2">
      <c r="B43" s="2580">
        <v>25</v>
      </c>
      <c r="C43" s="2580" t="s">
        <v>202</v>
      </c>
      <c r="D43" s="2596"/>
      <c r="E43" s="2597">
        <v>30</v>
      </c>
      <c r="F43" s="2597"/>
      <c r="G43" s="2597"/>
      <c r="H43" s="2597"/>
      <c r="I43" s="2597"/>
      <c r="J43" s="2597">
        <f t="shared" si="72"/>
        <v>0.967741935483871</v>
      </c>
      <c r="K43" s="2598">
        <f t="shared" si="73"/>
        <v>9.3822301811333376E-3</v>
      </c>
      <c r="L43" s="2003"/>
      <c r="M43" s="1950"/>
      <c r="N43" s="2001">
        <f t="shared" ref="N43:T43" si="150">$J$43</f>
        <v>0.967741935483871</v>
      </c>
      <c r="O43" s="2001">
        <f t="shared" si="150"/>
        <v>0.967741935483871</v>
      </c>
      <c r="P43" s="2001">
        <f t="shared" si="150"/>
        <v>0.967741935483871</v>
      </c>
      <c r="Q43" s="2001">
        <f t="shared" si="150"/>
        <v>0.967741935483871</v>
      </c>
      <c r="R43" s="2001">
        <f t="shared" si="150"/>
        <v>0.967741935483871</v>
      </c>
      <c r="S43" s="2001">
        <f t="shared" si="150"/>
        <v>0.967741935483871</v>
      </c>
      <c r="T43" s="2001">
        <f t="shared" si="150"/>
        <v>0.967741935483871</v>
      </c>
      <c r="U43" s="2768"/>
      <c r="V43" s="2481">
        <f t="shared" si="42"/>
        <v>6.774193548387097</v>
      </c>
      <c r="W43" s="2482">
        <f t="shared" si="109"/>
        <v>12.284013242705161</v>
      </c>
      <c r="X43" s="2483">
        <f t="shared" si="93"/>
        <v>5.5098196943180637</v>
      </c>
      <c r="Y43" s="1896"/>
      <c r="Z43" s="2001">
        <f t="shared" ref="Z43:AF43" si="151">$J$43</f>
        <v>0.967741935483871</v>
      </c>
      <c r="AA43" s="2001">
        <f t="shared" si="151"/>
        <v>0.967741935483871</v>
      </c>
      <c r="AB43" s="2001">
        <f t="shared" si="151"/>
        <v>0.967741935483871</v>
      </c>
      <c r="AC43" s="2001">
        <f t="shared" si="151"/>
        <v>0.967741935483871</v>
      </c>
      <c r="AD43" s="2001">
        <f t="shared" si="151"/>
        <v>0.967741935483871</v>
      </c>
      <c r="AE43" s="2001">
        <f t="shared" si="151"/>
        <v>0.967741935483871</v>
      </c>
      <c r="AF43" s="2001">
        <f t="shared" si="151"/>
        <v>0.967741935483871</v>
      </c>
      <c r="AG43" s="1896"/>
      <c r="AH43" s="2481">
        <f t="shared" si="44"/>
        <v>6.774193548387097</v>
      </c>
      <c r="AI43" s="2482">
        <f t="shared" si="85"/>
        <v>13.950419291866799</v>
      </c>
      <c r="AJ43" s="2483">
        <f t="shared" si="45"/>
        <v>7.1762257434797023</v>
      </c>
      <c r="AK43" s="1896"/>
      <c r="AL43" s="2005">
        <f t="shared" ref="AL43:AR43" si="152">$J$43</f>
        <v>0.967741935483871</v>
      </c>
      <c r="AM43" s="2005">
        <f t="shared" si="152"/>
        <v>0.967741935483871</v>
      </c>
      <c r="AN43" s="2005">
        <f t="shared" si="152"/>
        <v>0.967741935483871</v>
      </c>
      <c r="AO43" s="2005">
        <f t="shared" si="152"/>
        <v>0.967741935483871</v>
      </c>
      <c r="AP43" s="2005">
        <f t="shared" si="152"/>
        <v>0.967741935483871</v>
      </c>
      <c r="AQ43" s="2005">
        <f t="shared" si="152"/>
        <v>0.967741935483871</v>
      </c>
      <c r="AR43" s="2005">
        <f t="shared" si="152"/>
        <v>0.967741935483871</v>
      </c>
      <c r="AS43" s="2295"/>
      <c r="AT43" s="2481">
        <f t="shared" si="96"/>
        <v>6.774193548387097</v>
      </c>
      <c r="AU43" s="2482">
        <f t="shared" si="87"/>
        <v>17.124362086532937</v>
      </c>
      <c r="AV43" s="2483">
        <f t="shared" si="97"/>
        <v>10.350168538145841</v>
      </c>
      <c r="AW43" s="2295"/>
      <c r="AX43" s="2005">
        <f t="shared" ref="AX43:BD43" si="153">$J$43</f>
        <v>0.967741935483871</v>
      </c>
      <c r="AY43" s="2005">
        <f t="shared" si="153"/>
        <v>0.967741935483871</v>
      </c>
      <c r="AZ43" s="2005">
        <f t="shared" si="153"/>
        <v>0.967741935483871</v>
      </c>
      <c r="BA43" s="2005">
        <f t="shared" si="153"/>
        <v>0.967741935483871</v>
      </c>
      <c r="BB43" s="2005">
        <f t="shared" si="153"/>
        <v>0.967741935483871</v>
      </c>
      <c r="BC43" s="2005">
        <f t="shared" si="153"/>
        <v>0.967741935483871</v>
      </c>
      <c r="BD43" s="2005">
        <f t="shared" si="153"/>
        <v>0.967741935483871</v>
      </c>
      <c r="BE43" s="2295"/>
      <c r="BF43" s="2481">
        <f t="shared" si="99"/>
        <v>6.774193548387097</v>
      </c>
      <c r="BG43" s="2482">
        <f t="shared" si="89"/>
        <v>14.528195790881352</v>
      </c>
      <c r="BH43" s="2483">
        <f t="shared" si="100"/>
        <v>7.7540022424942547</v>
      </c>
      <c r="BI43" s="2768"/>
      <c r="BJ43" s="2001">
        <f t="shared" ref="BJ43:BL43" si="154">$J$43</f>
        <v>0.967741935483871</v>
      </c>
      <c r="BK43" s="2001">
        <f t="shared" si="154"/>
        <v>0.967741935483871</v>
      </c>
      <c r="BL43" s="2001">
        <f t="shared" si="154"/>
        <v>0.967741935483871</v>
      </c>
      <c r="BM43" s="2768"/>
      <c r="BN43" s="2481">
        <f t="shared" si="79"/>
        <v>2.903225806451613</v>
      </c>
      <c r="BO43" s="2482">
        <f t="shared" si="91"/>
        <v>6.2235372634036121</v>
      </c>
      <c r="BP43" s="2483">
        <f t="shared" si="129"/>
        <v>3.3203114569519991</v>
      </c>
      <c r="BR43" s="1898">
        <v>0</v>
      </c>
      <c r="BS43" s="1899">
        <f t="shared" si="80"/>
        <v>0</v>
      </c>
      <c r="BT43" s="1900"/>
      <c r="BU43" s="2388">
        <f t="shared" si="81"/>
        <v>30</v>
      </c>
      <c r="BV43" s="2389">
        <f t="shared" si="82"/>
        <v>1</v>
      </c>
      <c r="BW43" s="2010"/>
      <c r="BX43" s="2767"/>
      <c r="BZ43" s="2767"/>
      <c r="CA43" s="2488"/>
      <c r="CB43" s="2010" t="s">
        <v>157</v>
      </c>
      <c r="CC43" s="2490">
        <f>BU1</f>
        <v>1</v>
      </c>
      <c r="CD43" s="1906"/>
      <c r="CE43" s="1906"/>
      <c r="CF43" s="1906"/>
      <c r="CG43" s="1906"/>
      <c r="CH43" s="1906"/>
      <c r="CI43" s="2386"/>
    </row>
    <row r="44" spans="1:87" s="1726" customFormat="1" x14ac:dyDescent="0.2">
      <c r="B44" s="1963">
        <v>26</v>
      </c>
      <c r="C44" s="1963" t="s">
        <v>199</v>
      </c>
      <c r="D44" s="2578"/>
      <c r="E44" s="1728">
        <v>30</v>
      </c>
      <c r="F44" s="1728">
        <v>0</v>
      </c>
      <c r="G44" s="1728">
        <v>0</v>
      </c>
      <c r="H44" s="1728">
        <v>0</v>
      </c>
      <c r="I44" s="1728">
        <v>0</v>
      </c>
      <c r="J44" s="1728">
        <f t="shared" si="72"/>
        <v>0.967741935483871</v>
      </c>
      <c r="K44" s="1729">
        <f t="shared" si="73"/>
        <v>9.3822301811333376E-3</v>
      </c>
      <c r="L44" s="1931"/>
      <c r="M44" s="1924"/>
      <c r="N44" s="1728">
        <f>$J$44</f>
        <v>0.967741935483871</v>
      </c>
      <c r="O44" s="1728">
        <f t="shared" ref="O44:T44" si="155">$J$44</f>
        <v>0.967741935483871</v>
      </c>
      <c r="P44" s="1728">
        <f t="shared" si="155"/>
        <v>0.967741935483871</v>
      </c>
      <c r="Q44" s="1728">
        <f t="shared" si="155"/>
        <v>0.967741935483871</v>
      </c>
      <c r="R44" s="1728">
        <f t="shared" si="155"/>
        <v>0.967741935483871</v>
      </c>
      <c r="S44" s="1728">
        <f t="shared" si="155"/>
        <v>0.967741935483871</v>
      </c>
      <c r="T44" s="1728">
        <f t="shared" si="155"/>
        <v>0.967741935483871</v>
      </c>
      <c r="U44" s="2770"/>
      <c r="V44" s="2016">
        <f t="shared" si="42"/>
        <v>6.774193548387097</v>
      </c>
      <c r="W44" s="2017">
        <f t="shared" si="109"/>
        <v>12.284013242705161</v>
      </c>
      <c r="X44" s="2018">
        <f t="shared" si="93"/>
        <v>5.5098196943180637</v>
      </c>
      <c r="Y44" s="1881"/>
      <c r="Z44" s="1728">
        <f t="shared" ref="Z44:AF44" si="156">$J$44</f>
        <v>0.967741935483871</v>
      </c>
      <c r="AA44" s="1728">
        <f t="shared" si="156"/>
        <v>0.967741935483871</v>
      </c>
      <c r="AB44" s="1728">
        <f t="shared" si="156"/>
        <v>0.967741935483871</v>
      </c>
      <c r="AC44" s="1728">
        <f t="shared" si="156"/>
        <v>0.967741935483871</v>
      </c>
      <c r="AD44" s="1728">
        <f t="shared" si="156"/>
        <v>0.967741935483871</v>
      </c>
      <c r="AE44" s="1728">
        <f t="shared" si="156"/>
        <v>0.967741935483871</v>
      </c>
      <c r="AF44" s="1728">
        <f t="shared" si="156"/>
        <v>0.967741935483871</v>
      </c>
      <c r="AG44" s="1881"/>
      <c r="AH44" s="2016">
        <f t="shared" si="44"/>
        <v>6.774193548387097</v>
      </c>
      <c r="AI44" s="2017">
        <f t="shared" si="85"/>
        <v>13.950419291866799</v>
      </c>
      <c r="AJ44" s="2018">
        <f t="shared" si="45"/>
        <v>7.1762257434797023</v>
      </c>
      <c r="AK44" s="1881"/>
      <c r="AL44" s="2268">
        <f t="shared" ref="AL44:AR44" si="157">$J$44</f>
        <v>0.967741935483871</v>
      </c>
      <c r="AM44" s="2268">
        <f t="shared" si="157"/>
        <v>0.967741935483871</v>
      </c>
      <c r="AN44" s="2268">
        <f t="shared" si="157"/>
        <v>0.967741935483871</v>
      </c>
      <c r="AO44" s="2268">
        <f t="shared" si="157"/>
        <v>0.967741935483871</v>
      </c>
      <c r="AP44" s="2268">
        <f t="shared" si="157"/>
        <v>0.967741935483871</v>
      </c>
      <c r="AQ44" s="2268">
        <f t="shared" si="157"/>
        <v>0.967741935483871</v>
      </c>
      <c r="AR44" s="2268">
        <f t="shared" si="157"/>
        <v>0.967741935483871</v>
      </c>
      <c r="AS44" s="2293"/>
      <c r="AT44" s="2016">
        <f t="shared" si="96"/>
        <v>6.774193548387097</v>
      </c>
      <c r="AU44" s="2017">
        <f t="shared" si="87"/>
        <v>17.124362086532937</v>
      </c>
      <c r="AV44" s="2018">
        <f t="shared" si="97"/>
        <v>10.350168538145841</v>
      </c>
      <c r="AW44" s="2293"/>
      <c r="AX44" s="2268">
        <f t="shared" ref="AX44:BD44" si="158">$J$44</f>
        <v>0.967741935483871</v>
      </c>
      <c r="AY44" s="2268">
        <f t="shared" si="158"/>
        <v>0.967741935483871</v>
      </c>
      <c r="AZ44" s="2268">
        <f t="shared" si="158"/>
        <v>0.967741935483871</v>
      </c>
      <c r="BA44" s="2268">
        <f t="shared" si="158"/>
        <v>0.967741935483871</v>
      </c>
      <c r="BB44" s="2268">
        <f t="shared" si="158"/>
        <v>0.967741935483871</v>
      </c>
      <c r="BC44" s="2268">
        <f t="shared" si="158"/>
        <v>0.967741935483871</v>
      </c>
      <c r="BD44" s="2268">
        <f t="shared" si="158"/>
        <v>0.967741935483871</v>
      </c>
      <c r="BE44" s="2293"/>
      <c r="BF44" s="2016">
        <f t="shared" si="99"/>
        <v>6.774193548387097</v>
      </c>
      <c r="BG44" s="2017">
        <f t="shared" si="89"/>
        <v>14.528195790881352</v>
      </c>
      <c r="BH44" s="2018">
        <f t="shared" si="100"/>
        <v>7.7540022424942547</v>
      </c>
      <c r="BI44" s="2770"/>
      <c r="BJ44" s="1728">
        <f t="shared" ref="BJ44:BL44" si="159">$J$44</f>
        <v>0.967741935483871</v>
      </c>
      <c r="BK44" s="1728">
        <f t="shared" si="159"/>
        <v>0.967741935483871</v>
      </c>
      <c r="BL44" s="1728">
        <f t="shared" si="159"/>
        <v>0.967741935483871</v>
      </c>
      <c r="BM44" s="2770"/>
      <c r="BN44" s="2016">
        <f t="shared" si="79"/>
        <v>2.903225806451613</v>
      </c>
      <c r="BO44" s="2017">
        <f t="shared" si="91"/>
        <v>6.2235372634036121</v>
      </c>
      <c r="BP44" s="2018">
        <f t="shared" si="129"/>
        <v>3.3203114569519991</v>
      </c>
      <c r="BR44" s="1732">
        <v>0</v>
      </c>
      <c r="BS44" s="1882">
        <f t="shared" si="80"/>
        <v>0</v>
      </c>
      <c r="BT44" s="1740"/>
      <c r="BU44" s="2019">
        <f t="shared" si="81"/>
        <v>30</v>
      </c>
      <c r="BV44" s="2020">
        <f t="shared" si="82"/>
        <v>1</v>
      </c>
      <c r="BW44" s="1997"/>
      <c r="BX44" s="2769"/>
      <c r="BZ44" s="2769"/>
      <c r="CA44" s="1996"/>
      <c r="CB44" s="1997"/>
      <c r="CC44" s="1861"/>
      <c r="CD44" s="1810"/>
      <c r="CE44" s="1810"/>
      <c r="CF44" s="1810"/>
      <c r="CG44" s="1810"/>
      <c r="CH44" s="1810"/>
      <c r="CI44" s="1986"/>
    </row>
    <row r="45" spans="1:87" s="1885" customFormat="1" x14ac:dyDescent="0.2">
      <c r="B45" s="2000">
        <v>27</v>
      </c>
      <c r="C45" s="2000" t="s">
        <v>254</v>
      </c>
      <c r="D45" s="2579"/>
      <c r="E45" s="2001">
        <v>26.35</v>
      </c>
      <c r="F45" s="2001">
        <v>0.5</v>
      </c>
      <c r="G45" s="2001">
        <v>0.33333333333333331</v>
      </c>
      <c r="H45" s="2001">
        <v>0.25</v>
      </c>
      <c r="I45" s="2001">
        <v>0.2</v>
      </c>
      <c r="J45" s="2001">
        <f t="shared" si="72"/>
        <v>0.85000000000000009</v>
      </c>
      <c r="K45" s="2584">
        <f t="shared" si="73"/>
        <v>8.2407255090954472E-3</v>
      </c>
      <c r="L45" s="2003"/>
      <c r="M45" s="1950"/>
      <c r="N45" s="2001">
        <f>$J$45</f>
        <v>0.85000000000000009</v>
      </c>
      <c r="O45" s="2001">
        <f t="shared" ref="O45:T45" si="160">$J$45</f>
        <v>0.85000000000000009</v>
      </c>
      <c r="P45" s="2001">
        <f t="shared" si="160"/>
        <v>0.85000000000000009</v>
      </c>
      <c r="Q45" s="2001">
        <f t="shared" si="160"/>
        <v>0.85000000000000009</v>
      </c>
      <c r="R45" s="2001">
        <f t="shared" si="160"/>
        <v>0.85000000000000009</v>
      </c>
      <c r="S45" s="2001">
        <f t="shared" si="160"/>
        <v>0.85000000000000009</v>
      </c>
      <c r="T45" s="2001">
        <f t="shared" si="160"/>
        <v>0.85000000000000009</v>
      </c>
      <c r="U45" s="2809"/>
      <c r="V45" s="2481">
        <f t="shared" ref="V45:V49" si="161">SUM(N45:T45)</f>
        <v>5.9499999999999993</v>
      </c>
      <c r="W45" s="2482">
        <f>($V$3*K45)*25%</f>
        <v>10.789458298176031</v>
      </c>
      <c r="X45" s="2483">
        <f t="shared" ref="X45:X49" si="162">W45-V45</f>
        <v>4.8394582981760319</v>
      </c>
      <c r="Y45" s="1896"/>
      <c r="Z45" s="2001">
        <f t="shared" ref="Z45:AF45" si="163">$J$45</f>
        <v>0.85000000000000009</v>
      </c>
      <c r="AA45" s="2001">
        <f t="shared" si="163"/>
        <v>0.85000000000000009</v>
      </c>
      <c r="AB45" s="2001">
        <f t="shared" si="163"/>
        <v>0.85000000000000009</v>
      </c>
      <c r="AC45" s="2001">
        <f t="shared" si="163"/>
        <v>0.85000000000000009</v>
      </c>
      <c r="AD45" s="2001">
        <f t="shared" si="163"/>
        <v>0.85000000000000009</v>
      </c>
      <c r="AE45" s="2001">
        <f t="shared" si="163"/>
        <v>0.85000000000000009</v>
      </c>
      <c r="AF45" s="2001">
        <f t="shared" si="163"/>
        <v>0.85000000000000009</v>
      </c>
      <c r="AG45" s="1896"/>
      <c r="AH45" s="2481">
        <f t="shared" ref="AH45:AH49" si="164">SUM(Z45:AF45)</f>
        <v>5.9499999999999993</v>
      </c>
      <c r="AI45" s="2482">
        <f>($AH$3*K45)*25%</f>
        <v>12.253118278023003</v>
      </c>
      <c r="AJ45" s="2483">
        <f t="shared" ref="AJ45:AJ49" si="165">AI45-AH45</f>
        <v>6.3031182780230033</v>
      </c>
      <c r="AK45" s="1896"/>
      <c r="AL45" s="2005">
        <f t="shared" ref="AL45:AR45" si="166">$J$45</f>
        <v>0.85000000000000009</v>
      </c>
      <c r="AM45" s="2005">
        <f t="shared" si="166"/>
        <v>0.85000000000000009</v>
      </c>
      <c r="AN45" s="2005">
        <f t="shared" si="166"/>
        <v>0.85000000000000009</v>
      </c>
      <c r="AO45" s="2005">
        <f t="shared" si="166"/>
        <v>0.85000000000000009</v>
      </c>
      <c r="AP45" s="2005">
        <f t="shared" si="166"/>
        <v>0.85000000000000009</v>
      </c>
      <c r="AQ45" s="2005">
        <f t="shared" si="166"/>
        <v>0.85000000000000009</v>
      </c>
      <c r="AR45" s="2005">
        <f t="shared" si="166"/>
        <v>0.85000000000000009</v>
      </c>
      <c r="AS45" s="2295"/>
      <c r="AT45" s="2481">
        <f t="shared" ref="AT45:AT49" si="167">SUM(AL45:AR45)</f>
        <v>5.9499999999999993</v>
      </c>
      <c r="AU45" s="2482">
        <f t="shared" ref="AU45:AU49" si="168">($AT$3*K45)*30%</f>
        <v>15.040898032671429</v>
      </c>
      <c r="AV45" s="2483">
        <f t="shared" ref="AV45:AV49" si="169">AU45-AT45</f>
        <v>9.0908980326714293</v>
      </c>
      <c r="AW45" s="2295"/>
      <c r="AX45" s="2005">
        <f t="shared" ref="AX45:BD45" si="170">$J$45</f>
        <v>0.85000000000000009</v>
      </c>
      <c r="AY45" s="2005">
        <f t="shared" si="170"/>
        <v>0.85000000000000009</v>
      </c>
      <c r="AZ45" s="2005">
        <f t="shared" si="170"/>
        <v>0.85000000000000009</v>
      </c>
      <c r="BA45" s="2005">
        <f t="shared" si="170"/>
        <v>0.85000000000000009</v>
      </c>
      <c r="BB45" s="2005">
        <f t="shared" si="170"/>
        <v>0.85000000000000009</v>
      </c>
      <c r="BC45" s="2005">
        <f t="shared" si="170"/>
        <v>0.85000000000000009</v>
      </c>
      <c r="BD45" s="2005">
        <f t="shared" si="170"/>
        <v>0.85000000000000009</v>
      </c>
      <c r="BE45" s="2295"/>
      <c r="BF45" s="2481">
        <f t="shared" ref="BF45:BF49" si="171">SUM(AX45:BD45)</f>
        <v>5.9499999999999993</v>
      </c>
      <c r="BG45" s="2482">
        <f t="shared" ref="BG45:BG49" si="172">($BF$3*K45)*30%</f>
        <v>12.760598636324119</v>
      </c>
      <c r="BH45" s="2483">
        <f t="shared" ref="BH45:BH49" si="173">BG45-BF45</f>
        <v>6.8105986363241193</v>
      </c>
      <c r="BI45" s="2809"/>
      <c r="BJ45" s="2001">
        <f t="shared" ref="BJ45:BL45" si="174">$J$45</f>
        <v>0.85000000000000009</v>
      </c>
      <c r="BK45" s="2001">
        <f t="shared" si="174"/>
        <v>0.85000000000000009</v>
      </c>
      <c r="BL45" s="2001">
        <f t="shared" si="174"/>
        <v>0.85000000000000009</v>
      </c>
      <c r="BM45" s="2809"/>
      <c r="BN45" s="2481">
        <f t="shared" ref="BN45:BN49" si="175">SUM(BJ45:BL45)</f>
        <v>2.5500000000000003</v>
      </c>
      <c r="BO45" s="2482">
        <f t="shared" ref="BO45:BO49" si="176">($BN$3*K45)*30%</f>
        <v>5.4663402296895045</v>
      </c>
      <c r="BP45" s="2483">
        <f t="shared" ref="BP45:BP49" si="177">BO45-BN45</f>
        <v>2.9163402296895042</v>
      </c>
      <c r="BR45" s="1898">
        <v>0</v>
      </c>
      <c r="BS45" s="1899">
        <f t="shared" ref="BS45:BS49" si="178">BR45/E45</f>
        <v>0</v>
      </c>
      <c r="BT45" s="1900"/>
      <c r="BU45" s="2388">
        <f t="shared" ref="BU45:BU49" si="179">SUM(N45:T45)+SUM(Z45:AF45)+SUM(AL45:AR45)+SUM(AX45:BD45)+SUM(BJ45:BL45)</f>
        <v>26.349999999999998</v>
      </c>
      <c r="BV45" s="2389">
        <f t="shared" ref="BV45:BV49" si="180">BU45/E45</f>
        <v>0.99999999999999989</v>
      </c>
      <c r="BW45" s="2010"/>
      <c r="BX45" s="2808"/>
      <c r="BZ45" s="2808"/>
      <c r="CA45" s="2488"/>
      <c r="CB45" s="2404" t="s">
        <v>155</v>
      </c>
      <c r="CC45" s="2010" t="s">
        <v>156</v>
      </c>
      <c r="CD45" s="1906"/>
      <c r="CE45" s="1906"/>
      <c r="CF45" s="1906"/>
      <c r="CG45" s="1906"/>
      <c r="CH45" s="1906"/>
      <c r="CI45" s="2386"/>
    </row>
    <row r="46" spans="1:87" s="1726" customFormat="1" x14ac:dyDescent="0.2">
      <c r="B46" s="1963">
        <v>28</v>
      </c>
      <c r="C46" s="1963" t="s">
        <v>240</v>
      </c>
      <c r="D46" s="2578"/>
      <c r="E46" s="1728">
        <v>22.25</v>
      </c>
      <c r="F46" s="1728">
        <v>5</v>
      </c>
      <c r="G46" s="1728">
        <v>3.3333333333333335</v>
      </c>
      <c r="H46" s="1728">
        <v>2.5</v>
      </c>
      <c r="I46" s="1728">
        <v>2</v>
      </c>
      <c r="J46" s="1728">
        <f t="shared" si="72"/>
        <v>0.717741935483871</v>
      </c>
      <c r="K46" s="1729">
        <f t="shared" si="73"/>
        <v>6.9584873843405578E-3</v>
      </c>
      <c r="L46" s="1931"/>
      <c r="M46" s="1924"/>
      <c r="N46" s="1728">
        <f>$J$46</f>
        <v>0.717741935483871</v>
      </c>
      <c r="O46" s="1728">
        <f t="shared" ref="O46:T46" si="181">$J$46</f>
        <v>0.717741935483871</v>
      </c>
      <c r="P46" s="1728">
        <f t="shared" si="181"/>
        <v>0.717741935483871</v>
      </c>
      <c r="Q46" s="1728">
        <f t="shared" si="181"/>
        <v>0.717741935483871</v>
      </c>
      <c r="R46" s="1728">
        <f t="shared" si="181"/>
        <v>0.717741935483871</v>
      </c>
      <c r="S46" s="1728">
        <f t="shared" si="181"/>
        <v>0.717741935483871</v>
      </c>
      <c r="T46" s="1728">
        <f t="shared" si="181"/>
        <v>0.717741935483871</v>
      </c>
      <c r="U46" s="2811"/>
      <c r="V46" s="2016">
        <f t="shared" si="161"/>
        <v>5.024193548387097</v>
      </c>
      <c r="W46" s="2017">
        <f t="shared" ref="W46:W49" si="182">($V$3*K46)*25%</f>
        <v>9.1106431550063256</v>
      </c>
      <c r="X46" s="2018">
        <f t="shared" si="162"/>
        <v>4.0864496066192286</v>
      </c>
      <c r="Y46" s="1881"/>
      <c r="Z46" s="1728">
        <f t="shared" ref="Z46:AF46" si="183">$J$46</f>
        <v>0.717741935483871</v>
      </c>
      <c r="AA46" s="1728">
        <f t="shared" si="183"/>
        <v>0.717741935483871</v>
      </c>
      <c r="AB46" s="1728">
        <f t="shared" si="183"/>
        <v>0.717741935483871</v>
      </c>
      <c r="AC46" s="1728">
        <f t="shared" si="183"/>
        <v>0.717741935483871</v>
      </c>
      <c r="AD46" s="1728">
        <f t="shared" si="183"/>
        <v>0.717741935483871</v>
      </c>
      <c r="AE46" s="1728">
        <f t="shared" si="183"/>
        <v>0.717741935483871</v>
      </c>
      <c r="AF46" s="1728">
        <f t="shared" si="183"/>
        <v>0.717741935483871</v>
      </c>
      <c r="AG46" s="1881"/>
      <c r="AH46" s="2016">
        <f t="shared" si="164"/>
        <v>5.024193548387097</v>
      </c>
      <c r="AI46" s="2017">
        <f t="shared" ref="AI46:AI49" si="184">($AH$3*K46)*25%</f>
        <v>10.346560974801207</v>
      </c>
      <c r="AJ46" s="2018">
        <f t="shared" si="165"/>
        <v>5.3223674264141101</v>
      </c>
      <c r="AK46" s="1881"/>
      <c r="AL46" s="2268">
        <f t="shared" ref="AL46:AR46" si="185">$J$46</f>
        <v>0.717741935483871</v>
      </c>
      <c r="AM46" s="2268">
        <f t="shared" si="185"/>
        <v>0.717741935483871</v>
      </c>
      <c r="AN46" s="2268">
        <f t="shared" si="185"/>
        <v>0.717741935483871</v>
      </c>
      <c r="AO46" s="2268">
        <f t="shared" si="185"/>
        <v>0.717741935483871</v>
      </c>
      <c r="AP46" s="2268">
        <f t="shared" si="185"/>
        <v>0.717741935483871</v>
      </c>
      <c r="AQ46" s="2268">
        <f t="shared" si="185"/>
        <v>0.717741935483871</v>
      </c>
      <c r="AR46" s="2268">
        <f t="shared" si="185"/>
        <v>0.717741935483871</v>
      </c>
      <c r="AS46" s="2293"/>
      <c r="AT46" s="2016">
        <f t="shared" si="167"/>
        <v>5.024193548387097</v>
      </c>
      <c r="AU46" s="2017">
        <f t="shared" si="168"/>
        <v>12.700568547511926</v>
      </c>
      <c r="AV46" s="2018">
        <f t="shared" si="169"/>
        <v>7.6763749991248291</v>
      </c>
      <c r="AW46" s="2293"/>
      <c r="AX46" s="2268">
        <f t="shared" ref="AX46:BD46" si="186">$J$46</f>
        <v>0.717741935483871</v>
      </c>
      <c r="AY46" s="2268">
        <f t="shared" si="186"/>
        <v>0.717741935483871</v>
      </c>
      <c r="AZ46" s="2268">
        <f t="shared" si="186"/>
        <v>0.717741935483871</v>
      </c>
      <c r="BA46" s="2268">
        <f t="shared" si="186"/>
        <v>0.717741935483871</v>
      </c>
      <c r="BB46" s="2268">
        <f t="shared" si="186"/>
        <v>0.717741935483871</v>
      </c>
      <c r="BC46" s="2268">
        <f t="shared" si="186"/>
        <v>0.717741935483871</v>
      </c>
      <c r="BD46" s="2268">
        <f t="shared" si="186"/>
        <v>0.717741935483871</v>
      </c>
      <c r="BE46" s="2293"/>
      <c r="BF46" s="2016">
        <f t="shared" si="171"/>
        <v>5.024193548387097</v>
      </c>
      <c r="BG46" s="2017">
        <f t="shared" si="172"/>
        <v>10.775078544903668</v>
      </c>
      <c r="BH46" s="2018">
        <f t="shared" si="173"/>
        <v>5.7508849965165707</v>
      </c>
      <c r="BI46" s="2811"/>
      <c r="BJ46" s="1728">
        <f t="shared" ref="BJ46:BL46" si="187">$J$46</f>
        <v>0.717741935483871</v>
      </c>
      <c r="BK46" s="1728">
        <f t="shared" si="187"/>
        <v>0.717741935483871</v>
      </c>
      <c r="BL46" s="1728">
        <f t="shared" si="187"/>
        <v>0.717741935483871</v>
      </c>
      <c r="BM46" s="2811"/>
      <c r="BN46" s="2016">
        <f t="shared" si="175"/>
        <v>2.153225806451613</v>
      </c>
      <c r="BO46" s="2017">
        <f t="shared" si="176"/>
        <v>4.6157901370243444</v>
      </c>
      <c r="BP46" s="2018">
        <f t="shared" si="177"/>
        <v>2.4625643305727314</v>
      </c>
      <c r="BR46" s="1732">
        <v>0</v>
      </c>
      <c r="BS46" s="1882">
        <f t="shared" si="178"/>
        <v>0</v>
      </c>
      <c r="BT46" s="1740"/>
      <c r="BU46" s="2019">
        <f t="shared" si="179"/>
        <v>22.25</v>
      </c>
      <c r="BV46" s="2020">
        <f t="shared" si="180"/>
        <v>1</v>
      </c>
      <c r="BW46" s="1997"/>
      <c r="BX46" s="2810"/>
      <c r="BZ46" s="2810"/>
      <c r="CA46" s="2036" t="s">
        <v>159</v>
      </c>
      <c r="CB46" s="2059">
        <v>0.5</v>
      </c>
      <c r="CC46" s="1997" t="str">
        <f>IF(CC43&lt;=CB46,CC43," ")</f>
        <v xml:space="preserve"> </v>
      </c>
      <c r="CD46" s="1810"/>
      <c r="CE46" s="1810"/>
      <c r="CF46" s="1810"/>
      <c r="CG46" s="1810"/>
      <c r="CH46" s="1810"/>
      <c r="CI46" s="1986"/>
    </row>
    <row r="47" spans="1:87" s="1885" customFormat="1" x14ac:dyDescent="0.2">
      <c r="B47" s="2000">
        <v>29</v>
      </c>
      <c r="C47" s="2000" t="s">
        <v>206</v>
      </c>
      <c r="D47" s="2579"/>
      <c r="E47" s="2001">
        <v>16.7</v>
      </c>
      <c r="F47" s="2001"/>
      <c r="G47" s="2001"/>
      <c r="H47" s="2001"/>
      <c r="I47" s="2001"/>
      <c r="J47" s="2001">
        <f t="shared" si="72"/>
        <v>0.53870967741935483</v>
      </c>
      <c r="K47" s="2584">
        <f t="shared" si="73"/>
        <v>5.2227748008308907E-3</v>
      </c>
      <c r="L47" s="2003"/>
      <c r="M47" s="1950"/>
      <c r="N47" s="2001">
        <f>$J$47</f>
        <v>0.53870967741935483</v>
      </c>
      <c r="O47" s="2001">
        <f t="shared" ref="O47:T47" si="188">$J$47</f>
        <v>0.53870967741935483</v>
      </c>
      <c r="P47" s="2001">
        <f t="shared" si="188"/>
        <v>0.53870967741935483</v>
      </c>
      <c r="Q47" s="2001">
        <f t="shared" si="188"/>
        <v>0.53870967741935483</v>
      </c>
      <c r="R47" s="2001">
        <f t="shared" si="188"/>
        <v>0.53870967741935483</v>
      </c>
      <c r="S47" s="2001">
        <f t="shared" si="188"/>
        <v>0.53870967741935483</v>
      </c>
      <c r="T47" s="2001">
        <f t="shared" si="188"/>
        <v>0.53870967741935483</v>
      </c>
      <c r="U47" s="2785"/>
      <c r="V47" s="2481">
        <f t="shared" si="161"/>
        <v>3.7709677419354835</v>
      </c>
      <c r="W47" s="2482">
        <f t="shared" si="182"/>
        <v>6.8381007051058722</v>
      </c>
      <c r="X47" s="2483">
        <f t="shared" si="162"/>
        <v>3.0671329631703887</v>
      </c>
      <c r="Y47" s="1896"/>
      <c r="Z47" s="2001">
        <f t="shared" ref="Z47:AF47" si="189">$J$47</f>
        <v>0.53870967741935483</v>
      </c>
      <c r="AA47" s="2001">
        <f t="shared" si="189"/>
        <v>0.53870967741935483</v>
      </c>
      <c r="AB47" s="2001">
        <f t="shared" si="189"/>
        <v>0.53870967741935483</v>
      </c>
      <c r="AC47" s="2001">
        <f t="shared" si="189"/>
        <v>0.53870967741935483</v>
      </c>
      <c r="AD47" s="2001">
        <f t="shared" si="189"/>
        <v>0.53870967741935483</v>
      </c>
      <c r="AE47" s="2001">
        <f t="shared" si="189"/>
        <v>0.53870967741935483</v>
      </c>
      <c r="AF47" s="2001">
        <f t="shared" si="189"/>
        <v>0.53870967741935483</v>
      </c>
      <c r="AG47" s="1896"/>
      <c r="AH47" s="2481">
        <f t="shared" si="164"/>
        <v>3.7709677419354835</v>
      </c>
      <c r="AI47" s="2482">
        <f t="shared" si="184"/>
        <v>7.7657334058058503</v>
      </c>
      <c r="AJ47" s="2483">
        <f t="shared" si="165"/>
        <v>3.9947656638703668</v>
      </c>
      <c r="AK47" s="1896"/>
      <c r="AL47" s="2005">
        <f t="shared" ref="AL47:AR47" si="190">$J$47</f>
        <v>0.53870967741935483</v>
      </c>
      <c r="AM47" s="2005">
        <f t="shared" si="190"/>
        <v>0.53870967741935483</v>
      </c>
      <c r="AN47" s="2005">
        <f t="shared" si="190"/>
        <v>0.53870967741935483</v>
      </c>
      <c r="AO47" s="2005">
        <f t="shared" si="190"/>
        <v>0.53870967741935483</v>
      </c>
      <c r="AP47" s="2005">
        <f t="shared" si="190"/>
        <v>0.53870967741935483</v>
      </c>
      <c r="AQ47" s="2005">
        <f t="shared" si="190"/>
        <v>0.53870967741935483</v>
      </c>
      <c r="AR47" s="2005">
        <f t="shared" si="190"/>
        <v>0.53870967741935483</v>
      </c>
      <c r="AS47" s="2295"/>
      <c r="AT47" s="2481">
        <f t="shared" si="167"/>
        <v>3.7709677419354835</v>
      </c>
      <c r="AU47" s="2482">
        <f t="shared" si="168"/>
        <v>9.5325615615033339</v>
      </c>
      <c r="AV47" s="2483">
        <f t="shared" si="169"/>
        <v>5.7615938195678504</v>
      </c>
      <c r="AW47" s="2295"/>
      <c r="AX47" s="2005">
        <f t="shared" ref="AX47:BD47" si="191">$J$47</f>
        <v>0.53870967741935483</v>
      </c>
      <c r="AY47" s="2005">
        <f t="shared" si="191"/>
        <v>0.53870967741935483</v>
      </c>
      <c r="AZ47" s="2005">
        <f t="shared" si="191"/>
        <v>0.53870967741935483</v>
      </c>
      <c r="BA47" s="2005">
        <f t="shared" si="191"/>
        <v>0.53870967741935483</v>
      </c>
      <c r="BB47" s="2005">
        <f t="shared" si="191"/>
        <v>0.53870967741935483</v>
      </c>
      <c r="BC47" s="2005">
        <f t="shared" si="191"/>
        <v>0.53870967741935483</v>
      </c>
      <c r="BD47" s="2005">
        <f t="shared" si="191"/>
        <v>0.53870967741935483</v>
      </c>
      <c r="BE47" s="2295"/>
      <c r="BF47" s="2481">
        <f t="shared" si="171"/>
        <v>3.7709677419354835</v>
      </c>
      <c r="BG47" s="2482">
        <f t="shared" si="172"/>
        <v>8.087362323590618</v>
      </c>
      <c r="BH47" s="2483">
        <f t="shared" si="173"/>
        <v>4.3163945816551346</v>
      </c>
      <c r="BI47" s="2785"/>
      <c r="BJ47" s="2001">
        <f t="shared" ref="BJ47:BL47" si="192">$J$47</f>
        <v>0.53870967741935483</v>
      </c>
      <c r="BK47" s="2001">
        <f t="shared" si="192"/>
        <v>0.53870967741935483</v>
      </c>
      <c r="BL47" s="2001">
        <f t="shared" si="192"/>
        <v>0.53870967741935483</v>
      </c>
      <c r="BM47" s="2785"/>
      <c r="BN47" s="2481">
        <f t="shared" si="175"/>
        <v>1.6161290322580646</v>
      </c>
      <c r="BO47" s="2482">
        <f t="shared" si="176"/>
        <v>3.4644357432946769</v>
      </c>
      <c r="BP47" s="2483">
        <f t="shared" si="177"/>
        <v>1.8483067110366123</v>
      </c>
      <c r="BR47" s="1898">
        <v>0</v>
      </c>
      <c r="BS47" s="1899">
        <f t="shared" si="178"/>
        <v>0</v>
      </c>
      <c r="BT47" s="1900"/>
      <c r="BU47" s="2388">
        <f t="shared" si="179"/>
        <v>16.7</v>
      </c>
      <c r="BV47" s="2389">
        <f t="shared" si="180"/>
        <v>1</v>
      </c>
      <c r="BW47" s="2010"/>
      <c r="BX47" s="2784"/>
      <c r="BZ47" s="2784"/>
      <c r="CA47" s="2637" t="s">
        <v>160</v>
      </c>
      <c r="CB47" s="2339">
        <v>0.75</v>
      </c>
      <c r="CC47" s="1962" t="str">
        <f>IF(AND(CC43&gt;CB46,CC43&lt;=CB47),CC43," ")</f>
        <v xml:space="preserve"> </v>
      </c>
      <c r="CD47" s="1906"/>
      <c r="CE47" s="1906"/>
      <c r="CF47" s="1906"/>
      <c r="CG47" s="1906"/>
      <c r="CH47" s="1906"/>
      <c r="CI47" s="2386"/>
    </row>
    <row r="48" spans="1:87" s="1726" customFormat="1" x14ac:dyDescent="0.2">
      <c r="B48" s="2508">
        <v>30</v>
      </c>
      <c r="C48" s="1963" t="s">
        <v>259</v>
      </c>
      <c r="D48" s="2578"/>
      <c r="E48" s="1728">
        <v>13.85</v>
      </c>
      <c r="F48" s="1728">
        <v>5</v>
      </c>
      <c r="G48" s="1728">
        <v>3.3333333333333335</v>
      </c>
      <c r="H48" s="1728">
        <v>2.5</v>
      </c>
      <c r="I48" s="1728">
        <v>2</v>
      </c>
      <c r="J48" s="1728">
        <f t="shared" si="72"/>
        <v>0.4467741935483871</v>
      </c>
      <c r="K48" s="1729">
        <f t="shared" si="73"/>
        <v>4.3314629336232233E-3</v>
      </c>
      <c r="L48" s="1931"/>
      <c r="M48" s="1924"/>
      <c r="N48" s="1728">
        <f>$J$48</f>
        <v>0.4467741935483871</v>
      </c>
      <c r="O48" s="1728">
        <f t="shared" ref="O48:T48" si="193">$J$48</f>
        <v>0.4467741935483871</v>
      </c>
      <c r="P48" s="1728">
        <f t="shared" si="193"/>
        <v>0.4467741935483871</v>
      </c>
      <c r="Q48" s="1728">
        <f t="shared" si="193"/>
        <v>0.4467741935483871</v>
      </c>
      <c r="R48" s="1728">
        <f t="shared" si="193"/>
        <v>0.4467741935483871</v>
      </c>
      <c r="S48" s="1728">
        <f t="shared" si="193"/>
        <v>0.4467741935483871</v>
      </c>
      <c r="T48" s="1728">
        <f t="shared" si="193"/>
        <v>0.4467741935483871</v>
      </c>
      <c r="U48" s="2811"/>
      <c r="V48" s="2016">
        <f t="shared" si="161"/>
        <v>3.1274193548387097</v>
      </c>
      <c r="W48" s="2017">
        <f t="shared" si="182"/>
        <v>5.6711194470488815</v>
      </c>
      <c r="X48" s="2018">
        <f t="shared" si="162"/>
        <v>2.5437000922101718</v>
      </c>
      <c r="Y48" s="1881"/>
      <c r="Z48" s="1728">
        <f t="shared" ref="Z48:AF48" si="194">$J$48</f>
        <v>0.4467741935483871</v>
      </c>
      <c r="AA48" s="1728">
        <f t="shared" si="194"/>
        <v>0.4467741935483871</v>
      </c>
      <c r="AB48" s="1728">
        <f t="shared" si="194"/>
        <v>0.4467741935483871</v>
      </c>
      <c r="AC48" s="1728">
        <f t="shared" si="194"/>
        <v>0.4467741935483871</v>
      </c>
      <c r="AD48" s="1728">
        <f t="shared" si="194"/>
        <v>0.4467741935483871</v>
      </c>
      <c r="AE48" s="1728">
        <f t="shared" si="194"/>
        <v>0.4467741935483871</v>
      </c>
      <c r="AF48" s="1728">
        <f t="shared" si="194"/>
        <v>0.4467741935483871</v>
      </c>
      <c r="AG48" s="1881"/>
      <c r="AH48" s="2016">
        <f t="shared" si="164"/>
        <v>3.1274193548387097</v>
      </c>
      <c r="AI48" s="2017">
        <f t="shared" si="184"/>
        <v>6.4404435730785039</v>
      </c>
      <c r="AJ48" s="2018">
        <f t="shared" si="165"/>
        <v>3.3130242182397942</v>
      </c>
      <c r="AK48" s="1881"/>
      <c r="AL48" s="2268">
        <f t="shared" ref="AL48:AR48" si="195">$J$48</f>
        <v>0.4467741935483871</v>
      </c>
      <c r="AM48" s="2268">
        <f t="shared" si="195"/>
        <v>0.4467741935483871</v>
      </c>
      <c r="AN48" s="2268">
        <f t="shared" si="195"/>
        <v>0.4467741935483871</v>
      </c>
      <c r="AO48" s="2268">
        <f t="shared" si="195"/>
        <v>0.4467741935483871</v>
      </c>
      <c r="AP48" s="2268">
        <f t="shared" si="195"/>
        <v>0.4467741935483871</v>
      </c>
      <c r="AQ48" s="2268">
        <f t="shared" si="195"/>
        <v>0.4467741935483871</v>
      </c>
      <c r="AR48" s="2268">
        <f t="shared" si="195"/>
        <v>0.4467741935483871</v>
      </c>
      <c r="AS48" s="2293"/>
      <c r="AT48" s="2016">
        <f t="shared" si="167"/>
        <v>3.1274193548387097</v>
      </c>
      <c r="AU48" s="2017">
        <f t="shared" si="168"/>
        <v>7.9057471632827045</v>
      </c>
      <c r="AV48" s="2018">
        <f t="shared" si="169"/>
        <v>4.7783278084439953</v>
      </c>
      <c r="AW48" s="2293"/>
      <c r="AX48" s="2268">
        <f t="shared" ref="AX48:BD48" si="196">$J$48</f>
        <v>0.4467741935483871</v>
      </c>
      <c r="AY48" s="2268">
        <f t="shared" si="196"/>
        <v>0.4467741935483871</v>
      </c>
      <c r="AZ48" s="2268">
        <f t="shared" si="196"/>
        <v>0.4467741935483871</v>
      </c>
      <c r="BA48" s="2268">
        <f t="shared" si="196"/>
        <v>0.4467741935483871</v>
      </c>
      <c r="BB48" s="2268">
        <f t="shared" si="196"/>
        <v>0.4467741935483871</v>
      </c>
      <c r="BC48" s="2268">
        <f t="shared" si="196"/>
        <v>0.4467741935483871</v>
      </c>
      <c r="BD48" s="2268">
        <f t="shared" si="196"/>
        <v>0.4467741935483871</v>
      </c>
      <c r="BE48" s="2293"/>
      <c r="BF48" s="2016">
        <f t="shared" si="171"/>
        <v>3.1274193548387097</v>
      </c>
      <c r="BG48" s="2017">
        <f t="shared" si="172"/>
        <v>6.7071837234568887</v>
      </c>
      <c r="BH48" s="2018">
        <f t="shared" si="173"/>
        <v>3.579764368618179</v>
      </c>
      <c r="BI48" s="2811"/>
      <c r="BJ48" s="1728">
        <f t="shared" ref="BJ48:BL48" si="197">$J$48</f>
        <v>0.4467741935483871</v>
      </c>
      <c r="BK48" s="1728">
        <f t="shared" si="197"/>
        <v>0.4467741935483871</v>
      </c>
      <c r="BL48" s="1728">
        <f t="shared" si="197"/>
        <v>0.4467741935483871</v>
      </c>
      <c r="BM48" s="2811"/>
      <c r="BN48" s="2016">
        <f t="shared" si="175"/>
        <v>1.3403225806451613</v>
      </c>
      <c r="BO48" s="2017">
        <f t="shared" si="176"/>
        <v>2.8731997032713332</v>
      </c>
      <c r="BP48" s="2018">
        <f t="shared" si="177"/>
        <v>1.5328771226261719</v>
      </c>
      <c r="BR48" s="1732">
        <v>0</v>
      </c>
      <c r="BS48" s="1882">
        <f t="shared" si="178"/>
        <v>0</v>
      </c>
      <c r="BT48" s="1740"/>
      <c r="BU48" s="2019">
        <f t="shared" si="179"/>
        <v>13.85</v>
      </c>
      <c r="BV48" s="2020">
        <f t="shared" si="180"/>
        <v>1</v>
      </c>
      <c r="BW48" s="1997"/>
      <c r="BX48" s="2810"/>
      <c r="BZ48" s="2810"/>
      <c r="CA48" s="2036" t="s">
        <v>161</v>
      </c>
      <c r="CB48" s="2059">
        <v>1</v>
      </c>
      <c r="CC48" s="2037">
        <f>IF(CC43&gt;CB47,CC43," ")</f>
        <v>1</v>
      </c>
      <c r="CD48" s="1810"/>
      <c r="CE48" s="1810"/>
      <c r="CF48" s="1810"/>
      <c r="CG48" s="1810"/>
      <c r="CH48" s="1810"/>
      <c r="CI48" s="1986"/>
    </row>
    <row r="49" spans="1:87" s="1885" customFormat="1" x14ac:dyDescent="0.2">
      <c r="B49" s="2000">
        <v>31</v>
      </c>
      <c r="C49" s="2000" t="s">
        <v>257</v>
      </c>
      <c r="D49" s="2579"/>
      <c r="E49" s="2001">
        <v>10</v>
      </c>
      <c r="F49" s="2001">
        <v>5</v>
      </c>
      <c r="G49" s="2001">
        <v>3.3333333333333335</v>
      </c>
      <c r="H49" s="2001">
        <v>2.5</v>
      </c>
      <c r="I49" s="2001">
        <v>2</v>
      </c>
      <c r="J49" s="2001">
        <f t="shared" si="72"/>
        <v>0.32258064516129031</v>
      </c>
      <c r="K49" s="2584">
        <f t="shared" si="73"/>
        <v>3.1274100603777789E-3</v>
      </c>
      <c r="L49" s="2003"/>
      <c r="M49" s="1950"/>
      <c r="N49" s="2001">
        <f>$J$49</f>
        <v>0.32258064516129031</v>
      </c>
      <c r="O49" s="2001">
        <f t="shared" ref="O49:T49" si="198">$J$49</f>
        <v>0.32258064516129031</v>
      </c>
      <c r="P49" s="2001">
        <f t="shared" si="198"/>
        <v>0.32258064516129031</v>
      </c>
      <c r="Q49" s="2001">
        <f t="shared" si="198"/>
        <v>0.32258064516129031</v>
      </c>
      <c r="R49" s="2001">
        <f t="shared" si="198"/>
        <v>0.32258064516129031</v>
      </c>
      <c r="S49" s="2001">
        <f t="shared" si="198"/>
        <v>0.32258064516129031</v>
      </c>
      <c r="T49" s="2001">
        <f t="shared" si="198"/>
        <v>0.32258064516129031</v>
      </c>
      <c r="U49" s="2785"/>
      <c r="V49" s="2481">
        <f t="shared" si="161"/>
        <v>2.258064516129032</v>
      </c>
      <c r="W49" s="2482">
        <f t="shared" si="182"/>
        <v>4.0946710809017199</v>
      </c>
      <c r="X49" s="2483">
        <f t="shared" si="162"/>
        <v>1.8366065647726879</v>
      </c>
      <c r="Y49" s="1896"/>
      <c r="Z49" s="2001">
        <f t="shared" ref="Z49:AF49" si="199">$J$49</f>
        <v>0.32258064516129031</v>
      </c>
      <c r="AA49" s="2001">
        <f t="shared" si="199"/>
        <v>0.32258064516129031</v>
      </c>
      <c r="AB49" s="2001">
        <f t="shared" si="199"/>
        <v>0.32258064516129031</v>
      </c>
      <c r="AC49" s="2001">
        <f t="shared" si="199"/>
        <v>0.32258064516129031</v>
      </c>
      <c r="AD49" s="2001">
        <f t="shared" si="199"/>
        <v>0.32258064516129031</v>
      </c>
      <c r="AE49" s="2001">
        <f t="shared" si="199"/>
        <v>0.32258064516129031</v>
      </c>
      <c r="AF49" s="2001">
        <f t="shared" si="199"/>
        <v>0.32258064516129031</v>
      </c>
      <c r="AG49" s="1896"/>
      <c r="AH49" s="2481">
        <f t="shared" si="164"/>
        <v>2.258064516129032</v>
      </c>
      <c r="AI49" s="2482">
        <f t="shared" si="184"/>
        <v>4.6501397639555995</v>
      </c>
      <c r="AJ49" s="2483">
        <f t="shared" si="165"/>
        <v>2.3920752478265674</v>
      </c>
      <c r="AK49" s="1896"/>
      <c r="AL49" s="2005">
        <f t="shared" ref="AL49:AR49" si="200">$J$49</f>
        <v>0.32258064516129031</v>
      </c>
      <c r="AM49" s="2005">
        <f t="shared" si="200"/>
        <v>0.32258064516129031</v>
      </c>
      <c r="AN49" s="2005">
        <f t="shared" si="200"/>
        <v>0.32258064516129031</v>
      </c>
      <c r="AO49" s="2005">
        <f t="shared" si="200"/>
        <v>0.32258064516129031</v>
      </c>
      <c r="AP49" s="2005">
        <f t="shared" si="200"/>
        <v>0.32258064516129031</v>
      </c>
      <c r="AQ49" s="2005">
        <f t="shared" si="200"/>
        <v>0.32258064516129031</v>
      </c>
      <c r="AR49" s="2005">
        <f t="shared" si="200"/>
        <v>0.32258064516129031</v>
      </c>
      <c r="AS49" s="2295"/>
      <c r="AT49" s="2481">
        <f t="shared" si="167"/>
        <v>2.258064516129032</v>
      </c>
      <c r="AU49" s="2482">
        <f t="shared" si="168"/>
        <v>5.7081206955109787</v>
      </c>
      <c r="AV49" s="2483">
        <f t="shared" si="169"/>
        <v>3.4500561793819466</v>
      </c>
      <c r="AW49" s="2295"/>
      <c r="AX49" s="2005">
        <f t="shared" ref="AX49:BD49" si="201">$J$49</f>
        <v>0.32258064516129031</v>
      </c>
      <c r="AY49" s="2005">
        <f t="shared" si="201"/>
        <v>0.32258064516129031</v>
      </c>
      <c r="AZ49" s="2005">
        <f t="shared" si="201"/>
        <v>0.32258064516129031</v>
      </c>
      <c r="BA49" s="2005">
        <f t="shared" si="201"/>
        <v>0.32258064516129031</v>
      </c>
      <c r="BB49" s="2005">
        <f t="shared" si="201"/>
        <v>0.32258064516129031</v>
      </c>
      <c r="BC49" s="2005">
        <f t="shared" si="201"/>
        <v>0.32258064516129031</v>
      </c>
      <c r="BD49" s="2005">
        <f t="shared" si="201"/>
        <v>0.32258064516129031</v>
      </c>
      <c r="BE49" s="2295"/>
      <c r="BF49" s="2481">
        <f t="shared" si="171"/>
        <v>2.258064516129032</v>
      </c>
      <c r="BG49" s="2482">
        <f t="shared" si="172"/>
        <v>4.8427319302937839</v>
      </c>
      <c r="BH49" s="2483">
        <f t="shared" si="173"/>
        <v>2.5846674141647519</v>
      </c>
      <c r="BI49" s="2785"/>
      <c r="BJ49" s="2001">
        <f t="shared" ref="BJ49:BL49" si="202">$J$49</f>
        <v>0.32258064516129031</v>
      </c>
      <c r="BK49" s="2001">
        <f t="shared" si="202"/>
        <v>0.32258064516129031</v>
      </c>
      <c r="BL49" s="2001">
        <f t="shared" si="202"/>
        <v>0.32258064516129031</v>
      </c>
      <c r="BM49" s="2785"/>
      <c r="BN49" s="2481">
        <f t="shared" si="175"/>
        <v>0.967741935483871</v>
      </c>
      <c r="BO49" s="2482">
        <f t="shared" si="176"/>
        <v>2.0745124211345369</v>
      </c>
      <c r="BP49" s="2483">
        <f t="shared" si="177"/>
        <v>1.1067704856506659</v>
      </c>
      <c r="BR49" s="1898">
        <v>0</v>
      </c>
      <c r="BS49" s="1899">
        <f t="shared" si="178"/>
        <v>0</v>
      </c>
      <c r="BT49" s="1900"/>
      <c r="BU49" s="2388">
        <f t="shared" si="179"/>
        <v>10</v>
      </c>
      <c r="BV49" s="2389">
        <f t="shared" si="180"/>
        <v>1</v>
      </c>
      <c r="BW49" s="2010"/>
      <c r="BX49" s="2784"/>
      <c r="BZ49" s="2784"/>
      <c r="CA49" s="2488"/>
      <c r="CB49" s="2404" t="s">
        <v>158</v>
      </c>
      <c r="CC49" s="2490">
        <f>MAX(100%,CC43)-CC43</f>
        <v>0</v>
      </c>
      <c r="CD49" s="1906"/>
      <c r="CE49" s="1906"/>
      <c r="CF49" s="1906"/>
      <c r="CG49" s="1906"/>
      <c r="CH49" s="1906"/>
      <c r="CI49" s="2386"/>
    </row>
    <row r="50" spans="1:87" s="1726" customFormat="1" x14ac:dyDescent="0.2">
      <c r="B50" s="1963">
        <v>32</v>
      </c>
      <c r="C50" s="1963" t="s">
        <v>244</v>
      </c>
      <c r="D50" s="2578"/>
      <c r="E50" s="1728">
        <v>5</v>
      </c>
      <c r="F50" s="1728"/>
      <c r="G50" s="1728"/>
      <c r="H50" s="1728"/>
      <c r="I50" s="1728"/>
      <c r="J50" s="1728">
        <f t="shared" si="72"/>
        <v>0.16129032258064516</v>
      </c>
      <c r="K50" s="1729">
        <f t="shared" si="73"/>
        <v>1.5637050301888895E-3</v>
      </c>
      <c r="L50" s="1931"/>
      <c r="M50" s="1924"/>
      <c r="N50" s="1728">
        <f t="shared" ref="N50:T50" si="203">$J$50</f>
        <v>0.16129032258064516</v>
      </c>
      <c r="O50" s="1728">
        <f t="shared" si="203"/>
        <v>0.16129032258064516</v>
      </c>
      <c r="P50" s="1728">
        <f t="shared" si="203"/>
        <v>0.16129032258064516</v>
      </c>
      <c r="Q50" s="1728">
        <f t="shared" si="203"/>
        <v>0.16129032258064516</v>
      </c>
      <c r="R50" s="1728">
        <f t="shared" si="203"/>
        <v>0.16129032258064516</v>
      </c>
      <c r="S50" s="1728">
        <f t="shared" si="203"/>
        <v>0.16129032258064516</v>
      </c>
      <c r="T50" s="1728">
        <f t="shared" si="203"/>
        <v>0.16129032258064516</v>
      </c>
      <c r="U50" s="2787"/>
      <c r="V50" s="2016">
        <f t="shared" si="42"/>
        <v>1.129032258064516</v>
      </c>
      <c r="W50" s="2017">
        <f t="shared" si="109"/>
        <v>2.04733554045086</v>
      </c>
      <c r="X50" s="2018">
        <f t="shared" si="93"/>
        <v>0.91830328238634396</v>
      </c>
      <c r="Y50" s="1881"/>
      <c r="Z50" s="1728">
        <f t="shared" ref="Z50:AF50" si="204">$J$50</f>
        <v>0.16129032258064516</v>
      </c>
      <c r="AA50" s="1728">
        <f t="shared" si="204"/>
        <v>0.16129032258064516</v>
      </c>
      <c r="AB50" s="1728">
        <f t="shared" si="204"/>
        <v>0.16129032258064516</v>
      </c>
      <c r="AC50" s="1728">
        <f t="shared" si="204"/>
        <v>0.16129032258064516</v>
      </c>
      <c r="AD50" s="1728">
        <f t="shared" si="204"/>
        <v>0.16129032258064516</v>
      </c>
      <c r="AE50" s="1728">
        <f t="shared" si="204"/>
        <v>0.16129032258064516</v>
      </c>
      <c r="AF50" s="1728">
        <f t="shared" si="204"/>
        <v>0.16129032258064516</v>
      </c>
      <c r="AG50" s="1881"/>
      <c r="AH50" s="2016">
        <f t="shared" si="44"/>
        <v>1.129032258064516</v>
      </c>
      <c r="AI50" s="2017">
        <f t="shared" si="85"/>
        <v>2.3250698819777997</v>
      </c>
      <c r="AJ50" s="2018">
        <f t="shared" si="45"/>
        <v>1.1960376239132837</v>
      </c>
      <c r="AK50" s="1881"/>
      <c r="AL50" s="2268">
        <f t="shared" ref="AL50:AR50" si="205">$J$50</f>
        <v>0.16129032258064516</v>
      </c>
      <c r="AM50" s="2268">
        <f t="shared" si="205"/>
        <v>0.16129032258064516</v>
      </c>
      <c r="AN50" s="2268">
        <f t="shared" si="205"/>
        <v>0.16129032258064516</v>
      </c>
      <c r="AO50" s="2268">
        <f t="shared" si="205"/>
        <v>0.16129032258064516</v>
      </c>
      <c r="AP50" s="2268">
        <f t="shared" si="205"/>
        <v>0.16129032258064516</v>
      </c>
      <c r="AQ50" s="2268">
        <f t="shared" si="205"/>
        <v>0.16129032258064516</v>
      </c>
      <c r="AR50" s="2268">
        <f t="shared" si="205"/>
        <v>0.16129032258064516</v>
      </c>
      <c r="AS50" s="2293"/>
      <c r="AT50" s="2016">
        <f t="shared" si="96"/>
        <v>1.129032258064516</v>
      </c>
      <c r="AU50" s="2017">
        <f t="shared" si="87"/>
        <v>2.8540603477554893</v>
      </c>
      <c r="AV50" s="2018">
        <f t="shared" si="97"/>
        <v>1.7250280896909733</v>
      </c>
      <c r="AW50" s="2293"/>
      <c r="AX50" s="2268">
        <f t="shared" ref="AX50:BD50" si="206">$J$50</f>
        <v>0.16129032258064516</v>
      </c>
      <c r="AY50" s="2268">
        <f t="shared" si="206"/>
        <v>0.16129032258064516</v>
      </c>
      <c r="AZ50" s="2268">
        <f t="shared" si="206"/>
        <v>0.16129032258064516</v>
      </c>
      <c r="BA50" s="2268">
        <f t="shared" si="206"/>
        <v>0.16129032258064516</v>
      </c>
      <c r="BB50" s="2268">
        <f t="shared" si="206"/>
        <v>0.16129032258064516</v>
      </c>
      <c r="BC50" s="2268">
        <f t="shared" si="206"/>
        <v>0.16129032258064516</v>
      </c>
      <c r="BD50" s="2268">
        <f t="shared" si="206"/>
        <v>0.16129032258064516</v>
      </c>
      <c r="BE50" s="2293"/>
      <c r="BF50" s="2016">
        <f t="shared" si="99"/>
        <v>1.129032258064516</v>
      </c>
      <c r="BG50" s="2017">
        <f t="shared" si="89"/>
        <v>2.421365965146892</v>
      </c>
      <c r="BH50" s="2018">
        <f t="shared" si="100"/>
        <v>1.2923337070823759</v>
      </c>
      <c r="BI50" s="2787"/>
      <c r="BJ50" s="1728">
        <f t="shared" ref="BJ50:BL50" si="207">$J$50</f>
        <v>0.16129032258064516</v>
      </c>
      <c r="BK50" s="1728">
        <f t="shared" si="207"/>
        <v>0.16129032258064516</v>
      </c>
      <c r="BL50" s="1728">
        <f t="shared" si="207"/>
        <v>0.16129032258064516</v>
      </c>
      <c r="BM50" s="2787"/>
      <c r="BN50" s="2016">
        <f t="shared" si="79"/>
        <v>0.4838709677419355</v>
      </c>
      <c r="BO50" s="2017">
        <f t="shared" si="91"/>
        <v>1.0372562105672685</v>
      </c>
      <c r="BP50" s="2018">
        <f t="shared" si="129"/>
        <v>0.55338524282533297</v>
      </c>
      <c r="BR50" s="1732">
        <v>0</v>
      </c>
      <c r="BS50" s="1882">
        <f t="shared" si="80"/>
        <v>0</v>
      </c>
      <c r="BT50" s="1740"/>
      <c r="BU50" s="2019">
        <f t="shared" si="81"/>
        <v>5</v>
      </c>
      <c r="BV50" s="2020">
        <f t="shared" si="82"/>
        <v>1</v>
      </c>
      <c r="BW50" s="1997"/>
      <c r="BX50" s="2786"/>
      <c r="BZ50" s="2786"/>
      <c r="CA50" s="2015"/>
      <c r="CB50" s="1830"/>
      <c r="CC50" s="1817"/>
      <c r="CD50" s="1810"/>
      <c r="CE50" s="1810"/>
      <c r="CF50" s="1810"/>
      <c r="CG50" s="1810"/>
      <c r="CH50" s="1810"/>
      <c r="CI50" s="1986"/>
    </row>
    <row r="51" spans="1:87" s="1885" customFormat="1" x14ac:dyDescent="0.2">
      <c r="B51" s="2580">
        <v>33</v>
      </c>
      <c r="C51" s="2000" t="s">
        <v>258</v>
      </c>
      <c r="D51" s="2579"/>
      <c r="E51" s="2001">
        <v>2.5</v>
      </c>
      <c r="F51" s="2001">
        <v>5</v>
      </c>
      <c r="G51" s="2001">
        <v>3.3333333333333335</v>
      </c>
      <c r="H51" s="2001">
        <v>2.5</v>
      </c>
      <c r="I51" s="2001">
        <v>2</v>
      </c>
      <c r="J51" s="2001">
        <f t="shared" si="72"/>
        <v>8.0645161290322578E-2</v>
      </c>
      <c r="K51" s="2584">
        <f t="shared" si="73"/>
        <v>7.8185251509444473E-4</v>
      </c>
      <c r="L51" s="2003"/>
      <c r="M51" s="1950"/>
      <c r="N51" s="2001">
        <f t="shared" ref="N51:T51" si="208">$J$51</f>
        <v>8.0645161290322578E-2</v>
      </c>
      <c r="O51" s="2001">
        <f t="shared" si="208"/>
        <v>8.0645161290322578E-2</v>
      </c>
      <c r="P51" s="2001">
        <f>$J$51</f>
        <v>8.0645161290322578E-2</v>
      </c>
      <c r="Q51" s="2001">
        <f t="shared" si="208"/>
        <v>8.0645161290322578E-2</v>
      </c>
      <c r="R51" s="2001">
        <f t="shared" si="208"/>
        <v>8.0645161290322578E-2</v>
      </c>
      <c r="S51" s="2001">
        <f t="shared" si="208"/>
        <v>8.0645161290322578E-2</v>
      </c>
      <c r="T51" s="2001">
        <f t="shared" si="208"/>
        <v>8.0645161290322578E-2</v>
      </c>
      <c r="U51" s="2809"/>
      <c r="V51" s="2481">
        <f t="shared" si="42"/>
        <v>0.56451612903225801</v>
      </c>
      <c r="W51" s="2482">
        <f t="shared" si="109"/>
        <v>1.02366777022543</v>
      </c>
      <c r="X51" s="2483">
        <f t="shared" si="93"/>
        <v>0.45915164119317198</v>
      </c>
      <c r="Y51" s="1896"/>
      <c r="Z51" s="2001">
        <f t="shared" ref="Z51:AF51" si="209">$J$51</f>
        <v>8.0645161290322578E-2</v>
      </c>
      <c r="AA51" s="2001">
        <f t="shared" si="209"/>
        <v>8.0645161290322578E-2</v>
      </c>
      <c r="AB51" s="2001">
        <f t="shared" si="209"/>
        <v>8.0645161290322578E-2</v>
      </c>
      <c r="AC51" s="2001">
        <f t="shared" si="209"/>
        <v>8.0645161290322578E-2</v>
      </c>
      <c r="AD51" s="2001">
        <f t="shared" si="209"/>
        <v>8.0645161290322578E-2</v>
      </c>
      <c r="AE51" s="2001">
        <f t="shared" si="209"/>
        <v>8.0645161290322578E-2</v>
      </c>
      <c r="AF51" s="2001">
        <f t="shared" si="209"/>
        <v>8.0645161290322578E-2</v>
      </c>
      <c r="AG51" s="1896"/>
      <c r="AH51" s="2481">
        <f t="shared" si="44"/>
        <v>0.56451612903225801</v>
      </c>
      <c r="AI51" s="2482">
        <f t="shared" si="85"/>
        <v>1.1625349409888999</v>
      </c>
      <c r="AJ51" s="2483">
        <f t="shared" si="45"/>
        <v>0.59801881195664186</v>
      </c>
      <c r="AK51" s="1896"/>
      <c r="AL51" s="2005">
        <f t="shared" ref="AL51:AR51" si="210">$J$51</f>
        <v>8.0645161290322578E-2</v>
      </c>
      <c r="AM51" s="2005">
        <f t="shared" si="210"/>
        <v>8.0645161290322578E-2</v>
      </c>
      <c r="AN51" s="2005">
        <f t="shared" si="210"/>
        <v>8.0645161290322578E-2</v>
      </c>
      <c r="AO51" s="2005">
        <f t="shared" si="210"/>
        <v>8.0645161290322578E-2</v>
      </c>
      <c r="AP51" s="2005">
        <f t="shared" si="210"/>
        <v>8.0645161290322578E-2</v>
      </c>
      <c r="AQ51" s="2005">
        <f t="shared" si="210"/>
        <v>8.0645161290322578E-2</v>
      </c>
      <c r="AR51" s="2005">
        <f t="shared" si="210"/>
        <v>8.0645161290322578E-2</v>
      </c>
      <c r="AS51" s="2295"/>
      <c r="AT51" s="2481">
        <f t="shared" si="96"/>
        <v>0.56451612903225801</v>
      </c>
      <c r="AU51" s="2482">
        <f t="shared" si="87"/>
        <v>1.4270301738777447</v>
      </c>
      <c r="AV51" s="2483">
        <f t="shared" si="97"/>
        <v>0.86251404484548666</v>
      </c>
      <c r="AW51" s="2295"/>
      <c r="AX51" s="2005">
        <f t="shared" ref="AX51:BD51" si="211">$J$51</f>
        <v>8.0645161290322578E-2</v>
      </c>
      <c r="AY51" s="2005">
        <f t="shared" si="211"/>
        <v>8.0645161290322578E-2</v>
      </c>
      <c r="AZ51" s="2005">
        <f t="shared" si="211"/>
        <v>8.0645161290322578E-2</v>
      </c>
      <c r="BA51" s="2005">
        <f t="shared" si="211"/>
        <v>8.0645161290322578E-2</v>
      </c>
      <c r="BB51" s="2005">
        <f t="shared" si="211"/>
        <v>8.0645161290322578E-2</v>
      </c>
      <c r="BC51" s="2005">
        <f t="shared" si="211"/>
        <v>8.0645161290322578E-2</v>
      </c>
      <c r="BD51" s="2005">
        <f t="shared" si="211"/>
        <v>8.0645161290322578E-2</v>
      </c>
      <c r="BE51" s="2295"/>
      <c r="BF51" s="2481">
        <f t="shared" si="99"/>
        <v>0.56451612903225801</v>
      </c>
      <c r="BG51" s="2482">
        <f t="shared" si="89"/>
        <v>1.210682982573446</v>
      </c>
      <c r="BH51" s="2483">
        <f t="shared" si="100"/>
        <v>0.64616685354118797</v>
      </c>
      <c r="BI51" s="2809"/>
      <c r="BJ51" s="2001">
        <f t="shared" ref="BJ51:BL51" si="212">$J$51</f>
        <v>8.0645161290322578E-2</v>
      </c>
      <c r="BK51" s="2001">
        <f t="shared" si="212"/>
        <v>8.0645161290322578E-2</v>
      </c>
      <c r="BL51" s="2001">
        <f t="shared" si="212"/>
        <v>8.0645161290322578E-2</v>
      </c>
      <c r="BM51" s="2809"/>
      <c r="BN51" s="2481">
        <f>SUM(BJ51:BL51)</f>
        <v>0.24193548387096775</v>
      </c>
      <c r="BO51" s="2482">
        <f>($BN$3*K51)*30%</f>
        <v>0.51862810528363423</v>
      </c>
      <c r="BP51" s="2483">
        <f>BO51-BN51</f>
        <v>0.27669262141266648</v>
      </c>
      <c r="BR51" s="1898">
        <v>0</v>
      </c>
      <c r="BS51" s="1899">
        <f t="shared" si="80"/>
        <v>0</v>
      </c>
      <c r="BT51" s="1900"/>
      <c r="BU51" s="2388">
        <f t="shared" si="81"/>
        <v>2.5</v>
      </c>
      <c r="BV51" s="2389">
        <f t="shared" si="82"/>
        <v>1</v>
      </c>
      <c r="BW51" s="2010"/>
      <c r="BX51" s="2808"/>
      <c r="BZ51" s="2808"/>
      <c r="CA51" s="2480"/>
      <c r="CB51" s="1962"/>
      <c r="CC51" s="1960"/>
      <c r="CD51" s="1906"/>
      <c r="CE51" s="1906"/>
      <c r="CF51" s="1906"/>
      <c r="CG51" s="1906"/>
      <c r="CH51" s="1906"/>
      <c r="CI51" s="2386"/>
    </row>
    <row r="52" spans="1:87" s="1726" customFormat="1" x14ac:dyDescent="0.2">
      <c r="B52" s="2508">
        <v>34</v>
      </c>
      <c r="C52" s="1963" t="s">
        <v>261</v>
      </c>
      <c r="D52" s="2578"/>
      <c r="E52" s="1728">
        <v>2.5</v>
      </c>
      <c r="F52" s="1728">
        <v>5</v>
      </c>
      <c r="G52" s="1728">
        <v>3.3333333333333335</v>
      </c>
      <c r="H52" s="1728">
        <v>2.5</v>
      </c>
      <c r="I52" s="1728">
        <v>2</v>
      </c>
      <c r="J52" s="1728">
        <f t="shared" si="72"/>
        <v>8.0645161290322578E-2</v>
      </c>
      <c r="K52" s="1729">
        <f t="shared" si="73"/>
        <v>7.8185251509444473E-4</v>
      </c>
      <c r="L52" s="1931"/>
      <c r="M52" s="1924"/>
      <c r="N52" s="1728">
        <f>$J$52</f>
        <v>8.0645161290322578E-2</v>
      </c>
      <c r="O52" s="1728">
        <f t="shared" ref="O52:T52" si="213">$J$52</f>
        <v>8.0645161290322578E-2</v>
      </c>
      <c r="P52" s="1728">
        <f t="shared" si="213"/>
        <v>8.0645161290322578E-2</v>
      </c>
      <c r="Q52" s="1728">
        <f t="shared" si="213"/>
        <v>8.0645161290322578E-2</v>
      </c>
      <c r="R52" s="1728">
        <f t="shared" si="213"/>
        <v>8.0645161290322578E-2</v>
      </c>
      <c r="S52" s="1728">
        <f t="shared" si="213"/>
        <v>8.0645161290322578E-2</v>
      </c>
      <c r="T52" s="1728">
        <f t="shared" si="213"/>
        <v>8.0645161290322578E-2</v>
      </c>
      <c r="U52" s="2838"/>
      <c r="V52" s="2016">
        <f t="shared" ref="V52:V53" si="214">SUM(N52:T52)</f>
        <v>0.56451612903225801</v>
      </c>
      <c r="W52" s="2017">
        <f t="shared" ref="W52:W53" si="215">($V$3*K52)*25%</f>
        <v>1.02366777022543</v>
      </c>
      <c r="X52" s="2018">
        <f t="shared" ref="X52:X53" si="216">W52-V52</f>
        <v>0.45915164119317198</v>
      </c>
      <c r="Y52" s="1881"/>
      <c r="Z52" s="1728">
        <f t="shared" ref="Z52:AF52" si="217">$J$52</f>
        <v>8.0645161290322578E-2</v>
      </c>
      <c r="AA52" s="1728">
        <f t="shared" si="217"/>
        <v>8.0645161290322578E-2</v>
      </c>
      <c r="AB52" s="1728">
        <f t="shared" si="217"/>
        <v>8.0645161290322578E-2</v>
      </c>
      <c r="AC52" s="1728">
        <f t="shared" si="217"/>
        <v>8.0645161290322578E-2</v>
      </c>
      <c r="AD52" s="1728">
        <f t="shared" si="217"/>
        <v>8.0645161290322578E-2</v>
      </c>
      <c r="AE52" s="1728">
        <f t="shared" si="217"/>
        <v>8.0645161290322578E-2</v>
      </c>
      <c r="AF52" s="1728">
        <f t="shared" si="217"/>
        <v>8.0645161290322578E-2</v>
      </c>
      <c r="AG52" s="1881"/>
      <c r="AH52" s="2016">
        <f t="shared" ref="AH52:AH53" si="218">SUM(Z52:AF52)</f>
        <v>0.56451612903225801</v>
      </c>
      <c r="AI52" s="2017">
        <f t="shared" ref="AI52:AI53" si="219">($AH$3*K52)*25%</f>
        <v>1.1625349409888999</v>
      </c>
      <c r="AJ52" s="2018">
        <f t="shared" ref="AJ52:AJ53" si="220">AI52-AH52</f>
        <v>0.59801881195664186</v>
      </c>
      <c r="AK52" s="1881"/>
      <c r="AL52" s="2268">
        <f t="shared" ref="AL52:AR52" si="221">$J$52</f>
        <v>8.0645161290322578E-2</v>
      </c>
      <c r="AM52" s="2268">
        <f t="shared" si="221"/>
        <v>8.0645161290322578E-2</v>
      </c>
      <c r="AN52" s="2268">
        <f t="shared" si="221"/>
        <v>8.0645161290322578E-2</v>
      </c>
      <c r="AO52" s="2268">
        <f t="shared" si="221"/>
        <v>8.0645161290322578E-2</v>
      </c>
      <c r="AP52" s="2268">
        <f t="shared" si="221"/>
        <v>8.0645161290322578E-2</v>
      </c>
      <c r="AQ52" s="2268">
        <f t="shared" si="221"/>
        <v>8.0645161290322578E-2</v>
      </c>
      <c r="AR52" s="2268">
        <f t="shared" si="221"/>
        <v>8.0645161290322578E-2</v>
      </c>
      <c r="AS52" s="2293"/>
      <c r="AT52" s="2016">
        <f t="shared" ref="AT52:AT53" si="222">SUM(AL52:AR52)</f>
        <v>0.56451612903225801</v>
      </c>
      <c r="AU52" s="2017">
        <f t="shared" ref="AU52:AU53" si="223">($AT$3*K52)*30%</f>
        <v>1.4270301738777447</v>
      </c>
      <c r="AV52" s="2018">
        <f t="shared" ref="AV52:AV53" si="224">AU52-AT52</f>
        <v>0.86251404484548666</v>
      </c>
      <c r="AW52" s="2293"/>
      <c r="AX52" s="2268">
        <f t="shared" ref="AX52:BD52" si="225">$J$52</f>
        <v>8.0645161290322578E-2</v>
      </c>
      <c r="AY52" s="2268">
        <f t="shared" si="225"/>
        <v>8.0645161290322578E-2</v>
      </c>
      <c r="AZ52" s="2268">
        <f t="shared" si="225"/>
        <v>8.0645161290322578E-2</v>
      </c>
      <c r="BA52" s="2268">
        <f t="shared" si="225"/>
        <v>8.0645161290322578E-2</v>
      </c>
      <c r="BB52" s="2268">
        <f t="shared" si="225"/>
        <v>8.0645161290322578E-2</v>
      </c>
      <c r="BC52" s="2268">
        <f t="shared" si="225"/>
        <v>8.0645161290322578E-2</v>
      </c>
      <c r="BD52" s="2268">
        <f t="shared" si="225"/>
        <v>8.0645161290322578E-2</v>
      </c>
      <c r="BE52" s="2293"/>
      <c r="BF52" s="2016">
        <f t="shared" ref="BF52:BF53" si="226">SUM(AX52:BD52)</f>
        <v>0.56451612903225801</v>
      </c>
      <c r="BG52" s="2017">
        <f t="shared" ref="BG52:BG53" si="227">($BF$3*K52)*30%</f>
        <v>1.210682982573446</v>
      </c>
      <c r="BH52" s="2018">
        <f t="shared" ref="BH52:BH53" si="228">BG52-BF52</f>
        <v>0.64616685354118797</v>
      </c>
      <c r="BI52" s="2838"/>
      <c r="BJ52" s="1728">
        <f t="shared" ref="BJ52:BL52" si="229">$J$52</f>
        <v>8.0645161290322578E-2</v>
      </c>
      <c r="BK52" s="1728">
        <f t="shared" si="229"/>
        <v>8.0645161290322578E-2</v>
      </c>
      <c r="BL52" s="1728">
        <f t="shared" si="229"/>
        <v>8.0645161290322578E-2</v>
      </c>
      <c r="BM52" s="2838"/>
      <c r="BN52" s="2016">
        <f t="shared" ref="BN52:BN53" si="230">SUM(BJ52:BL52)</f>
        <v>0.24193548387096775</v>
      </c>
      <c r="BO52" s="2017">
        <f t="shared" ref="BO52:BO53" si="231">($BN$3*K52)*30%</f>
        <v>0.51862810528363423</v>
      </c>
      <c r="BP52" s="2018">
        <f t="shared" ref="BP52:BP53" si="232">BO52-BN52</f>
        <v>0.27669262141266648</v>
      </c>
      <c r="BR52" s="1732">
        <v>0</v>
      </c>
      <c r="BS52" s="1882">
        <f t="shared" ref="BS52:BS53" si="233">BR52/E52</f>
        <v>0</v>
      </c>
      <c r="BT52" s="1740"/>
      <c r="BU52" s="2019">
        <f t="shared" ref="BU52:BU53" si="234">SUM(N52:T52)+SUM(Z52:AF52)+SUM(AL52:AR52)+SUM(AX52:BD52)+SUM(BJ52:BL52)</f>
        <v>2.5</v>
      </c>
      <c r="BV52" s="2020">
        <f t="shared" ref="BV52:BV53" si="235">BU52/E52</f>
        <v>1</v>
      </c>
      <c r="BW52" s="1997"/>
      <c r="BX52" s="2837"/>
      <c r="BZ52" s="2837"/>
      <c r="CA52" s="2015"/>
      <c r="CB52" s="1830"/>
      <c r="CC52" s="1817"/>
      <c r="CD52" s="1810"/>
      <c r="CE52" s="1810"/>
      <c r="CF52" s="1810"/>
      <c r="CG52" s="1810"/>
      <c r="CH52" s="1810"/>
      <c r="CI52" s="1986"/>
    </row>
    <row r="53" spans="1:87" s="1885" customFormat="1" x14ac:dyDescent="0.2">
      <c r="B53" s="2580">
        <v>35</v>
      </c>
      <c r="C53" s="2000" t="s">
        <v>262</v>
      </c>
      <c r="D53" s="2579"/>
      <c r="E53" s="2001">
        <v>50</v>
      </c>
      <c r="F53" s="2001"/>
      <c r="G53" s="2001"/>
      <c r="H53" s="2001"/>
      <c r="I53" s="2001"/>
      <c r="J53" s="2001">
        <f t="shared" si="72"/>
        <v>1.6129032258064515</v>
      </c>
      <c r="K53" s="2584">
        <f t="shared" si="73"/>
        <v>1.5637050301888895E-2</v>
      </c>
      <c r="L53" s="2003"/>
      <c r="M53" s="1950"/>
      <c r="N53" s="2001">
        <f>$J$53</f>
        <v>1.6129032258064515</v>
      </c>
      <c r="O53" s="2001">
        <f t="shared" ref="O53:T53" si="236">$J$53</f>
        <v>1.6129032258064515</v>
      </c>
      <c r="P53" s="2001">
        <f t="shared" si="236"/>
        <v>1.6129032258064515</v>
      </c>
      <c r="Q53" s="2001">
        <f t="shared" si="236"/>
        <v>1.6129032258064515</v>
      </c>
      <c r="R53" s="2001">
        <f t="shared" si="236"/>
        <v>1.6129032258064515</v>
      </c>
      <c r="S53" s="2001">
        <f t="shared" si="236"/>
        <v>1.6129032258064515</v>
      </c>
      <c r="T53" s="2001">
        <f t="shared" si="236"/>
        <v>1.6129032258064515</v>
      </c>
      <c r="U53" s="2836"/>
      <c r="V53" s="2481">
        <f t="shared" si="214"/>
        <v>11.290322580645162</v>
      </c>
      <c r="W53" s="2482">
        <f t="shared" si="215"/>
        <v>20.473355404508599</v>
      </c>
      <c r="X53" s="2483">
        <f t="shared" si="216"/>
        <v>9.1830328238634369</v>
      </c>
      <c r="Y53" s="1896"/>
      <c r="Z53" s="2001">
        <f t="shared" ref="Z53:AF53" si="237">$J$53</f>
        <v>1.6129032258064515</v>
      </c>
      <c r="AA53" s="2001">
        <f t="shared" si="237"/>
        <v>1.6129032258064515</v>
      </c>
      <c r="AB53" s="2001">
        <f t="shared" si="237"/>
        <v>1.6129032258064515</v>
      </c>
      <c r="AC53" s="2001">
        <f t="shared" si="237"/>
        <v>1.6129032258064515</v>
      </c>
      <c r="AD53" s="2001">
        <f t="shared" si="237"/>
        <v>1.6129032258064515</v>
      </c>
      <c r="AE53" s="2001">
        <f t="shared" si="237"/>
        <v>1.6129032258064515</v>
      </c>
      <c r="AF53" s="2001">
        <f t="shared" si="237"/>
        <v>1.6129032258064515</v>
      </c>
      <c r="AG53" s="1896"/>
      <c r="AH53" s="2481">
        <f t="shared" si="218"/>
        <v>11.290322580645162</v>
      </c>
      <c r="AI53" s="2482">
        <f t="shared" si="219"/>
        <v>23.250698819777998</v>
      </c>
      <c r="AJ53" s="2483">
        <f t="shared" si="220"/>
        <v>11.960376239132836</v>
      </c>
      <c r="AK53" s="1896"/>
      <c r="AL53" s="2005">
        <f t="shared" ref="AL53:AR53" si="238">$J$53</f>
        <v>1.6129032258064515</v>
      </c>
      <c r="AM53" s="2005">
        <f t="shared" si="238"/>
        <v>1.6129032258064515</v>
      </c>
      <c r="AN53" s="2005">
        <f t="shared" si="238"/>
        <v>1.6129032258064515</v>
      </c>
      <c r="AO53" s="2005">
        <f t="shared" si="238"/>
        <v>1.6129032258064515</v>
      </c>
      <c r="AP53" s="2005">
        <f t="shared" si="238"/>
        <v>1.6129032258064515</v>
      </c>
      <c r="AQ53" s="2005">
        <f t="shared" si="238"/>
        <v>1.6129032258064515</v>
      </c>
      <c r="AR53" s="2005">
        <f t="shared" si="238"/>
        <v>1.6129032258064515</v>
      </c>
      <c r="AS53" s="2295"/>
      <c r="AT53" s="2481">
        <f t="shared" si="222"/>
        <v>11.290322580645162</v>
      </c>
      <c r="AU53" s="2482">
        <f t="shared" si="223"/>
        <v>28.540603477554896</v>
      </c>
      <c r="AV53" s="2483">
        <f t="shared" si="224"/>
        <v>17.250280896909736</v>
      </c>
      <c r="AW53" s="2295"/>
      <c r="AX53" s="2005">
        <f t="shared" ref="AX53:BD53" si="239">$J$53</f>
        <v>1.6129032258064515</v>
      </c>
      <c r="AY53" s="2005">
        <f t="shared" si="239"/>
        <v>1.6129032258064515</v>
      </c>
      <c r="AZ53" s="2005">
        <f t="shared" si="239"/>
        <v>1.6129032258064515</v>
      </c>
      <c r="BA53" s="2005">
        <f t="shared" si="239"/>
        <v>1.6129032258064515</v>
      </c>
      <c r="BB53" s="2005">
        <f t="shared" si="239"/>
        <v>1.6129032258064515</v>
      </c>
      <c r="BC53" s="2005">
        <f t="shared" si="239"/>
        <v>1.6129032258064515</v>
      </c>
      <c r="BD53" s="2005">
        <f t="shared" si="239"/>
        <v>1.6129032258064515</v>
      </c>
      <c r="BE53" s="2295"/>
      <c r="BF53" s="2481">
        <f t="shared" si="226"/>
        <v>11.290322580645162</v>
      </c>
      <c r="BG53" s="2482">
        <f t="shared" si="227"/>
        <v>24.213659651468916</v>
      </c>
      <c r="BH53" s="2483">
        <f t="shared" si="228"/>
        <v>12.923337070823754</v>
      </c>
      <c r="BI53" s="2836"/>
      <c r="BJ53" s="2001">
        <f t="shared" ref="BJ53:BL53" si="240">$J$53</f>
        <v>1.6129032258064515</v>
      </c>
      <c r="BK53" s="2001">
        <f t="shared" si="240"/>
        <v>1.6129032258064515</v>
      </c>
      <c r="BL53" s="2001">
        <f t="shared" si="240"/>
        <v>1.6129032258064515</v>
      </c>
      <c r="BM53" s="2836"/>
      <c r="BN53" s="2481">
        <f t="shared" si="230"/>
        <v>4.8387096774193541</v>
      </c>
      <c r="BO53" s="2482">
        <f t="shared" si="231"/>
        <v>10.372562105672687</v>
      </c>
      <c r="BP53" s="2483">
        <f t="shared" si="232"/>
        <v>5.5338524282533328</v>
      </c>
      <c r="BR53" s="1898">
        <v>0</v>
      </c>
      <c r="BS53" s="1899">
        <f t="shared" si="233"/>
        <v>0</v>
      </c>
      <c r="BT53" s="1900"/>
      <c r="BU53" s="2388">
        <f t="shared" si="234"/>
        <v>50</v>
      </c>
      <c r="BV53" s="2389">
        <f t="shared" si="235"/>
        <v>1</v>
      </c>
      <c r="BW53" s="2010"/>
      <c r="BX53" s="2835"/>
      <c r="BZ53" s="2835"/>
      <c r="CA53" s="2480"/>
      <c r="CB53" s="1962"/>
      <c r="CC53" s="1960"/>
      <c r="CD53" s="1906"/>
      <c r="CE53" s="1906"/>
      <c r="CF53" s="1906"/>
      <c r="CG53" s="1906"/>
      <c r="CH53" s="1906"/>
      <c r="CI53" s="2386"/>
    </row>
    <row r="54" spans="1:87" s="1726" customFormat="1" ht="17.25" thickBot="1" x14ac:dyDescent="0.25">
      <c r="B54" s="1963">
        <v>36</v>
      </c>
      <c r="C54" s="1963"/>
      <c r="D54" s="2578"/>
      <c r="E54" s="1728">
        <v>0</v>
      </c>
      <c r="F54" s="1728">
        <v>5</v>
      </c>
      <c r="G54" s="1728">
        <v>3.3333333333333335</v>
      </c>
      <c r="H54" s="1728">
        <v>2.5</v>
      </c>
      <c r="I54" s="1728">
        <v>2</v>
      </c>
      <c r="J54" s="1728">
        <f t="shared" si="72"/>
        <v>0</v>
      </c>
      <c r="K54" s="1729">
        <f t="shared" si="73"/>
        <v>0</v>
      </c>
      <c r="L54" s="1931"/>
      <c r="M54" s="1924"/>
      <c r="N54" s="1728">
        <f t="shared" ref="N54:T54" si="241">$J$54</f>
        <v>0</v>
      </c>
      <c r="O54" s="1728">
        <f t="shared" si="241"/>
        <v>0</v>
      </c>
      <c r="P54" s="1728">
        <f t="shared" si="241"/>
        <v>0</v>
      </c>
      <c r="Q54" s="1728">
        <f t="shared" si="241"/>
        <v>0</v>
      </c>
      <c r="R54" s="1728">
        <f t="shared" si="241"/>
        <v>0</v>
      </c>
      <c r="S54" s="1728">
        <f t="shared" si="241"/>
        <v>0</v>
      </c>
      <c r="T54" s="1728">
        <f t="shared" si="241"/>
        <v>0</v>
      </c>
      <c r="U54" s="2811"/>
      <c r="V54" s="2799">
        <f>SUM(N54:T54)</f>
        <v>0</v>
      </c>
      <c r="W54" s="2800">
        <f t="shared" si="109"/>
        <v>0</v>
      </c>
      <c r="X54" s="2801">
        <f>W54-V54</f>
        <v>0</v>
      </c>
      <c r="Y54" s="1881"/>
      <c r="Z54" s="1728">
        <f t="shared" ref="Z54:AF54" si="242">$J$54</f>
        <v>0</v>
      </c>
      <c r="AA54" s="1728">
        <f t="shared" si="242"/>
        <v>0</v>
      </c>
      <c r="AB54" s="1728">
        <f t="shared" si="242"/>
        <v>0</v>
      </c>
      <c r="AC54" s="1728">
        <f t="shared" si="242"/>
        <v>0</v>
      </c>
      <c r="AD54" s="1728">
        <f t="shared" si="242"/>
        <v>0</v>
      </c>
      <c r="AE54" s="1728">
        <f t="shared" si="242"/>
        <v>0</v>
      </c>
      <c r="AF54" s="1728">
        <f t="shared" si="242"/>
        <v>0</v>
      </c>
      <c r="AG54" s="1881"/>
      <c r="AH54" s="2799">
        <f t="shared" si="44"/>
        <v>0</v>
      </c>
      <c r="AI54" s="2800">
        <f t="shared" si="85"/>
        <v>0</v>
      </c>
      <c r="AJ54" s="2801">
        <f t="shared" si="45"/>
        <v>0</v>
      </c>
      <c r="AK54" s="1881"/>
      <c r="AL54" s="2268">
        <f t="shared" ref="AL54:AR54" si="243">$J$54</f>
        <v>0</v>
      </c>
      <c r="AM54" s="2268">
        <f t="shared" si="243"/>
        <v>0</v>
      </c>
      <c r="AN54" s="2268">
        <f t="shared" si="243"/>
        <v>0</v>
      </c>
      <c r="AO54" s="2268">
        <f t="shared" si="243"/>
        <v>0</v>
      </c>
      <c r="AP54" s="2268">
        <f t="shared" si="243"/>
        <v>0</v>
      </c>
      <c r="AQ54" s="2268">
        <f t="shared" si="243"/>
        <v>0</v>
      </c>
      <c r="AR54" s="2268">
        <f t="shared" si="243"/>
        <v>0</v>
      </c>
      <c r="AS54" s="2293"/>
      <c r="AT54" s="2799">
        <f t="shared" si="96"/>
        <v>0</v>
      </c>
      <c r="AU54" s="2800">
        <f t="shared" si="87"/>
        <v>0</v>
      </c>
      <c r="AV54" s="2801">
        <f t="shared" si="97"/>
        <v>0</v>
      </c>
      <c r="AW54" s="2293"/>
      <c r="AX54" s="2268">
        <f t="shared" ref="AX54:BD54" si="244">$J$54</f>
        <v>0</v>
      </c>
      <c r="AY54" s="2268">
        <f t="shared" si="244"/>
        <v>0</v>
      </c>
      <c r="AZ54" s="2268">
        <f t="shared" si="244"/>
        <v>0</v>
      </c>
      <c r="BA54" s="2268">
        <f t="shared" si="244"/>
        <v>0</v>
      </c>
      <c r="BB54" s="2268">
        <f t="shared" si="244"/>
        <v>0</v>
      </c>
      <c r="BC54" s="2268">
        <f t="shared" si="244"/>
        <v>0</v>
      </c>
      <c r="BD54" s="2268">
        <f t="shared" si="244"/>
        <v>0</v>
      </c>
      <c r="BE54" s="2293"/>
      <c r="BF54" s="2799">
        <f t="shared" si="99"/>
        <v>0</v>
      </c>
      <c r="BG54" s="2800">
        <f t="shared" si="89"/>
        <v>0</v>
      </c>
      <c r="BH54" s="2801">
        <f t="shared" si="100"/>
        <v>0</v>
      </c>
      <c r="BI54" s="2811"/>
      <c r="BJ54" s="1728">
        <f t="shared" ref="BJ54:BL54" si="245">$J$54</f>
        <v>0</v>
      </c>
      <c r="BK54" s="1728">
        <f t="shared" si="245"/>
        <v>0</v>
      </c>
      <c r="BL54" s="1728">
        <f t="shared" si="245"/>
        <v>0</v>
      </c>
      <c r="BM54" s="2811"/>
      <c r="BN54" s="2799">
        <f t="shared" si="79"/>
        <v>0</v>
      </c>
      <c r="BO54" s="2800">
        <f t="shared" si="91"/>
        <v>0</v>
      </c>
      <c r="BP54" s="2801">
        <f t="shared" si="129"/>
        <v>0</v>
      </c>
      <c r="BR54" s="1732">
        <v>0</v>
      </c>
      <c r="BS54" s="1882" t="e">
        <f t="shared" si="80"/>
        <v>#DIV/0!</v>
      </c>
      <c r="BT54" s="1740"/>
      <c r="BU54" s="2226">
        <f>SUM(N54:T54)+SUM(Z54:AF54)+SUM(AL54:AR54)+SUM(AX54:BD54)+SUM(BJ54:BL54)</f>
        <v>0</v>
      </c>
      <c r="BV54" s="2802" t="e">
        <f t="shared" si="82"/>
        <v>#DIV/0!</v>
      </c>
      <c r="BW54" s="1997"/>
      <c r="BX54" s="2810"/>
      <c r="BZ54" s="2810"/>
      <c r="CA54" s="2015"/>
      <c r="CB54" s="1997"/>
      <c r="CC54" s="1861"/>
      <c r="CD54" s="1860"/>
      <c r="CE54" s="1860"/>
      <c r="CF54" s="1860"/>
      <c r="CG54" s="1860"/>
      <c r="CH54" s="1860"/>
      <c r="CI54" s="1998"/>
    </row>
    <row r="55" spans="1:87" s="1923" customFormat="1" ht="4.5" customHeight="1" thickBot="1" x14ac:dyDescent="0.25">
      <c r="B55" s="2525"/>
      <c r="C55" s="2526"/>
      <c r="D55" s="1800"/>
      <c r="E55" s="2527"/>
      <c r="F55" s="2527"/>
      <c r="G55" s="2527"/>
      <c r="H55" s="2527"/>
      <c r="I55" s="2527"/>
      <c r="J55" s="2527"/>
      <c r="K55" s="2528"/>
      <c r="L55" s="1866"/>
      <c r="M55" s="1867"/>
      <c r="N55" s="2026"/>
      <c r="O55" s="2026"/>
      <c r="P55" s="2026"/>
      <c r="Q55" s="2026"/>
      <c r="R55" s="2026"/>
      <c r="S55" s="2026"/>
      <c r="T55" s="2026"/>
      <c r="U55" s="2606"/>
      <c r="V55" s="2606"/>
      <c r="W55" s="2606"/>
      <c r="X55" s="2606"/>
      <c r="Y55" s="1915"/>
      <c r="Z55" s="2026"/>
      <c r="AA55" s="2026"/>
      <c r="AB55" s="2026"/>
      <c r="AC55" s="2026"/>
      <c r="AD55" s="2026"/>
      <c r="AE55" s="2026"/>
      <c r="AF55" s="2026"/>
      <c r="AG55" s="1915"/>
      <c r="AH55" s="2606"/>
      <c r="AI55" s="2606"/>
      <c r="AJ55" s="2606"/>
      <c r="AK55" s="1915"/>
      <c r="AL55" s="2026"/>
      <c r="AM55" s="2026"/>
      <c r="AN55" s="2026"/>
      <c r="AO55" s="2026"/>
      <c r="AP55" s="2026"/>
      <c r="AQ55" s="2026"/>
      <c r="AR55" s="2026"/>
      <c r="AS55" s="2606"/>
      <c r="AT55" s="2606"/>
      <c r="AU55" s="2606"/>
      <c r="AV55" s="2606"/>
      <c r="AW55" s="2606"/>
      <c r="AX55" s="2026"/>
      <c r="AY55" s="2026"/>
      <c r="AZ55" s="2026"/>
      <c r="BA55" s="2026"/>
      <c r="BB55" s="2026"/>
      <c r="BC55" s="2026"/>
      <c r="BD55" s="2026"/>
      <c r="BE55" s="2606"/>
      <c r="BF55" s="2606"/>
      <c r="BG55" s="2606"/>
      <c r="BH55" s="2606"/>
      <c r="BI55" s="2606"/>
      <c r="BJ55" s="2026"/>
      <c r="BK55" s="2026"/>
      <c r="BL55" s="2026"/>
      <c r="BM55" s="2606"/>
      <c r="BN55" s="2606"/>
      <c r="BO55" s="2606"/>
      <c r="BP55" s="2606"/>
      <c r="BR55" s="2606"/>
      <c r="BS55" s="1993"/>
      <c r="BT55" s="1994"/>
      <c r="BU55" s="2027"/>
      <c r="BV55" s="2028"/>
      <c r="BW55" s="1993"/>
      <c r="BX55" s="1916"/>
      <c r="BZ55" s="1916"/>
      <c r="CA55" s="2029"/>
      <c r="CB55" s="2030"/>
      <c r="CC55" s="1994"/>
      <c r="CI55" s="1995"/>
    </row>
    <row r="56" spans="1:87" s="1885" customFormat="1" ht="17.25" thickBot="1" x14ac:dyDescent="0.25">
      <c r="B56" s="2000"/>
      <c r="C56" s="2803">
        <f>E56*100/25</f>
        <v>12790.135999999999</v>
      </c>
      <c r="D56" s="1888"/>
      <c r="E56" s="2001">
        <f>SUM(E31:E54)</f>
        <v>3197.5339999999997</v>
      </c>
      <c r="F56" s="2001">
        <f t="shared" ref="F56:K56" si="246">SUM(F31:F54)</f>
        <v>274.13333333333333</v>
      </c>
      <c r="G56" s="2001">
        <f t="shared" si="246"/>
        <v>182.75555555555559</v>
      </c>
      <c r="H56" s="2001">
        <f t="shared" si="246"/>
        <v>137.06666666666666</v>
      </c>
      <c r="I56" s="2001">
        <f t="shared" si="246"/>
        <v>109.65333333333334</v>
      </c>
      <c r="J56" s="2001">
        <f>SUM(J31:J54)</f>
        <v>103.14625806451613</v>
      </c>
      <c r="K56" s="2584">
        <f t="shared" si="246"/>
        <v>1.0000000000000002</v>
      </c>
      <c r="L56" s="1949"/>
      <c r="M56" s="1950"/>
      <c r="N56" s="2001">
        <f>SUM(N31:N54)</f>
        <v>103.14625806451613</v>
      </c>
      <c r="O56" s="2001">
        <f t="shared" ref="O56:S56" si="247">SUM(O31:O54)</f>
        <v>103.14625806451613</v>
      </c>
      <c r="P56" s="2001">
        <f t="shared" si="247"/>
        <v>103.14625806451613</v>
      </c>
      <c r="Q56" s="2001">
        <f t="shared" si="247"/>
        <v>103.14625806451613</v>
      </c>
      <c r="R56" s="2001">
        <f t="shared" si="247"/>
        <v>103.14625806451613</v>
      </c>
      <c r="S56" s="2001">
        <f t="shared" si="247"/>
        <v>103.14625806451613</v>
      </c>
      <c r="T56" s="2001">
        <f t="shared" ref="T56" si="248">SUM(T31:T54)</f>
        <v>103.14625806451613</v>
      </c>
      <c r="U56" s="2785"/>
      <c r="V56" s="2804">
        <f>SUM(V31:V54)</f>
        <v>722.02380645161281</v>
      </c>
      <c r="W56" s="2805">
        <f t="shared" ref="W56:X56" si="249">SUM(W31:W54)</f>
        <v>1309.2850000000005</v>
      </c>
      <c r="X56" s="2806">
        <f t="shared" si="249"/>
        <v>587.26119354838727</v>
      </c>
      <c r="Y56" s="1896"/>
      <c r="Z56" s="2001">
        <f t="shared" ref="Z56:AA56" si="250">SUM(Z31:Z54)</f>
        <v>103.14625806451613</v>
      </c>
      <c r="AA56" s="2001">
        <f t="shared" si="250"/>
        <v>103.14625806451613</v>
      </c>
      <c r="AB56" s="2001">
        <f t="shared" ref="AB56:AC56" si="251">SUM(AB31:AB54)</f>
        <v>103.14625806451613</v>
      </c>
      <c r="AC56" s="2001">
        <f t="shared" si="251"/>
        <v>103.14625806451613</v>
      </c>
      <c r="AD56" s="2001">
        <f t="shared" ref="AD56:AE56" si="252">SUM(AD31:AD54)</f>
        <v>103.14625806451613</v>
      </c>
      <c r="AE56" s="2001">
        <f t="shared" si="252"/>
        <v>103.14625806451613</v>
      </c>
      <c r="AF56" s="2001">
        <f t="shared" ref="AF56" si="253">SUM(AF31:AF54)</f>
        <v>103.14625806451613</v>
      </c>
      <c r="AG56" s="1896"/>
      <c r="AH56" s="2804">
        <f>SUM(AH31:AH54)</f>
        <v>722.02380645161281</v>
      </c>
      <c r="AI56" s="2805">
        <f>SUM(AI31:AI54)</f>
        <v>1486.8980000000004</v>
      </c>
      <c r="AJ56" s="2806">
        <f>SUM(AJ31:AJ54)</f>
        <v>764.87419354838755</v>
      </c>
      <c r="AK56" s="1896"/>
      <c r="AL56" s="2005">
        <f t="shared" ref="AL56:AM56" si="254">SUM(AL31:AL54)</f>
        <v>103.14625806451613</v>
      </c>
      <c r="AM56" s="2005">
        <f t="shared" si="254"/>
        <v>103.14625806451613</v>
      </c>
      <c r="AN56" s="2005">
        <f t="shared" ref="AN56:AO56" si="255">SUM(AN31:AN54)</f>
        <v>103.14625806451613</v>
      </c>
      <c r="AO56" s="2005">
        <f t="shared" si="255"/>
        <v>103.14625806451613</v>
      </c>
      <c r="AP56" s="2005">
        <f t="shared" ref="AP56:AQ56" si="256">SUM(AP31:AP54)</f>
        <v>103.14625806451613</v>
      </c>
      <c r="AQ56" s="2005">
        <f t="shared" si="256"/>
        <v>103.14625806451613</v>
      </c>
      <c r="AR56" s="2005">
        <f t="shared" ref="AR56" si="257">SUM(AR31:AR54)</f>
        <v>103.14625806451613</v>
      </c>
      <c r="AS56" s="2295"/>
      <c r="AT56" s="2804">
        <f>SUM(AT31:AT54)</f>
        <v>722.02380645161281</v>
      </c>
      <c r="AU56" s="2805">
        <f>SUM(AU31:AU54)</f>
        <v>1825.191</v>
      </c>
      <c r="AV56" s="2806">
        <f>SUM(AV31:AV54)</f>
        <v>1103.1671935483878</v>
      </c>
      <c r="AW56" s="2295"/>
      <c r="AX56" s="2005">
        <f t="shared" ref="AX56:AY56" si="258">SUM(AX31:AX54)</f>
        <v>103.14625806451613</v>
      </c>
      <c r="AY56" s="2005">
        <f t="shared" si="258"/>
        <v>103.14625806451613</v>
      </c>
      <c r="AZ56" s="2005">
        <f t="shared" ref="AZ56:BA56" si="259">SUM(AZ31:AZ54)</f>
        <v>103.14625806451613</v>
      </c>
      <c r="BA56" s="2005">
        <f t="shared" si="259"/>
        <v>103.14625806451613</v>
      </c>
      <c r="BB56" s="2005">
        <f t="shared" ref="BB56:BC56" si="260">SUM(BB31:BB54)</f>
        <v>103.14625806451613</v>
      </c>
      <c r="BC56" s="2005">
        <f t="shared" si="260"/>
        <v>103.14625806451613</v>
      </c>
      <c r="BD56" s="2005">
        <f t="shared" ref="BD56" si="261">SUM(BD31:BD54)</f>
        <v>103.14625806451613</v>
      </c>
      <c r="BE56" s="2295"/>
      <c r="BF56" s="2804">
        <f>SUM(BF31:BF54)</f>
        <v>722.02380645161281</v>
      </c>
      <c r="BG56" s="2805">
        <f>SUM(BG31:BG54)</f>
        <v>1548.4800000000007</v>
      </c>
      <c r="BH56" s="2806">
        <f>SUM(BH31:BH54)</f>
        <v>826.45619354838743</v>
      </c>
      <c r="BI56" s="2785"/>
      <c r="BJ56" s="2005">
        <f t="shared" ref="BJ56" si="262">SUM(BJ31:BJ54)</f>
        <v>103.14625806451613</v>
      </c>
      <c r="BK56" s="2005">
        <f t="shared" ref="BK56" si="263">SUM(BK31:BK54)</f>
        <v>103.14625806451613</v>
      </c>
      <c r="BL56" s="2005">
        <f t="shared" ref="BL56" si="264">SUM(BL31:BL54)</f>
        <v>103.14625806451613</v>
      </c>
      <c r="BM56" s="2785"/>
      <c r="BN56" s="2804">
        <f>SUM(BN31:BN54)</f>
        <v>309.43877419354828</v>
      </c>
      <c r="BO56" s="2805">
        <f>SUM(BO31:BO54)</f>
        <v>663.33240000000001</v>
      </c>
      <c r="BP56" s="2806">
        <f>SUM(BP31:BP54)</f>
        <v>353.89362580645184</v>
      </c>
      <c r="BR56" s="2397">
        <f>SUM(BR31:BR54)</f>
        <v>0</v>
      </c>
      <c r="BS56" s="2398">
        <f>BR56/E56</f>
        <v>0</v>
      </c>
      <c r="BT56" s="1900"/>
      <c r="BU56" s="2397">
        <f>SUM(BU31:BU54)</f>
        <v>3197.5339999999992</v>
      </c>
      <c r="BV56" s="2398">
        <f>BU56/E56</f>
        <v>0.99999999999999989</v>
      </c>
      <c r="BW56" s="2010"/>
      <c r="BX56" s="2784"/>
      <c r="BZ56" s="2784"/>
      <c r="CA56" s="2839"/>
      <c r="CD56" s="1946"/>
      <c r="CE56" s="1946"/>
      <c r="CF56" s="1946"/>
      <c r="CG56" s="1946"/>
      <c r="CH56" s="1946"/>
      <c r="CI56" s="2012"/>
    </row>
    <row r="57" spans="1:87" s="1947" customFormat="1" ht="4.5" customHeight="1" thickBot="1" x14ac:dyDescent="0.25">
      <c r="B57" s="2634"/>
      <c r="C57" s="2635"/>
      <c r="D57" s="1906"/>
      <c r="E57" s="2392"/>
      <c r="F57" s="2392"/>
      <c r="G57" s="2392"/>
      <c r="H57" s="2392"/>
      <c r="I57" s="2392"/>
      <c r="J57" s="2392"/>
      <c r="K57" s="2636"/>
      <c r="L57" s="1949"/>
      <c r="M57" s="1950"/>
      <c r="N57" s="2392"/>
      <c r="O57" s="2392"/>
      <c r="P57" s="2392"/>
      <c r="Q57" s="2392"/>
      <c r="R57" s="2392"/>
      <c r="S57" s="2392"/>
      <c r="T57" s="2392"/>
      <c r="U57" s="1951"/>
      <c r="V57" s="1951"/>
      <c r="W57" s="1951"/>
      <c r="X57" s="1951"/>
      <c r="Y57" s="1956"/>
      <c r="Z57" s="2392"/>
      <c r="AA57" s="2392"/>
      <c r="AB57" s="2392"/>
      <c r="AC57" s="2392"/>
      <c r="AD57" s="2392"/>
      <c r="AE57" s="2392"/>
      <c r="AF57" s="2392"/>
      <c r="AG57" s="1956"/>
      <c r="AH57" s="1951"/>
      <c r="AI57" s="1951"/>
      <c r="AJ57" s="1951"/>
      <c r="AK57" s="1956"/>
      <c r="AL57" s="2392"/>
      <c r="AM57" s="2392"/>
      <c r="AN57" s="2392"/>
      <c r="AO57" s="2392"/>
      <c r="AP57" s="2392"/>
      <c r="AQ57" s="2392"/>
      <c r="AR57" s="2392"/>
      <c r="AS57" s="1951"/>
      <c r="AT57" s="1951"/>
      <c r="AU57" s="1951"/>
      <c r="AV57" s="1951"/>
      <c r="AW57" s="1951"/>
      <c r="AX57" s="2392"/>
      <c r="AY57" s="2392"/>
      <c r="AZ57" s="2392"/>
      <c r="BA57" s="2392"/>
      <c r="BB57" s="2392"/>
      <c r="BC57" s="2392"/>
      <c r="BD57" s="2392"/>
      <c r="BE57" s="1951"/>
      <c r="BF57" s="1951"/>
      <c r="BG57" s="1951"/>
      <c r="BH57" s="1951"/>
      <c r="BI57" s="1951"/>
      <c r="BJ57" s="2392"/>
      <c r="BK57" s="2392"/>
      <c r="BL57" s="2392"/>
      <c r="BM57" s="1951"/>
      <c r="BN57" s="1951"/>
      <c r="BO57" s="1951"/>
      <c r="BP57" s="1951"/>
      <c r="BR57" s="1951"/>
      <c r="BS57" s="1962"/>
      <c r="BT57" s="1959"/>
      <c r="BU57" s="1951"/>
      <c r="BV57" s="1962"/>
      <c r="BW57" s="1962"/>
      <c r="BX57" s="1905"/>
      <c r="BZ57" s="1905"/>
      <c r="CA57" s="2840"/>
      <c r="CD57" s="1906"/>
      <c r="CE57" s="1906"/>
      <c r="CF57" s="1906"/>
      <c r="CG57" s="1906"/>
      <c r="CH57" s="1906"/>
      <c r="CI57" s="2386"/>
    </row>
    <row r="58" spans="1:87" s="1726" customFormat="1" ht="17.25" thickBot="1" x14ac:dyDescent="0.25">
      <c r="B58" s="1963">
        <v>30</v>
      </c>
      <c r="C58" s="2000"/>
      <c r="D58" s="1727"/>
      <c r="E58" s="1728"/>
      <c r="F58" s="1728"/>
      <c r="G58" s="1728"/>
      <c r="H58" s="1728"/>
      <c r="I58" s="1728"/>
      <c r="J58" s="1728"/>
      <c r="K58" s="1729"/>
      <c r="L58" s="1760"/>
      <c r="M58" s="1924"/>
      <c r="N58" s="1728"/>
      <c r="O58" s="1728"/>
      <c r="P58" s="1728"/>
      <c r="Q58" s="1728"/>
      <c r="R58" s="1728"/>
      <c r="S58" s="1728"/>
      <c r="T58" s="1728"/>
      <c r="U58" s="2604"/>
      <c r="V58" s="2031"/>
      <c r="W58" s="2032"/>
      <c r="X58" s="2033"/>
      <c r="Y58" s="1881"/>
      <c r="Z58" s="1728"/>
      <c r="AA58" s="1728"/>
      <c r="AB58" s="1728"/>
      <c r="AC58" s="1728"/>
      <c r="AD58" s="1728"/>
      <c r="AE58" s="1728"/>
      <c r="AF58" s="1728"/>
      <c r="AG58" s="1881"/>
      <c r="AH58" s="2031"/>
      <c r="AI58" s="2032"/>
      <c r="AJ58" s="2033"/>
      <c r="AK58" s="1881"/>
      <c r="AL58" s="2268"/>
      <c r="AM58" s="2268"/>
      <c r="AN58" s="2268"/>
      <c r="AO58" s="2268"/>
      <c r="AP58" s="2268"/>
      <c r="AQ58" s="2268"/>
      <c r="AR58" s="2268"/>
      <c r="AS58" s="2293"/>
      <c r="AT58" s="2031"/>
      <c r="AU58" s="2032"/>
      <c r="AV58" s="2033"/>
      <c r="AW58" s="2293"/>
      <c r="AX58" s="2268"/>
      <c r="AY58" s="2268"/>
      <c r="AZ58" s="2268"/>
      <c r="BA58" s="2268"/>
      <c r="BB58" s="2268"/>
      <c r="BC58" s="2268"/>
      <c r="BD58" s="2268"/>
      <c r="BE58" s="2293"/>
      <c r="BF58" s="2031"/>
      <c r="BG58" s="2032"/>
      <c r="BH58" s="2033"/>
      <c r="BI58" s="2604"/>
      <c r="BJ58" s="2268"/>
      <c r="BK58" s="2268"/>
      <c r="BL58" s="2268"/>
      <c r="BM58" s="2604"/>
      <c r="BN58" s="2031"/>
      <c r="BO58" s="2032"/>
      <c r="BP58" s="2033"/>
      <c r="BR58" s="2034"/>
      <c r="BS58" s="2035"/>
      <c r="BT58" s="1740"/>
      <c r="BU58" s="2034"/>
      <c r="BV58" s="2035"/>
      <c r="BW58" s="1997"/>
      <c r="BX58" s="2633"/>
      <c r="BZ58" s="2633"/>
      <c r="CA58" s="2841"/>
      <c r="CD58" s="1860"/>
      <c r="CE58" s="1860"/>
      <c r="CF58" s="1860"/>
      <c r="CG58" s="1860"/>
      <c r="CH58" s="1860"/>
      <c r="CI58" s="1998"/>
    </row>
    <row r="59" spans="1:87" s="1923" customFormat="1" ht="4.5" customHeight="1" thickBot="1" x14ac:dyDescent="0.25">
      <c r="B59" s="2023"/>
      <c r="C59" s="2024"/>
      <c r="D59" s="1800"/>
      <c r="E59" s="1803"/>
      <c r="F59" s="1803"/>
      <c r="G59" s="1803"/>
      <c r="H59" s="1803"/>
      <c r="I59" s="1803"/>
      <c r="J59" s="1803"/>
      <c r="K59" s="2025"/>
      <c r="L59" s="1866"/>
      <c r="M59" s="1867"/>
      <c r="N59" s="2026"/>
      <c r="O59" s="2026"/>
      <c r="P59" s="2026"/>
      <c r="Q59" s="2026"/>
      <c r="R59" s="2026"/>
      <c r="S59" s="2026"/>
      <c r="T59" s="2026"/>
      <c r="U59" s="2606"/>
      <c r="V59" s="2606"/>
      <c r="W59" s="2606"/>
      <c r="X59" s="2606"/>
      <c r="Y59" s="1915"/>
      <c r="Z59" s="2026"/>
      <c r="AA59" s="2026"/>
      <c r="AB59" s="2026"/>
      <c r="AC59" s="2026"/>
      <c r="AD59" s="2026"/>
      <c r="AE59" s="2026"/>
      <c r="AF59" s="2026"/>
      <c r="AG59" s="1915"/>
      <c r="AH59" s="2606"/>
      <c r="AI59" s="2606"/>
      <c r="AJ59" s="2606"/>
      <c r="AK59" s="1915"/>
      <c r="AL59" s="2026"/>
      <c r="AM59" s="2026"/>
      <c r="AN59" s="2026"/>
      <c r="AO59" s="2026"/>
      <c r="AP59" s="2026"/>
      <c r="AQ59" s="2026"/>
      <c r="AR59" s="2026"/>
      <c r="AS59" s="2606"/>
      <c r="AT59" s="2606"/>
      <c r="AU59" s="2606"/>
      <c r="AV59" s="2606"/>
      <c r="AW59" s="2606"/>
      <c r="AX59" s="2026"/>
      <c r="AY59" s="2026"/>
      <c r="AZ59" s="2026"/>
      <c r="BA59" s="2026"/>
      <c r="BB59" s="2026"/>
      <c r="BC59" s="2026"/>
      <c r="BD59" s="2026"/>
      <c r="BE59" s="2606"/>
      <c r="BF59" s="2274"/>
      <c r="BG59" s="2274"/>
      <c r="BH59" s="2274"/>
      <c r="BI59" s="2606"/>
      <c r="BJ59" s="2026"/>
      <c r="BK59" s="2026"/>
      <c r="BL59" s="2026"/>
      <c r="BM59" s="2606"/>
      <c r="BN59" s="2274"/>
      <c r="BO59" s="2274"/>
      <c r="BP59" s="2274"/>
      <c r="BR59" s="2606"/>
      <c r="BS59" s="1993"/>
      <c r="BT59" s="1994"/>
      <c r="BU59" s="2606"/>
      <c r="BV59" s="1993"/>
      <c r="BW59" s="1993"/>
      <c r="BX59" s="1916"/>
      <c r="BZ59" s="1916"/>
      <c r="CA59" s="2842"/>
      <c r="CI59" s="1995"/>
    </row>
    <row r="60" spans="1:87" s="1885" customFormat="1" ht="17.25" thickBot="1" x14ac:dyDescent="0.25">
      <c r="B60" s="2401"/>
      <c r="C60" s="2401" t="s">
        <v>17</v>
      </c>
      <c r="D60" s="2402"/>
      <c r="E60" s="1898">
        <f>SUM(E15:E26)+SUM(E31:E54)</f>
        <v>4294.8339999999998</v>
      </c>
      <c r="F60" s="1898">
        <f t="shared" ref="F60:I60" si="265">SUM(F15:F26)+SUM(F31:F54)</f>
        <v>353.56333333333333</v>
      </c>
      <c r="G60" s="1898">
        <f t="shared" si="265"/>
        <v>235.70888888888894</v>
      </c>
      <c r="H60" s="1898">
        <f t="shared" si="265"/>
        <v>176.78166666666667</v>
      </c>
      <c r="I60" s="1898">
        <f t="shared" si="265"/>
        <v>141.42533333333333</v>
      </c>
      <c r="J60" s="1898">
        <f>J28+J56</f>
        <v>145.35010421836228</v>
      </c>
      <c r="K60" s="1899">
        <f>E60/E107</f>
        <v>0.83756821634368384</v>
      </c>
      <c r="L60" s="2491"/>
      <c r="M60" s="2784"/>
      <c r="N60" s="1898">
        <f>N28+N56</f>
        <v>103.14625806451613</v>
      </c>
      <c r="O60" s="1898">
        <f>O28+O56</f>
        <v>103.14625806451613</v>
      </c>
      <c r="P60" s="1898">
        <f t="shared" ref="P60:T60" si="266">P28+P56</f>
        <v>103.14625806451613</v>
      </c>
      <c r="Q60" s="1898">
        <f t="shared" ref="Q60:R60" si="267">Q28+Q56</f>
        <v>103.14625806451613</v>
      </c>
      <c r="R60" s="1898">
        <f t="shared" si="267"/>
        <v>103.14625806451613</v>
      </c>
      <c r="S60" s="1898">
        <f t="shared" si="266"/>
        <v>103.14625806451613</v>
      </c>
      <c r="T60" s="1898">
        <f t="shared" si="266"/>
        <v>103.14625806451613</v>
      </c>
      <c r="U60" s="2785"/>
      <c r="V60" s="2397">
        <f>SUM(V15:V26)+SUM(V31:V54)</f>
        <v>722.02380645161281</v>
      </c>
      <c r="W60" s="2492" t="e">
        <f>SUM(W15:W26)+SUM(W31:W54)</f>
        <v>#REF!</v>
      </c>
      <c r="X60" s="2493" t="e">
        <f>SUM(X15:X26)+SUM(X31:X54)</f>
        <v>#REF!</v>
      </c>
      <c r="Y60" s="1896"/>
      <c r="Z60" s="2322">
        <f t="shared" ref="Z60" si="268">Z28+Z56</f>
        <v>103.14625806451613</v>
      </c>
      <c r="AA60" s="2322">
        <f t="shared" ref="AA60:AB60" si="269">SUM(AA15:AA26)+SUM(AA31:AA54)</f>
        <v>103.14625806451613</v>
      </c>
      <c r="AB60" s="2322">
        <f t="shared" si="269"/>
        <v>103.14625806451613</v>
      </c>
      <c r="AC60" s="2322">
        <f t="shared" ref="AC60:AE60" si="270">SUM(AC15:AC26)+SUM(AC31:AC54)</f>
        <v>103.14625806451613</v>
      </c>
      <c r="AD60" s="2322">
        <f t="shared" si="270"/>
        <v>103.14625806451613</v>
      </c>
      <c r="AE60" s="2322">
        <f t="shared" si="270"/>
        <v>103.14625806451613</v>
      </c>
      <c r="AF60" s="2322">
        <f t="shared" ref="AF60" si="271">SUM(AF15:AF26)+SUM(AF31:AF54)</f>
        <v>103.14625806451613</v>
      </c>
      <c r="AG60" s="1896"/>
      <c r="AH60" s="2397">
        <f>SUM(Z60:AF60)</f>
        <v>722.02380645161293</v>
      </c>
      <c r="AI60" s="2492" t="e">
        <f>SUM(AI15:AI26)+SUM(AI31:AI54)</f>
        <v>#REF!</v>
      </c>
      <c r="AJ60" s="2493" t="e">
        <f>SUM(AJ15:AJ26)+SUM(AJ31:AJ54)</f>
        <v>#REF!</v>
      </c>
      <c r="AK60" s="1896"/>
      <c r="AL60" s="2322">
        <f t="shared" ref="AL60:AM60" si="272">SUM(AL15:AL26)+SUM(AL31:AL54)</f>
        <v>103.14625806451613</v>
      </c>
      <c r="AM60" s="2322">
        <f t="shared" si="272"/>
        <v>103.14625806451613</v>
      </c>
      <c r="AN60" s="2322">
        <f t="shared" ref="AN60:AO60" si="273">SUM(AN15:AN26)+SUM(AN31:AN54)</f>
        <v>103.14625806451613</v>
      </c>
      <c r="AO60" s="2322">
        <f t="shared" si="273"/>
        <v>103.14625806451613</v>
      </c>
      <c r="AP60" s="2322">
        <f t="shared" ref="AP60:AR60" si="274">SUM(AP15:AP26)+SUM(AP31:AP54)</f>
        <v>103.14625806451613</v>
      </c>
      <c r="AQ60" s="2322">
        <f t="shared" si="274"/>
        <v>103.14625806451613</v>
      </c>
      <c r="AR60" s="2322">
        <f t="shared" si="274"/>
        <v>103.14625806451613</v>
      </c>
      <c r="AS60" s="2295"/>
      <c r="AT60" s="2397">
        <f>SUM(AL60:AR60)</f>
        <v>722.02380645161293</v>
      </c>
      <c r="AU60" s="2492" t="e">
        <f>SUM(AU15:AU26)+SUM(AU31:AU54)</f>
        <v>#REF!</v>
      </c>
      <c r="AV60" s="2493" t="e">
        <f>SUM(AV15:AV26)+SUM(AV31:AV54)</f>
        <v>#REF!</v>
      </c>
      <c r="AW60" s="2295"/>
      <c r="AX60" s="2322">
        <f t="shared" ref="AX60:AY60" si="275">SUM(AX15:AX26)+SUM(AX31:AX54)</f>
        <v>103.14625806451613</v>
      </c>
      <c r="AY60" s="2322">
        <f t="shared" si="275"/>
        <v>103.14625806451613</v>
      </c>
      <c r="AZ60" s="2322">
        <f t="shared" ref="AZ60:BA60" si="276">SUM(AZ15:AZ26)+SUM(AZ31:AZ54)</f>
        <v>103.14625806451613</v>
      </c>
      <c r="BA60" s="2322">
        <f t="shared" si="276"/>
        <v>103.14625806451613</v>
      </c>
      <c r="BB60" s="2322">
        <f t="shared" ref="BB60:BC60" si="277">SUM(BB15:BB26)+SUM(BB31:BB54)</f>
        <v>103.14625806451613</v>
      </c>
      <c r="BC60" s="2322">
        <f t="shared" si="277"/>
        <v>103.14625806451613</v>
      </c>
      <c r="BD60" s="2322">
        <f t="shared" ref="BD60" si="278">SUM(BD15:BD26)+SUM(BD31:BD54)</f>
        <v>103.14625806451613</v>
      </c>
      <c r="BE60" s="2295"/>
      <c r="BF60" s="2397">
        <f>SUM(AX60:BD60)</f>
        <v>722.02380645161293</v>
      </c>
      <c r="BG60" s="2492" t="e">
        <f>SUM(BG15:BG26)+SUM(BG31:BG54)</f>
        <v>#REF!</v>
      </c>
      <c r="BH60" s="2493" t="e">
        <f>SUM(BH15:BH26)+SUM(BH31:BH54)</f>
        <v>#REF!</v>
      </c>
      <c r="BI60" s="2785"/>
      <c r="BJ60" s="1898">
        <f>SUM(BJ15:BJ26)+SUM(BJ31:BJ54)</f>
        <v>103.14625806451613</v>
      </c>
      <c r="BK60" s="1898">
        <f t="shared" ref="BK60" si="279">SUM(BK15:BK26)+SUM(BK31:BK54)</f>
        <v>103.14625806451613</v>
      </c>
      <c r="BL60" s="1898">
        <f t="shared" ref="BL60" si="280">SUM(BL15:BL26)+SUM(BL31:BL54)</f>
        <v>103.14625806451613</v>
      </c>
      <c r="BM60" s="2785"/>
      <c r="BN60" s="2397">
        <f>SUM(BJ60:BL60)</f>
        <v>309.4387741935484</v>
      </c>
      <c r="BO60" s="2492" t="e">
        <f>SUM(BO15:BO26)+SUM(BO31:BO54)</f>
        <v>#REF!</v>
      </c>
      <c r="BP60" s="2493" t="e">
        <f>SUM(BP15:BP26)+SUM(BP31:BP54)</f>
        <v>#REF!</v>
      </c>
      <c r="BR60" s="2397">
        <f>SUM(BR15:BR26)+SUM(BR31:BR54)</f>
        <v>0</v>
      </c>
      <c r="BS60" s="2398">
        <f>BR60/$E$60</f>
        <v>0</v>
      </c>
      <c r="BT60" s="1900"/>
      <c r="BU60" s="2397">
        <f>SUM(BU15:BU26)+SUM(BU31:BU54)</f>
        <v>3197.5339999999992</v>
      </c>
      <c r="BV60" s="2398">
        <f>BU60/$E$60</f>
        <v>0.74450700539299053</v>
      </c>
      <c r="BW60" s="2010"/>
      <c r="BX60" s="2784"/>
      <c r="BZ60" s="2784"/>
      <c r="CA60" s="2839"/>
      <c r="CD60" s="1946"/>
      <c r="CE60" s="1946"/>
      <c r="CF60" s="1946"/>
      <c r="CG60" s="1946"/>
      <c r="CH60" s="1946"/>
      <c r="CI60" s="2012"/>
    </row>
    <row r="61" spans="1:87" s="1860" customFormat="1" ht="4.5" customHeight="1" thickBot="1" x14ac:dyDescent="0.25">
      <c r="B61" s="1861"/>
      <c r="C61" s="1861"/>
      <c r="D61" s="1861"/>
      <c r="E61" s="2604"/>
      <c r="F61" s="2604"/>
      <c r="G61" s="2604"/>
      <c r="H61" s="2604"/>
      <c r="I61" s="2604"/>
      <c r="J61" s="2604"/>
      <c r="K61" s="1997"/>
      <c r="L61" s="1760"/>
      <c r="M61" s="2633"/>
      <c r="N61" s="2604"/>
      <c r="O61" s="2604"/>
      <c r="P61" s="2604"/>
      <c r="Q61" s="2737"/>
      <c r="R61" s="2741"/>
      <c r="S61" s="2604"/>
      <c r="T61" s="2604"/>
      <c r="U61" s="2604"/>
      <c r="V61" s="2604"/>
      <c r="W61" s="2604"/>
      <c r="X61" s="2604"/>
      <c r="Y61" s="1862"/>
      <c r="Z61" s="2604"/>
      <c r="AA61" s="2604"/>
      <c r="AB61" s="2604"/>
      <c r="AC61" s="2758"/>
      <c r="AD61" s="2761"/>
      <c r="AE61" s="2761"/>
      <c r="AF61" s="2604"/>
      <c r="AG61" s="1862"/>
      <c r="AH61" s="2604"/>
      <c r="AI61" s="2604"/>
      <c r="AJ61" s="2604"/>
      <c r="AK61" s="1862"/>
      <c r="AL61" s="2604"/>
      <c r="AM61" s="2604"/>
      <c r="AN61" s="2604"/>
      <c r="AO61" s="2604"/>
      <c r="AP61" s="2604"/>
      <c r="AQ61" s="2604"/>
      <c r="AR61" s="2604"/>
      <c r="AS61" s="2604"/>
      <c r="AT61" s="2604"/>
      <c r="AU61" s="2604"/>
      <c r="AV61" s="2604"/>
      <c r="AW61" s="2604"/>
      <c r="AX61" s="2604"/>
      <c r="AY61" s="2604"/>
      <c r="AZ61" s="2774"/>
      <c r="BA61" s="2776"/>
      <c r="BB61" s="2778"/>
      <c r="BC61" s="2780"/>
      <c r="BD61" s="2604"/>
      <c r="BE61" s="2604"/>
      <c r="BF61" s="2604"/>
      <c r="BG61" s="2604"/>
      <c r="BH61" s="2604"/>
      <c r="BI61" s="2604"/>
      <c r="BJ61" s="2604"/>
      <c r="BK61" s="2604"/>
      <c r="BL61" s="2604"/>
      <c r="BM61" s="2604"/>
      <c r="BN61" s="2604"/>
      <c r="BO61" s="2604"/>
      <c r="BP61" s="2604"/>
      <c r="BR61" s="2604"/>
      <c r="BS61" s="2639"/>
      <c r="BT61" s="1861"/>
      <c r="BU61" s="2604"/>
      <c r="BV61" s="2059"/>
      <c r="BW61" s="2059"/>
      <c r="BX61" s="1877"/>
      <c r="BZ61" s="2633"/>
      <c r="CA61" s="2841"/>
      <c r="CI61" s="1998"/>
    </row>
    <row r="62" spans="1:87" s="1885" customFormat="1" ht="17.25" thickBot="1" x14ac:dyDescent="0.25">
      <c r="B62" s="2117"/>
      <c r="C62" s="2212" t="s">
        <v>150</v>
      </c>
      <c r="D62" s="2119"/>
      <c r="E62" s="2123">
        <f>E60*100/30</f>
        <v>14316.113333333333</v>
      </c>
      <c r="F62" s="2121">
        <f t="shared" ref="F62:I62" si="281">F60*100/30</f>
        <v>1178.5444444444445</v>
      </c>
      <c r="G62" s="2121">
        <f t="shared" si="281"/>
        <v>785.69629629629651</v>
      </c>
      <c r="H62" s="2121">
        <f t="shared" si="281"/>
        <v>589.27222222222224</v>
      </c>
      <c r="I62" s="2121">
        <f t="shared" si="281"/>
        <v>471.41777777777776</v>
      </c>
      <c r="J62" s="2121">
        <f>J60*100/31</f>
        <v>468.8713039302009</v>
      </c>
      <c r="K62" s="2130">
        <f>E62/E105</f>
        <v>0.69797351361973659</v>
      </c>
      <c r="L62" s="1949"/>
      <c r="M62" s="2214"/>
      <c r="N62" s="2120">
        <f>N9</f>
        <v>40.424370967741936</v>
      </c>
      <c r="O62" s="2123">
        <f>O9</f>
        <v>15.474870967741936</v>
      </c>
      <c r="P62" s="2123">
        <f t="shared" ref="P62:S62" si="282">P9</f>
        <v>11.498370967741934</v>
      </c>
      <c r="Q62" s="2123">
        <f t="shared" si="282"/>
        <v>58.09187096774194</v>
      </c>
      <c r="R62" s="2123">
        <f t="shared" si="282"/>
        <v>59.004370967741934</v>
      </c>
      <c r="S62" s="2123">
        <f t="shared" si="282"/>
        <v>94.605370967741948</v>
      </c>
      <c r="T62" s="2124">
        <f>T9</f>
        <v>5.7638709677419371</v>
      </c>
      <c r="U62" s="1951"/>
      <c r="V62" s="2120">
        <f>SUM(N62:T62)</f>
        <v>284.86309677419354</v>
      </c>
      <c r="W62" s="2123"/>
      <c r="X62" s="2124"/>
      <c r="Y62" s="1956"/>
      <c r="Z62" s="2120">
        <f>Z9</f>
        <v>17.183370967741936</v>
      </c>
      <c r="AA62" s="2121">
        <f>AA9</f>
        <v>42.81587096774193</v>
      </c>
      <c r="AB62" s="2121">
        <f t="shared" ref="AB62" si="283">AB9</f>
        <v>51.465370967741933</v>
      </c>
      <c r="AC62" s="2121">
        <f t="shared" ref="AC62:AE62" si="284">AC9</f>
        <v>49.70487096774194</v>
      </c>
      <c r="AD62" s="2121">
        <f t="shared" si="284"/>
        <v>83.252870967741927</v>
      </c>
      <c r="AE62" s="2121">
        <f t="shared" si="284"/>
        <v>82.69387096774193</v>
      </c>
      <c r="AF62" s="2121">
        <f>AF9</f>
        <v>48.212870967741935</v>
      </c>
      <c r="AG62" s="1956"/>
      <c r="AH62" s="2120">
        <f>SUM(Z62:AF62)</f>
        <v>375.32909677419349</v>
      </c>
      <c r="AI62" s="2123"/>
      <c r="AJ62" s="2124"/>
      <c r="AK62" s="1955"/>
      <c r="AL62" s="2120">
        <f>AL9</f>
        <v>91.940370967741927</v>
      </c>
      <c r="AM62" s="2121">
        <f>AM9</f>
        <v>22.109870967741941</v>
      </c>
      <c r="AN62" s="2121">
        <f t="shared" ref="AN62:AR62" si="285">AN9-AN28</f>
        <v>41.409870967741938</v>
      </c>
      <c r="AO62" s="2121">
        <f t="shared" si="285"/>
        <v>34.308870967741939</v>
      </c>
      <c r="AP62" s="2121">
        <f t="shared" si="285"/>
        <v>86.958870967741944</v>
      </c>
      <c r="AQ62" s="2121">
        <f t="shared" si="285"/>
        <v>59.154870967741928</v>
      </c>
      <c r="AR62" s="2124">
        <f t="shared" si="285"/>
        <v>46.65737096774194</v>
      </c>
      <c r="AS62" s="2254"/>
      <c r="AT62" s="2120">
        <f>SUM(AL62:AR62)</f>
        <v>382.54009677419361</v>
      </c>
      <c r="AU62" s="2123"/>
      <c r="AV62" s="2124"/>
      <c r="AW62" s="1951"/>
      <c r="AX62" s="2120">
        <f t="shared" ref="AX62:BD62" si="286">AX9-AX28</f>
        <v>25.872370967741929</v>
      </c>
      <c r="AY62" s="2123">
        <f t="shared" si="286"/>
        <v>41.421870967741938</v>
      </c>
      <c r="AZ62" s="2123">
        <f t="shared" ref="AZ62:BA62" si="287">AZ9-AZ28</f>
        <v>12.322370967741932</v>
      </c>
      <c r="BA62" s="2123">
        <f t="shared" si="287"/>
        <v>54.988870967741931</v>
      </c>
      <c r="BB62" s="2123">
        <f t="shared" ref="BB62:BC62" si="288">BB9-BB28</f>
        <v>63.536870967741933</v>
      </c>
      <c r="BC62" s="2123">
        <f t="shared" si="288"/>
        <v>38.351370967741929</v>
      </c>
      <c r="BD62" s="2124">
        <f t="shared" si="286"/>
        <v>27.776870967741928</v>
      </c>
      <c r="BE62" s="1951"/>
      <c r="BF62" s="2120">
        <f>SUM(AX62:BD62)</f>
        <v>264.27059677419351</v>
      </c>
      <c r="BG62" s="2123"/>
      <c r="BH62" s="2124"/>
      <c r="BI62" s="1900"/>
      <c r="BJ62" s="2120">
        <f t="shared" ref="BJ62" si="289">BJ9-BJ28</f>
        <v>31.977870967741936</v>
      </c>
      <c r="BK62" s="2123">
        <f t="shared" ref="BK62" si="290">BK9-BK28</f>
        <v>63.936870967741939</v>
      </c>
      <c r="BL62" s="2123">
        <f t="shared" ref="BL62" si="291">BL9-BL28</f>
        <v>25.995870967741936</v>
      </c>
      <c r="BM62" s="2317"/>
      <c r="BN62" s="2215">
        <f>SUM(BJ62:BL62)</f>
        <v>121.91061290322581</v>
      </c>
      <c r="BO62" s="2677"/>
      <c r="BP62" s="2124"/>
      <c r="BQ62" s="1897"/>
      <c r="BR62" s="2215">
        <f>SUM(N62:T62)+SUM(Z62:AF62)+SUM(AL62:AR62)+SUM(AX62:BD62)+SUM(BJ62:BL62)</f>
        <v>1428.9135000000001</v>
      </c>
      <c r="BS62" s="2130"/>
      <c r="BT62" s="1900"/>
      <c r="BU62" s="2011"/>
      <c r="BV62" s="2011"/>
      <c r="BW62" s="2011"/>
      <c r="BZ62" s="2629"/>
      <c r="CA62" s="2839"/>
      <c r="CD62" s="1946"/>
      <c r="CE62" s="1946"/>
      <c r="CF62" s="1946"/>
      <c r="CG62" s="1946"/>
      <c r="CH62" s="1946"/>
      <c r="CI62" s="2012"/>
    </row>
    <row r="63" spans="1:87" s="1860" customFormat="1" ht="15" customHeight="1" thickBot="1" x14ac:dyDescent="0.25">
      <c r="B63" s="1861"/>
      <c r="C63" s="1861" t="s">
        <v>191</v>
      </c>
      <c r="D63" s="1861"/>
      <c r="E63" s="2604"/>
      <c r="F63" s="2604"/>
      <c r="G63" s="2604"/>
      <c r="H63" s="2604"/>
      <c r="I63" s="2604"/>
      <c r="J63" s="2604"/>
      <c r="K63" s="2059"/>
      <c r="L63" s="1931"/>
      <c r="M63" s="1877"/>
      <c r="N63" s="2604"/>
      <c r="O63" s="2604"/>
      <c r="P63" s="2604"/>
      <c r="Q63" s="2737"/>
      <c r="R63" s="2741"/>
      <c r="S63" s="2604"/>
      <c r="T63" s="2604"/>
      <c r="U63" s="2604"/>
      <c r="V63" s="2604"/>
      <c r="W63" s="2604"/>
      <c r="X63" s="2604"/>
      <c r="Y63" s="1862"/>
      <c r="Z63" s="2604"/>
      <c r="AA63" s="2604"/>
      <c r="AB63" s="2604"/>
      <c r="AC63" s="2758"/>
      <c r="AD63" s="2761"/>
      <c r="AE63" s="2761"/>
      <c r="AF63" s="2604"/>
      <c r="AG63" s="1862"/>
      <c r="AH63" s="2604"/>
      <c r="AI63" s="2604"/>
      <c r="AJ63" s="2604"/>
      <c r="AK63" s="1862"/>
      <c r="AL63" s="2604"/>
      <c r="AM63" s="2604"/>
      <c r="AN63" s="2604"/>
      <c r="AO63" s="2604"/>
      <c r="AP63" s="2604"/>
      <c r="AQ63" s="2604"/>
      <c r="AR63" s="2604"/>
      <c r="AS63" s="2604"/>
      <c r="AT63" s="2604"/>
      <c r="AU63" s="2604"/>
      <c r="AV63" s="2604"/>
      <c r="AW63" s="2604"/>
      <c r="AX63" s="2604"/>
      <c r="AY63" s="2604"/>
      <c r="AZ63" s="2774"/>
      <c r="BA63" s="2776"/>
      <c r="BB63" s="2778"/>
      <c r="BC63" s="2780"/>
      <c r="BD63" s="2604"/>
      <c r="BE63" s="2604"/>
      <c r="BF63" s="2604"/>
      <c r="BG63" s="2604"/>
      <c r="BH63" s="2604"/>
      <c r="BI63" s="2604"/>
      <c r="BJ63" s="2604"/>
      <c r="BK63" s="2604"/>
      <c r="BL63" s="2604"/>
      <c r="BM63" s="2604"/>
      <c r="BN63" s="2604"/>
      <c r="BO63" s="2604"/>
      <c r="BP63" s="2604"/>
      <c r="BQ63" s="1862"/>
      <c r="BR63" s="2604"/>
      <c r="BS63" s="2639"/>
      <c r="BT63" s="1861"/>
      <c r="BU63" s="4634" t="s">
        <v>99</v>
      </c>
      <c r="BV63" s="4634"/>
      <c r="BW63" s="2604"/>
      <c r="BX63" s="1862"/>
      <c r="BZ63" s="2633"/>
      <c r="CA63" s="2841"/>
      <c r="CI63" s="1998"/>
    </row>
    <row r="64" spans="1:87" s="1900" customFormat="1" ht="15.75" x14ac:dyDescent="0.2">
      <c r="A64" s="2464"/>
      <c r="B64" s="2280">
        <v>31</v>
      </c>
      <c r="C64" s="2405" t="s">
        <v>245</v>
      </c>
      <c r="D64" s="2119"/>
      <c r="E64" s="2410">
        <v>106</v>
      </c>
      <c r="F64" s="2678"/>
      <c r="G64" s="2678"/>
      <c r="H64" s="2678"/>
      <c r="I64" s="2678"/>
      <c r="J64" s="2406">
        <f t="shared" ref="J64:J72" si="292">E64/31</f>
        <v>3.4193548387096775</v>
      </c>
      <c r="K64" s="2407">
        <f t="shared" ref="K64:K72" si="293">E64/$E$73</f>
        <v>0.32893716058960437</v>
      </c>
      <c r="L64" s="2468"/>
      <c r="M64" s="2339"/>
      <c r="N64" s="2679">
        <f>IF(N62&gt;$J$73,$J$64,IF(N62&lt;$J$73,(IF(N62&lt;0,0,N62*$K$64))))</f>
        <v>3.4193548387096775</v>
      </c>
      <c r="O64" s="2406">
        <f>IF(O62&gt;$J$73,$J$64,IF(O62&lt;$J$73,(IF(O62&lt;0,0,O62*$K$64))))</f>
        <v>3.4193548387096775</v>
      </c>
      <c r="P64" s="2408">
        <f t="shared" ref="P64:T64" si="294">IF(P62&gt;$J$73,$J$64,IF(P62&lt;$J$73,(IF(P62&lt;0,0,P62*$K$64))))</f>
        <v>3.4193548387096775</v>
      </c>
      <c r="Q64" s="2408">
        <f t="shared" ref="Q64:R64" si="295">IF(Q62&gt;$J$73,$J$64,IF(Q62&lt;$J$73,(IF(Q62&lt;0,0,Q62*$K$64))))</f>
        <v>3.4193548387096775</v>
      </c>
      <c r="R64" s="2408">
        <f t="shared" si="295"/>
        <v>3.4193548387096775</v>
      </c>
      <c r="S64" s="2408">
        <f t="shared" si="294"/>
        <v>3.4193548387096775</v>
      </c>
      <c r="T64" s="2409">
        <f t="shared" si="294"/>
        <v>1.8959513501338878</v>
      </c>
      <c r="U64" s="1951"/>
      <c r="V64" s="2410">
        <f t="shared" si="42"/>
        <v>22.412080382391952</v>
      </c>
      <c r="W64" s="2408">
        <f>$J$64*7</f>
        <v>23.935483870967744</v>
      </c>
      <c r="X64" s="2411">
        <f>V64-W64</f>
        <v>-1.5234034885757914</v>
      </c>
      <c r="Y64" s="1951"/>
      <c r="Z64" s="2410">
        <f t="shared" ref="Z64" si="296">IF(Z62&gt;$J$73,$J$64,IF(Z62&lt;$J$73,(IF(Z62&lt;0,0,Z62*$K$64))))</f>
        <v>3.4193548387096775</v>
      </c>
      <c r="AA64" s="2408">
        <f t="shared" ref="AA64:AF64" si="297">IF(AA62&gt;$J$73,$J$64,IF(AA62&lt;$J$73,(IF(AA62&lt;0,0,AA62*$K$64))))</f>
        <v>3.4193548387096775</v>
      </c>
      <c r="AB64" s="2408">
        <f t="shared" si="297"/>
        <v>3.4193548387096775</v>
      </c>
      <c r="AC64" s="2408">
        <f t="shared" ref="AC64:AE64" si="298">IF(AC62&gt;$J$73,$J$64,IF(AC62&lt;$J$73,(IF(AC62&lt;0,0,AC62*$K$64))))</f>
        <v>3.4193548387096775</v>
      </c>
      <c r="AD64" s="2408">
        <f t="shared" si="298"/>
        <v>3.4193548387096775</v>
      </c>
      <c r="AE64" s="2408">
        <f t="shared" si="298"/>
        <v>3.4193548387096775</v>
      </c>
      <c r="AF64" s="2409">
        <f t="shared" si="297"/>
        <v>3.4193548387096775</v>
      </c>
      <c r="AG64" s="1951"/>
      <c r="AH64" s="2410">
        <f>SUM(Z64:AF64)</f>
        <v>23.93548387096774</v>
      </c>
      <c r="AI64" s="2408">
        <f>$J$64*7</f>
        <v>23.935483870967744</v>
      </c>
      <c r="AJ64" s="2411">
        <f>AH64-AI64</f>
        <v>0</v>
      </c>
      <c r="AK64" s="1951"/>
      <c r="AL64" s="2410">
        <f t="shared" ref="AL64:AM64" si="299">IF(AL62&gt;$J$73,$J$64,IF(AL62&lt;$J$73,(IF(AL62&lt;0,0,AL62*$K$64))))</f>
        <v>3.4193548387096775</v>
      </c>
      <c r="AM64" s="2406">
        <f t="shared" si="299"/>
        <v>3.4193548387096775</v>
      </c>
      <c r="AN64" s="2406">
        <f t="shared" ref="AN64:AR64" si="300">IF(AN62&gt;$J$73,$J$64,IF(AN62&lt;$J$73,(IF(AN62&lt;0,0,AN62*$K$64))))</f>
        <v>3.4193548387096775</v>
      </c>
      <c r="AO64" s="2406">
        <f t="shared" si="300"/>
        <v>3.4193548387096775</v>
      </c>
      <c r="AP64" s="2406">
        <f t="shared" si="300"/>
        <v>3.4193548387096775</v>
      </c>
      <c r="AQ64" s="2406">
        <f t="shared" si="300"/>
        <v>3.4193548387096775</v>
      </c>
      <c r="AR64" s="2409">
        <f t="shared" si="300"/>
        <v>3.4193548387096775</v>
      </c>
      <c r="AS64" s="1951"/>
      <c r="AT64" s="2410">
        <f>SUM(AL64:AR64)</f>
        <v>23.93548387096774</v>
      </c>
      <c r="AU64" s="2408">
        <f>$J$64*7</f>
        <v>23.935483870967744</v>
      </c>
      <c r="AV64" s="2411">
        <f>AT64-AU64</f>
        <v>0</v>
      </c>
      <c r="AW64" s="1951"/>
      <c r="AX64" s="2410">
        <f t="shared" ref="AX64" si="301">IF(AX62&gt;$J$73,$J$64,IF(AX62&lt;$J$73,(IF(AX62&lt;0,0,AX62*$K$64))))</f>
        <v>3.4193548387096775</v>
      </c>
      <c r="AY64" s="2408">
        <f t="shared" ref="AY64" si="302">IF(AY62&gt;$J$73,$J$64,IF(AY62&lt;$J$73,(IF(AY62&lt;0,0,AY62*$K$64))))</f>
        <v>3.4193548387096775</v>
      </c>
      <c r="AZ64" s="2408">
        <f t="shared" ref="AZ64:BA64" si="303">IF(AZ62&gt;$J$73,$J$64,IF(AZ62&lt;$J$73,(IF(AZ62&lt;0,0,AZ62*$K$64))))</f>
        <v>3.4193548387096775</v>
      </c>
      <c r="BA64" s="2408">
        <f t="shared" si="303"/>
        <v>3.4193548387096775</v>
      </c>
      <c r="BB64" s="2408">
        <f t="shared" ref="BB64:BC64" si="304">IF(BB62&gt;$J$73,$J$64,IF(BB62&lt;$J$73,(IF(BB62&lt;0,0,BB62*$K$64))))</f>
        <v>3.4193548387096775</v>
      </c>
      <c r="BC64" s="2408">
        <f t="shared" si="304"/>
        <v>3.4193548387096775</v>
      </c>
      <c r="BD64" s="2409">
        <f t="shared" ref="BD64" si="305">IF(BD62&gt;$J$73,$J$64,IF(BD62&lt;$J$73,(IF(BD62&lt;0,0,BD62*$K$64))))</f>
        <v>3.4193548387096775</v>
      </c>
      <c r="BE64" s="1951"/>
      <c r="BF64" s="2410">
        <f>SUM(AX64:BD64)</f>
        <v>23.93548387096774</v>
      </c>
      <c r="BG64" s="2408">
        <f>$J$64*7</f>
        <v>23.935483870967744</v>
      </c>
      <c r="BH64" s="2411">
        <f>BF64-BG64</f>
        <v>0</v>
      </c>
      <c r="BI64" s="1951"/>
      <c r="BJ64" s="2410">
        <f t="shared" ref="BJ64" si="306">IF(BJ62&gt;$J$73,$J$64,IF(BJ62&lt;$J$73,(IF(BJ62&lt;0,0,BJ62*$K$64))))</f>
        <v>3.4193548387096775</v>
      </c>
      <c r="BK64" s="2408">
        <f t="shared" ref="BK64" si="307">IF(BK62&gt;$J$73,$J$64,IF(BK62&lt;$J$73,(IF(BK62&lt;0,0,BK62*$K$64))))</f>
        <v>3.4193548387096775</v>
      </c>
      <c r="BL64" s="2409">
        <f t="shared" ref="BL64" si="308">IF(BL62&gt;$J$73,$J$64,IF(BL62&lt;$J$73,(IF(BL62&lt;0,0,BL62*$K$64))))</f>
        <v>3.4193548387096775</v>
      </c>
      <c r="BM64" s="1951"/>
      <c r="BN64" s="2410">
        <f>SUM(BJ64:BL64)</f>
        <v>10.258064516129032</v>
      </c>
      <c r="BO64" s="2408">
        <f>$J$64*2</f>
        <v>6.838709677419355</v>
      </c>
      <c r="BP64" s="2411">
        <f>BN64-BO64</f>
        <v>3.419354838709677</v>
      </c>
      <c r="BR64" s="2410"/>
      <c r="BS64" s="2412"/>
      <c r="BU64" s="2410">
        <f t="shared" ref="BU64:BU72" si="309">SUM(N64:T64)+SUM(Z64:AF64)+SUM(AL64:AR64)+SUM(AX64:BD64)+SUM(BJ64:BL64)</f>
        <v>104.47659651142422</v>
      </c>
      <c r="BV64" s="2413">
        <f t="shared" ref="BV64:BV73" si="310">BU64/E64</f>
        <v>0.98562826897570022</v>
      </c>
      <c r="BW64" s="2353"/>
      <c r="BX64" s="4635">
        <f>BV73-BU1</f>
        <v>-1.4371731024299894E-2</v>
      </c>
      <c r="BZ64" s="4627"/>
      <c r="CA64" s="2416"/>
      <c r="CD64" s="2011"/>
      <c r="CE64" s="2011"/>
      <c r="CF64" s="2011"/>
      <c r="CG64" s="2011"/>
      <c r="CH64" s="2011"/>
      <c r="CI64" s="2621"/>
    </row>
    <row r="65" spans="1:87" s="1740" customFormat="1" ht="15.75" x14ac:dyDescent="0.2">
      <c r="A65" s="2466"/>
      <c r="B65" s="2151">
        <v>32</v>
      </c>
      <c r="C65" s="2152" t="s">
        <v>241</v>
      </c>
      <c r="D65" s="2051"/>
      <c r="E65" s="2090">
        <v>65</v>
      </c>
      <c r="F65" s="2154"/>
      <c r="G65" s="2154"/>
      <c r="H65" s="2154"/>
      <c r="I65" s="2154"/>
      <c r="J65" s="2154">
        <f t="shared" si="292"/>
        <v>2.096774193548387</v>
      </c>
      <c r="K65" s="2155">
        <f t="shared" si="293"/>
        <v>0.20170674941815361</v>
      </c>
      <c r="L65" s="2465"/>
      <c r="M65" s="2131"/>
      <c r="N65" s="2615">
        <f t="shared" ref="N65:T65" si="311">IF(N62&gt;$J$73,$J$65,IF(N62&lt;$J$73,(IF(N62&lt;0,0,N62*$K$65))))</f>
        <v>2.096774193548387</v>
      </c>
      <c r="O65" s="2154">
        <f t="shared" si="311"/>
        <v>2.096774193548387</v>
      </c>
      <c r="P65" s="2154">
        <f t="shared" si="311"/>
        <v>2.096774193548387</v>
      </c>
      <c r="Q65" s="2154">
        <f t="shared" si="311"/>
        <v>2.096774193548387</v>
      </c>
      <c r="R65" s="2154">
        <f t="shared" si="311"/>
        <v>2.096774193548387</v>
      </c>
      <c r="S65" s="2154">
        <f t="shared" si="311"/>
        <v>2.096774193548387</v>
      </c>
      <c r="T65" s="2154">
        <f t="shared" si="311"/>
        <v>1.1626116769688934</v>
      </c>
      <c r="U65" s="1814"/>
      <c r="V65" s="2153">
        <f>SUM(N65:T65)</f>
        <v>13.743256838259217</v>
      </c>
      <c r="W65" s="2157">
        <f>$J$65*7</f>
        <v>14.677419354838708</v>
      </c>
      <c r="X65" s="2158">
        <f>V65-W65</f>
        <v>-0.9341625165794909</v>
      </c>
      <c r="Y65" s="1814"/>
      <c r="Z65" s="2153">
        <f t="shared" ref="Z65:AF65" si="312">IF(Z62&gt;$J$73,$J$65,IF(Z62&lt;$J$73,(IF(Z62&lt;0,0,Z62*$K$65))))</f>
        <v>2.096774193548387</v>
      </c>
      <c r="AA65" s="2157">
        <f t="shared" si="312"/>
        <v>2.096774193548387</v>
      </c>
      <c r="AB65" s="2157">
        <f t="shared" si="312"/>
        <v>2.096774193548387</v>
      </c>
      <c r="AC65" s="2157">
        <f t="shared" ref="AC65:AE65" si="313">IF(AC62&gt;$J$73,$J$65,IF(AC62&lt;$J$73,(IF(AC62&lt;0,0,AC62*$K$65))))</f>
        <v>2.096774193548387</v>
      </c>
      <c r="AD65" s="2157">
        <f t="shared" si="313"/>
        <v>2.096774193548387</v>
      </c>
      <c r="AE65" s="2157">
        <f t="shared" si="313"/>
        <v>2.096774193548387</v>
      </c>
      <c r="AF65" s="2156">
        <f t="shared" si="312"/>
        <v>2.096774193548387</v>
      </c>
      <c r="AG65" s="1814"/>
      <c r="AH65" s="2153">
        <f t="shared" ref="AH65:AH66" si="314">SUM(Z65:AF65)</f>
        <v>14.677419354838712</v>
      </c>
      <c r="AI65" s="2157">
        <f>$J$65*7</f>
        <v>14.677419354838708</v>
      </c>
      <c r="AJ65" s="2158">
        <f t="shared" ref="AJ65:AJ66" si="315">AH65-AI65</f>
        <v>0</v>
      </c>
      <c r="AK65" s="1814"/>
      <c r="AL65" s="2153">
        <f t="shared" ref="AL65:AQ65" si="316">IF(AL62&gt;$J$73,$J$65,IF(AL62&lt;$J$73,(IF(AL62&lt;0,0,AL62*$K$65))))</f>
        <v>2.096774193548387</v>
      </c>
      <c r="AM65" s="2154">
        <f t="shared" si="316"/>
        <v>2.096774193548387</v>
      </c>
      <c r="AN65" s="2154">
        <f t="shared" si="316"/>
        <v>2.096774193548387</v>
      </c>
      <c r="AO65" s="2154">
        <f t="shared" si="316"/>
        <v>2.096774193548387</v>
      </c>
      <c r="AP65" s="2154">
        <f t="shared" si="316"/>
        <v>2.096774193548387</v>
      </c>
      <c r="AQ65" s="2154">
        <f t="shared" si="316"/>
        <v>2.096774193548387</v>
      </c>
      <c r="AR65" s="2154">
        <f t="shared" ref="AR65" si="317">IF(AR62&gt;$J$73,$J$65,IF(AR62&lt;$J$73,(IF(AR62&lt;0,0,AR62*$K$65))))</f>
        <v>2.096774193548387</v>
      </c>
      <c r="AS65" s="1814"/>
      <c r="AT65" s="2153">
        <f t="shared" ref="AT65:AT66" si="318">SUM(AL65:AR65)</f>
        <v>14.677419354838712</v>
      </c>
      <c r="AU65" s="2157">
        <f>$J$65*7</f>
        <v>14.677419354838708</v>
      </c>
      <c r="AV65" s="2158">
        <f t="shared" ref="AV65:AV66" si="319">AT65-AU65</f>
        <v>0</v>
      </c>
      <c r="AW65" s="1814"/>
      <c r="AX65" s="2153">
        <f t="shared" ref="AX65" si="320">IF(AX62&gt;$J$73,$J$65,IF(AX62&lt;$J$73,(IF(AX62&lt;0,0,AX62*$K$65))))</f>
        <v>2.096774193548387</v>
      </c>
      <c r="AY65" s="2157">
        <f>IF(AY62&gt;$J$73,$J$65,IF(AY62&lt;$J$73,(IF(AY62&lt;0,0,AY62*$K$65))))</f>
        <v>2.096774193548387</v>
      </c>
      <c r="AZ65" s="2157">
        <f>IF(AZ62&gt;$J$73,$J$65,IF(AZ62&lt;$J$73,(IF(AZ62&lt;0,0,AZ62*$K$65))))</f>
        <v>2.096774193548387</v>
      </c>
      <c r="BA65" s="2157">
        <f>IF(BA62&gt;$J$73,$J$65,IF(BA62&lt;$J$73,(IF(BA62&lt;0,0,BA62*$K$65))))</f>
        <v>2.096774193548387</v>
      </c>
      <c r="BB65" s="2157">
        <f>IF(BB62&gt;$J$73,$J$65,IF(BB62&lt;$J$73,(IF(BB62&lt;0,0,BB62*$K$65))))</f>
        <v>2.096774193548387</v>
      </c>
      <c r="BC65" s="2157">
        <f>IF(BC62&gt;$J$73,$J$65,IF(BC62&lt;$J$73,(IF(BC62&lt;0,0,BC62*$K$65))))</f>
        <v>2.096774193548387</v>
      </c>
      <c r="BD65" s="2156">
        <f t="shared" ref="BD65" si="321">IF(BD62&gt;$J$73,$J$65,IF(BD62&lt;$J$73,(IF(BD62&lt;0,0,BD62*$K$65))))</f>
        <v>2.096774193548387</v>
      </c>
      <c r="BE65" s="1814"/>
      <c r="BF65" s="2153">
        <f t="shared" ref="BF65:BF66" si="322">SUM(AX65:BD65)</f>
        <v>14.677419354838712</v>
      </c>
      <c r="BG65" s="2157">
        <f>$J$65*7</f>
        <v>14.677419354838708</v>
      </c>
      <c r="BH65" s="2158">
        <f t="shared" ref="BH65:BH66" si="323">BF65-BG65</f>
        <v>0</v>
      </c>
      <c r="BI65" s="1814"/>
      <c r="BJ65" s="2153">
        <f t="shared" ref="BJ65" si="324">IF(BJ62&gt;$J$73,$J$65,IF(BJ62&lt;$J$73,(IF(BJ62&lt;0,0,BJ62*$K$65))))</f>
        <v>2.096774193548387</v>
      </c>
      <c r="BK65" s="2157">
        <f t="shared" ref="BK65" si="325">IF(BK62&gt;$J$73,$J$65,IF(BK62&lt;$J$73,(IF(BK62&lt;0,0,BK62*$K$65))))</f>
        <v>2.096774193548387</v>
      </c>
      <c r="BL65" s="2156">
        <f t="shared" ref="BL65" si="326">IF(BL62&gt;$J$73,$J$65,IF(BL62&lt;$J$73,(IF(BL62&lt;0,0,BL62*$K$65))))</f>
        <v>2.096774193548387</v>
      </c>
      <c r="BM65" s="1814"/>
      <c r="BN65" s="2153">
        <f>SUM(BJ65:BL65)</f>
        <v>6.290322580645161</v>
      </c>
      <c r="BO65" s="2157">
        <f>$J$65*2</f>
        <v>4.193548387096774</v>
      </c>
      <c r="BP65" s="2158">
        <f t="shared" ref="BP65:BP72" si="327">BN65-BO65</f>
        <v>2.096774193548387</v>
      </c>
      <c r="BR65" s="2153"/>
      <c r="BS65" s="2616"/>
      <c r="BU65" s="2153">
        <f t="shared" ref="BU65:BU66" si="328">SUM(N65:T65)+SUM(Z65:AF65)+SUM(AL65:AR65)+SUM(AX65:BD65)+SUM(BJ65:BL65)</f>
        <v>64.065837483420509</v>
      </c>
      <c r="BV65" s="2617">
        <f t="shared" ref="BV65:BV66" si="329">BU65/E65</f>
        <v>0.98562826897570011</v>
      </c>
      <c r="BW65" s="2351"/>
      <c r="BX65" s="4636"/>
      <c r="BZ65" s="4626"/>
      <c r="CD65" s="1861"/>
      <c r="CE65" s="1861"/>
      <c r="CF65" s="1861"/>
      <c r="CG65" s="1861"/>
      <c r="CH65" s="1861"/>
      <c r="CI65" s="2467"/>
    </row>
    <row r="66" spans="1:87" s="1900" customFormat="1" ht="15.75" x14ac:dyDescent="0.2">
      <c r="A66" s="2464"/>
      <c r="B66" s="2161">
        <v>33</v>
      </c>
      <c r="C66" s="2162" t="s">
        <v>117</v>
      </c>
      <c r="D66" s="2119"/>
      <c r="E66" s="2169">
        <v>37</v>
      </c>
      <c r="F66" s="2176">
        <f t="shared" ref="F66:F72" si="330">E66/10</f>
        <v>3.7</v>
      </c>
      <c r="G66" s="2176">
        <f t="shared" ref="G66:G72" si="331">E66/15</f>
        <v>2.4666666666666668</v>
      </c>
      <c r="H66" s="2176">
        <f t="shared" ref="H66:H72" si="332">E66/20</f>
        <v>1.85</v>
      </c>
      <c r="I66" s="2176">
        <f t="shared" ref="I66:I72" si="333">E66/25</f>
        <v>1.48</v>
      </c>
      <c r="J66" s="2176">
        <f t="shared" si="292"/>
        <v>1.1935483870967742</v>
      </c>
      <c r="K66" s="2177">
        <f t="shared" si="293"/>
        <v>0.11481768813033359</v>
      </c>
      <c r="L66" s="2468"/>
      <c r="M66" s="2339"/>
      <c r="N66" s="2618">
        <f>IF(N62&gt;$J$73,$J$66,IF(N62&lt;$J$73,(IF(N62&lt;0,0,N62*$K$66))))</f>
        <v>1.1935483870967742</v>
      </c>
      <c r="O66" s="2164">
        <f>IF(O62&gt;$J$73,$J$66,IF(O62&lt;$J$73,(IF(O62&lt;0,0,O62*$K$66))))</f>
        <v>1.1935483870967742</v>
      </c>
      <c r="P66" s="2164">
        <f t="shared" ref="P66:T66" si="334">IF(P62&gt;$J$73,$J$66,IF(P62&lt;$J$73,(IF(P62&lt;0,0,P62*$K$66))))</f>
        <v>1.1935483870967742</v>
      </c>
      <c r="Q66" s="2164">
        <f t="shared" si="334"/>
        <v>1.1935483870967742</v>
      </c>
      <c r="R66" s="2164">
        <f t="shared" si="334"/>
        <v>1.1935483870967742</v>
      </c>
      <c r="S66" s="2164">
        <f t="shared" si="334"/>
        <v>1.1935483870967742</v>
      </c>
      <c r="T66" s="2164">
        <f t="shared" si="334"/>
        <v>0.66179433919767783</v>
      </c>
      <c r="U66" s="1951"/>
      <c r="V66" s="2163">
        <f t="shared" ref="V66" si="335">SUM(N66:T66)</f>
        <v>7.8230846617783225</v>
      </c>
      <c r="W66" s="2167">
        <f>$J$66*7</f>
        <v>8.3548387096774199</v>
      </c>
      <c r="X66" s="2168">
        <f>V66-W66</f>
        <v>-0.53175404789909742</v>
      </c>
      <c r="Y66" s="1951"/>
      <c r="Z66" s="2163">
        <f>IF(Z62&gt;$J$73,$J$66,IF(Z62&lt;$J$73,(IF(Z62&lt;0,0,Z62*$K$66))))</f>
        <v>1.1935483870967742</v>
      </c>
      <c r="AA66" s="2167">
        <f>IF(AA62&gt;$J$73,$J$66,IF(AA62&lt;$J$73,(IF(AA62&lt;0,0,AA62*$K$66))))</f>
        <v>1.1935483870967742</v>
      </c>
      <c r="AB66" s="2167">
        <f t="shared" ref="AB66:AF66" si="336">IF(AB62&gt;$J$73,$J$66,IF(AB62&lt;$J$73,(IF(AB62&lt;0,0,AB62*$K$66))))</f>
        <v>1.1935483870967742</v>
      </c>
      <c r="AC66" s="2167">
        <f t="shared" ref="AC66:AE66" si="337">IF(AC62&gt;$J$73,$J$66,IF(AC62&lt;$J$73,(IF(AC62&lt;0,0,AC62*$K$66))))</f>
        <v>1.1935483870967742</v>
      </c>
      <c r="AD66" s="2167">
        <f t="shared" si="337"/>
        <v>1.1935483870967742</v>
      </c>
      <c r="AE66" s="2167">
        <f t="shared" si="337"/>
        <v>1.1935483870967742</v>
      </c>
      <c r="AF66" s="2166">
        <f t="shared" si="336"/>
        <v>1.1935483870967742</v>
      </c>
      <c r="AG66" s="1951"/>
      <c r="AH66" s="2163">
        <f t="shared" si="314"/>
        <v>8.3548387096774199</v>
      </c>
      <c r="AI66" s="2167">
        <f>$J$66*7</f>
        <v>8.3548387096774199</v>
      </c>
      <c r="AJ66" s="2168">
        <f t="shared" si="315"/>
        <v>0</v>
      </c>
      <c r="AK66" s="1951"/>
      <c r="AL66" s="2163">
        <f t="shared" ref="AL66:AM66" si="338">IF(AL62&gt;$J$73,$J$66,IF(AL62&lt;$J$73,(IF(AL62&lt;0,0,AL62*$K$66))))</f>
        <v>1.1935483870967742</v>
      </c>
      <c r="AM66" s="2164">
        <f t="shared" si="338"/>
        <v>1.1935483870967742</v>
      </c>
      <c r="AN66" s="2164">
        <f t="shared" ref="AN66:AO66" si="339">IF(AN62&gt;$J$73,$J$66,IF(AN62&lt;$J$73,(IF(AN62&lt;0,0,AN62*$K$66))))</f>
        <v>1.1935483870967742</v>
      </c>
      <c r="AO66" s="2164">
        <f t="shared" si="339"/>
        <v>1.1935483870967742</v>
      </c>
      <c r="AP66" s="2164">
        <f t="shared" ref="AP66:AQ66" si="340">IF(AP62&gt;$J$73,$J$66,IF(AP62&lt;$J$73,(IF(AP62&lt;0,0,AP62*$K$66))))</f>
        <v>1.1935483870967742</v>
      </c>
      <c r="AQ66" s="2164">
        <f t="shared" si="340"/>
        <v>1.1935483870967742</v>
      </c>
      <c r="AR66" s="2164">
        <f t="shared" ref="AR66" si="341">IF(AR62&gt;$J$73,$J$66,IF(AR62&lt;$J$73,(IF(AR62&lt;0,0,AR62*$K$66))))</f>
        <v>1.1935483870967742</v>
      </c>
      <c r="AS66" s="1951"/>
      <c r="AT66" s="2163">
        <f t="shared" si="318"/>
        <v>8.3548387096774199</v>
      </c>
      <c r="AU66" s="2167">
        <f>$J$66*7</f>
        <v>8.3548387096774199</v>
      </c>
      <c r="AV66" s="2168">
        <f t="shared" si="319"/>
        <v>0</v>
      </c>
      <c r="AW66" s="1951"/>
      <c r="AX66" s="2163">
        <f t="shared" ref="AX66" si="342">IF(AX62&gt;$J$73,$J$66,IF(AX62&lt;$J$73,(IF(AX62&lt;0,0,AX62*$K$66))))</f>
        <v>1.1935483870967742</v>
      </c>
      <c r="AY66" s="2167">
        <f t="shared" ref="AY66" si="343">IF(AY62&gt;$J$73,$J$66,IF(AY62&lt;$J$73,(IF(AY62&lt;0,0,AY62*$K$66))))</f>
        <v>1.1935483870967742</v>
      </c>
      <c r="AZ66" s="2167">
        <f t="shared" ref="AZ66:BA66" si="344">IF(AZ62&gt;$J$73,$J$66,IF(AZ62&lt;$J$73,(IF(AZ62&lt;0,0,AZ62*$K$66))))</f>
        <v>1.1935483870967742</v>
      </c>
      <c r="BA66" s="2167">
        <f t="shared" si="344"/>
        <v>1.1935483870967742</v>
      </c>
      <c r="BB66" s="2167">
        <f t="shared" ref="BB66:BC66" si="345">IF(BB62&gt;$J$73,$J$66,IF(BB62&lt;$J$73,(IF(BB62&lt;0,0,BB62*$K$66))))</f>
        <v>1.1935483870967742</v>
      </c>
      <c r="BC66" s="2167">
        <f t="shared" si="345"/>
        <v>1.1935483870967742</v>
      </c>
      <c r="BD66" s="2166">
        <f t="shared" ref="BD66" si="346">IF(BD62&gt;$J$73,$J$66,IF(BD62&lt;$J$73,(IF(BD62&lt;0,0,BD62*$K$66))))</f>
        <v>1.1935483870967742</v>
      </c>
      <c r="BE66" s="1951"/>
      <c r="BF66" s="2163">
        <f t="shared" si="322"/>
        <v>8.3548387096774199</v>
      </c>
      <c r="BG66" s="2167">
        <f>$J$66*7</f>
        <v>8.3548387096774199</v>
      </c>
      <c r="BH66" s="2168">
        <f t="shared" si="323"/>
        <v>0</v>
      </c>
      <c r="BI66" s="1951"/>
      <c r="BJ66" s="2163">
        <f t="shared" ref="BJ66" si="347">IF(BJ62&gt;$J$73,$J$66,IF(BJ62&lt;$J$73,(IF(BJ62&lt;0,0,BJ62*$K$66))))</f>
        <v>1.1935483870967742</v>
      </c>
      <c r="BK66" s="2167">
        <f t="shared" ref="BK66" si="348">IF(BK62&gt;$J$73,$J$66,IF(BK62&lt;$J$73,(IF(BK62&lt;0,0,BK62*$K$66))))</f>
        <v>1.1935483870967742</v>
      </c>
      <c r="BL66" s="2166">
        <f t="shared" ref="BL66" si="349">IF(BL62&gt;$J$73,$J$66,IF(BL62&lt;$J$73,(IF(BL62&lt;0,0,BL62*$K$66))))</f>
        <v>1.1935483870967742</v>
      </c>
      <c r="BM66" s="1951"/>
      <c r="BN66" s="2163">
        <f>SUM(BJ66:BL66)</f>
        <v>3.580645161290323</v>
      </c>
      <c r="BO66" s="2167">
        <f>$J$66*0</f>
        <v>0</v>
      </c>
      <c r="BP66" s="2168">
        <f t="shared" si="327"/>
        <v>3.580645161290323</v>
      </c>
      <c r="BR66" s="2163"/>
      <c r="BS66" s="2619"/>
      <c r="BU66" s="2163">
        <f t="shared" si="328"/>
        <v>36.468245952100901</v>
      </c>
      <c r="BV66" s="2620">
        <f t="shared" si="329"/>
        <v>0.98562826897569999</v>
      </c>
      <c r="BW66" s="2353"/>
      <c r="BX66" s="4636"/>
      <c r="BZ66" s="4626"/>
      <c r="CD66" s="2011"/>
      <c r="CE66" s="2011"/>
      <c r="CF66" s="2011"/>
      <c r="CG66" s="2011"/>
      <c r="CH66" s="2011"/>
      <c r="CI66" s="2621"/>
    </row>
    <row r="67" spans="1:87" s="1726" customFormat="1" x14ac:dyDescent="0.2">
      <c r="B67" s="2085">
        <v>34</v>
      </c>
      <c r="C67" s="2086" t="s">
        <v>246</v>
      </c>
      <c r="D67" s="2051"/>
      <c r="E67" s="2087">
        <v>37</v>
      </c>
      <c r="F67" s="2088">
        <f t="shared" si="330"/>
        <v>3.7</v>
      </c>
      <c r="G67" s="2088">
        <f t="shared" si="331"/>
        <v>2.4666666666666668</v>
      </c>
      <c r="H67" s="2088">
        <f t="shared" si="332"/>
        <v>1.85</v>
      </c>
      <c r="I67" s="2088">
        <f t="shared" si="333"/>
        <v>1.48</v>
      </c>
      <c r="J67" s="2088">
        <f t="shared" si="292"/>
        <v>1.1935483870967742</v>
      </c>
      <c r="K67" s="2089">
        <f t="shared" si="293"/>
        <v>0.11481768813033359</v>
      </c>
      <c r="L67" s="1931"/>
      <c r="M67" s="1924"/>
      <c r="N67" s="2284">
        <f>IF(N62&gt;$J$73,$J$67,IF(N62&lt;$J$73,(IF(N62&lt;0,0,N62*$K$67))))</f>
        <v>1.1935483870967742</v>
      </c>
      <c r="O67" s="2088">
        <f>IF(O62&gt;$J$73,$J$67,IF(O62&lt;$J$73,(IF(O62&lt;0,0,O62*$K$67))))</f>
        <v>1.1935483870967742</v>
      </c>
      <c r="P67" s="2087">
        <f t="shared" ref="P67:T67" si="350">IF(P62&gt;$J$73,$J$67,IF(P62&lt;$J$73,(IF(P62&lt;0,0,P62*$K$67))))</f>
        <v>1.1935483870967742</v>
      </c>
      <c r="Q67" s="2087">
        <f t="shared" ref="Q67:R67" si="351">IF(Q62&gt;$J$73,$J$67,IF(Q62&lt;$J$73,(IF(Q62&lt;0,0,Q62*$K$67))))</f>
        <v>1.1935483870967742</v>
      </c>
      <c r="R67" s="2087">
        <f t="shared" si="351"/>
        <v>1.1935483870967742</v>
      </c>
      <c r="S67" s="2087">
        <f t="shared" si="350"/>
        <v>1.1935483870967742</v>
      </c>
      <c r="T67" s="2091">
        <f t="shared" si="350"/>
        <v>0.66179433919767783</v>
      </c>
      <c r="U67" s="1814"/>
      <c r="V67" s="2090">
        <f t="shared" si="42"/>
        <v>7.8230846617783225</v>
      </c>
      <c r="W67" s="2087">
        <f>$J$67*7</f>
        <v>8.3548387096774199</v>
      </c>
      <c r="X67" s="2174">
        <f>V67-W67</f>
        <v>-0.53175404789909742</v>
      </c>
      <c r="Y67" s="1766"/>
      <c r="Z67" s="2090">
        <f t="shared" ref="Z67" si="352">IF(Z62&gt;$J$73,$J$67,IF(Z62&lt;$J$73,(IF(Z62&lt;0,0,Z62*$K$67))))</f>
        <v>1.1935483870967742</v>
      </c>
      <c r="AA67" s="2087">
        <f t="shared" ref="AA67:AF67" si="353">IF(AA62&gt;$J$73,$J$67,IF(AA62&lt;$J$73,(IF(AA62&lt;0,0,AA62*$K$67))))</f>
        <v>1.1935483870967742</v>
      </c>
      <c r="AB67" s="2087">
        <f t="shared" si="353"/>
        <v>1.1935483870967742</v>
      </c>
      <c r="AC67" s="2087">
        <f t="shared" ref="AC67:AE67" si="354">IF(AC62&gt;$J$73,$J$67,IF(AC62&lt;$J$73,(IF(AC62&lt;0,0,AC62*$K$67))))</f>
        <v>1.1935483870967742</v>
      </c>
      <c r="AD67" s="2087">
        <f t="shared" si="354"/>
        <v>1.1935483870967742</v>
      </c>
      <c r="AE67" s="2087">
        <f t="shared" si="354"/>
        <v>1.1935483870967742</v>
      </c>
      <c r="AF67" s="2091">
        <f t="shared" si="353"/>
        <v>1.1935483870967742</v>
      </c>
      <c r="AG67" s="1766"/>
      <c r="AH67" s="2090">
        <f t="shared" ref="AH67:AH85" si="355">SUM(Z67:AF67)</f>
        <v>8.3548387096774199</v>
      </c>
      <c r="AI67" s="2087">
        <f>$J$67*7</f>
        <v>8.3548387096774199</v>
      </c>
      <c r="AJ67" s="2174">
        <f t="shared" ref="AJ67:AJ85" si="356">AH67-AI67</f>
        <v>0</v>
      </c>
      <c r="AK67" s="1766"/>
      <c r="AL67" s="2090">
        <f t="shared" ref="AL67:AM67" si="357">IF(AL62&gt;$J$73,$J$67,IF(AL62&lt;$J$73,(IF(AL62&lt;0,0,AL62*$K$67))))</f>
        <v>1.1935483870967742</v>
      </c>
      <c r="AM67" s="2088">
        <f t="shared" si="357"/>
        <v>1.1935483870967742</v>
      </c>
      <c r="AN67" s="2088">
        <f t="shared" ref="AN67:AR67" si="358">IF(AN62&gt;$J$73,$J$67,IF(AN62&lt;$J$73,(IF(AN62&lt;0,0,AN62*$K$67))))</f>
        <v>1.1935483870967742</v>
      </c>
      <c r="AO67" s="2088">
        <f t="shared" si="358"/>
        <v>1.1935483870967742</v>
      </c>
      <c r="AP67" s="2088">
        <f t="shared" si="358"/>
        <v>1.1935483870967742</v>
      </c>
      <c r="AQ67" s="2088">
        <f t="shared" si="358"/>
        <v>1.1935483870967742</v>
      </c>
      <c r="AR67" s="2091">
        <f t="shared" si="358"/>
        <v>1.1935483870967742</v>
      </c>
      <c r="AS67" s="1814"/>
      <c r="AT67" s="2090">
        <f t="shared" ref="AT67:AT72" si="359">SUM(AL67:AR67)</f>
        <v>8.3548387096774199</v>
      </c>
      <c r="AU67" s="2087">
        <f>$J$67*7</f>
        <v>8.3548387096774199</v>
      </c>
      <c r="AV67" s="2174">
        <f t="shared" ref="AV67:AV72" si="360">AT67-AU67</f>
        <v>0</v>
      </c>
      <c r="AW67" s="1814"/>
      <c r="AX67" s="2090">
        <f t="shared" ref="AX67" si="361">IF(AX62&gt;$J$73,$J$67,IF(AX62&lt;$J$73,(IF(AX62&lt;0,0,AX62*$K$67))))</f>
        <v>1.1935483870967742</v>
      </c>
      <c r="AY67" s="2087">
        <f t="shared" ref="AY67" si="362">IF(AY62&gt;$J$73,$J$67,IF(AY62&lt;$J$73,(IF(AY62&lt;0,0,AY62*$K$67))))</f>
        <v>1.1935483870967742</v>
      </c>
      <c r="AZ67" s="2087">
        <f t="shared" ref="AZ67:BA67" si="363">IF(AZ62&gt;$J$73,$J$67,IF(AZ62&lt;$J$73,(IF(AZ62&lt;0,0,AZ62*$K$67))))</f>
        <v>1.1935483870967742</v>
      </c>
      <c r="BA67" s="2087">
        <f t="shared" si="363"/>
        <v>1.1935483870967742</v>
      </c>
      <c r="BB67" s="2087">
        <f t="shared" ref="BB67:BC67" si="364">IF(BB62&gt;$J$73,$J$67,IF(BB62&lt;$J$73,(IF(BB62&lt;0,0,BB62*$K$67))))</f>
        <v>1.1935483870967742</v>
      </c>
      <c r="BC67" s="2087">
        <f t="shared" si="364"/>
        <v>1.1935483870967742</v>
      </c>
      <c r="BD67" s="2091">
        <f t="shared" ref="BD67" si="365">IF(BD62&gt;$J$73,$J$67,IF(BD62&lt;$J$73,(IF(BD62&lt;0,0,BD62*$K$67))))</f>
        <v>1.1935483870967742</v>
      </c>
      <c r="BE67" s="1814"/>
      <c r="BF67" s="2090">
        <f t="shared" ref="BF67:BF72" si="366">SUM(AX67:BD67)</f>
        <v>8.3548387096774199</v>
      </c>
      <c r="BG67" s="2087">
        <f>$J$67*7</f>
        <v>8.3548387096774199</v>
      </c>
      <c r="BH67" s="2174">
        <f t="shared" ref="BH67:BH72" si="367">BF67-BG67</f>
        <v>0</v>
      </c>
      <c r="BI67" s="1814"/>
      <c r="BJ67" s="2090">
        <f t="shared" ref="BJ67" si="368">IF(BJ62&gt;$J$73,$J$67,IF(BJ62&lt;$J$73,(IF(BJ62&lt;0,0,BJ62*$K$67))))</f>
        <v>1.1935483870967742</v>
      </c>
      <c r="BK67" s="2087">
        <f t="shared" ref="BK67" si="369">IF(BK62&gt;$J$73,$J$67,IF(BK62&lt;$J$73,(IF(BK62&lt;0,0,BK62*$K$67))))</f>
        <v>1.1935483870967742</v>
      </c>
      <c r="BL67" s="2091">
        <f t="shared" ref="BL67" si="370">IF(BL62&gt;$J$73,$J$67,IF(BL62&lt;$J$73,(IF(BL62&lt;0,0,BL62*$K$67))))</f>
        <v>1.1935483870967742</v>
      </c>
      <c r="BM67" s="1814"/>
      <c r="BN67" s="2090">
        <f t="shared" ref="BN67:BN72" si="371">SUM(BJ67:BL67)</f>
        <v>3.580645161290323</v>
      </c>
      <c r="BO67" s="2087">
        <f>$J$67*0</f>
        <v>0</v>
      </c>
      <c r="BP67" s="2174">
        <f t="shared" si="327"/>
        <v>3.580645161290323</v>
      </c>
      <c r="BR67" s="2090"/>
      <c r="BS67" s="2159"/>
      <c r="BT67" s="1740"/>
      <c r="BU67" s="2090">
        <f t="shared" si="309"/>
        <v>36.468245952100901</v>
      </c>
      <c r="BV67" s="2160">
        <f t="shared" si="310"/>
        <v>0.98562826897569999</v>
      </c>
      <c r="BW67" s="2351"/>
      <c r="BX67" s="4636"/>
      <c r="BZ67" s="4626"/>
      <c r="CA67" s="1830"/>
      <c r="CB67" s="2131"/>
      <c r="CC67" s="1830"/>
      <c r="CD67" s="1860"/>
      <c r="CE67" s="1860"/>
      <c r="CF67" s="1860"/>
      <c r="CG67" s="1860"/>
      <c r="CH67" s="1860"/>
      <c r="CI67" s="1998"/>
    </row>
    <row r="68" spans="1:87" s="1885" customFormat="1" x14ac:dyDescent="0.2">
      <c r="B68" s="2182">
        <v>35</v>
      </c>
      <c r="C68" s="2175" t="s">
        <v>243</v>
      </c>
      <c r="D68" s="2119"/>
      <c r="E68" s="2170">
        <v>29.5</v>
      </c>
      <c r="F68" s="2176">
        <f t="shared" si="330"/>
        <v>2.95</v>
      </c>
      <c r="G68" s="2176">
        <f t="shared" si="331"/>
        <v>1.9666666666666666</v>
      </c>
      <c r="H68" s="2176">
        <f t="shared" si="332"/>
        <v>1.4750000000000001</v>
      </c>
      <c r="I68" s="2176">
        <f t="shared" si="333"/>
        <v>1.18</v>
      </c>
      <c r="J68" s="2176">
        <f t="shared" si="292"/>
        <v>0.95161290322580649</v>
      </c>
      <c r="K68" s="2177">
        <f t="shared" si="293"/>
        <v>9.154383242823895E-2</v>
      </c>
      <c r="L68" s="2003"/>
      <c r="M68" s="1950"/>
      <c r="N68" s="2415">
        <f>IF(N62&gt;$J$73,$J$68,IF(N62&lt;$J$73,(IF(N62&lt;0,0,N62*$K$68))))</f>
        <v>0.95161290322580649</v>
      </c>
      <c r="O68" s="2176">
        <f>IF(O62&gt;$J$73,$J$68,IF(O62&lt;$J$73,(IF(O62&lt;0,0,O62*$K$68))))</f>
        <v>0.95161290322580649</v>
      </c>
      <c r="P68" s="2170">
        <f t="shared" ref="P68:T68" si="372">IF(P62&gt;$J$73,$J$68,IF(P62&lt;$J$73,(IF(P62&lt;0,0,P62*$K$68))))</f>
        <v>0.95161290322580649</v>
      </c>
      <c r="Q68" s="2170">
        <f t="shared" ref="Q68:R68" si="373">IF(Q62&gt;$J$73,$J$68,IF(Q62&lt;$J$73,(IF(Q62&lt;0,0,Q62*$K$68))))</f>
        <v>0.95161290322580649</v>
      </c>
      <c r="R68" s="2170">
        <f t="shared" si="373"/>
        <v>0.95161290322580649</v>
      </c>
      <c r="S68" s="2170">
        <f t="shared" si="372"/>
        <v>0.95161290322580649</v>
      </c>
      <c r="T68" s="2171">
        <f t="shared" si="372"/>
        <v>0.5276468380089594</v>
      </c>
      <c r="U68" s="1951"/>
      <c r="V68" s="2169">
        <f t="shared" si="42"/>
        <v>6.237324257363797</v>
      </c>
      <c r="W68" s="2176">
        <f>$J$68*7</f>
        <v>6.6612903225806459</v>
      </c>
      <c r="X68" s="2171">
        <f t="shared" ref="X68:X85" si="374">V68-W68</f>
        <v>-0.42396606521684888</v>
      </c>
      <c r="Y68" s="1956"/>
      <c r="Z68" s="2169">
        <f t="shared" ref="Z68" si="375">IF(Z62&gt;$J$73,$J$68,IF(Z62&lt;$J$73,(IF(Z62&lt;0,0,Z62*$K$68))))</f>
        <v>0.95161290322580649</v>
      </c>
      <c r="AA68" s="2176">
        <f t="shared" ref="AA68:AF68" si="376">IF(AA62&gt;$J$73,$J$68,IF(AA62&lt;$J$73,(IF(AA62&lt;0,0,AA62*$K$68))))</f>
        <v>0.95161290322580649</v>
      </c>
      <c r="AB68" s="2176">
        <f t="shared" si="376"/>
        <v>0.95161290322580649</v>
      </c>
      <c r="AC68" s="2176">
        <f t="shared" ref="AC68:AE68" si="377">IF(AC62&gt;$J$73,$J$68,IF(AC62&lt;$J$73,(IF(AC62&lt;0,0,AC62*$K$68))))</f>
        <v>0.95161290322580649</v>
      </c>
      <c r="AD68" s="2176">
        <f t="shared" si="377"/>
        <v>0.95161290322580649</v>
      </c>
      <c r="AE68" s="2176">
        <f t="shared" si="377"/>
        <v>0.95161290322580649</v>
      </c>
      <c r="AF68" s="2171">
        <f t="shared" si="376"/>
        <v>0.95161290322580649</v>
      </c>
      <c r="AG68" s="1956"/>
      <c r="AH68" s="2169">
        <f t="shared" si="355"/>
        <v>6.6612903225806441</v>
      </c>
      <c r="AI68" s="2176">
        <f>$J$68*7</f>
        <v>6.6612903225806459</v>
      </c>
      <c r="AJ68" s="2171">
        <f t="shared" si="356"/>
        <v>0</v>
      </c>
      <c r="AK68" s="1956"/>
      <c r="AL68" s="2169">
        <f t="shared" ref="AL68:AM68" si="378">IF(AL62&gt;$J$73,$J$68,IF(AL62&lt;$J$73,(IF(AL62&lt;0,0,AL62*$K$68))))</f>
        <v>0.95161290322580649</v>
      </c>
      <c r="AM68" s="2176">
        <f t="shared" si="378"/>
        <v>0.95161290322580649</v>
      </c>
      <c r="AN68" s="2176">
        <f t="shared" ref="AN68:AR68" si="379">IF(AN62&gt;$J$73,$J$68,IF(AN62&lt;$J$73,(IF(AN62&lt;0,0,AN62*$K$68))))</f>
        <v>0.95161290322580649</v>
      </c>
      <c r="AO68" s="2176">
        <f t="shared" si="379"/>
        <v>0.95161290322580649</v>
      </c>
      <c r="AP68" s="2176">
        <f t="shared" si="379"/>
        <v>0.95161290322580649</v>
      </c>
      <c r="AQ68" s="2176">
        <f t="shared" si="379"/>
        <v>0.95161290322580649</v>
      </c>
      <c r="AR68" s="2171">
        <f t="shared" si="379"/>
        <v>0.95161290322580649</v>
      </c>
      <c r="AS68" s="1951"/>
      <c r="AT68" s="2169">
        <f t="shared" si="359"/>
        <v>6.6612903225806441</v>
      </c>
      <c r="AU68" s="2176">
        <f>$J$68*7</f>
        <v>6.6612903225806459</v>
      </c>
      <c r="AV68" s="2171">
        <f t="shared" si="360"/>
        <v>0</v>
      </c>
      <c r="AW68" s="1951"/>
      <c r="AX68" s="2169">
        <f t="shared" ref="AX68" si="380">IF(AX62&gt;$J$73,$J$68,IF(AX62&lt;$J$73,(IF(AX62&lt;0,0,AX62*$K$68))))</f>
        <v>0.95161290322580649</v>
      </c>
      <c r="AY68" s="2170">
        <f t="shared" ref="AY68" si="381">IF(AY62&gt;$J$73,$J$68,IF(AY62&lt;$J$73,(IF(AY62&lt;0,0,AY62*$K$68))))</f>
        <v>0.95161290322580649</v>
      </c>
      <c r="AZ68" s="2170">
        <f t="shared" ref="AZ68:BA68" si="382">IF(AZ62&gt;$J$73,$J$68,IF(AZ62&lt;$J$73,(IF(AZ62&lt;0,0,AZ62*$K$68))))</f>
        <v>0.95161290322580649</v>
      </c>
      <c r="BA68" s="2170">
        <f t="shared" si="382"/>
        <v>0.95161290322580649</v>
      </c>
      <c r="BB68" s="2170">
        <f t="shared" ref="BB68:BC68" si="383">IF(BB62&gt;$J$73,$J$68,IF(BB62&lt;$J$73,(IF(BB62&lt;0,0,BB62*$K$68))))</f>
        <v>0.95161290322580649</v>
      </c>
      <c r="BC68" s="2170">
        <f t="shared" si="383"/>
        <v>0.95161290322580649</v>
      </c>
      <c r="BD68" s="2171">
        <f t="shared" ref="BD68" si="384">IF(BD62&gt;$J$73,$J$68,IF(BD62&lt;$J$73,(IF(BD62&lt;0,0,BD62*$K$68))))</f>
        <v>0.95161290322580649</v>
      </c>
      <c r="BE68" s="1951"/>
      <c r="BF68" s="2169">
        <f t="shared" si="366"/>
        <v>6.6612903225806441</v>
      </c>
      <c r="BG68" s="2176">
        <f>$J$68*7</f>
        <v>6.6612903225806459</v>
      </c>
      <c r="BH68" s="2171">
        <f t="shared" si="367"/>
        <v>0</v>
      </c>
      <c r="BI68" s="1951"/>
      <c r="BJ68" s="2169">
        <f t="shared" ref="BJ68" si="385">IF(BJ62&gt;$J$73,$J$68,IF(BJ62&lt;$J$73,(IF(BJ62&lt;0,0,BJ62*$K$68))))</f>
        <v>0.95161290322580649</v>
      </c>
      <c r="BK68" s="2170">
        <f t="shared" ref="BK68" si="386">IF(BK62&gt;$J$73,$J$68,IF(BK62&lt;$J$73,(IF(BK62&lt;0,0,BK62*$K$68))))</f>
        <v>0.95161290322580649</v>
      </c>
      <c r="BL68" s="2171">
        <f t="shared" ref="BL68" si="387">IF(BL62&gt;$J$73,$J$68,IF(BL62&lt;$J$73,(IF(BL62&lt;0,0,BL62*$K$68))))</f>
        <v>0.95161290322580649</v>
      </c>
      <c r="BM68" s="1951"/>
      <c r="BN68" s="2169">
        <f t="shared" si="371"/>
        <v>2.8548387096774195</v>
      </c>
      <c r="BO68" s="2176">
        <f>$J$68*0</f>
        <v>0</v>
      </c>
      <c r="BP68" s="2171">
        <f t="shared" si="327"/>
        <v>2.8548387096774195</v>
      </c>
      <c r="BR68" s="2179"/>
      <c r="BS68" s="2180"/>
      <c r="BT68" s="1900"/>
      <c r="BU68" s="2179">
        <f t="shared" si="309"/>
        <v>29.076033934783148</v>
      </c>
      <c r="BV68" s="2181">
        <f t="shared" si="310"/>
        <v>0.98562826897569988</v>
      </c>
      <c r="BW68" s="2353"/>
      <c r="BX68" s="4636"/>
      <c r="BZ68" s="4626"/>
      <c r="CA68" s="1962"/>
      <c r="CB68" s="2339"/>
      <c r="CC68" s="1962"/>
      <c r="CD68" s="1946"/>
      <c r="CE68" s="1946"/>
      <c r="CF68" s="1946"/>
      <c r="CG68" s="1946"/>
      <c r="CH68" s="1946"/>
      <c r="CI68" s="2012"/>
    </row>
    <row r="69" spans="1:87" s="1726" customFormat="1" x14ac:dyDescent="0.2">
      <c r="A69" s="1756"/>
      <c r="B69" s="2085">
        <v>36</v>
      </c>
      <c r="C69" s="2086" t="s">
        <v>118</v>
      </c>
      <c r="D69" s="2051"/>
      <c r="E69" s="2087">
        <v>18.75</v>
      </c>
      <c r="F69" s="2088">
        <f t="shared" si="330"/>
        <v>1.875</v>
      </c>
      <c r="G69" s="2088">
        <f t="shared" si="331"/>
        <v>1.25</v>
      </c>
      <c r="H69" s="2088">
        <f t="shared" si="332"/>
        <v>0.9375</v>
      </c>
      <c r="I69" s="2088">
        <f t="shared" si="333"/>
        <v>0.75</v>
      </c>
      <c r="J69" s="2088">
        <f t="shared" si="292"/>
        <v>0.60483870967741937</v>
      </c>
      <c r="K69" s="2089">
        <f t="shared" si="293"/>
        <v>5.818463925523662E-2</v>
      </c>
      <c r="L69" s="1931"/>
      <c r="M69" s="1924"/>
      <c r="N69" s="2284">
        <f>IF(N62&gt;$J$73,$J$69,IF(N62&lt;$J$73,(IF(N62&lt;0,0,N62*$K$69))))</f>
        <v>0.60483870967741937</v>
      </c>
      <c r="O69" s="2088">
        <f>IF(O62&gt;$J$73,$J$69,IF(O62&lt;$J$73,(IF(O62&lt;0,0,O62*$K$69))))</f>
        <v>0.60483870967741937</v>
      </c>
      <c r="P69" s="2087">
        <f t="shared" ref="P69:T69" si="388">IF(P62&gt;$J$73,$J$69,IF(P62&lt;$J$73,(IF(P62&lt;0,0,P62*$K$69))))</f>
        <v>0.60483870967741937</v>
      </c>
      <c r="Q69" s="2087">
        <f t="shared" ref="Q69:R69" si="389">IF(Q62&gt;$J$73,$J$69,IF(Q62&lt;$J$73,(IF(Q62&lt;0,0,Q62*$K$69))))</f>
        <v>0.60483870967741937</v>
      </c>
      <c r="R69" s="2087">
        <f t="shared" si="389"/>
        <v>0.60483870967741937</v>
      </c>
      <c r="S69" s="2087">
        <f t="shared" si="388"/>
        <v>0.60483870967741937</v>
      </c>
      <c r="T69" s="2091">
        <f t="shared" si="388"/>
        <v>0.33536875297179619</v>
      </c>
      <c r="U69" s="1814"/>
      <c r="V69" s="2090">
        <f t="shared" si="42"/>
        <v>3.9644010110363128</v>
      </c>
      <c r="W69" s="2088">
        <f>$J$69*7</f>
        <v>4.2338709677419359</v>
      </c>
      <c r="X69" s="2091">
        <f t="shared" si="374"/>
        <v>-0.26946995670562313</v>
      </c>
      <c r="Y69" s="1766"/>
      <c r="Z69" s="2090">
        <f t="shared" ref="Z69" si="390">IF(Z62&gt;$J$73,$J$69,IF(Z62&lt;$J$73,(IF(Z62&lt;0,0,Z62*$K$69))))</f>
        <v>0.60483870967741937</v>
      </c>
      <c r="AA69" s="2088">
        <f t="shared" ref="AA69:AF69" si="391">IF(AA62&gt;$J$73,$J$69,IF(AA62&lt;$J$73,(IF(AA62&lt;0,0,AA62*$K$69))))</f>
        <v>0.60483870967741937</v>
      </c>
      <c r="AB69" s="2088">
        <f t="shared" si="391"/>
        <v>0.60483870967741937</v>
      </c>
      <c r="AC69" s="2088">
        <f t="shared" ref="AC69:AE69" si="392">IF(AC62&gt;$J$73,$J$69,IF(AC62&lt;$J$73,(IF(AC62&lt;0,0,AC62*$K$69))))</f>
        <v>0.60483870967741937</v>
      </c>
      <c r="AD69" s="2088">
        <f t="shared" si="392"/>
        <v>0.60483870967741937</v>
      </c>
      <c r="AE69" s="2088">
        <f t="shared" si="392"/>
        <v>0.60483870967741937</v>
      </c>
      <c r="AF69" s="2091">
        <f t="shared" si="391"/>
        <v>0.60483870967741937</v>
      </c>
      <c r="AG69" s="1766"/>
      <c r="AH69" s="2090">
        <f t="shared" si="355"/>
        <v>4.2338709677419359</v>
      </c>
      <c r="AI69" s="2088">
        <f>$J$69*7</f>
        <v>4.2338709677419359</v>
      </c>
      <c r="AJ69" s="2091">
        <f t="shared" si="356"/>
        <v>0</v>
      </c>
      <c r="AK69" s="1766"/>
      <c r="AL69" s="2090">
        <f t="shared" ref="AL69:AM69" si="393">IF(AL62&gt;$J$73,$J$69,IF(AL62&lt;$J$73,(IF(AL62&lt;0,0,AL62*$K$69))))</f>
        <v>0.60483870967741937</v>
      </c>
      <c r="AM69" s="2088">
        <f t="shared" si="393"/>
        <v>0.60483870967741937</v>
      </c>
      <c r="AN69" s="2088">
        <f t="shared" ref="AN69:AR69" si="394">IF(AN62&gt;$J$73,$J$69,IF(AN62&lt;$J$73,(IF(AN62&lt;0,0,AN62*$K$69))))</f>
        <v>0.60483870967741937</v>
      </c>
      <c r="AO69" s="2088">
        <f t="shared" si="394"/>
        <v>0.60483870967741937</v>
      </c>
      <c r="AP69" s="2088">
        <f t="shared" si="394"/>
        <v>0.60483870967741937</v>
      </c>
      <c r="AQ69" s="2088">
        <f t="shared" si="394"/>
        <v>0.60483870967741937</v>
      </c>
      <c r="AR69" s="2091">
        <f t="shared" si="394"/>
        <v>0.60483870967741937</v>
      </c>
      <c r="AS69" s="1814"/>
      <c r="AT69" s="2090">
        <f t="shared" si="359"/>
        <v>4.2338709677419359</v>
      </c>
      <c r="AU69" s="2088">
        <f>$J$69*7</f>
        <v>4.2338709677419359</v>
      </c>
      <c r="AV69" s="2091">
        <f t="shared" si="360"/>
        <v>0</v>
      </c>
      <c r="AW69" s="1814"/>
      <c r="AX69" s="2090">
        <f t="shared" ref="AX69" si="395">IF(AX62&gt;$J$73,$J$69,IF(AX62&lt;$J$73,(IF(AX62&lt;0,0,AX62*$K$69))))</f>
        <v>0.60483870967741937</v>
      </c>
      <c r="AY69" s="2087">
        <f t="shared" ref="AY69" si="396">IF(AY62&gt;$J$73,$J$69,IF(AY62&lt;$J$73,(IF(AY62&lt;0,0,AY62*$K$69))))</f>
        <v>0.60483870967741937</v>
      </c>
      <c r="AZ69" s="2087">
        <f t="shared" ref="AZ69:BA69" si="397">IF(AZ62&gt;$J$73,$J$69,IF(AZ62&lt;$J$73,(IF(AZ62&lt;0,0,AZ62*$K$69))))</f>
        <v>0.60483870967741937</v>
      </c>
      <c r="BA69" s="2087">
        <f t="shared" si="397"/>
        <v>0.60483870967741937</v>
      </c>
      <c r="BB69" s="2087">
        <f t="shared" ref="BB69:BC69" si="398">IF(BB62&gt;$J$73,$J$69,IF(BB62&lt;$J$73,(IF(BB62&lt;0,0,BB62*$K$69))))</f>
        <v>0.60483870967741937</v>
      </c>
      <c r="BC69" s="2087">
        <f t="shared" si="398"/>
        <v>0.60483870967741937</v>
      </c>
      <c r="BD69" s="2091">
        <f t="shared" ref="BD69" si="399">IF(BD62&gt;$J$73,$J$69,IF(BD62&lt;$J$73,(IF(BD62&lt;0,0,BD62*$K$69))))</f>
        <v>0.60483870967741937</v>
      </c>
      <c r="BE69" s="1814"/>
      <c r="BF69" s="2090">
        <f t="shared" si="366"/>
        <v>4.2338709677419359</v>
      </c>
      <c r="BG69" s="2088">
        <f>$J$69*7</f>
        <v>4.2338709677419359</v>
      </c>
      <c r="BH69" s="2091">
        <f t="shared" si="367"/>
        <v>0</v>
      </c>
      <c r="BI69" s="1814"/>
      <c r="BJ69" s="2090">
        <f t="shared" ref="BJ69" si="400">IF(BJ62&gt;$J$73,$J$69,IF(BJ62&lt;$J$73,(IF(BJ62&lt;0,0,BJ62*$K$69))))</f>
        <v>0.60483870967741937</v>
      </c>
      <c r="BK69" s="2087">
        <f t="shared" ref="BK69" si="401">IF(BK62&gt;$J$73,$J$69,IF(BK62&lt;$J$73,(IF(BK62&lt;0,0,BK62*$K$69))))</f>
        <v>0.60483870967741937</v>
      </c>
      <c r="BL69" s="2091">
        <f t="shared" ref="BL69" si="402">IF(BL62&gt;$J$73,$J$69,IF(BL62&lt;$J$73,(IF(BL62&lt;0,0,BL62*$K$69))))</f>
        <v>0.60483870967741937</v>
      </c>
      <c r="BM69" s="1814"/>
      <c r="BN69" s="2090">
        <f t="shared" si="371"/>
        <v>1.814516129032258</v>
      </c>
      <c r="BO69" s="2088">
        <f>$J$69*0</f>
        <v>0</v>
      </c>
      <c r="BP69" s="2091">
        <f t="shared" si="327"/>
        <v>1.814516129032258</v>
      </c>
      <c r="BR69" s="2092"/>
      <c r="BS69" s="2093"/>
      <c r="BT69" s="1740"/>
      <c r="BU69" s="2092">
        <f t="shared" si="309"/>
        <v>18.48053004329438</v>
      </c>
      <c r="BV69" s="2094">
        <f t="shared" si="310"/>
        <v>0.98562826897570022</v>
      </c>
      <c r="BW69" s="2351"/>
      <c r="BX69" s="4636"/>
      <c r="BZ69" s="4626"/>
      <c r="CA69" s="2765"/>
      <c r="CB69" s="2765"/>
      <c r="CC69" s="1860"/>
      <c r="CD69" s="1860"/>
      <c r="CE69" s="1860"/>
      <c r="CF69" s="1860"/>
      <c r="CG69" s="1860"/>
      <c r="CH69" s="1860"/>
      <c r="CI69" s="1998"/>
    </row>
    <row r="70" spans="1:87" s="1885" customFormat="1" x14ac:dyDescent="0.2">
      <c r="B70" s="2182">
        <v>37</v>
      </c>
      <c r="C70" s="2175" t="s">
        <v>123</v>
      </c>
      <c r="D70" s="2119"/>
      <c r="E70" s="2170">
        <v>25</v>
      </c>
      <c r="F70" s="2176">
        <f t="shared" si="330"/>
        <v>2.5</v>
      </c>
      <c r="G70" s="2176">
        <f t="shared" si="331"/>
        <v>1.6666666666666667</v>
      </c>
      <c r="H70" s="2176">
        <f t="shared" si="332"/>
        <v>1.25</v>
      </c>
      <c r="I70" s="2176">
        <f t="shared" si="333"/>
        <v>1</v>
      </c>
      <c r="J70" s="2176">
        <f t="shared" si="292"/>
        <v>0.80645161290322576</v>
      </c>
      <c r="K70" s="2177">
        <f t="shared" si="293"/>
        <v>7.7579519006982151E-2</v>
      </c>
      <c r="L70" s="2003"/>
      <c r="M70" s="1950"/>
      <c r="N70" s="2415">
        <f>IF(N62&gt;$J$73,$J$70,IF(N62&lt;$J$73,(IF(N62&lt;0,0,N62*$K$70))))</f>
        <v>0.80645161290322576</v>
      </c>
      <c r="O70" s="2176">
        <f>IF(O62&gt;$J$73,$J$70,IF(O62&lt;$J$73,(IF(O62&lt;0,0,O62*$K$70))))</f>
        <v>0.80645161290322576</v>
      </c>
      <c r="P70" s="2170">
        <f t="shared" ref="P70:T70" si="403">IF(P62&gt;$J$73,$J$70,IF(P62&lt;$J$73,(IF(P62&lt;0,0,P62*$K$70))))</f>
        <v>0.80645161290322576</v>
      </c>
      <c r="Q70" s="2170">
        <f t="shared" ref="Q70:R70" si="404">IF(Q62&gt;$J$73,$J$70,IF(Q62&lt;$J$73,(IF(Q62&lt;0,0,Q62*$K$70))))</f>
        <v>0.80645161290322576</v>
      </c>
      <c r="R70" s="2170">
        <f t="shared" si="404"/>
        <v>0.80645161290322576</v>
      </c>
      <c r="S70" s="2170">
        <f t="shared" si="403"/>
        <v>0.80645161290322576</v>
      </c>
      <c r="T70" s="2171">
        <f t="shared" si="403"/>
        <v>0.44715833729572824</v>
      </c>
      <c r="U70" s="1951"/>
      <c r="V70" s="2169">
        <f t="shared" si="42"/>
        <v>5.2858680147150832</v>
      </c>
      <c r="W70" s="2176">
        <f>$J$70*7</f>
        <v>5.6451612903225801</v>
      </c>
      <c r="X70" s="2171">
        <f t="shared" si="374"/>
        <v>-0.35929327560749691</v>
      </c>
      <c r="Y70" s="1956"/>
      <c r="Z70" s="2169">
        <f t="shared" ref="Z70" si="405">IF(Z62&gt;$J$73,$J$70,IF(Z62&lt;$J$73,(IF(Z62&lt;0,0,Z62*$K$70))))</f>
        <v>0.80645161290322576</v>
      </c>
      <c r="AA70" s="2176">
        <f t="shared" ref="AA70:AF70" si="406">IF(AA62&gt;$J$73,$J$70,IF(AA62&lt;$J$73,(IF(AA62&lt;0,0,AA62*$K$70))))</f>
        <v>0.80645161290322576</v>
      </c>
      <c r="AB70" s="2176">
        <f t="shared" si="406"/>
        <v>0.80645161290322576</v>
      </c>
      <c r="AC70" s="2176">
        <f t="shared" ref="AC70:AE70" si="407">IF(AC62&gt;$J$73,$J$70,IF(AC62&lt;$J$73,(IF(AC62&lt;0,0,AC62*$K$70))))</f>
        <v>0.80645161290322576</v>
      </c>
      <c r="AD70" s="2176">
        <f t="shared" si="407"/>
        <v>0.80645161290322576</v>
      </c>
      <c r="AE70" s="2176">
        <f t="shared" si="407"/>
        <v>0.80645161290322576</v>
      </c>
      <c r="AF70" s="2171">
        <f t="shared" si="406"/>
        <v>0.80645161290322576</v>
      </c>
      <c r="AG70" s="1956"/>
      <c r="AH70" s="2169">
        <f t="shared" si="355"/>
        <v>5.645161290322581</v>
      </c>
      <c r="AI70" s="2176">
        <f>$J$70*7</f>
        <v>5.6451612903225801</v>
      </c>
      <c r="AJ70" s="2171">
        <f t="shared" si="356"/>
        <v>0</v>
      </c>
      <c r="AK70" s="1956"/>
      <c r="AL70" s="2169">
        <f t="shared" ref="AL70:AM70" si="408">IF(AL62&gt;$J$73,$J$70,IF(AL62&lt;$J$73,(IF(AL62&lt;0,0,AL62*$K$70))))</f>
        <v>0.80645161290322576</v>
      </c>
      <c r="AM70" s="2176">
        <f t="shared" si="408"/>
        <v>0.80645161290322576</v>
      </c>
      <c r="AN70" s="2176">
        <f t="shared" ref="AN70:AR70" si="409">IF(AN62&gt;$J$73,$J$70,IF(AN62&lt;$J$73,(IF(AN62&lt;0,0,AN62*$K$70))))</f>
        <v>0.80645161290322576</v>
      </c>
      <c r="AO70" s="2176">
        <f t="shared" si="409"/>
        <v>0.80645161290322576</v>
      </c>
      <c r="AP70" s="2176">
        <f t="shared" si="409"/>
        <v>0.80645161290322576</v>
      </c>
      <c r="AQ70" s="2176">
        <f t="shared" si="409"/>
        <v>0.80645161290322576</v>
      </c>
      <c r="AR70" s="2171">
        <f t="shared" si="409"/>
        <v>0.80645161290322576</v>
      </c>
      <c r="AS70" s="1951"/>
      <c r="AT70" s="2169">
        <f t="shared" si="359"/>
        <v>5.645161290322581</v>
      </c>
      <c r="AU70" s="2176">
        <f>$J$70*7</f>
        <v>5.6451612903225801</v>
      </c>
      <c r="AV70" s="2171">
        <f t="shared" si="360"/>
        <v>0</v>
      </c>
      <c r="AW70" s="1951"/>
      <c r="AX70" s="2169">
        <f t="shared" ref="AX70" si="410">IF(AX62&gt;$J$73,$J$70,IF(AX62&lt;$J$73,(IF(AX62&lt;0,0,AX62*$K$70))))</f>
        <v>0.80645161290322576</v>
      </c>
      <c r="AY70" s="2170">
        <f t="shared" ref="AY70" si="411">IF(AY62&gt;$J$73,$J$70,IF(AY62&lt;$J$73,(IF(AY62&lt;0,0,AY62*$K$70))))</f>
        <v>0.80645161290322576</v>
      </c>
      <c r="AZ70" s="2170">
        <f t="shared" ref="AZ70:BA70" si="412">IF(AZ62&gt;$J$73,$J$70,IF(AZ62&lt;$J$73,(IF(AZ62&lt;0,0,AZ62*$K$70))))</f>
        <v>0.80645161290322576</v>
      </c>
      <c r="BA70" s="2170">
        <f t="shared" si="412"/>
        <v>0.80645161290322576</v>
      </c>
      <c r="BB70" s="2170">
        <f t="shared" ref="BB70:BC70" si="413">IF(BB62&gt;$J$73,$J$70,IF(BB62&lt;$J$73,(IF(BB62&lt;0,0,BB62*$K$70))))</f>
        <v>0.80645161290322576</v>
      </c>
      <c r="BC70" s="2170">
        <f t="shared" si="413"/>
        <v>0.80645161290322576</v>
      </c>
      <c r="BD70" s="2171">
        <f t="shared" ref="BD70" si="414">IF(BD62&gt;$J$73,$J$70,IF(BD62&lt;$J$73,(IF(BD62&lt;0,0,BD62*$K$70))))</f>
        <v>0.80645161290322576</v>
      </c>
      <c r="BE70" s="1951"/>
      <c r="BF70" s="2169">
        <f t="shared" si="366"/>
        <v>5.645161290322581</v>
      </c>
      <c r="BG70" s="2176">
        <f>$J$70*7</f>
        <v>5.6451612903225801</v>
      </c>
      <c r="BH70" s="2171">
        <f t="shared" si="367"/>
        <v>0</v>
      </c>
      <c r="BI70" s="1951"/>
      <c r="BJ70" s="2169">
        <f t="shared" ref="BJ70" si="415">IF(BJ62&gt;$J$73,$J$70,IF(BJ62&lt;$J$73,(IF(BJ62&lt;0,0,BJ62*$K$70))))</f>
        <v>0.80645161290322576</v>
      </c>
      <c r="BK70" s="2170">
        <f t="shared" ref="BK70" si="416">IF(BK62&gt;$J$73,$J$70,IF(BK62&lt;$J$73,(IF(BK62&lt;0,0,BK62*$K$70))))</f>
        <v>0.80645161290322576</v>
      </c>
      <c r="BL70" s="2171">
        <f t="shared" ref="BL70" si="417">IF(BL62&gt;$J$73,$J$70,IF(BL62&lt;$J$73,(IF(BL62&lt;0,0,BL62*$K$70))))</f>
        <v>0.80645161290322576</v>
      </c>
      <c r="BM70" s="1951"/>
      <c r="BN70" s="2169">
        <f t="shared" si="371"/>
        <v>2.419354838709677</v>
      </c>
      <c r="BO70" s="2176">
        <f>$J$70*0</f>
        <v>0</v>
      </c>
      <c r="BP70" s="2171">
        <f t="shared" si="327"/>
        <v>2.419354838709677</v>
      </c>
      <c r="BR70" s="2179"/>
      <c r="BS70" s="2180"/>
      <c r="BT70" s="1900"/>
      <c r="BU70" s="2179">
        <f t="shared" si="309"/>
        <v>24.640706724392501</v>
      </c>
      <c r="BV70" s="2181">
        <f t="shared" si="310"/>
        <v>0.98562826897570011</v>
      </c>
      <c r="BW70" s="2353"/>
      <c r="BX70" s="4636"/>
      <c r="BZ70" s="4626"/>
      <c r="CA70" s="2763"/>
      <c r="CB70" s="2763"/>
      <c r="CC70" s="1946"/>
      <c r="CD70" s="1946"/>
      <c r="CE70" s="1946"/>
      <c r="CF70" s="1946"/>
      <c r="CG70" s="1946"/>
      <c r="CH70" s="1946"/>
      <c r="CI70" s="2012"/>
    </row>
    <row r="71" spans="1:87" s="1726" customFormat="1" ht="17.25" thickBot="1" x14ac:dyDescent="0.25">
      <c r="B71" s="2085">
        <v>38</v>
      </c>
      <c r="C71" s="2108" t="s">
        <v>119</v>
      </c>
      <c r="D71" s="2051"/>
      <c r="E71" s="2110">
        <v>4</v>
      </c>
      <c r="F71" s="2111">
        <f t="shared" si="330"/>
        <v>0.4</v>
      </c>
      <c r="G71" s="2111">
        <f t="shared" si="331"/>
        <v>0.26666666666666666</v>
      </c>
      <c r="H71" s="2111">
        <f t="shared" si="332"/>
        <v>0.2</v>
      </c>
      <c r="I71" s="2111">
        <f t="shared" si="333"/>
        <v>0.16</v>
      </c>
      <c r="J71" s="2111">
        <f t="shared" si="292"/>
        <v>0.12903225806451613</v>
      </c>
      <c r="K71" s="2112">
        <f t="shared" si="293"/>
        <v>1.2412723041117145E-2</v>
      </c>
      <c r="L71" s="1931"/>
      <c r="M71" s="1924"/>
      <c r="N71" s="2284">
        <f>IF(N62&gt;$J$73,$J$71,IF(N62&lt;$J$73,(IF(N62&lt;0,0,N62*$K$71))))</f>
        <v>0.12903225806451613</v>
      </c>
      <c r="O71" s="2088">
        <f>IF(O62&gt;$J$73,$J$71,IF(O62&lt;$J$73,(IF(O62&lt;0,0,O62*$K$71))))</f>
        <v>0.12903225806451613</v>
      </c>
      <c r="P71" s="2087">
        <f t="shared" ref="P71:T71" si="418">IF(P62&gt;$J$73,$J$71,IF(P62&lt;$J$73,(IF(P62&lt;0,0,P62*$K$71))))</f>
        <v>0.12903225806451613</v>
      </c>
      <c r="Q71" s="2087">
        <f t="shared" ref="Q71:R71" si="419">IF(Q62&gt;$J$73,$J$71,IF(Q62&lt;$J$73,(IF(Q62&lt;0,0,Q62*$K$71))))</f>
        <v>0.12903225806451613</v>
      </c>
      <c r="R71" s="2087">
        <f t="shared" si="419"/>
        <v>0.12903225806451613</v>
      </c>
      <c r="S71" s="2087">
        <f t="shared" si="418"/>
        <v>0.12903225806451613</v>
      </c>
      <c r="T71" s="2091">
        <f t="shared" si="418"/>
        <v>7.1545333967316521E-2</v>
      </c>
      <c r="U71" s="1814"/>
      <c r="V71" s="2090">
        <f>SUM(N71:T71)</f>
        <v>0.8457388823544133</v>
      </c>
      <c r="W71" s="2087">
        <f>$J$71*7</f>
        <v>0.90322580645161288</v>
      </c>
      <c r="X71" s="2174">
        <f t="shared" si="374"/>
        <v>-5.7486924097199577E-2</v>
      </c>
      <c r="Y71" s="1766"/>
      <c r="Z71" s="2090">
        <f t="shared" ref="Z71" si="420">IF(Z62&gt;$J$73,$J$71,IF(Z62&lt;$J$73,(IF(Z62&lt;0,0,Z62*$K$71))))</f>
        <v>0.12903225806451613</v>
      </c>
      <c r="AA71" s="2087">
        <f t="shared" ref="AA71:AF71" si="421">IF(AA62&gt;$J$73,$J$71,IF(AA62&lt;$J$73,(IF(AA62&lt;0,0,AA62*$K$71))))</f>
        <v>0.12903225806451613</v>
      </c>
      <c r="AB71" s="2087">
        <f t="shared" si="421"/>
        <v>0.12903225806451613</v>
      </c>
      <c r="AC71" s="2087">
        <f t="shared" ref="AC71:AE71" si="422">IF(AC62&gt;$J$73,$J$71,IF(AC62&lt;$J$73,(IF(AC62&lt;0,0,AC62*$K$71))))</f>
        <v>0.12903225806451613</v>
      </c>
      <c r="AD71" s="2087">
        <f t="shared" si="422"/>
        <v>0.12903225806451613</v>
      </c>
      <c r="AE71" s="2087">
        <f t="shared" si="422"/>
        <v>0.12903225806451613</v>
      </c>
      <c r="AF71" s="2091">
        <f t="shared" si="421"/>
        <v>0.12903225806451613</v>
      </c>
      <c r="AG71" s="1766"/>
      <c r="AH71" s="2090">
        <f t="shared" si="355"/>
        <v>0.90322580645161288</v>
      </c>
      <c r="AI71" s="2087">
        <f>$J$71*7</f>
        <v>0.90322580645161288</v>
      </c>
      <c r="AJ71" s="2174">
        <f t="shared" si="356"/>
        <v>0</v>
      </c>
      <c r="AK71" s="1766"/>
      <c r="AL71" s="2090">
        <f t="shared" ref="AL71:AM71" si="423">IF(AL62&gt;$J$73,$J$71,IF(AL62&lt;$J$73,(IF(AL62&lt;0,0,AL62*$K$71))))</f>
        <v>0.12903225806451613</v>
      </c>
      <c r="AM71" s="2088">
        <f t="shared" si="423"/>
        <v>0.12903225806451613</v>
      </c>
      <c r="AN71" s="2088">
        <f t="shared" ref="AN71:AR71" si="424">IF(AN62&gt;$J$73,$J$71,IF(AN62&lt;$J$73,(IF(AN62&lt;0,0,AN62*$K$71))))</f>
        <v>0.12903225806451613</v>
      </c>
      <c r="AO71" s="2088">
        <f t="shared" si="424"/>
        <v>0.12903225806451613</v>
      </c>
      <c r="AP71" s="2088">
        <f t="shared" si="424"/>
        <v>0.12903225806451613</v>
      </c>
      <c r="AQ71" s="2088">
        <f t="shared" si="424"/>
        <v>0.12903225806451613</v>
      </c>
      <c r="AR71" s="2091">
        <f t="shared" si="424"/>
        <v>0.12903225806451613</v>
      </c>
      <c r="AS71" s="1814"/>
      <c r="AT71" s="2090">
        <f t="shared" si="359"/>
        <v>0.90322580645161288</v>
      </c>
      <c r="AU71" s="2087">
        <f>$J$71*7</f>
        <v>0.90322580645161288</v>
      </c>
      <c r="AV71" s="2174">
        <f t="shared" si="360"/>
        <v>0</v>
      </c>
      <c r="AW71" s="1814"/>
      <c r="AX71" s="2090">
        <f t="shared" ref="AX71" si="425">IF(AX62&gt;$J$73,$J$71,IF(AX62&lt;$J$73,(IF(AX62&lt;0,0,AX62*$K$71))))</f>
        <v>0.12903225806451613</v>
      </c>
      <c r="AY71" s="2087">
        <f t="shared" ref="AY71" si="426">IF(AY62&gt;$J$73,$J$71,IF(AY62&lt;$J$73,(IF(AY62&lt;0,0,AY62*$K$71))))</f>
        <v>0.12903225806451613</v>
      </c>
      <c r="AZ71" s="2087">
        <f t="shared" ref="AZ71:BA71" si="427">IF(AZ62&gt;$J$73,$J$71,IF(AZ62&lt;$J$73,(IF(AZ62&lt;0,0,AZ62*$K$71))))</f>
        <v>0.12903225806451613</v>
      </c>
      <c r="BA71" s="2087">
        <f t="shared" si="427"/>
        <v>0.12903225806451613</v>
      </c>
      <c r="BB71" s="2087">
        <f t="shared" ref="BB71:BC71" si="428">IF(BB62&gt;$J$73,$J$71,IF(BB62&lt;$J$73,(IF(BB62&lt;0,0,BB62*$K$71))))</f>
        <v>0.12903225806451613</v>
      </c>
      <c r="BC71" s="2087">
        <f t="shared" si="428"/>
        <v>0.12903225806451613</v>
      </c>
      <c r="BD71" s="2091">
        <f t="shared" ref="BD71" si="429">IF(BD62&gt;$J$73,$J$71,IF(BD62&lt;$J$73,(IF(BD62&lt;0,0,BD62*$K$71))))</f>
        <v>0.12903225806451613</v>
      </c>
      <c r="BE71" s="1814"/>
      <c r="BF71" s="2090">
        <f t="shared" si="366"/>
        <v>0.90322580645161288</v>
      </c>
      <c r="BG71" s="2087">
        <f>$J$71*7</f>
        <v>0.90322580645161288</v>
      </c>
      <c r="BH71" s="2174">
        <f t="shared" si="367"/>
        <v>0</v>
      </c>
      <c r="BI71" s="1814"/>
      <c r="BJ71" s="2090">
        <f t="shared" ref="BJ71" si="430">IF(BJ62&gt;$J$73,$J$71,IF(BJ62&lt;$J$73,(IF(BJ62&lt;0,0,BJ62*$K$71))))</f>
        <v>0.12903225806451613</v>
      </c>
      <c r="BK71" s="2087">
        <f t="shared" ref="BK71" si="431">IF(BK62&gt;$J$73,$J$71,IF(BK62&lt;$J$73,(IF(BK62&lt;0,0,BK62*$K$71))))</f>
        <v>0.12903225806451613</v>
      </c>
      <c r="BL71" s="2091">
        <f t="shared" ref="BL71" si="432">IF(BL62&gt;$J$73,$J$71,IF(BL62&lt;$J$73,(IF(BL62&lt;0,0,BL62*$K$71))))</f>
        <v>0.12903225806451613</v>
      </c>
      <c r="BM71" s="1814"/>
      <c r="BN71" s="2090">
        <f t="shared" si="371"/>
        <v>0.38709677419354838</v>
      </c>
      <c r="BO71" s="2087">
        <f>$J$71*0</f>
        <v>0</v>
      </c>
      <c r="BP71" s="2174">
        <f t="shared" si="327"/>
        <v>0.38709677419354838</v>
      </c>
      <c r="BR71" s="2092"/>
      <c r="BS71" s="2093"/>
      <c r="BT71" s="1740"/>
      <c r="BU71" s="2092">
        <f t="shared" si="309"/>
        <v>3.9425130759028004</v>
      </c>
      <c r="BV71" s="2094">
        <f t="shared" si="310"/>
        <v>0.98562826897570011</v>
      </c>
      <c r="BW71" s="2351"/>
      <c r="BX71" s="4636"/>
      <c r="BZ71" s="4626"/>
      <c r="CA71" s="2640"/>
      <c r="CB71" s="2764"/>
      <c r="CC71" s="2764"/>
      <c r="CD71" s="2764"/>
      <c r="CE71" s="2764"/>
      <c r="CF71" s="2764"/>
      <c r="CG71" s="2764"/>
      <c r="CH71" s="2764"/>
      <c r="CI71" s="2641"/>
    </row>
    <row r="72" spans="1:87" s="1885" customFormat="1" ht="17.25" thickBot="1" x14ac:dyDescent="0.25">
      <c r="B72" s="2420">
        <v>39</v>
      </c>
      <c r="C72" s="2417" t="s">
        <v>237</v>
      </c>
      <c r="D72" s="2680"/>
      <c r="E72" s="2681">
        <v>0</v>
      </c>
      <c r="F72" s="2418">
        <f t="shared" si="330"/>
        <v>0</v>
      </c>
      <c r="G72" s="2418">
        <f t="shared" si="331"/>
        <v>0</v>
      </c>
      <c r="H72" s="2418">
        <f t="shared" si="332"/>
        <v>0</v>
      </c>
      <c r="I72" s="2418">
        <f t="shared" si="333"/>
        <v>0</v>
      </c>
      <c r="J72" s="2418">
        <f t="shared" si="292"/>
        <v>0</v>
      </c>
      <c r="K72" s="2419">
        <f t="shared" si="293"/>
        <v>0</v>
      </c>
      <c r="L72" s="2003"/>
      <c r="M72" s="1950"/>
      <c r="N72" s="2682">
        <f>IF(N62&gt;$J$73,$J$72,IF(N62&lt;$J$73,(IF(N62&lt;0,0,N62*$K$72))))</f>
        <v>0</v>
      </c>
      <c r="O72" s="2418">
        <f>IF(O62&gt;$J$73,$J$72,IF(O62&lt;$J$73,(IF(O62&lt;0,0,O62*$K$72))))</f>
        <v>0</v>
      </c>
      <c r="P72" s="2681">
        <f t="shared" ref="P72:T72" si="433">IF(P62&gt;$J$73,$J$72,IF(P62&lt;$J$73,(IF(P62&lt;0,0,P62*$K$72))))</f>
        <v>0</v>
      </c>
      <c r="Q72" s="2681">
        <f t="shared" ref="Q72:R72" si="434">IF(Q62&gt;$J$73,$J$72,IF(Q62&lt;$J$73,(IF(Q62&lt;0,0,Q62*$K$72))))</f>
        <v>0</v>
      </c>
      <c r="R72" s="2681">
        <f t="shared" si="434"/>
        <v>0</v>
      </c>
      <c r="S72" s="2681">
        <f t="shared" si="433"/>
        <v>0</v>
      </c>
      <c r="T72" s="2683">
        <f t="shared" si="433"/>
        <v>0</v>
      </c>
      <c r="U72" s="1951"/>
      <c r="V72" s="2179">
        <f t="shared" ref="V72:V84" si="435">SUM(N72:T72)</f>
        <v>0</v>
      </c>
      <c r="W72" s="2681">
        <f>$J$72*7</f>
        <v>0</v>
      </c>
      <c r="X72" s="2684">
        <f t="shared" si="374"/>
        <v>0</v>
      </c>
      <c r="Y72" s="1956"/>
      <c r="Z72" s="2179">
        <f t="shared" ref="Z72" si="436">IF(Z62&gt;$J$73,$J$72,IF(Z62&lt;$J$73,(IF(Z62&lt;0,0,Z62*$K$72))))</f>
        <v>0</v>
      </c>
      <c r="AA72" s="2681">
        <f t="shared" ref="AA72:AF72" si="437">IF(AA62&gt;$J$73,$J$72,IF(AA62&lt;$J$73,(IF(AA62&lt;0,0,AA62*$K$72))))</f>
        <v>0</v>
      </c>
      <c r="AB72" s="2681">
        <f t="shared" si="437"/>
        <v>0</v>
      </c>
      <c r="AC72" s="2681">
        <f t="shared" ref="AC72:AE72" si="438">IF(AC62&gt;$J$73,$J$72,IF(AC62&lt;$J$73,(IF(AC62&lt;0,0,AC62*$K$72))))</f>
        <v>0</v>
      </c>
      <c r="AD72" s="2681">
        <f t="shared" si="438"/>
        <v>0</v>
      </c>
      <c r="AE72" s="2681">
        <f t="shared" si="438"/>
        <v>0</v>
      </c>
      <c r="AF72" s="2683">
        <f t="shared" si="437"/>
        <v>0</v>
      </c>
      <c r="AG72" s="1956"/>
      <c r="AH72" s="2179">
        <f t="shared" si="355"/>
        <v>0</v>
      </c>
      <c r="AI72" s="2681">
        <f>$J$72*7</f>
        <v>0</v>
      </c>
      <c r="AJ72" s="2684">
        <f t="shared" si="356"/>
        <v>0</v>
      </c>
      <c r="AK72" s="1956"/>
      <c r="AL72" s="2179">
        <f t="shared" ref="AL72:AM72" si="439">IF(AL62&gt;$J$73,$J$72,IF(AL62&lt;$J$73,(IF(AL62&lt;0,0,AL62*$K$72))))</f>
        <v>0</v>
      </c>
      <c r="AM72" s="2418">
        <f t="shared" si="439"/>
        <v>0</v>
      </c>
      <c r="AN72" s="2418">
        <f t="shared" ref="AN72:AR72" si="440">IF(AN62&gt;$J$73,$J$72,IF(AN62&lt;$J$73,(IF(AN62&lt;0,0,AN62*$K$72))))</f>
        <v>0</v>
      </c>
      <c r="AO72" s="2418">
        <f t="shared" si="440"/>
        <v>0</v>
      </c>
      <c r="AP72" s="2418">
        <f t="shared" si="440"/>
        <v>0</v>
      </c>
      <c r="AQ72" s="2418">
        <f t="shared" si="440"/>
        <v>0</v>
      </c>
      <c r="AR72" s="2683">
        <f t="shared" si="440"/>
        <v>0</v>
      </c>
      <c r="AS72" s="1951"/>
      <c r="AT72" s="2169">
        <f t="shared" si="359"/>
        <v>0</v>
      </c>
      <c r="AU72" s="2170">
        <f>$J$72*7</f>
        <v>0</v>
      </c>
      <c r="AV72" s="2178">
        <f t="shared" si="360"/>
        <v>0</v>
      </c>
      <c r="AW72" s="1951"/>
      <c r="AX72" s="2187">
        <f t="shared" ref="AX72" si="441">IF(AX62&gt;$J$73,$J$72,IF(AX62&lt;$J$73,(IF(AX62&lt;0,0,AX62*$K$72))))</f>
        <v>0</v>
      </c>
      <c r="AY72" s="2681">
        <f t="shared" ref="AY72" si="442">IF(AY62&gt;$J$73,$J$72,IF(AY62&lt;$J$73,(IF(AY62&lt;0,0,AY62*$K$72))))</f>
        <v>0</v>
      </c>
      <c r="AZ72" s="2681">
        <f t="shared" ref="AZ72:BA72" si="443">IF(AZ62&gt;$J$73,$J$72,IF(AZ62&lt;$J$73,(IF(AZ62&lt;0,0,AZ62*$K$72))))</f>
        <v>0</v>
      </c>
      <c r="BA72" s="2681">
        <f t="shared" si="443"/>
        <v>0</v>
      </c>
      <c r="BB72" s="2681">
        <f t="shared" ref="BB72:BC72" si="444">IF(BB62&gt;$J$73,$J$72,IF(BB62&lt;$J$73,(IF(BB62&lt;0,0,BB62*$K$72))))</f>
        <v>0</v>
      </c>
      <c r="BC72" s="2681">
        <f t="shared" si="444"/>
        <v>0</v>
      </c>
      <c r="BD72" s="2683">
        <f t="shared" ref="BD72" si="445">IF(BD62&gt;$J$73,$J$72,IF(BD62&lt;$J$73,(IF(BD62&lt;0,0,BD62*$K$72))))</f>
        <v>0</v>
      </c>
      <c r="BE72" s="1951"/>
      <c r="BF72" s="2169">
        <f t="shared" si="366"/>
        <v>0</v>
      </c>
      <c r="BG72" s="2170">
        <f>$J$72*7</f>
        <v>0</v>
      </c>
      <c r="BH72" s="2178">
        <f t="shared" si="367"/>
        <v>0</v>
      </c>
      <c r="BI72" s="1951"/>
      <c r="BJ72" s="2179">
        <f t="shared" ref="BJ72" si="446">IF(BJ62&gt;$J$73,$J$72,IF(BJ62&lt;$J$73,(IF(BJ62&lt;0,0,BJ62*$K$72))))</f>
        <v>0</v>
      </c>
      <c r="BK72" s="2681">
        <f t="shared" ref="BK72" si="447">IF(BK62&gt;$J$73,$J$72,IF(BK62&lt;$J$73,(IF(BK62&lt;0,0,BK62*$K$72))))</f>
        <v>0</v>
      </c>
      <c r="BL72" s="2683">
        <f t="shared" ref="BL72" si="448">IF(BL62&gt;$J$73,$J$72,IF(BL62&lt;$J$73,(IF(BL62&lt;0,0,BL62*$K$72))))</f>
        <v>0</v>
      </c>
      <c r="BM72" s="1951"/>
      <c r="BN72" s="2179">
        <f t="shared" si="371"/>
        <v>0</v>
      </c>
      <c r="BO72" s="2681">
        <f>$J$72*0</f>
        <v>0</v>
      </c>
      <c r="BP72" s="2684">
        <f t="shared" si="327"/>
        <v>0</v>
      </c>
      <c r="BR72" s="2179"/>
      <c r="BS72" s="2180"/>
      <c r="BT72" s="1900"/>
      <c r="BU72" s="2179">
        <f t="shared" si="309"/>
        <v>0</v>
      </c>
      <c r="BV72" s="2181" t="e">
        <f t="shared" si="310"/>
        <v>#DIV/0!</v>
      </c>
      <c r="BW72" s="2353"/>
      <c r="BX72" s="4636"/>
      <c r="BZ72" s="4627"/>
      <c r="CA72" s="2685"/>
      <c r="CB72" s="2686"/>
      <c r="CC72" s="2686"/>
      <c r="CD72" s="2686"/>
      <c r="CE72" s="2686"/>
      <c r="CF72" s="2686"/>
      <c r="CG72" s="2686"/>
      <c r="CH72" s="2686"/>
      <c r="CI72" s="2686"/>
    </row>
    <row r="73" spans="1:87" s="1726" customFormat="1" ht="17.25" thickBot="1" x14ac:dyDescent="0.25">
      <c r="B73" s="2049"/>
      <c r="C73" s="2190" t="s">
        <v>192</v>
      </c>
      <c r="D73" s="2051"/>
      <c r="E73" s="2056">
        <f>SUM(E64:E72)</f>
        <v>322.25</v>
      </c>
      <c r="F73" s="2053"/>
      <c r="G73" s="2053"/>
      <c r="H73" s="2053"/>
      <c r="I73" s="2053"/>
      <c r="J73" s="2053">
        <f t="shared" ref="J73:K73" si="449">SUM(J64:J72)</f>
        <v>10.39516129032258</v>
      </c>
      <c r="K73" s="2191">
        <f t="shared" si="449"/>
        <v>1</v>
      </c>
      <c r="L73" s="1931"/>
      <c r="M73" s="1924"/>
      <c r="N73" s="2642">
        <f>SUM(N64:N72)</f>
        <v>10.39516129032258</v>
      </c>
      <c r="O73" s="2053">
        <f>SUM(O64:O72)</f>
        <v>10.39516129032258</v>
      </c>
      <c r="P73" s="2052">
        <f t="shared" ref="P73:T73" si="450">SUM(P64:P72)</f>
        <v>10.39516129032258</v>
      </c>
      <c r="Q73" s="2052">
        <f t="shared" ref="Q73:R73" si="451">SUM(Q64:Q72)</f>
        <v>10.39516129032258</v>
      </c>
      <c r="R73" s="2052">
        <f t="shared" si="451"/>
        <v>10.39516129032258</v>
      </c>
      <c r="S73" s="2052">
        <f t="shared" si="450"/>
        <v>10.39516129032258</v>
      </c>
      <c r="T73" s="2057">
        <f t="shared" si="450"/>
        <v>5.7638709677419362</v>
      </c>
      <c r="U73" s="1814"/>
      <c r="V73" s="2056">
        <f>SUM(V64:V72)</f>
        <v>68.134838709677425</v>
      </c>
      <c r="W73" s="2052">
        <f t="shared" ref="W73" si="452">SUM(W64:W72)</f>
        <v>72.766129032258064</v>
      </c>
      <c r="X73" s="2192">
        <f>SUM(X64:X72)</f>
        <v>-4.6312903225806457</v>
      </c>
      <c r="Y73" s="1766"/>
      <c r="Z73" s="2056">
        <f t="shared" ref="Z73" si="453">SUM(Z64:Z72)</f>
        <v>10.39516129032258</v>
      </c>
      <c r="AA73" s="2052">
        <f t="shared" ref="AA73:AF73" si="454">SUM(AA64:AA72)</f>
        <v>10.39516129032258</v>
      </c>
      <c r="AB73" s="2052">
        <f t="shared" si="454"/>
        <v>10.39516129032258</v>
      </c>
      <c r="AC73" s="2052">
        <f t="shared" ref="AC73:AE73" si="455">SUM(AC64:AC72)</f>
        <v>10.39516129032258</v>
      </c>
      <c r="AD73" s="2052">
        <f t="shared" si="455"/>
        <v>10.39516129032258</v>
      </c>
      <c r="AE73" s="2052">
        <f t="shared" si="455"/>
        <v>10.39516129032258</v>
      </c>
      <c r="AF73" s="2057">
        <f t="shared" si="454"/>
        <v>10.39516129032258</v>
      </c>
      <c r="AG73" s="1766"/>
      <c r="AH73" s="2056">
        <f>SUM(AH64:AH72)</f>
        <v>72.766129032258064</v>
      </c>
      <c r="AI73" s="2052">
        <f>SUM(AI64:AI72)</f>
        <v>72.766129032258064</v>
      </c>
      <c r="AJ73" s="2192">
        <f>SUM(AJ64:AJ72)</f>
        <v>0</v>
      </c>
      <c r="AK73" s="1766"/>
      <c r="AL73" s="2056">
        <f t="shared" ref="AL73:AM73" si="456">SUM(AL64:AL72)</f>
        <v>10.39516129032258</v>
      </c>
      <c r="AM73" s="2053">
        <f t="shared" si="456"/>
        <v>10.39516129032258</v>
      </c>
      <c r="AN73" s="2053">
        <f t="shared" ref="AN73:AR73" si="457">SUM(AN64:AN72)</f>
        <v>10.39516129032258</v>
      </c>
      <c r="AO73" s="2053">
        <f t="shared" si="457"/>
        <v>10.39516129032258</v>
      </c>
      <c r="AP73" s="2053">
        <f t="shared" si="457"/>
        <v>10.39516129032258</v>
      </c>
      <c r="AQ73" s="2053">
        <f t="shared" si="457"/>
        <v>10.39516129032258</v>
      </c>
      <c r="AR73" s="2057">
        <f t="shared" si="457"/>
        <v>10.39516129032258</v>
      </c>
      <c r="AS73" s="1814"/>
      <c r="AT73" s="2056">
        <f>SUM(AT64:AT72)</f>
        <v>72.766129032258064</v>
      </c>
      <c r="AU73" s="2052">
        <f>SUM(AU64:AU72)</f>
        <v>72.766129032258064</v>
      </c>
      <c r="AV73" s="2192">
        <f>SUM(AV64:AV72)</f>
        <v>0</v>
      </c>
      <c r="AW73" s="1814"/>
      <c r="AX73" s="2056">
        <f t="shared" ref="AX73" si="458">SUM(AX64:AX72)</f>
        <v>10.39516129032258</v>
      </c>
      <c r="AY73" s="2052">
        <f t="shared" ref="AY73:BD73" si="459">SUM(AY64:AY72)</f>
        <v>10.39516129032258</v>
      </c>
      <c r="AZ73" s="2052">
        <f t="shared" ref="AZ73:BA73" si="460">SUM(AZ64:AZ72)</f>
        <v>10.39516129032258</v>
      </c>
      <c r="BA73" s="2052">
        <f t="shared" si="460"/>
        <v>10.39516129032258</v>
      </c>
      <c r="BB73" s="2052">
        <f t="shared" ref="BB73:BC73" si="461">SUM(BB64:BB72)</f>
        <v>10.39516129032258</v>
      </c>
      <c r="BC73" s="2052">
        <f t="shared" si="461"/>
        <v>10.39516129032258</v>
      </c>
      <c r="BD73" s="2057">
        <f t="shared" si="459"/>
        <v>10.39516129032258</v>
      </c>
      <c r="BE73" s="1814"/>
      <c r="BF73" s="2056">
        <f>SUM(BF64:BF72)</f>
        <v>72.766129032258064</v>
      </c>
      <c r="BG73" s="2052">
        <f>SUM(BG64:BG72)</f>
        <v>72.766129032258064</v>
      </c>
      <c r="BH73" s="2192">
        <f>SUM(BH64:BH72)</f>
        <v>0</v>
      </c>
      <c r="BI73" s="1814"/>
      <c r="BJ73" s="2056">
        <f t="shared" ref="BJ73" si="462">SUM(BJ64:BJ72)</f>
        <v>10.39516129032258</v>
      </c>
      <c r="BK73" s="2052">
        <f t="shared" ref="BK73" si="463">SUM(BK64:BK72)</f>
        <v>10.39516129032258</v>
      </c>
      <c r="BL73" s="2057">
        <f t="shared" ref="BL73" si="464">SUM(BL64:BL72)</f>
        <v>10.39516129032258</v>
      </c>
      <c r="BM73" s="1814"/>
      <c r="BN73" s="2056">
        <f>SUM(BN64:BN72)</f>
        <v>31.185483870967744</v>
      </c>
      <c r="BO73" s="2052">
        <f>SUM(BO64:BO72)</f>
        <v>11.032258064516128</v>
      </c>
      <c r="BP73" s="2192">
        <f>SUM(BP64:BP72)</f>
        <v>20.153225806451616</v>
      </c>
      <c r="BR73" s="2056">
        <f>X73+AJ73+AV73</f>
        <v>-4.6312903225806457</v>
      </c>
      <c r="BS73" s="2253"/>
      <c r="BT73" s="1740"/>
      <c r="BU73" s="2056">
        <f>SUM(BU64:BU72)</f>
        <v>317.61870967741936</v>
      </c>
      <c r="BV73" s="2054">
        <f t="shared" si="310"/>
        <v>0.98562826897570011</v>
      </c>
      <c r="BW73" s="2351"/>
      <c r="BX73" s="4637"/>
      <c r="BZ73" s="4627"/>
      <c r="CA73" s="2633"/>
      <c r="CB73" s="1860"/>
      <c r="CC73" s="1860"/>
      <c r="CD73" s="1860"/>
      <c r="CE73" s="1860"/>
      <c r="CF73" s="1860"/>
      <c r="CG73" s="1860"/>
      <c r="CH73" s="1860"/>
      <c r="CI73" s="1860"/>
    </row>
    <row r="74" spans="1:87" s="1810" customFormat="1" ht="4.5" customHeight="1" thickBot="1" x14ac:dyDescent="0.25">
      <c r="B74" s="1817"/>
      <c r="C74" s="1817"/>
      <c r="D74" s="1817"/>
      <c r="E74" s="1814"/>
      <c r="F74" s="1814"/>
      <c r="G74" s="1814"/>
      <c r="H74" s="1814"/>
      <c r="I74" s="1814"/>
      <c r="J74" s="1814"/>
      <c r="K74" s="2131"/>
      <c r="L74" s="1924"/>
      <c r="M74" s="1924"/>
      <c r="N74" s="2631"/>
      <c r="O74" s="2631"/>
      <c r="P74" s="2631"/>
      <c r="Q74" s="2735"/>
      <c r="R74" s="2739"/>
      <c r="S74" s="2631"/>
      <c r="T74" s="2631"/>
      <c r="U74" s="1814"/>
      <c r="V74" s="1814"/>
      <c r="W74" s="1814"/>
      <c r="X74" s="1814"/>
      <c r="Y74" s="1766"/>
      <c r="Z74" s="2631"/>
      <c r="AA74" s="2631"/>
      <c r="AB74" s="2631"/>
      <c r="AC74" s="2756"/>
      <c r="AD74" s="2759"/>
      <c r="AE74" s="2759"/>
      <c r="AF74" s="2631"/>
      <c r="AG74" s="1766"/>
      <c r="AH74" s="1814"/>
      <c r="AI74" s="1814"/>
      <c r="AJ74" s="1814"/>
      <c r="AK74" s="1766"/>
      <c r="AL74" s="2631"/>
      <c r="AM74" s="2631"/>
      <c r="AN74" s="2631"/>
      <c r="AO74" s="2631"/>
      <c r="AP74" s="2631"/>
      <c r="AQ74" s="2631"/>
      <c r="AR74" s="2631"/>
      <c r="AS74" s="1814"/>
      <c r="AT74" s="2137"/>
      <c r="AU74" s="2137"/>
      <c r="AV74" s="2137"/>
      <c r="AW74" s="1814"/>
      <c r="AX74" s="1944"/>
      <c r="AY74" s="1944"/>
      <c r="AZ74" s="1944"/>
      <c r="BA74" s="1944"/>
      <c r="BB74" s="1944"/>
      <c r="BC74" s="1944"/>
      <c r="BD74" s="1944"/>
      <c r="BE74" s="1814"/>
      <c r="BF74" s="2137"/>
      <c r="BG74" s="2137"/>
      <c r="BH74" s="2137"/>
      <c r="BI74" s="1814"/>
      <c r="BJ74" s="2631"/>
      <c r="BK74" s="2631"/>
      <c r="BL74" s="2631"/>
      <c r="BM74" s="1814"/>
      <c r="BN74" s="1814"/>
      <c r="BO74" s="1814"/>
      <c r="BP74" s="1814"/>
      <c r="BR74" s="1814"/>
      <c r="BS74" s="2132"/>
      <c r="BT74" s="1817"/>
      <c r="BU74" s="1814"/>
      <c r="BV74" s="1830"/>
      <c r="BW74" s="1830"/>
      <c r="BX74" s="2643"/>
      <c r="CA74" s="1761"/>
    </row>
    <row r="75" spans="1:87" s="1906" customFormat="1" ht="17.25" thickBot="1" x14ac:dyDescent="0.25">
      <c r="B75" s="1960"/>
      <c r="C75" s="1960" t="s">
        <v>193</v>
      </c>
      <c r="D75" s="1960"/>
      <c r="E75" s="2687"/>
      <c r="F75" s="1951"/>
      <c r="G75" s="1951"/>
      <c r="H75" s="1951"/>
      <c r="I75" s="1951"/>
      <c r="J75" s="1951"/>
      <c r="K75" s="2339"/>
      <c r="L75" s="2003"/>
      <c r="M75" s="1950"/>
      <c r="N75" s="2120">
        <f>N62-N73</f>
        <v>30.029209677419356</v>
      </c>
      <c r="O75" s="2123">
        <f>O62-O73</f>
        <v>5.0797096774193555</v>
      </c>
      <c r="P75" s="2123">
        <f t="shared" ref="P75:T75" si="465">P62-P73</f>
        <v>1.1032096774193541</v>
      </c>
      <c r="Q75" s="2123">
        <f t="shared" ref="Q75:R75" si="466">Q62-Q73</f>
        <v>47.696709677419364</v>
      </c>
      <c r="R75" s="2123">
        <f t="shared" si="466"/>
        <v>48.609209677419358</v>
      </c>
      <c r="S75" s="2123">
        <f t="shared" si="465"/>
        <v>84.210209677419371</v>
      </c>
      <c r="T75" s="2124">
        <f t="shared" si="465"/>
        <v>0</v>
      </c>
      <c r="U75" s="1951"/>
      <c r="V75" s="1951"/>
      <c r="W75" s="1951"/>
      <c r="X75" s="1951"/>
      <c r="Y75" s="1956"/>
      <c r="Z75" s="2120">
        <f t="shared" ref="Z75" si="467">Z62-Z73</f>
        <v>6.7882096774193563</v>
      </c>
      <c r="AA75" s="2123">
        <f t="shared" ref="AA75:AF75" si="468">AA62-AA73</f>
        <v>32.420709677419353</v>
      </c>
      <c r="AB75" s="2123">
        <f t="shared" si="468"/>
        <v>41.070209677419356</v>
      </c>
      <c r="AC75" s="2123">
        <f t="shared" ref="AC75:AE75" si="469">AC62-AC73</f>
        <v>39.309709677419363</v>
      </c>
      <c r="AD75" s="2123">
        <f t="shared" si="469"/>
        <v>72.857709677419351</v>
      </c>
      <c r="AE75" s="2123">
        <f t="shared" si="469"/>
        <v>72.298709677419353</v>
      </c>
      <c r="AF75" s="2124">
        <f t="shared" si="468"/>
        <v>37.817709677419359</v>
      </c>
      <c r="AG75" s="1956"/>
      <c r="AH75" s="1951"/>
      <c r="AI75" s="1951"/>
      <c r="AJ75" s="1951"/>
      <c r="AK75" s="1956"/>
      <c r="AL75" s="2120">
        <f t="shared" ref="AL75:AM75" si="470">AL62-AL73</f>
        <v>81.545209677419351</v>
      </c>
      <c r="AM75" s="2123">
        <f t="shared" si="470"/>
        <v>11.714709677419361</v>
      </c>
      <c r="AN75" s="2123">
        <f t="shared" ref="AN75:AR75" si="471">AN62-AN73</f>
        <v>31.014709677419358</v>
      </c>
      <c r="AO75" s="2123">
        <f t="shared" si="471"/>
        <v>23.913709677419359</v>
      </c>
      <c r="AP75" s="2123">
        <f t="shared" si="471"/>
        <v>76.563709677419368</v>
      </c>
      <c r="AQ75" s="2123">
        <f t="shared" si="471"/>
        <v>48.759709677419352</v>
      </c>
      <c r="AR75" s="2124">
        <f t="shared" si="471"/>
        <v>36.262209677419364</v>
      </c>
      <c r="AS75" s="1951"/>
      <c r="AT75" s="1951"/>
      <c r="AU75" s="1951"/>
      <c r="AV75" s="1951"/>
      <c r="AW75" s="1951"/>
      <c r="AX75" s="2120">
        <f t="shared" ref="AX75" si="472">AX62-AX73</f>
        <v>15.477209677419349</v>
      </c>
      <c r="AY75" s="2123">
        <f t="shared" ref="AY75:BD75" si="473">AY62-AY73</f>
        <v>31.026709677419358</v>
      </c>
      <c r="AZ75" s="2123">
        <f t="shared" ref="AZ75:BA75" si="474">AZ62-AZ73</f>
        <v>1.9272096774193521</v>
      </c>
      <c r="BA75" s="2123">
        <f t="shared" si="474"/>
        <v>44.593709677419355</v>
      </c>
      <c r="BB75" s="2123">
        <f t="shared" ref="BB75:BC75" si="475">BB62-BB73</f>
        <v>53.141709677419357</v>
      </c>
      <c r="BC75" s="2123">
        <f t="shared" si="475"/>
        <v>27.956209677419348</v>
      </c>
      <c r="BD75" s="2124">
        <f t="shared" si="473"/>
        <v>17.381709677419348</v>
      </c>
      <c r="BE75" s="1951"/>
      <c r="BF75" s="1951"/>
      <c r="BG75" s="1951"/>
      <c r="BH75" s="1951"/>
      <c r="BI75" s="1951"/>
      <c r="BJ75" s="2120">
        <f t="shared" ref="BJ75" si="476">BJ62-BJ73</f>
        <v>21.582709677419356</v>
      </c>
      <c r="BK75" s="2123">
        <f t="shared" ref="BK75" si="477">BK62-BK73</f>
        <v>53.541709677419362</v>
      </c>
      <c r="BL75" s="2123">
        <f t="shared" ref="BL75" si="478">BL62-BL73</f>
        <v>15.600709677419356</v>
      </c>
      <c r="BM75" s="1951"/>
      <c r="BN75" s="1951"/>
      <c r="BO75" s="1951"/>
      <c r="BP75" s="1951"/>
      <c r="BR75" s="2007"/>
      <c r="BS75" s="2688"/>
      <c r="BT75" s="1960"/>
      <c r="BU75" s="2007"/>
      <c r="BV75" s="2008"/>
      <c r="BW75" s="1962"/>
      <c r="BX75" s="2689"/>
      <c r="CA75" s="1905"/>
    </row>
    <row r="76" spans="1:87" s="1810" customFormat="1" ht="4.5" customHeight="1" thickBot="1" x14ac:dyDescent="0.25">
      <c r="B76" s="1817"/>
      <c r="C76" s="1817"/>
      <c r="D76" s="1817"/>
      <c r="E76" s="1814"/>
      <c r="F76" s="1814"/>
      <c r="G76" s="1814"/>
      <c r="H76" s="1814"/>
      <c r="I76" s="1814"/>
      <c r="J76" s="1814"/>
      <c r="K76" s="2131"/>
      <c r="L76" s="1924"/>
      <c r="M76" s="1924"/>
      <c r="N76" s="2137"/>
      <c r="O76" s="2137"/>
      <c r="P76" s="2137"/>
      <c r="Q76" s="2137"/>
      <c r="R76" s="2137"/>
      <c r="S76" s="2137"/>
      <c r="T76" s="2137"/>
      <c r="U76" s="1814"/>
      <c r="V76" s="1814"/>
      <c r="W76" s="1814"/>
      <c r="X76" s="1814"/>
      <c r="Y76" s="1766"/>
      <c r="Z76" s="1944"/>
      <c r="AA76" s="1944"/>
      <c r="AB76" s="1944"/>
      <c r="AC76" s="1944"/>
      <c r="AD76" s="1944"/>
      <c r="AE76" s="1944"/>
      <c r="AF76" s="1944"/>
      <c r="AG76" s="1766"/>
      <c r="AH76" s="1814"/>
      <c r="AI76" s="1814"/>
      <c r="AJ76" s="1814"/>
      <c r="AK76" s="1766"/>
      <c r="AL76" s="2137"/>
      <c r="AM76" s="2137"/>
      <c r="AN76" s="2137"/>
      <c r="AO76" s="2137"/>
      <c r="AP76" s="2137"/>
      <c r="AQ76" s="2137"/>
      <c r="AR76" s="2137"/>
      <c r="AS76" s="1814"/>
      <c r="AT76" s="1814"/>
      <c r="AU76" s="1814"/>
      <c r="AV76" s="1814"/>
      <c r="AW76" s="1814"/>
      <c r="AX76" s="2137"/>
      <c r="AY76" s="2137"/>
      <c r="AZ76" s="2137"/>
      <c r="BA76" s="2137"/>
      <c r="BB76" s="2137"/>
      <c r="BC76" s="2137"/>
      <c r="BD76" s="2137"/>
      <c r="BE76" s="1814"/>
      <c r="BF76" s="1814"/>
      <c r="BG76" s="1814"/>
      <c r="BH76" s="1814"/>
      <c r="BI76" s="1814"/>
      <c r="BJ76" s="2137"/>
      <c r="BK76" s="2137"/>
      <c r="BL76" s="2137"/>
      <c r="BM76" s="1814"/>
      <c r="BN76" s="1814"/>
      <c r="BO76" s="1814"/>
      <c r="BP76" s="1814"/>
      <c r="BR76" s="2137"/>
      <c r="BS76" s="2138"/>
      <c r="BT76" s="1817"/>
      <c r="BU76" s="2137"/>
      <c r="BV76" s="2139"/>
      <c r="BW76" s="1830"/>
      <c r="BX76" s="2644"/>
      <c r="CA76" s="1761"/>
    </row>
    <row r="77" spans="1:87" s="1740" customFormat="1" ht="15.75" x14ac:dyDescent="0.2">
      <c r="A77" s="2466"/>
      <c r="B77" s="2444">
        <v>40</v>
      </c>
      <c r="C77" s="2281" t="s">
        <v>132</v>
      </c>
      <c r="D77" s="1817"/>
      <c r="E77" s="2067">
        <v>465</v>
      </c>
      <c r="F77" s="2065">
        <f>E77/10</f>
        <v>46.5</v>
      </c>
      <c r="G77" s="2065">
        <f>E77/15</f>
        <v>31</v>
      </c>
      <c r="H77" s="2065">
        <f>E77/20</f>
        <v>23.25</v>
      </c>
      <c r="I77" s="2065">
        <f>E77/25</f>
        <v>18.600000000000001</v>
      </c>
      <c r="J77" s="2065">
        <f t="shared" ref="J77:J85" si="479">E77/31</f>
        <v>15</v>
      </c>
      <c r="K77" s="2066">
        <f t="shared" ref="K77:K85" si="480">E77/$E$86</f>
        <v>0.28284671532846717</v>
      </c>
      <c r="L77" s="2465"/>
      <c r="M77" s="2131"/>
      <c r="N77" s="2067">
        <f t="shared" ref="N77:T77" si="481">IF(N75&gt;$J$86,$J$77,IF(N75&lt;$J$86,(IF(N75&lt;0,0,N75*$K$77))))</f>
        <v>8.4936633211678831</v>
      </c>
      <c r="O77" s="2065">
        <f t="shared" ref="O77" si="482">IF(O75&gt;$J$86,$J$77,IF(O75&lt;$J$86,(IF(O75&lt;0,0,O75*$K$77))))</f>
        <v>1.4367791970802923</v>
      </c>
      <c r="P77" s="2065">
        <f t="shared" si="481"/>
        <v>0.31203923357664215</v>
      </c>
      <c r="Q77" s="2065">
        <f t="shared" ref="Q77:R77" si="483">IF(Q75&gt;$J$86,$J$77,IF(Q75&lt;$J$86,(IF(Q75&lt;0,0,Q75*$K$77))))</f>
        <v>13.49085766423358</v>
      </c>
      <c r="R77" s="2065">
        <f t="shared" si="483"/>
        <v>13.748955291970805</v>
      </c>
      <c r="S77" s="2065">
        <f t="shared" si="481"/>
        <v>15</v>
      </c>
      <c r="T77" s="2069">
        <f t="shared" si="481"/>
        <v>0</v>
      </c>
      <c r="U77" s="1814"/>
      <c r="V77" s="2067">
        <f t="shared" si="435"/>
        <v>52.482294708029201</v>
      </c>
      <c r="W77" s="2068">
        <f>$J$77*7</f>
        <v>105</v>
      </c>
      <c r="X77" s="2070">
        <f t="shared" si="374"/>
        <v>-52.517705291970799</v>
      </c>
      <c r="Y77" s="1814"/>
      <c r="Z77" s="2090">
        <f t="shared" ref="Z77" si="484">IF(Z75&gt;$J$86,$J$77,IF(Z75&lt;$J$86,(IF(Z75&lt;0,0,Z75*$K$77))))</f>
        <v>1.9200228102189787</v>
      </c>
      <c r="AA77" s="2087">
        <f t="shared" ref="AA77:AF77" si="485">IF(AA75&gt;$J$86,$J$77,IF(AA75&lt;$J$86,(IF(AA75&lt;0,0,AA75*$K$77))))</f>
        <v>9.1700912408759123</v>
      </c>
      <c r="AB77" s="2087">
        <f t="shared" si="485"/>
        <v>11.61657390510949</v>
      </c>
      <c r="AC77" s="2087">
        <f t="shared" ref="AC77:AE77" si="486">IF(AC75&gt;$J$86,$J$77,IF(AC75&lt;$J$86,(IF(AC75&lt;0,0,AC75*$K$77))))</f>
        <v>11.118622262773725</v>
      </c>
      <c r="AD77" s="2087">
        <f t="shared" si="486"/>
        <v>15</v>
      </c>
      <c r="AE77" s="2087">
        <f t="shared" si="486"/>
        <v>15</v>
      </c>
      <c r="AF77" s="2091">
        <f t="shared" si="485"/>
        <v>10.69661496350365</v>
      </c>
      <c r="AG77" s="1814"/>
      <c r="AH77" s="2067">
        <f t="shared" si="355"/>
        <v>74.521925182481766</v>
      </c>
      <c r="AI77" s="2068">
        <f>$J$77*7</f>
        <v>105</v>
      </c>
      <c r="AJ77" s="2070">
        <f>AH77-AI77</f>
        <v>-30.478074817518234</v>
      </c>
      <c r="AK77" s="1814"/>
      <c r="AL77" s="2067">
        <f t="shared" ref="AL77:AM77" si="487">IF(AL75&gt;$J$86,$J$77,IF(AL75&lt;$J$86,(IF(AL75&lt;0,0,AL75*$K$77))))</f>
        <v>15</v>
      </c>
      <c r="AM77" s="2065">
        <f t="shared" si="487"/>
        <v>3.3134671532846736</v>
      </c>
      <c r="AN77" s="2065">
        <f t="shared" ref="AN77:AR77" si="488">IF(AN75&gt;$J$86,$J$77,IF(AN75&lt;$J$86,(IF(AN75&lt;0,0,AN75*$K$77))))</f>
        <v>8.7724087591240885</v>
      </c>
      <c r="AO77" s="2065">
        <f t="shared" si="488"/>
        <v>6.763914233576644</v>
      </c>
      <c r="AP77" s="2065">
        <f t="shared" si="488"/>
        <v>15</v>
      </c>
      <c r="AQ77" s="2065">
        <f t="shared" si="488"/>
        <v>13.791523722627737</v>
      </c>
      <c r="AR77" s="2069">
        <f t="shared" si="488"/>
        <v>10.256646897810223</v>
      </c>
      <c r="AS77" s="1814"/>
      <c r="AT77" s="2067">
        <f>SUM(AL77:AR77)</f>
        <v>72.897960766423367</v>
      </c>
      <c r="AU77" s="2068">
        <f>$J$77*7</f>
        <v>105</v>
      </c>
      <c r="AV77" s="2070">
        <f>AT77-AU77</f>
        <v>-32.102039233576633</v>
      </c>
      <c r="AW77" s="1814"/>
      <c r="AX77" s="2067">
        <f t="shared" ref="AX77" si="489">IF(AX75&gt;$J$86,$J$77,IF(AX75&lt;$J$86,(IF(AX75&lt;0,0,AX75*$K$77))))</f>
        <v>4.3776779197080282</v>
      </c>
      <c r="AY77" s="2645">
        <f t="shared" ref="AY77" si="490">IF(AY75&gt;$J$86,$J$77,IF(AY75&lt;$J$86,(IF(AY75&lt;0,0,AY75*$K$77))))</f>
        <v>8.7758029197080312</v>
      </c>
      <c r="AZ77" s="2645">
        <f t="shared" ref="AZ77:BA77" si="491">IF(AZ75&gt;$J$86,$J$77,IF(AZ75&lt;$J$86,(IF(AZ75&lt;0,0,AZ75*$K$77))))</f>
        <v>0.54510492700729851</v>
      </c>
      <c r="BA77" s="2645">
        <f t="shared" si="491"/>
        <v>12.613184306569345</v>
      </c>
      <c r="BB77" s="2645">
        <f t="shared" ref="BB77:BC77" si="492">IF(BB75&gt;$J$86,$J$77,IF(BB75&lt;$J$86,(IF(BB75&lt;0,0,BB75*$K$77))))</f>
        <v>15</v>
      </c>
      <c r="BC77" s="2645">
        <f t="shared" si="492"/>
        <v>7.9073220802919693</v>
      </c>
      <c r="BD77" s="2069">
        <f>IF(BD75&gt;$J$86,$J$77,IF(BD75&lt;$J$86,(IF(BD75&lt;0,0,BD75*$K$77))))</f>
        <v>4.9163594890510929</v>
      </c>
      <c r="BE77" s="1814"/>
      <c r="BF77" s="2067">
        <f t="shared" ref="BF77:BF85" si="493">SUM(AX77:BD77)</f>
        <v>54.135451642335767</v>
      </c>
      <c r="BG77" s="2068">
        <f>$J$77*7</f>
        <v>105</v>
      </c>
      <c r="BH77" s="2070">
        <f t="shared" ref="BH77:BH85" si="494">BF77-BG77</f>
        <v>-50.864548357664233</v>
      </c>
      <c r="BI77" s="1814"/>
      <c r="BJ77" s="2067">
        <f>IF(BJ75&gt;$J$86,$J$77,IF(BJ75&lt;$J$86,(IF(BJ75&lt;0,0,BJ75*$K$77))))</f>
        <v>6.1045985401459859</v>
      </c>
      <c r="BK77" s="2645">
        <f>IF(BK75&gt;$J$86,$J$77,IF(BK75&lt;$J$86,(IF(BK75&lt;0,0,BK75*$K$77))))</f>
        <v>15</v>
      </c>
      <c r="BL77" s="2070">
        <f>IF(BL75&gt;$J$86,$J$77,IF(BL75&lt;$J$86,(IF(BL75&lt;0,0,BL75*$K$77))))</f>
        <v>4.4126094890510954</v>
      </c>
      <c r="BM77" s="1814"/>
      <c r="BN77" s="2067">
        <f t="shared" ref="BN77:BN86" si="495">SUM(BJ77:BL77)</f>
        <v>25.517208029197082</v>
      </c>
      <c r="BO77" s="2068">
        <f>$J$77*0</f>
        <v>0</v>
      </c>
      <c r="BP77" s="2070">
        <f t="shared" ref="BP77:BP85" si="496">BN77-BO77</f>
        <v>25.517208029197082</v>
      </c>
      <c r="BR77" s="2067"/>
      <c r="BS77" s="2071"/>
      <c r="BU77" s="2067">
        <f t="shared" ref="BU77:BU85" si="497">SUM(N77:T77)+SUM(Z77:AF77)+SUM(AL77:AR77)+SUM(AX77:BD77)+SUM(BJ77:BL77)</f>
        <v>279.55484032846715</v>
      </c>
      <c r="BV77" s="2072">
        <f t="shared" ref="BV77:BV86" si="498">BU77/E77</f>
        <v>0.60119320500745621</v>
      </c>
      <c r="BW77" s="2351"/>
      <c r="BX77" s="4635">
        <f>BV86-BU1</f>
        <v>-0.39880679499254379</v>
      </c>
      <c r="CA77" s="1997"/>
      <c r="CB77" s="1861"/>
      <c r="CC77" s="1861"/>
      <c r="CD77" s="1861"/>
      <c r="CE77" s="1861"/>
      <c r="CF77" s="1861"/>
      <c r="CG77" s="1861"/>
      <c r="CH77" s="1861"/>
      <c r="CI77" s="1861"/>
    </row>
    <row r="78" spans="1:87" s="1900" customFormat="1" ht="15.75" x14ac:dyDescent="0.2">
      <c r="A78" s="2464"/>
      <c r="B78" s="2161">
        <v>41</v>
      </c>
      <c r="C78" s="2162" t="s">
        <v>232</v>
      </c>
      <c r="D78" s="1960"/>
      <c r="E78" s="2163">
        <v>345</v>
      </c>
      <c r="F78" s="2164">
        <f>E78/10</f>
        <v>34.5</v>
      </c>
      <c r="G78" s="2164">
        <f>E78/15</f>
        <v>23</v>
      </c>
      <c r="H78" s="2164">
        <f>E78/20</f>
        <v>17.25</v>
      </c>
      <c r="I78" s="2164">
        <f>E78/25</f>
        <v>13.8</v>
      </c>
      <c r="J78" s="2164">
        <f t="shared" si="479"/>
        <v>11.129032258064516</v>
      </c>
      <c r="K78" s="2165">
        <f t="shared" si="480"/>
        <v>0.20985401459854014</v>
      </c>
      <c r="L78" s="2468"/>
      <c r="M78" s="2339"/>
      <c r="N78" s="2163">
        <f t="shared" ref="N78:T78" si="499">IF(N75&gt;$J$86,$J$78,IF(N75&lt;$J$86,(IF(N75&lt;0,0,N75*$K$78))))</f>
        <v>6.3017502060277844</v>
      </c>
      <c r="O78" s="2164">
        <f t="shared" ref="O78" si="500">IF(O75&gt;$J$86,$J$78,IF(O75&lt;$J$86,(IF(O75&lt;0,0,O75*$K$78))))</f>
        <v>1.065997468801507</v>
      </c>
      <c r="P78" s="2164">
        <f t="shared" si="499"/>
        <v>0.23151297975041188</v>
      </c>
      <c r="Q78" s="2164">
        <f t="shared" ref="Q78:R78" si="501">IF(Q75&gt;$J$86,$J$78,IF(Q75&lt;$J$86,(IF(Q75&lt;0,0,Q75*$K$78))))</f>
        <v>10.009346008947494</v>
      </c>
      <c r="R78" s="2164">
        <f t="shared" si="501"/>
        <v>10.20083779726866</v>
      </c>
      <c r="S78" s="2164">
        <f t="shared" si="499"/>
        <v>11.129032258064516</v>
      </c>
      <c r="T78" s="2166">
        <f t="shared" si="499"/>
        <v>0</v>
      </c>
      <c r="U78" s="1951"/>
      <c r="V78" s="2163">
        <f t="shared" si="435"/>
        <v>38.938476718860372</v>
      </c>
      <c r="W78" s="2167">
        <f>$J$78*7</f>
        <v>77.903225806451616</v>
      </c>
      <c r="X78" s="2168">
        <f t="shared" si="374"/>
        <v>-38.964749087591244</v>
      </c>
      <c r="Y78" s="1951"/>
      <c r="Z78" s="2169">
        <f t="shared" ref="Z78" si="502">IF(Z75&gt;$J$86,$J$78,IF(Z75&lt;$J$86,(IF(Z75&lt;0,0,Z75*$K$78))))</f>
        <v>1.424533052743113</v>
      </c>
      <c r="AA78" s="2170">
        <f t="shared" ref="AA78:AF78" si="503">IF(AA75&gt;$J$86,$J$78,IF(AA75&lt;$J$86,(IF(AA75&lt;0,0,AA75*$K$78))))</f>
        <v>6.8036160819401923</v>
      </c>
      <c r="AB78" s="2170">
        <f t="shared" si="503"/>
        <v>8.618748381210267</v>
      </c>
      <c r="AC78" s="2170">
        <f t="shared" ref="AC78:AE78" si="504">IF(AC75&gt;$J$86,$J$78,IF(AC75&lt;$J$86,(IF(AC75&lt;0,0,AC75*$K$78))))</f>
        <v>8.2493003885095373</v>
      </c>
      <c r="AD78" s="2170">
        <f t="shared" si="504"/>
        <v>11.129032258064516</v>
      </c>
      <c r="AE78" s="2170">
        <f t="shared" si="504"/>
        <v>11.129032258064516</v>
      </c>
      <c r="AF78" s="2171">
        <f t="shared" si="503"/>
        <v>7.9361981987285146</v>
      </c>
      <c r="AG78" s="1951"/>
      <c r="AH78" s="2163">
        <f>SUM(Z78:AF78)</f>
        <v>55.290460619260649</v>
      </c>
      <c r="AI78" s="2167">
        <f>$J$78*7</f>
        <v>77.903225806451616</v>
      </c>
      <c r="AJ78" s="2168">
        <f t="shared" ref="AJ78:AJ79" si="505">AH78-AI78</f>
        <v>-22.612765187190966</v>
      </c>
      <c r="AK78" s="1951"/>
      <c r="AL78" s="2163">
        <f t="shared" ref="AL78:AM78" si="506">IF(AL75&gt;$J$86,$J$78,IF(AL75&lt;$J$86,(IF(AL75&lt;0,0,AL75*$K$78))))</f>
        <v>11.129032258064516</v>
      </c>
      <c r="AM78" s="2164">
        <f t="shared" si="506"/>
        <v>2.4583788556628221</v>
      </c>
      <c r="AN78" s="2164">
        <f t="shared" ref="AN78:AR78" si="507">IF(AN75&gt;$J$86,$J$78,IF(AN75&lt;$J$86,(IF(AN75&lt;0,0,AN75*$K$78))))</f>
        <v>6.5085613374146458</v>
      </c>
      <c r="AO78" s="2164">
        <f t="shared" si="507"/>
        <v>5.018387979750413</v>
      </c>
      <c r="AP78" s="2164">
        <f t="shared" si="507"/>
        <v>11.129032258064516</v>
      </c>
      <c r="AQ78" s="2164">
        <f t="shared" si="507"/>
        <v>10.23242082646574</v>
      </c>
      <c r="AR78" s="2166">
        <f t="shared" si="507"/>
        <v>7.6097702790204869</v>
      </c>
      <c r="AS78" s="1951"/>
      <c r="AT78" s="2163">
        <f t="shared" ref="AT78:AT85" si="508">SUM(AL78:AR78)</f>
        <v>54.085583794443146</v>
      </c>
      <c r="AU78" s="2167">
        <f>$J$78*7</f>
        <v>77.903225806451616</v>
      </c>
      <c r="AV78" s="2168">
        <f t="shared" ref="AV78:AV85" si="509">AT78-AU78</f>
        <v>-23.81764201200847</v>
      </c>
      <c r="AW78" s="1951"/>
      <c r="AX78" s="2163">
        <f t="shared" ref="AX78" si="510">IF(AX75&gt;$J$86,$J$78,IF(AX75&lt;$J$86,(IF(AX75&lt;0,0,AX75*$K$78))))</f>
        <v>3.2479545855898269</v>
      </c>
      <c r="AY78" s="2306">
        <f t="shared" ref="AY78" si="511">IF(AY75&gt;$J$86,$J$78,IF(AY75&lt;$J$86,(IF(AY75&lt;0,0,AY75*$K$78))))</f>
        <v>6.5110795855898287</v>
      </c>
      <c r="AZ78" s="2306">
        <f>IF(AZ75&gt;$J$86,$J$78,IF(AZ75&lt;$J$86,(IF(AZ75&lt;0,0,AZ75*$K$78))))</f>
        <v>0.40443268777960856</v>
      </c>
      <c r="BA78" s="2306">
        <f t="shared" ref="BA78" si="512">IF(BA75&gt;$J$86,$J$78,IF(BA75&lt;$J$86,(IF(BA75&lt;0,0,BA75*$K$78))))</f>
        <v>9.3581690016482213</v>
      </c>
      <c r="BB78" s="2306">
        <f t="shared" ref="BB78:BC78" si="513">IF(BB75&gt;$J$86,$J$78,IF(BB75&lt;$J$86,(IF(BB75&lt;0,0,BB75*$K$78))))</f>
        <v>11.129032258064516</v>
      </c>
      <c r="BC78" s="2306">
        <f t="shared" si="513"/>
        <v>5.8667228337650092</v>
      </c>
      <c r="BD78" s="2166">
        <f t="shared" ref="BD78" si="514">IF(BD75&gt;$J$86,$J$78,IF(BD75&lt;$J$86,(IF(BD75&lt;0,0,BD75*$K$78))))</f>
        <v>3.6476215563927461</v>
      </c>
      <c r="BE78" s="1951"/>
      <c r="BF78" s="2163">
        <f t="shared" si="493"/>
        <v>40.165012508829761</v>
      </c>
      <c r="BG78" s="2167">
        <f>$J$78*7</f>
        <v>77.903225806451616</v>
      </c>
      <c r="BH78" s="2168">
        <f t="shared" si="494"/>
        <v>-37.738213297621854</v>
      </c>
      <c r="BI78" s="1951"/>
      <c r="BJ78" s="2169">
        <f t="shared" ref="BJ78" si="515">IF(BJ75&gt;$J$86,$J$78,IF(BJ75&lt;$J$86,(IF(BJ75&lt;0,0,BJ75*$K$78))))</f>
        <v>4.5292182717212146</v>
      </c>
      <c r="BK78" s="2307">
        <f t="shared" ref="BK78" si="516">IF(BK75&gt;$J$86,$J$78,IF(BK75&lt;$J$86,(IF(BK75&lt;0,0,BK75*$K$78))))</f>
        <v>11.129032258064516</v>
      </c>
      <c r="BL78" s="2178">
        <f t="shared" ref="BL78" si="517">IF(BL75&gt;$J$86,$J$78,IF(BL75&lt;$J$86,(IF(BL75&lt;0,0,BL75*$K$78))))</f>
        <v>3.2738715563927481</v>
      </c>
      <c r="BM78" s="1951"/>
      <c r="BN78" s="2169">
        <f t="shared" si="495"/>
        <v>18.932122086178477</v>
      </c>
      <c r="BO78" s="2170">
        <f>$J$78*0</f>
        <v>0</v>
      </c>
      <c r="BP78" s="2178">
        <f t="shared" si="496"/>
        <v>18.932122086178477</v>
      </c>
      <c r="BR78" s="2169"/>
      <c r="BS78" s="2172"/>
      <c r="BU78" s="2169">
        <f t="shared" si="497"/>
        <v>207.41165572757242</v>
      </c>
      <c r="BV78" s="2173">
        <f t="shared" si="498"/>
        <v>0.60119320500745632</v>
      </c>
      <c r="BW78" s="2353"/>
      <c r="BX78" s="4636"/>
      <c r="CA78" s="2010"/>
      <c r="CB78" s="2011"/>
      <c r="CC78" s="2011"/>
      <c r="CD78" s="2011"/>
      <c r="CE78" s="2011"/>
      <c r="CF78" s="2011"/>
      <c r="CG78" s="2011"/>
      <c r="CH78" s="2011"/>
      <c r="CI78" s="2011"/>
    </row>
    <row r="79" spans="1:87" s="1726" customFormat="1" x14ac:dyDescent="0.2">
      <c r="A79" s="1756"/>
      <c r="B79" s="2151">
        <v>42</v>
      </c>
      <c r="C79" s="2152" t="s">
        <v>4</v>
      </c>
      <c r="D79" s="1817"/>
      <c r="E79" s="2153">
        <v>300</v>
      </c>
      <c r="F79" s="2154"/>
      <c r="G79" s="2154"/>
      <c r="H79" s="2154"/>
      <c r="I79" s="2154"/>
      <c r="J79" s="2154">
        <f t="shared" si="479"/>
        <v>9.67741935483871</v>
      </c>
      <c r="K79" s="2155">
        <f t="shared" si="480"/>
        <v>0.18248175182481752</v>
      </c>
      <c r="L79" s="1931"/>
      <c r="M79" s="1924"/>
      <c r="N79" s="2153">
        <f t="shared" ref="N79:T79" si="518">IF(N75&gt;$J$86,$J$79,IF(N75&lt;$J$86,(IF(N75&lt;0,0,N75*$K$79))))</f>
        <v>5.4797827878502474</v>
      </c>
      <c r="O79" s="2154">
        <f t="shared" ref="O79" si="519">IF(O75&gt;$J$86,$J$79,IF(O75&lt;$J$86,(IF(O75&lt;0,0,O75*$K$79))))</f>
        <v>0.92695432069696271</v>
      </c>
      <c r="P79" s="2154">
        <f t="shared" si="518"/>
        <v>0.20131563456557555</v>
      </c>
      <c r="Q79" s="2154">
        <f t="shared" ref="Q79:R79" si="520">IF(Q75&gt;$J$86,$J$79,IF(Q75&lt;$J$86,(IF(Q75&lt;0,0,Q75*$K$79))))</f>
        <v>8.7037791382152125</v>
      </c>
      <c r="R79" s="2154">
        <f t="shared" si="520"/>
        <v>8.8702937367553574</v>
      </c>
      <c r="S79" s="2154">
        <f t="shared" si="518"/>
        <v>9.67741935483871</v>
      </c>
      <c r="T79" s="2156">
        <f t="shared" si="518"/>
        <v>0</v>
      </c>
      <c r="U79" s="1814"/>
      <c r="V79" s="2153">
        <f t="shared" si="435"/>
        <v>33.859544972922066</v>
      </c>
      <c r="W79" s="2157">
        <f>$J$79*7</f>
        <v>67.741935483870975</v>
      </c>
      <c r="X79" s="2158">
        <f t="shared" si="374"/>
        <v>-33.882390510948909</v>
      </c>
      <c r="Y79" s="1766"/>
      <c r="Z79" s="2090">
        <f t="shared" ref="Z79" si="521">IF(Z75&gt;$J$86,$J$79,IF(Z75&lt;$J$86,(IF(Z75&lt;0,0,Z75*$K$79))))</f>
        <v>1.2387243936896635</v>
      </c>
      <c r="AA79" s="2087">
        <f t="shared" ref="AA79:AF79" si="522">IF(AA75&gt;$J$86,$J$79,IF(AA75&lt;$J$86,(IF(AA75&lt;0,0,AA75*$K$79))))</f>
        <v>5.9161878973392978</v>
      </c>
      <c r="AB79" s="2087">
        <f t="shared" si="522"/>
        <v>7.4945638097480574</v>
      </c>
      <c r="AC79" s="2087">
        <f t="shared" ref="AC79:AE79" si="523">IF(AC75&gt;$J$86,$J$79,IF(AC75&lt;$J$86,(IF(AC75&lt;0,0,AC75*$K$79))))</f>
        <v>7.1733046856604679</v>
      </c>
      <c r="AD79" s="2087">
        <f t="shared" si="523"/>
        <v>9.67741935483871</v>
      </c>
      <c r="AE79" s="2087">
        <f t="shared" si="523"/>
        <v>9.67741935483871</v>
      </c>
      <c r="AF79" s="2091">
        <f t="shared" si="522"/>
        <v>6.9010419119378392</v>
      </c>
      <c r="AG79" s="1766"/>
      <c r="AH79" s="2153">
        <f t="shared" ref="AH79" si="524">SUM(Z79:AF79)</f>
        <v>48.078661408052746</v>
      </c>
      <c r="AI79" s="2157">
        <f>$J$79*7</f>
        <v>67.741935483870975</v>
      </c>
      <c r="AJ79" s="2158">
        <f t="shared" si="505"/>
        <v>-19.663274075818229</v>
      </c>
      <c r="AK79" s="1766"/>
      <c r="AL79" s="2153">
        <f t="shared" ref="AL79:AM79" si="525">IF(AL75&gt;$J$86,$J$79,IF(AL75&lt;$J$86,(IF(AL75&lt;0,0,AL75*$K$79))))</f>
        <v>9.67741935483871</v>
      </c>
      <c r="AM79" s="2154">
        <f t="shared" si="525"/>
        <v>2.137720744054628</v>
      </c>
      <c r="AN79" s="2154">
        <f t="shared" ref="AN79:AR79" si="526">IF(AN75&gt;$J$86,$J$79,IF(AN75&lt;$J$86,(IF(AN75&lt;0,0,AN75*$K$79))))</f>
        <v>5.6596185542736057</v>
      </c>
      <c r="AO79" s="2154">
        <f t="shared" si="526"/>
        <v>4.3638156345655768</v>
      </c>
      <c r="AP79" s="2154">
        <f t="shared" si="526"/>
        <v>9.67741935483871</v>
      </c>
      <c r="AQ79" s="2154">
        <f t="shared" si="526"/>
        <v>8.8977572404049905</v>
      </c>
      <c r="AR79" s="2156">
        <f t="shared" si="526"/>
        <v>6.6171915469743361</v>
      </c>
      <c r="AS79" s="1814"/>
      <c r="AT79" s="2153">
        <f t="shared" si="508"/>
        <v>47.030942429950557</v>
      </c>
      <c r="AU79" s="2157">
        <f>$J$79*7</f>
        <v>67.741935483870975</v>
      </c>
      <c r="AV79" s="2158">
        <f t="shared" si="509"/>
        <v>-20.710993053920419</v>
      </c>
      <c r="AW79" s="1814"/>
      <c r="AX79" s="2153">
        <f t="shared" ref="AX79" si="527">IF(AX75&gt;$J$86,$J$79,IF(AX75&lt;$J$86,(IF(AX75&lt;0,0,AX75*$K$79))))</f>
        <v>2.8243083352955018</v>
      </c>
      <c r="AY79" s="2304">
        <f t="shared" ref="AY79" si="528">IF(AY75&gt;$J$86,$J$79,IF(AY75&lt;$J$86,(IF(AY75&lt;0,0,AY75*$K$79))))</f>
        <v>5.6618083352955031</v>
      </c>
      <c r="AZ79" s="2304">
        <f t="shared" ref="AZ79:BA79" si="529">IF(AZ75&gt;$J$86,$J$79,IF(AZ75&lt;$J$86,(IF(AZ75&lt;0,0,AZ75*$K$79))))</f>
        <v>0.35168059806922486</v>
      </c>
      <c r="BA79" s="2304">
        <f t="shared" si="529"/>
        <v>8.1375382623028027</v>
      </c>
      <c r="BB79" s="2304">
        <f t="shared" ref="BB79:BC79" si="530">IF(BB75&gt;$J$86,$J$79,IF(BB75&lt;$J$86,(IF(BB75&lt;0,0,BB75*$K$79))))</f>
        <v>9.67741935483871</v>
      </c>
      <c r="BC79" s="2304">
        <f t="shared" si="530"/>
        <v>5.1014981163173996</v>
      </c>
      <c r="BD79" s="2156">
        <f t="shared" ref="BD79" si="531">IF(BD75&gt;$J$86,$J$79,IF(BD75&lt;$J$86,(IF(BD75&lt;0,0,BD75*$K$79))))</f>
        <v>3.1718448316458665</v>
      </c>
      <c r="BE79" s="1814"/>
      <c r="BF79" s="2153">
        <f t="shared" si="493"/>
        <v>34.926097833765006</v>
      </c>
      <c r="BG79" s="2157">
        <f>$J$79*7</f>
        <v>67.741935483870975</v>
      </c>
      <c r="BH79" s="2158">
        <f t="shared" si="494"/>
        <v>-32.815837650105969</v>
      </c>
      <c r="BI79" s="1814"/>
      <c r="BJ79" s="2090">
        <f t="shared" ref="BJ79" si="532">IF(BJ75&gt;$J$86,$J$79,IF(BJ75&lt;$J$86,(IF(BJ75&lt;0,0,BJ75*$K$79))))</f>
        <v>3.938450671061926</v>
      </c>
      <c r="BK79" s="2305">
        <f t="shared" ref="BK79" si="533">IF(BK75&gt;$J$86,$J$79,IF(BK75&lt;$J$86,(IF(BK75&lt;0,0,BK75*$K$79))))</f>
        <v>9.67741935483871</v>
      </c>
      <c r="BL79" s="2174">
        <f t="shared" ref="BL79" si="534">IF(BL75&gt;$J$86,$J$79,IF(BL75&lt;$J$86,(IF(BL75&lt;0,0,BL75*$K$79))))</f>
        <v>2.8468448316458681</v>
      </c>
      <c r="BM79" s="1814"/>
      <c r="BN79" s="2090">
        <f t="shared" si="495"/>
        <v>16.462714857546505</v>
      </c>
      <c r="BO79" s="2087">
        <f>$J$79*0</f>
        <v>0</v>
      </c>
      <c r="BP79" s="2174">
        <f t="shared" si="496"/>
        <v>16.462714857546505</v>
      </c>
      <c r="BR79" s="2090"/>
      <c r="BS79" s="2159"/>
      <c r="BT79" s="1740"/>
      <c r="BU79" s="2090">
        <f t="shared" si="497"/>
        <v>180.35796150223686</v>
      </c>
      <c r="BV79" s="2160">
        <f t="shared" si="498"/>
        <v>0.60119320500745621</v>
      </c>
      <c r="BW79" s="2351"/>
      <c r="BX79" s="4636"/>
      <c r="CA79" s="2633"/>
      <c r="CB79" s="1860"/>
      <c r="CC79" s="1860"/>
      <c r="CD79" s="1860"/>
      <c r="CE79" s="1860"/>
      <c r="CF79" s="1860"/>
      <c r="CG79" s="1860"/>
      <c r="CH79" s="1860"/>
      <c r="CI79" s="1860"/>
    </row>
    <row r="80" spans="1:87" s="1900" customFormat="1" ht="15.75" x14ac:dyDescent="0.2">
      <c r="A80" s="2464"/>
      <c r="B80" s="2161">
        <v>43</v>
      </c>
      <c r="C80" s="2175" t="s">
        <v>121</v>
      </c>
      <c r="D80" s="1960"/>
      <c r="E80" s="2169">
        <v>250</v>
      </c>
      <c r="F80" s="2176">
        <f>E80/10</f>
        <v>25</v>
      </c>
      <c r="G80" s="2176">
        <f>E80/15</f>
        <v>16.666666666666668</v>
      </c>
      <c r="H80" s="2176">
        <f>E80/20</f>
        <v>12.5</v>
      </c>
      <c r="I80" s="2176">
        <f>E80/25</f>
        <v>10</v>
      </c>
      <c r="J80" s="2176">
        <f t="shared" si="479"/>
        <v>8.064516129032258</v>
      </c>
      <c r="K80" s="2177">
        <f t="shared" si="480"/>
        <v>0.15206812652068127</v>
      </c>
      <c r="L80" s="2468"/>
      <c r="M80" s="2339"/>
      <c r="N80" s="2169">
        <f t="shared" ref="N80:T80" si="535">IF(N75&gt;$J$86,$J$80,IF(N75&lt;$J$86,(IF(N75&lt;0,0,N75*$K$80))))</f>
        <v>4.5664856565418734</v>
      </c>
      <c r="O80" s="2176">
        <f t="shared" ref="O80" si="536">IF(O75&gt;$J$86,$J$80,IF(O75&lt;$J$86,(IF(O75&lt;0,0,O75*$K$80))))</f>
        <v>0.77246193391413565</v>
      </c>
      <c r="P80" s="2176">
        <f t="shared" si="535"/>
        <v>0.1677630288046463</v>
      </c>
      <c r="Q80" s="2176">
        <f t="shared" ref="Q80:R80" si="537">IF(Q75&gt;$J$86,$J$80,IF(Q75&lt;$J$86,(IF(Q75&lt;0,0,Q75*$K$80))))</f>
        <v>7.253149281846011</v>
      </c>
      <c r="R80" s="2176">
        <f t="shared" si="537"/>
        <v>7.3919114472961311</v>
      </c>
      <c r="S80" s="2176">
        <f t="shared" si="535"/>
        <v>8.064516129032258</v>
      </c>
      <c r="T80" s="2171">
        <f t="shared" si="535"/>
        <v>0</v>
      </c>
      <c r="U80" s="1951"/>
      <c r="V80" s="2169">
        <f t="shared" si="435"/>
        <v>28.216287477435053</v>
      </c>
      <c r="W80" s="2170">
        <f>$J$80*7</f>
        <v>56.451612903225808</v>
      </c>
      <c r="X80" s="2178">
        <f t="shared" si="374"/>
        <v>-28.235325425790755</v>
      </c>
      <c r="Y80" s="1951"/>
      <c r="Z80" s="2169">
        <f t="shared" ref="Z80" si="538">IF(Z75&gt;$J$86,$J$80,IF(Z75&lt;$J$86,(IF(Z75&lt;0,0,Z75*$K$80))))</f>
        <v>1.0322703280747196</v>
      </c>
      <c r="AA80" s="2170">
        <f t="shared" ref="AA80:AF80" si="539">IF(AA75&gt;$J$86,$J$80,IF(AA75&lt;$J$86,(IF(AA75&lt;0,0,AA75*$K$80))))</f>
        <v>4.9301565811160817</v>
      </c>
      <c r="AB80" s="2170">
        <f t="shared" si="539"/>
        <v>6.2454698414567149</v>
      </c>
      <c r="AC80" s="2170">
        <f t="shared" ref="AC80:AE80" si="540">IF(AC75&gt;$J$86,$J$80,IF(AC75&lt;$J$86,(IF(AC75&lt;0,0,AC75*$K$80))))</f>
        <v>5.9777539047170567</v>
      </c>
      <c r="AD80" s="2170">
        <f t="shared" si="540"/>
        <v>8.064516129032258</v>
      </c>
      <c r="AE80" s="2170">
        <f t="shared" si="540"/>
        <v>8.064516129032258</v>
      </c>
      <c r="AF80" s="2171">
        <f t="shared" si="539"/>
        <v>5.7508682599481995</v>
      </c>
      <c r="AG80" s="1951"/>
      <c r="AH80" s="2169">
        <f t="shared" si="355"/>
        <v>40.065551173377287</v>
      </c>
      <c r="AI80" s="2170">
        <f>$J$80*7</f>
        <v>56.451612903225808</v>
      </c>
      <c r="AJ80" s="2178">
        <f t="shared" si="356"/>
        <v>-16.386061729848521</v>
      </c>
      <c r="AK80" s="1951"/>
      <c r="AL80" s="2169">
        <f t="shared" ref="AL80:AM80" si="541">IF(AL75&gt;$J$86,$J$80,IF(AL75&lt;$J$86,(IF(AL75&lt;0,0,AL75*$K$80))))</f>
        <v>8.064516129032258</v>
      </c>
      <c r="AM80" s="2176">
        <f t="shared" si="541"/>
        <v>1.7814339533788566</v>
      </c>
      <c r="AN80" s="2176">
        <f t="shared" ref="AN80:AR80" si="542">IF(AN75&gt;$J$86,$J$80,IF(AN75&lt;$J$86,(IF(AN75&lt;0,0,AN75*$K$80))))</f>
        <v>4.7163487952280052</v>
      </c>
      <c r="AO80" s="2176">
        <f t="shared" si="542"/>
        <v>3.636513028804647</v>
      </c>
      <c r="AP80" s="2176">
        <f t="shared" si="542"/>
        <v>8.064516129032258</v>
      </c>
      <c r="AQ80" s="2176">
        <f t="shared" si="542"/>
        <v>7.414797700337493</v>
      </c>
      <c r="AR80" s="2171">
        <f t="shared" si="542"/>
        <v>5.5143262891452807</v>
      </c>
      <c r="AS80" s="1951"/>
      <c r="AT80" s="2169">
        <f t="shared" si="508"/>
        <v>39.192452024958797</v>
      </c>
      <c r="AU80" s="2170">
        <f>$J$80*7</f>
        <v>56.451612903225808</v>
      </c>
      <c r="AV80" s="2178">
        <f t="shared" si="509"/>
        <v>-17.259160878267011</v>
      </c>
      <c r="AW80" s="1951"/>
      <c r="AX80" s="2169">
        <f t="shared" ref="AX80" si="543">IF(AX75&gt;$J$86,$J$80,IF(AX75&lt;$J$86,(IF(AX75&lt;0,0,AX75*$K$80))))</f>
        <v>2.3535902794129182</v>
      </c>
      <c r="AY80" s="2307">
        <f t="shared" ref="AY80" si="544">IF(AY75&gt;$J$86,$J$80,IF(AY75&lt;$J$86,(IF(AY75&lt;0,0,AY75*$K$80))))</f>
        <v>4.718173612746253</v>
      </c>
      <c r="AZ80" s="2307">
        <f t="shared" ref="AZ80:BA80" si="545">IF(AZ75&gt;$J$86,$J$80,IF(AZ75&lt;$J$86,(IF(AZ75&lt;0,0,AZ75*$K$80))))</f>
        <v>0.29306716505768737</v>
      </c>
      <c r="BA80" s="2307">
        <f t="shared" si="545"/>
        <v>6.7812818852523353</v>
      </c>
      <c r="BB80" s="2307">
        <f t="shared" ref="BB80:BC80" si="546">IF(BB75&gt;$J$86,$J$80,IF(BB75&lt;$J$86,(IF(BB75&lt;0,0,BB75*$K$80))))</f>
        <v>8.064516129032258</v>
      </c>
      <c r="BC80" s="2307">
        <f t="shared" si="546"/>
        <v>4.2512484302644999</v>
      </c>
      <c r="BD80" s="2171">
        <f t="shared" ref="BD80" si="547">IF(BD75&gt;$J$86,$J$80,IF(BD75&lt;$J$86,(IF(BD75&lt;0,0,BD75*$K$80))))</f>
        <v>2.6432040263715555</v>
      </c>
      <c r="BE80" s="1951"/>
      <c r="BF80" s="2169">
        <f t="shared" si="493"/>
        <v>29.105081528137507</v>
      </c>
      <c r="BG80" s="2170">
        <f>$J$80*7</f>
        <v>56.451612903225808</v>
      </c>
      <c r="BH80" s="2178">
        <f t="shared" si="494"/>
        <v>-27.346531375088301</v>
      </c>
      <c r="BI80" s="1951"/>
      <c r="BJ80" s="2169">
        <f t="shared" ref="BJ80" si="548">IF(BJ75&gt;$J$86,$J$80,IF(BJ75&lt;$J$86,(IF(BJ75&lt;0,0,BJ75*$K$80))))</f>
        <v>3.2820422258849389</v>
      </c>
      <c r="BK80" s="2307">
        <f t="shared" ref="BK80" si="549">IF(BK75&gt;$J$86,$J$80,IF(BK75&lt;$J$86,(IF(BK75&lt;0,0,BK75*$K$80))))</f>
        <v>8.064516129032258</v>
      </c>
      <c r="BL80" s="2178">
        <f t="shared" ref="BL80" si="550">IF(BL75&gt;$J$86,$J$80,IF(BL75&lt;$J$86,(IF(BL75&lt;0,0,BL75*$K$80))))</f>
        <v>2.3723706930382233</v>
      </c>
      <c r="BM80" s="1951"/>
      <c r="BN80" s="2169">
        <f t="shared" si="495"/>
        <v>13.71892904795542</v>
      </c>
      <c r="BO80" s="2170">
        <f>$J$80*0</f>
        <v>0</v>
      </c>
      <c r="BP80" s="2178">
        <f t="shared" si="496"/>
        <v>13.71892904795542</v>
      </c>
      <c r="BR80" s="2179"/>
      <c r="BS80" s="2180"/>
      <c r="BU80" s="2179">
        <f t="shared" si="497"/>
        <v>150.29830125186407</v>
      </c>
      <c r="BV80" s="2181">
        <f t="shared" si="498"/>
        <v>0.60119320500745632</v>
      </c>
      <c r="BW80" s="2353"/>
      <c r="BX80" s="4636"/>
      <c r="CA80" s="2010"/>
      <c r="CB80" s="2011"/>
      <c r="CC80" s="2011"/>
      <c r="CD80" s="2011"/>
      <c r="CE80" s="2011"/>
      <c r="CF80" s="2011"/>
      <c r="CG80" s="2011"/>
      <c r="CH80" s="2011"/>
      <c r="CI80" s="2011"/>
    </row>
    <row r="81" spans="1:87" s="1740" customFormat="1" ht="15.75" x14ac:dyDescent="0.2">
      <c r="A81" s="2466"/>
      <c r="B81" s="2151">
        <v>44</v>
      </c>
      <c r="C81" s="2086" t="s">
        <v>229</v>
      </c>
      <c r="D81" s="1817"/>
      <c r="E81" s="2090">
        <v>209</v>
      </c>
      <c r="F81" s="2088">
        <f>E81/10</f>
        <v>20.9</v>
      </c>
      <c r="G81" s="2088">
        <f>E81/15</f>
        <v>13.933333333333334</v>
      </c>
      <c r="H81" s="2088">
        <f>E81/20</f>
        <v>10.45</v>
      </c>
      <c r="I81" s="2088">
        <f>E81/25</f>
        <v>8.36</v>
      </c>
      <c r="J81" s="2088">
        <f t="shared" si="479"/>
        <v>6.741935483870968</v>
      </c>
      <c r="K81" s="2089">
        <f t="shared" si="480"/>
        <v>0.12712895377128955</v>
      </c>
      <c r="L81" s="2465"/>
      <c r="M81" s="2131"/>
      <c r="N81" s="2090">
        <f t="shared" ref="N81:T81" si="551">IF(N75&gt;$J$86,$J$81,IF(N75&lt;$J$86,(IF(N75&lt;0,0,N75*$K$81))))</f>
        <v>3.8175820088690062</v>
      </c>
      <c r="O81" s="2088">
        <f t="shared" ref="O81" si="552">IF(O75&gt;$J$86,$J$81,IF(O75&lt;$J$86,(IF(O75&lt;0,0,O75*$K$81))))</f>
        <v>0.64577817675221738</v>
      </c>
      <c r="P81" s="2088">
        <f t="shared" si="551"/>
        <v>0.14024989208068431</v>
      </c>
      <c r="Q81" s="2088">
        <f t="shared" ref="Q81:R81" si="553">IF(Q75&gt;$J$86,$J$81,IF(Q75&lt;$J$86,(IF(Q75&lt;0,0,Q75*$K$81))))</f>
        <v>6.0636327996232655</v>
      </c>
      <c r="R81" s="2088">
        <f t="shared" si="553"/>
        <v>6.1796379699395665</v>
      </c>
      <c r="S81" s="2088">
        <f t="shared" si="551"/>
        <v>6.741935483870968</v>
      </c>
      <c r="T81" s="2091">
        <f t="shared" si="551"/>
        <v>0</v>
      </c>
      <c r="U81" s="1814"/>
      <c r="V81" s="2090">
        <f t="shared" si="435"/>
        <v>23.58881633113571</v>
      </c>
      <c r="W81" s="2087">
        <f>$J$81*7</f>
        <v>47.193548387096776</v>
      </c>
      <c r="X81" s="2174">
        <f t="shared" si="374"/>
        <v>-23.604732055961065</v>
      </c>
      <c r="Y81" s="1814"/>
      <c r="Z81" s="2090">
        <f t="shared" ref="Z81" si="554">IF(Z75&gt;$J$86,$J$81,IF(Z75&lt;$J$86,(IF(Z75&lt;0,0,Z75*$K$81))))</f>
        <v>0.86297799427046573</v>
      </c>
      <c r="AA81" s="2087">
        <f t="shared" ref="AA81:AF81" si="555">IF(AA75&gt;$J$86,$J$81,IF(AA75&lt;$J$86,(IF(AA75&lt;0,0,AA75*$K$81))))</f>
        <v>4.1216109018130442</v>
      </c>
      <c r="AB81" s="2087">
        <f t="shared" si="555"/>
        <v>5.221212787457814</v>
      </c>
      <c r="AC81" s="2087">
        <f t="shared" ref="AC81:AE81" si="556">IF(AC75&gt;$J$86,$J$81,IF(AC75&lt;$J$86,(IF(AC75&lt;0,0,AC75*$K$81))))</f>
        <v>4.9974022643434592</v>
      </c>
      <c r="AD81" s="2087">
        <f t="shared" si="556"/>
        <v>6.741935483870968</v>
      </c>
      <c r="AE81" s="2087">
        <f t="shared" si="556"/>
        <v>6.741935483870968</v>
      </c>
      <c r="AF81" s="2091">
        <f t="shared" si="555"/>
        <v>4.8077258653166952</v>
      </c>
      <c r="AG81" s="1814"/>
      <c r="AH81" s="2090">
        <f t="shared" si="355"/>
        <v>33.494800780943415</v>
      </c>
      <c r="AI81" s="2087">
        <f>$J$81*7</f>
        <v>47.193548387096776</v>
      </c>
      <c r="AJ81" s="2174">
        <f t="shared" si="356"/>
        <v>-13.698747606153361</v>
      </c>
      <c r="AK81" s="1814"/>
      <c r="AL81" s="2090">
        <f t="shared" ref="AL81:AM81" si="557">IF(AL75&gt;$J$86,$J$81,IF(AL75&lt;$J$86,(IF(AL75&lt;0,0,AL75*$K$81))))</f>
        <v>6.741935483870968</v>
      </c>
      <c r="AM81" s="2088">
        <f t="shared" si="557"/>
        <v>1.4892787850247242</v>
      </c>
      <c r="AN81" s="2088">
        <f t="shared" ref="AN81:AR81" si="558">IF(AN75&gt;$J$86,$J$81,IF(AN75&lt;$J$86,(IF(AN75&lt;0,0,AN75*$K$81))))</f>
        <v>3.9428675928106123</v>
      </c>
      <c r="AO81" s="2088">
        <f t="shared" si="558"/>
        <v>3.0401248920806854</v>
      </c>
      <c r="AP81" s="2088">
        <f t="shared" si="558"/>
        <v>6.741935483870968</v>
      </c>
      <c r="AQ81" s="2088">
        <f t="shared" si="558"/>
        <v>6.1987708774821444</v>
      </c>
      <c r="AR81" s="2091">
        <f t="shared" si="558"/>
        <v>4.6099767777254552</v>
      </c>
      <c r="AS81" s="1814"/>
      <c r="AT81" s="2090">
        <f t="shared" si="508"/>
        <v>32.764889892865554</v>
      </c>
      <c r="AU81" s="2087">
        <f>$J$81*7</f>
        <v>47.193548387096776</v>
      </c>
      <c r="AV81" s="2174">
        <f t="shared" si="509"/>
        <v>-14.428658494231222</v>
      </c>
      <c r="AW81" s="1814"/>
      <c r="AX81" s="2090">
        <f t="shared" ref="AX81" si="559">IF(AX75&gt;$J$86,$J$81,IF(AX75&lt;$J$86,(IF(AX75&lt;0,0,AX75*$K$81))))</f>
        <v>1.9676014735891998</v>
      </c>
      <c r="AY81" s="2305">
        <f t="shared" ref="AY81" si="560">IF(AY75&gt;$J$86,$J$81,IF(AY75&lt;$J$86,(IF(AY75&lt;0,0,AY75*$K$81))))</f>
        <v>3.9443931402558676</v>
      </c>
      <c r="AZ81" s="2305">
        <f t="shared" ref="AZ81:BA81" si="561">IF(AZ75&gt;$J$86,$J$81,IF(AZ75&lt;$J$86,(IF(AZ75&lt;0,0,AZ75*$K$81))))</f>
        <v>0.24500414998822667</v>
      </c>
      <c r="BA81" s="2305">
        <f t="shared" si="561"/>
        <v>5.6691516560709525</v>
      </c>
      <c r="BB81" s="2305">
        <f t="shared" ref="BB81:BC81" si="562">IF(BB75&gt;$J$86,$J$81,IF(BB75&lt;$J$86,(IF(BB75&lt;0,0,BB75*$K$81))))</f>
        <v>6.741935483870968</v>
      </c>
      <c r="BC81" s="2305">
        <f t="shared" si="562"/>
        <v>3.5540436877011219</v>
      </c>
      <c r="BD81" s="2091">
        <f t="shared" ref="BD81" si="563">IF(BD75&gt;$J$86,$J$81,IF(BD75&lt;$J$86,(IF(BD75&lt;0,0,BD75*$K$81))))</f>
        <v>2.2097185660466203</v>
      </c>
      <c r="BE81" s="1814"/>
      <c r="BF81" s="2090">
        <f t="shared" si="493"/>
        <v>24.331848157522955</v>
      </c>
      <c r="BG81" s="2087">
        <f>$J$81*7</f>
        <v>47.193548387096776</v>
      </c>
      <c r="BH81" s="2174">
        <f t="shared" si="494"/>
        <v>-22.86170022957382</v>
      </c>
      <c r="BI81" s="1814"/>
      <c r="BJ81" s="2090">
        <f t="shared" ref="BJ81" si="564">IF(BJ75&gt;$J$86,$J$81,IF(BJ75&lt;$J$86,(IF(BJ75&lt;0,0,BJ75*$K$81))))</f>
        <v>2.7437873008398088</v>
      </c>
      <c r="BK81" s="2305">
        <f t="shared" ref="BK81" si="565">IF(BK75&gt;$J$86,$J$81,IF(BK75&lt;$J$86,(IF(BK75&lt;0,0,BK75*$K$81))))</f>
        <v>6.741935483870968</v>
      </c>
      <c r="BL81" s="2174">
        <f t="shared" ref="BL81" si="566">IF(BL75&gt;$J$86,$J$81,IF(BL75&lt;$J$86,(IF(BL75&lt;0,0,BL75*$K$81))))</f>
        <v>1.9833018993799549</v>
      </c>
      <c r="BM81" s="1814"/>
      <c r="BN81" s="2090">
        <f t="shared" si="495"/>
        <v>11.469024684090732</v>
      </c>
      <c r="BO81" s="2087">
        <f>$J$81*0</f>
        <v>0</v>
      </c>
      <c r="BP81" s="2174">
        <f t="shared" si="496"/>
        <v>11.469024684090732</v>
      </c>
      <c r="BR81" s="2092"/>
      <c r="BS81" s="2093"/>
      <c r="BU81" s="2092">
        <f t="shared" si="497"/>
        <v>125.64937984655836</v>
      </c>
      <c r="BV81" s="2094">
        <f t="shared" si="498"/>
        <v>0.60119320500745632</v>
      </c>
      <c r="BW81" s="2351"/>
      <c r="BX81" s="4636"/>
      <c r="CA81" s="1997"/>
      <c r="CB81" s="1861"/>
      <c r="CC81" s="1861"/>
      <c r="CD81" s="1861"/>
      <c r="CE81" s="1861"/>
      <c r="CF81" s="1861"/>
      <c r="CG81" s="1861"/>
      <c r="CH81" s="1861"/>
      <c r="CI81" s="1861"/>
    </row>
    <row r="82" spans="1:87" s="1885" customFormat="1" x14ac:dyDescent="0.2">
      <c r="A82" s="1947"/>
      <c r="B82" s="2690">
        <v>45</v>
      </c>
      <c r="C82" s="2417" t="s">
        <v>122</v>
      </c>
      <c r="D82" s="1960"/>
      <c r="E82" s="2179">
        <v>75</v>
      </c>
      <c r="F82" s="2418">
        <f>E82/10</f>
        <v>7.5</v>
      </c>
      <c r="G82" s="2418">
        <f>E82/15</f>
        <v>5</v>
      </c>
      <c r="H82" s="2418">
        <f>E82/20</f>
        <v>3.75</v>
      </c>
      <c r="I82" s="2418">
        <f>E82/25</f>
        <v>3</v>
      </c>
      <c r="J82" s="2418">
        <f t="shared" si="479"/>
        <v>2.4193548387096775</v>
      </c>
      <c r="K82" s="2419">
        <f t="shared" si="480"/>
        <v>4.5620437956204379E-2</v>
      </c>
      <c r="L82" s="2003"/>
      <c r="M82" s="1950"/>
      <c r="N82" s="2169">
        <f t="shared" ref="N82:T82" si="567">IF(N75&gt;$J$86,$J$82,IF(N75&lt;$J$86,(IF(N75&lt;0,0,N75*$K$82))))</f>
        <v>1.3699456969625619</v>
      </c>
      <c r="O82" s="2176">
        <f t="shared" ref="O82" si="568">IF(O75&gt;$J$86,$J$82,IF(O75&lt;$J$86,(IF(O75&lt;0,0,O75*$K$82))))</f>
        <v>0.23173858017424068</v>
      </c>
      <c r="P82" s="2176">
        <f t="shared" si="567"/>
        <v>5.0328908641393888E-2</v>
      </c>
      <c r="Q82" s="2176">
        <f t="shared" ref="Q82:R82" si="569">IF(Q75&gt;$J$86,$J$82,IF(Q75&lt;$J$86,(IF(Q75&lt;0,0,Q75*$K$82))))</f>
        <v>2.1759447845538031</v>
      </c>
      <c r="R82" s="2176">
        <f t="shared" si="569"/>
        <v>2.2175734341888393</v>
      </c>
      <c r="S82" s="2176">
        <f t="shared" si="567"/>
        <v>2.4193548387096775</v>
      </c>
      <c r="T82" s="2171">
        <f t="shared" si="567"/>
        <v>0</v>
      </c>
      <c r="U82" s="1951"/>
      <c r="V82" s="2169">
        <f t="shared" si="435"/>
        <v>8.4648862432305165</v>
      </c>
      <c r="W82" s="2170">
        <f>$J$82*7</f>
        <v>16.935483870967744</v>
      </c>
      <c r="X82" s="2178">
        <f t="shared" si="374"/>
        <v>-8.4705976277372272</v>
      </c>
      <c r="Y82" s="1956"/>
      <c r="Z82" s="2169">
        <f t="shared" ref="Z82" si="570">IF(Z75&gt;$J$86,$J$82,IF(Z75&lt;$J$86,(IF(Z75&lt;0,0,Z75*$K$82))))</f>
        <v>0.30968109842241587</v>
      </c>
      <c r="AA82" s="2170">
        <f t="shared" ref="AA82:AF82" si="571">IF(AA75&gt;$J$86,$J$82,IF(AA75&lt;$J$86,(IF(AA75&lt;0,0,AA75*$K$82))))</f>
        <v>1.4790469743348245</v>
      </c>
      <c r="AB82" s="2170">
        <f t="shared" si="571"/>
        <v>1.8736409524370143</v>
      </c>
      <c r="AC82" s="2170">
        <f t="shared" ref="AC82:AE82" si="572">IF(AC75&gt;$J$86,$J$82,IF(AC75&lt;$J$86,(IF(AC75&lt;0,0,AC75*$K$82))))</f>
        <v>1.793326171415117</v>
      </c>
      <c r="AD82" s="2170">
        <f t="shared" si="572"/>
        <v>2.4193548387096775</v>
      </c>
      <c r="AE82" s="2170">
        <f t="shared" si="572"/>
        <v>2.4193548387096775</v>
      </c>
      <c r="AF82" s="2171">
        <f t="shared" si="571"/>
        <v>1.7252604779844598</v>
      </c>
      <c r="AG82" s="1956"/>
      <c r="AH82" s="2169">
        <f t="shared" si="355"/>
        <v>12.019665352013186</v>
      </c>
      <c r="AI82" s="2170">
        <f>$J$82*7</f>
        <v>16.935483870967744</v>
      </c>
      <c r="AJ82" s="2178">
        <f t="shared" si="356"/>
        <v>-4.9158185189545573</v>
      </c>
      <c r="AK82" s="1956"/>
      <c r="AL82" s="2169">
        <f t="shared" ref="AL82:AM82" si="573">IF(AL75&gt;$J$86,$J$82,IF(AL75&lt;$J$86,(IF(AL75&lt;0,0,AL75*$K$82))))</f>
        <v>2.4193548387096775</v>
      </c>
      <c r="AM82" s="2176">
        <f t="shared" si="573"/>
        <v>0.53443018601365699</v>
      </c>
      <c r="AN82" s="2176">
        <f t="shared" ref="AN82:AR82" si="574">IF(AN75&gt;$J$86,$J$82,IF(AN75&lt;$J$86,(IF(AN75&lt;0,0,AN75*$K$82))))</f>
        <v>1.4149046385684014</v>
      </c>
      <c r="AO82" s="2176">
        <f t="shared" si="574"/>
        <v>1.0909539086413942</v>
      </c>
      <c r="AP82" s="2176">
        <f t="shared" si="574"/>
        <v>2.4193548387096775</v>
      </c>
      <c r="AQ82" s="2176">
        <f t="shared" si="574"/>
        <v>2.2244393101012476</v>
      </c>
      <c r="AR82" s="2171">
        <f t="shared" si="574"/>
        <v>1.654297886743584</v>
      </c>
      <c r="AS82" s="1951"/>
      <c r="AT82" s="2169">
        <f t="shared" si="508"/>
        <v>11.757735607487639</v>
      </c>
      <c r="AU82" s="2170">
        <f>$J$82*7</f>
        <v>16.935483870967744</v>
      </c>
      <c r="AV82" s="2178">
        <f t="shared" si="509"/>
        <v>-5.1777482634801046</v>
      </c>
      <c r="AW82" s="1951"/>
      <c r="AX82" s="2169">
        <f t="shared" ref="AX82" si="575">IF(AX75&gt;$J$86,$J$82,IF(AX75&lt;$J$86,(IF(AX75&lt;0,0,AX75*$K$82))))</f>
        <v>0.70607708382387546</v>
      </c>
      <c r="AY82" s="2307">
        <f t="shared" ref="AY82" si="576">IF(AY75&gt;$J$86,$J$82,IF(AY75&lt;$J$86,(IF(AY75&lt;0,0,AY75*$K$82))))</f>
        <v>1.4154520838238758</v>
      </c>
      <c r="AZ82" s="2307">
        <f t="shared" ref="AZ82:BA82" si="577">IF(AZ75&gt;$J$86,$J$82,IF(AZ75&lt;$J$86,(IF(AZ75&lt;0,0,AZ75*$K$82))))</f>
        <v>8.7920149517306215E-2</v>
      </c>
      <c r="BA82" s="2307">
        <f t="shared" si="577"/>
        <v>2.0343845655757007</v>
      </c>
      <c r="BB82" s="2307">
        <f t="shared" ref="BB82:BC82" si="578">IF(BB75&gt;$J$86,$J$82,IF(BB75&lt;$J$86,(IF(BB75&lt;0,0,BB75*$K$82))))</f>
        <v>2.4193548387096775</v>
      </c>
      <c r="BC82" s="2307">
        <f t="shared" si="578"/>
        <v>1.2753745290793499</v>
      </c>
      <c r="BD82" s="2171">
        <f t="shared" ref="BD82" si="579">IF(BD75&gt;$J$86,$J$82,IF(BD75&lt;$J$86,(IF(BD75&lt;0,0,BD75*$K$82))))</f>
        <v>0.79296120791146663</v>
      </c>
      <c r="BE82" s="1951"/>
      <c r="BF82" s="2169">
        <f t="shared" si="493"/>
        <v>8.7315244584412515</v>
      </c>
      <c r="BG82" s="2170">
        <f>$J$82*7</f>
        <v>16.935483870967744</v>
      </c>
      <c r="BH82" s="2178">
        <f t="shared" si="494"/>
        <v>-8.2039594125264923</v>
      </c>
      <c r="BI82" s="1951"/>
      <c r="BJ82" s="2169">
        <f t="shared" ref="BJ82" si="580">IF(BJ75&gt;$J$86,$J$82,IF(BJ75&lt;$J$86,(IF(BJ75&lt;0,0,BJ75*$K$82))))</f>
        <v>0.98461266776548151</v>
      </c>
      <c r="BK82" s="2307">
        <f t="shared" ref="BK82" si="581">IF(BK75&gt;$J$86,$J$82,IF(BK75&lt;$J$86,(IF(BK75&lt;0,0,BK75*$K$82))))</f>
        <v>2.4193548387096775</v>
      </c>
      <c r="BL82" s="2178">
        <f t="shared" ref="BL82" si="582">IF(BL75&gt;$J$86,$J$82,IF(BL75&lt;$J$86,(IF(BL75&lt;0,0,BL75*$K$82))))</f>
        <v>0.71171120791146703</v>
      </c>
      <c r="BM82" s="1951"/>
      <c r="BN82" s="2169">
        <f t="shared" si="495"/>
        <v>4.1156787143866262</v>
      </c>
      <c r="BO82" s="2170">
        <f>$J$82*0</f>
        <v>0</v>
      </c>
      <c r="BP82" s="2178">
        <f t="shared" si="496"/>
        <v>4.1156787143866262</v>
      </c>
      <c r="BR82" s="2179"/>
      <c r="BS82" s="2180"/>
      <c r="BT82" s="1900"/>
      <c r="BU82" s="2179">
        <f t="shared" si="497"/>
        <v>45.089490375559215</v>
      </c>
      <c r="BV82" s="2181">
        <f t="shared" si="498"/>
        <v>0.60119320500745621</v>
      </c>
      <c r="BW82" s="2353"/>
      <c r="BX82" s="4636"/>
      <c r="CA82" s="2629"/>
      <c r="CB82" s="1946"/>
      <c r="CC82" s="1946"/>
      <c r="CD82" s="1946"/>
      <c r="CE82" s="1946"/>
      <c r="CF82" s="1946"/>
      <c r="CG82" s="1946"/>
      <c r="CH82" s="1946"/>
      <c r="CI82" s="1946"/>
    </row>
    <row r="83" spans="1:87" s="1726" customFormat="1" ht="17.25" thickBot="1" x14ac:dyDescent="0.25">
      <c r="A83" s="1756"/>
      <c r="B83" s="2107">
        <v>46</v>
      </c>
      <c r="C83" s="2108" t="s">
        <v>242</v>
      </c>
      <c r="D83" s="2646"/>
      <c r="E83" s="2092">
        <v>0</v>
      </c>
      <c r="F83" s="2111">
        <f>E83/10</f>
        <v>0</v>
      </c>
      <c r="G83" s="2111">
        <f>E83/15</f>
        <v>0</v>
      </c>
      <c r="H83" s="2111">
        <f>E83/20</f>
        <v>0</v>
      </c>
      <c r="I83" s="2111">
        <f>E83/25</f>
        <v>0</v>
      </c>
      <c r="J83" s="2111">
        <f t="shared" si="479"/>
        <v>0</v>
      </c>
      <c r="K83" s="2112">
        <f t="shared" si="480"/>
        <v>0</v>
      </c>
      <c r="L83" s="1931"/>
      <c r="M83" s="1924"/>
      <c r="N83" s="2090">
        <f t="shared" ref="N83:T83" si="583">IF(N75&gt;$J$86,$J$83,IF(N75&lt;$J$86,(IF(N75&lt;0,0,N75*$K$83))))</f>
        <v>0</v>
      </c>
      <c r="O83" s="2088">
        <f t="shared" ref="O83" si="584">IF(O75&gt;$J$86,$J$83,IF(O75&lt;$J$86,(IF(O75&lt;0,0,O75*$K$83))))</f>
        <v>0</v>
      </c>
      <c r="P83" s="2088">
        <f t="shared" si="583"/>
        <v>0</v>
      </c>
      <c r="Q83" s="2088">
        <f t="shared" ref="Q83:R83" si="585">IF(Q75&gt;$J$86,$J$83,IF(Q75&lt;$J$86,(IF(Q75&lt;0,0,Q75*$K$83))))</f>
        <v>0</v>
      </c>
      <c r="R83" s="2088">
        <f t="shared" si="585"/>
        <v>0</v>
      </c>
      <c r="S83" s="2088">
        <f t="shared" si="583"/>
        <v>0</v>
      </c>
      <c r="T83" s="2091">
        <f t="shared" si="583"/>
        <v>0</v>
      </c>
      <c r="U83" s="1814"/>
      <c r="V83" s="2090">
        <f t="shared" si="435"/>
        <v>0</v>
      </c>
      <c r="W83" s="2087">
        <f>$J$83*7</f>
        <v>0</v>
      </c>
      <c r="X83" s="2174">
        <f t="shared" si="374"/>
        <v>0</v>
      </c>
      <c r="Y83" s="1766"/>
      <c r="Z83" s="2090">
        <f t="shared" ref="Z83" si="586">IF(Z75&gt;$J$86,$J$83,IF(Z75&lt;$J$86,(IF(Z75&lt;0,0,Z75*$K$83))))</f>
        <v>0</v>
      </c>
      <c r="AA83" s="2087">
        <f t="shared" ref="AA83:AF83" si="587">IF(AA75&gt;$J$86,$J$83,IF(AA75&lt;$J$86,(IF(AA75&lt;0,0,AA75*$K$83))))</f>
        <v>0</v>
      </c>
      <c r="AB83" s="2087">
        <f t="shared" si="587"/>
        <v>0</v>
      </c>
      <c r="AC83" s="2087">
        <f t="shared" ref="AC83:AE83" si="588">IF(AC75&gt;$J$86,$J$83,IF(AC75&lt;$J$86,(IF(AC75&lt;0,0,AC75*$K$83))))</f>
        <v>0</v>
      </c>
      <c r="AD83" s="2087">
        <f t="shared" si="588"/>
        <v>0</v>
      </c>
      <c r="AE83" s="2087">
        <f t="shared" si="588"/>
        <v>0</v>
      </c>
      <c r="AF83" s="2091">
        <f t="shared" si="587"/>
        <v>0</v>
      </c>
      <c r="AG83" s="1766"/>
      <c r="AH83" s="2090">
        <f t="shared" si="355"/>
        <v>0</v>
      </c>
      <c r="AI83" s="2087">
        <f>$J$83*7</f>
        <v>0</v>
      </c>
      <c r="AJ83" s="2174">
        <f t="shared" si="356"/>
        <v>0</v>
      </c>
      <c r="AK83" s="1766"/>
      <c r="AL83" s="2090">
        <f t="shared" ref="AL83:AM83" si="589">IF(AL75&gt;$J$86,$J$83,IF(AL75&lt;$J$86,(IF(AL75&lt;0,0,AL75*$K$83))))</f>
        <v>0</v>
      </c>
      <c r="AM83" s="2088">
        <f t="shared" si="589"/>
        <v>0</v>
      </c>
      <c r="AN83" s="2088">
        <f t="shared" ref="AN83:AR83" si="590">IF(AN75&gt;$J$86,$J$83,IF(AN75&lt;$J$86,(IF(AN75&lt;0,0,AN75*$K$83))))</f>
        <v>0</v>
      </c>
      <c r="AO83" s="2088">
        <f t="shared" si="590"/>
        <v>0</v>
      </c>
      <c r="AP83" s="2088">
        <f t="shared" si="590"/>
        <v>0</v>
      </c>
      <c r="AQ83" s="2088">
        <f t="shared" si="590"/>
        <v>0</v>
      </c>
      <c r="AR83" s="2091">
        <f t="shared" si="590"/>
        <v>0</v>
      </c>
      <c r="AS83" s="1814"/>
      <c r="AT83" s="2090">
        <f t="shared" si="508"/>
        <v>0</v>
      </c>
      <c r="AU83" s="2087">
        <f>$J$83*7</f>
        <v>0</v>
      </c>
      <c r="AV83" s="2174">
        <f t="shared" si="509"/>
        <v>0</v>
      </c>
      <c r="AW83" s="1814"/>
      <c r="AX83" s="2090">
        <f t="shared" ref="AX83" si="591">IF(AX75&gt;$J$86,$J$83,IF(AX75&lt;$J$86,(IF(AX75&lt;0,0,AX75*$K$83))))</f>
        <v>0</v>
      </c>
      <c r="AY83" s="2305">
        <f t="shared" ref="AY83" si="592">IF(AY75&gt;$J$86,$J$83,IF(AY75&lt;$J$86,(IF(AY75&lt;0,0,AY75*$K$83))))</f>
        <v>0</v>
      </c>
      <c r="AZ83" s="2305">
        <f t="shared" ref="AZ83:BA83" si="593">IF(AZ75&gt;$J$86,$J$83,IF(AZ75&lt;$J$86,(IF(AZ75&lt;0,0,AZ75*$K$83))))</f>
        <v>0</v>
      </c>
      <c r="BA83" s="2305">
        <f t="shared" si="593"/>
        <v>0</v>
      </c>
      <c r="BB83" s="2305">
        <f t="shared" ref="BB83:BC83" si="594">IF(BB75&gt;$J$86,$J$83,IF(BB75&lt;$J$86,(IF(BB75&lt;0,0,BB75*$K$83))))</f>
        <v>0</v>
      </c>
      <c r="BC83" s="2305">
        <f t="shared" si="594"/>
        <v>0</v>
      </c>
      <c r="BD83" s="2091">
        <f t="shared" ref="BD83" si="595">IF(BD75&gt;$J$86,$J$83,IF(BD75&lt;$J$86,(IF(BD75&lt;0,0,BD75*$K$83))))</f>
        <v>0</v>
      </c>
      <c r="BE83" s="1814"/>
      <c r="BF83" s="2090">
        <f t="shared" si="493"/>
        <v>0</v>
      </c>
      <c r="BG83" s="2087">
        <f>$J$83*7</f>
        <v>0</v>
      </c>
      <c r="BH83" s="2174">
        <f t="shared" si="494"/>
        <v>0</v>
      </c>
      <c r="BI83" s="1814"/>
      <c r="BJ83" s="2090">
        <f t="shared" ref="BJ83" si="596">IF(BJ75&gt;$J$86,$J$83,IF(BJ75&lt;$J$86,(IF(BJ75&lt;0,0,BJ75*$K$83))))</f>
        <v>0</v>
      </c>
      <c r="BK83" s="2305">
        <f t="shared" ref="BK83" si="597">IF(BK75&gt;$J$86,$J$83,IF(BK75&lt;$J$86,(IF(BK75&lt;0,0,BK75*$K$83))))</f>
        <v>0</v>
      </c>
      <c r="BL83" s="2174">
        <f t="shared" ref="BL83" si="598">IF(BL75&gt;$J$86,$J$83,IF(BL75&lt;$J$86,(IF(BL75&lt;0,0,BL75*$K$83))))</f>
        <v>0</v>
      </c>
      <c r="BM83" s="1814"/>
      <c r="BN83" s="2090">
        <f t="shared" si="495"/>
        <v>0</v>
      </c>
      <c r="BO83" s="2087">
        <f>$J$83*0</f>
        <v>0</v>
      </c>
      <c r="BP83" s="2174">
        <f t="shared" si="496"/>
        <v>0</v>
      </c>
      <c r="BR83" s="2092"/>
      <c r="BS83" s="2093"/>
      <c r="BT83" s="1740"/>
      <c r="BU83" s="2092">
        <f t="shared" si="497"/>
        <v>0</v>
      </c>
      <c r="BV83" s="2094" t="e">
        <f t="shared" si="498"/>
        <v>#DIV/0!</v>
      </c>
      <c r="BW83" s="2351"/>
      <c r="BX83" s="4636"/>
      <c r="CA83" s="2633"/>
      <c r="CB83" s="1860"/>
      <c r="CC83" s="1860"/>
      <c r="CD83" s="1860"/>
      <c r="CE83" s="1860"/>
      <c r="CF83" s="1860"/>
      <c r="CG83" s="1860"/>
      <c r="CH83" s="1860"/>
      <c r="CI83" s="1860"/>
    </row>
    <row r="84" spans="1:87" s="1885" customFormat="1" x14ac:dyDescent="0.2">
      <c r="B84" s="2691">
        <v>47</v>
      </c>
      <c r="C84" s="2692" t="s">
        <v>227</v>
      </c>
      <c r="D84" s="2693"/>
      <c r="E84" s="2694">
        <v>0</v>
      </c>
      <c r="F84" s="2695"/>
      <c r="G84" s="2695"/>
      <c r="H84" s="2695"/>
      <c r="I84" s="2695"/>
      <c r="J84" s="2695">
        <f t="shared" si="479"/>
        <v>0</v>
      </c>
      <c r="K84" s="2696">
        <f t="shared" si="480"/>
        <v>0</v>
      </c>
      <c r="L84" s="2003"/>
      <c r="M84" s="1950"/>
      <c r="N84" s="2169">
        <f t="shared" ref="N84:T84" si="599">IF(N75&gt;$J$86,$J$84,IF(N75&lt;$J$86,(IF(N75&lt;0,0,N75*$K$84))))</f>
        <v>0</v>
      </c>
      <c r="O84" s="2176">
        <f t="shared" ref="O84" si="600">IF(O75&gt;$J$86,$J$84,IF(O75&lt;$J$86,(IF(O75&lt;0,0,O75*$K$84))))</f>
        <v>0</v>
      </c>
      <c r="P84" s="2176">
        <f t="shared" si="599"/>
        <v>0</v>
      </c>
      <c r="Q84" s="2176">
        <f t="shared" ref="Q84:R84" si="601">IF(Q75&gt;$J$86,$J$84,IF(Q75&lt;$J$86,(IF(Q75&lt;0,0,Q75*$K$84))))</f>
        <v>0</v>
      </c>
      <c r="R84" s="2176">
        <f t="shared" si="601"/>
        <v>0</v>
      </c>
      <c r="S84" s="2176">
        <f t="shared" si="599"/>
        <v>0</v>
      </c>
      <c r="T84" s="2171">
        <f t="shared" si="599"/>
        <v>0</v>
      </c>
      <c r="U84" s="1951"/>
      <c r="V84" s="2169">
        <f t="shared" si="435"/>
        <v>0</v>
      </c>
      <c r="W84" s="2170">
        <f>$J$84*7</f>
        <v>0</v>
      </c>
      <c r="X84" s="2178">
        <f t="shared" si="374"/>
        <v>0</v>
      </c>
      <c r="Y84" s="1956"/>
      <c r="Z84" s="2169">
        <f t="shared" ref="Z84" si="602">IF(Z75&gt;$J$86,$J$84,IF(Z75&lt;$J$86,(IF(Z75&lt;0,0,Z75*$K$84))))</f>
        <v>0</v>
      </c>
      <c r="AA84" s="2170">
        <f t="shared" ref="AA84:AF84" si="603">IF(AA75&gt;$J$86,$J$84,IF(AA75&lt;$J$86,(IF(AA75&lt;0,0,AA75*$K$84))))</f>
        <v>0</v>
      </c>
      <c r="AB84" s="2170">
        <f t="shared" si="603"/>
        <v>0</v>
      </c>
      <c r="AC84" s="2170">
        <f t="shared" ref="AC84:AE84" si="604">IF(AC75&gt;$J$86,$J$84,IF(AC75&lt;$J$86,(IF(AC75&lt;0,0,AC75*$K$84))))</f>
        <v>0</v>
      </c>
      <c r="AD84" s="2170">
        <f t="shared" si="604"/>
        <v>0</v>
      </c>
      <c r="AE84" s="2170">
        <f t="shared" si="604"/>
        <v>0</v>
      </c>
      <c r="AF84" s="2171">
        <f t="shared" si="603"/>
        <v>0</v>
      </c>
      <c r="AG84" s="1956"/>
      <c r="AH84" s="2169">
        <f t="shared" si="355"/>
        <v>0</v>
      </c>
      <c r="AI84" s="2170">
        <f>$J$84*7</f>
        <v>0</v>
      </c>
      <c r="AJ84" s="2178">
        <f t="shared" si="356"/>
        <v>0</v>
      </c>
      <c r="AK84" s="1956"/>
      <c r="AL84" s="2169">
        <f t="shared" ref="AL84:AM84" si="605">IF(AL75&gt;$J$86,$J$84,IF(AL75&lt;$J$86,(IF(AL75&lt;0,0,AL75*$K$84))))</f>
        <v>0</v>
      </c>
      <c r="AM84" s="2176">
        <f t="shared" si="605"/>
        <v>0</v>
      </c>
      <c r="AN84" s="2176">
        <f t="shared" ref="AN84:AR84" si="606">IF(AN75&gt;$J$86,$J$84,IF(AN75&lt;$J$86,(IF(AN75&lt;0,0,AN75*$K$84))))</f>
        <v>0</v>
      </c>
      <c r="AO84" s="2176">
        <f t="shared" si="606"/>
        <v>0</v>
      </c>
      <c r="AP84" s="2176">
        <f t="shared" si="606"/>
        <v>0</v>
      </c>
      <c r="AQ84" s="2176">
        <f t="shared" si="606"/>
        <v>0</v>
      </c>
      <c r="AR84" s="2171">
        <f t="shared" si="606"/>
        <v>0</v>
      </c>
      <c r="AS84" s="1951"/>
      <c r="AT84" s="2169">
        <f t="shared" si="508"/>
        <v>0</v>
      </c>
      <c r="AU84" s="2170">
        <f>$J$84*7</f>
        <v>0</v>
      </c>
      <c r="AV84" s="2178">
        <f t="shared" si="509"/>
        <v>0</v>
      </c>
      <c r="AW84" s="1951"/>
      <c r="AX84" s="2169">
        <f t="shared" ref="AX84" si="607">IF(AX75&gt;$J$86,$J$84,IF(AX75&lt;$J$86,(IF(AX75&lt;0,0,AX75*$K$84))))</f>
        <v>0</v>
      </c>
      <c r="AY84" s="2307">
        <f t="shared" ref="AY84" si="608">IF(AY75&gt;$J$86,$J$84,IF(AY75&lt;$J$86,(IF(AY75&lt;0,0,AY75*$K$84))))</f>
        <v>0</v>
      </c>
      <c r="AZ84" s="2307">
        <f t="shared" ref="AZ84:BA84" si="609">IF(AZ75&gt;$J$86,$J$84,IF(AZ75&lt;$J$86,(IF(AZ75&lt;0,0,AZ75*$K$84))))</f>
        <v>0</v>
      </c>
      <c r="BA84" s="2307">
        <f t="shared" si="609"/>
        <v>0</v>
      </c>
      <c r="BB84" s="2307">
        <f t="shared" ref="BB84:BC84" si="610">IF(BB75&gt;$J$86,$J$84,IF(BB75&lt;$J$86,(IF(BB75&lt;0,0,BB75*$K$84))))</f>
        <v>0</v>
      </c>
      <c r="BC84" s="2307">
        <f t="shared" si="610"/>
        <v>0</v>
      </c>
      <c r="BD84" s="2171">
        <f t="shared" ref="BD84" si="611">IF(BD75&gt;$J$86,$J$84,IF(BD75&lt;$J$86,(IF(BD75&lt;0,0,BD75*$K$84))))</f>
        <v>0</v>
      </c>
      <c r="BE84" s="1951"/>
      <c r="BF84" s="2169">
        <f t="shared" si="493"/>
        <v>0</v>
      </c>
      <c r="BG84" s="2170">
        <f>$J$84*7</f>
        <v>0</v>
      </c>
      <c r="BH84" s="2178">
        <f t="shared" si="494"/>
        <v>0</v>
      </c>
      <c r="BI84" s="1951"/>
      <c r="BJ84" s="2169">
        <f t="shared" ref="BJ84" si="612">IF(BJ75&gt;$J$86,$J$84,IF(BJ75&lt;$J$86,(IF(BJ75&lt;0,0,BJ75*$K$84))))</f>
        <v>0</v>
      </c>
      <c r="BK84" s="2307">
        <f t="shared" ref="BK84" si="613">IF(BK75&gt;$J$86,$J$84,IF(BK75&lt;$J$86,(IF(BK75&lt;0,0,BK75*$K$84))))</f>
        <v>0</v>
      </c>
      <c r="BL84" s="2178">
        <f t="shared" ref="BL84" si="614">IF(BL75&gt;$J$86,$J$84,IF(BL75&lt;$J$86,(IF(BL75&lt;0,0,BL75*$K$84))))</f>
        <v>0</v>
      </c>
      <c r="BM84" s="1951"/>
      <c r="BN84" s="2169">
        <f t="shared" si="495"/>
        <v>0</v>
      </c>
      <c r="BO84" s="2170">
        <f>$J$84*0</f>
        <v>0</v>
      </c>
      <c r="BP84" s="2178">
        <f t="shared" si="496"/>
        <v>0</v>
      </c>
      <c r="BR84" s="2179"/>
      <c r="BS84" s="2180"/>
      <c r="BT84" s="1900"/>
      <c r="BU84" s="2179">
        <f t="shared" si="497"/>
        <v>0</v>
      </c>
      <c r="BV84" s="2181" t="e">
        <f t="shared" si="498"/>
        <v>#DIV/0!</v>
      </c>
      <c r="BW84" s="2353"/>
      <c r="BX84" s="4636"/>
      <c r="CA84" s="2629"/>
      <c r="CB84" s="1946"/>
      <c r="CC84" s="1946"/>
      <c r="CD84" s="1946"/>
      <c r="CE84" s="1946"/>
      <c r="CF84" s="1946"/>
      <c r="CG84" s="1946"/>
      <c r="CH84" s="1946"/>
      <c r="CI84" s="1946"/>
    </row>
    <row r="85" spans="1:87" s="1726" customFormat="1" ht="17.25" thickBot="1" x14ac:dyDescent="0.25">
      <c r="B85" s="2647">
        <v>48</v>
      </c>
      <c r="C85" s="2648" t="s">
        <v>228</v>
      </c>
      <c r="D85" s="2649"/>
      <c r="E85" s="2193">
        <v>0</v>
      </c>
      <c r="F85" s="2313">
        <f>E85/10</f>
        <v>0</v>
      </c>
      <c r="G85" s="2313">
        <f>E85/15</f>
        <v>0</v>
      </c>
      <c r="H85" s="2313">
        <f>E85/20</f>
        <v>0</v>
      </c>
      <c r="I85" s="2313">
        <f>E85/25</f>
        <v>0</v>
      </c>
      <c r="J85" s="2313">
        <f t="shared" si="479"/>
        <v>0</v>
      </c>
      <c r="K85" s="2194">
        <f t="shared" si="480"/>
        <v>0</v>
      </c>
      <c r="L85" s="1931"/>
      <c r="M85" s="1924"/>
      <c r="N85" s="2090">
        <f t="shared" ref="N85:T85" si="615">IF(N75&gt;$J$86,$J$85,IF(N75&lt;$J$86,(IF(N75&lt;0,0,N75*$K$85))))</f>
        <v>0</v>
      </c>
      <c r="O85" s="2088">
        <f t="shared" ref="O85" si="616">IF(O75&gt;$J$86,$J$85,IF(O75&lt;$J$86,(IF(O75&lt;0,0,O75*$K$85))))</f>
        <v>0</v>
      </c>
      <c r="P85" s="2088">
        <f t="shared" si="615"/>
        <v>0</v>
      </c>
      <c r="Q85" s="2088">
        <f t="shared" ref="Q85:R85" si="617">IF(Q75&gt;$J$86,$J$85,IF(Q75&lt;$J$86,(IF(Q75&lt;0,0,Q75*$K$85))))</f>
        <v>0</v>
      </c>
      <c r="R85" s="2088">
        <f t="shared" si="617"/>
        <v>0</v>
      </c>
      <c r="S85" s="2088">
        <f t="shared" si="615"/>
        <v>0</v>
      </c>
      <c r="T85" s="2091">
        <f t="shared" si="615"/>
        <v>0</v>
      </c>
      <c r="U85" s="1814"/>
      <c r="V85" s="2445">
        <f t="shared" si="42"/>
        <v>0</v>
      </c>
      <c r="W85" s="2650">
        <f>$J$85*7</f>
        <v>0</v>
      </c>
      <c r="X85" s="2651">
        <f t="shared" si="374"/>
        <v>0</v>
      </c>
      <c r="Y85" s="1766"/>
      <c r="Z85" s="2445">
        <f t="shared" ref="Z85" si="618">IF(Z75&gt;$J$86,$J$85,IF(Z75&lt;$J$86,(IF(Z75&lt;0,0,Z75*$K$85))))</f>
        <v>0</v>
      </c>
      <c r="AA85" s="2650">
        <f t="shared" ref="AA85:AF85" si="619">IF(AA75&gt;$J$86,$J$85,IF(AA75&lt;$J$86,(IF(AA75&lt;0,0,AA75*$K$85))))</f>
        <v>0</v>
      </c>
      <c r="AB85" s="2650">
        <f t="shared" si="619"/>
        <v>0</v>
      </c>
      <c r="AC85" s="2650">
        <f t="shared" ref="AC85:AE85" si="620">IF(AC75&gt;$J$86,$J$85,IF(AC75&lt;$J$86,(IF(AC75&lt;0,0,AC75*$K$85))))</f>
        <v>0</v>
      </c>
      <c r="AD85" s="2650">
        <f t="shared" si="620"/>
        <v>0</v>
      </c>
      <c r="AE85" s="2650">
        <f t="shared" si="620"/>
        <v>0</v>
      </c>
      <c r="AF85" s="2652">
        <f t="shared" si="619"/>
        <v>0</v>
      </c>
      <c r="AG85" s="1766"/>
      <c r="AH85" s="2445">
        <f t="shared" si="355"/>
        <v>0</v>
      </c>
      <c r="AI85" s="2650">
        <f>$J$85*7</f>
        <v>0</v>
      </c>
      <c r="AJ85" s="2651">
        <f t="shared" si="356"/>
        <v>0</v>
      </c>
      <c r="AK85" s="1766"/>
      <c r="AL85" s="2193">
        <f t="shared" ref="AL85:AM85" si="621">IF(AL75&gt;$J$86,$J$85,IF(AL75&lt;$J$86,(IF(AL75&lt;0,0,AL75*$K$85))))</f>
        <v>0</v>
      </c>
      <c r="AM85" s="2313">
        <f t="shared" si="621"/>
        <v>0</v>
      </c>
      <c r="AN85" s="2313">
        <f t="shared" ref="AN85:AR85" si="622">IF(AN75&gt;$J$86,$J$85,IF(AN75&lt;$J$86,(IF(AN75&lt;0,0,AN75*$K$85))))</f>
        <v>0</v>
      </c>
      <c r="AO85" s="2313">
        <f t="shared" si="622"/>
        <v>0</v>
      </c>
      <c r="AP85" s="2313">
        <f t="shared" si="622"/>
        <v>0</v>
      </c>
      <c r="AQ85" s="2313">
        <f t="shared" si="622"/>
        <v>0</v>
      </c>
      <c r="AR85" s="2314">
        <f t="shared" si="622"/>
        <v>0</v>
      </c>
      <c r="AS85" s="1814"/>
      <c r="AT85" s="2445">
        <f t="shared" si="508"/>
        <v>0</v>
      </c>
      <c r="AU85" s="2650">
        <f>$J$85*7</f>
        <v>0</v>
      </c>
      <c r="AV85" s="2651">
        <f t="shared" si="509"/>
        <v>0</v>
      </c>
      <c r="AW85" s="1814"/>
      <c r="AX85" s="2445">
        <f t="shared" ref="AX85" si="623">IF(AX75&gt;$J$86,$J$85,IF(AX75&lt;$J$86,(IF(AX75&lt;0,0,AX75*$K$85))))</f>
        <v>0</v>
      </c>
      <c r="AY85" s="2653">
        <f t="shared" ref="AY85" si="624">IF(AY75&gt;$J$86,$J$85,IF(AY75&lt;$J$86,(IF(AY75&lt;0,0,AY75*$K$85))))</f>
        <v>0</v>
      </c>
      <c r="AZ85" s="2653">
        <f t="shared" ref="AZ85:BA85" si="625">IF(AZ75&gt;$J$86,$J$85,IF(AZ75&lt;$J$86,(IF(AZ75&lt;0,0,AZ75*$K$85))))</f>
        <v>0</v>
      </c>
      <c r="BA85" s="2653">
        <f t="shared" si="625"/>
        <v>0</v>
      </c>
      <c r="BB85" s="2653">
        <f t="shared" ref="BB85:BC85" si="626">IF(BB75&gt;$J$86,$J$85,IF(BB75&lt;$J$86,(IF(BB75&lt;0,0,BB75*$K$85))))</f>
        <v>0</v>
      </c>
      <c r="BC85" s="2653">
        <f t="shared" si="626"/>
        <v>0</v>
      </c>
      <c r="BD85" s="2652">
        <f t="shared" ref="BD85" si="627">IF(BD75&gt;$J$86,$J$85,IF(BD75&lt;$J$86,(IF(BD75&lt;0,0,BD75*$K$85))))</f>
        <v>0</v>
      </c>
      <c r="BE85" s="1814"/>
      <c r="BF85" s="2445">
        <f t="shared" si="493"/>
        <v>0</v>
      </c>
      <c r="BG85" s="2650">
        <f>$J$85*7</f>
        <v>0</v>
      </c>
      <c r="BH85" s="2651">
        <f t="shared" si="494"/>
        <v>0</v>
      </c>
      <c r="BI85" s="1814"/>
      <c r="BJ85" s="2445">
        <f t="shared" ref="BJ85" si="628">IF(BJ75&gt;$J$86,$J$85,IF(BJ75&lt;$J$86,(IF(BJ75&lt;0,0,BJ75*$K$85))))</f>
        <v>0</v>
      </c>
      <c r="BK85" s="2653">
        <f t="shared" ref="BK85" si="629">IF(BK75&gt;$J$86,$J$85,IF(BK75&lt;$J$86,(IF(BK75&lt;0,0,BK75*$K$85))))</f>
        <v>0</v>
      </c>
      <c r="BL85" s="2651">
        <f t="shared" ref="BL85" si="630">IF(BL75&gt;$J$86,$J$85,IF(BL75&lt;$J$86,(IF(BL75&lt;0,0,BL75*$K$85))))</f>
        <v>0</v>
      </c>
      <c r="BM85" s="1814"/>
      <c r="BN85" s="2445">
        <f t="shared" si="495"/>
        <v>0</v>
      </c>
      <c r="BO85" s="2650">
        <f>$J$85*0</f>
        <v>0</v>
      </c>
      <c r="BP85" s="2651">
        <f t="shared" si="496"/>
        <v>0</v>
      </c>
      <c r="BR85" s="2193"/>
      <c r="BS85" s="2654"/>
      <c r="BT85" s="1740"/>
      <c r="BU85" s="2193">
        <f t="shared" si="497"/>
        <v>0</v>
      </c>
      <c r="BV85" s="2195" t="e">
        <f t="shared" si="498"/>
        <v>#DIV/0!</v>
      </c>
      <c r="BW85" s="2351"/>
      <c r="BX85" s="4636"/>
      <c r="CA85" s="2633"/>
      <c r="CB85" s="2633"/>
      <c r="CC85" s="1860"/>
      <c r="CD85" s="1860"/>
      <c r="CE85" s="1860"/>
      <c r="CF85" s="1860"/>
      <c r="CG85" s="1860"/>
      <c r="CH85" s="1860"/>
      <c r="CI85" s="1860"/>
    </row>
    <row r="86" spans="1:87" s="1885" customFormat="1" ht="17.25" thickBot="1" x14ac:dyDescent="0.25">
      <c r="B86" s="2697"/>
      <c r="C86" s="2698" t="s">
        <v>194</v>
      </c>
      <c r="D86" s="2119"/>
      <c r="E86" s="2183">
        <f>SUM(E77:E85)</f>
        <v>1644</v>
      </c>
      <c r="F86" s="2311">
        <f>SUM(F64:F85)</f>
        <v>149.52500000000001</v>
      </c>
      <c r="G86" s="2311">
        <f>SUM(G64:G85)</f>
        <v>99.683333333333351</v>
      </c>
      <c r="H86" s="2311">
        <f>SUM(H64:H85)</f>
        <v>74.762500000000003</v>
      </c>
      <c r="I86" s="2311">
        <f>SUM(I64:I85)</f>
        <v>59.81</v>
      </c>
      <c r="J86" s="2311">
        <f>SUM(J77:J85)</f>
        <v>53.032258064516128</v>
      </c>
      <c r="K86" s="2699">
        <f>SUM(K77:K85)</f>
        <v>1</v>
      </c>
      <c r="L86" s="2003"/>
      <c r="M86" s="1950"/>
      <c r="N86" s="2120">
        <f t="shared" ref="N86:T86" si="631">SUM(N77:N85)</f>
        <v>30.02920967741936</v>
      </c>
      <c r="O86" s="2123">
        <f t="shared" ref="O86" si="632">SUM(O77:O85)</f>
        <v>5.0797096774193564</v>
      </c>
      <c r="P86" s="2123">
        <f t="shared" si="631"/>
        <v>1.1032096774193541</v>
      </c>
      <c r="Q86" s="2123">
        <f t="shared" ref="Q86:R86" si="633">SUM(Q77:Q85)</f>
        <v>47.696709677419371</v>
      </c>
      <c r="R86" s="2123">
        <f t="shared" si="633"/>
        <v>48.609209677419358</v>
      </c>
      <c r="S86" s="2123">
        <f t="shared" si="631"/>
        <v>53.032258064516128</v>
      </c>
      <c r="T86" s="2124">
        <f t="shared" si="631"/>
        <v>0</v>
      </c>
      <c r="U86" s="1951"/>
      <c r="V86" s="2120">
        <f>SUM(V77:V85)</f>
        <v>185.55030645161293</v>
      </c>
      <c r="W86" s="2123">
        <f>SUM(W77:W85)</f>
        <v>371.22580645161293</v>
      </c>
      <c r="X86" s="2125">
        <f>SUM(X77:X85)</f>
        <v>-185.6755</v>
      </c>
      <c r="Y86" s="1956"/>
      <c r="Z86" s="2120">
        <f t="shared" ref="Z86" si="634">SUM(Z77:Z85)</f>
        <v>6.7882096774193563</v>
      </c>
      <c r="AA86" s="2123">
        <f t="shared" ref="AA86:AF86" si="635">SUM(AA77:AA85)</f>
        <v>32.420709677419346</v>
      </c>
      <c r="AB86" s="2123">
        <f t="shared" si="635"/>
        <v>41.070209677419363</v>
      </c>
      <c r="AC86" s="2123">
        <f t="shared" ref="AC86:AE86" si="636">SUM(AC77:AC85)</f>
        <v>39.309709677419363</v>
      </c>
      <c r="AD86" s="2123">
        <f t="shared" si="636"/>
        <v>53.032258064516128</v>
      </c>
      <c r="AE86" s="2123">
        <f t="shared" si="636"/>
        <v>53.032258064516128</v>
      </c>
      <c r="AF86" s="2124">
        <f t="shared" si="635"/>
        <v>37.817709677419359</v>
      </c>
      <c r="AG86" s="1956"/>
      <c r="AH86" s="2120">
        <f>SUM(Z86:AF86)</f>
        <v>263.47106451612905</v>
      </c>
      <c r="AI86" s="2123">
        <f>SUM(AI77:AI85)</f>
        <v>371.22580645161293</v>
      </c>
      <c r="AJ86" s="2125">
        <f>SUM(AJ64:AJ85)</f>
        <v>-107.75474193548386</v>
      </c>
      <c r="AK86" s="1956"/>
      <c r="AL86" s="2120">
        <f t="shared" ref="AL86:AM86" si="637">SUM(AL77:AL85)</f>
        <v>53.032258064516128</v>
      </c>
      <c r="AM86" s="2121">
        <f t="shared" si="637"/>
        <v>11.714709677419361</v>
      </c>
      <c r="AN86" s="2121">
        <f t="shared" ref="AN86:AR86" si="638">SUM(AN77:AN85)</f>
        <v>31.014709677419358</v>
      </c>
      <c r="AO86" s="2121">
        <f t="shared" si="638"/>
        <v>23.913709677419362</v>
      </c>
      <c r="AP86" s="2121">
        <f t="shared" si="638"/>
        <v>53.032258064516128</v>
      </c>
      <c r="AQ86" s="2121">
        <f t="shared" si="638"/>
        <v>48.759709677419359</v>
      </c>
      <c r="AR86" s="2124">
        <f t="shared" si="638"/>
        <v>36.262209677419364</v>
      </c>
      <c r="AS86" s="1951"/>
      <c r="AT86" s="2120">
        <f>SUM(AL86:AR86)</f>
        <v>257.72956451612907</v>
      </c>
      <c r="AU86" s="2123">
        <f>SUM(AU77:AU85)</f>
        <v>371.22580645161293</v>
      </c>
      <c r="AV86" s="2125">
        <f>SUM(AV64:AV85)</f>
        <v>-113.49624193548388</v>
      </c>
      <c r="AW86" s="1951"/>
      <c r="AX86" s="2187">
        <f t="shared" ref="AX86" si="639">SUM(AX77:AX85)</f>
        <v>15.477209677419349</v>
      </c>
      <c r="AY86" s="2700">
        <f t="shared" ref="AY86:BD86" si="640">SUM(AY77:AY85)</f>
        <v>31.026709677419362</v>
      </c>
      <c r="AZ86" s="2700">
        <f t="shared" ref="AZ86:BA86" si="641">SUM(AZ77:AZ85)</f>
        <v>1.9272096774193521</v>
      </c>
      <c r="BA86" s="2700">
        <f t="shared" si="641"/>
        <v>44.593709677419355</v>
      </c>
      <c r="BB86" s="2700">
        <f t="shared" ref="BB86:BC86" si="642">SUM(BB77:BB85)</f>
        <v>53.032258064516128</v>
      </c>
      <c r="BC86" s="2700">
        <f t="shared" si="642"/>
        <v>27.956209677419352</v>
      </c>
      <c r="BD86" s="2309">
        <f t="shared" si="640"/>
        <v>17.381709677419352</v>
      </c>
      <c r="BE86" s="1951"/>
      <c r="BF86" s="2187">
        <f>SUM(AX86:BD86)</f>
        <v>191.39501612903223</v>
      </c>
      <c r="BG86" s="2701">
        <f>SUM(BG77:BG85)</f>
        <v>371.22580645161293</v>
      </c>
      <c r="BH86" s="2702">
        <f>SUM(BH64:BH85)</f>
        <v>-179.83079032258067</v>
      </c>
      <c r="BI86" s="1951"/>
      <c r="BJ86" s="2187">
        <f t="shared" ref="BJ86" si="643">SUM(BJ77:BJ85)</f>
        <v>21.582709677419356</v>
      </c>
      <c r="BK86" s="2700">
        <f t="shared" ref="BK86" si="644">SUM(BK77:BK85)</f>
        <v>53.032258064516128</v>
      </c>
      <c r="BL86" s="2702">
        <f t="shared" ref="BL86" si="645">SUM(BL77:BL85)</f>
        <v>15.600709677419355</v>
      </c>
      <c r="BM86" s="1951"/>
      <c r="BN86" s="2187">
        <f t="shared" si="495"/>
        <v>90.215677419354847</v>
      </c>
      <c r="BO86" s="2701">
        <f>SUM(BO64:BO85)</f>
        <v>22.064516129032256</v>
      </c>
      <c r="BP86" s="2702">
        <f>SUM(BP64:BP85)</f>
        <v>130.52212903225808</v>
      </c>
      <c r="BR86" s="2187">
        <f>X86+AJ86+AV86</f>
        <v>-406.92648387096779</v>
      </c>
      <c r="BS86" s="2427"/>
      <c r="BT86" s="1900"/>
      <c r="BU86" s="2187">
        <f>SUM(BU77:BU85)</f>
        <v>988.36162903225807</v>
      </c>
      <c r="BV86" s="2189">
        <f t="shared" si="498"/>
        <v>0.60119320500745621</v>
      </c>
      <c r="BW86" s="2353"/>
      <c r="BX86" s="4637"/>
      <c r="CA86" s="2629"/>
      <c r="CB86" s="1946"/>
      <c r="CC86" s="1946"/>
      <c r="CD86" s="1946"/>
      <c r="CE86" s="1946"/>
      <c r="CF86" s="1946"/>
      <c r="CG86" s="1946"/>
      <c r="CH86" s="1946"/>
      <c r="CI86" s="1946"/>
    </row>
    <row r="87" spans="1:87" s="1860" customFormat="1" ht="4.5" customHeight="1" x14ac:dyDescent="0.2">
      <c r="B87" s="2196"/>
      <c r="C87" s="2196"/>
      <c r="D87" s="1861"/>
      <c r="E87" s="2197"/>
      <c r="F87" s="2197"/>
      <c r="G87" s="2197"/>
      <c r="H87" s="2197"/>
      <c r="I87" s="2197"/>
      <c r="J87" s="2197"/>
      <c r="K87" s="2198"/>
      <c r="L87" s="1760"/>
      <c r="M87" s="2633"/>
      <c r="N87" s="2197"/>
      <c r="O87" s="2197"/>
      <c r="P87" s="2197"/>
      <c r="Q87" s="2197"/>
      <c r="R87" s="2197"/>
      <c r="S87" s="2197"/>
      <c r="T87" s="2197"/>
      <c r="U87" s="2604"/>
      <c r="V87" s="2604"/>
      <c r="W87" s="2604"/>
      <c r="X87" s="2604"/>
      <c r="Y87" s="1862"/>
      <c r="Z87" s="2199"/>
      <c r="AA87" s="2199"/>
      <c r="AB87" s="2199"/>
      <c r="AC87" s="2199"/>
      <c r="AD87" s="2199"/>
      <c r="AE87" s="2199"/>
      <c r="AF87" s="2199"/>
      <c r="AG87" s="1862"/>
      <c r="AH87" s="2604"/>
      <c r="AI87" s="2604"/>
      <c r="AJ87" s="2604"/>
      <c r="AK87" s="1862"/>
      <c r="AL87" s="2197"/>
      <c r="AM87" s="2197"/>
      <c r="AN87" s="2197"/>
      <c r="AO87" s="2197"/>
      <c r="AP87" s="2197"/>
      <c r="AQ87" s="2197"/>
      <c r="AR87" s="2197"/>
      <c r="AS87" s="2604"/>
      <c r="AT87" s="2604"/>
      <c r="AU87" s="2604"/>
      <c r="AV87" s="2604"/>
      <c r="AW87" s="2604"/>
      <c r="AX87" s="2197"/>
      <c r="AY87" s="2197"/>
      <c r="AZ87" s="2197"/>
      <c r="BA87" s="2197"/>
      <c r="BB87" s="2197"/>
      <c r="BC87" s="2197"/>
      <c r="BD87" s="2197"/>
      <c r="BE87" s="2604"/>
      <c r="BF87" s="2604"/>
      <c r="BG87" s="2604"/>
      <c r="BH87" s="2604"/>
      <c r="BI87" s="2604"/>
      <c r="BJ87" s="2197"/>
      <c r="BK87" s="2197"/>
      <c r="BL87" s="2197"/>
      <c r="BM87" s="2604"/>
      <c r="BN87" s="2604"/>
      <c r="BO87" s="2604"/>
      <c r="BP87" s="2604"/>
      <c r="BR87" s="2197"/>
      <c r="BS87" s="2200"/>
      <c r="BT87" s="1861"/>
      <c r="BU87" s="2197"/>
      <c r="BV87" s="2198"/>
      <c r="BW87" s="1997"/>
      <c r="BX87" s="2633"/>
    </row>
    <row r="88" spans="1:87" s="1860" customFormat="1" ht="15.75" customHeight="1" x14ac:dyDescent="0.2">
      <c r="B88" s="2196"/>
      <c r="C88" s="2197"/>
      <c r="D88" s="1861"/>
      <c r="E88" s="1732">
        <f t="shared" ref="E88:I88" si="646">E73+E86</f>
        <v>1966.25</v>
      </c>
      <c r="F88" s="1732">
        <f t="shared" si="646"/>
        <v>149.52500000000001</v>
      </c>
      <c r="G88" s="1732">
        <f t="shared" si="646"/>
        <v>99.683333333333351</v>
      </c>
      <c r="H88" s="1732">
        <f t="shared" si="646"/>
        <v>74.762500000000003</v>
      </c>
      <c r="I88" s="1732">
        <f t="shared" si="646"/>
        <v>59.81</v>
      </c>
      <c r="J88" s="1732">
        <f>J73+J86</f>
        <v>63.427419354838705</v>
      </c>
      <c r="K88" s="1882">
        <f>E90/E105</f>
        <v>0.31954446228999939</v>
      </c>
      <c r="L88" s="1760"/>
      <c r="M88" s="2633"/>
      <c r="N88" s="1732">
        <f t="shared" ref="N88:T88" si="647">N75-N86</f>
        <v>0</v>
      </c>
      <c r="O88" s="1732">
        <f t="shared" ref="O88" si="648">O75-O86</f>
        <v>0</v>
      </c>
      <c r="P88" s="1732">
        <f t="shared" si="647"/>
        <v>0</v>
      </c>
      <c r="Q88" s="1732">
        <f t="shared" ref="Q88:R88" si="649">Q75-Q86</f>
        <v>0</v>
      </c>
      <c r="R88" s="1732">
        <f t="shared" si="649"/>
        <v>0</v>
      </c>
      <c r="S88" s="1732">
        <f t="shared" si="647"/>
        <v>31.177951612903243</v>
      </c>
      <c r="T88" s="1732">
        <f t="shared" si="647"/>
        <v>0</v>
      </c>
      <c r="U88" s="2604"/>
      <c r="V88" s="2604"/>
      <c r="W88" s="2604"/>
      <c r="X88" s="2604"/>
      <c r="Y88" s="1862"/>
      <c r="Z88" s="1732">
        <f t="shared" ref="Z88" si="650">Z75-Z86</f>
        <v>0</v>
      </c>
      <c r="AA88" s="1732">
        <f t="shared" ref="AA88:AF88" si="651">AA75-AA86</f>
        <v>0</v>
      </c>
      <c r="AB88" s="1732">
        <f t="shared" si="651"/>
        <v>0</v>
      </c>
      <c r="AC88" s="1732">
        <f t="shared" ref="AC88:AE88" si="652">AC75-AC86</f>
        <v>0</v>
      </c>
      <c r="AD88" s="1732">
        <f t="shared" si="652"/>
        <v>19.825451612903223</v>
      </c>
      <c r="AE88" s="1732">
        <f t="shared" si="652"/>
        <v>19.266451612903225</v>
      </c>
      <c r="AF88" s="1732">
        <f t="shared" si="651"/>
        <v>0</v>
      </c>
      <c r="AG88" s="1862"/>
      <c r="AH88" s="2604"/>
      <c r="AI88" s="2604"/>
      <c r="AJ88" s="2604"/>
      <c r="AK88" s="1862"/>
      <c r="AL88" s="1732">
        <f t="shared" ref="AL88:AM88" si="653">AL75-AL86</f>
        <v>28.512951612903223</v>
      </c>
      <c r="AM88" s="1732">
        <f t="shared" si="653"/>
        <v>0</v>
      </c>
      <c r="AN88" s="1732">
        <f t="shared" ref="AN88:AR88" si="654">AN75-AN86</f>
        <v>0</v>
      </c>
      <c r="AO88" s="1732">
        <f t="shared" si="654"/>
        <v>0</v>
      </c>
      <c r="AP88" s="1732">
        <f t="shared" si="654"/>
        <v>23.53145161290324</v>
      </c>
      <c r="AQ88" s="1732">
        <f t="shared" si="654"/>
        <v>0</v>
      </c>
      <c r="AR88" s="1732">
        <f t="shared" si="654"/>
        <v>0</v>
      </c>
      <c r="AS88" s="2604"/>
      <c r="AT88" s="2604"/>
      <c r="AU88" s="2604"/>
      <c r="AV88" s="2604"/>
      <c r="AW88" s="2604"/>
      <c r="AX88" s="1732">
        <f t="shared" ref="AX88" si="655">AX75-AX86</f>
        <v>0</v>
      </c>
      <c r="AY88" s="1732">
        <f t="shared" ref="AY88:BD88" si="656">AY75-AY86</f>
        <v>0</v>
      </c>
      <c r="AZ88" s="1732">
        <f t="shared" ref="AZ88:BA88" si="657">AZ75-AZ86</f>
        <v>0</v>
      </c>
      <c r="BA88" s="1732">
        <f t="shared" si="657"/>
        <v>0</v>
      </c>
      <c r="BB88" s="1732">
        <f t="shared" ref="BB88:BC88" si="658">BB75-BB86</f>
        <v>0.10945161290322858</v>
      </c>
      <c r="BC88" s="1732">
        <f t="shared" si="658"/>
        <v>0</v>
      </c>
      <c r="BD88" s="1732">
        <f t="shared" si="656"/>
        <v>0</v>
      </c>
      <c r="BE88" s="2604"/>
      <c r="BF88" s="2604"/>
      <c r="BG88" s="2604"/>
      <c r="BH88" s="2604"/>
      <c r="BI88" s="2604"/>
      <c r="BJ88" s="1732">
        <f t="shared" ref="BJ88" si="659">BJ75-BJ86</f>
        <v>0</v>
      </c>
      <c r="BK88" s="1732">
        <f t="shared" ref="BK88" si="660">BK75-BK86</f>
        <v>0.50945161290323426</v>
      </c>
      <c r="BL88" s="1732">
        <f t="shared" ref="BL88" si="661">BL75-BL86</f>
        <v>0</v>
      </c>
      <c r="BM88" s="2604"/>
      <c r="BN88" s="2604"/>
      <c r="BO88" s="2604"/>
      <c r="BP88" s="2604"/>
      <c r="BR88" s="1732"/>
      <c r="BS88" s="2211"/>
      <c r="BT88" s="1861"/>
      <c r="BU88" s="1732"/>
      <c r="BV88" s="1882"/>
      <c r="BW88" s="1997"/>
      <c r="BX88" s="2633"/>
    </row>
    <row r="89" spans="1:87" s="1860" customFormat="1" ht="4.5" customHeight="1" thickBot="1" x14ac:dyDescent="0.25">
      <c r="B89" s="2196"/>
      <c r="C89" s="2196"/>
      <c r="D89" s="1861"/>
      <c r="E89" s="2197"/>
      <c r="F89" s="2197"/>
      <c r="G89" s="2197"/>
      <c r="H89" s="2197"/>
      <c r="I89" s="2197"/>
      <c r="J89" s="2197"/>
      <c r="K89" s="2198"/>
      <c r="L89" s="1760"/>
      <c r="M89" s="2633"/>
      <c r="N89" s="2604"/>
      <c r="O89" s="2604"/>
      <c r="P89" s="2604"/>
      <c r="Q89" s="2737"/>
      <c r="R89" s="2741"/>
      <c r="S89" s="2604"/>
      <c r="T89" s="2604"/>
      <c r="U89" s="2604"/>
      <c r="V89" s="2604"/>
      <c r="W89" s="2604"/>
      <c r="X89" s="2604"/>
      <c r="Y89" s="1862"/>
      <c r="Z89" s="2232"/>
      <c r="AA89" s="2232"/>
      <c r="AB89" s="2232"/>
      <c r="AC89" s="2232"/>
      <c r="AD89" s="2232"/>
      <c r="AE89" s="2232"/>
      <c r="AF89" s="2232"/>
      <c r="AG89" s="1862"/>
      <c r="AH89" s="2604"/>
      <c r="AI89" s="2604"/>
      <c r="AJ89" s="2604"/>
      <c r="AK89" s="1862"/>
      <c r="AL89" s="2232"/>
      <c r="AM89" s="2232"/>
      <c r="AN89" s="2232"/>
      <c r="AO89" s="2232"/>
      <c r="AP89" s="2232"/>
      <c r="AQ89" s="2232"/>
      <c r="AR89" s="2232"/>
      <c r="AS89" s="2604"/>
      <c r="AT89" s="2604"/>
      <c r="AU89" s="2604"/>
      <c r="AV89" s="2604"/>
      <c r="AW89" s="2604"/>
      <c r="AX89" s="2232"/>
      <c r="AY89" s="2232"/>
      <c r="AZ89" s="2232"/>
      <c r="BA89" s="2232"/>
      <c r="BB89" s="2232"/>
      <c r="BC89" s="2232"/>
      <c r="BD89" s="2232"/>
      <c r="BE89" s="2604"/>
      <c r="BF89" s="2604"/>
      <c r="BG89" s="2604"/>
      <c r="BH89" s="2604"/>
      <c r="BI89" s="2604"/>
      <c r="BJ89" s="2199"/>
      <c r="BK89" s="2199"/>
      <c r="BL89" s="2199"/>
      <c r="BM89" s="2604"/>
      <c r="BN89" s="2604"/>
      <c r="BO89" s="2604"/>
      <c r="BP89" s="2604"/>
      <c r="BR89" s="2199"/>
      <c r="BS89" s="2203"/>
      <c r="BT89" s="1861"/>
      <c r="BU89" s="2199"/>
      <c r="BV89" s="2204"/>
      <c r="BW89" s="1997"/>
      <c r="BX89" s="2633"/>
    </row>
    <row r="90" spans="1:87" s="1885" customFormat="1" ht="17.25" thickBot="1" x14ac:dyDescent="0.25">
      <c r="B90" s="2401"/>
      <c r="C90" s="2401" t="s">
        <v>151</v>
      </c>
      <c r="D90" s="2402"/>
      <c r="E90" s="1898">
        <f>(E86+E73)*100/30</f>
        <v>6554.166666666667</v>
      </c>
      <c r="F90" s="1898">
        <f>F60+F86</f>
        <v>503.08833333333337</v>
      </c>
      <c r="G90" s="1898">
        <f>G60+G86</f>
        <v>335.3922222222223</v>
      </c>
      <c r="H90" s="1898">
        <f>H60+H86</f>
        <v>251.54416666666668</v>
      </c>
      <c r="I90" s="1898">
        <f>I60+I86</f>
        <v>201.23533333333333</v>
      </c>
      <c r="J90" s="1898">
        <f>(J86+J73)*100/30</f>
        <v>211.42473118279568</v>
      </c>
      <c r="K90" s="1899">
        <f>E90/E105</f>
        <v>0.31954446228999939</v>
      </c>
      <c r="L90" s="1949"/>
      <c r="M90" s="2629"/>
      <c r="N90" s="2632"/>
      <c r="O90" s="2632"/>
      <c r="P90" s="2632"/>
      <c r="Q90" s="2736"/>
      <c r="R90" s="2740"/>
      <c r="S90" s="2632"/>
      <c r="T90" s="2632"/>
      <c r="U90" s="2630"/>
      <c r="V90" s="2319"/>
      <c r="W90" s="2321"/>
      <c r="X90" s="2433"/>
      <c r="Y90" s="1897"/>
      <c r="Z90" s="2632"/>
      <c r="AA90" s="2632"/>
      <c r="AB90" s="2632"/>
      <c r="AC90" s="2757"/>
      <c r="AD90" s="2760"/>
      <c r="AE90" s="2760"/>
      <c r="AF90" s="2632"/>
      <c r="AG90" s="1896"/>
      <c r="AH90" s="2319"/>
      <c r="AI90" s="2321"/>
      <c r="AJ90" s="2433"/>
      <c r="AK90" s="1897"/>
      <c r="AL90" s="2632"/>
      <c r="AM90" s="2632"/>
      <c r="AN90" s="2632"/>
      <c r="AO90" s="2632"/>
      <c r="AP90" s="2632"/>
      <c r="AQ90" s="2632"/>
      <c r="AR90" s="2632"/>
      <c r="AS90" s="2295"/>
      <c r="AT90" s="2319"/>
      <c r="AU90" s="2321"/>
      <c r="AV90" s="2433"/>
      <c r="AW90" s="2630"/>
      <c r="AX90" s="2632"/>
      <c r="AY90" s="2632"/>
      <c r="AZ90" s="2773"/>
      <c r="BA90" s="2775"/>
      <c r="BB90" s="2777"/>
      <c r="BC90" s="2779"/>
      <c r="BD90" s="2632"/>
      <c r="BE90" s="2295"/>
      <c r="BF90" s="2319">
        <f t="shared" ref="BF90:BF91" si="662">SUM(AX90:BD90)</f>
        <v>0</v>
      </c>
      <c r="BG90" s="2321"/>
      <c r="BH90" s="2433"/>
      <c r="BI90" s="2630"/>
      <c r="BJ90" s="1898"/>
      <c r="BK90" s="1898"/>
      <c r="BL90" s="1898"/>
      <c r="BM90" s="2630"/>
      <c r="BN90" s="2319">
        <f>SUM(BJ90:BL90)</f>
        <v>0</v>
      </c>
      <c r="BO90" s="2321"/>
      <c r="BP90" s="2433"/>
      <c r="BR90" s="1898"/>
      <c r="BS90" s="2202"/>
      <c r="BT90" s="1900"/>
      <c r="BU90" s="1898"/>
      <c r="BV90" s="1899"/>
      <c r="BW90" s="2010"/>
      <c r="BX90" s="2629"/>
    </row>
    <row r="91" spans="1:87" s="1726" customFormat="1" ht="17.25" thickBot="1" x14ac:dyDescent="0.25">
      <c r="B91" s="2049"/>
      <c r="C91" s="2050" t="s">
        <v>149</v>
      </c>
      <c r="D91" s="2051"/>
      <c r="E91" s="2052"/>
      <c r="F91" s="2053"/>
      <c r="G91" s="2053"/>
      <c r="H91" s="2053"/>
      <c r="I91" s="2053"/>
      <c r="J91" s="2053"/>
      <c r="K91" s="2253"/>
      <c r="L91" s="2216"/>
      <c r="M91" s="2055"/>
      <c r="N91" s="2056">
        <f t="shared" ref="N91:S91" si="663">IF(N88&gt;$J$88,N88,IF(N88&lt;$J$88,(IF(N88&lt;0,-70.701,N75-$J$86))))</f>
        <v>-23.003048387096772</v>
      </c>
      <c r="O91" s="2053">
        <f t="shared" si="663"/>
        <v>-47.952548387096769</v>
      </c>
      <c r="P91" s="2053">
        <f t="shared" si="663"/>
        <v>-51.929048387096771</v>
      </c>
      <c r="Q91" s="2053">
        <f t="shared" si="663"/>
        <v>-5.3355483870967646</v>
      </c>
      <c r="R91" s="2053">
        <f t="shared" si="663"/>
        <v>-4.4230483870967703</v>
      </c>
      <c r="S91" s="2053">
        <f t="shared" si="663"/>
        <v>31.177951612903243</v>
      </c>
      <c r="T91" s="2057">
        <f t="shared" ref="T91" si="664">IF(T88&gt;$J$88,T88,IF(T88&lt;$J$88,(IF(T88&lt;0,-70.701,T75-$J$86))))</f>
        <v>-53.032258064516128</v>
      </c>
      <c r="U91" s="1814"/>
      <c r="V91" s="2056">
        <f>SUM(N91:T91)</f>
        <v>-154.49754838709674</v>
      </c>
      <c r="W91" s="2052"/>
      <c r="X91" s="2057"/>
      <c r="Y91" s="1766"/>
      <c r="Z91" s="2056">
        <f t="shared" ref="Z91" si="665">IF(Z88&gt;$J$88,Z88,IF(Z88&lt;$J$88,(IF(Z88&lt;0,-70.701,Z75-$J$86))))</f>
        <v>-46.244048387096768</v>
      </c>
      <c r="AA91" s="2053">
        <f t="shared" ref="AA91:AC91" si="666">IF(AA88&gt;$J$88,AA88,IF(AA88&lt;$J$88,(IF(AA88&lt;0,-70.701,AA75-$J$86))))</f>
        <v>-20.611548387096775</v>
      </c>
      <c r="AB91" s="2053">
        <f t="shared" si="666"/>
        <v>-11.962048387096772</v>
      </c>
      <c r="AC91" s="2053">
        <f t="shared" si="666"/>
        <v>-13.722548387096765</v>
      </c>
      <c r="AD91" s="2053">
        <f t="shared" ref="AD91:AE91" si="667">IF(AD88&gt;$J$88,AD88,IF(AD88&lt;$J$88,(IF(AD88&lt;0,-70.701,AD75-$J$86))))</f>
        <v>19.825451612903223</v>
      </c>
      <c r="AE91" s="2053">
        <f t="shared" si="667"/>
        <v>19.266451612903225</v>
      </c>
      <c r="AF91" s="2053">
        <f t="shared" ref="AF91" si="668">IF(AF88&gt;$J$88,AF88,IF(AF88&lt;$J$88,(IF(AF88&lt;0,-70.701,AF75-$J$86))))</f>
        <v>-15.214548387096769</v>
      </c>
      <c r="AG91" s="1766"/>
      <c r="AH91" s="2056">
        <f>SUM(Z91:AF91)</f>
        <v>-68.662838709677402</v>
      </c>
      <c r="AI91" s="2052"/>
      <c r="AJ91" s="2057"/>
      <c r="AK91" s="1764"/>
      <c r="AL91" s="2056">
        <f t="shared" ref="AL91:AM91" si="669">IF(AL88&gt;$J$88,AL88,IF(AL88&lt;$J$88,(IF(AL88&lt;0,-70.701,AL75-$J$86))))</f>
        <v>28.512951612903223</v>
      </c>
      <c r="AM91" s="2053">
        <f t="shared" si="669"/>
        <v>-41.317548387096764</v>
      </c>
      <c r="AN91" s="2053">
        <f t="shared" ref="AN91:AO91" si="670">IF(AN88&gt;$J$88,AN88,IF(AN88&lt;$J$88,(IF(AN88&lt;0,-70.701,AN75-$J$86))))</f>
        <v>-22.01754838709677</v>
      </c>
      <c r="AO91" s="2053">
        <f t="shared" si="670"/>
        <v>-29.118548387096769</v>
      </c>
      <c r="AP91" s="2053">
        <f t="shared" ref="AP91:AQ91" si="671">IF(AP88&gt;$J$88,AP88,IF(AP88&lt;$J$88,(IF(AP88&lt;0,-70.701,AP75-$J$86))))</f>
        <v>23.53145161290324</v>
      </c>
      <c r="AQ91" s="2053">
        <f t="shared" si="671"/>
        <v>-4.2725483870967764</v>
      </c>
      <c r="AR91" s="2057">
        <f t="shared" ref="AR91" si="672">IF(AR88&gt;$J$88,AR88,IF(AR88&lt;$J$88,(IF(AR88&lt;0,-70.701,AR75-$J$86))))</f>
        <v>-16.770048387096764</v>
      </c>
      <c r="AS91" s="2300"/>
      <c r="AT91" s="2056">
        <f t="shared" ref="AT91" si="673">SUM(AL91:AR91)</f>
        <v>-61.451838709677375</v>
      </c>
      <c r="AU91" s="2052"/>
      <c r="AV91" s="2057"/>
      <c r="AW91" s="1814"/>
      <c r="AX91" s="2056">
        <f t="shared" ref="AX91:AY91" si="674">IF(AX88&gt;$J$88,AX88,IF(AX88&lt;$J$88,(IF(AX88&lt;0,-70.701,AX75-$J$86))))</f>
        <v>-37.555048387096775</v>
      </c>
      <c r="AY91" s="2052">
        <f t="shared" si="674"/>
        <v>-22.00554838709677</v>
      </c>
      <c r="AZ91" s="2052">
        <f t="shared" ref="AZ91:BA91" si="675">IF(AZ88&gt;$J$88,AZ88,IF(AZ88&lt;$J$88,(IF(AZ88&lt;0,-70.701,AZ75-$J$86))))</f>
        <v>-51.105048387096772</v>
      </c>
      <c r="BA91" s="2052">
        <f t="shared" si="675"/>
        <v>-8.4385483870967732</v>
      </c>
      <c r="BB91" s="2052">
        <f t="shared" ref="BB91:BC91" si="676">IF(BB88&gt;$J$88,BB88,IF(BB88&lt;$J$88,(IF(BB88&lt;0,-70.701,BB75-$J$86))))</f>
        <v>0.10945161290322858</v>
      </c>
      <c r="BC91" s="2052">
        <f t="shared" si="676"/>
        <v>-25.07604838709678</v>
      </c>
      <c r="BD91" s="2057">
        <f t="shared" ref="BD91" si="677">IF(BD88&gt;$J$88,BD88,IF(BD88&lt;$J$88,(IF(BD88&lt;0,-70.701,BD75-$J$86))))</f>
        <v>-35.650548387096777</v>
      </c>
      <c r="BE91" s="1814"/>
      <c r="BF91" s="2056">
        <f t="shared" si="662"/>
        <v>-179.72133870967741</v>
      </c>
      <c r="BG91" s="2052"/>
      <c r="BH91" s="2057"/>
      <c r="BI91" s="1740"/>
      <c r="BJ91" s="2056">
        <f t="shared" ref="BJ91" si="678">IF(BJ88&gt;$J$88,BJ88,IF(BJ88&lt;$J$88,(IF(BJ88&lt;0,-70.701,BJ75-$J$86))))</f>
        <v>-31.449548387096772</v>
      </c>
      <c r="BK91" s="2052">
        <f t="shared" ref="BK91" si="679">IF(BK88&gt;$J$88,BK88,IF(BK88&lt;$J$88,(IF(BK88&lt;0,-70.701,BK75-$J$86))))</f>
        <v>0.50945161290323426</v>
      </c>
      <c r="BL91" s="2052">
        <f t="shared" ref="BL91" si="680">IF(BL88&gt;$J$88,BL88,IF(BL88&lt;$J$88,(IF(BL88&lt;0,-70.701,BL75-$J$86))))</f>
        <v>-37.431548387096768</v>
      </c>
      <c r="BM91" s="2301"/>
      <c r="BN91" s="2058">
        <f>SUM(BJ91:BL91)</f>
        <v>-68.371645161290303</v>
      </c>
      <c r="BO91" s="2324"/>
      <c r="BP91" s="2190"/>
      <c r="BQ91" s="1862"/>
      <c r="BR91" s="2058">
        <f>SUM(N91:T91)+SUM(Z91:AF91)+SUM(AL91:AR91)+SUM(AX91:BD91)+SUM(BJ91:BL91)</f>
        <v>-532.70520967741925</v>
      </c>
      <c r="BS91" s="2054"/>
      <c r="BT91" s="1740"/>
      <c r="BU91" s="1740"/>
      <c r="BV91" s="1740"/>
      <c r="BW91" s="1861"/>
    </row>
    <row r="92" spans="1:87" s="1756" customFormat="1" ht="17.25" thickBot="1" x14ac:dyDescent="0.25">
      <c r="B92" s="1817"/>
      <c r="C92" s="1817"/>
      <c r="D92" s="1817"/>
      <c r="E92" s="1814"/>
      <c r="F92" s="1814"/>
      <c r="G92" s="1814"/>
      <c r="H92" s="1814"/>
      <c r="I92" s="1814"/>
      <c r="J92" s="1814"/>
      <c r="K92" s="1818"/>
      <c r="L92" s="2216"/>
      <c r="M92" s="2055"/>
      <c r="N92" s="1814"/>
      <c r="O92" s="1814"/>
      <c r="P92" s="1814"/>
      <c r="Q92" s="1814"/>
      <c r="R92" s="1814"/>
      <c r="S92" s="1814"/>
      <c r="T92" s="1814"/>
      <c r="U92" s="1814"/>
      <c r="V92" s="1814"/>
      <c r="W92" s="1814"/>
      <c r="X92" s="1814"/>
      <c r="Y92" s="1766"/>
      <c r="Z92" s="1814"/>
      <c r="AA92" s="1814"/>
      <c r="AB92" s="1814"/>
      <c r="AC92" s="1814"/>
      <c r="AD92" s="1814"/>
      <c r="AE92" s="1814"/>
      <c r="AF92" s="1814"/>
      <c r="AG92" s="1766"/>
      <c r="AH92" s="1814"/>
      <c r="AI92" s="1814"/>
      <c r="AJ92" s="1814"/>
      <c r="AK92" s="1766"/>
      <c r="AL92" s="1814"/>
      <c r="AM92" s="1814"/>
      <c r="AN92" s="1814"/>
      <c r="AO92" s="1814"/>
      <c r="AP92" s="1814"/>
      <c r="AQ92" s="1814"/>
      <c r="AR92" s="1814"/>
      <c r="AS92" s="1814"/>
      <c r="AT92" s="1814"/>
      <c r="AU92" s="1814"/>
      <c r="AV92" s="1814"/>
      <c r="AW92" s="1814"/>
      <c r="AX92" s="1814"/>
      <c r="AY92" s="1814"/>
      <c r="AZ92" s="1814"/>
      <c r="BA92" s="1814"/>
      <c r="BB92" s="1814"/>
      <c r="BC92" s="1814"/>
      <c r="BD92" s="1814"/>
      <c r="BE92" s="1814"/>
      <c r="BF92" s="1814"/>
      <c r="BG92" s="1814"/>
      <c r="BH92" s="1814"/>
      <c r="BI92" s="1814"/>
      <c r="BJ92" s="1814"/>
      <c r="BK92" s="1814"/>
      <c r="BL92" s="1814"/>
      <c r="BM92" s="1814"/>
      <c r="BN92" s="1814"/>
      <c r="BO92" s="1814"/>
      <c r="BP92" s="1814"/>
      <c r="BQ92" s="1766"/>
      <c r="BR92" s="1814"/>
      <c r="BS92" s="1830"/>
      <c r="BT92" s="2628"/>
      <c r="BU92" s="2628"/>
      <c r="BV92" s="2628"/>
      <c r="BW92" s="1817"/>
    </row>
    <row r="93" spans="1:87" s="1947" customFormat="1" x14ac:dyDescent="0.2">
      <c r="A93" s="2217"/>
      <c r="B93" s="2218">
        <v>49</v>
      </c>
      <c r="C93" s="2218" t="s">
        <v>74</v>
      </c>
      <c r="D93" s="2219"/>
      <c r="E93" s="2007">
        <v>350</v>
      </c>
      <c r="F93" s="2007">
        <f t="shared" ref="F93:F102" si="681">E93/10</f>
        <v>35</v>
      </c>
      <c r="G93" s="2007">
        <f t="shared" ref="G93:G94" si="682">E93/15</f>
        <v>23.333333333333332</v>
      </c>
      <c r="H93" s="2007">
        <f t="shared" ref="H93:H94" si="683">E93/20</f>
        <v>17.5</v>
      </c>
      <c r="I93" s="2007">
        <f t="shared" ref="I93:I94" si="684">E93/25</f>
        <v>14</v>
      </c>
      <c r="J93" s="2007">
        <f>E93/31</f>
        <v>11.290322580645162</v>
      </c>
      <c r="K93" s="2008">
        <f>E93/E107</f>
        <v>6.8256159777139086E-2</v>
      </c>
      <c r="L93" s="1949"/>
      <c r="M93" s="1905"/>
      <c r="N93" s="2007">
        <f t="shared" ref="N93:T93" si="685">$J$93</f>
        <v>11.290322580645162</v>
      </c>
      <c r="O93" s="2007">
        <f t="shared" si="685"/>
        <v>11.290322580645162</v>
      </c>
      <c r="P93" s="2007">
        <f t="shared" si="685"/>
        <v>11.290322580645162</v>
      </c>
      <c r="Q93" s="2007">
        <f t="shared" si="685"/>
        <v>11.290322580645162</v>
      </c>
      <c r="R93" s="2007">
        <f t="shared" si="685"/>
        <v>11.290322580645162</v>
      </c>
      <c r="S93" s="2007">
        <f t="shared" si="685"/>
        <v>11.290322580645162</v>
      </c>
      <c r="T93" s="2007">
        <f t="shared" si="685"/>
        <v>11.290322580645162</v>
      </c>
      <c r="U93" s="1951"/>
      <c r="V93" s="2220">
        <f t="shared" si="42"/>
        <v>79.032258064516142</v>
      </c>
      <c r="W93" s="2221"/>
      <c r="X93" s="2222"/>
      <c r="Y93" s="1955"/>
      <c r="Z93" s="2223">
        <f t="shared" ref="Z93:AF93" si="686">$J$93</f>
        <v>11.290322580645162</v>
      </c>
      <c r="AA93" s="2223">
        <f t="shared" si="686"/>
        <v>11.290322580645162</v>
      </c>
      <c r="AB93" s="2223">
        <f t="shared" si="686"/>
        <v>11.290322580645162</v>
      </c>
      <c r="AC93" s="2223">
        <f t="shared" si="686"/>
        <v>11.290322580645162</v>
      </c>
      <c r="AD93" s="2223">
        <f t="shared" si="686"/>
        <v>11.290322580645162</v>
      </c>
      <c r="AE93" s="2223">
        <f t="shared" si="686"/>
        <v>11.290322580645162</v>
      </c>
      <c r="AF93" s="2223">
        <f t="shared" si="686"/>
        <v>11.290322580645162</v>
      </c>
      <c r="AG93" s="1955"/>
      <c r="AH93" s="2220">
        <f t="shared" ref="AH93:AH94" si="687">SUM(Z93:AF93)</f>
        <v>79.032258064516142</v>
      </c>
      <c r="AI93" s="2221"/>
      <c r="AJ93" s="2222"/>
      <c r="AK93" s="1955"/>
      <c r="AL93" s="2223">
        <f t="shared" ref="AL93:AR93" si="688">$J$93</f>
        <v>11.290322580645162</v>
      </c>
      <c r="AM93" s="2223">
        <f t="shared" si="688"/>
        <v>11.290322580645162</v>
      </c>
      <c r="AN93" s="2223">
        <f t="shared" si="688"/>
        <v>11.290322580645162</v>
      </c>
      <c r="AO93" s="2223">
        <f t="shared" si="688"/>
        <v>11.290322580645162</v>
      </c>
      <c r="AP93" s="2223">
        <f t="shared" si="688"/>
        <v>11.290322580645162</v>
      </c>
      <c r="AQ93" s="2223">
        <f t="shared" si="688"/>
        <v>11.290322580645162</v>
      </c>
      <c r="AR93" s="2223">
        <f t="shared" si="688"/>
        <v>11.290322580645162</v>
      </c>
      <c r="AS93" s="2299"/>
      <c r="AT93" s="2220">
        <f t="shared" ref="AT93:AT96" si="689">SUM(AL93:AR93)</f>
        <v>79.032258064516142</v>
      </c>
      <c r="AU93" s="2221"/>
      <c r="AV93" s="2222"/>
      <c r="AW93" s="2299"/>
      <c r="AX93" s="2223">
        <f t="shared" ref="AX93:BD93" si="690">$J$93</f>
        <v>11.290322580645162</v>
      </c>
      <c r="AY93" s="2223">
        <f t="shared" si="690"/>
        <v>11.290322580645162</v>
      </c>
      <c r="AZ93" s="2223">
        <f t="shared" si="690"/>
        <v>11.290322580645162</v>
      </c>
      <c r="BA93" s="2223">
        <f t="shared" si="690"/>
        <v>11.290322580645162</v>
      </c>
      <c r="BB93" s="2223">
        <f t="shared" si="690"/>
        <v>11.290322580645162</v>
      </c>
      <c r="BC93" s="2223">
        <f t="shared" si="690"/>
        <v>11.290322580645162</v>
      </c>
      <c r="BD93" s="2223">
        <f t="shared" si="690"/>
        <v>11.290322580645162</v>
      </c>
      <c r="BE93" s="2299"/>
      <c r="BF93" s="2220">
        <f t="shared" ref="BF93:BF94" si="691">SUM(AX93:BD93)</f>
        <v>79.032258064516142</v>
      </c>
      <c r="BG93" s="2221"/>
      <c r="BH93" s="2222"/>
      <c r="BI93" s="1951"/>
      <c r="BJ93" s="2007">
        <f t="shared" ref="BJ93:BL93" si="692">$J$93</f>
        <v>11.290322580645162</v>
      </c>
      <c r="BK93" s="2223">
        <f t="shared" si="692"/>
        <v>11.290322580645162</v>
      </c>
      <c r="BL93" s="2223">
        <f t="shared" si="692"/>
        <v>11.290322580645162</v>
      </c>
      <c r="BM93" s="1951"/>
      <c r="BN93" s="2220">
        <f>SUM(BJ93:BL93)</f>
        <v>33.870967741935488</v>
      </c>
      <c r="BO93" s="2221"/>
      <c r="BP93" s="2222"/>
      <c r="BR93" s="2007">
        <f>SUM(N93:T93)+SUM(Z93:AF93)+SUM(AL93:AR93)+SUM(AX93:BD93)+SUM(BJ93:BL93)</f>
        <v>350.00000000000006</v>
      </c>
      <c r="BS93" s="2008">
        <f>BR93/E93</f>
        <v>1.0000000000000002</v>
      </c>
      <c r="BT93" s="1959"/>
      <c r="BU93" s="2224"/>
      <c r="BV93" s="2225"/>
      <c r="BW93" s="2339"/>
      <c r="BX93" s="1950"/>
    </row>
    <row r="94" spans="1:87" s="1860" customFormat="1" ht="17.25" thickBot="1" x14ac:dyDescent="0.25">
      <c r="B94" s="1739"/>
      <c r="C94" s="1739" t="s">
        <v>153</v>
      </c>
      <c r="D94" s="2205"/>
      <c r="E94" s="1732">
        <f>E93*100/30</f>
        <v>1166.6666666666667</v>
      </c>
      <c r="F94" s="1732">
        <f t="shared" si="681"/>
        <v>116.66666666666667</v>
      </c>
      <c r="G94" s="1732">
        <f t="shared" si="682"/>
        <v>77.777777777777786</v>
      </c>
      <c r="H94" s="1732">
        <f t="shared" si="683"/>
        <v>58.333333333333336</v>
      </c>
      <c r="I94" s="1732">
        <f t="shared" si="684"/>
        <v>46.666666666666671</v>
      </c>
      <c r="J94" s="1732">
        <f>J93*100/31</f>
        <v>36.420395421436005</v>
      </c>
      <c r="K94" s="1882">
        <f>E94/E105</f>
        <v>5.6880133147615905E-2</v>
      </c>
      <c r="L94" s="1760"/>
      <c r="M94" s="2633"/>
      <c r="N94" s="1732">
        <f t="shared" ref="N94:T94" si="693">$J$94</f>
        <v>36.420395421436005</v>
      </c>
      <c r="O94" s="1732">
        <f t="shared" si="693"/>
        <v>36.420395421436005</v>
      </c>
      <c r="P94" s="1732">
        <f t="shared" si="693"/>
        <v>36.420395421436005</v>
      </c>
      <c r="Q94" s="1732">
        <f t="shared" si="693"/>
        <v>36.420395421436005</v>
      </c>
      <c r="R94" s="1732">
        <f t="shared" si="693"/>
        <v>36.420395421436005</v>
      </c>
      <c r="S94" s="1732">
        <f t="shared" si="693"/>
        <v>36.420395421436005</v>
      </c>
      <c r="T94" s="1732">
        <f t="shared" si="693"/>
        <v>36.420395421436005</v>
      </c>
      <c r="U94" s="2604"/>
      <c r="V94" s="2226">
        <f t="shared" si="42"/>
        <v>254.94276795005206</v>
      </c>
      <c r="W94" s="2227"/>
      <c r="X94" s="2228"/>
      <c r="Y94" s="1881"/>
      <c r="Z94" s="2210">
        <f t="shared" ref="Z94:AF94" si="694">$J$94</f>
        <v>36.420395421436005</v>
      </c>
      <c r="AA94" s="2210">
        <f t="shared" si="694"/>
        <v>36.420395421436005</v>
      </c>
      <c r="AB94" s="2210">
        <f t="shared" si="694"/>
        <v>36.420395421436005</v>
      </c>
      <c r="AC94" s="2210">
        <f t="shared" si="694"/>
        <v>36.420395421436005</v>
      </c>
      <c r="AD94" s="2210">
        <f t="shared" si="694"/>
        <v>36.420395421436005</v>
      </c>
      <c r="AE94" s="2210">
        <f t="shared" si="694"/>
        <v>36.420395421436005</v>
      </c>
      <c r="AF94" s="2210">
        <f t="shared" si="694"/>
        <v>36.420395421436005</v>
      </c>
      <c r="AG94" s="1881"/>
      <c r="AH94" s="2226">
        <f t="shared" si="687"/>
        <v>254.94276795005206</v>
      </c>
      <c r="AI94" s="2227"/>
      <c r="AJ94" s="2228"/>
      <c r="AK94" s="1881"/>
      <c r="AL94" s="2210">
        <f t="shared" ref="AL94:AR94" si="695">$J$94</f>
        <v>36.420395421436005</v>
      </c>
      <c r="AM94" s="2210">
        <f t="shared" si="695"/>
        <v>36.420395421436005</v>
      </c>
      <c r="AN94" s="2210">
        <f t="shared" si="695"/>
        <v>36.420395421436005</v>
      </c>
      <c r="AO94" s="2210">
        <f t="shared" si="695"/>
        <v>36.420395421436005</v>
      </c>
      <c r="AP94" s="2210">
        <f t="shared" si="695"/>
        <v>36.420395421436005</v>
      </c>
      <c r="AQ94" s="2210">
        <f t="shared" si="695"/>
        <v>36.420395421436005</v>
      </c>
      <c r="AR94" s="2210">
        <f t="shared" si="695"/>
        <v>36.420395421436005</v>
      </c>
      <c r="AS94" s="2293"/>
      <c r="AT94" s="2226">
        <f t="shared" si="689"/>
        <v>254.94276795005206</v>
      </c>
      <c r="AU94" s="2227"/>
      <c r="AV94" s="2228"/>
      <c r="AW94" s="2293"/>
      <c r="AX94" s="2210">
        <f t="shared" ref="AX94:BD94" si="696">$J$94</f>
        <v>36.420395421436005</v>
      </c>
      <c r="AY94" s="2210">
        <f t="shared" si="696"/>
        <v>36.420395421436005</v>
      </c>
      <c r="AZ94" s="2210">
        <f t="shared" si="696"/>
        <v>36.420395421436005</v>
      </c>
      <c r="BA94" s="2210">
        <f t="shared" si="696"/>
        <v>36.420395421436005</v>
      </c>
      <c r="BB94" s="2210">
        <f t="shared" si="696"/>
        <v>36.420395421436005</v>
      </c>
      <c r="BC94" s="2210">
        <f t="shared" si="696"/>
        <v>36.420395421436005</v>
      </c>
      <c r="BD94" s="2210">
        <f t="shared" si="696"/>
        <v>36.420395421436005</v>
      </c>
      <c r="BE94" s="2293"/>
      <c r="BF94" s="2226">
        <f t="shared" si="691"/>
        <v>254.94276795005206</v>
      </c>
      <c r="BG94" s="2227"/>
      <c r="BH94" s="2228"/>
      <c r="BI94" s="2604"/>
      <c r="BJ94" s="1732">
        <f t="shared" ref="BJ94:BL94" si="697">$J$94</f>
        <v>36.420395421436005</v>
      </c>
      <c r="BK94" s="2210">
        <f t="shared" si="697"/>
        <v>36.420395421436005</v>
      </c>
      <c r="BL94" s="2210">
        <f t="shared" si="697"/>
        <v>36.420395421436005</v>
      </c>
      <c r="BM94" s="2604"/>
      <c r="BN94" s="2226">
        <f>SUM(BJ94:BL94)</f>
        <v>109.26118626430801</v>
      </c>
      <c r="BO94" s="2227"/>
      <c r="BP94" s="2228"/>
      <c r="BQ94" s="1726"/>
      <c r="BR94" s="1732">
        <f>SUM(N94:T94)+SUM(Z94:AF94)+SUM(AL94:AR94)+SUM(AX94:BD94)+SUM(BJ94:BL94)</f>
        <v>1129.0322580645163</v>
      </c>
      <c r="BS94" s="1882">
        <f>BR94/E94</f>
        <v>0.96774193548387111</v>
      </c>
      <c r="BT94" s="1740"/>
      <c r="BU94" s="2229"/>
      <c r="BV94" s="2230"/>
      <c r="BW94" s="2059"/>
      <c r="BX94" s="1877"/>
      <c r="BY94" s="1726"/>
    </row>
    <row r="95" spans="1:87" s="1860" customFormat="1" ht="4.5" customHeight="1" thickBot="1" x14ac:dyDescent="0.25">
      <c r="B95" s="2231"/>
      <c r="C95" s="2231"/>
      <c r="D95" s="1861"/>
      <c r="E95" s="2232"/>
      <c r="F95" s="2232"/>
      <c r="G95" s="2232"/>
      <c r="H95" s="2232"/>
      <c r="I95" s="2232"/>
      <c r="J95" s="2232"/>
      <c r="K95" s="2233"/>
      <c r="L95" s="1760"/>
      <c r="M95" s="2633"/>
      <c r="N95" s="2232"/>
      <c r="O95" s="2232"/>
      <c r="P95" s="2232"/>
      <c r="Q95" s="2232"/>
      <c r="R95" s="2232"/>
      <c r="S95" s="2232"/>
      <c r="T95" s="2232"/>
      <c r="U95" s="2604"/>
      <c r="V95" s="2604"/>
      <c r="W95" s="2604"/>
      <c r="X95" s="2604"/>
      <c r="Y95" s="1862"/>
      <c r="Z95" s="2232"/>
      <c r="AA95" s="2232"/>
      <c r="AB95" s="2232"/>
      <c r="AC95" s="2232"/>
      <c r="AD95" s="2232"/>
      <c r="AE95" s="2232"/>
      <c r="AF95" s="2232"/>
      <c r="AG95" s="1862"/>
      <c r="AH95" s="2604"/>
      <c r="AI95" s="2604"/>
      <c r="AJ95" s="2604"/>
      <c r="AK95" s="1862"/>
      <c r="AL95" s="2232"/>
      <c r="AM95" s="2232"/>
      <c r="AN95" s="2232"/>
      <c r="AO95" s="2232"/>
      <c r="AP95" s="2232"/>
      <c r="AQ95" s="2232"/>
      <c r="AR95" s="2232"/>
      <c r="AS95" s="2604"/>
      <c r="AT95" s="2604"/>
      <c r="AU95" s="2604"/>
      <c r="AV95" s="2604"/>
      <c r="AW95" s="2604"/>
      <c r="AX95" s="2232"/>
      <c r="AY95" s="2232"/>
      <c r="AZ95" s="2232"/>
      <c r="BA95" s="2232"/>
      <c r="BB95" s="2232"/>
      <c r="BC95" s="2232"/>
      <c r="BD95" s="2232"/>
      <c r="BE95" s="2604"/>
      <c r="BF95" s="2604"/>
      <c r="BG95" s="2604"/>
      <c r="BH95" s="2604"/>
      <c r="BI95" s="2604"/>
      <c r="BJ95" s="2232"/>
      <c r="BK95" s="2232"/>
      <c r="BL95" s="2232"/>
      <c r="BM95" s="2604"/>
      <c r="BN95" s="2604"/>
      <c r="BO95" s="2604"/>
      <c r="BP95" s="2604"/>
      <c r="BQ95" s="1726"/>
      <c r="BR95" s="2232"/>
      <c r="BS95" s="2233"/>
      <c r="BT95" s="1740"/>
      <c r="BU95" s="2604"/>
      <c r="BV95" s="2059"/>
      <c r="BW95" s="2059"/>
      <c r="BX95" s="1877"/>
      <c r="BY95" s="1726"/>
    </row>
    <row r="96" spans="1:87" s="1885" customFormat="1" ht="17.25" thickBot="1" x14ac:dyDescent="0.25">
      <c r="B96" s="2117"/>
      <c r="C96" s="2212" t="s">
        <v>154</v>
      </c>
      <c r="D96" s="2119"/>
      <c r="E96" s="2123"/>
      <c r="F96" s="2121"/>
      <c r="G96" s="2121"/>
      <c r="H96" s="2121"/>
      <c r="I96" s="2121"/>
      <c r="J96" s="2121"/>
      <c r="K96" s="2129"/>
      <c r="L96" s="2213"/>
      <c r="M96" s="2214"/>
      <c r="N96" s="2120">
        <f t="shared" ref="N96:S96" si="698">IF(N91&gt;$J$93,N91-N93,IF(N91&lt;$J$93,(IF(N91&lt;0,-11.667,N91-N93))))</f>
        <v>-11.667</v>
      </c>
      <c r="O96" s="2121">
        <f t="shared" si="698"/>
        <v>-11.667</v>
      </c>
      <c r="P96" s="2121">
        <f t="shared" si="698"/>
        <v>-11.667</v>
      </c>
      <c r="Q96" s="2121">
        <f t="shared" si="698"/>
        <v>-11.667</v>
      </c>
      <c r="R96" s="2121">
        <f t="shared" si="698"/>
        <v>-11.667</v>
      </c>
      <c r="S96" s="2121">
        <f t="shared" si="698"/>
        <v>19.887629032258083</v>
      </c>
      <c r="T96" s="2124">
        <f t="shared" ref="T96" si="699">IF(T91&gt;$J$93,T91-T93,IF(T91&lt;$J$93,(IF(T91&lt;0,-11.667,T91-T93))))</f>
        <v>-11.667</v>
      </c>
      <c r="U96" s="1951"/>
      <c r="V96" s="2120">
        <f>SUM(N96:T96)</f>
        <v>-50.11437096774192</v>
      </c>
      <c r="W96" s="2123"/>
      <c r="X96" s="2124"/>
      <c r="Y96" s="1956"/>
      <c r="Z96" s="2120">
        <f t="shared" ref="Z96" si="700">IF(Z91&gt;$J$93,Z91-Z93,IF(Z91&lt;$J$93,(IF(Z91&lt;0,-11.667,Z91-Z93))))</f>
        <v>-11.667</v>
      </c>
      <c r="AA96" s="2121">
        <f t="shared" ref="AA96:AC96" si="701">IF(AA91&gt;$J$93,AA91-AA93,IF(AA91&lt;$J$93,(IF(AA91&lt;0,-11.667,AA91-AA93))))</f>
        <v>-11.667</v>
      </c>
      <c r="AB96" s="2121">
        <f t="shared" si="701"/>
        <v>-11.667</v>
      </c>
      <c r="AC96" s="2121">
        <f t="shared" si="701"/>
        <v>-11.667</v>
      </c>
      <c r="AD96" s="2121">
        <f t="shared" ref="AD96:AE96" si="702">IF(AD91&gt;$J$93,AD91-AD93,IF(AD91&lt;$J$93,(IF(AD91&lt;0,-11.667,AD91-AD93))))</f>
        <v>8.5351290322580606</v>
      </c>
      <c r="AE96" s="2121">
        <f t="shared" si="702"/>
        <v>7.9761290322580631</v>
      </c>
      <c r="AF96" s="2121">
        <f t="shared" ref="AF96" si="703">IF(AF91&gt;$J$93,AF91-AF93,IF(AF91&lt;$J$93,(IF(AF91&lt;0,-11.667,AF91-AF93))))</f>
        <v>-11.667</v>
      </c>
      <c r="AG96" s="1956"/>
      <c r="AH96" s="2120">
        <f>SUM(Z96:AF96)</f>
        <v>-41.823741935483874</v>
      </c>
      <c r="AI96" s="2123"/>
      <c r="AJ96" s="2124"/>
      <c r="AK96" s="1955"/>
      <c r="AL96" s="2120">
        <f t="shared" ref="AL96:AM96" si="704">IF(AL91&gt;$J$93,AL91-AL93,IF(AL91&lt;$J$93,(IF(AL91&lt;0,-11.667,AL91-AL93))))</f>
        <v>17.222629032258062</v>
      </c>
      <c r="AM96" s="2121">
        <f t="shared" si="704"/>
        <v>-11.667</v>
      </c>
      <c r="AN96" s="2121">
        <f t="shared" ref="AN96:AO96" si="705">IF(AN91&gt;$J$93,AN91-AN93,IF(AN91&lt;$J$93,(IF(AN91&lt;0,-11.667,AN91-AN93))))</f>
        <v>-11.667</v>
      </c>
      <c r="AO96" s="2121">
        <f t="shared" si="705"/>
        <v>-11.667</v>
      </c>
      <c r="AP96" s="2121">
        <f t="shared" ref="AP96:AQ96" si="706">IF(AP91&gt;$J$93,AP91-AP93,IF(AP91&lt;$J$93,(IF(AP91&lt;0,-11.667,AP91-AP93))))</f>
        <v>12.241129032258078</v>
      </c>
      <c r="AQ96" s="2121">
        <f t="shared" si="706"/>
        <v>-11.667</v>
      </c>
      <c r="AR96" s="2124">
        <f t="shared" ref="AR96" si="707">IF(AR91&gt;$J$93,AR91-AR93,IF(AR91&lt;$J$93,(IF(AR91&lt;0,-11.667,AR91-AR93))))</f>
        <v>-11.667</v>
      </c>
      <c r="AS96" s="2254"/>
      <c r="AT96" s="2120">
        <f t="shared" si="689"/>
        <v>-28.871241935483859</v>
      </c>
      <c r="AU96" s="2123"/>
      <c r="AV96" s="2124"/>
      <c r="AW96" s="1951"/>
      <c r="AX96" s="2120">
        <f t="shared" ref="AX96:AY96" si="708">IF(AX91&gt;$J$93,AX91-AX93,IF(AX91&lt;$J$93,(IF(AX91&lt;0,-11.667,AX91-AX93))))</f>
        <v>-11.667</v>
      </c>
      <c r="AY96" s="2123">
        <f t="shared" si="708"/>
        <v>-11.667</v>
      </c>
      <c r="AZ96" s="2123">
        <f t="shared" ref="AZ96:BA96" si="709">IF(AZ91&gt;$J$93,AZ91-AZ93,IF(AZ91&lt;$J$93,(IF(AZ91&lt;0,-11.667,AZ91-AZ93))))</f>
        <v>-11.667</v>
      </c>
      <c r="BA96" s="2123">
        <f t="shared" si="709"/>
        <v>-11.667</v>
      </c>
      <c r="BB96" s="2123">
        <f t="shared" ref="BB96:BC96" si="710">IF(BB91&gt;$J$93,BB91-BB93,IF(BB91&lt;$J$93,(IF(BB91&lt;0,-11.667,BB91-BB93))))</f>
        <v>-11.180870967741933</v>
      </c>
      <c r="BC96" s="2123">
        <f t="shared" si="710"/>
        <v>-11.667</v>
      </c>
      <c r="BD96" s="2124">
        <f t="shared" ref="BD96" si="711">IF(BD91&gt;$J$93,BD91-BD93,IF(BD91&lt;$J$93,(IF(BD91&lt;0,-11.667,BD91-BD93))))</f>
        <v>-11.667</v>
      </c>
      <c r="BE96" s="1951"/>
      <c r="BF96" s="2120">
        <f t="shared" ref="BF96" si="712">SUM(AX96:BD96)</f>
        <v>-81.182870967741934</v>
      </c>
      <c r="BG96" s="2123"/>
      <c r="BH96" s="2124"/>
      <c r="BI96" s="1900"/>
      <c r="BJ96" s="2120">
        <f t="shared" ref="BJ96" si="713">IF(BJ91&gt;$J$93,BJ91-BJ93,IF(BJ91&lt;$J$93,(IF(BJ91&lt;0,-11.667,BJ91-BJ93))))</f>
        <v>-11.667</v>
      </c>
      <c r="BK96" s="2123">
        <f t="shared" ref="BK96" si="714">IF(BK91&gt;$J$93,BK91-BK93,IF(BK91&lt;$J$93,(IF(BK91&lt;0,-11.667,BK91-BK93))))</f>
        <v>-10.780870967741928</v>
      </c>
      <c r="BL96" s="2123">
        <f t="shared" ref="BL96" si="715">IF(BL91&gt;$J$93,BL91-BL93,IF(BL91&lt;$J$93,(IF(BL91&lt;0,-11.667,BL91-BL93))))</f>
        <v>-11.667</v>
      </c>
      <c r="BM96" s="2317"/>
      <c r="BN96" s="2215">
        <f>SUM(BJ96:BL96)</f>
        <v>-34.114870967741929</v>
      </c>
      <c r="BO96" s="2318"/>
      <c r="BP96" s="2118"/>
      <c r="BQ96" s="1897"/>
      <c r="BR96" s="2215">
        <f>SUM(N96:T96)+SUM(Z96:AF96)+SUM(AL96:AR96)+SUM(AX96:BD96)+SUM(BJ96:BL96)</f>
        <v>-236.10709677419351</v>
      </c>
      <c r="BS96" s="2130">
        <f>BR96/E93</f>
        <v>-0.67459170506912436</v>
      </c>
      <c r="BT96" s="1900"/>
      <c r="BU96" s="1900"/>
      <c r="BV96" s="1900"/>
      <c r="BW96" s="2011"/>
    </row>
    <row r="97" spans="2:76" s="1756" customFormat="1" ht="17.25" thickBot="1" x14ac:dyDescent="0.25">
      <c r="B97" s="1817"/>
      <c r="C97" s="1817"/>
      <c r="D97" s="1817"/>
      <c r="E97" s="1814"/>
      <c r="F97" s="1814"/>
      <c r="G97" s="1814"/>
      <c r="H97" s="1814"/>
      <c r="I97" s="1814"/>
      <c r="J97" s="1814"/>
      <c r="K97" s="1818"/>
      <c r="L97" s="2216"/>
      <c r="M97" s="2055"/>
      <c r="N97" s="1814"/>
      <c r="O97" s="1814"/>
      <c r="P97" s="1814"/>
      <c r="Q97" s="1814"/>
      <c r="R97" s="1814"/>
      <c r="S97" s="1814"/>
      <c r="T97" s="1814"/>
      <c r="U97" s="1814"/>
      <c r="V97" s="1814"/>
      <c r="W97" s="1814"/>
      <c r="X97" s="1814"/>
      <c r="Y97" s="1766"/>
      <c r="Z97" s="1814"/>
      <c r="AA97" s="1814"/>
      <c r="AB97" s="1814"/>
      <c r="AC97" s="1814"/>
      <c r="AD97" s="1814"/>
      <c r="AE97" s="1814"/>
      <c r="AF97" s="1814"/>
      <c r="AG97" s="1766"/>
      <c r="AH97" s="1814"/>
      <c r="AI97" s="1814"/>
      <c r="AJ97" s="1814"/>
      <c r="AK97" s="1766"/>
      <c r="AL97" s="1814"/>
      <c r="AM97" s="1814"/>
      <c r="AN97" s="1814"/>
      <c r="AO97" s="1814"/>
      <c r="AP97" s="1814"/>
      <c r="AQ97" s="1814"/>
      <c r="AR97" s="1814"/>
      <c r="AS97" s="1814"/>
      <c r="AT97" s="1814"/>
      <c r="AU97" s="1814"/>
      <c r="AV97" s="1814"/>
      <c r="AW97" s="1814"/>
      <c r="AX97" s="1814"/>
      <c r="AY97" s="1814"/>
      <c r="AZ97" s="1814"/>
      <c r="BA97" s="1814"/>
      <c r="BB97" s="1814"/>
      <c r="BC97" s="1814"/>
      <c r="BD97" s="1814"/>
      <c r="BE97" s="1814"/>
      <c r="BF97" s="1814"/>
      <c r="BG97" s="1814"/>
      <c r="BH97" s="1814"/>
      <c r="BI97" s="1814"/>
      <c r="BJ97" s="1814"/>
      <c r="BK97" s="1814"/>
      <c r="BL97" s="1814"/>
      <c r="BM97" s="1814"/>
      <c r="BN97" s="1814"/>
      <c r="BO97" s="1814"/>
      <c r="BP97" s="1814"/>
      <c r="BQ97" s="1766"/>
      <c r="BR97" s="1814"/>
      <c r="BS97" s="1830"/>
      <c r="BT97" s="2628"/>
      <c r="BU97" s="2628"/>
      <c r="BV97" s="2628"/>
      <c r="BW97" s="1817"/>
    </row>
    <row r="98" spans="2:76" s="1860" customFormat="1" x14ac:dyDescent="0.2">
      <c r="B98" s="2655"/>
      <c r="C98" s="2656"/>
      <c r="D98" s="1861"/>
      <c r="E98" s="1771"/>
      <c r="F98" s="2657"/>
      <c r="G98" s="2658"/>
      <c r="H98" s="2659"/>
      <c r="I98" s="2660"/>
      <c r="J98" s="2661"/>
      <c r="K98" s="1773"/>
      <c r="L98" s="2216"/>
      <c r="M98" s="2055"/>
      <c r="N98" s="4628" t="str">
        <f>IF(N62&gt;0,"0.000",N62)</f>
        <v>0.000</v>
      </c>
      <c r="O98" s="4630" t="str">
        <f t="shared" ref="O98:T98" si="716">IF(O62&gt;0,"0.000",O62)</f>
        <v>0.000</v>
      </c>
      <c r="P98" s="4630" t="str">
        <f t="shared" si="716"/>
        <v>0.000</v>
      </c>
      <c r="Q98" s="4630" t="str">
        <f t="shared" si="716"/>
        <v>0.000</v>
      </c>
      <c r="R98" s="4630" t="str">
        <f t="shared" si="716"/>
        <v>0.000</v>
      </c>
      <c r="S98" s="4630" t="str">
        <f t="shared" si="716"/>
        <v>0.000</v>
      </c>
      <c r="T98" s="4632" t="str">
        <f t="shared" si="716"/>
        <v>0.000</v>
      </c>
      <c r="U98" s="2604"/>
      <c r="V98" s="4628">
        <f t="shared" si="42"/>
        <v>0</v>
      </c>
      <c r="W98" s="4630"/>
      <c r="X98" s="4632"/>
      <c r="Y98" s="1862"/>
      <c r="Z98" s="4628" t="str">
        <f t="shared" ref="Z98:AF98" si="717">IF(Z62&gt;0,"0.000",Z62)</f>
        <v>0.000</v>
      </c>
      <c r="AA98" s="4630" t="str">
        <f t="shared" si="717"/>
        <v>0.000</v>
      </c>
      <c r="AB98" s="4630" t="str">
        <f t="shared" si="717"/>
        <v>0.000</v>
      </c>
      <c r="AC98" s="4630" t="str">
        <f t="shared" si="717"/>
        <v>0.000</v>
      </c>
      <c r="AD98" s="4630" t="str">
        <f t="shared" si="717"/>
        <v>0.000</v>
      </c>
      <c r="AE98" s="4630" t="str">
        <f t="shared" si="717"/>
        <v>0.000</v>
      </c>
      <c r="AF98" s="4632" t="str">
        <f t="shared" si="717"/>
        <v>0.000</v>
      </c>
      <c r="AG98" s="1862"/>
      <c r="AH98" s="4628">
        <f t="shared" ref="AH98:AH103" si="718">SUM(Z98:AF98)</f>
        <v>0</v>
      </c>
      <c r="AI98" s="4630"/>
      <c r="AJ98" s="4632"/>
      <c r="AK98" s="1862"/>
      <c r="AL98" s="4628" t="str">
        <f t="shared" ref="AL98:AR98" si="719">IF(AL62&gt;0,"0.000",AL62)</f>
        <v>0.000</v>
      </c>
      <c r="AM98" s="4630" t="str">
        <f t="shared" si="719"/>
        <v>0.000</v>
      </c>
      <c r="AN98" s="4630" t="str">
        <f t="shared" si="719"/>
        <v>0.000</v>
      </c>
      <c r="AO98" s="4630" t="str">
        <f t="shared" si="719"/>
        <v>0.000</v>
      </c>
      <c r="AP98" s="4630" t="str">
        <f t="shared" si="719"/>
        <v>0.000</v>
      </c>
      <c r="AQ98" s="4630" t="str">
        <f t="shared" si="719"/>
        <v>0.000</v>
      </c>
      <c r="AR98" s="4632" t="str">
        <f t="shared" si="719"/>
        <v>0.000</v>
      </c>
      <c r="AS98" s="2604"/>
      <c r="AT98" s="4628">
        <f t="shared" ref="AT98:AT103" si="720">SUM(AL98:AR98)</f>
        <v>0</v>
      </c>
      <c r="AU98" s="4630"/>
      <c r="AV98" s="4632"/>
      <c r="AW98" s="2604"/>
      <c r="AX98" s="4628" t="str">
        <f t="shared" ref="AX98:BD98" si="721">IF(AX62&gt;0,"0.000",AX62)</f>
        <v>0.000</v>
      </c>
      <c r="AY98" s="4630" t="str">
        <f t="shared" si="721"/>
        <v>0.000</v>
      </c>
      <c r="AZ98" s="4630" t="str">
        <f t="shared" si="721"/>
        <v>0.000</v>
      </c>
      <c r="BA98" s="4630" t="str">
        <f t="shared" si="721"/>
        <v>0.000</v>
      </c>
      <c r="BB98" s="4630" t="str">
        <f t="shared" si="721"/>
        <v>0.000</v>
      </c>
      <c r="BC98" s="4630" t="str">
        <f t="shared" si="721"/>
        <v>0.000</v>
      </c>
      <c r="BD98" s="4632" t="str">
        <f t="shared" si="721"/>
        <v>0.000</v>
      </c>
      <c r="BE98" s="2604"/>
      <c r="BF98" s="4628">
        <f t="shared" ref="BF98:BF103" si="722">SUM(AX98:BD98)</f>
        <v>0</v>
      </c>
      <c r="BG98" s="4630"/>
      <c r="BH98" s="4632"/>
      <c r="BI98" s="2604"/>
      <c r="BJ98" s="4628" t="str">
        <f>IF(BJ62&gt;0,"0.000",BJ62)</f>
        <v>0.000</v>
      </c>
      <c r="BK98" s="4630" t="str">
        <f>IF(BK62&gt;0,"0.000",BK62)</f>
        <v>0.000</v>
      </c>
      <c r="BL98" s="4632" t="str">
        <f>IF(BL62&gt;0,"0.000",BL62)</f>
        <v>0.000</v>
      </c>
      <c r="BM98" s="2604"/>
      <c r="BN98" s="4628">
        <f>SUM(BJ98:BL98)</f>
        <v>0</v>
      </c>
      <c r="BO98" s="4630"/>
      <c r="BP98" s="4632"/>
      <c r="BQ98" s="1726"/>
      <c r="BR98" s="4628">
        <f>SUM(N98:T98)+SUM(Z98:AF98)+SUM(AL98:AR98)+SUM(AX98:BD98)+SUM(BJ98:BL98)</f>
        <v>0</v>
      </c>
      <c r="BS98" s="4632"/>
      <c r="BT98" s="1740"/>
      <c r="BU98" s="2604"/>
      <c r="BV98" s="1997"/>
      <c r="BW98" s="1997"/>
      <c r="BX98" s="2633"/>
    </row>
    <row r="99" spans="2:76" s="1946" customFormat="1" ht="17.25" thickBot="1" x14ac:dyDescent="0.25">
      <c r="B99" s="2359"/>
      <c r="C99" s="2360" t="s">
        <v>213</v>
      </c>
      <c r="D99" s="2011"/>
      <c r="E99" s="2374">
        <f>C56</f>
        <v>12790.135999999999</v>
      </c>
      <c r="F99" s="2375"/>
      <c r="G99" s="2376"/>
      <c r="H99" s="2377"/>
      <c r="I99" s="2378"/>
      <c r="J99" s="2379">
        <f>E99/31</f>
        <v>412.58503225806447</v>
      </c>
      <c r="K99" s="2380">
        <f>J99*25%</f>
        <v>103.14625806451612</v>
      </c>
      <c r="L99" s="2213"/>
      <c r="M99" s="2214"/>
      <c r="N99" s="4629"/>
      <c r="O99" s="4631"/>
      <c r="P99" s="4631"/>
      <c r="Q99" s="4631"/>
      <c r="R99" s="4631"/>
      <c r="S99" s="4631"/>
      <c r="T99" s="4633"/>
      <c r="U99" s="2630"/>
      <c r="V99" s="4629"/>
      <c r="W99" s="4631"/>
      <c r="X99" s="4633"/>
      <c r="Y99" s="1897"/>
      <c r="Z99" s="4629"/>
      <c r="AA99" s="4631"/>
      <c r="AB99" s="4631"/>
      <c r="AC99" s="4631"/>
      <c r="AD99" s="4631"/>
      <c r="AE99" s="4631"/>
      <c r="AF99" s="4633"/>
      <c r="AG99" s="1897"/>
      <c r="AH99" s="4629"/>
      <c r="AI99" s="4631"/>
      <c r="AJ99" s="4633"/>
      <c r="AK99" s="1897"/>
      <c r="AL99" s="4629"/>
      <c r="AM99" s="4631"/>
      <c r="AN99" s="4631"/>
      <c r="AO99" s="4631"/>
      <c r="AP99" s="4631"/>
      <c r="AQ99" s="4631"/>
      <c r="AR99" s="4633"/>
      <c r="AS99" s="2630"/>
      <c r="AT99" s="4629"/>
      <c r="AU99" s="4631"/>
      <c r="AV99" s="4633"/>
      <c r="AW99" s="2630"/>
      <c r="AX99" s="4629"/>
      <c r="AY99" s="4631"/>
      <c r="AZ99" s="4631"/>
      <c r="BA99" s="4631"/>
      <c r="BB99" s="4631"/>
      <c r="BC99" s="4631"/>
      <c r="BD99" s="4633"/>
      <c r="BE99" s="2630"/>
      <c r="BF99" s="4629"/>
      <c r="BG99" s="4631"/>
      <c r="BH99" s="4633"/>
      <c r="BI99" s="2630"/>
      <c r="BJ99" s="4629"/>
      <c r="BK99" s="4631"/>
      <c r="BL99" s="4633"/>
      <c r="BM99" s="2630"/>
      <c r="BN99" s="4629"/>
      <c r="BO99" s="4631"/>
      <c r="BP99" s="4633"/>
      <c r="BQ99" s="1885"/>
      <c r="BR99" s="4629"/>
      <c r="BS99" s="4633"/>
      <c r="BT99" s="1900"/>
      <c r="BU99" s="2630"/>
      <c r="BV99" s="2010"/>
      <c r="BW99" s="2010"/>
      <c r="BX99" s="2629"/>
    </row>
    <row r="100" spans="2:76" s="1860" customFormat="1" ht="5.25" customHeight="1" thickBot="1" x14ac:dyDescent="0.25">
      <c r="B100" s="1861"/>
      <c r="C100" s="1861"/>
      <c r="D100" s="1861"/>
      <c r="E100" s="1814"/>
      <c r="F100" s="2367"/>
      <c r="G100" s="2368"/>
      <c r="H100" s="2369"/>
      <c r="I100" s="2370"/>
      <c r="J100" s="1814"/>
      <c r="K100" s="1818"/>
      <c r="L100" s="2055"/>
      <c r="M100" s="2055"/>
      <c r="N100" s="2604"/>
      <c r="O100" s="2604"/>
      <c r="P100" s="2604"/>
      <c r="Q100" s="2604"/>
      <c r="R100" s="2604"/>
      <c r="S100" s="2604"/>
      <c r="T100" s="2604"/>
      <c r="U100" s="2604"/>
      <c r="V100" s="2604"/>
      <c r="W100" s="2604"/>
      <c r="X100" s="2604"/>
      <c r="Y100" s="1862"/>
      <c r="Z100" s="2604"/>
      <c r="AA100" s="2604"/>
      <c r="AB100" s="2604"/>
      <c r="AC100" s="2604"/>
      <c r="AD100" s="2604"/>
      <c r="AE100" s="2604"/>
      <c r="AF100" s="2604"/>
      <c r="AG100" s="1862"/>
      <c r="AH100" s="2604"/>
      <c r="AI100" s="2604"/>
      <c r="AJ100" s="2604"/>
      <c r="AK100" s="1862"/>
      <c r="AL100" s="2604"/>
      <c r="AM100" s="2604"/>
      <c r="AN100" s="2604"/>
      <c r="AO100" s="2604"/>
      <c r="AP100" s="2604"/>
      <c r="AQ100" s="2604"/>
      <c r="AR100" s="2604"/>
      <c r="AS100" s="2604"/>
      <c r="AT100" s="2604"/>
      <c r="AU100" s="2604"/>
      <c r="AV100" s="2604"/>
      <c r="AW100" s="2604"/>
      <c r="AX100" s="2604"/>
      <c r="AY100" s="2604"/>
      <c r="AZ100" s="2604"/>
      <c r="BA100" s="2604"/>
      <c r="BB100" s="2604"/>
      <c r="BC100" s="2604"/>
      <c r="BD100" s="2604"/>
      <c r="BE100" s="2604"/>
      <c r="BF100" s="2604"/>
      <c r="BG100" s="2604"/>
      <c r="BH100" s="2604"/>
      <c r="BI100" s="2604"/>
      <c r="BJ100" s="2712"/>
      <c r="BK100" s="2712"/>
      <c r="BL100" s="2712"/>
      <c r="BM100" s="2604"/>
      <c r="BN100" s="2712"/>
      <c r="BO100" s="2712"/>
      <c r="BP100" s="2712"/>
      <c r="BR100" s="2604"/>
      <c r="BS100" s="2604"/>
      <c r="BT100" s="1861"/>
      <c r="BU100" s="2604"/>
      <c r="BV100" s="1997"/>
      <c r="BW100" s="1997"/>
      <c r="BX100" s="2633"/>
    </row>
    <row r="101" spans="2:76" s="1726" customFormat="1" x14ac:dyDescent="0.2">
      <c r="B101" s="2655"/>
      <c r="C101" s="2656" t="s">
        <v>143</v>
      </c>
      <c r="D101" s="1861"/>
      <c r="E101" s="1771">
        <f>E90</f>
        <v>6554.166666666667</v>
      </c>
      <c r="F101" s="2657">
        <f t="shared" si="681"/>
        <v>655.41666666666674</v>
      </c>
      <c r="G101" s="2658">
        <f t="shared" ref="G101:G102" si="723">E101/15</f>
        <v>436.94444444444446</v>
      </c>
      <c r="H101" s="2659">
        <f t="shared" ref="H101:H102" si="724">E101/20</f>
        <v>327.70833333333337</v>
      </c>
      <c r="I101" s="2660">
        <f t="shared" ref="I101:I102" si="725">E101/25</f>
        <v>262.16666666666669</v>
      </c>
      <c r="J101" s="2661">
        <f>E101/31</f>
        <v>211.42473118279571</v>
      </c>
      <c r="K101" s="1773">
        <f>J101*25%</f>
        <v>52.856182795698928</v>
      </c>
      <c r="L101" s="2216"/>
      <c r="M101" s="2055"/>
      <c r="N101" s="2207">
        <f>IF(N91&gt;0,"0.000",N91)</f>
        <v>-23.003048387096772</v>
      </c>
      <c r="O101" s="2662">
        <f>IF(O91&gt;0,"0.000",O91)</f>
        <v>-47.952548387096769</v>
      </c>
      <c r="P101" s="2662">
        <f t="shared" ref="P101:T101" si="726">IF(P91&gt;0,"0.000",P91)</f>
        <v>-51.929048387096771</v>
      </c>
      <c r="Q101" s="2662">
        <f t="shared" si="726"/>
        <v>-5.3355483870967646</v>
      </c>
      <c r="R101" s="2662">
        <f t="shared" si="726"/>
        <v>-4.4230483870967703</v>
      </c>
      <c r="S101" s="2662" t="str">
        <f t="shared" si="726"/>
        <v>0.000</v>
      </c>
      <c r="T101" s="2277">
        <f t="shared" si="726"/>
        <v>-53.032258064516128</v>
      </c>
      <c r="U101" s="2604"/>
      <c r="V101" s="2207">
        <f t="shared" si="42"/>
        <v>-185.67549999999997</v>
      </c>
      <c r="W101" s="2662"/>
      <c r="X101" s="2277"/>
      <c r="Y101" s="1862"/>
      <c r="Z101" s="2207">
        <f t="shared" ref="Z101:AF101" si="727">IF(Z91&gt;0,"0.000",Z91)</f>
        <v>-46.244048387096768</v>
      </c>
      <c r="AA101" s="2662">
        <f t="shared" si="727"/>
        <v>-20.611548387096775</v>
      </c>
      <c r="AB101" s="2662">
        <f t="shared" si="727"/>
        <v>-11.962048387096772</v>
      </c>
      <c r="AC101" s="2662">
        <f t="shared" si="727"/>
        <v>-13.722548387096765</v>
      </c>
      <c r="AD101" s="2662" t="str">
        <f t="shared" si="727"/>
        <v>0.000</v>
      </c>
      <c r="AE101" s="2662" t="str">
        <f t="shared" si="727"/>
        <v>0.000</v>
      </c>
      <c r="AF101" s="2277">
        <f t="shared" si="727"/>
        <v>-15.214548387096769</v>
      </c>
      <c r="AG101" s="1862"/>
      <c r="AH101" s="2207">
        <f>SUM(Z101:AF101)</f>
        <v>-107.75474193548385</v>
      </c>
      <c r="AI101" s="2662"/>
      <c r="AJ101" s="2277"/>
      <c r="AK101" s="1862"/>
      <c r="AL101" s="2207" t="str">
        <f t="shared" ref="AL101:AR101" si="728">IF(AL91&gt;0,"0.000",AL91)</f>
        <v>0.000</v>
      </c>
      <c r="AM101" s="2662">
        <f t="shared" si="728"/>
        <v>-41.317548387096764</v>
      </c>
      <c r="AN101" s="2662">
        <f t="shared" si="728"/>
        <v>-22.01754838709677</v>
      </c>
      <c r="AO101" s="2662">
        <f t="shared" si="728"/>
        <v>-29.118548387096769</v>
      </c>
      <c r="AP101" s="2662" t="str">
        <f t="shared" si="728"/>
        <v>0.000</v>
      </c>
      <c r="AQ101" s="2662">
        <f t="shared" si="728"/>
        <v>-4.2725483870967764</v>
      </c>
      <c r="AR101" s="2277">
        <f t="shared" si="728"/>
        <v>-16.770048387096764</v>
      </c>
      <c r="AS101" s="2604"/>
      <c r="AT101" s="2207">
        <f t="shared" si="720"/>
        <v>-113.49624193548384</v>
      </c>
      <c r="AU101" s="2662"/>
      <c r="AV101" s="2277"/>
      <c r="AW101" s="2604"/>
      <c r="AX101" s="2207">
        <f t="shared" ref="AX101:BD101" si="729">IF(AX91&gt;0,"0.000",AX91)</f>
        <v>-37.555048387096775</v>
      </c>
      <c r="AY101" s="2662">
        <f t="shared" si="729"/>
        <v>-22.00554838709677</v>
      </c>
      <c r="AZ101" s="2662">
        <f t="shared" si="729"/>
        <v>-51.105048387096772</v>
      </c>
      <c r="BA101" s="2662">
        <f t="shared" si="729"/>
        <v>-8.4385483870967732</v>
      </c>
      <c r="BB101" s="2662" t="str">
        <f t="shared" si="729"/>
        <v>0.000</v>
      </c>
      <c r="BC101" s="2662">
        <f t="shared" si="729"/>
        <v>-25.07604838709678</v>
      </c>
      <c r="BD101" s="2277">
        <f t="shared" si="729"/>
        <v>-35.650548387096777</v>
      </c>
      <c r="BE101" s="2604"/>
      <c r="BF101" s="2207">
        <f t="shared" si="722"/>
        <v>-179.83079032258064</v>
      </c>
      <c r="BG101" s="2662"/>
      <c r="BH101" s="2277"/>
      <c r="BI101" s="2604"/>
      <c r="BJ101" s="2207">
        <f>IF(BJ91&gt;0,"0.000",BJ91)</f>
        <v>-31.449548387096772</v>
      </c>
      <c r="BK101" s="2208" t="str">
        <f>IF(BK91&gt;0,"0.000",BK91)</f>
        <v>0.000</v>
      </c>
      <c r="BL101" s="2209">
        <f>IF(BL91&gt;0,"0.000",BL91)</f>
        <v>-37.431548387096768</v>
      </c>
      <c r="BM101" s="2604"/>
      <c r="BN101" s="2207">
        <f>SUM(BJ101:BL101)</f>
        <v>-68.881096774193537</v>
      </c>
      <c r="BO101" s="2662"/>
      <c r="BP101" s="2277"/>
      <c r="BR101" s="2663">
        <f>SUM(N101:T101)+SUM(Z101:AF101)+SUM(AL101:AR101)+SUM(AX101:BD101)+SUM(BJ101:BL101)</f>
        <v>-655.63837096774182</v>
      </c>
      <c r="BS101" s="2277"/>
      <c r="BT101" s="1740"/>
      <c r="BU101" s="2604"/>
      <c r="BV101" s="2246"/>
      <c r="BW101" s="2246"/>
      <c r="BX101" s="2247"/>
    </row>
    <row r="102" spans="2:76" s="1885" customFormat="1" ht="17.25" thickBot="1" x14ac:dyDescent="0.25">
      <c r="B102" s="2703"/>
      <c r="C102" s="2704" t="s">
        <v>178</v>
      </c>
      <c r="D102" s="2011"/>
      <c r="E102" s="2705">
        <f>E94</f>
        <v>1166.6666666666667</v>
      </c>
      <c r="F102" s="2706">
        <f t="shared" si="681"/>
        <v>116.66666666666667</v>
      </c>
      <c r="G102" s="2707">
        <f t="shared" si="723"/>
        <v>77.777777777777786</v>
      </c>
      <c r="H102" s="2708">
        <f t="shared" si="724"/>
        <v>58.333333333333336</v>
      </c>
      <c r="I102" s="2709">
        <f t="shared" si="725"/>
        <v>46.666666666666671</v>
      </c>
      <c r="J102" s="2710">
        <f>E102/31</f>
        <v>37.634408602150543</v>
      </c>
      <c r="K102" s="2711">
        <f>J102*25%</f>
        <v>9.4086021505376358</v>
      </c>
      <c r="L102" s="2213"/>
      <c r="M102" s="2214"/>
      <c r="N102" s="2244">
        <f>IF(N96&gt;0,"0.000",N96)</f>
        <v>-11.667</v>
      </c>
      <c r="O102" s="1898">
        <f t="shared" ref="O102:T102" si="730">IF(O96&gt;0,"0.000",O96)</f>
        <v>-11.667</v>
      </c>
      <c r="P102" s="1898">
        <f t="shared" si="730"/>
        <v>-11.667</v>
      </c>
      <c r="Q102" s="1898">
        <f t="shared" si="730"/>
        <v>-11.667</v>
      </c>
      <c r="R102" s="1898">
        <f t="shared" si="730"/>
        <v>-11.667</v>
      </c>
      <c r="S102" s="1898" t="str">
        <f t="shared" si="730"/>
        <v>0.000</v>
      </c>
      <c r="T102" s="2245">
        <f t="shared" si="730"/>
        <v>-11.667</v>
      </c>
      <c r="U102" s="2630"/>
      <c r="V102" s="2244">
        <f t="shared" si="42"/>
        <v>-70.001999999999995</v>
      </c>
      <c r="W102" s="1898"/>
      <c r="X102" s="2245"/>
      <c r="Y102" s="1897"/>
      <c r="Z102" s="2244">
        <f t="shared" ref="Z102:AF102" si="731">IF(Z96&gt;0,"0.000",Z96)</f>
        <v>-11.667</v>
      </c>
      <c r="AA102" s="1898">
        <f t="shared" si="731"/>
        <v>-11.667</v>
      </c>
      <c r="AB102" s="1898">
        <f t="shared" si="731"/>
        <v>-11.667</v>
      </c>
      <c r="AC102" s="1898">
        <f t="shared" si="731"/>
        <v>-11.667</v>
      </c>
      <c r="AD102" s="1898" t="str">
        <f t="shared" si="731"/>
        <v>0.000</v>
      </c>
      <c r="AE102" s="1898" t="str">
        <f t="shared" si="731"/>
        <v>0.000</v>
      </c>
      <c r="AF102" s="2245">
        <f t="shared" si="731"/>
        <v>-11.667</v>
      </c>
      <c r="AG102" s="1897"/>
      <c r="AH102" s="2244">
        <f t="shared" si="718"/>
        <v>-58.335000000000001</v>
      </c>
      <c r="AI102" s="1898"/>
      <c r="AJ102" s="2245"/>
      <c r="AK102" s="1897"/>
      <c r="AL102" s="2244" t="str">
        <f t="shared" ref="AL102:AR102" si="732">IF(AL96&gt;0,"0.000",AL96)</f>
        <v>0.000</v>
      </c>
      <c r="AM102" s="1898">
        <f t="shared" si="732"/>
        <v>-11.667</v>
      </c>
      <c r="AN102" s="1898">
        <f t="shared" si="732"/>
        <v>-11.667</v>
      </c>
      <c r="AO102" s="1898">
        <f t="shared" si="732"/>
        <v>-11.667</v>
      </c>
      <c r="AP102" s="1898" t="str">
        <f t="shared" si="732"/>
        <v>0.000</v>
      </c>
      <c r="AQ102" s="1898">
        <f t="shared" si="732"/>
        <v>-11.667</v>
      </c>
      <c r="AR102" s="2245">
        <f t="shared" si="732"/>
        <v>-11.667</v>
      </c>
      <c r="AS102" s="2630"/>
      <c r="AT102" s="2244">
        <f t="shared" si="720"/>
        <v>-58.335000000000001</v>
      </c>
      <c r="AU102" s="1898"/>
      <c r="AV102" s="2245"/>
      <c r="AW102" s="2630"/>
      <c r="AX102" s="2244">
        <f t="shared" ref="AX102:BD102" si="733">IF(AX96&gt;0,"0.000",AX96)</f>
        <v>-11.667</v>
      </c>
      <c r="AY102" s="1898">
        <f t="shared" si="733"/>
        <v>-11.667</v>
      </c>
      <c r="AZ102" s="1898">
        <f t="shared" si="733"/>
        <v>-11.667</v>
      </c>
      <c r="BA102" s="1898">
        <f t="shared" si="733"/>
        <v>-11.667</v>
      </c>
      <c r="BB102" s="1898">
        <f t="shared" si="733"/>
        <v>-11.180870967741933</v>
      </c>
      <c r="BC102" s="1898">
        <f t="shared" si="733"/>
        <v>-11.667</v>
      </c>
      <c r="BD102" s="2245">
        <f t="shared" si="733"/>
        <v>-11.667</v>
      </c>
      <c r="BE102" s="2630"/>
      <c r="BF102" s="2244">
        <f t="shared" si="722"/>
        <v>-81.182870967741934</v>
      </c>
      <c r="BG102" s="1898"/>
      <c r="BH102" s="2245"/>
      <c r="BI102" s="2630"/>
      <c r="BJ102" s="2244">
        <f>IF(BJ96&gt;0,"0.000",BJ96)</f>
        <v>-11.667</v>
      </c>
      <c r="BK102" s="2322">
        <f>IF(BK96&gt;0,"0.000",BK96)</f>
        <v>-10.780870967741928</v>
      </c>
      <c r="BL102" s="2738">
        <f>IF(BL96&gt;0,"0.000",BL96)</f>
        <v>-11.667</v>
      </c>
      <c r="BM102" s="2630"/>
      <c r="BN102" s="2244">
        <f>SUM(BJ102:BL102)</f>
        <v>-34.114870967741929</v>
      </c>
      <c r="BO102" s="1898"/>
      <c r="BP102" s="2245"/>
      <c r="BR102" s="2244">
        <f>SUM(N102:T102)+SUM(Z102:AF102)+SUM(AL102:AR102)+SUM(AX102:BD102)+SUM(BJ102:BL102)</f>
        <v>-301.96974193548385</v>
      </c>
      <c r="BS102" s="2245"/>
      <c r="BT102" s="1900"/>
      <c r="BU102" s="2630"/>
      <c r="BV102" s="2251"/>
      <c r="BW102" s="2251"/>
      <c r="BX102" s="2252"/>
    </row>
    <row r="103" spans="2:76" s="1726" customFormat="1" ht="17.25" thickBot="1" x14ac:dyDescent="0.25">
      <c r="B103" s="2355"/>
      <c r="C103" s="2356" t="s">
        <v>215</v>
      </c>
      <c r="D103" s="1861"/>
      <c r="E103" s="2664">
        <f>E101+E102</f>
        <v>7720.8333333333339</v>
      </c>
      <c r="F103" s="2665"/>
      <c r="G103" s="2666"/>
      <c r="H103" s="2667"/>
      <c r="I103" s="2668"/>
      <c r="J103" s="2669">
        <f>J101+J102</f>
        <v>249.05913978494624</v>
      </c>
      <c r="K103" s="2670">
        <f>K101+K102</f>
        <v>62.26478494623656</v>
      </c>
      <c r="L103" s="2216"/>
      <c r="M103" s="2055"/>
      <c r="N103" s="2226" t="str">
        <f>IF(N96&lt;0,"0.000",N96)</f>
        <v>0.000</v>
      </c>
      <c r="O103" s="2671" t="str">
        <f t="shared" ref="O103:T103" si="734">IF(O96&lt;0,"0.000",O96)</f>
        <v>0.000</v>
      </c>
      <c r="P103" s="2671" t="str">
        <f t="shared" si="734"/>
        <v>0.000</v>
      </c>
      <c r="Q103" s="2671" t="str">
        <f t="shared" si="734"/>
        <v>0.000</v>
      </c>
      <c r="R103" s="2671" t="str">
        <f t="shared" si="734"/>
        <v>0.000</v>
      </c>
      <c r="S103" s="2671">
        <f t="shared" si="734"/>
        <v>19.887629032258083</v>
      </c>
      <c r="T103" s="2672" t="str">
        <f t="shared" si="734"/>
        <v>0.000</v>
      </c>
      <c r="U103" s="2604"/>
      <c r="V103" s="2226">
        <f t="shared" si="42"/>
        <v>19.887629032258083</v>
      </c>
      <c r="W103" s="2671"/>
      <c r="X103" s="2672"/>
      <c r="Y103" s="1862"/>
      <c r="Z103" s="2226" t="str">
        <f t="shared" ref="Z103:AF103" si="735">IF(Z96&lt;0,"0.000",Z96)</f>
        <v>0.000</v>
      </c>
      <c r="AA103" s="2671" t="str">
        <f t="shared" si="735"/>
        <v>0.000</v>
      </c>
      <c r="AB103" s="2671" t="str">
        <f t="shared" si="735"/>
        <v>0.000</v>
      </c>
      <c r="AC103" s="2671" t="str">
        <f t="shared" si="735"/>
        <v>0.000</v>
      </c>
      <c r="AD103" s="2671">
        <f t="shared" si="735"/>
        <v>8.5351290322580606</v>
      </c>
      <c r="AE103" s="2671">
        <f t="shared" si="735"/>
        <v>7.9761290322580631</v>
      </c>
      <c r="AF103" s="2672" t="str">
        <f t="shared" si="735"/>
        <v>0.000</v>
      </c>
      <c r="AG103" s="1862"/>
      <c r="AH103" s="2226">
        <f t="shared" si="718"/>
        <v>16.511258064516124</v>
      </c>
      <c r="AI103" s="2671"/>
      <c r="AJ103" s="2672"/>
      <c r="AK103" s="1862"/>
      <c r="AL103" s="2226">
        <f t="shared" ref="AL103:AR103" si="736">IF(AL96&lt;0,"0.000",AL96)</f>
        <v>17.222629032258062</v>
      </c>
      <c r="AM103" s="2671" t="str">
        <f t="shared" si="736"/>
        <v>0.000</v>
      </c>
      <c r="AN103" s="2671" t="str">
        <f t="shared" si="736"/>
        <v>0.000</v>
      </c>
      <c r="AO103" s="2671" t="str">
        <f t="shared" si="736"/>
        <v>0.000</v>
      </c>
      <c r="AP103" s="2671">
        <f t="shared" si="736"/>
        <v>12.241129032258078</v>
      </c>
      <c r="AQ103" s="2671" t="str">
        <f t="shared" si="736"/>
        <v>0.000</v>
      </c>
      <c r="AR103" s="2672" t="str">
        <f t="shared" si="736"/>
        <v>0.000</v>
      </c>
      <c r="AS103" s="2604"/>
      <c r="AT103" s="2226">
        <f t="shared" si="720"/>
        <v>29.463758064516142</v>
      </c>
      <c r="AU103" s="2671"/>
      <c r="AV103" s="2672"/>
      <c r="AW103" s="2604"/>
      <c r="AX103" s="2226" t="str">
        <f t="shared" ref="AX103:BD103" si="737">IF(AX96&lt;0,"0.000",AX96)</f>
        <v>0.000</v>
      </c>
      <c r="AY103" s="2671" t="str">
        <f t="shared" si="737"/>
        <v>0.000</v>
      </c>
      <c r="AZ103" s="2671" t="str">
        <f t="shared" si="737"/>
        <v>0.000</v>
      </c>
      <c r="BA103" s="2671" t="str">
        <f t="shared" si="737"/>
        <v>0.000</v>
      </c>
      <c r="BB103" s="2671" t="str">
        <f t="shared" si="737"/>
        <v>0.000</v>
      </c>
      <c r="BC103" s="2671" t="str">
        <f t="shared" si="737"/>
        <v>0.000</v>
      </c>
      <c r="BD103" s="2672" t="str">
        <f t="shared" si="737"/>
        <v>0.000</v>
      </c>
      <c r="BE103" s="2604"/>
      <c r="BF103" s="2226">
        <f t="shared" si="722"/>
        <v>0</v>
      </c>
      <c r="BG103" s="2671"/>
      <c r="BH103" s="2672"/>
      <c r="BI103" s="2604"/>
      <c r="BJ103" s="2226" t="str">
        <f>IF(BJ96&lt;0,"0.000",BJ96)</f>
        <v>0.000</v>
      </c>
      <c r="BK103" s="2227" t="str">
        <f>IF(BK96&lt;0,"0.000",BK96)</f>
        <v>0.000</v>
      </c>
      <c r="BL103" s="2228" t="str">
        <f>IF(BL96&lt;0,"0.000",BL96)</f>
        <v>0.000</v>
      </c>
      <c r="BM103" s="2604"/>
      <c r="BN103" s="2226">
        <f>SUM(BJ103:BL103)</f>
        <v>0</v>
      </c>
      <c r="BO103" s="2671"/>
      <c r="BP103" s="2672"/>
      <c r="BR103" s="2226">
        <f>SUM(N103:T103)+SUM(Z103:AF103)+SUM(AL103:AR103)+SUM(AX103:BD103)+SUM(BJ103:BL103)</f>
        <v>65.862645161290345</v>
      </c>
      <c r="BS103" s="2672"/>
      <c r="BT103" s="1740"/>
      <c r="BU103" s="2604"/>
      <c r="BV103" s="2246"/>
      <c r="BW103" s="2246"/>
      <c r="BX103" s="2247"/>
    </row>
    <row r="104" spans="2:76" s="1726" customFormat="1" ht="4.5" customHeight="1" thickBot="1" x14ac:dyDescent="0.25">
      <c r="B104" s="1740"/>
      <c r="C104" s="1740"/>
      <c r="D104" s="1861"/>
      <c r="E104" s="1740"/>
      <c r="F104" s="1740"/>
      <c r="G104" s="1740"/>
      <c r="H104" s="1740"/>
      <c r="I104" s="1740"/>
      <c r="J104" s="1740"/>
      <c r="K104" s="1997"/>
      <c r="L104" s="1760"/>
      <c r="M104" s="2633"/>
      <c r="N104" s="1740"/>
      <c r="O104" s="1740"/>
      <c r="P104" s="1740"/>
      <c r="Q104" s="1740"/>
      <c r="R104" s="1740"/>
      <c r="S104" s="1740"/>
      <c r="T104" s="1740"/>
      <c r="U104" s="1861"/>
      <c r="V104" s="1740"/>
      <c r="W104" s="1740"/>
      <c r="X104" s="1740"/>
      <c r="Y104" s="1860"/>
      <c r="Z104" s="1740"/>
      <c r="AA104" s="1740"/>
      <c r="AB104" s="1740"/>
      <c r="AC104" s="1740"/>
      <c r="AD104" s="1740"/>
      <c r="AE104" s="1740"/>
      <c r="AF104" s="1740"/>
      <c r="AG104" s="1860"/>
      <c r="AH104" s="1740"/>
      <c r="AI104" s="1740"/>
      <c r="AJ104" s="1740"/>
      <c r="AK104" s="1860"/>
      <c r="AL104" s="1740"/>
      <c r="AM104" s="1740"/>
      <c r="AN104" s="1740"/>
      <c r="AO104" s="1740"/>
      <c r="AP104" s="1740"/>
      <c r="AQ104" s="1740"/>
      <c r="AR104" s="1740"/>
      <c r="AS104" s="1861"/>
      <c r="AT104" s="1740"/>
      <c r="AU104" s="1740"/>
      <c r="AV104" s="1740"/>
      <c r="AW104" s="1861"/>
      <c r="AX104" s="1740"/>
      <c r="AY104" s="1740"/>
      <c r="AZ104" s="1740"/>
      <c r="BA104" s="1740"/>
      <c r="BB104" s="1740"/>
      <c r="BC104" s="1740"/>
      <c r="BD104" s="1740"/>
      <c r="BE104" s="1861"/>
      <c r="BF104" s="1740"/>
      <c r="BG104" s="1740"/>
      <c r="BH104" s="1740"/>
      <c r="BI104" s="1740"/>
      <c r="BJ104" s="1740"/>
      <c r="BK104" s="1740"/>
      <c r="BL104" s="1740"/>
      <c r="BM104" s="1740"/>
      <c r="BN104" s="1740"/>
      <c r="BO104" s="1740"/>
      <c r="BP104" s="1740"/>
      <c r="BR104" s="1740"/>
      <c r="BS104" s="1740"/>
      <c r="BT104" s="1740"/>
      <c r="BU104" s="1740"/>
      <c r="BV104" s="1740"/>
      <c r="BW104" s="1861"/>
    </row>
    <row r="105" spans="2:76" s="1885" customFormat="1" ht="17.25" thickBot="1" x14ac:dyDescent="0.25">
      <c r="B105" s="2117"/>
      <c r="C105" s="2212"/>
      <c r="D105" s="2119"/>
      <c r="E105" s="2123">
        <f>SUM(E98:E102)</f>
        <v>20510.969333333334</v>
      </c>
      <c r="F105" s="2121"/>
      <c r="G105" s="2121"/>
      <c r="H105" s="2121"/>
      <c r="I105" s="2121"/>
      <c r="J105" s="2121">
        <f>E105/31</f>
        <v>661.64417204301083</v>
      </c>
      <c r="K105" s="2129">
        <f>J105*25%</f>
        <v>165.41104301075271</v>
      </c>
      <c r="L105" s="2213"/>
      <c r="M105" s="2214"/>
      <c r="N105" s="2120">
        <f>SUM(N98:N103)</f>
        <v>-34.67004838709677</v>
      </c>
      <c r="O105" s="2123">
        <f t="shared" ref="O105:T105" si="738">SUM(O98:O103)</f>
        <v>-59.619548387096771</v>
      </c>
      <c r="P105" s="2123">
        <f t="shared" si="738"/>
        <v>-63.596048387096772</v>
      </c>
      <c r="Q105" s="2123">
        <f t="shared" si="738"/>
        <v>-17.002548387096766</v>
      </c>
      <c r="R105" s="2123">
        <f t="shared" si="738"/>
        <v>-16.090048387096772</v>
      </c>
      <c r="S105" s="2123">
        <f t="shared" si="738"/>
        <v>19.887629032258083</v>
      </c>
      <c r="T105" s="2124">
        <f t="shared" si="738"/>
        <v>-64.69925806451613</v>
      </c>
      <c r="U105" s="1951"/>
      <c r="V105" s="2120">
        <f>SUM(N105:T105)</f>
        <v>-235.7898709677419</v>
      </c>
      <c r="W105" s="2123"/>
      <c r="X105" s="2124"/>
      <c r="Y105" s="1956"/>
      <c r="Z105" s="2120">
        <f t="shared" ref="Z105:AF105" si="739">SUM(Z98:Z103)</f>
        <v>-57.91104838709677</v>
      </c>
      <c r="AA105" s="2123">
        <f t="shared" si="739"/>
        <v>-32.278548387096777</v>
      </c>
      <c r="AB105" s="2123">
        <f t="shared" si="739"/>
        <v>-23.629048387096773</v>
      </c>
      <c r="AC105" s="2123">
        <f t="shared" si="739"/>
        <v>-25.389548387096767</v>
      </c>
      <c r="AD105" s="2123">
        <f t="shared" si="739"/>
        <v>8.5351290322580606</v>
      </c>
      <c r="AE105" s="2123">
        <f t="shared" si="739"/>
        <v>7.9761290322580631</v>
      </c>
      <c r="AF105" s="2124">
        <f t="shared" si="739"/>
        <v>-26.881548387096771</v>
      </c>
      <c r="AG105" s="1956"/>
      <c r="AH105" s="2120">
        <f>SUM(Z105:AF105)</f>
        <v>-149.57848387096777</v>
      </c>
      <c r="AI105" s="2123"/>
      <c r="AJ105" s="2124"/>
      <c r="AK105" s="1955"/>
      <c r="AL105" s="2120">
        <f t="shared" ref="AL105:AR105" si="740">SUM(AL98:AL103)</f>
        <v>17.222629032258062</v>
      </c>
      <c r="AM105" s="2121">
        <f t="shared" si="740"/>
        <v>-52.984548387096766</v>
      </c>
      <c r="AN105" s="2121">
        <f t="shared" si="740"/>
        <v>-33.684548387096768</v>
      </c>
      <c r="AO105" s="2121">
        <f t="shared" si="740"/>
        <v>-40.785548387096767</v>
      </c>
      <c r="AP105" s="2121">
        <f t="shared" si="740"/>
        <v>12.241129032258078</v>
      </c>
      <c r="AQ105" s="2121">
        <f t="shared" si="740"/>
        <v>-15.939548387096776</v>
      </c>
      <c r="AR105" s="2124">
        <f t="shared" si="740"/>
        <v>-28.437048387096766</v>
      </c>
      <c r="AS105" s="2254"/>
      <c r="AT105" s="2120">
        <f>SUM(AL105:AR105)</f>
        <v>-142.3674838709677</v>
      </c>
      <c r="AU105" s="2123"/>
      <c r="AV105" s="2124"/>
      <c r="AW105" s="1951"/>
      <c r="AX105" s="2120">
        <f t="shared" ref="AX105:BD105" si="741">SUM(AX98:AX103)</f>
        <v>-49.222048387096777</v>
      </c>
      <c r="AY105" s="2121">
        <f t="shared" si="741"/>
        <v>-33.672548387096768</v>
      </c>
      <c r="AZ105" s="2121">
        <f t="shared" si="741"/>
        <v>-62.772048387096774</v>
      </c>
      <c r="BA105" s="2121">
        <f t="shared" si="741"/>
        <v>-20.105548387096775</v>
      </c>
      <c r="BB105" s="2121">
        <f t="shared" si="741"/>
        <v>-11.180870967741933</v>
      </c>
      <c r="BC105" s="2121">
        <f t="shared" si="741"/>
        <v>-36.743048387096778</v>
      </c>
      <c r="BD105" s="2124">
        <f t="shared" si="741"/>
        <v>-47.317548387096778</v>
      </c>
      <c r="BE105" s="1951"/>
      <c r="BF105" s="2120">
        <f>SUM(AX105:BD105)</f>
        <v>-261.0136612903226</v>
      </c>
      <c r="BG105" s="2123"/>
      <c r="BH105" s="2124"/>
      <c r="BI105" s="1900"/>
      <c r="BJ105" s="2120">
        <f t="shared" ref="BJ105:BL105" si="742">SUM(BJ98:BJ103)</f>
        <v>-43.116548387096771</v>
      </c>
      <c r="BK105" s="2123">
        <f t="shared" ref="BK105" si="743">SUM(BK98:BK103)</f>
        <v>-10.780870967741928</v>
      </c>
      <c r="BL105" s="2123">
        <f t="shared" si="742"/>
        <v>-49.09854838709677</v>
      </c>
      <c r="BM105" s="2317"/>
      <c r="BN105" s="2215">
        <f>SUM(BJ105:BL105)</f>
        <v>-102.99596774193546</v>
      </c>
      <c r="BO105" s="2318"/>
      <c r="BP105" s="2118"/>
      <c r="BQ105" s="1897"/>
      <c r="BR105" s="2215">
        <f>SUM(N105:T105)+SUM(Z105:AF105)+SUM(AL105:AR105)+SUM(AX105:BD105)+SUM(BJ105:BL105)</f>
        <v>-891.7454677419355</v>
      </c>
      <c r="BS105" s="2130"/>
      <c r="BT105" s="1900"/>
      <c r="BU105" s="1900"/>
      <c r="BV105" s="1900"/>
      <c r="BW105" s="2011"/>
    </row>
    <row r="106" spans="2:76" s="1726" customFormat="1" ht="4.5" customHeight="1" thickBot="1" x14ac:dyDescent="0.25">
      <c r="B106" s="1740"/>
      <c r="C106" s="1740"/>
      <c r="D106" s="1861"/>
      <c r="E106" s="1740"/>
      <c r="F106" s="1740"/>
      <c r="G106" s="1740"/>
      <c r="H106" s="1740"/>
      <c r="I106" s="1740"/>
      <c r="J106" s="1740"/>
      <c r="K106" s="1861"/>
      <c r="L106" s="1827"/>
      <c r="M106" s="1810"/>
      <c r="N106" s="1740"/>
      <c r="O106" s="1740"/>
      <c r="P106" s="1740"/>
      <c r="Q106" s="1740"/>
      <c r="R106" s="1740"/>
      <c r="S106" s="1740"/>
      <c r="T106" s="1740"/>
      <c r="U106" s="1861"/>
      <c r="V106" s="1740"/>
      <c r="W106" s="1740"/>
      <c r="X106" s="1740"/>
      <c r="Y106" s="1860"/>
      <c r="AG106" s="1860"/>
      <c r="AH106" s="1740"/>
      <c r="AI106" s="1740"/>
      <c r="AJ106" s="1740"/>
      <c r="AK106" s="1860"/>
      <c r="AL106" s="1740"/>
      <c r="AM106" s="1740"/>
      <c r="AN106" s="1740"/>
      <c r="AO106" s="1740"/>
      <c r="AP106" s="1740"/>
      <c r="AQ106" s="1740"/>
      <c r="AR106" s="1740"/>
      <c r="AS106" s="1861"/>
      <c r="AT106" s="1740"/>
      <c r="AU106" s="1740"/>
      <c r="AV106" s="1740"/>
      <c r="AW106" s="1861"/>
      <c r="AX106" s="1740"/>
      <c r="AY106" s="1740"/>
      <c r="AZ106" s="1740"/>
      <c r="BA106" s="1740"/>
      <c r="BB106" s="1740"/>
      <c r="BC106" s="1740"/>
      <c r="BD106" s="1740"/>
      <c r="BE106" s="1861"/>
      <c r="BF106" s="1740"/>
      <c r="BG106" s="1740"/>
      <c r="BH106" s="1740"/>
      <c r="BI106" s="1740"/>
      <c r="BJ106" s="1740"/>
      <c r="BK106" s="1740"/>
      <c r="BL106" s="1740"/>
      <c r="BM106" s="1740"/>
      <c r="BN106" s="1740"/>
      <c r="BO106" s="1740"/>
      <c r="BP106" s="1740"/>
      <c r="BR106" s="1740"/>
      <c r="BS106" s="1740"/>
      <c r="BT106" s="1740"/>
      <c r="BU106" s="1740"/>
      <c r="BV106" s="1740"/>
      <c r="BW106" s="1861"/>
    </row>
    <row r="107" spans="2:76" s="1726" customFormat="1" ht="17.25" thickBot="1" x14ac:dyDescent="0.25">
      <c r="B107" s="2049"/>
      <c r="C107" s="2050"/>
      <c r="D107" s="2051"/>
      <c r="E107" s="2052">
        <f>E105*25%</f>
        <v>5127.7423333333336</v>
      </c>
      <c r="F107" s="2053"/>
      <c r="G107" s="2053"/>
      <c r="H107" s="2053"/>
      <c r="I107" s="2053"/>
      <c r="J107" s="2053"/>
      <c r="K107" s="2253"/>
      <c r="L107" s="2216"/>
      <c r="M107" s="2055"/>
      <c r="N107" s="2056">
        <f>N105*100/30</f>
        <v>-115.56682795698924</v>
      </c>
      <c r="O107" s="2052">
        <f t="shared" ref="O107:T107" si="744">O105*100/30</f>
        <v>-198.73182795698924</v>
      </c>
      <c r="P107" s="2052">
        <f t="shared" si="744"/>
        <v>-211.98682795698923</v>
      </c>
      <c r="Q107" s="2052">
        <f t="shared" si="744"/>
        <v>-56.675161290322556</v>
      </c>
      <c r="R107" s="2052">
        <f t="shared" si="744"/>
        <v>-53.633494623655906</v>
      </c>
      <c r="S107" s="2052">
        <f t="shared" si="744"/>
        <v>66.29209677419361</v>
      </c>
      <c r="T107" s="2192">
        <f t="shared" si="744"/>
        <v>-215.66419354838709</v>
      </c>
      <c r="U107" s="2300"/>
      <c r="V107" s="2056">
        <f>SUM(N107:T107)</f>
        <v>-785.96623655913959</v>
      </c>
      <c r="W107" s="2052"/>
      <c r="X107" s="2057"/>
      <c r="Y107" s="1766"/>
      <c r="Z107" s="2673">
        <f t="shared" ref="Z107:AF107" si="745">Z105*100/30</f>
        <v>-193.03682795698924</v>
      </c>
      <c r="AA107" s="2674">
        <f t="shared" si="745"/>
        <v>-107.59516129032258</v>
      </c>
      <c r="AB107" s="2674">
        <f t="shared" si="745"/>
        <v>-78.763494623655916</v>
      </c>
      <c r="AC107" s="2052">
        <f t="shared" si="745"/>
        <v>-84.631827956989213</v>
      </c>
      <c r="AD107" s="2674">
        <f t="shared" si="745"/>
        <v>28.45043010752687</v>
      </c>
      <c r="AE107" s="2674">
        <f t="shared" si="745"/>
        <v>26.587096774193544</v>
      </c>
      <c r="AF107" s="2675">
        <f t="shared" si="745"/>
        <v>-89.60516129032257</v>
      </c>
      <c r="AG107" s="1766"/>
      <c r="AH107" s="2056">
        <f>SUM(Z107:AF107)</f>
        <v>-498.59494623655917</v>
      </c>
      <c r="AI107" s="2052"/>
      <c r="AJ107" s="2057"/>
      <c r="AK107" s="1764"/>
      <c r="AL107" s="2056">
        <f t="shared" ref="AL107:AR107" si="746">AL105*100/30</f>
        <v>57.408763440860206</v>
      </c>
      <c r="AM107" s="2053">
        <f t="shared" si="746"/>
        <v>-176.61516129032256</v>
      </c>
      <c r="AN107" s="2053">
        <f t="shared" si="746"/>
        <v>-112.28182795698923</v>
      </c>
      <c r="AO107" s="2053">
        <f t="shared" si="746"/>
        <v>-135.95182795698923</v>
      </c>
      <c r="AP107" s="2053">
        <f t="shared" si="746"/>
        <v>40.803763440860259</v>
      </c>
      <c r="AQ107" s="2053">
        <f t="shared" si="746"/>
        <v>-53.131827956989255</v>
      </c>
      <c r="AR107" s="2057">
        <f t="shared" si="746"/>
        <v>-94.790161290322558</v>
      </c>
      <c r="AS107" s="2300"/>
      <c r="AT107" s="2056">
        <f>SUM(AL107:AR107)</f>
        <v>-474.55827956989231</v>
      </c>
      <c r="AU107" s="2052"/>
      <c r="AV107" s="2057"/>
      <c r="AW107" s="1814"/>
      <c r="AX107" s="2056">
        <f t="shared" ref="AX107:BD107" si="747">AX105*100/30</f>
        <v>-164.0734946236559</v>
      </c>
      <c r="AY107" s="2053">
        <f t="shared" si="747"/>
        <v>-112.24182795698923</v>
      </c>
      <c r="AZ107" s="2053">
        <f t="shared" si="747"/>
        <v>-209.24016129032259</v>
      </c>
      <c r="BA107" s="2053">
        <f t="shared" si="747"/>
        <v>-67.018494623655911</v>
      </c>
      <c r="BB107" s="2053">
        <f t="shared" si="747"/>
        <v>-37.269569892473108</v>
      </c>
      <c r="BC107" s="2053">
        <f t="shared" si="747"/>
        <v>-122.47682795698925</v>
      </c>
      <c r="BD107" s="2057">
        <f t="shared" si="747"/>
        <v>-157.72516129032257</v>
      </c>
      <c r="BE107" s="1814"/>
      <c r="BF107" s="2056">
        <f>SUM(AX107:BD107)</f>
        <v>-870.04553763440856</v>
      </c>
      <c r="BG107" s="2052"/>
      <c r="BH107" s="2057"/>
      <c r="BI107" s="1740"/>
      <c r="BJ107" s="2056">
        <f t="shared" ref="BJ107:BL107" si="748">BJ105*100/30</f>
        <v>-143.72182795698924</v>
      </c>
      <c r="BK107" s="2052">
        <f t="shared" ref="BK107" si="749">BK105*100/30</f>
        <v>-35.936236559139758</v>
      </c>
      <c r="BL107" s="2052">
        <f t="shared" si="748"/>
        <v>-163.66182795698924</v>
      </c>
      <c r="BM107" s="2301"/>
      <c r="BN107" s="2058">
        <f>SUM(BJ107:BL107)</f>
        <v>-343.31989247311822</v>
      </c>
      <c r="BO107" s="2324"/>
      <c r="BP107" s="2190"/>
      <c r="BQ107" s="1862"/>
      <c r="BR107" s="2058">
        <f>SUM(N107:T107)+SUM(Z107:AF107)+SUM(AL107:AR107)+SUM(AX107:BD107)+SUM(BJ107:BL107)</f>
        <v>-2972.4848924731177</v>
      </c>
      <c r="BS107" s="2676">
        <f>BR107/CA34</f>
        <v>-95.886609434616702</v>
      </c>
      <c r="BT107" s="1740"/>
      <c r="BU107" s="1740"/>
      <c r="BV107" s="1740"/>
      <c r="BW107" s="1861"/>
    </row>
    <row r="109" spans="2:76" ht="18" x14ac:dyDescent="0.2">
      <c r="C109" s="2448"/>
      <c r="D109" s="2450"/>
      <c r="E109" s="2449"/>
      <c r="F109" s="2449"/>
      <c r="G109" s="2449"/>
      <c r="H109" s="2449"/>
      <c r="I109" s="2449"/>
      <c r="J109" s="2449"/>
    </row>
    <row r="110" spans="2:76" ht="18" x14ac:dyDescent="0.2">
      <c r="C110" s="2448">
        <f>E110*25%</f>
        <v>7057.9506666666666</v>
      </c>
      <c r="D110" s="2450"/>
      <c r="E110" s="2449">
        <f>(E103*2)+E99</f>
        <v>28231.802666666666</v>
      </c>
      <c r="F110" s="2449"/>
      <c r="G110" s="2449"/>
      <c r="H110" s="2449"/>
      <c r="I110" s="2449"/>
      <c r="J110" s="2449"/>
      <c r="K110" s="2771"/>
      <c r="P110" s="2255"/>
      <c r="Q110" s="2256"/>
      <c r="R110" s="2256"/>
      <c r="S110" s="2257"/>
      <c r="T110" s="2257"/>
      <c r="U110" s="1915"/>
      <c r="V110" s="2257"/>
    </row>
    <row r="111" spans="2:76" ht="18" x14ac:dyDescent="0.2">
      <c r="C111" s="2451"/>
      <c r="D111" s="1721"/>
      <c r="E111" s="2771"/>
      <c r="F111" s="2771"/>
      <c r="G111" s="2771"/>
      <c r="H111" s="2771"/>
      <c r="I111" s="2771"/>
      <c r="J111" s="2449"/>
      <c r="K111" s="2771"/>
      <c r="AM111" s="2257"/>
    </row>
    <row r="112" spans="2:76" ht="18" x14ac:dyDescent="0.2">
      <c r="C112" s="2452"/>
      <c r="D112" s="1721"/>
      <c r="E112" s="2771"/>
      <c r="F112" s="2771"/>
      <c r="G112" s="2771"/>
      <c r="H112" s="2771"/>
      <c r="I112" s="2771"/>
      <c r="J112" s="2450"/>
      <c r="K112" s="2771"/>
    </row>
    <row r="113" spans="11:11" ht="18" x14ac:dyDescent="0.2">
      <c r="K113" s="2449"/>
    </row>
  </sheetData>
  <sortState xmlns:xlrd2="http://schemas.microsoft.com/office/spreadsheetml/2017/richdata2" ref="C34:K55">
    <sortCondition descending="1" ref="K55"/>
  </sortState>
  <mergeCells count="88">
    <mergeCell ref="AY98:AY99"/>
    <mergeCell ref="AZ98:AZ99"/>
    <mergeCell ref="BA98:BA99"/>
    <mergeCell ref="BS98:BS99"/>
    <mergeCell ref="BC98:BC99"/>
    <mergeCell ref="BD98:BD99"/>
    <mergeCell ref="BF98:BF99"/>
    <mergeCell ref="BG98:BG99"/>
    <mergeCell ref="BH98:BH99"/>
    <mergeCell ref="BR98:BR99"/>
    <mergeCell ref="BJ98:BJ99"/>
    <mergeCell ref="BK98:BK99"/>
    <mergeCell ref="BL98:BL99"/>
    <mergeCell ref="BN98:BN99"/>
    <mergeCell ref="BO98:BO99"/>
    <mergeCell ref="BP98:BP99"/>
    <mergeCell ref="AR98:AR99"/>
    <mergeCell ref="AT98:AT99"/>
    <mergeCell ref="AU98:AU99"/>
    <mergeCell ref="AV98:AV99"/>
    <mergeCell ref="AX98:AX99"/>
    <mergeCell ref="BJ30:BL30"/>
    <mergeCell ref="AN98:AN99"/>
    <mergeCell ref="AA98:AA99"/>
    <mergeCell ref="AB98:AB99"/>
    <mergeCell ref="AC98:AC99"/>
    <mergeCell ref="AD98:AD99"/>
    <mergeCell ref="AE98:AE99"/>
    <mergeCell ref="AF98:AF99"/>
    <mergeCell ref="AH98:AH99"/>
    <mergeCell ref="AI98:AI99"/>
    <mergeCell ref="AJ98:AJ99"/>
    <mergeCell ref="AL98:AL99"/>
    <mergeCell ref="AM98:AM99"/>
    <mergeCell ref="BB98:BB99"/>
    <mergeCell ref="AO98:AO99"/>
    <mergeCell ref="AP98:AP99"/>
    <mergeCell ref="BN30:BP30"/>
    <mergeCell ref="BU63:BV63"/>
    <mergeCell ref="BX64:BX73"/>
    <mergeCell ref="BZ64:BZ73"/>
    <mergeCell ref="BX77:BX86"/>
    <mergeCell ref="V30:X30"/>
    <mergeCell ref="AH30:AJ30"/>
    <mergeCell ref="AT30:AV30"/>
    <mergeCell ref="BF30:BH30"/>
    <mergeCell ref="N98:N99"/>
    <mergeCell ref="O98:O99"/>
    <mergeCell ref="P98:P99"/>
    <mergeCell ref="Q98:Q99"/>
    <mergeCell ref="R98:R99"/>
    <mergeCell ref="Z98:Z99"/>
    <mergeCell ref="S98:S99"/>
    <mergeCell ref="T98:T99"/>
    <mergeCell ref="V98:V99"/>
    <mergeCell ref="W98:W99"/>
    <mergeCell ref="X98:X99"/>
    <mergeCell ref="AQ98:AQ99"/>
    <mergeCell ref="AC14:AF14"/>
    <mergeCell ref="BU14:BV14"/>
    <mergeCell ref="S15:S26"/>
    <mergeCell ref="AE15:AE26"/>
    <mergeCell ref="AQ15:AQ26"/>
    <mergeCell ref="BC15:BC26"/>
    <mergeCell ref="CI1:CI2"/>
    <mergeCell ref="CJ1:CJ2"/>
    <mergeCell ref="K8:K9"/>
    <mergeCell ref="BZ8:CA9"/>
    <mergeCell ref="CA11:CA12"/>
    <mergeCell ref="CB11:CB12"/>
    <mergeCell ref="BS1:BS12"/>
    <mergeCell ref="BU1:BX2"/>
    <mergeCell ref="CD1:CD2"/>
    <mergeCell ref="CE1:CE2"/>
    <mergeCell ref="CF1:CF2"/>
    <mergeCell ref="CH1:CH2"/>
    <mergeCell ref="AT1:AV2"/>
    <mergeCell ref="AX1:BD2"/>
    <mergeCell ref="BF1:BH2"/>
    <mergeCell ref="BJ1:BL2"/>
    <mergeCell ref="BN1:BP2"/>
    <mergeCell ref="BR1:BR12"/>
    <mergeCell ref="C1:K2"/>
    <mergeCell ref="N1:T2"/>
    <mergeCell ref="V1:X2"/>
    <mergeCell ref="Z1:AF2"/>
    <mergeCell ref="AH1:AJ2"/>
    <mergeCell ref="AL1:AR2"/>
  </mergeCells>
  <conditionalFormatting sqref="BS101">
    <cfRule type="cellIs" dxfId="366" priority="3" operator="greaterThan">
      <formula>0</formula>
    </cfRule>
    <cfRule type="cellIs" dxfId="365" priority="4" operator="lessThan">
      <formula>0</formula>
    </cfRule>
  </conditionalFormatting>
  <conditionalFormatting sqref="J112">
    <cfRule type="cellIs" dxfId="364" priority="1" operator="lessThan">
      <formula>0</formula>
    </cfRule>
    <cfRule type="cellIs" dxfId="36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500-00009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'!BR102:BR102</xm:f>
              <xm:sqref>BS102</xm:sqref>
            </x14:sparkline>
          </x14:sparklines>
        </x14:sparklineGroup>
        <x14:sparklineGroup type="stacked" displayEmptyCellsAs="gap" negative="1" xr2:uid="{00000000-0003-0000-1500-00009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'!AH62:AH62</xm:f>
              <xm:sqref>AH63</xm:sqref>
            </x14:sparkline>
          </x14:sparklines>
        </x14:sparklineGroup>
        <x14:sparklineGroup type="stacked" displayEmptyCellsAs="gap" negative="1" xr2:uid="{00000000-0003-0000-1500-00009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'!V62:V62</xm:f>
              <xm:sqref>V63</xm:sqref>
            </x14:sparkline>
            <x14:sparkline>
              <xm:f>'RAWABI INCOME (10-19) '!W62:W62</xm:f>
              <xm:sqref>W63</xm:sqref>
            </x14:sparkline>
            <x14:sparkline>
              <xm:f>'RAWABI INCOME (10-19) '!X62:X62</xm:f>
              <xm:sqref>X63</xm:sqref>
            </x14:sparkline>
          </x14:sparklines>
        </x14:sparklineGroup>
        <x14:sparklineGroup type="stacked" displayEmptyCellsAs="gap" negative="1" xr2:uid="{00000000-0003-0000-1500-00008F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(10-19) '!Y62:Y62</xm:f>
              <xm:sqref>Y63</xm:sqref>
            </x14:sparkline>
            <x14:sparkline>
              <xm:f>'RAWABI INCOME (10-19) '!AG62:AG62</xm:f>
              <xm:sqref>AG63</xm:sqref>
            </x14:sparkline>
            <x14:sparkline>
              <xm:f>'RAWABI INCOME (10-19) '!AI62:AI62</xm:f>
              <xm:sqref>AI63</xm:sqref>
            </x14:sparkline>
            <x14:sparkline>
              <xm:f>'RAWABI INCOME (10-19) '!AJ62:AJ62</xm:f>
              <xm:sqref>AJ63</xm:sqref>
            </x14:sparkline>
            <x14:sparkline>
              <xm:f>'RAWABI INCOME (10-19) '!AK62:AK62</xm:f>
              <xm:sqref>AK63</xm:sqref>
            </x14:sparkline>
            <x14:sparkline>
              <xm:f>'RAWABI INCOME (10-19) '!AL62:AL62</xm:f>
              <xm:sqref>AL63</xm:sqref>
            </x14:sparkline>
            <x14:sparkline>
              <xm:f>'RAWABI INCOME (10-19) '!AM62:AM62</xm:f>
              <xm:sqref>AM63</xm:sqref>
            </x14:sparkline>
            <x14:sparkline>
              <xm:f>'RAWABI INCOME (10-19) '!AN62:AN62</xm:f>
              <xm:sqref>AN63</xm:sqref>
            </x14:sparkline>
            <x14:sparkline>
              <xm:f>'RAWABI INCOME (10-19) '!AO62:AO62</xm:f>
              <xm:sqref>AO63</xm:sqref>
            </x14:sparkline>
            <x14:sparkline>
              <xm:f>'RAWABI INCOME (10-19) '!AR62:AR62</xm:f>
              <xm:sqref>AR63</xm:sqref>
            </x14:sparkline>
            <x14:sparkline>
              <xm:f>'RAWABI INCOME (10-19) '!AS62:AS62</xm:f>
              <xm:sqref>AS63</xm:sqref>
            </x14:sparkline>
            <x14:sparkline>
              <xm:f>'RAWABI INCOME (10-19) '!AT62:AT62</xm:f>
              <xm:sqref>AT63</xm:sqref>
            </x14:sparkline>
            <x14:sparkline>
              <xm:f>'RAWABI INCOME (10-19) '!AU62:AU62</xm:f>
              <xm:sqref>AU63</xm:sqref>
            </x14:sparkline>
            <x14:sparkline>
              <xm:f>'RAWABI INCOME (10-19) '!AV62:AV62</xm:f>
              <xm:sqref>AV63</xm:sqref>
            </x14:sparkline>
            <x14:sparkline>
              <xm:f>'RAWABI INCOME (10-19) '!AW62:AW62</xm:f>
              <xm:sqref>AW63</xm:sqref>
            </x14:sparkline>
            <x14:sparkline>
              <xm:f>'RAWABI INCOME (10-19) '!AX62:AX62</xm:f>
              <xm:sqref>AX63</xm:sqref>
            </x14:sparkline>
            <x14:sparkline>
              <xm:f>'RAWABI INCOME (10-19) '!BD62:BD62</xm:f>
              <xm:sqref>BD63</xm:sqref>
            </x14:sparkline>
            <x14:sparkline>
              <xm:f>'RAWABI INCOME (10-19) '!BE62:BE62</xm:f>
              <xm:sqref>BE63</xm:sqref>
            </x14:sparkline>
            <x14:sparkline>
              <xm:f>'RAWABI INCOME (10-19) '!BF62:BF62</xm:f>
              <xm:sqref>BF63</xm:sqref>
            </x14:sparkline>
            <x14:sparkline>
              <xm:f>'RAWABI INCOME (10-19) '!BG62:BG62</xm:f>
              <xm:sqref>BG63</xm:sqref>
            </x14:sparkline>
            <x14:sparkline>
              <xm:f>'RAWABI INCOME (10-19) '!BH62:BH62</xm:f>
              <xm:sqref>BH63</xm:sqref>
            </x14:sparkline>
            <x14:sparkline>
              <xm:f>'RAWABI INCOME (10-19) '!BI62:BI62</xm:f>
              <xm:sqref>BI63</xm:sqref>
            </x14:sparkline>
            <x14:sparkline>
              <xm:f>'RAWABI INCOME (10-19) '!BJ62:BJ62</xm:f>
              <xm:sqref>BJ63</xm:sqref>
            </x14:sparkline>
            <x14:sparkline>
              <xm:f>'RAWABI INCOME (10-19) '!BK62:BK62</xm:f>
              <xm:sqref>BK63</xm:sqref>
            </x14:sparkline>
            <x14:sparkline>
              <xm:f>'RAWABI INCOME (10-19) '!BL62:BL62</xm:f>
              <xm:sqref>BL63</xm:sqref>
            </x14:sparkline>
            <x14:sparkline>
              <xm:f>'RAWABI INCOME (10-19) '!BM62:BM62</xm:f>
              <xm:sqref>BM63</xm:sqref>
            </x14:sparkline>
            <x14:sparkline>
              <xm:f>'RAWABI INCOME (10-19) '!BN62:BN62</xm:f>
              <xm:sqref>BN63</xm:sqref>
            </x14:sparkline>
            <x14:sparkline>
              <xm:f>'RAWABI INCOME (10-19) '!BO62:BO62</xm:f>
              <xm:sqref>BO63</xm:sqref>
            </x14:sparkline>
            <x14:sparkline>
              <xm:f>'RAWABI INCOME (10-19) '!BP62:BP62</xm:f>
              <xm:sqref>BP63</xm:sqref>
            </x14:sparkline>
            <x14:sparkline>
              <xm:f>'RAWABI INCOME (10-19) '!AY62:AY62</xm:f>
              <xm:sqref>AY63</xm:sqref>
            </x14:sparkline>
            <x14:sparkline>
              <xm:f>'RAWABI INCOME (10-19) '!AP62:AP62</xm:f>
              <xm:sqref>AP63</xm:sqref>
            </x14:sparkline>
            <x14:sparkline>
              <xm:f>'RAWABI INCOME (10-19) '!AQ62:AQ62</xm:f>
              <xm:sqref>AQ63</xm:sqref>
            </x14:sparkline>
            <x14:sparkline>
              <xm:f>'RAWABI INCOME (10-19) '!AZ62:AZ62</xm:f>
              <xm:sqref>AZ63</xm:sqref>
            </x14:sparkline>
            <x14:sparkline>
              <xm:f>'RAWABI INCOME (10-19) '!BA62:BA62</xm:f>
              <xm:sqref>BA63</xm:sqref>
            </x14:sparkline>
            <x14:sparkline>
              <xm:f>'RAWABI INCOME (10-19) '!BB62:BB62</xm:f>
              <xm:sqref>BB63</xm:sqref>
            </x14:sparkline>
            <x14:sparkline>
              <xm:f>'RAWABI INCOME (10-19) '!BC62:BC62</xm:f>
              <xm:sqref>BC63</xm:sqref>
            </x14:sparkline>
          </x14:sparklines>
        </x14:sparklineGroup>
        <x14:sparklineGroup type="stacked" displayEmptyCellsAs="gap" negative="1" xr2:uid="{00000000-0003-0000-1500-00008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'!BR62:BR62</xm:f>
              <xm:sqref>BS62</xm:sqref>
            </x14:sparkline>
          </x14:sparklines>
        </x14:sparklineGroup>
        <x14:sparklineGroup type="stacked" displayEmptyCellsAs="gap" negative="1" xr2:uid="{00000000-0003-0000-1500-00008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'!BR62:BR62</xm:f>
              <xm:sqref>BR63</xm:sqref>
            </x14:sparkline>
          </x14:sparklines>
        </x14:sparklineGroup>
        <x14:sparklineGroup type="stacked" displayEmptyCellsAs="gap" negative="1" xr2:uid="{00000000-0003-0000-1500-00008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'!Z62:Z62</xm:f>
              <xm:sqref>Z63</xm:sqref>
            </x14:sparkline>
            <x14:sparkline>
              <xm:f>'RAWABI INCOME (10-19) '!AA62:AA62</xm:f>
              <xm:sqref>AA63</xm:sqref>
            </x14:sparkline>
            <x14:sparkline>
              <xm:f>'RAWABI INCOME (10-19) '!AB62:AB62</xm:f>
              <xm:sqref>AB63</xm:sqref>
            </x14:sparkline>
            <x14:sparkline>
              <xm:f>'RAWABI INCOME (10-19) '!AC62:AC62</xm:f>
              <xm:sqref>AC63</xm:sqref>
            </x14:sparkline>
            <x14:sparkline>
              <xm:f>'RAWABI INCOME (10-19) '!AD62:AD62</xm:f>
              <xm:sqref>AD63</xm:sqref>
            </x14:sparkline>
            <x14:sparkline>
              <xm:f>'RAWABI INCOME (10-19) '!AE62:AE62</xm:f>
              <xm:sqref>AE63</xm:sqref>
            </x14:sparkline>
            <x14:sparkline>
              <xm:f>'RAWABI INCOME (10-19) '!AF62:AF62</xm:f>
              <xm:sqref>AF63</xm:sqref>
            </x14:sparkline>
          </x14:sparklines>
        </x14:sparklineGroup>
        <x14:sparklineGroup type="stacked" displayEmptyCellsAs="gap" negative="1" xr2:uid="{00000000-0003-0000-1500-00008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'!U96:U96</xm:f>
              <xm:sqref>U97</xm:sqref>
            </x14:sparkline>
          </x14:sparklines>
        </x14:sparklineGroup>
        <x14:sparklineGroup type="stacked" displayEmptyCellsAs="gap" negative="1" xr2:uid="{00000000-0003-0000-1500-00008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'!N91:N91</xm:f>
              <xm:sqref>N92</xm:sqref>
            </x14:sparkline>
            <x14:sparkline>
              <xm:f>'RAWABI INCOME (10-19) '!V91:V91</xm:f>
              <xm:sqref>V92</xm:sqref>
            </x14:sparkline>
            <x14:sparkline>
              <xm:f>'RAWABI INCOME (10-19) '!W91:W91</xm:f>
              <xm:sqref>W92</xm:sqref>
            </x14:sparkline>
            <x14:sparkline>
              <xm:f>'RAWABI INCOME (10-19) '!X91:X91</xm:f>
              <xm:sqref>X92</xm:sqref>
            </x14:sparkline>
            <x14:sparkline>
              <xm:f>'RAWABI INCOME (10-19) '!Y91:Y91</xm:f>
              <xm:sqref>Y92</xm:sqref>
            </x14:sparkline>
            <x14:sparkline>
              <xm:f>'RAWABI INCOME (10-19) '!Z91:Z91</xm:f>
              <xm:sqref>Z92</xm:sqref>
            </x14:sparkline>
            <x14:sparkline>
              <xm:f>'RAWABI INCOME (10-19) '!AG91:AG91</xm:f>
              <xm:sqref>AG92</xm:sqref>
            </x14:sparkline>
            <x14:sparkline>
              <xm:f>'RAWABI INCOME (10-19) '!AH91:AH91</xm:f>
              <xm:sqref>AH92</xm:sqref>
            </x14:sparkline>
            <x14:sparkline>
              <xm:f>'RAWABI INCOME (10-19) '!AI91:AI91</xm:f>
              <xm:sqref>AI92</xm:sqref>
            </x14:sparkline>
            <x14:sparkline>
              <xm:f>'RAWABI INCOME (10-19) '!AJ91:AJ91</xm:f>
              <xm:sqref>AJ92</xm:sqref>
            </x14:sparkline>
            <x14:sparkline>
              <xm:f>'RAWABI INCOME (10-19) '!AK91:AK91</xm:f>
              <xm:sqref>AK92</xm:sqref>
            </x14:sparkline>
            <x14:sparkline>
              <xm:f>'RAWABI INCOME (10-19) '!AL91:AL91</xm:f>
              <xm:sqref>AL92</xm:sqref>
            </x14:sparkline>
            <x14:sparkline>
              <xm:f>'RAWABI INCOME (10-19) '!AS91:AS91</xm:f>
              <xm:sqref>AS92</xm:sqref>
            </x14:sparkline>
            <x14:sparkline>
              <xm:f>'RAWABI INCOME (10-19) '!AT91:AT91</xm:f>
              <xm:sqref>AT92</xm:sqref>
            </x14:sparkline>
            <x14:sparkline>
              <xm:f>'RAWABI INCOME (10-19) '!AU91:AU91</xm:f>
              <xm:sqref>AU92</xm:sqref>
            </x14:sparkline>
            <x14:sparkline>
              <xm:f>'RAWABI INCOME (10-19) '!AV91:AV91</xm:f>
              <xm:sqref>AV92</xm:sqref>
            </x14:sparkline>
            <x14:sparkline>
              <xm:f>'RAWABI INCOME (10-19) '!AW91:AW91</xm:f>
              <xm:sqref>AW92</xm:sqref>
            </x14:sparkline>
            <x14:sparkline>
              <xm:f>'RAWABI INCOME (10-19) '!AX91:AX91</xm:f>
              <xm:sqref>AX92</xm:sqref>
            </x14:sparkline>
            <x14:sparkline>
              <xm:f>'RAWABI INCOME (10-19) '!BE91:BE91</xm:f>
              <xm:sqref>BE92</xm:sqref>
            </x14:sparkline>
            <x14:sparkline>
              <xm:f>'RAWABI INCOME (10-19) '!BF91:BF91</xm:f>
              <xm:sqref>BF92</xm:sqref>
            </x14:sparkline>
            <x14:sparkline>
              <xm:f>'RAWABI INCOME (10-19) '!BG91:BG91</xm:f>
              <xm:sqref>BG92</xm:sqref>
            </x14:sparkline>
            <x14:sparkline>
              <xm:f>'RAWABI INCOME (10-19) '!BH91:BH91</xm:f>
              <xm:sqref>BH92</xm:sqref>
            </x14:sparkline>
            <x14:sparkline>
              <xm:f>'RAWABI INCOME (10-19) '!BI91:BI91</xm:f>
              <xm:sqref>BI92</xm:sqref>
            </x14:sparkline>
            <x14:sparkline>
              <xm:f>'RAWABI INCOME (10-19) '!BJ91:BJ91</xm:f>
              <xm:sqref>BJ92</xm:sqref>
            </x14:sparkline>
            <x14:sparkline>
              <xm:f>'RAWABI INCOME (10-19) '!BK91:BK91</xm:f>
              <xm:sqref>BK92</xm:sqref>
            </x14:sparkline>
            <x14:sparkline>
              <xm:f>'RAWABI INCOME (10-19) '!BL91:BL91</xm:f>
              <xm:sqref>BL92</xm:sqref>
            </x14:sparkline>
            <x14:sparkline>
              <xm:f>'RAWABI INCOME (10-19) '!BM91:BM91</xm:f>
              <xm:sqref>BM92</xm:sqref>
            </x14:sparkline>
            <x14:sparkline>
              <xm:f>'RAWABI INCOME (10-19) '!BN91:BN91</xm:f>
              <xm:sqref>BN92</xm:sqref>
            </x14:sparkline>
            <x14:sparkline>
              <xm:f>'RAWABI INCOME (10-19) '!BO91:BO91</xm:f>
              <xm:sqref>BO92</xm:sqref>
            </x14:sparkline>
            <x14:sparkline>
              <xm:f>'RAWABI INCOME (10-19) '!BP91:BP91</xm:f>
              <xm:sqref>BP92</xm:sqref>
            </x14:sparkline>
            <x14:sparkline>
              <xm:f>'RAWABI INCOME (10-19) '!BR91:BR91</xm:f>
              <xm:sqref>BR92</xm:sqref>
            </x14:sparkline>
            <x14:sparkline>
              <xm:f>'RAWABI INCOME (10-19) '!AR91:AR91</xm:f>
              <xm:sqref>AR92</xm:sqref>
            </x14:sparkline>
            <x14:sparkline>
              <xm:f>'RAWABI INCOME (10-19) '!BD91:BD91</xm:f>
              <xm:sqref>BD92</xm:sqref>
            </x14:sparkline>
            <x14:sparkline>
              <xm:f>'RAWABI INCOME (10-19) '!T91:T91</xm:f>
              <xm:sqref>T92</xm:sqref>
            </x14:sparkline>
            <x14:sparkline>
              <xm:f>'RAWABI INCOME (10-19) '!AY91:AY91</xm:f>
              <xm:sqref>AY92</xm:sqref>
            </x14:sparkline>
            <x14:sparkline>
              <xm:f>'RAWABI INCOME (10-19) '!O91:O91</xm:f>
              <xm:sqref>O92</xm:sqref>
            </x14:sparkline>
            <x14:sparkline>
              <xm:f>'RAWABI INCOME (10-19) '!AA91:AA91</xm:f>
              <xm:sqref>AA92</xm:sqref>
            </x14:sparkline>
            <x14:sparkline>
              <xm:f>'RAWABI INCOME (10-19) '!AB91:AB91</xm:f>
              <xm:sqref>AB92</xm:sqref>
            </x14:sparkline>
            <x14:sparkline>
              <xm:f>'RAWABI INCOME (10-19) '!AF91:AF91</xm:f>
              <xm:sqref>AF92</xm:sqref>
            </x14:sparkline>
            <x14:sparkline>
              <xm:f>'RAWABI INCOME (10-19) '!AM91:AM91</xm:f>
              <xm:sqref>AM92</xm:sqref>
            </x14:sparkline>
            <x14:sparkline>
              <xm:f>'RAWABI INCOME (10-19) '!P91:P91</xm:f>
              <xm:sqref>P92</xm:sqref>
            </x14:sparkline>
            <x14:sparkline>
              <xm:f>'RAWABI INCOME (10-19) '!Q91:Q91</xm:f>
              <xm:sqref>Q92</xm:sqref>
            </x14:sparkline>
            <x14:sparkline>
              <xm:f>'RAWABI INCOME (10-19) '!R91:R91</xm:f>
              <xm:sqref>R92</xm:sqref>
            </x14:sparkline>
            <x14:sparkline>
              <xm:f>'RAWABI INCOME (10-19) '!S91:S91</xm:f>
              <xm:sqref>S92</xm:sqref>
            </x14:sparkline>
            <x14:sparkline>
              <xm:f>'RAWABI INCOME (10-19) '!AC91:AC91</xm:f>
              <xm:sqref>AC92</xm:sqref>
            </x14:sparkline>
            <x14:sparkline>
              <xm:f>'RAWABI INCOME (10-19) '!AD91:AD91</xm:f>
              <xm:sqref>AD92</xm:sqref>
            </x14:sparkline>
            <x14:sparkline>
              <xm:f>'RAWABI INCOME (10-19) '!AE91:AE91</xm:f>
              <xm:sqref>AE92</xm:sqref>
            </x14:sparkline>
            <x14:sparkline>
              <xm:f>'RAWABI INCOME (10-19) '!AN91:AN91</xm:f>
              <xm:sqref>AN92</xm:sqref>
            </x14:sparkline>
            <x14:sparkline>
              <xm:f>'RAWABI INCOME (10-19) '!AO91:AO91</xm:f>
              <xm:sqref>AO92</xm:sqref>
            </x14:sparkline>
            <x14:sparkline>
              <xm:f>'RAWABI INCOME (10-19) '!AP91:AP91</xm:f>
              <xm:sqref>AP92</xm:sqref>
            </x14:sparkline>
            <x14:sparkline>
              <xm:f>'RAWABI INCOME (10-19) '!AQ91:AQ91</xm:f>
              <xm:sqref>AQ92</xm:sqref>
            </x14:sparkline>
            <x14:sparkline>
              <xm:f>'RAWABI INCOME (10-19) '!AZ91:AZ91</xm:f>
              <xm:sqref>AZ92</xm:sqref>
            </x14:sparkline>
            <x14:sparkline>
              <xm:f>'RAWABI INCOME (10-19) '!BA91:BA91</xm:f>
              <xm:sqref>BA92</xm:sqref>
            </x14:sparkline>
            <x14:sparkline>
              <xm:f>'RAWABI INCOME (10-19) '!BB91:BB91</xm:f>
              <xm:sqref>BB92</xm:sqref>
            </x14:sparkline>
            <x14:sparkline>
              <xm:f>'RAWABI INCOME (10-19) '!BC91:BC91</xm:f>
              <xm:sqref>BC92</xm:sqref>
            </x14:sparkline>
          </x14:sparklines>
        </x14:sparklineGroup>
        <x14:sparklineGroup type="stacked" displayEmptyCellsAs="gap" negative="1" xr2:uid="{00000000-0003-0000-1500-00008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'!BQ91:BQ91</xm:f>
              <xm:sqref>BQ92</xm:sqref>
            </x14:sparkline>
          </x14:sparklines>
        </x14:sparklineGroup>
        <x14:sparklineGroup type="stacked" displayEmptyCellsAs="gap" negative="1" xr2:uid="{00000000-0003-0000-1500-00008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'!BR98:BR98</xm:f>
              <xm:sqref>BS98</xm:sqref>
            </x14:sparkline>
            <x14:sparkline>
              <xm:f>'RAWABI INCOME (10-19) '!BR100:BR100</xm:f>
              <xm:sqref>BS100</xm:sqref>
            </x14:sparkline>
          </x14:sparklines>
        </x14:sparklineGroup>
        <x14:sparklineGroup type="stacked" displayEmptyCellsAs="gap" negative="1" xr2:uid="{00000000-0003-0000-1500-00008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'!U62:U62</xm:f>
              <xm:sqref>U63</xm:sqref>
            </x14:sparkline>
          </x14:sparklines>
        </x14:sparklineGroup>
        <x14:sparklineGroup type="stacked" displayEmptyCellsAs="gap" negative="1" xr2:uid="{00000000-0003-0000-1500-00008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'!N62:N62</xm:f>
              <xm:sqref>N63</xm:sqref>
            </x14:sparkline>
            <x14:sparkline>
              <xm:f>'RAWABI INCOME (10-19) '!O62:O62</xm:f>
              <xm:sqref>O63</xm:sqref>
            </x14:sparkline>
            <x14:sparkline>
              <xm:f>'RAWABI INCOME (10-19) '!P62:P62</xm:f>
              <xm:sqref>P63</xm:sqref>
            </x14:sparkline>
            <x14:sparkline>
              <xm:f>'RAWABI INCOME (10-19) '!Q62:Q62</xm:f>
              <xm:sqref>Q63</xm:sqref>
            </x14:sparkline>
            <x14:sparkline>
              <xm:f>'RAWABI INCOME (10-19) '!R62:R62</xm:f>
              <xm:sqref>R63</xm:sqref>
            </x14:sparkline>
            <x14:sparkline>
              <xm:f>'RAWABI INCOME (10-19) '!S62:S62</xm:f>
              <xm:sqref>S63</xm:sqref>
            </x14:sparkline>
            <x14:sparkline>
              <xm:f>'RAWABI INCOME (10-19) '!T62:T62</xm:f>
              <xm:sqref>T63</xm:sqref>
            </x14:sparkline>
          </x14:sparklines>
        </x14:sparklineGroup>
        <x14:sparklineGroup type="stacked" displayEmptyCellsAs="gap" negative="1" xr2:uid="{00000000-0003-0000-1500-00008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'!BQ96:BQ96</xm:f>
              <xm:sqref>BQ97</xm:sqref>
            </x14:sparkline>
          </x14:sparklines>
        </x14:sparklineGroup>
        <x14:sparklineGroup type="stacked" displayEmptyCellsAs="gap" negative="1" xr2:uid="{00000000-0003-0000-1500-00008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'!BR101:BR101</xm:f>
              <xm:sqref>BS101</xm:sqref>
            </x14:sparkline>
          </x14:sparklines>
        </x14:sparklineGroup>
        <x14:sparklineGroup type="stacked" displayEmptyCellsAs="gap" negative="1" xr2:uid="{00000000-0003-0000-1500-00008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'!U91:U91</xm:f>
              <xm:sqref>U92</xm:sqref>
            </x14:sparkline>
          </x14:sparklines>
        </x14:sparklineGroup>
        <x14:sparklineGroup type="stacked" displayEmptyCellsAs="gap" negative="1" xr2:uid="{00000000-0003-0000-1500-00008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'!BR103:BR103</xm:f>
              <xm:sqref>BS103</xm:sqref>
            </x14:sparkline>
          </x14:sparklines>
        </x14:sparklineGroup>
        <x14:sparklineGroup type="stacked" displayEmptyCellsAs="gap" negative="1" xr2:uid="{00000000-0003-0000-1500-00008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(10-19) '!BQ62:BQ62</xm:f>
              <xm:sqref>BQ63</xm:sqref>
            </x14:sparkline>
          </x14:sparklines>
        </x14:sparklineGroup>
        <x14:sparklineGroup type="stacked" displayEmptyCellsAs="gap" negative="1" xr2:uid="{00000000-0003-0000-1500-00008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(10-19) '!N96:N96</xm:f>
              <xm:sqref>N97</xm:sqref>
            </x14:sparkline>
            <x14:sparkline>
              <xm:f>'RAWABI INCOME (10-19) '!O96:O96</xm:f>
              <xm:sqref>O97</xm:sqref>
            </x14:sparkline>
            <x14:sparkline>
              <xm:f>'RAWABI INCOME (10-19) '!P96:P96</xm:f>
              <xm:sqref>P97</xm:sqref>
            </x14:sparkline>
            <x14:sparkline>
              <xm:f>'RAWABI INCOME (10-19) '!Q96:Q96</xm:f>
              <xm:sqref>Q97</xm:sqref>
            </x14:sparkline>
            <x14:sparkline>
              <xm:f>'RAWABI INCOME (10-19) '!R96:R96</xm:f>
              <xm:sqref>R97</xm:sqref>
            </x14:sparkline>
            <x14:sparkline>
              <xm:f>'RAWABI INCOME (10-19) '!S96:S96</xm:f>
              <xm:sqref>S97</xm:sqref>
            </x14:sparkline>
            <x14:sparkline>
              <xm:f>'RAWABI INCOME (10-19) '!T96:T96</xm:f>
              <xm:sqref>T97</xm:sqref>
            </x14:sparkline>
            <x14:sparkline>
              <xm:f>'RAWABI INCOME (10-19) '!V96:V96</xm:f>
              <xm:sqref>V97</xm:sqref>
            </x14:sparkline>
            <x14:sparkline>
              <xm:f>'RAWABI INCOME (10-19) '!W96:W96</xm:f>
              <xm:sqref>W97</xm:sqref>
            </x14:sparkline>
            <x14:sparkline>
              <xm:f>'RAWABI INCOME (10-19) '!X96:X96</xm:f>
              <xm:sqref>X97</xm:sqref>
            </x14:sparkline>
            <x14:sparkline>
              <xm:f>'RAWABI INCOME (10-19) '!Y96:Y96</xm:f>
              <xm:sqref>Y97</xm:sqref>
            </x14:sparkline>
            <x14:sparkline>
              <xm:f>'RAWABI INCOME (10-19) '!Z96:Z96</xm:f>
              <xm:sqref>Z97</xm:sqref>
            </x14:sparkline>
            <x14:sparkline>
              <xm:f>'RAWABI INCOME (10-19) '!AA96:AA96</xm:f>
              <xm:sqref>AA97</xm:sqref>
            </x14:sparkline>
            <x14:sparkline>
              <xm:f>'RAWABI INCOME (10-19) '!AB96:AB96</xm:f>
              <xm:sqref>AB97</xm:sqref>
            </x14:sparkline>
            <x14:sparkline>
              <xm:f>'RAWABI INCOME (10-19) '!AC96:AC96</xm:f>
              <xm:sqref>AC97</xm:sqref>
            </x14:sparkline>
            <x14:sparkline>
              <xm:f>'RAWABI INCOME (10-19) '!AD96:AD96</xm:f>
              <xm:sqref>AD97</xm:sqref>
            </x14:sparkline>
            <x14:sparkline>
              <xm:f>'RAWABI INCOME (10-19) '!AE96:AE96</xm:f>
              <xm:sqref>AE97</xm:sqref>
            </x14:sparkline>
            <x14:sparkline>
              <xm:f>'RAWABI INCOME (10-19) '!AF96:AF96</xm:f>
              <xm:sqref>AF97</xm:sqref>
            </x14:sparkline>
            <x14:sparkline>
              <xm:f>'RAWABI INCOME (10-19) '!AG96:AG96</xm:f>
              <xm:sqref>AG97</xm:sqref>
            </x14:sparkline>
            <x14:sparkline>
              <xm:f>'RAWABI INCOME (10-19) '!AH96:AH96</xm:f>
              <xm:sqref>AH97</xm:sqref>
            </x14:sparkline>
            <x14:sparkline>
              <xm:f>'RAWABI INCOME (10-19) '!AI96:AI96</xm:f>
              <xm:sqref>AI97</xm:sqref>
            </x14:sparkline>
            <x14:sparkline>
              <xm:f>'RAWABI INCOME (10-19) '!AJ96:AJ96</xm:f>
              <xm:sqref>AJ97</xm:sqref>
            </x14:sparkline>
            <x14:sparkline>
              <xm:f>'RAWABI INCOME (10-19) '!AK96:AK96</xm:f>
              <xm:sqref>AK97</xm:sqref>
            </x14:sparkline>
            <x14:sparkline>
              <xm:f>'RAWABI INCOME (10-19) '!AL96:AL96</xm:f>
              <xm:sqref>AL97</xm:sqref>
            </x14:sparkline>
            <x14:sparkline>
              <xm:f>'RAWABI INCOME (10-19) '!AM96:AM96</xm:f>
              <xm:sqref>AM97</xm:sqref>
            </x14:sparkline>
            <x14:sparkline>
              <xm:f>'RAWABI INCOME (10-19) '!AN96:AN96</xm:f>
              <xm:sqref>AN97</xm:sqref>
            </x14:sparkline>
            <x14:sparkline>
              <xm:f>'RAWABI INCOME (10-19) '!AO96:AO96</xm:f>
              <xm:sqref>AO97</xm:sqref>
            </x14:sparkline>
            <x14:sparkline>
              <xm:f>'RAWABI INCOME (10-19) '!AP96:AP96</xm:f>
              <xm:sqref>AP97</xm:sqref>
            </x14:sparkline>
            <x14:sparkline>
              <xm:f>'RAWABI INCOME (10-19) '!AQ96:AQ96</xm:f>
              <xm:sqref>AQ97</xm:sqref>
            </x14:sparkline>
            <x14:sparkline>
              <xm:f>'RAWABI INCOME (10-19) '!AR96:AR96</xm:f>
              <xm:sqref>AR97</xm:sqref>
            </x14:sparkline>
            <x14:sparkline>
              <xm:f>'RAWABI INCOME (10-19) '!AS96:AS96</xm:f>
              <xm:sqref>AS97</xm:sqref>
            </x14:sparkline>
            <x14:sparkline>
              <xm:f>'RAWABI INCOME (10-19) '!AT96:AT96</xm:f>
              <xm:sqref>AT97</xm:sqref>
            </x14:sparkline>
            <x14:sparkline>
              <xm:f>'RAWABI INCOME (10-19) '!AU96:AU96</xm:f>
              <xm:sqref>AU97</xm:sqref>
            </x14:sparkline>
            <x14:sparkline>
              <xm:f>'RAWABI INCOME (10-19) '!AV96:AV96</xm:f>
              <xm:sqref>AV97</xm:sqref>
            </x14:sparkline>
            <x14:sparkline>
              <xm:f>'RAWABI INCOME (10-19) '!AW96:AW96</xm:f>
              <xm:sqref>AW97</xm:sqref>
            </x14:sparkline>
            <x14:sparkline>
              <xm:f>'RAWABI INCOME (10-19) '!AX96:AX96</xm:f>
              <xm:sqref>AX97</xm:sqref>
            </x14:sparkline>
            <x14:sparkline>
              <xm:f>'RAWABI INCOME (10-19) '!AY96:AY96</xm:f>
              <xm:sqref>AY97</xm:sqref>
            </x14:sparkline>
            <x14:sparkline>
              <xm:f>'RAWABI INCOME (10-19) '!AZ96:AZ96</xm:f>
              <xm:sqref>AZ97</xm:sqref>
            </x14:sparkline>
            <x14:sparkline>
              <xm:f>'RAWABI INCOME (10-19) '!BA96:BA96</xm:f>
              <xm:sqref>BA97</xm:sqref>
            </x14:sparkline>
            <x14:sparkline>
              <xm:f>'RAWABI INCOME (10-19) '!BB96:BB96</xm:f>
              <xm:sqref>BB97</xm:sqref>
            </x14:sparkline>
            <x14:sparkline>
              <xm:f>'RAWABI INCOME (10-19) '!BC96:BC96</xm:f>
              <xm:sqref>BC97</xm:sqref>
            </x14:sparkline>
            <x14:sparkline>
              <xm:f>'RAWABI INCOME (10-19) '!BD96:BD96</xm:f>
              <xm:sqref>BD97</xm:sqref>
            </x14:sparkline>
            <x14:sparkline>
              <xm:f>'RAWABI INCOME (10-19) '!BE96:BE96</xm:f>
              <xm:sqref>BE97</xm:sqref>
            </x14:sparkline>
            <x14:sparkline>
              <xm:f>'RAWABI INCOME (10-19) '!BF96:BF96</xm:f>
              <xm:sqref>BF97</xm:sqref>
            </x14:sparkline>
            <x14:sparkline>
              <xm:f>'RAWABI INCOME (10-19) '!BG96:BG96</xm:f>
              <xm:sqref>BG97</xm:sqref>
            </x14:sparkline>
            <x14:sparkline>
              <xm:f>'RAWABI INCOME (10-19) '!BH96:BH96</xm:f>
              <xm:sqref>BH97</xm:sqref>
            </x14:sparkline>
            <x14:sparkline>
              <xm:f>'RAWABI INCOME (10-19) '!BI96:BI96</xm:f>
              <xm:sqref>BI97</xm:sqref>
            </x14:sparkline>
            <x14:sparkline>
              <xm:f>'RAWABI INCOME (10-19) '!BJ96:BJ96</xm:f>
              <xm:sqref>BJ97</xm:sqref>
            </x14:sparkline>
            <x14:sparkline>
              <xm:f>'RAWABI INCOME (10-19) '!BK96:BK96</xm:f>
              <xm:sqref>BK97</xm:sqref>
            </x14:sparkline>
            <x14:sparkline>
              <xm:f>'RAWABI INCOME (10-19) '!BL96:BL96</xm:f>
              <xm:sqref>BL97</xm:sqref>
            </x14:sparkline>
            <x14:sparkline>
              <xm:f>'RAWABI INCOME (10-19) '!BM96:BM96</xm:f>
              <xm:sqref>BM97</xm:sqref>
            </x14:sparkline>
            <x14:sparkline>
              <xm:f>'RAWABI INCOME (10-19) '!BN96:BN96</xm:f>
              <xm:sqref>BN97</xm:sqref>
            </x14:sparkline>
            <x14:sparkline>
              <xm:f>'RAWABI INCOME (10-19) '!BO96:BO96</xm:f>
              <xm:sqref>BO97</xm:sqref>
            </x14:sparkline>
            <x14:sparkline>
              <xm:f>'RAWABI INCOME (10-19) '!BP96:BP96</xm:f>
              <xm:sqref>BP97</xm:sqref>
            </x14:sparkline>
            <x14:sparkline>
              <xm:f>'RAWABI INCOME (10-19) '!BR96:BR96</xm:f>
              <xm:sqref>BR97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Q95"/>
  <sheetViews>
    <sheetView zoomScale="80" zoomScaleNormal="80" zoomScaleSheetLayoutView="80" workbookViewId="0">
      <pane xSplit="12" ySplit="12" topLeftCell="BP13" activePane="bottomRight" state="frozen"/>
      <selection activeCell="BT4" sqref="BT4:BT5"/>
      <selection pane="topRight" activeCell="BT4" sqref="BT4:BT5"/>
      <selection pane="bottomLeft" activeCell="BT4" sqref="BT4:BT5"/>
      <selection pane="bottomRight" activeCell="BT4" sqref="BT4:BT5"/>
    </sheetView>
  </sheetViews>
  <sheetFormatPr defaultColWidth="9.125" defaultRowHeight="16.5" x14ac:dyDescent="0.2"/>
  <cols>
    <col min="1" max="1" width="1.75" style="1719" customWidth="1"/>
    <col min="2" max="2" width="4.75" style="1719" customWidth="1"/>
    <col min="3" max="3" width="59.75" style="1719" bestFit="1" customWidth="1"/>
    <col min="4" max="4" width="0.875" style="1923" customWidth="1"/>
    <col min="5" max="5" width="13.75" style="1719" bestFit="1" customWidth="1"/>
    <col min="6" max="9" width="10.875" style="1719" hidden="1" customWidth="1"/>
    <col min="10" max="10" width="12.875" style="1719" bestFit="1" customWidth="1"/>
    <col min="11" max="11" width="12" style="1719" bestFit="1" customWidth="1"/>
    <col min="12" max="12" width="0.875" style="1719" customWidth="1"/>
    <col min="13" max="13" width="0.875" style="1923" customWidth="1"/>
    <col min="14" max="14" width="9.375" style="1719" hidden="1" customWidth="1"/>
    <col min="15" max="20" width="8.875" style="1719" hidden="1" customWidth="1"/>
    <col min="21" max="21" width="0.875" style="1923" customWidth="1"/>
    <col min="22" max="22" width="10.125" style="1719" customWidth="1"/>
    <col min="23" max="23" width="11.375" style="1719" bestFit="1" customWidth="1"/>
    <col min="24" max="24" width="9.375" style="1719" customWidth="1"/>
    <col min="25" max="25" width="0.875" style="1923" customWidth="1"/>
    <col min="26" max="26" width="8.875" style="1719" hidden="1" customWidth="1"/>
    <col min="27" max="27" width="8.75" style="1719" hidden="1" customWidth="1"/>
    <col min="28" max="28" width="9.25" style="1719" hidden="1" customWidth="1"/>
    <col min="29" max="30" width="8.875" style="1719" hidden="1" customWidth="1"/>
    <col min="31" max="32" width="9.25" style="1719" hidden="1" customWidth="1"/>
    <col min="33" max="33" width="0.875" style="1923" customWidth="1"/>
    <col min="34" max="34" width="10.125" style="1719" customWidth="1"/>
    <col min="35" max="36" width="9.375" style="1719" customWidth="1"/>
    <col min="37" max="37" width="0.875" style="1923" customWidth="1"/>
    <col min="38" max="44" width="8.875" style="1719" hidden="1" customWidth="1"/>
    <col min="45" max="45" width="0.875" style="1923" customWidth="1"/>
    <col min="46" max="46" width="10" style="1719" bestFit="1" customWidth="1"/>
    <col min="47" max="47" width="9.25" style="1719" bestFit="1" customWidth="1"/>
    <col min="48" max="48" width="10" style="1719" bestFit="1" customWidth="1"/>
    <col min="49" max="49" width="0.875" style="1923" customWidth="1"/>
    <col min="50" max="50" width="9" style="1719" customWidth="1"/>
    <col min="51" max="55" width="8.875" style="1719" customWidth="1"/>
    <col min="56" max="56" width="9.125" style="1719" customWidth="1"/>
    <col min="57" max="57" width="0.875" style="1923" customWidth="1"/>
    <col min="58" max="58" width="8.875" style="1719" bestFit="1" customWidth="1"/>
    <col min="59" max="59" width="9.625" style="1719" customWidth="1"/>
    <col min="60" max="60" width="8.875" style="1719" bestFit="1" customWidth="1"/>
    <col min="61" max="61" width="0.875" style="1719" customWidth="1"/>
    <col min="62" max="62" width="8.875" style="1719" customWidth="1"/>
    <col min="63" max="63" width="9" style="1719" customWidth="1"/>
    <col min="64" max="64" width="0.875" style="1719" customWidth="1"/>
    <col min="65" max="67" width="8" style="1719" customWidth="1"/>
    <col min="68" max="68" width="0.875" style="1719" customWidth="1"/>
    <col min="69" max="69" width="10" style="1719" bestFit="1" customWidth="1"/>
    <col min="70" max="70" width="11" style="1719" bestFit="1" customWidth="1"/>
    <col min="71" max="71" width="0.875" style="1719" customWidth="1"/>
    <col min="72" max="72" width="10.375" style="1719" bestFit="1" customWidth="1"/>
    <col min="73" max="73" width="10.25" style="1719" bestFit="1" customWidth="1"/>
    <col min="74" max="74" width="0.875" style="1923" customWidth="1"/>
    <col min="75" max="75" width="10.375" style="1719" bestFit="1" customWidth="1"/>
    <col min="76" max="76" width="1.875" style="1719" customWidth="1"/>
    <col min="77" max="78" width="12.25" style="1719" bestFit="1" customWidth="1"/>
    <col min="79" max="79" width="13.125" style="1719" bestFit="1" customWidth="1"/>
    <col min="80" max="80" width="16.25" style="1719" bestFit="1" customWidth="1"/>
    <col min="81" max="81" width="12" style="1719" customWidth="1"/>
    <col min="82" max="82" width="12" style="1719" bestFit="1" customWidth="1"/>
    <col min="83" max="83" width="10.875" style="1719" customWidth="1"/>
    <col min="84" max="84" width="10" style="1719" bestFit="1" customWidth="1"/>
    <col min="85" max="85" width="13" style="1719" bestFit="1" customWidth="1"/>
    <col min="86" max="86" width="12" style="1719" bestFit="1" customWidth="1"/>
    <col min="87" max="87" width="12.125" style="1719" bestFit="1" customWidth="1"/>
    <col min="88" max="88" width="11" style="1719" bestFit="1" customWidth="1"/>
    <col min="89" max="90" width="9.125" style="1719" customWidth="1"/>
    <col min="91" max="16384" width="9.125" style="1719"/>
  </cols>
  <sheetData>
    <row r="1" spans="1:173" s="1726" customFormat="1" ht="18" customHeight="1" x14ac:dyDescent="0.2">
      <c r="C1" s="4558" t="s">
        <v>256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535" t="s">
        <v>145</v>
      </c>
      <c r="BK1" s="4536"/>
      <c r="BM1" s="4541" t="s">
        <v>146</v>
      </c>
      <c r="BN1" s="4542"/>
      <c r="BO1" s="4543"/>
      <c r="BQ1" s="4613" t="s">
        <v>54</v>
      </c>
      <c r="BR1" s="4579" t="s">
        <v>61</v>
      </c>
      <c r="BT1" s="4582">
        <f>BZ18/31</f>
        <v>0.77419354838709675</v>
      </c>
      <c r="BU1" s="4583"/>
      <c r="BV1" s="4583"/>
      <c r="BW1" s="4584"/>
      <c r="BY1" s="2454">
        <f>BT3/BZ18*24</f>
        <v>18958.298000000003</v>
      </c>
      <c r="BZ1" s="2455">
        <f>BY1*BT5</f>
        <v>4654.259</v>
      </c>
      <c r="CA1" s="2456">
        <f>BZ1-E40</f>
        <v>1130.7090000000003</v>
      </c>
      <c r="CB1" s="2762">
        <f>CA1/2</f>
        <v>565.35450000000014</v>
      </c>
      <c r="CC1" s="4570"/>
      <c r="CD1" s="4566"/>
      <c r="CE1" s="4568"/>
      <c r="CG1" s="4570"/>
      <c r="CH1" s="4566"/>
      <c r="CI1" s="4568"/>
    </row>
    <row r="2" spans="1:173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1721"/>
      <c r="N2" s="4575"/>
      <c r="O2" s="4576"/>
      <c r="P2" s="4576"/>
      <c r="Q2" s="4576"/>
      <c r="R2" s="4576"/>
      <c r="S2" s="4576"/>
      <c r="T2" s="4577"/>
      <c r="U2" s="2258"/>
      <c r="V2" s="4544"/>
      <c r="W2" s="4545"/>
      <c r="X2" s="4546"/>
      <c r="Y2" s="2258"/>
      <c r="Z2" s="4575"/>
      <c r="AA2" s="4576"/>
      <c r="AB2" s="4576"/>
      <c r="AC2" s="4576"/>
      <c r="AD2" s="4576"/>
      <c r="AE2" s="4576"/>
      <c r="AF2" s="4577"/>
      <c r="AG2" s="2258"/>
      <c r="AH2" s="4544"/>
      <c r="AI2" s="4545"/>
      <c r="AJ2" s="4546"/>
      <c r="AK2" s="2258"/>
      <c r="AL2" s="4575"/>
      <c r="AM2" s="4576"/>
      <c r="AN2" s="4576"/>
      <c r="AO2" s="4576"/>
      <c r="AP2" s="4576"/>
      <c r="AQ2" s="4576"/>
      <c r="AR2" s="4577"/>
      <c r="AS2" s="2258"/>
      <c r="AT2" s="4544"/>
      <c r="AU2" s="4545"/>
      <c r="AV2" s="4546"/>
      <c r="AW2" s="2258"/>
      <c r="AX2" s="4575"/>
      <c r="AY2" s="4576"/>
      <c r="AZ2" s="4576"/>
      <c r="BA2" s="4576"/>
      <c r="BB2" s="4576"/>
      <c r="BC2" s="4576"/>
      <c r="BD2" s="4577"/>
      <c r="BE2" s="2258"/>
      <c r="BF2" s="4544"/>
      <c r="BG2" s="4545"/>
      <c r="BH2" s="4546"/>
      <c r="BI2" s="1724"/>
      <c r="BJ2" s="4538"/>
      <c r="BK2" s="4539"/>
      <c r="BL2" s="1724"/>
      <c r="BM2" s="4544"/>
      <c r="BN2" s="4545"/>
      <c r="BO2" s="4546"/>
      <c r="BQ2" s="4614"/>
      <c r="BR2" s="4580"/>
      <c r="BT2" s="4585"/>
      <c r="BU2" s="4586"/>
      <c r="BV2" s="4586"/>
      <c r="BW2" s="4587"/>
      <c r="BY2" s="2744"/>
      <c r="BZ2" s="2833">
        <f>BZ1/BY1</f>
        <v>0.245499833371118</v>
      </c>
      <c r="CA2" s="2745"/>
      <c r="CB2" s="2746"/>
      <c r="CC2" s="4571"/>
      <c r="CD2" s="4567"/>
      <c r="CE2" s="4569"/>
      <c r="CF2" s="1725"/>
      <c r="CG2" s="4571"/>
      <c r="CH2" s="4567"/>
      <c r="CI2" s="4569"/>
      <c r="CJ2" s="1725"/>
    </row>
    <row r="3" spans="1:173" s="1726" customFormat="1" ht="17.25" customHeight="1" x14ac:dyDescent="0.2">
      <c r="C3" s="2259" t="s">
        <v>189</v>
      </c>
      <c r="D3" s="1727"/>
      <c r="E3" s="2260"/>
      <c r="F3" s="2260"/>
      <c r="G3" s="2260"/>
      <c r="H3" s="2260"/>
      <c r="I3" s="2260"/>
      <c r="J3" s="2261">
        <f>BT3</f>
        <v>18958.298000000003</v>
      </c>
      <c r="K3" s="2469">
        <f>BT3/BZ18</f>
        <v>789.92908333333344</v>
      </c>
      <c r="L3" s="1730"/>
      <c r="M3" s="1731"/>
      <c r="N3" s="1732">
        <v>864.15</v>
      </c>
      <c r="O3" s="1732">
        <v>1117.098</v>
      </c>
      <c r="P3" s="1732">
        <v>740.79899999999998</v>
      </c>
      <c r="Q3" s="1732">
        <v>1058.1020000000001</v>
      </c>
      <c r="R3" s="1732">
        <v>950.25</v>
      </c>
      <c r="S3" s="1732">
        <v>753.40300000000002</v>
      </c>
      <c r="T3" s="1732">
        <v>833.3</v>
      </c>
      <c r="U3" s="1733"/>
      <c r="V3" s="2207">
        <f>SUM(N3:T3)</f>
        <v>6317.1020000000008</v>
      </c>
      <c r="W3" s="2275">
        <f>($J$40*100/24)*7</f>
        <v>3425.6736111111118</v>
      </c>
      <c r="X3" s="2277">
        <f>V3-W3</f>
        <v>2891.428388888889</v>
      </c>
      <c r="Y3" s="1737"/>
      <c r="Z3" s="1732">
        <v>776.65099999999995</v>
      </c>
      <c r="AA3" s="1732">
        <v>941.55100000000004</v>
      </c>
      <c r="AB3" s="1732">
        <v>915.048</v>
      </c>
      <c r="AC3" s="1732">
        <v>629.69899999999996</v>
      </c>
      <c r="AD3" s="1732">
        <v>1051.7</v>
      </c>
      <c r="AE3" s="1732">
        <v>640.29999999999995</v>
      </c>
      <c r="AF3" s="1732">
        <v>665</v>
      </c>
      <c r="AG3" s="1738"/>
      <c r="AH3" s="2207">
        <f>SUM(Z3:AF3)</f>
        <v>5619.9490000000005</v>
      </c>
      <c r="AI3" s="2275">
        <f>($J$40*100/24)*7</f>
        <v>3425.6736111111118</v>
      </c>
      <c r="AJ3" s="2277">
        <f>AH3-AI3</f>
        <v>2194.2753888888888</v>
      </c>
      <c r="AK3" s="1738"/>
      <c r="AL3" s="1732">
        <v>939.60199999999998</v>
      </c>
      <c r="AM3" s="1732">
        <v>866.63800000000003</v>
      </c>
      <c r="AN3" s="1732">
        <v>688.95</v>
      </c>
      <c r="AO3" s="1732">
        <v>749.49900000000002</v>
      </c>
      <c r="AP3" s="1732">
        <v>695.5</v>
      </c>
      <c r="AQ3" s="1732">
        <v>803</v>
      </c>
      <c r="AR3" s="1732">
        <v>672.1</v>
      </c>
      <c r="AS3" s="2205"/>
      <c r="AT3" s="2207">
        <f>SUM(AL3:AR3)</f>
        <v>5415.2890000000007</v>
      </c>
      <c r="AU3" s="2275">
        <f>($J$40*100/24)*7</f>
        <v>3425.6736111111118</v>
      </c>
      <c r="AV3" s="2277">
        <f>AT3-AU3</f>
        <v>1989.6153888888889</v>
      </c>
      <c r="AW3" s="2205"/>
      <c r="AX3" s="1732">
        <v>659.65</v>
      </c>
      <c r="AY3" s="1732">
        <v>946.30799999999999</v>
      </c>
      <c r="AZ3" s="1732"/>
      <c r="BA3" s="1732"/>
      <c r="BB3" s="1732"/>
      <c r="BC3" s="1732"/>
      <c r="BD3" s="1732"/>
      <c r="BE3" s="2205"/>
      <c r="BF3" s="2207">
        <f>SUM(AX3:BD3)</f>
        <v>1605.9580000000001</v>
      </c>
      <c r="BG3" s="2275">
        <f>($J$40*100/24)*2</f>
        <v>978.76388888888903</v>
      </c>
      <c r="BH3" s="2277">
        <f>BF3-BG3</f>
        <v>627.19411111111106</v>
      </c>
      <c r="BI3" s="1861"/>
      <c r="BJ3" s="1732"/>
      <c r="BK3" s="1732"/>
      <c r="BL3" s="1861"/>
      <c r="BM3" s="2207">
        <f>SUM(BJ3:BK3)</f>
        <v>0</v>
      </c>
      <c r="BN3" s="2275" t="e">
        <f>($J$40*BM5)*0</f>
        <v>#DIV/0!</v>
      </c>
      <c r="BO3" s="2277" t="e">
        <f>BM3-BN3</f>
        <v>#DIV/0!</v>
      </c>
      <c r="BQ3" s="4614"/>
      <c r="BR3" s="4580"/>
      <c r="BT3" s="2345">
        <f>SUM(N3:T3)+SUM(Z3:AF3)+SUM(AL3:AR3)+SUM(AX3:BD3)+SUM(BJ3:BK3)</f>
        <v>18958.298000000003</v>
      </c>
      <c r="BU3" s="2346">
        <f>BT3/BY3</f>
        <v>1.2913089128861519</v>
      </c>
      <c r="BV3" s="1997"/>
      <c r="BW3" s="2797">
        <f>BT3/BZ18*30</f>
        <v>23697.872500000005</v>
      </c>
      <c r="BX3" s="1740"/>
      <c r="BY3" s="2747">
        <f>C40</f>
        <v>14681.458333333334</v>
      </c>
      <c r="BZ3" s="2748">
        <f>BY3-BT3</f>
        <v>-4276.8396666666686</v>
      </c>
      <c r="CA3" s="2749">
        <f>BZ3/BZ21</f>
        <v>-712.80661111111147</v>
      </c>
      <c r="CB3" s="2582" t="e">
        <f>BY1/'RAWABI INCOME (10-19) '!BZ1-1</f>
        <v>#DIV/0!</v>
      </c>
      <c r="CC3" s="2333"/>
      <c r="CD3" s="2334"/>
      <c r="CE3" s="2335"/>
      <c r="CF3" s="1742"/>
      <c r="CG3" s="2333"/>
      <c r="CH3" s="2334"/>
      <c r="CI3" s="2335"/>
      <c r="CJ3" s="1742"/>
    </row>
    <row r="4" spans="1:173" s="2713" customFormat="1" ht="17.25" customHeight="1" x14ac:dyDescent="0.2">
      <c r="C4" s="2714"/>
      <c r="D4" s="2715"/>
      <c r="E4" s="2716"/>
      <c r="F4" s="2716"/>
      <c r="G4" s="2716"/>
      <c r="H4" s="2716"/>
      <c r="I4" s="2716"/>
      <c r="J4" s="2717">
        <f>BT4</f>
        <v>4654.259</v>
      </c>
      <c r="K4" s="2718">
        <f>C40/K3</f>
        <v>18.585792880774424</v>
      </c>
      <c r="L4" s="2719"/>
      <c r="M4" s="2720"/>
      <c r="N4" s="2721">
        <v>205.643</v>
      </c>
      <c r="O4" s="2721">
        <v>274.72399999999999</v>
      </c>
      <c r="P4" s="2721">
        <v>191.16900000000001</v>
      </c>
      <c r="Q4" s="2721">
        <v>263.03500000000003</v>
      </c>
      <c r="R4" s="2721">
        <v>225.83699999999999</v>
      </c>
      <c r="S4" s="2721">
        <v>179.495</v>
      </c>
      <c r="T4" s="2721">
        <v>208.392</v>
      </c>
      <c r="U4" s="2722"/>
      <c r="V4" s="2781">
        <f>SUM(N4:T4)</f>
        <v>1548.2949999999998</v>
      </c>
      <c r="W4" s="2782">
        <f>W3*V5</f>
        <v>839.61812294866809</v>
      </c>
      <c r="X4" s="2783">
        <f>X3*V5</f>
        <v>708.67687705133164</v>
      </c>
      <c r="Y4" s="2723"/>
      <c r="Z4" s="2721">
        <v>185.43199999999999</v>
      </c>
      <c r="AA4" s="2721">
        <v>240.524</v>
      </c>
      <c r="AB4" s="2721">
        <v>223.495</v>
      </c>
      <c r="AC4" s="2721">
        <v>159.387</v>
      </c>
      <c r="AD4" s="2721">
        <v>243.691</v>
      </c>
      <c r="AE4" s="2721">
        <v>152.19800000000001</v>
      </c>
      <c r="AF4" s="2721">
        <v>162.38300000000001</v>
      </c>
      <c r="AG4" s="2724"/>
      <c r="AH4" s="2781">
        <f>SUM(Z4:AF4)</f>
        <v>1367.1100000000001</v>
      </c>
      <c r="AI4" s="2782">
        <f>AI3*AH5</f>
        <v>833.33009792190501</v>
      </c>
      <c r="AJ4" s="2783">
        <f>AJ3*25%</f>
        <v>548.56884722222219</v>
      </c>
      <c r="AK4" s="2724"/>
      <c r="AL4" s="2721">
        <v>219.80500000000001</v>
      </c>
      <c r="AM4" s="2721">
        <v>222.64500000000001</v>
      </c>
      <c r="AN4" s="2721">
        <v>162.38</v>
      </c>
      <c r="AO4" s="2721">
        <v>181.03399999999999</v>
      </c>
      <c r="AP4" s="2721">
        <v>180.57900000000001</v>
      </c>
      <c r="AQ4" s="2721">
        <v>208.785</v>
      </c>
      <c r="AR4" s="2721">
        <v>163.35599999999999</v>
      </c>
      <c r="AS4" s="2725"/>
      <c r="AT4" s="2781">
        <f>SUM(AL4:AR4)</f>
        <v>1338.5840000000001</v>
      </c>
      <c r="AU4" s="2782">
        <f>AU3*AT5</f>
        <v>846.77879334889712</v>
      </c>
      <c r="AV4" s="2783">
        <f>AV3*25%</f>
        <v>497.40384722222223</v>
      </c>
      <c r="AW4" s="2725"/>
      <c r="AX4" s="2721">
        <v>177.85499999999999</v>
      </c>
      <c r="AY4" s="2721">
        <v>222.41499999999999</v>
      </c>
      <c r="AZ4" s="2721"/>
      <c r="BA4" s="2721"/>
      <c r="BB4" s="2721"/>
      <c r="BC4" s="2721"/>
      <c r="BD4" s="2721"/>
      <c r="BE4" s="2725"/>
      <c r="BF4" s="2781">
        <f>SUM(AX4:BD4)</f>
        <v>400.27</v>
      </c>
      <c r="BG4" s="2782">
        <f>BG3*BF5</f>
        <v>243.94773823820771</v>
      </c>
      <c r="BH4" s="2783">
        <f>BH3*25%</f>
        <v>156.79852777777776</v>
      </c>
      <c r="BI4" s="2726"/>
      <c r="BJ4" s="2721"/>
      <c r="BK4" s="2721"/>
      <c r="BL4" s="2726"/>
      <c r="BM4" s="2781">
        <f>SUM(BJ4:BK4)</f>
        <v>0</v>
      </c>
      <c r="BN4" s="2782" t="e">
        <f>BN3*BM5</f>
        <v>#DIV/0!</v>
      </c>
      <c r="BO4" s="2783" t="e">
        <f>BO3*25%</f>
        <v>#DIV/0!</v>
      </c>
      <c r="BQ4" s="4614"/>
      <c r="BR4" s="4580"/>
      <c r="BT4" s="2727">
        <f>SUM(N4:T4)+SUM(Z4:AF4)+SUM(AL4:AR4)+SUM(AX4:BD4)+SUM(BJ4:BK4)</f>
        <v>4654.259</v>
      </c>
      <c r="BU4" s="2728">
        <f>BT4/E40</f>
        <v>1.3209005122674577</v>
      </c>
      <c r="BV4" s="2729"/>
      <c r="BW4" s="2798"/>
      <c r="BX4" s="2730"/>
      <c r="BY4" s="2750"/>
      <c r="BZ4" s="2751">
        <f>BZ3/K3</f>
        <v>-5.4142071192255781</v>
      </c>
      <c r="CA4" s="2752" t="s">
        <v>251</v>
      </c>
      <c r="CB4" s="2772" t="s">
        <v>253</v>
      </c>
      <c r="CC4" s="2731"/>
      <c r="CD4" s="2732"/>
      <c r="CE4" s="2733"/>
      <c r="CF4" s="2734"/>
      <c r="CG4" s="2731"/>
      <c r="CH4" s="2732"/>
      <c r="CI4" s="2733"/>
      <c r="CJ4" s="2734"/>
    </row>
    <row r="5" spans="1:173" s="1885" customFormat="1" ht="17.25" customHeight="1" x14ac:dyDescent="0.2">
      <c r="C5" s="2812"/>
      <c r="D5" s="1888"/>
      <c r="E5" s="2813"/>
      <c r="F5" s="2813"/>
      <c r="G5" s="2813"/>
      <c r="H5" s="2813"/>
      <c r="I5" s="2813"/>
      <c r="J5" s="2814"/>
      <c r="K5" s="2815"/>
      <c r="L5" s="2816"/>
      <c r="M5" s="2817"/>
      <c r="N5" s="2818">
        <f t="shared" ref="N5:T5" si="0">N4/N3</f>
        <v>0.23797141699936356</v>
      </c>
      <c r="O5" s="2818">
        <f t="shared" si="0"/>
        <v>0.24592649883895593</v>
      </c>
      <c r="P5" s="2818">
        <f t="shared" si="0"/>
        <v>0.25805785374980261</v>
      </c>
      <c r="Q5" s="2818">
        <f t="shared" si="0"/>
        <v>0.24859134563586496</v>
      </c>
      <c r="R5" s="2818">
        <f t="shared" si="0"/>
        <v>0.23766061562746643</v>
      </c>
      <c r="S5" s="2818">
        <f t="shared" si="0"/>
        <v>0.23824566666179986</v>
      </c>
      <c r="T5" s="2818">
        <f t="shared" si="0"/>
        <v>0.25008040321612868</v>
      </c>
      <c r="U5" s="2819"/>
      <c r="V5" s="2820">
        <f>V4/V3</f>
        <v>0.24509577334670227</v>
      </c>
      <c r="W5" s="2821">
        <v>1547.2260000000001</v>
      </c>
      <c r="X5" s="2245">
        <f>W5-V4</f>
        <v>-1.0689999999997326</v>
      </c>
      <c r="Y5" s="2822"/>
      <c r="Z5" s="2818">
        <f t="shared" ref="Z5:AA5" si="1">Z4/Z3</f>
        <v>0.2387584642265316</v>
      </c>
      <c r="AA5" s="2818">
        <f t="shared" si="1"/>
        <v>0.25545509483819784</v>
      </c>
      <c r="AB5" s="2818">
        <f t="shared" ref="AB5:AC5" si="2">AB4/AB3</f>
        <v>0.24424401780015911</v>
      </c>
      <c r="AC5" s="2818">
        <f t="shared" si="2"/>
        <v>0.25311617137711828</v>
      </c>
      <c r="AD5" s="2818">
        <f t="shared" ref="AD5:AE5" si="3">AD4/AD3</f>
        <v>0.23171151469050108</v>
      </c>
      <c r="AE5" s="2818">
        <f t="shared" si="3"/>
        <v>0.23769795408402314</v>
      </c>
      <c r="AF5" s="2818">
        <f t="shared" ref="AF5" si="4">AF4/AF3</f>
        <v>0.24418496240601506</v>
      </c>
      <c r="AG5" s="2823"/>
      <c r="AH5" s="2820">
        <f>AH4/AH3</f>
        <v>0.24326021463895847</v>
      </c>
      <c r="AI5" s="2821">
        <v>1364.8230000000001</v>
      </c>
      <c r="AJ5" s="2245">
        <f>AI5-AH4</f>
        <v>-2.2870000000000346</v>
      </c>
      <c r="AK5" s="2823"/>
      <c r="AL5" s="2818">
        <f t="shared" ref="AL5:AM5" si="5">AL4/AL3</f>
        <v>0.23393415509971244</v>
      </c>
      <c r="AM5" s="2818">
        <f t="shared" si="5"/>
        <v>0.25690657460208299</v>
      </c>
      <c r="AN5" s="2818">
        <f t="shared" ref="AN5:AR5" si="6">AN4/AN3</f>
        <v>0.23569199506495389</v>
      </c>
      <c r="AO5" s="2818">
        <f t="shared" si="6"/>
        <v>0.2415400153969518</v>
      </c>
      <c r="AP5" s="2818">
        <f t="shared" si="6"/>
        <v>0.25963910855499639</v>
      </c>
      <c r="AQ5" s="2818">
        <f t="shared" si="6"/>
        <v>0.26000622665006229</v>
      </c>
      <c r="AR5" s="2818">
        <f t="shared" si="6"/>
        <v>0.24305311709567026</v>
      </c>
      <c r="AS5" s="2823"/>
      <c r="AT5" s="2820">
        <f>AT4/AT3</f>
        <v>0.24718606892448397</v>
      </c>
      <c r="AU5" s="2821">
        <v>1343.3109999999999</v>
      </c>
      <c r="AV5" s="2245">
        <f>AU5-AT4</f>
        <v>4.7269999999998618</v>
      </c>
      <c r="AW5" s="2402"/>
      <c r="AX5" s="2818">
        <f t="shared" ref="AX5:AY5" si="7">AX4/AX3</f>
        <v>0.26962025316455696</v>
      </c>
      <c r="AY5" s="2818">
        <f t="shared" si="7"/>
        <v>0.23503447080654502</v>
      </c>
      <c r="AZ5" s="2818" t="e">
        <f t="shared" ref="AZ5:BD5" si="8">AZ4/AZ3</f>
        <v>#DIV/0!</v>
      </c>
      <c r="BA5" s="2818" t="e">
        <f t="shared" si="8"/>
        <v>#DIV/0!</v>
      </c>
      <c r="BB5" s="2818" t="e">
        <f t="shared" si="8"/>
        <v>#DIV/0!</v>
      </c>
      <c r="BC5" s="2818" t="e">
        <f t="shared" si="8"/>
        <v>#DIV/0!</v>
      </c>
      <c r="BD5" s="2818" t="e">
        <f t="shared" si="8"/>
        <v>#DIV/0!</v>
      </c>
      <c r="BE5" s="2823"/>
      <c r="BF5" s="2820">
        <f>BF4/BF3</f>
        <v>0.24924064016618117</v>
      </c>
      <c r="BG5" s="2821">
        <v>403.52199999999999</v>
      </c>
      <c r="BH5" s="2245">
        <f>BG5-BF4</f>
        <v>3.2520000000000095</v>
      </c>
      <c r="BI5" s="2011"/>
      <c r="BJ5" s="2818" t="e">
        <f t="shared" ref="BJ5:BK5" si="9">BJ4/BJ3</f>
        <v>#DIV/0!</v>
      </c>
      <c r="BK5" s="2818" t="e">
        <f t="shared" si="9"/>
        <v>#DIV/0!</v>
      </c>
      <c r="BL5" s="2823"/>
      <c r="BM5" s="2820" t="e">
        <f>BM4/BM3</f>
        <v>#DIV/0!</v>
      </c>
      <c r="BN5" s="2821"/>
      <c r="BO5" s="2245">
        <f>BN5-BM4</f>
        <v>0</v>
      </c>
      <c r="BQ5" s="4614"/>
      <c r="BR5" s="4580"/>
      <c r="BT5" s="2820">
        <f>BT4/BT3</f>
        <v>0.245499833371118</v>
      </c>
      <c r="BU5" s="2821">
        <v>4671.7240000000002</v>
      </c>
      <c r="BV5" s="2010"/>
      <c r="BW5" s="2824">
        <f>BU5-BT4</f>
        <v>17.465000000000146</v>
      </c>
      <c r="BX5" s="1900"/>
      <c r="BY5" s="2825"/>
      <c r="BZ5" s="2826"/>
      <c r="CA5" s="2827"/>
      <c r="CB5" s="2828"/>
      <c r="CC5" s="2829"/>
      <c r="CD5" s="2830"/>
      <c r="CE5" s="2831"/>
      <c r="CF5" s="2832"/>
      <c r="CG5" s="2829"/>
      <c r="CH5" s="2830"/>
      <c r="CI5" s="2831"/>
      <c r="CJ5" s="2832"/>
    </row>
    <row r="6" spans="1:173" ht="17.25" customHeight="1" thickBot="1" x14ac:dyDescent="0.25">
      <c r="C6" s="1743"/>
      <c r="D6" s="1744"/>
      <c r="E6" s="1745"/>
      <c r="F6" s="1745"/>
      <c r="G6" s="1745"/>
      <c r="H6" s="1745"/>
      <c r="I6" s="1745"/>
      <c r="J6" s="1746"/>
      <c r="K6" s="2382"/>
      <c r="L6" s="1720"/>
      <c r="M6" s="1721"/>
      <c r="N6" s="1747"/>
      <c r="O6" s="1747"/>
      <c r="P6" s="1747"/>
      <c r="Q6" s="1747"/>
      <c r="R6" s="1747"/>
      <c r="S6" s="1747"/>
      <c r="T6" s="1747"/>
      <c r="U6" s="1748"/>
      <c r="V6" s="2021"/>
      <c r="W6" s="1786"/>
      <c r="X6" s="2278"/>
      <c r="Y6" s="1722"/>
      <c r="Z6" s="1747"/>
      <c r="AA6" s="1747"/>
      <c r="AB6" s="1747"/>
      <c r="AC6" s="1747"/>
      <c r="AD6" s="1747"/>
      <c r="AE6" s="1747"/>
      <c r="AF6" s="1747"/>
      <c r="AG6" s="1723"/>
      <c r="AH6" s="2021"/>
      <c r="AI6" s="1786"/>
      <c r="AJ6" s="2278"/>
      <c r="AK6" s="1723"/>
      <c r="AL6" s="1747"/>
      <c r="AM6" s="1747"/>
      <c r="AN6" s="1747"/>
      <c r="AO6" s="1747"/>
      <c r="AP6" s="1747"/>
      <c r="AQ6" s="1747"/>
      <c r="AR6" s="1747"/>
      <c r="AS6" s="2039"/>
      <c r="AT6" s="2021"/>
      <c r="AU6" s="1786"/>
      <c r="AV6" s="2278"/>
      <c r="AW6" s="2039"/>
      <c r="AX6" s="1747"/>
      <c r="AY6" s="1747"/>
      <c r="AZ6" s="1747"/>
      <c r="BA6" s="1747"/>
      <c r="BB6" s="1747"/>
      <c r="BC6" s="1747"/>
      <c r="BD6" s="1747"/>
      <c r="BE6" s="2039"/>
      <c r="BF6" s="2021"/>
      <c r="BG6" s="1786"/>
      <c r="BH6" s="2278"/>
      <c r="BI6" s="1994"/>
      <c r="BJ6" s="1747"/>
      <c r="BK6" s="1747"/>
      <c r="BL6" s="1994"/>
      <c r="BM6" s="2021"/>
      <c r="BN6" s="1786"/>
      <c r="BO6" s="2278"/>
      <c r="BQ6" s="4614"/>
      <c r="BR6" s="4580"/>
      <c r="BT6" s="2326">
        <f>SUM(N6:T6)+SUM(Z6:AF6)+SUM(AL6:AR6)+SUM(AX6:BD6)+SUM(BJ6:BK6)</f>
        <v>0</v>
      </c>
      <c r="BU6" s="2022">
        <f>BT6/E40</f>
        <v>0</v>
      </c>
      <c r="BV6" s="1993"/>
      <c r="BW6" s="2342"/>
      <c r="BX6" s="1754"/>
      <c r="BY6" s="2753"/>
      <c r="BZ6" s="2754"/>
      <c r="CA6" s="2755"/>
      <c r="CB6" s="1755"/>
      <c r="CC6" s="2336"/>
      <c r="CD6" s="2337"/>
      <c r="CE6" s="2338"/>
      <c r="CF6" s="1725"/>
      <c r="CG6" s="2336"/>
      <c r="CH6" s="2337"/>
      <c r="CI6" s="2338"/>
      <c r="CJ6" s="1725"/>
    </row>
    <row r="7" spans="1:173" s="1923" customFormat="1" ht="5.25" customHeight="1" thickBot="1" x14ac:dyDescent="0.25">
      <c r="C7" s="2273"/>
      <c r="D7" s="1800"/>
      <c r="E7" s="1804"/>
      <c r="F7" s="1804"/>
      <c r="G7" s="1804"/>
      <c r="H7" s="1804"/>
      <c r="I7" s="1804"/>
      <c r="J7" s="1803"/>
      <c r="K7" s="2272"/>
      <c r="L7" s="1721"/>
      <c r="M7" s="1721"/>
      <c r="N7" s="2026"/>
      <c r="O7" s="2026"/>
      <c r="P7" s="2026"/>
      <c r="Q7" s="2026"/>
      <c r="R7" s="2026"/>
      <c r="S7" s="2026"/>
      <c r="T7" s="2026"/>
      <c r="U7" s="1994"/>
      <c r="V7" s="2795"/>
      <c r="W7" s="1801"/>
      <c r="X7" s="2795"/>
      <c r="Y7" s="2258"/>
      <c r="Z7" s="2026"/>
      <c r="AA7" s="2026"/>
      <c r="AB7" s="2026"/>
      <c r="AC7" s="2026"/>
      <c r="AD7" s="2026"/>
      <c r="AE7" s="2026"/>
      <c r="AF7" s="2026"/>
      <c r="AG7" s="2258"/>
      <c r="AH7" s="2795"/>
      <c r="AI7" s="1801"/>
      <c r="AJ7" s="2795"/>
      <c r="AK7" s="2258"/>
      <c r="AL7" s="2026"/>
      <c r="AM7" s="2026"/>
      <c r="AN7" s="2026"/>
      <c r="AO7" s="2026"/>
      <c r="AP7" s="2026"/>
      <c r="AQ7" s="2026"/>
      <c r="AR7" s="2026"/>
      <c r="AS7" s="1994"/>
      <c r="AT7" s="2795"/>
      <c r="AU7" s="1801"/>
      <c r="AV7" s="2795"/>
      <c r="AW7" s="1994"/>
      <c r="AX7" s="2026"/>
      <c r="AY7" s="2026"/>
      <c r="AZ7" s="2026"/>
      <c r="BA7" s="2026"/>
      <c r="BB7" s="2026"/>
      <c r="BC7" s="2026"/>
      <c r="BD7" s="2026"/>
      <c r="BE7" s="1994"/>
      <c r="BF7" s="2795"/>
      <c r="BG7" s="1801"/>
      <c r="BH7" s="2795"/>
      <c r="BI7" s="1994"/>
      <c r="BJ7" s="2023"/>
      <c r="BK7" s="2023"/>
      <c r="BL7" s="1994"/>
      <c r="BM7" s="2795"/>
      <c r="BN7" s="1801"/>
      <c r="BO7" s="2795"/>
      <c r="BQ7" s="4614"/>
      <c r="BR7" s="4580"/>
      <c r="BT7" s="1805"/>
      <c r="BU7" s="1993"/>
      <c r="BV7" s="1993"/>
      <c r="BW7" s="2325"/>
      <c r="BX7" s="1994"/>
      <c r="BY7" s="2270"/>
      <c r="BZ7" s="2270"/>
      <c r="CA7" s="2270"/>
      <c r="CB7" s="1755"/>
      <c r="CC7" s="2271"/>
      <c r="CD7" s="2271"/>
      <c r="CE7" s="2271"/>
      <c r="CF7" s="1725"/>
      <c r="CG7" s="2271"/>
      <c r="CH7" s="2271"/>
      <c r="CI7" s="2271"/>
      <c r="CJ7" s="1725"/>
    </row>
    <row r="8" spans="1:173" s="1810" customFormat="1" ht="17.25" customHeight="1" x14ac:dyDescent="0.2">
      <c r="C8" s="1811" t="s">
        <v>190</v>
      </c>
      <c r="D8" s="1727"/>
      <c r="E8" s="1812"/>
      <c r="F8" s="1812"/>
      <c r="G8" s="1812"/>
      <c r="H8" s="1812"/>
      <c r="I8" s="1812"/>
      <c r="J8" s="1813">
        <f>BT8</f>
        <v>976.43533333333323</v>
      </c>
      <c r="K8" s="4564">
        <f>CB1-J8</f>
        <v>-411.08083333333309</v>
      </c>
      <c r="L8" s="1760"/>
      <c r="M8" s="1761"/>
      <c r="N8" s="1735">
        <f t="shared" ref="N8" si="10">(N4-N40)/2</f>
        <v>44.095666666666659</v>
      </c>
      <c r="O8" s="1735">
        <f t="shared" ref="O8:P8" si="11">(O4-O40)/2</f>
        <v>78.636166666666654</v>
      </c>
      <c r="P8" s="1735">
        <f t="shared" si="11"/>
        <v>36.858666666666664</v>
      </c>
      <c r="Q8" s="1735">
        <f t="shared" ref="Q8:R8" si="12">(Q4-Q40)/2</f>
        <v>72.791666666666671</v>
      </c>
      <c r="R8" s="1735">
        <f t="shared" si="12"/>
        <v>54.192666666666653</v>
      </c>
      <c r="S8" s="1735">
        <f t="shared" ref="S8:T8" si="13">(S4-S40)/2</f>
        <v>31.021666666666661</v>
      </c>
      <c r="T8" s="1735">
        <f t="shared" si="13"/>
        <v>45.470166666666657</v>
      </c>
      <c r="U8" s="1814"/>
      <c r="V8" s="1771">
        <f>SUM(N8:T8)</f>
        <v>363.06666666666661</v>
      </c>
      <c r="W8" s="1815"/>
      <c r="X8" s="1816"/>
      <c r="Y8" s="1764"/>
      <c r="Z8" s="1735">
        <f t="shared" ref="Z8:AA8" si="14">(Z4-Z40)/2</f>
        <v>33.990166666666653</v>
      </c>
      <c r="AA8" s="1735">
        <f t="shared" si="14"/>
        <v>61.536166666666659</v>
      </c>
      <c r="AB8" s="1735">
        <f t="shared" ref="AB8:AC8" si="15">(AB4-AB40)/2</f>
        <v>53.021666666666661</v>
      </c>
      <c r="AC8" s="1735">
        <f t="shared" si="15"/>
        <v>20.967666666666659</v>
      </c>
      <c r="AD8" s="1735">
        <f t="shared" ref="AD8:AE8" si="16">(AD4-AD40)/2</f>
        <v>63.11966666666666</v>
      </c>
      <c r="AE8" s="1735">
        <f t="shared" si="16"/>
        <v>17.373166666666663</v>
      </c>
      <c r="AF8" s="1735">
        <f t="shared" ref="AF8" si="17">(AF4-AF40)/2</f>
        <v>22.465666666666664</v>
      </c>
      <c r="AG8" s="1764"/>
      <c r="AH8" s="1771">
        <f>SUM(Z8:AF8)</f>
        <v>272.47416666666663</v>
      </c>
      <c r="AI8" s="1815"/>
      <c r="AJ8" s="1816"/>
      <c r="AK8" s="1764"/>
      <c r="AL8" s="1735">
        <f t="shared" ref="AL8:AM8" si="18">(AL4-AL40)/2</f>
        <v>51.176666666666662</v>
      </c>
      <c r="AM8" s="1735">
        <f t="shared" si="18"/>
        <v>52.596666666666664</v>
      </c>
      <c r="AN8" s="1735">
        <f t="shared" ref="AN8:AR8" si="19">(AN4-AN40)/2</f>
        <v>22.464166666666657</v>
      </c>
      <c r="AO8" s="1735">
        <f t="shared" si="19"/>
        <v>31.791166666666655</v>
      </c>
      <c r="AP8" s="1735">
        <f t="shared" si="19"/>
        <v>31.563666666666663</v>
      </c>
      <c r="AQ8" s="1735">
        <f t="shared" si="19"/>
        <v>45.666666666666657</v>
      </c>
      <c r="AR8" s="1735">
        <f t="shared" si="19"/>
        <v>22.952166666666656</v>
      </c>
      <c r="AS8" s="2289"/>
      <c r="AT8" s="1771">
        <f>SUM(AL8:AR8)</f>
        <v>258.21116666666666</v>
      </c>
      <c r="AU8" s="1815"/>
      <c r="AV8" s="1816"/>
      <c r="AW8" s="2289"/>
      <c r="AX8" s="1735">
        <f t="shared" ref="AX8:AY8" si="20">(AX4-AX40)/2</f>
        <v>30.201666666666654</v>
      </c>
      <c r="AY8" s="1735">
        <f t="shared" si="20"/>
        <v>52.481666666666655</v>
      </c>
      <c r="AZ8" s="1735"/>
      <c r="BA8" s="1735"/>
      <c r="BB8" s="1735"/>
      <c r="BC8" s="1735"/>
      <c r="BD8" s="1735"/>
      <c r="BE8" s="2289"/>
      <c r="BF8" s="1771">
        <f>SUM(AX8:BD8)</f>
        <v>82.683333333333309</v>
      </c>
      <c r="BG8" s="1815"/>
      <c r="BH8" s="1816"/>
      <c r="BI8" s="1814"/>
      <c r="BJ8" s="1735"/>
      <c r="BK8" s="1735"/>
      <c r="BL8" s="1814"/>
      <c r="BM8" s="1771">
        <f>SUM(BJ8:BK8)</f>
        <v>0</v>
      </c>
      <c r="BN8" s="1815"/>
      <c r="BO8" s="1816"/>
      <c r="BP8" s="1766"/>
      <c r="BQ8" s="4614"/>
      <c r="BR8" s="4580"/>
      <c r="BS8" s="1766"/>
      <c r="BT8" s="1771">
        <f>SUM(N8:T8)+SUM(Z8:AF8)+SUM(AL8:AR8)+SUM(AX8:BD8)+SUM(BJ8:BK8)</f>
        <v>976.43533333333323</v>
      </c>
      <c r="BU8" s="2340"/>
      <c r="BV8" s="1830"/>
      <c r="BW8" s="2348">
        <v>0</v>
      </c>
      <c r="BX8" s="1817"/>
      <c r="BY8" s="4578" t="s">
        <v>226</v>
      </c>
      <c r="BZ8" s="4578"/>
      <c r="CA8" s="1818"/>
      <c r="CB8" s="1774"/>
      <c r="CC8" s="1766"/>
      <c r="CD8" s="1766"/>
      <c r="CE8" s="1819"/>
      <c r="CF8" s="1820"/>
      <c r="CG8" s="1766"/>
      <c r="CH8" s="1766"/>
      <c r="CI8" s="1819"/>
      <c r="CJ8" s="1820"/>
      <c r="CK8" s="1821"/>
      <c r="CL8" s="1821"/>
      <c r="CM8" s="1821"/>
      <c r="CN8" s="1821"/>
      <c r="CO8" s="1821"/>
      <c r="CP8" s="1821"/>
      <c r="CQ8" s="1821"/>
      <c r="CR8" s="1821"/>
      <c r="CS8" s="1821"/>
      <c r="CT8" s="1821"/>
      <c r="CU8" s="1821"/>
      <c r="CV8" s="1821"/>
      <c r="CW8" s="1821"/>
      <c r="CX8" s="1821"/>
      <c r="CY8" s="1821"/>
      <c r="CZ8" s="1821"/>
      <c r="DA8" s="1821"/>
      <c r="DB8" s="1821"/>
      <c r="DC8" s="1821"/>
      <c r="DD8" s="1821"/>
      <c r="DE8" s="1821"/>
      <c r="DF8" s="1821"/>
      <c r="DG8" s="1821"/>
      <c r="DH8" s="1821"/>
      <c r="DI8" s="1821"/>
      <c r="DJ8" s="1821"/>
      <c r="DK8" s="1821"/>
      <c r="DL8" s="1821"/>
      <c r="DM8" s="1821"/>
      <c r="DN8" s="1821"/>
      <c r="DO8" s="1821"/>
      <c r="DP8" s="1821"/>
      <c r="DQ8" s="1821"/>
      <c r="DR8" s="1821"/>
      <c r="DS8" s="1821"/>
      <c r="DT8" s="1821"/>
      <c r="DU8" s="1821"/>
      <c r="DV8" s="1821"/>
      <c r="DW8" s="1821"/>
      <c r="DX8" s="1821"/>
      <c r="DY8" s="1821"/>
      <c r="DZ8" s="1821"/>
      <c r="EA8" s="1821"/>
      <c r="EB8" s="1821"/>
      <c r="EC8" s="1821"/>
      <c r="ED8" s="1821"/>
      <c r="EE8" s="1821"/>
      <c r="EF8" s="1821"/>
      <c r="EG8" s="1821"/>
      <c r="EH8" s="1821"/>
      <c r="EI8" s="1821"/>
      <c r="EJ8" s="1821"/>
      <c r="EK8" s="1821"/>
      <c r="EL8" s="1821"/>
      <c r="EM8" s="1821"/>
      <c r="EN8" s="1821"/>
      <c r="EO8" s="1821"/>
      <c r="EP8" s="1821"/>
      <c r="EQ8" s="1821"/>
      <c r="ER8" s="1821"/>
      <c r="ES8" s="1821"/>
      <c r="ET8" s="1821"/>
      <c r="EU8" s="1821"/>
      <c r="EV8" s="1821"/>
      <c r="EW8" s="1821"/>
      <c r="EX8" s="1821"/>
      <c r="EY8" s="1821"/>
      <c r="EZ8" s="1821"/>
      <c r="FA8" s="1821"/>
      <c r="FB8" s="1821"/>
      <c r="FC8" s="1821"/>
      <c r="FD8" s="1821"/>
      <c r="FE8" s="1821"/>
      <c r="FF8" s="1821"/>
      <c r="FG8" s="1821"/>
      <c r="FH8" s="1821"/>
      <c r="FI8" s="1821"/>
      <c r="FJ8" s="1821"/>
      <c r="FK8" s="1821"/>
      <c r="FL8" s="1821"/>
      <c r="FM8" s="1821"/>
      <c r="FN8" s="1821"/>
      <c r="FO8" s="1821"/>
      <c r="FP8" s="1821"/>
      <c r="FQ8" s="1821"/>
    </row>
    <row r="9" spans="1:173" s="1777" customFormat="1" ht="17.25" customHeight="1" thickBot="1" x14ac:dyDescent="0.25">
      <c r="C9" s="1822" t="s">
        <v>169</v>
      </c>
      <c r="D9" s="1744"/>
      <c r="E9" s="1823"/>
      <c r="F9" s="1823"/>
      <c r="G9" s="1823"/>
      <c r="H9" s="1823"/>
      <c r="I9" s="1823"/>
      <c r="J9" s="1824"/>
      <c r="K9" s="4565">
        <f t="shared" ref="K9" si="21">BQ49</f>
        <v>0</v>
      </c>
      <c r="L9" s="1782"/>
      <c r="M9" s="1783"/>
      <c r="N9" s="1750">
        <f t="shared" ref="N9" si="22">N8</f>
        <v>44.095666666666659</v>
      </c>
      <c r="O9" s="1750">
        <f t="shared" ref="O9:P9" si="23">O8</f>
        <v>78.636166666666654</v>
      </c>
      <c r="P9" s="1750">
        <f t="shared" si="23"/>
        <v>36.858666666666664</v>
      </c>
      <c r="Q9" s="1750">
        <f t="shared" ref="Q9:R9" si="24">Q8</f>
        <v>72.791666666666671</v>
      </c>
      <c r="R9" s="1750">
        <f t="shared" si="24"/>
        <v>54.192666666666653</v>
      </c>
      <c r="S9" s="1750">
        <f t="shared" ref="S9:T9" si="25">S8</f>
        <v>31.021666666666661</v>
      </c>
      <c r="T9" s="1750">
        <f t="shared" si="25"/>
        <v>45.470166666666657</v>
      </c>
      <c r="U9" s="1801"/>
      <c r="V9" s="1785">
        <f>SUM(N9:T9)</f>
        <v>363.06666666666661</v>
      </c>
      <c r="W9" s="1825"/>
      <c r="X9" s="1826"/>
      <c r="Y9" s="1788"/>
      <c r="Z9" s="1750">
        <f t="shared" ref="Z9:AA9" si="26">Z8</f>
        <v>33.990166666666653</v>
      </c>
      <c r="AA9" s="1750">
        <f t="shared" si="26"/>
        <v>61.536166666666659</v>
      </c>
      <c r="AB9" s="1750">
        <f t="shared" ref="AB9:AC9" si="27">AB8</f>
        <v>53.021666666666661</v>
      </c>
      <c r="AC9" s="1750">
        <f t="shared" si="27"/>
        <v>20.967666666666659</v>
      </c>
      <c r="AD9" s="1750">
        <f t="shared" ref="AD9:AE9" si="28">AD8</f>
        <v>63.11966666666666</v>
      </c>
      <c r="AE9" s="1750">
        <f t="shared" si="28"/>
        <v>17.373166666666663</v>
      </c>
      <c r="AF9" s="1750">
        <f t="shared" ref="AF9" si="29">AF8</f>
        <v>22.465666666666664</v>
      </c>
      <c r="AG9" s="1788"/>
      <c r="AH9" s="1785">
        <f>SUM(Z9:AF9)</f>
        <v>272.47416666666663</v>
      </c>
      <c r="AI9" s="1825"/>
      <c r="AJ9" s="1826"/>
      <c r="AK9" s="1788"/>
      <c r="AL9" s="1750">
        <f t="shared" ref="AL9:AM9" si="30">AL8</f>
        <v>51.176666666666662</v>
      </c>
      <c r="AM9" s="1750">
        <f t="shared" si="30"/>
        <v>52.596666666666664</v>
      </c>
      <c r="AN9" s="1750">
        <f t="shared" ref="AN9:AR9" si="31">AN8</f>
        <v>22.464166666666657</v>
      </c>
      <c r="AO9" s="1750">
        <f t="shared" si="31"/>
        <v>31.791166666666655</v>
      </c>
      <c r="AP9" s="1750">
        <f t="shared" si="31"/>
        <v>31.563666666666663</v>
      </c>
      <c r="AQ9" s="1750">
        <f t="shared" si="31"/>
        <v>45.666666666666657</v>
      </c>
      <c r="AR9" s="1750">
        <f t="shared" si="31"/>
        <v>22.952166666666656</v>
      </c>
      <c r="AS9" s="2290"/>
      <c r="AT9" s="1785">
        <f>SUM(AL9:AR9)</f>
        <v>258.21116666666666</v>
      </c>
      <c r="AU9" s="1825"/>
      <c r="AV9" s="1826"/>
      <c r="AW9" s="2290"/>
      <c r="AX9" s="1750">
        <f t="shared" ref="AX9:AY9" si="32">AX8</f>
        <v>30.201666666666654</v>
      </c>
      <c r="AY9" s="1750">
        <f t="shared" si="32"/>
        <v>52.481666666666655</v>
      </c>
      <c r="AZ9" s="1750"/>
      <c r="BA9" s="1750"/>
      <c r="BB9" s="1750"/>
      <c r="BC9" s="1750"/>
      <c r="BD9" s="1750"/>
      <c r="BE9" s="2290"/>
      <c r="BF9" s="1785">
        <f>SUM(AX9:BD9)</f>
        <v>82.683333333333309</v>
      </c>
      <c r="BG9" s="1825"/>
      <c r="BH9" s="1826"/>
      <c r="BI9" s="1801"/>
      <c r="BJ9" s="1750"/>
      <c r="BK9" s="1750"/>
      <c r="BL9" s="1801"/>
      <c r="BM9" s="1785">
        <f>SUM(BJ9:BK9)</f>
        <v>0</v>
      </c>
      <c r="BN9" s="1825"/>
      <c r="BO9" s="1826"/>
      <c r="BP9" s="1792"/>
      <c r="BQ9" s="4614"/>
      <c r="BR9" s="4580"/>
      <c r="BS9" s="1792"/>
      <c r="BT9" s="1793"/>
      <c r="BU9" s="2341"/>
      <c r="BV9" s="1802"/>
      <c r="BW9" s="2349"/>
      <c r="BX9" s="1795"/>
      <c r="BY9" s="4578"/>
      <c r="BZ9" s="4578"/>
      <c r="CA9" s="1805"/>
      <c r="CB9" s="1797"/>
      <c r="CC9" s="1791"/>
      <c r="CD9" s="1791"/>
      <c r="CE9" s="1807"/>
      <c r="CF9" s="1798"/>
      <c r="CG9" s="1791"/>
      <c r="CH9" s="1791"/>
      <c r="CI9" s="1807"/>
      <c r="CJ9" s="1798"/>
      <c r="CK9" s="1799"/>
      <c r="CL9" s="1799"/>
      <c r="CM9" s="1799"/>
      <c r="CN9" s="1799"/>
      <c r="CO9" s="1799"/>
      <c r="CP9" s="1799"/>
      <c r="CQ9" s="1799"/>
      <c r="CR9" s="1799"/>
      <c r="CS9" s="1799"/>
      <c r="CT9" s="1799"/>
      <c r="CU9" s="1799"/>
      <c r="CV9" s="1799"/>
      <c r="CW9" s="1799"/>
      <c r="CX9" s="1799"/>
      <c r="CY9" s="1799"/>
      <c r="CZ9" s="1799"/>
      <c r="DA9" s="1799"/>
      <c r="DB9" s="1799"/>
      <c r="DC9" s="1799"/>
      <c r="DD9" s="1799"/>
      <c r="DE9" s="1799"/>
      <c r="DF9" s="1799"/>
      <c r="DG9" s="1799"/>
      <c r="DH9" s="1799"/>
      <c r="DI9" s="1799"/>
      <c r="DJ9" s="1799"/>
      <c r="DK9" s="1799"/>
      <c r="DL9" s="1799"/>
      <c r="DM9" s="1799"/>
      <c r="DN9" s="1799"/>
      <c r="DO9" s="1799"/>
      <c r="DP9" s="1799"/>
      <c r="DQ9" s="1799"/>
      <c r="DR9" s="1799"/>
      <c r="DS9" s="1799"/>
      <c r="DT9" s="1799"/>
      <c r="DU9" s="1799"/>
      <c r="DV9" s="1799"/>
      <c r="DW9" s="1799"/>
      <c r="DX9" s="1799"/>
      <c r="DY9" s="1799"/>
      <c r="DZ9" s="1799"/>
      <c r="EA9" s="1799"/>
      <c r="EB9" s="1799"/>
      <c r="EC9" s="1799"/>
      <c r="ED9" s="1799"/>
      <c r="EE9" s="1799"/>
      <c r="EF9" s="1799"/>
      <c r="EG9" s="1799"/>
      <c r="EH9" s="1799"/>
      <c r="EI9" s="1799"/>
      <c r="EJ9" s="1799"/>
      <c r="EK9" s="1799"/>
      <c r="EL9" s="1799"/>
      <c r="EM9" s="1799"/>
      <c r="EN9" s="1799"/>
      <c r="EO9" s="1799"/>
      <c r="EP9" s="1799"/>
      <c r="EQ9" s="1799"/>
      <c r="ER9" s="1799"/>
      <c r="ES9" s="1799"/>
      <c r="ET9" s="1799"/>
      <c r="EU9" s="1799"/>
      <c r="EV9" s="1799"/>
      <c r="EW9" s="1799"/>
      <c r="EX9" s="1799"/>
      <c r="EY9" s="1799"/>
      <c r="EZ9" s="1799"/>
      <c r="FA9" s="1799"/>
      <c r="FB9" s="1799"/>
      <c r="FC9" s="1799"/>
      <c r="FD9" s="1799"/>
      <c r="FE9" s="1799"/>
      <c r="FF9" s="1799"/>
      <c r="FG9" s="1799"/>
      <c r="FH9" s="1799"/>
      <c r="FI9" s="1799"/>
      <c r="FJ9" s="1799"/>
      <c r="FK9" s="1799"/>
      <c r="FL9" s="1799"/>
      <c r="FM9" s="1799"/>
      <c r="FN9" s="1799"/>
      <c r="FO9" s="1799"/>
      <c r="FP9" s="1799"/>
      <c r="FQ9" s="1799"/>
    </row>
    <row r="10" spans="1:173" s="1800" customFormat="1" ht="4.5" customHeight="1" thickBot="1" x14ac:dyDescent="0.25">
      <c r="E10" s="1791"/>
      <c r="F10" s="1791"/>
      <c r="G10" s="1791"/>
      <c r="H10" s="1791"/>
      <c r="I10" s="1791"/>
      <c r="J10" s="1791"/>
      <c r="K10" s="1783"/>
      <c r="L10" s="1782"/>
      <c r="M10" s="1783"/>
      <c r="N10" s="1803"/>
      <c r="O10" s="1803"/>
      <c r="P10" s="1803"/>
      <c r="Q10" s="1803"/>
      <c r="R10" s="1803"/>
      <c r="S10" s="1803"/>
      <c r="T10" s="1803"/>
      <c r="U10" s="1801"/>
      <c r="V10" s="1801"/>
      <c r="W10" s="1801"/>
      <c r="X10" s="1801"/>
      <c r="Y10" s="1791"/>
      <c r="Z10" s="1803"/>
      <c r="AA10" s="1803"/>
      <c r="AB10" s="1803"/>
      <c r="AC10" s="1803"/>
      <c r="AD10" s="1803"/>
      <c r="AE10" s="1803"/>
      <c r="AF10" s="1803"/>
      <c r="AG10" s="1791"/>
      <c r="AH10" s="1801"/>
      <c r="AI10" s="1801"/>
      <c r="AJ10" s="1801"/>
      <c r="AK10" s="1791"/>
      <c r="AL10" s="1803"/>
      <c r="AM10" s="1803"/>
      <c r="AN10" s="1803"/>
      <c r="AO10" s="1803"/>
      <c r="AP10" s="1803"/>
      <c r="AQ10" s="1803"/>
      <c r="AR10" s="1803"/>
      <c r="AS10" s="1801"/>
      <c r="AT10" s="1801"/>
      <c r="AU10" s="1801"/>
      <c r="AV10" s="1801"/>
      <c r="AW10" s="1801"/>
      <c r="AX10" s="1803"/>
      <c r="AY10" s="1803"/>
      <c r="AZ10" s="1803"/>
      <c r="BA10" s="1803"/>
      <c r="BB10" s="1803"/>
      <c r="BC10" s="1803"/>
      <c r="BD10" s="1803"/>
      <c r="BE10" s="1801"/>
      <c r="BF10" s="1801"/>
      <c r="BG10" s="1801"/>
      <c r="BH10" s="1801"/>
      <c r="BI10" s="1801"/>
      <c r="BJ10" s="1803"/>
      <c r="BK10" s="1803"/>
      <c r="BL10" s="1801"/>
      <c r="BM10" s="1801"/>
      <c r="BN10" s="1801"/>
      <c r="BO10" s="1801"/>
      <c r="BP10" s="1791"/>
      <c r="BQ10" s="4614"/>
      <c r="BR10" s="4580"/>
      <c r="BS10" s="1791"/>
      <c r="BT10" s="1801"/>
      <c r="BU10" s="1802"/>
      <c r="BV10" s="1802"/>
      <c r="BW10" s="1805"/>
      <c r="BX10" s="1806"/>
      <c r="BY10" s="1801"/>
      <c r="BZ10" s="1805"/>
      <c r="CA10" s="1805"/>
      <c r="CB10" s="1797"/>
      <c r="CC10" s="1791"/>
      <c r="CD10" s="1791"/>
      <c r="CE10" s="1807"/>
      <c r="CF10" s="1808"/>
      <c r="CG10" s="1791"/>
      <c r="CH10" s="1791"/>
      <c r="CI10" s="1807"/>
      <c r="CJ10" s="1808"/>
      <c r="CK10" s="1809"/>
      <c r="CL10" s="1809"/>
      <c r="CM10" s="1809"/>
      <c r="CN10" s="1809"/>
      <c r="CO10" s="1809"/>
      <c r="CP10" s="1809"/>
      <c r="CQ10" s="1809"/>
      <c r="CR10" s="1809"/>
      <c r="CS10" s="1809"/>
      <c r="CT10" s="1809"/>
      <c r="CU10" s="1809"/>
      <c r="CV10" s="1809"/>
      <c r="CW10" s="1809"/>
      <c r="CX10" s="1809"/>
      <c r="CY10" s="1809"/>
      <c r="CZ10" s="1809"/>
      <c r="DA10" s="1809"/>
      <c r="DB10" s="1809"/>
      <c r="DC10" s="1809"/>
      <c r="DD10" s="1809"/>
      <c r="DE10" s="1809"/>
      <c r="DF10" s="1809"/>
      <c r="DG10" s="1809"/>
      <c r="DH10" s="1809"/>
      <c r="DI10" s="1809"/>
      <c r="DJ10" s="1809"/>
      <c r="DK10" s="1809"/>
      <c r="DL10" s="1809"/>
      <c r="DM10" s="1809"/>
      <c r="DN10" s="1809"/>
      <c r="DO10" s="1809"/>
      <c r="DP10" s="1809"/>
      <c r="DQ10" s="1809"/>
      <c r="DR10" s="1809"/>
      <c r="DS10" s="1809"/>
      <c r="DT10" s="1809"/>
      <c r="DU10" s="1809"/>
      <c r="DV10" s="1809"/>
      <c r="DW10" s="1809"/>
      <c r="DX10" s="1809"/>
      <c r="DY10" s="1809"/>
      <c r="DZ10" s="1809"/>
      <c r="EA10" s="1809"/>
      <c r="EB10" s="1809"/>
      <c r="EC10" s="1809"/>
      <c r="ED10" s="1809"/>
      <c r="EE10" s="1809"/>
      <c r="EF10" s="1809"/>
      <c r="EG10" s="1809"/>
      <c r="EH10" s="1809"/>
      <c r="EI10" s="1809"/>
      <c r="EJ10" s="1809"/>
      <c r="EK10" s="1809"/>
      <c r="EL10" s="1809"/>
      <c r="EM10" s="1809"/>
      <c r="EN10" s="1809"/>
      <c r="EO10" s="1809"/>
      <c r="EP10" s="1809"/>
      <c r="EQ10" s="1809"/>
      <c r="ER10" s="1809"/>
      <c r="ES10" s="1809"/>
      <c r="ET10" s="1809"/>
      <c r="EU10" s="1809"/>
      <c r="EV10" s="1809"/>
      <c r="EW10" s="1809"/>
      <c r="EX10" s="1809"/>
      <c r="EY10" s="1809"/>
      <c r="EZ10" s="1809"/>
      <c r="FA10" s="1809"/>
      <c r="FB10" s="1809"/>
      <c r="FC10" s="1809"/>
      <c r="FD10" s="1809"/>
      <c r="FE10" s="1809"/>
      <c r="FF10" s="1809"/>
      <c r="FG10" s="1809"/>
      <c r="FH10" s="1809"/>
      <c r="FI10" s="1809"/>
      <c r="FJ10" s="1809"/>
      <c r="FK10" s="1809"/>
      <c r="FL10" s="1809"/>
      <c r="FM10" s="1809"/>
      <c r="FN10" s="1809"/>
      <c r="FO10" s="1809"/>
      <c r="FP10" s="1809"/>
      <c r="FQ10" s="1809"/>
    </row>
    <row r="11" spans="1:173" s="1756" customFormat="1" ht="15" customHeight="1" x14ac:dyDescent="0.2">
      <c r="C11" s="1810"/>
      <c r="D11" s="1810"/>
      <c r="K11" s="1810"/>
      <c r="L11" s="1827"/>
      <c r="M11" s="1810"/>
      <c r="N11" s="2834" t="s">
        <v>45</v>
      </c>
      <c r="O11" s="2834" t="s">
        <v>46</v>
      </c>
      <c r="P11" s="1735" t="s">
        <v>47</v>
      </c>
      <c r="Q11" s="1735" t="s">
        <v>48</v>
      </c>
      <c r="R11" s="1735" t="s">
        <v>49</v>
      </c>
      <c r="S11" s="1735" t="s">
        <v>50</v>
      </c>
      <c r="T11" s="1735" t="s">
        <v>51</v>
      </c>
      <c r="U11" s="1814"/>
      <c r="V11" s="1771"/>
      <c r="W11" s="1815"/>
      <c r="X11" s="1816"/>
      <c r="Y11" s="1764"/>
      <c r="Z11" s="2834" t="s">
        <v>45</v>
      </c>
      <c r="AA11" s="1735" t="s">
        <v>46</v>
      </c>
      <c r="AB11" s="1735" t="s">
        <v>47</v>
      </c>
      <c r="AC11" s="1735" t="s">
        <v>48</v>
      </c>
      <c r="AD11" s="1735" t="s">
        <v>49</v>
      </c>
      <c r="AE11" s="1735" t="s">
        <v>50</v>
      </c>
      <c r="AF11" s="1735" t="s">
        <v>51</v>
      </c>
      <c r="AG11" s="1764"/>
      <c r="AH11" s="1771"/>
      <c r="AI11" s="1815"/>
      <c r="AJ11" s="1829"/>
      <c r="AK11" s="1764"/>
      <c r="AL11" s="2834" t="s">
        <v>45</v>
      </c>
      <c r="AM11" s="1735" t="s">
        <v>46</v>
      </c>
      <c r="AN11" s="1735" t="s">
        <v>47</v>
      </c>
      <c r="AO11" s="1735" t="s">
        <v>48</v>
      </c>
      <c r="AP11" s="1735" t="s">
        <v>49</v>
      </c>
      <c r="AQ11" s="1735" t="s">
        <v>50</v>
      </c>
      <c r="AR11" s="1735" t="s">
        <v>51</v>
      </c>
      <c r="AS11" s="2289"/>
      <c r="AT11" s="1771"/>
      <c r="AU11" s="1815"/>
      <c r="AV11" s="1816"/>
      <c r="AW11" s="2289"/>
      <c r="AX11" s="2834" t="s">
        <v>45</v>
      </c>
      <c r="AY11" s="1735" t="s">
        <v>46</v>
      </c>
      <c r="AZ11" s="1735" t="s">
        <v>47</v>
      </c>
      <c r="BA11" s="1735" t="s">
        <v>48</v>
      </c>
      <c r="BB11" s="1735" t="s">
        <v>49</v>
      </c>
      <c r="BC11" s="1735" t="s">
        <v>50</v>
      </c>
      <c r="BD11" s="1735" t="s">
        <v>51</v>
      </c>
      <c r="BE11" s="2289"/>
      <c r="BF11" s="1771"/>
      <c r="BG11" s="1815"/>
      <c r="BH11" s="1816"/>
      <c r="BI11" s="1814"/>
      <c r="BJ11" s="2834" t="s">
        <v>45</v>
      </c>
      <c r="BK11" s="1735" t="s">
        <v>46</v>
      </c>
      <c r="BL11" s="1814"/>
      <c r="BM11" s="1771"/>
      <c r="BN11" s="1815"/>
      <c r="BO11" s="1816"/>
      <c r="BQ11" s="4614"/>
      <c r="BR11" s="4580"/>
      <c r="BT11" s="1814"/>
      <c r="BU11" s="1830"/>
      <c r="BV11" s="1830"/>
      <c r="BW11" s="1818"/>
      <c r="BX11" s="2788"/>
      <c r="BY11" s="2742">
        <f>BU4-BT1</f>
        <v>0.546706963880361</v>
      </c>
      <c r="BZ11" s="4607"/>
      <c r="CA11" s="4608" t="s">
        <v>101</v>
      </c>
      <c r="CB11" s="1831"/>
      <c r="CC11" s="1832"/>
      <c r="CD11" s="1832" t="s">
        <v>252</v>
      </c>
      <c r="CE11" s="1833"/>
      <c r="CF11" s="1776"/>
      <c r="CG11" s="1776"/>
      <c r="CH11" s="1776"/>
      <c r="CI11" s="1834"/>
      <c r="CJ11" s="1776"/>
      <c r="CK11" s="1776"/>
      <c r="CL11" s="1776"/>
      <c r="CM11" s="1776"/>
      <c r="CN11" s="1776"/>
      <c r="CO11" s="1776"/>
      <c r="CP11" s="1776"/>
      <c r="CQ11" s="1776"/>
      <c r="CR11" s="1776"/>
      <c r="CS11" s="1776"/>
      <c r="CT11" s="1776"/>
      <c r="CU11" s="1776"/>
      <c r="CV11" s="1776"/>
      <c r="CW11" s="1776"/>
      <c r="CX11" s="1776"/>
      <c r="CY11" s="1776"/>
      <c r="CZ11" s="1776"/>
      <c r="DA11" s="1776"/>
      <c r="DB11" s="1776"/>
      <c r="DC11" s="1776"/>
      <c r="DD11" s="1776"/>
      <c r="DE11" s="1776"/>
      <c r="DF11" s="1776"/>
      <c r="DG11" s="1776"/>
      <c r="DH11" s="1776"/>
      <c r="DI11" s="1776"/>
      <c r="DJ11" s="1776"/>
      <c r="DK11" s="1776"/>
      <c r="DL11" s="1776"/>
      <c r="DM11" s="1776"/>
      <c r="DN11" s="1776"/>
      <c r="DO11" s="1776"/>
      <c r="DP11" s="1776"/>
      <c r="DQ11" s="1776"/>
      <c r="DR11" s="1776"/>
      <c r="DS11" s="1776"/>
      <c r="DT11" s="1776"/>
      <c r="DU11" s="1776"/>
      <c r="DV11" s="1776"/>
      <c r="DW11" s="1776"/>
      <c r="DX11" s="1776"/>
      <c r="DY11" s="1776"/>
      <c r="DZ11" s="1776"/>
      <c r="EA11" s="1776"/>
      <c r="EB11" s="1776"/>
      <c r="EC11" s="1776"/>
      <c r="ED11" s="1776"/>
      <c r="EE11" s="1776"/>
      <c r="EF11" s="1776"/>
      <c r="EG11" s="1776"/>
      <c r="EH11" s="1776"/>
      <c r="EI11" s="1776"/>
      <c r="EJ11" s="1776"/>
      <c r="EK11" s="1776"/>
      <c r="EL11" s="1776"/>
      <c r="EM11" s="1776"/>
      <c r="EN11" s="1776"/>
      <c r="EO11" s="1776"/>
      <c r="EP11" s="1776"/>
      <c r="EQ11" s="1776"/>
      <c r="ER11" s="1776"/>
      <c r="ES11" s="1776"/>
      <c r="ET11" s="1776"/>
      <c r="EU11" s="1776"/>
      <c r="EV11" s="1776"/>
      <c r="EW11" s="1776"/>
      <c r="EX11" s="1776"/>
      <c r="EY11" s="1776"/>
      <c r="EZ11" s="1776"/>
      <c r="FA11" s="1776"/>
      <c r="FB11" s="1776"/>
      <c r="FC11" s="1776"/>
      <c r="FD11" s="1776"/>
      <c r="FE11" s="1776"/>
      <c r="FF11" s="1776"/>
      <c r="FG11" s="1776"/>
      <c r="FH11" s="1776"/>
      <c r="FI11" s="1776"/>
      <c r="FJ11" s="1776"/>
      <c r="FK11" s="1776"/>
      <c r="FL11" s="1776"/>
      <c r="FM11" s="1776"/>
      <c r="FN11" s="1776"/>
      <c r="FO11" s="1776"/>
      <c r="FP11" s="1776"/>
      <c r="FQ11" s="1776"/>
    </row>
    <row r="12" spans="1:173" s="1777" customFormat="1" ht="18.75" thickBot="1" x14ac:dyDescent="0.25">
      <c r="B12" s="1835" t="s">
        <v>0</v>
      </c>
      <c r="C12" s="1836" t="s">
        <v>1</v>
      </c>
      <c r="D12" s="1744"/>
      <c r="E12" s="1836" t="s">
        <v>24</v>
      </c>
      <c r="F12" s="1837" t="s">
        <v>108</v>
      </c>
      <c r="G12" s="1838" t="s">
        <v>109</v>
      </c>
      <c r="H12" s="1839" t="s">
        <v>110</v>
      </c>
      <c r="I12" s="1840" t="s">
        <v>111</v>
      </c>
      <c r="J12" s="1841" t="s">
        <v>107</v>
      </c>
      <c r="K12" s="1836" t="s">
        <v>2</v>
      </c>
      <c r="L12" s="1842"/>
      <c r="M12" s="1800"/>
      <c r="N12" s="1835">
        <v>1</v>
      </c>
      <c r="O12" s="1835">
        <v>2</v>
      </c>
      <c r="P12" s="1835">
        <v>3</v>
      </c>
      <c r="Q12" s="1835">
        <v>4</v>
      </c>
      <c r="R12" s="1835">
        <v>5</v>
      </c>
      <c r="S12" s="1835">
        <v>6</v>
      </c>
      <c r="T12" s="1835">
        <v>7</v>
      </c>
      <c r="U12" s="1843"/>
      <c r="V12" s="1844"/>
      <c r="W12" s="1845"/>
      <c r="X12" s="1846"/>
      <c r="Y12" s="1847"/>
      <c r="Z12" s="1835">
        <v>8</v>
      </c>
      <c r="AA12" s="1835">
        <v>9</v>
      </c>
      <c r="AB12" s="1835">
        <v>10</v>
      </c>
      <c r="AC12" s="1835">
        <v>11</v>
      </c>
      <c r="AD12" s="1835">
        <v>12</v>
      </c>
      <c r="AE12" s="1835">
        <v>13</v>
      </c>
      <c r="AF12" s="1835">
        <v>14</v>
      </c>
      <c r="AG12" s="1744"/>
      <c r="AH12" s="1844"/>
      <c r="AI12" s="1845"/>
      <c r="AJ12" s="1846"/>
      <c r="AK12" s="1744"/>
      <c r="AL12" s="1835">
        <v>15</v>
      </c>
      <c r="AM12" s="1835">
        <v>16</v>
      </c>
      <c r="AN12" s="1835">
        <v>17</v>
      </c>
      <c r="AO12" s="1835">
        <v>18</v>
      </c>
      <c r="AP12" s="1835">
        <v>19</v>
      </c>
      <c r="AQ12" s="1835">
        <v>20</v>
      </c>
      <c r="AR12" s="1835">
        <v>21</v>
      </c>
      <c r="AS12" s="2291"/>
      <c r="AT12" s="1844"/>
      <c r="AU12" s="1845"/>
      <c r="AV12" s="1846"/>
      <c r="AW12" s="2291"/>
      <c r="AX12" s="1835">
        <v>22</v>
      </c>
      <c r="AY12" s="1835">
        <v>23</v>
      </c>
      <c r="AZ12" s="1835">
        <v>24</v>
      </c>
      <c r="BA12" s="1835">
        <v>25</v>
      </c>
      <c r="BB12" s="1835">
        <v>26</v>
      </c>
      <c r="BC12" s="1835">
        <v>27</v>
      </c>
      <c r="BD12" s="1835">
        <v>28</v>
      </c>
      <c r="BE12" s="2291"/>
      <c r="BF12" s="1844"/>
      <c r="BG12" s="1845"/>
      <c r="BH12" s="1846"/>
      <c r="BI12" s="1806"/>
      <c r="BJ12" s="1835">
        <v>29</v>
      </c>
      <c r="BK12" s="1835">
        <v>31</v>
      </c>
      <c r="BL12" s="1806"/>
      <c r="BM12" s="1844"/>
      <c r="BN12" s="1845"/>
      <c r="BO12" s="1846"/>
      <c r="BQ12" s="4615"/>
      <c r="BR12" s="4581"/>
      <c r="BT12" s="1835" t="s">
        <v>7</v>
      </c>
      <c r="BU12" s="1835" t="s">
        <v>2</v>
      </c>
      <c r="BV12" s="1806"/>
      <c r="BW12" s="1806"/>
      <c r="BX12" s="1795"/>
      <c r="BY12" s="2743"/>
      <c r="BZ12" s="4607"/>
      <c r="CA12" s="4608"/>
      <c r="CB12" s="1848"/>
      <c r="CC12" s="1799"/>
      <c r="CD12" s="1799"/>
      <c r="CE12" s="1799"/>
      <c r="CF12" s="1799"/>
      <c r="CG12" s="1799"/>
      <c r="CH12" s="1799"/>
      <c r="CI12" s="1799"/>
      <c r="CJ12" s="1799"/>
      <c r="CK12" s="1799"/>
      <c r="CL12" s="1799"/>
      <c r="CM12" s="1799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799"/>
      <c r="DR12" s="1799"/>
      <c r="DS12" s="1799"/>
      <c r="DT12" s="1799"/>
      <c r="DU12" s="1799"/>
      <c r="DV12" s="1799"/>
      <c r="DW12" s="1799"/>
      <c r="DX12" s="1799"/>
      <c r="DY12" s="1799"/>
      <c r="DZ12" s="1799"/>
      <c r="EA12" s="1799"/>
      <c r="EB12" s="1799"/>
      <c r="EC12" s="1799"/>
      <c r="ED12" s="1799"/>
      <c r="EE12" s="1799"/>
      <c r="EF12" s="1799"/>
      <c r="EG12" s="1799"/>
      <c r="EH12" s="1799"/>
      <c r="EI12" s="1799"/>
      <c r="EJ12" s="1799"/>
      <c r="EK12" s="1799"/>
      <c r="EL12" s="1799"/>
      <c r="EM12" s="1799"/>
      <c r="EN12" s="1799"/>
      <c r="EO12" s="1799"/>
      <c r="EP12" s="1799"/>
      <c r="EQ12" s="1799"/>
      <c r="ER12" s="1799"/>
      <c r="ES12" s="1799"/>
      <c r="ET12" s="1799"/>
      <c r="EU12" s="1799"/>
      <c r="EV12" s="1799"/>
      <c r="EW12" s="1799"/>
      <c r="EX12" s="1799"/>
      <c r="EY12" s="1799"/>
      <c r="EZ12" s="1799"/>
      <c r="FA12" s="1799"/>
      <c r="FB12" s="1799"/>
      <c r="FC12" s="1799"/>
      <c r="FD12" s="1799"/>
      <c r="FE12" s="1799"/>
      <c r="FF12" s="1799"/>
      <c r="FG12" s="1799"/>
      <c r="FH12" s="1799"/>
      <c r="FI12" s="1799"/>
      <c r="FJ12" s="1799"/>
      <c r="FK12" s="1799"/>
      <c r="FL12" s="1799"/>
      <c r="FM12" s="1799"/>
      <c r="FN12" s="1799"/>
      <c r="FO12" s="1799"/>
      <c r="FP12" s="1799"/>
      <c r="FQ12" s="1799"/>
    </row>
    <row r="13" spans="1:173" s="1777" customFormat="1" ht="4.5" customHeight="1" x14ac:dyDescent="0.2">
      <c r="B13" s="1806"/>
      <c r="C13" s="1800"/>
      <c r="D13" s="1800"/>
      <c r="E13" s="1800"/>
      <c r="F13" s="1849"/>
      <c r="G13" s="1850"/>
      <c r="H13" s="1851"/>
      <c r="I13" s="1852"/>
      <c r="J13" s="1800"/>
      <c r="K13" s="1800"/>
      <c r="L13" s="1842"/>
      <c r="M13" s="1800"/>
      <c r="N13" s="1806"/>
      <c r="O13" s="1806"/>
      <c r="P13" s="1806"/>
      <c r="Q13" s="1806"/>
      <c r="R13" s="1806"/>
      <c r="S13" s="1806"/>
      <c r="T13" s="1806"/>
      <c r="U13" s="1806"/>
      <c r="V13" s="1806"/>
      <c r="W13" s="1806"/>
      <c r="X13" s="1806"/>
      <c r="Y13" s="1800"/>
      <c r="Z13" s="1806"/>
      <c r="AA13" s="1806"/>
      <c r="AB13" s="1806"/>
      <c r="AC13" s="1806"/>
      <c r="AD13" s="1806"/>
      <c r="AE13" s="1806"/>
      <c r="AF13" s="1806"/>
      <c r="AG13" s="1800"/>
      <c r="AH13" s="1806"/>
      <c r="AI13" s="1806"/>
      <c r="AJ13" s="1806"/>
      <c r="AK13" s="1800"/>
      <c r="AL13" s="1806"/>
      <c r="AM13" s="1806"/>
      <c r="AN13" s="1806"/>
      <c r="AO13" s="1806"/>
      <c r="AP13" s="1806"/>
      <c r="AQ13" s="1806"/>
      <c r="AR13" s="1806"/>
      <c r="AS13" s="1806"/>
      <c r="AT13" s="1806"/>
      <c r="AU13" s="1806"/>
      <c r="AV13" s="1806"/>
      <c r="AW13" s="1806"/>
      <c r="AX13" s="1806"/>
      <c r="AY13" s="1806"/>
      <c r="AZ13" s="1806"/>
      <c r="BA13" s="1806"/>
      <c r="BB13" s="1806"/>
      <c r="BC13" s="1806"/>
      <c r="BD13" s="1806"/>
      <c r="BE13" s="1806"/>
      <c r="BF13" s="1806"/>
      <c r="BG13" s="1806"/>
      <c r="BH13" s="1806"/>
      <c r="BI13" s="1806"/>
      <c r="BJ13" s="1806"/>
      <c r="BK13" s="1806"/>
      <c r="BL13" s="1806"/>
      <c r="BM13" s="1806"/>
      <c r="BN13" s="1806"/>
      <c r="BO13" s="1806"/>
      <c r="BQ13" s="1853"/>
      <c r="BR13" s="1854"/>
      <c r="BT13" s="1800"/>
      <c r="BU13" s="1800"/>
      <c r="BV13" s="1800"/>
      <c r="BW13" s="1800"/>
      <c r="BY13" s="1855"/>
      <c r="BZ13" s="1800"/>
      <c r="CA13" s="1800"/>
      <c r="CB13" s="1856"/>
      <c r="CC13" s="1800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  <c r="CY13" s="1800"/>
      <c r="CZ13" s="1800"/>
      <c r="DA13" s="1800"/>
      <c r="DB13" s="1800"/>
      <c r="DC13" s="1800"/>
      <c r="DD13" s="1800"/>
      <c r="DE13" s="1800"/>
      <c r="DF13" s="1800"/>
      <c r="DG13" s="1800"/>
      <c r="DH13" s="1800"/>
      <c r="DI13" s="1800"/>
      <c r="DJ13" s="1800"/>
      <c r="DK13" s="1800"/>
      <c r="DL13" s="1800"/>
      <c r="DM13" s="1800"/>
      <c r="DN13" s="1800"/>
      <c r="DO13" s="1800"/>
      <c r="DP13" s="1800"/>
      <c r="DQ13" s="1800"/>
      <c r="DR13" s="1800"/>
      <c r="DS13" s="1800"/>
      <c r="DT13" s="1800"/>
      <c r="DU13" s="1800"/>
      <c r="DV13" s="1800"/>
      <c r="DW13" s="1800"/>
      <c r="DX13" s="1800"/>
      <c r="DY13" s="1800"/>
      <c r="DZ13" s="1800"/>
      <c r="EA13" s="1800"/>
      <c r="EB13" s="1800"/>
      <c r="EC13" s="1800"/>
      <c r="ED13" s="1800"/>
      <c r="EE13" s="1800"/>
      <c r="EF13" s="1800"/>
      <c r="EG13" s="1800"/>
      <c r="EH13" s="1800"/>
      <c r="EI13" s="1800"/>
      <c r="EJ13" s="1800"/>
      <c r="EK13" s="1800"/>
      <c r="EL13" s="1800"/>
      <c r="EM13" s="1800"/>
      <c r="EN13" s="1800"/>
      <c r="EO13" s="1800"/>
      <c r="EP13" s="1800"/>
      <c r="EQ13" s="1800"/>
      <c r="ER13" s="1800"/>
      <c r="ES13" s="1800"/>
      <c r="ET13" s="1800"/>
      <c r="EU13" s="1800"/>
      <c r="EV13" s="1800"/>
      <c r="EW13" s="1800"/>
      <c r="EX13" s="1800"/>
      <c r="EY13" s="1800"/>
      <c r="EZ13" s="1800"/>
      <c r="FA13" s="1800"/>
      <c r="FB13" s="1800"/>
      <c r="FC13" s="1800"/>
      <c r="FD13" s="1800"/>
      <c r="FE13" s="1800"/>
      <c r="FF13" s="1800"/>
      <c r="FG13" s="1800"/>
      <c r="FH13" s="1800"/>
      <c r="FI13" s="1800"/>
      <c r="FJ13" s="1800"/>
      <c r="FK13" s="1800"/>
      <c r="FL13" s="1800"/>
      <c r="FM13" s="1800"/>
      <c r="FN13" s="1800"/>
      <c r="FO13" s="1800"/>
      <c r="FP13" s="1800"/>
      <c r="FQ13" s="1800"/>
    </row>
    <row r="14" spans="1:173" s="1810" customFormat="1" ht="21" thickBot="1" x14ac:dyDescent="0.25">
      <c r="B14" s="1963"/>
      <c r="C14" s="1964" t="s">
        <v>188</v>
      </c>
      <c r="D14" s="2578"/>
      <c r="E14" s="1728"/>
      <c r="F14" s="1728"/>
      <c r="G14" s="1728"/>
      <c r="H14" s="1728"/>
      <c r="I14" s="1728"/>
      <c r="J14" s="1728">
        <f>J40*100/24</f>
        <v>489.38194444444451</v>
      </c>
      <c r="K14" s="2383">
        <f>J14*BZ18</f>
        <v>11745.166666666668</v>
      </c>
      <c r="L14" s="1924"/>
      <c r="M14" s="1966"/>
      <c r="N14" s="2266"/>
      <c r="O14" s="2266"/>
      <c r="P14" s="2266"/>
      <c r="Q14" s="2266"/>
      <c r="R14" s="2266"/>
      <c r="S14" s="2266"/>
      <c r="T14" s="2266"/>
      <c r="U14" s="1814"/>
      <c r="V14" s="4588"/>
      <c r="W14" s="4588"/>
      <c r="X14" s="4588"/>
      <c r="Y14" s="1766"/>
      <c r="Z14" s="2266"/>
      <c r="AA14" s="2266"/>
      <c r="AB14" s="2266"/>
      <c r="AC14" s="2266"/>
      <c r="AD14" s="2266"/>
      <c r="AE14" s="2266"/>
      <c r="AF14" s="2266"/>
      <c r="AG14" s="1766"/>
      <c r="AH14" s="4588"/>
      <c r="AI14" s="4588"/>
      <c r="AJ14" s="4588"/>
      <c r="AK14" s="1766"/>
      <c r="AL14" s="2266"/>
      <c r="AM14" s="2266"/>
      <c r="AN14" s="2266"/>
      <c r="AO14" s="2266"/>
      <c r="AP14" s="2266"/>
      <c r="AQ14" s="2266"/>
      <c r="AR14" s="2266"/>
      <c r="AS14" s="1814"/>
      <c r="AT14" s="4588"/>
      <c r="AU14" s="4588"/>
      <c r="AV14" s="4588"/>
      <c r="AW14" s="1814"/>
      <c r="AX14" s="2266"/>
      <c r="AY14" s="2266"/>
      <c r="AZ14" s="4638" t="s">
        <v>263</v>
      </c>
      <c r="BA14" s="4639"/>
      <c r="BB14" s="4639"/>
      <c r="BC14" s="4639"/>
      <c r="BD14" s="4640"/>
      <c r="BE14" s="1814"/>
      <c r="BF14" s="4588"/>
      <c r="BG14" s="4588"/>
      <c r="BH14" s="4588"/>
      <c r="BI14" s="1814"/>
      <c r="BJ14" s="4638" t="s">
        <v>263</v>
      </c>
      <c r="BK14" s="4640"/>
      <c r="BL14" s="1814"/>
      <c r="BM14" s="4588"/>
      <c r="BN14" s="4588"/>
      <c r="BO14" s="4588"/>
      <c r="BQ14" s="2792"/>
      <c r="BR14" s="1968"/>
      <c r="BS14" s="1817"/>
      <c r="BT14" s="1814"/>
      <c r="BU14" s="1830"/>
      <c r="BV14" s="1830"/>
      <c r="BW14" s="1761"/>
      <c r="BY14" s="1860"/>
      <c r="BZ14" s="2794"/>
      <c r="CA14" s="1860"/>
      <c r="CB14" s="1860"/>
      <c r="CC14" s="1860"/>
      <c r="CD14" s="1860"/>
      <c r="CE14" s="1860"/>
      <c r="CF14" s="1860"/>
      <c r="CG14" s="1860"/>
    </row>
    <row r="15" spans="1:173" x14ac:dyDescent="0.2">
      <c r="A15" s="1777"/>
      <c r="B15" s="1987">
        <v>13</v>
      </c>
      <c r="C15" s="1987" t="s">
        <v>197</v>
      </c>
      <c r="D15" s="1836"/>
      <c r="E15" s="1746">
        <v>1500</v>
      </c>
      <c r="F15" s="1746">
        <v>108.33333333333333</v>
      </c>
      <c r="G15" s="1746">
        <v>72.222222222222214</v>
      </c>
      <c r="H15" s="1746">
        <v>54.166666666666664</v>
      </c>
      <c r="I15" s="1746">
        <v>43.333333333333329</v>
      </c>
      <c r="J15" s="1746">
        <f t="shared" ref="J15:J38" si="33">E15/30</f>
        <v>50</v>
      </c>
      <c r="K15" s="2583">
        <f t="shared" ref="K15:K38" si="34">E15/$E$40</f>
        <v>0.42570702842303931</v>
      </c>
      <c r="L15" s="1909"/>
      <c r="M15" s="1910"/>
      <c r="N15" s="1746">
        <f t="shared" ref="N15:T15" si="35">$J$15</f>
        <v>50</v>
      </c>
      <c r="O15" s="1746">
        <f t="shared" si="35"/>
        <v>50</v>
      </c>
      <c r="P15" s="1746">
        <f t="shared" si="35"/>
        <v>50</v>
      </c>
      <c r="Q15" s="1746">
        <f t="shared" si="35"/>
        <v>50</v>
      </c>
      <c r="R15" s="1746">
        <f t="shared" si="35"/>
        <v>50</v>
      </c>
      <c r="S15" s="1746">
        <f t="shared" si="35"/>
        <v>50</v>
      </c>
      <c r="T15" s="1746">
        <f t="shared" si="35"/>
        <v>50</v>
      </c>
      <c r="U15" s="2795"/>
      <c r="V15" s="1972">
        <f>SUM(N15:T15)</f>
        <v>350</v>
      </c>
      <c r="W15" s="1973">
        <f>($V$3*K15)*$V$5</f>
        <v>659.12006357224959</v>
      </c>
      <c r="X15" s="1974">
        <f>W15-V15</f>
        <v>309.12006357224959</v>
      </c>
      <c r="Y15" s="1914"/>
      <c r="Z15" s="1746">
        <f t="shared" ref="Z15:AF15" si="36">$J$15</f>
        <v>50</v>
      </c>
      <c r="AA15" s="1746">
        <f t="shared" si="36"/>
        <v>50</v>
      </c>
      <c r="AB15" s="1746">
        <f t="shared" si="36"/>
        <v>50</v>
      </c>
      <c r="AC15" s="1746">
        <f t="shared" si="36"/>
        <v>50</v>
      </c>
      <c r="AD15" s="1746">
        <f t="shared" si="36"/>
        <v>50</v>
      </c>
      <c r="AE15" s="1746">
        <f t="shared" si="36"/>
        <v>50</v>
      </c>
      <c r="AF15" s="1746">
        <f t="shared" si="36"/>
        <v>50</v>
      </c>
      <c r="AG15" s="1914"/>
      <c r="AH15" s="1972">
        <f>SUM(Z15:AF15)</f>
        <v>350</v>
      </c>
      <c r="AI15" s="1973">
        <f>($AH$3*K15)*$AH$5</f>
        <v>581.98833562742141</v>
      </c>
      <c r="AJ15" s="1974">
        <f>AI15-AH15</f>
        <v>231.98833562742141</v>
      </c>
      <c r="AK15" s="1914"/>
      <c r="AL15" s="1990">
        <f t="shared" ref="AL15:AR15" si="37">$J$15</f>
        <v>50</v>
      </c>
      <c r="AM15" s="1990">
        <f t="shared" si="37"/>
        <v>50</v>
      </c>
      <c r="AN15" s="1990">
        <f t="shared" si="37"/>
        <v>50</v>
      </c>
      <c r="AO15" s="1990">
        <f t="shared" si="37"/>
        <v>50</v>
      </c>
      <c r="AP15" s="1990">
        <f t="shared" si="37"/>
        <v>50</v>
      </c>
      <c r="AQ15" s="1990">
        <f t="shared" si="37"/>
        <v>50</v>
      </c>
      <c r="AR15" s="1990">
        <f t="shared" si="37"/>
        <v>50</v>
      </c>
      <c r="AS15" s="2297"/>
      <c r="AT15" s="1972">
        <f>SUM(AL15:AR15)</f>
        <v>350</v>
      </c>
      <c r="AU15" s="1973">
        <f>($AT$3*K15)*$AT$5</f>
        <v>569.84461693462561</v>
      </c>
      <c r="AV15" s="1974">
        <f>AU15-AT15</f>
        <v>219.84461693462561</v>
      </c>
      <c r="AW15" s="2297"/>
      <c r="AX15" s="1990">
        <f t="shared" ref="AX15:AY15" si="38">$J$15</f>
        <v>50</v>
      </c>
      <c r="AY15" s="1990">
        <f t="shared" si="38"/>
        <v>50</v>
      </c>
      <c r="AZ15" s="1990"/>
      <c r="BA15" s="1990"/>
      <c r="BB15" s="1990"/>
      <c r="BC15" s="1990"/>
      <c r="BD15" s="1990"/>
      <c r="BE15" s="2297"/>
      <c r="BF15" s="1972">
        <f>SUM(AX15:BD15)</f>
        <v>100</v>
      </c>
      <c r="BG15" s="1973">
        <f>($BF$3*K15)*$BF$5</f>
        <v>170.39775226688994</v>
      </c>
      <c r="BH15" s="1974">
        <f>BG15-BF15</f>
        <v>70.397752266889938</v>
      </c>
      <c r="BI15" s="2795"/>
      <c r="BJ15" s="1746"/>
      <c r="BK15" s="1990"/>
      <c r="BL15" s="2795"/>
      <c r="BM15" s="1972">
        <f t="shared" ref="BM15:BM28" si="39">SUM(BJ15:BK15)</f>
        <v>0</v>
      </c>
      <c r="BN15" s="1973" t="e">
        <f>($BM$3*K15)*$BM$5</f>
        <v>#DIV/0!</v>
      </c>
      <c r="BO15" s="1974" t="e">
        <f>BN15-BM15</f>
        <v>#DIV/0!</v>
      </c>
      <c r="BQ15" s="1747">
        <v>0</v>
      </c>
      <c r="BR15" s="1752">
        <f t="shared" ref="BR15:BR28" si="40">BQ15/E15</f>
        <v>0</v>
      </c>
      <c r="BS15" s="1754"/>
      <c r="BT15" s="1975">
        <f t="shared" ref="BT15:BT28" si="41">SUM(N15:T15)+SUM(Z15:AF15)+SUM(AL15:AR15)+SUM(AX15:BD15)+SUM(BJ15:BK15)</f>
        <v>1150</v>
      </c>
      <c r="BU15" s="1976">
        <f t="shared" ref="BU15:BU29" si="42">BT15/E15</f>
        <v>0.76666666666666672</v>
      </c>
      <c r="BV15" s="1993"/>
      <c r="BW15" s="1977"/>
      <c r="BY15" s="1923"/>
      <c r="BZ15" s="1978"/>
      <c r="CA15" s="1979"/>
      <c r="CB15" s="1980"/>
      <c r="CC15" s="1980"/>
      <c r="CD15" s="1980"/>
      <c r="CE15" s="1980"/>
      <c r="CF15" s="1980"/>
      <c r="CG15" s="1980"/>
      <c r="CH15" s="1981"/>
    </row>
    <row r="16" spans="1:173" s="1726" customFormat="1" x14ac:dyDescent="0.2">
      <c r="B16" s="1963">
        <v>14</v>
      </c>
      <c r="C16" s="1963" t="s">
        <v>198</v>
      </c>
      <c r="D16" s="2578"/>
      <c r="E16" s="1728">
        <v>800</v>
      </c>
      <c r="F16" s="1728">
        <v>45</v>
      </c>
      <c r="G16" s="1728">
        <v>30</v>
      </c>
      <c r="H16" s="1728">
        <v>22.5</v>
      </c>
      <c r="I16" s="1728">
        <v>18</v>
      </c>
      <c r="J16" s="1728">
        <f t="shared" si="33"/>
        <v>26.666666666666668</v>
      </c>
      <c r="K16" s="1729">
        <f t="shared" si="34"/>
        <v>0.22704374849228762</v>
      </c>
      <c r="L16" s="1876"/>
      <c r="M16" s="1877"/>
      <c r="N16" s="1728">
        <f t="shared" ref="N16:T16" si="43">$J$16</f>
        <v>26.666666666666668</v>
      </c>
      <c r="O16" s="1728">
        <f t="shared" si="43"/>
        <v>26.666666666666668</v>
      </c>
      <c r="P16" s="1728">
        <f t="shared" si="43"/>
        <v>26.666666666666668</v>
      </c>
      <c r="Q16" s="1728">
        <f t="shared" si="43"/>
        <v>26.666666666666668</v>
      </c>
      <c r="R16" s="1728">
        <f t="shared" si="43"/>
        <v>26.666666666666668</v>
      </c>
      <c r="S16" s="1728">
        <f t="shared" si="43"/>
        <v>26.666666666666668</v>
      </c>
      <c r="T16" s="1728">
        <f t="shared" si="43"/>
        <v>26.666666666666668</v>
      </c>
      <c r="U16" s="2796"/>
      <c r="V16" s="1982">
        <f>SUM(N16:T16)</f>
        <v>186.66666666666666</v>
      </c>
      <c r="W16" s="2268">
        <f>($V$3*K16)*$V$5</f>
        <v>351.53070057186642</v>
      </c>
      <c r="X16" s="1984">
        <f>W16-V16</f>
        <v>164.86403390519976</v>
      </c>
      <c r="Y16" s="1881"/>
      <c r="Z16" s="1728">
        <f t="shared" ref="Z16:AF16" si="44">$J$16</f>
        <v>26.666666666666668</v>
      </c>
      <c r="AA16" s="1728">
        <f t="shared" si="44"/>
        <v>26.666666666666668</v>
      </c>
      <c r="AB16" s="1728">
        <f t="shared" si="44"/>
        <v>26.666666666666668</v>
      </c>
      <c r="AC16" s="1728">
        <f t="shared" si="44"/>
        <v>26.666666666666668</v>
      </c>
      <c r="AD16" s="1728">
        <f t="shared" si="44"/>
        <v>26.666666666666668</v>
      </c>
      <c r="AE16" s="1728">
        <f t="shared" si="44"/>
        <v>26.666666666666668</v>
      </c>
      <c r="AF16" s="1728">
        <f t="shared" si="44"/>
        <v>26.666666666666668</v>
      </c>
      <c r="AG16" s="1881"/>
      <c r="AH16" s="1982">
        <f>SUM(Z16:AF16)</f>
        <v>186.66666666666666</v>
      </c>
      <c r="AI16" s="2268">
        <f t="shared" ref="AI16:AI38" si="45">($AH$3*K16)*$AH$5</f>
        <v>310.39377900129136</v>
      </c>
      <c r="AJ16" s="1984">
        <f>AI16-AH16</f>
        <v>123.72711233462471</v>
      </c>
      <c r="AK16" s="1881"/>
      <c r="AL16" s="2268">
        <f t="shared" ref="AL16:AR16" si="46">$J$16</f>
        <v>26.666666666666668</v>
      </c>
      <c r="AM16" s="2268">
        <f t="shared" si="46"/>
        <v>26.666666666666668</v>
      </c>
      <c r="AN16" s="2268">
        <f t="shared" si="46"/>
        <v>26.666666666666668</v>
      </c>
      <c r="AO16" s="2268">
        <f t="shared" si="46"/>
        <v>26.666666666666668</v>
      </c>
      <c r="AP16" s="2268">
        <f t="shared" si="46"/>
        <v>26.666666666666668</v>
      </c>
      <c r="AQ16" s="2268">
        <f t="shared" si="46"/>
        <v>26.666666666666668</v>
      </c>
      <c r="AR16" s="2268">
        <f t="shared" si="46"/>
        <v>26.666666666666668</v>
      </c>
      <c r="AS16" s="2293"/>
      <c r="AT16" s="1982">
        <f>SUM(AL16:AR16)</f>
        <v>186.66666666666666</v>
      </c>
      <c r="AU16" s="2268">
        <f t="shared" ref="AU16:AU38" si="47">($AT$3*K16)*$AT$5</f>
        <v>303.91712903180036</v>
      </c>
      <c r="AV16" s="1984">
        <f>AU16-AT16</f>
        <v>117.2504623651337</v>
      </c>
      <c r="AW16" s="2293"/>
      <c r="AX16" s="2268">
        <f t="shared" ref="AX16:AY16" si="48">$J$16</f>
        <v>26.666666666666668</v>
      </c>
      <c r="AY16" s="2268">
        <f t="shared" si="48"/>
        <v>26.666666666666668</v>
      </c>
      <c r="AZ16" s="2268"/>
      <c r="BA16" s="2268"/>
      <c r="BB16" s="2268"/>
      <c r="BC16" s="2268"/>
      <c r="BD16" s="2268"/>
      <c r="BE16" s="2293"/>
      <c r="BF16" s="1982">
        <f>SUM(AX16:BD16)</f>
        <v>53.333333333333336</v>
      </c>
      <c r="BG16" s="2268">
        <f t="shared" ref="BG16:BG38" si="49">($BF$3*K16)*$BF$5</f>
        <v>90.87880120900796</v>
      </c>
      <c r="BH16" s="1984">
        <f>BG16-BF16</f>
        <v>37.545467875674625</v>
      </c>
      <c r="BI16" s="2796"/>
      <c r="BJ16" s="1728"/>
      <c r="BK16" s="2268"/>
      <c r="BL16" s="2796"/>
      <c r="BM16" s="1982">
        <f t="shared" si="39"/>
        <v>0</v>
      </c>
      <c r="BN16" s="2268" t="e">
        <f t="shared" ref="BN16:BN38" si="50">($BM$3*K16)*$BM$5</f>
        <v>#DIV/0!</v>
      </c>
      <c r="BO16" s="1984" t="e">
        <f>BN16-BM16</f>
        <v>#DIV/0!</v>
      </c>
      <c r="BQ16" s="1732">
        <v>0</v>
      </c>
      <c r="BR16" s="1882">
        <f t="shared" si="40"/>
        <v>0</v>
      </c>
      <c r="BS16" s="1740"/>
      <c r="BT16" s="1734">
        <f t="shared" si="41"/>
        <v>613.33333333333337</v>
      </c>
      <c r="BU16" s="1918">
        <f t="shared" si="42"/>
        <v>0.76666666666666672</v>
      </c>
      <c r="BV16" s="1997"/>
      <c r="BW16" s="2794"/>
      <c r="BY16" s="1860"/>
      <c r="BZ16" s="1985">
        <v>43793</v>
      </c>
      <c r="CA16" s="1830"/>
      <c r="CB16" s="1817"/>
      <c r="CC16" s="1810"/>
      <c r="CD16" s="1810"/>
      <c r="CE16" s="1810"/>
      <c r="CF16" s="1810"/>
      <c r="CG16" s="1810"/>
      <c r="CH16" s="1986"/>
    </row>
    <row r="17" spans="1:86" s="1947" customFormat="1" x14ac:dyDescent="0.2">
      <c r="B17" s="2000">
        <v>15</v>
      </c>
      <c r="C17" s="2000" t="s">
        <v>211</v>
      </c>
      <c r="D17" s="2579"/>
      <c r="E17" s="2001">
        <v>200</v>
      </c>
      <c r="F17" s="2001"/>
      <c r="G17" s="2001"/>
      <c r="H17" s="2001"/>
      <c r="I17" s="2001"/>
      <c r="J17" s="2001">
        <f t="shared" si="33"/>
        <v>6.666666666666667</v>
      </c>
      <c r="K17" s="2584">
        <f t="shared" si="34"/>
        <v>5.6760937123071904E-2</v>
      </c>
      <c r="L17" s="2003"/>
      <c r="M17" s="1950"/>
      <c r="N17" s="2001">
        <f t="shared" ref="N17:T17" si="51">$J$17</f>
        <v>6.666666666666667</v>
      </c>
      <c r="O17" s="2001">
        <f t="shared" si="51"/>
        <v>6.666666666666667</v>
      </c>
      <c r="P17" s="2001">
        <f t="shared" si="51"/>
        <v>6.666666666666667</v>
      </c>
      <c r="Q17" s="2001">
        <f t="shared" si="51"/>
        <v>6.666666666666667</v>
      </c>
      <c r="R17" s="2001">
        <f t="shared" si="51"/>
        <v>6.666666666666667</v>
      </c>
      <c r="S17" s="2001">
        <f t="shared" si="51"/>
        <v>6.666666666666667</v>
      </c>
      <c r="T17" s="2001">
        <f t="shared" si="51"/>
        <v>6.666666666666667</v>
      </c>
      <c r="U17" s="1951"/>
      <c r="V17" s="2004">
        <f>SUM(N17:T17)</f>
        <v>46.666666666666664</v>
      </c>
      <c r="W17" s="2005">
        <f>($V$3*K17)*$V$5</f>
        <v>87.882675142966605</v>
      </c>
      <c r="X17" s="2006">
        <f t="shared" ref="X17:X37" si="52">W17-V17</f>
        <v>41.21600847629994</v>
      </c>
      <c r="Y17" s="1955"/>
      <c r="Z17" s="2001">
        <f t="shared" ref="Z17:AF17" si="53">$J$17</f>
        <v>6.666666666666667</v>
      </c>
      <c r="AA17" s="2001">
        <f t="shared" si="53"/>
        <v>6.666666666666667</v>
      </c>
      <c r="AB17" s="2001">
        <f t="shared" si="53"/>
        <v>6.666666666666667</v>
      </c>
      <c r="AC17" s="2001">
        <f t="shared" si="53"/>
        <v>6.666666666666667</v>
      </c>
      <c r="AD17" s="2001">
        <f t="shared" si="53"/>
        <v>6.666666666666667</v>
      </c>
      <c r="AE17" s="2001">
        <f t="shared" si="53"/>
        <v>6.666666666666667</v>
      </c>
      <c r="AF17" s="2001">
        <f t="shared" si="53"/>
        <v>6.666666666666667</v>
      </c>
      <c r="AG17" s="1955"/>
      <c r="AH17" s="2004">
        <f t="shared" ref="AH17:AH38" si="54">SUM(Z17:AF17)</f>
        <v>46.666666666666664</v>
      </c>
      <c r="AI17" s="2005">
        <f t="shared" si="45"/>
        <v>77.598444750322841</v>
      </c>
      <c r="AJ17" s="2006">
        <f t="shared" ref="AJ17:AJ38" si="55">AI17-AH17</f>
        <v>30.931778083656177</v>
      </c>
      <c r="AK17" s="1955"/>
      <c r="AL17" s="2005">
        <f t="shared" ref="AL17:AR17" si="56">$J$17</f>
        <v>6.666666666666667</v>
      </c>
      <c r="AM17" s="2005">
        <f t="shared" si="56"/>
        <v>6.666666666666667</v>
      </c>
      <c r="AN17" s="2005">
        <f t="shared" si="56"/>
        <v>6.666666666666667</v>
      </c>
      <c r="AO17" s="2005">
        <f t="shared" si="56"/>
        <v>6.666666666666667</v>
      </c>
      <c r="AP17" s="2005">
        <f t="shared" si="56"/>
        <v>6.666666666666667</v>
      </c>
      <c r="AQ17" s="2005">
        <f t="shared" si="56"/>
        <v>6.666666666666667</v>
      </c>
      <c r="AR17" s="2005">
        <f t="shared" si="56"/>
        <v>6.666666666666667</v>
      </c>
      <c r="AS17" s="2299"/>
      <c r="AT17" s="2004">
        <f t="shared" ref="AT17:AT38" si="57">SUM(AL17:AR17)</f>
        <v>46.666666666666664</v>
      </c>
      <c r="AU17" s="2005">
        <f t="shared" si="47"/>
        <v>75.979282257950089</v>
      </c>
      <c r="AV17" s="2006">
        <f t="shared" ref="AV17:AV38" si="58">AU17-AT17</f>
        <v>29.312615591283425</v>
      </c>
      <c r="AW17" s="2299"/>
      <c r="AX17" s="2005">
        <f t="shared" ref="AX17:AY17" si="59">$J$17</f>
        <v>6.666666666666667</v>
      </c>
      <c r="AY17" s="2005">
        <f t="shared" si="59"/>
        <v>6.666666666666667</v>
      </c>
      <c r="AZ17" s="2005"/>
      <c r="BA17" s="2005"/>
      <c r="BB17" s="2005"/>
      <c r="BC17" s="2005"/>
      <c r="BD17" s="2005"/>
      <c r="BE17" s="2299"/>
      <c r="BF17" s="2004">
        <f t="shared" ref="BF17:BF38" si="60">SUM(AX17:BD17)</f>
        <v>13.333333333333334</v>
      </c>
      <c r="BG17" s="2005">
        <f t="shared" si="49"/>
        <v>22.71970030225199</v>
      </c>
      <c r="BH17" s="2006">
        <f t="shared" ref="BH17:BH38" si="61">BG17-BF17</f>
        <v>9.3863669689186562</v>
      </c>
      <c r="BI17" s="1951"/>
      <c r="BJ17" s="2001"/>
      <c r="BK17" s="2005"/>
      <c r="BL17" s="1951"/>
      <c r="BM17" s="2004">
        <f t="shared" si="39"/>
        <v>0</v>
      </c>
      <c r="BN17" s="2005" t="e">
        <f t="shared" si="50"/>
        <v>#DIV/0!</v>
      </c>
      <c r="BO17" s="2006" t="e">
        <f t="shared" ref="BO17" si="62">BN17-BM17</f>
        <v>#DIV/0!</v>
      </c>
      <c r="BQ17" s="2007">
        <v>0</v>
      </c>
      <c r="BR17" s="2008">
        <f t="shared" si="40"/>
        <v>0</v>
      </c>
      <c r="BS17" s="1959"/>
      <c r="BT17" s="1901">
        <f t="shared" si="41"/>
        <v>153.33333333333334</v>
      </c>
      <c r="BU17" s="1902">
        <f t="shared" si="42"/>
        <v>0.76666666666666672</v>
      </c>
      <c r="BV17" s="1962"/>
      <c r="BW17" s="1905"/>
      <c r="BY17" s="2789"/>
      <c r="BZ17" s="2009">
        <v>43799</v>
      </c>
      <c r="CA17" s="2010"/>
      <c r="CB17" s="2011"/>
      <c r="CC17" s="1946"/>
      <c r="CD17" s="1946"/>
      <c r="CE17" s="1946"/>
      <c r="CF17" s="1946"/>
      <c r="CG17" s="1946"/>
      <c r="CH17" s="2012"/>
    </row>
    <row r="18" spans="1:86" s="1756" customFormat="1" x14ac:dyDescent="0.2">
      <c r="B18" s="1963">
        <v>16</v>
      </c>
      <c r="C18" s="1963" t="s">
        <v>230</v>
      </c>
      <c r="D18" s="2578"/>
      <c r="E18" s="1728">
        <v>180</v>
      </c>
      <c r="F18" s="1728"/>
      <c r="G18" s="1728"/>
      <c r="H18" s="1728"/>
      <c r="I18" s="1728"/>
      <c r="J18" s="1728">
        <f t="shared" si="33"/>
        <v>6</v>
      </c>
      <c r="K18" s="1729">
        <f t="shared" si="34"/>
        <v>5.1084843410764719E-2</v>
      </c>
      <c r="L18" s="1931"/>
      <c r="M18" s="1924"/>
      <c r="N18" s="1728">
        <f t="shared" ref="N18:T18" si="63">$J$18</f>
        <v>6</v>
      </c>
      <c r="O18" s="1728">
        <f t="shared" si="63"/>
        <v>6</v>
      </c>
      <c r="P18" s="1728">
        <f t="shared" si="63"/>
        <v>6</v>
      </c>
      <c r="Q18" s="1728">
        <f t="shared" si="63"/>
        <v>6</v>
      </c>
      <c r="R18" s="1728">
        <f t="shared" si="63"/>
        <v>6</v>
      </c>
      <c r="S18" s="1728">
        <f t="shared" si="63"/>
        <v>6</v>
      </c>
      <c r="T18" s="1728">
        <f t="shared" si="63"/>
        <v>6</v>
      </c>
      <c r="U18" s="1814"/>
      <c r="V18" s="1982">
        <f t="shared" ref="V18:V21" si="64">SUM(N18:T18)</f>
        <v>42</v>
      </c>
      <c r="W18" s="2268">
        <f>($V$3*K18)*$V$5</f>
        <v>79.094407628669941</v>
      </c>
      <c r="X18" s="1984">
        <f t="shared" si="52"/>
        <v>37.094407628669941</v>
      </c>
      <c r="Y18" s="1764"/>
      <c r="Z18" s="1728">
        <f t="shared" ref="Z18:AF18" si="65">$J$18</f>
        <v>6</v>
      </c>
      <c r="AA18" s="1728">
        <f t="shared" si="65"/>
        <v>6</v>
      </c>
      <c r="AB18" s="1728">
        <f t="shared" si="65"/>
        <v>6</v>
      </c>
      <c r="AC18" s="1728">
        <f t="shared" si="65"/>
        <v>6</v>
      </c>
      <c r="AD18" s="1728">
        <f t="shared" si="65"/>
        <v>6</v>
      </c>
      <c r="AE18" s="1728">
        <f t="shared" si="65"/>
        <v>6</v>
      </c>
      <c r="AF18" s="1728">
        <f t="shared" si="65"/>
        <v>6</v>
      </c>
      <c r="AG18" s="1764"/>
      <c r="AH18" s="1982">
        <f t="shared" si="54"/>
        <v>42</v>
      </c>
      <c r="AI18" s="2268">
        <f t="shared" si="45"/>
        <v>69.83860027529056</v>
      </c>
      <c r="AJ18" s="1984">
        <f t="shared" si="55"/>
        <v>27.83860027529056</v>
      </c>
      <c r="AK18" s="1764"/>
      <c r="AL18" s="2268">
        <f t="shared" ref="AL18:AR18" si="66">$J$18</f>
        <v>6</v>
      </c>
      <c r="AM18" s="2268">
        <f t="shared" si="66"/>
        <v>6</v>
      </c>
      <c r="AN18" s="2268">
        <f t="shared" si="66"/>
        <v>6</v>
      </c>
      <c r="AO18" s="2268">
        <f t="shared" si="66"/>
        <v>6</v>
      </c>
      <c r="AP18" s="2268">
        <f t="shared" si="66"/>
        <v>6</v>
      </c>
      <c r="AQ18" s="2268">
        <f t="shared" si="66"/>
        <v>6</v>
      </c>
      <c r="AR18" s="2268">
        <f t="shared" si="66"/>
        <v>6</v>
      </c>
      <c r="AS18" s="2289"/>
      <c r="AT18" s="1982">
        <f t="shared" si="57"/>
        <v>42</v>
      </c>
      <c r="AU18" s="2268">
        <f t="shared" si="47"/>
        <v>68.381354032155073</v>
      </c>
      <c r="AV18" s="1984">
        <f t="shared" si="58"/>
        <v>26.381354032155073</v>
      </c>
      <c r="AW18" s="2289"/>
      <c r="AX18" s="2268">
        <f t="shared" ref="AX18:AY18" si="67">$J$18</f>
        <v>6</v>
      </c>
      <c r="AY18" s="2268">
        <f t="shared" si="67"/>
        <v>6</v>
      </c>
      <c r="AZ18" s="2268"/>
      <c r="BA18" s="2268"/>
      <c r="BB18" s="2268"/>
      <c r="BC18" s="2268"/>
      <c r="BD18" s="2268"/>
      <c r="BE18" s="2289"/>
      <c r="BF18" s="1982">
        <f t="shared" si="60"/>
        <v>12</v>
      </c>
      <c r="BG18" s="2268">
        <f t="shared" si="49"/>
        <v>20.447730272026792</v>
      </c>
      <c r="BH18" s="1984">
        <f t="shared" si="61"/>
        <v>8.4477302720267922</v>
      </c>
      <c r="BI18" s="1814"/>
      <c r="BJ18" s="1728"/>
      <c r="BK18" s="2268"/>
      <c r="BL18" s="1814"/>
      <c r="BM18" s="1982">
        <f t="shared" si="39"/>
        <v>0</v>
      </c>
      <c r="BN18" s="2268" t="e">
        <f t="shared" si="50"/>
        <v>#DIV/0!</v>
      </c>
      <c r="BO18" s="1984" t="e">
        <f>BN18-BM18</f>
        <v>#DIV/0!</v>
      </c>
      <c r="BQ18" s="1735">
        <v>0</v>
      </c>
      <c r="BR18" s="1768">
        <f t="shared" si="40"/>
        <v>0</v>
      </c>
      <c r="BS18" s="2788"/>
      <c r="BT18" s="1763">
        <f t="shared" si="41"/>
        <v>138</v>
      </c>
      <c r="BU18" s="1883">
        <f t="shared" si="42"/>
        <v>0.76666666666666672</v>
      </c>
      <c r="BV18" s="1830"/>
      <c r="BW18" s="1761"/>
      <c r="BY18" s="2794"/>
      <c r="BZ18" s="1996">
        <v>24</v>
      </c>
      <c r="CA18" s="1997"/>
      <c r="CB18" s="1861"/>
      <c r="CC18" s="1860"/>
      <c r="CD18" s="1860"/>
      <c r="CE18" s="1860"/>
      <c r="CF18" s="1860"/>
      <c r="CG18" s="1860"/>
      <c r="CH18" s="1998"/>
    </row>
    <row r="19" spans="1:86" s="1947" customFormat="1" x14ac:dyDescent="0.2">
      <c r="B19" s="2000">
        <v>17</v>
      </c>
      <c r="C19" s="2000" t="s">
        <v>199</v>
      </c>
      <c r="D19" s="2579"/>
      <c r="E19" s="2001">
        <v>150</v>
      </c>
      <c r="F19" s="2001">
        <v>0</v>
      </c>
      <c r="G19" s="2001">
        <v>0</v>
      </c>
      <c r="H19" s="2001">
        <v>0</v>
      </c>
      <c r="I19" s="2001">
        <v>0</v>
      </c>
      <c r="J19" s="2001">
        <f t="shared" si="33"/>
        <v>5</v>
      </c>
      <c r="K19" s="2584">
        <f t="shared" si="34"/>
        <v>4.257070284230393E-2</v>
      </c>
      <c r="L19" s="2003"/>
      <c r="M19" s="1950"/>
      <c r="N19" s="2001">
        <f t="shared" ref="N19:T19" si="68">$J$19</f>
        <v>5</v>
      </c>
      <c r="O19" s="2001">
        <f t="shared" si="68"/>
        <v>5</v>
      </c>
      <c r="P19" s="2001">
        <f t="shared" si="68"/>
        <v>5</v>
      </c>
      <c r="Q19" s="2001">
        <f t="shared" si="68"/>
        <v>5</v>
      </c>
      <c r="R19" s="2001">
        <f t="shared" si="68"/>
        <v>5</v>
      </c>
      <c r="S19" s="2001">
        <f t="shared" si="68"/>
        <v>5</v>
      </c>
      <c r="T19" s="2001">
        <f t="shared" si="68"/>
        <v>5</v>
      </c>
      <c r="U19" s="1951"/>
      <c r="V19" s="2004">
        <f t="shared" si="64"/>
        <v>35</v>
      </c>
      <c r="W19" s="2005">
        <f t="shared" ref="W19:W38" si="69">($V$3*K19)*$V$5</f>
        <v>65.912006357224953</v>
      </c>
      <c r="X19" s="2006">
        <f t="shared" si="52"/>
        <v>30.912006357224953</v>
      </c>
      <c r="Y19" s="1955"/>
      <c r="Z19" s="2001">
        <f t="shared" ref="Z19:AF19" si="70">$J$19</f>
        <v>5</v>
      </c>
      <c r="AA19" s="2001">
        <f t="shared" si="70"/>
        <v>5</v>
      </c>
      <c r="AB19" s="2001">
        <f t="shared" si="70"/>
        <v>5</v>
      </c>
      <c r="AC19" s="2001">
        <f t="shared" si="70"/>
        <v>5</v>
      </c>
      <c r="AD19" s="2001">
        <f t="shared" si="70"/>
        <v>5</v>
      </c>
      <c r="AE19" s="2001">
        <f t="shared" si="70"/>
        <v>5</v>
      </c>
      <c r="AF19" s="2001">
        <f t="shared" si="70"/>
        <v>5</v>
      </c>
      <c r="AG19" s="1955"/>
      <c r="AH19" s="2004">
        <f t="shared" si="54"/>
        <v>35</v>
      </c>
      <c r="AI19" s="2005">
        <f t="shared" si="45"/>
        <v>58.198833562742131</v>
      </c>
      <c r="AJ19" s="2006">
        <f t="shared" si="55"/>
        <v>23.198833562742131</v>
      </c>
      <c r="AK19" s="1955"/>
      <c r="AL19" s="2005">
        <f t="shared" ref="AL19:AR19" si="71">$J$19</f>
        <v>5</v>
      </c>
      <c r="AM19" s="2005">
        <f t="shared" si="71"/>
        <v>5</v>
      </c>
      <c r="AN19" s="2005">
        <f t="shared" si="71"/>
        <v>5</v>
      </c>
      <c r="AO19" s="2005">
        <f t="shared" si="71"/>
        <v>5</v>
      </c>
      <c r="AP19" s="2005">
        <f t="shared" si="71"/>
        <v>5</v>
      </c>
      <c r="AQ19" s="2005">
        <f t="shared" si="71"/>
        <v>5</v>
      </c>
      <c r="AR19" s="2005">
        <f t="shared" si="71"/>
        <v>5</v>
      </c>
      <c r="AS19" s="2299"/>
      <c r="AT19" s="2004">
        <f t="shared" si="57"/>
        <v>35</v>
      </c>
      <c r="AU19" s="2005">
        <f t="shared" si="47"/>
        <v>56.984461693462563</v>
      </c>
      <c r="AV19" s="2006">
        <f t="shared" si="58"/>
        <v>21.984461693462563</v>
      </c>
      <c r="AW19" s="2299"/>
      <c r="AX19" s="2005">
        <f t="shared" ref="AX19:AY19" si="72">$J$19</f>
        <v>5</v>
      </c>
      <c r="AY19" s="2005">
        <f t="shared" si="72"/>
        <v>5</v>
      </c>
      <c r="AZ19" s="2005"/>
      <c r="BA19" s="2005"/>
      <c r="BB19" s="2005"/>
      <c r="BC19" s="2005"/>
      <c r="BD19" s="2005"/>
      <c r="BE19" s="2299"/>
      <c r="BF19" s="2004">
        <f t="shared" si="60"/>
        <v>10</v>
      </c>
      <c r="BG19" s="2005">
        <f t="shared" si="49"/>
        <v>17.039775226688995</v>
      </c>
      <c r="BH19" s="2006">
        <f t="shared" si="61"/>
        <v>7.0397752266889952</v>
      </c>
      <c r="BI19" s="1951"/>
      <c r="BJ19" s="2001"/>
      <c r="BK19" s="2005"/>
      <c r="BL19" s="1951"/>
      <c r="BM19" s="2004">
        <f t="shared" si="39"/>
        <v>0</v>
      </c>
      <c r="BN19" s="2005" t="e">
        <f t="shared" si="50"/>
        <v>#DIV/0!</v>
      </c>
      <c r="BO19" s="2006" t="e">
        <f>BN19-BM19</f>
        <v>#DIV/0!</v>
      </c>
      <c r="BQ19" s="2007">
        <v>0</v>
      </c>
      <c r="BR19" s="2008">
        <f t="shared" si="40"/>
        <v>0</v>
      </c>
      <c r="BS19" s="1959"/>
      <c r="BT19" s="1901">
        <f t="shared" si="41"/>
        <v>115</v>
      </c>
      <c r="BU19" s="1902">
        <f t="shared" si="42"/>
        <v>0.76666666666666672</v>
      </c>
      <c r="BV19" s="1962"/>
      <c r="BW19" s="1905"/>
      <c r="BY19" s="2808"/>
      <c r="BZ19" s="2009">
        <v>43793</v>
      </c>
      <c r="CA19" s="2010"/>
      <c r="CB19" s="2011"/>
      <c r="CC19" s="1946"/>
      <c r="CD19" s="1946"/>
      <c r="CE19" s="1946"/>
      <c r="CF19" s="1946"/>
      <c r="CG19" s="1946"/>
      <c r="CH19" s="2012"/>
    </row>
    <row r="20" spans="1:86" s="1756" customFormat="1" x14ac:dyDescent="0.2">
      <c r="B20" s="1963">
        <v>18</v>
      </c>
      <c r="C20" s="1963" t="s">
        <v>239</v>
      </c>
      <c r="D20" s="2578"/>
      <c r="E20" s="1728">
        <v>150</v>
      </c>
      <c r="F20" s="1728"/>
      <c r="G20" s="1728"/>
      <c r="H20" s="1728"/>
      <c r="I20" s="1728"/>
      <c r="J20" s="1728">
        <f t="shared" si="33"/>
        <v>5</v>
      </c>
      <c r="K20" s="1729">
        <f t="shared" si="34"/>
        <v>4.257070284230393E-2</v>
      </c>
      <c r="L20" s="1931"/>
      <c r="M20" s="1924"/>
      <c r="N20" s="1728">
        <f t="shared" ref="N20:T20" si="73">$J$20</f>
        <v>5</v>
      </c>
      <c r="O20" s="1728">
        <f t="shared" si="73"/>
        <v>5</v>
      </c>
      <c r="P20" s="1728">
        <f t="shared" si="73"/>
        <v>5</v>
      </c>
      <c r="Q20" s="1728">
        <f t="shared" si="73"/>
        <v>5</v>
      </c>
      <c r="R20" s="1728">
        <f t="shared" si="73"/>
        <v>5</v>
      </c>
      <c r="S20" s="1728">
        <f t="shared" si="73"/>
        <v>5</v>
      </c>
      <c r="T20" s="1728">
        <f t="shared" si="73"/>
        <v>5</v>
      </c>
      <c r="U20" s="1814"/>
      <c r="V20" s="1982">
        <f t="shared" si="64"/>
        <v>35</v>
      </c>
      <c r="W20" s="2268">
        <f t="shared" si="69"/>
        <v>65.912006357224953</v>
      </c>
      <c r="X20" s="1984">
        <f t="shared" si="52"/>
        <v>30.912006357224953</v>
      </c>
      <c r="Y20" s="1764"/>
      <c r="Z20" s="1728">
        <f t="shared" ref="Z20:AF20" si="74">$J$20</f>
        <v>5</v>
      </c>
      <c r="AA20" s="1728">
        <f t="shared" si="74"/>
        <v>5</v>
      </c>
      <c r="AB20" s="1728">
        <f t="shared" si="74"/>
        <v>5</v>
      </c>
      <c r="AC20" s="1728">
        <f t="shared" si="74"/>
        <v>5</v>
      </c>
      <c r="AD20" s="1728">
        <f t="shared" si="74"/>
        <v>5</v>
      </c>
      <c r="AE20" s="1728">
        <f t="shared" si="74"/>
        <v>5</v>
      </c>
      <c r="AF20" s="1728">
        <f t="shared" si="74"/>
        <v>5</v>
      </c>
      <c r="AG20" s="1764"/>
      <c r="AH20" s="1982">
        <f t="shared" si="54"/>
        <v>35</v>
      </c>
      <c r="AI20" s="2268">
        <f t="shared" si="45"/>
        <v>58.198833562742131</v>
      </c>
      <c r="AJ20" s="1984">
        <f t="shared" si="55"/>
        <v>23.198833562742131</v>
      </c>
      <c r="AK20" s="1764"/>
      <c r="AL20" s="2268">
        <f t="shared" ref="AL20:AR20" si="75">$J$20</f>
        <v>5</v>
      </c>
      <c r="AM20" s="2268">
        <f t="shared" si="75"/>
        <v>5</v>
      </c>
      <c r="AN20" s="2268">
        <f t="shared" si="75"/>
        <v>5</v>
      </c>
      <c r="AO20" s="2268">
        <f t="shared" si="75"/>
        <v>5</v>
      </c>
      <c r="AP20" s="2268">
        <f t="shared" si="75"/>
        <v>5</v>
      </c>
      <c r="AQ20" s="2268">
        <f t="shared" si="75"/>
        <v>5</v>
      </c>
      <c r="AR20" s="2268">
        <f t="shared" si="75"/>
        <v>5</v>
      </c>
      <c r="AS20" s="2289"/>
      <c r="AT20" s="1982">
        <f t="shared" si="57"/>
        <v>35</v>
      </c>
      <c r="AU20" s="2268">
        <f t="shared" si="47"/>
        <v>56.984461693462563</v>
      </c>
      <c r="AV20" s="1984">
        <f t="shared" si="58"/>
        <v>21.984461693462563</v>
      </c>
      <c r="AW20" s="2289"/>
      <c r="AX20" s="2268">
        <f t="shared" ref="AX20:AY20" si="76">$J$20</f>
        <v>5</v>
      </c>
      <c r="AY20" s="2268">
        <f t="shared" si="76"/>
        <v>5</v>
      </c>
      <c r="AZ20" s="2268"/>
      <c r="BA20" s="2268"/>
      <c r="BB20" s="2268"/>
      <c r="BC20" s="2268"/>
      <c r="BD20" s="2268"/>
      <c r="BE20" s="2289"/>
      <c r="BF20" s="1982">
        <f t="shared" si="60"/>
        <v>10</v>
      </c>
      <c r="BG20" s="2268">
        <f t="shared" si="49"/>
        <v>17.039775226688995</v>
      </c>
      <c r="BH20" s="1984">
        <f t="shared" si="61"/>
        <v>7.0397752266889952</v>
      </c>
      <c r="BI20" s="1814"/>
      <c r="BJ20" s="1728"/>
      <c r="BK20" s="2268"/>
      <c r="BL20" s="1814"/>
      <c r="BM20" s="1982">
        <f t="shared" si="39"/>
        <v>0</v>
      </c>
      <c r="BN20" s="2268" t="e">
        <f t="shared" si="50"/>
        <v>#DIV/0!</v>
      </c>
      <c r="BO20" s="1984" t="e">
        <f>BN20-BM20</f>
        <v>#DIV/0!</v>
      </c>
      <c r="BQ20" s="1735">
        <v>0</v>
      </c>
      <c r="BR20" s="1768">
        <f t="shared" si="40"/>
        <v>0</v>
      </c>
      <c r="BS20" s="2807"/>
      <c r="BT20" s="1763">
        <f t="shared" si="41"/>
        <v>115</v>
      </c>
      <c r="BU20" s="1883">
        <f t="shared" si="42"/>
        <v>0.76666666666666672</v>
      </c>
      <c r="BV20" s="1830"/>
      <c r="BW20" s="1761"/>
      <c r="BY20" s="2810"/>
      <c r="BZ20" s="2015">
        <v>43799</v>
      </c>
      <c r="CA20" s="1997"/>
      <c r="CB20" s="1861"/>
      <c r="CC20" s="1860"/>
      <c r="CD20" s="1860"/>
      <c r="CE20" s="1860"/>
      <c r="CF20" s="1860"/>
      <c r="CG20" s="1860"/>
      <c r="CH20" s="1998"/>
    </row>
    <row r="21" spans="1:86" s="1947" customFormat="1" x14ac:dyDescent="0.2">
      <c r="B21" s="2000">
        <v>19</v>
      </c>
      <c r="C21" s="2000" t="s">
        <v>214</v>
      </c>
      <c r="D21" s="2579"/>
      <c r="E21" s="2001">
        <v>0</v>
      </c>
      <c r="F21" s="2001">
        <v>75.3</v>
      </c>
      <c r="G21" s="2001">
        <v>50.2</v>
      </c>
      <c r="H21" s="2001">
        <v>37.65</v>
      </c>
      <c r="I21" s="2001">
        <v>30.12</v>
      </c>
      <c r="J21" s="2001">
        <f t="shared" si="33"/>
        <v>0</v>
      </c>
      <c r="K21" s="2584">
        <f t="shared" si="34"/>
        <v>0</v>
      </c>
      <c r="L21" s="2003"/>
      <c r="M21" s="1950"/>
      <c r="N21" s="2001">
        <f t="shared" ref="N21:T21" si="77">$J$21</f>
        <v>0</v>
      </c>
      <c r="O21" s="2001">
        <f t="shared" si="77"/>
        <v>0</v>
      </c>
      <c r="P21" s="2001">
        <f t="shared" si="77"/>
        <v>0</v>
      </c>
      <c r="Q21" s="2001">
        <f t="shared" si="77"/>
        <v>0</v>
      </c>
      <c r="R21" s="2001">
        <f t="shared" si="77"/>
        <v>0</v>
      </c>
      <c r="S21" s="2001">
        <f t="shared" si="77"/>
        <v>0</v>
      </c>
      <c r="T21" s="2001">
        <f t="shared" si="77"/>
        <v>0</v>
      </c>
      <c r="U21" s="1951"/>
      <c r="V21" s="2004">
        <f t="shared" si="64"/>
        <v>0</v>
      </c>
      <c r="W21" s="2005">
        <f t="shared" si="69"/>
        <v>0</v>
      </c>
      <c r="X21" s="2006">
        <f t="shared" si="52"/>
        <v>0</v>
      </c>
      <c r="Y21" s="1955"/>
      <c r="Z21" s="2001">
        <f t="shared" ref="Z21:AF21" si="78">$J$21</f>
        <v>0</v>
      </c>
      <c r="AA21" s="2001">
        <f t="shared" si="78"/>
        <v>0</v>
      </c>
      <c r="AB21" s="2001">
        <f t="shared" si="78"/>
        <v>0</v>
      </c>
      <c r="AC21" s="2001">
        <f t="shared" si="78"/>
        <v>0</v>
      </c>
      <c r="AD21" s="2001">
        <f t="shared" si="78"/>
        <v>0</v>
      </c>
      <c r="AE21" s="2001">
        <f t="shared" si="78"/>
        <v>0</v>
      </c>
      <c r="AF21" s="2001">
        <f t="shared" si="78"/>
        <v>0</v>
      </c>
      <c r="AG21" s="1955"/>
      <c r="AH21" s="2004">
        <f t="shared" si="54"/>
        <v>0</v>
      </c>
      <c r="AI21" s="2005">
        <f t="shared" si="45"/>
        <v>0</v>
      </c>
      <c r="AJ21" s="2006">
        <f t="shared" si="55"/>
        <v>0</v>
      </c>
      <c r="AK21" s="1955"/>
      <c r="AL21" s="2005">
        <f t="shared" ref="AL21:AR21" si="79">$J$21</f>
        <v>0</v>
      </c>
      <c r="AM21" s="2005">
        <f t="shared" si="79"/>
        <v>0</v>
      </c>
      <c r="AN21" s="2005">
        <f t="shared" si="79"/>
        <v>0</v>
      </c>
      <c r="AO21" s="2005">
        <f t="shared" si="79"/>
        <v>0</v>
      </c>
      <c r="AP21" s="2005">
        <f t="shared" si="79"/>
        <v>0</v>
      </c>
      <c r="AQ21" s="2005">
        <f t="shared" si="79"/>
        <v>0</v>
      </c>
      <c r="AR21" s="2005">
        <f t="shared" si="79"/>
        <v>0</v>
      </c>
      <c r="AS21" s="2299"/>
      <c r="AT21" s="2004">
        <f t="shared" si="57"/>
        <v>0</v>
      </c>
      <c r="AU21" s="2005">
        <f t="shared" si="47"/>
        <v>0</v>
      </c>
      <c r="AV21" s="2006">
        <f t="shared" si="58"/>
        <v>0</v>
      </c>
      <c r="AW21" s="2299"/>
      <c r="AX21" s="2005">
        <f t="shared" ref="AX21:AY21" si="80">$J$21</f>
        <v>0</v>
      </c>
      <c r="AY21" s="2005">
        <f t="shared" si="80"/>
        <v>0</v>
      </c>
      <c r="AZ21" s="2005"/>
      <c r="BA21" s="2005"/>
      <c r="BB21" s="2005"/>
      <c r="BC21" s="2005"/>
      <c r="BD21" s="2005"/>
      <c r="BE21" s="2299"/>
      <c r="BF21" s="2004">
        <f t="shared" si="60"/>
        <v>0</v>
      </c>
      <c r="BG21" s="2005">
        <f t="shared" si="49"/>
        <v>0</v>
      </c>
      <c r="BH21" s="2006">
        <f t="shared" si="61"/>
        <v>0</v>
      </c>
      <c r="BI21" s="1951"/>
      <c r="BJ21" s="2001"/>
      <c r="BK21" s="2005"/>
      <c r="BL21" s="1951"/>
      <c r="BM21" s="2004">
        <f t="shared" si="39"/>
        <v>0</v>
      </c>
      <c r="BN21" s="2005" t="e">
        <f t="shared" si="50"/>
        <v>#DIV/0!</v>
      </c>
      <c r="BO21" s="2006" t="e">
        <f>BN21-BM21</f>
        <v>#DIV/0!</v>
      </c>
      <c r="BQ21" s="2007">
        <v>0</v>
      </c>
      <c r="BR21" s="2008" t="e">
        <f t="shared" si="40"/>
        <v>#DIV/0!</v>
      </c>
      <c r="BS21" s="1959"/>
      <c r="BT21" s="1901">
        <f t="shared" si="41"/>
        <v>0</v>
      </c>
      <c r="BU21" s="1902" t="e">
        <f t="shared" si="42"/>
        <v>#DIV/0!</v>
      </c>
      <c r="BV21" s="1962"/>
      <c r="BW21" s="1905"/>
      <c r="BY21" s="2808"/>
      <c r="BZ21" s="2479">
        <f>BZ20-BZ19</f>
        <v>6</v>
      </c>
      <c r="CA21" s="2010"/>
      <c r="CB21" s="2011"/>
      <c r="CC21" s="1946"/>
      <c r="CD21" s="1946"/>
      <c r="CE21" s="1946"/>
      <c r="CF21" s="1946"/>
      <c r="CG21" s="1946"/>
      <c r="CH21" s="2012"/>
    </row>
    <row r="22" spans="1:86" s="1756" customFormat="1" x14ac:dyDescent="0.2">
      <c r="B22" s="1963">
        <v>20</v>
      </c>
      <c r="C22" s="1963" t="s">
        <v>247</v>
      </c>
      <c r="D22" s="2578"/>
      <c r="E22" s="1728">
        <v>60</v>
      </c>
      <c r="F22" s="1728">
        <v>0</v>
      </c>
      <c r="G22" s="1728">
        <v>0</v>
      </c>
      <c r="H22" s="1728">
        <v>0</v>
      </c>
      <c r="I22" s="1728">
        <v>0</v>
      </c>
      <c r="J22" s="1728">
        <f t="shared" si="33"/>
        <v>2</v>
      </c>
      <c r="K22" s="1729">
        <f t="shared" si="34"/>
        <v>1.7028281136921571E-2</v>
      </c>
      <c r="L22" s="1931"/>
      <c r="M22" s="1924"/>
      <c r="N22" s="1728">
        <f t="shared" ref="N22:T22" si="81">$J$22</f>
        <v>2</v>
      </c>
      <c r="O22" s="1728">
        <f t="shared" si="81"/>
        <v>2</v>
      </c>
      <c r="P22" s="1728">
        <f t="shared" si="81"/>
        <v>2</v>
      </c>
      <c r="Q22" s="1728">
        <f t="shared" si="81"/>
        <v>2</v>
      </c>
      <c r="R22" s="1728">
        <f t="shared" si="81"/>
        <v>2</v>
      </c>
      <c r="S22" s="1728">
        <f t="shared" si="81"/>
        <v>2</v>
      </c>
      <c r="T22" s="1728">
        <f t="shared" si="81"/>
        <v>2</v>
      </c>
      <c r="U22" s="1814"/>
      <c r="V22" s="1982">
        <f t="shared" ref="V22:V85" si="82">SUM(N22:T22)</f>
        <v>14</v>
      </c>
      <c r="W22" s="2268">
        <f t="shared" si="69"/>
        <v>26.364802542889979</v>
      </c>
      <c r="X22" s="1984">
        <f t="shared" si="52"/>
        <v>12.364802542889979</v>
      </c>
      <c r="Y22" s="1764"/>
      <c r="Z22" s="1728">
        <f t="shared" ref="Z22:AF22" si="83">$J$22</f>
        <v>2</v>
      </c>
      <c r="AA22" s="1728">
        <f t="shared" si="83"/>
        <v>2</v>
      </c>
      <c r="AB22" s="1728">
        <f t="shared" si="83"/>
        <v>2</v>
      </c>
      <c r="AC22" s="1728">
        <f t="shared" si="83"/>
        <v>2</v>
      </c>
      <c r="AD22" s="1728">
        <f t="shared" si="83"/>
        <v>2</v>
      </c>
      <c r="AE22" s="1728">
        <f t="shared" si="83"/>
        <v>2</v>
      </c>
      <c r="AF22" s="1728">
        <f t="shared" si="83"/>
        <v>2</v>
      </c>
      <c r="AG22" s="1764"/>
      <c r="AH22" s="1982">
        <f t="shared" si="54"/>
        <v>14</v>
      </c>
      <c r="AI22" s="2268">
        <f t="shared" si="45"/>
        <v>23.279533425096851</v>
      </c>
      <c r="AJ22" s="1984">
        <f t="shared" si="55"/>
        <v>9.2795334250968509</v>
      </c>
      <c r="AK22" s="1764"/>
      <c r="AL22" s="2268">
        <f t="shared" ref="AL22:AR22" si="84">$J$22</f>
        <v>2</v>
      </c>
      <c r="AM22" s="2268">
        <f t="shared" si="84"/>
        <v>2</v>
      </c>
      <c r="AN22" s="2268">
        <f t="shared" si="84"/>
        <v>2</v>
      </c>
      <c r="AO22" s="2268">
        <f t="shared" si="84"/>
        <v>2</v>
      </c>
      <c r="AP22" s="2268">
        <f t="shared" si="84"/>
        <v>2</v>
      </c>
      <c r="AQ22" s="2268">
        <f t="shared" si="84"/>
        <v>2</v>
      </c>
      <c r="AR22" s="2268">
        <f t="shared" si="84"/>
        <v>2</v>
      </c>
      <c r="AS22" s="2289"/>
      <c r="AT22" s="1982">
        <f t="shared" si="57"/>
        <v>14</v>
      </c>
      <c r="AU22" s="2268">
        <f t="shared" si="47"/>
        <v>22.793784677385027</v>
      </c>
      <c r="AV22" s="1984">
        <f t="shared" si="58"/>
        <v>8.7937846773850268</v>
      </c>
      <c r="AW22" s="2289"/>
      <c r="AX22" s="2268">
        <f t="shared" ref="AX22:AY22" si="85">$J$22</f>
        <v>2</v>
      </c>
      <c r="AY22" s="2268">
        <f t="shared" si="85"/>
        <v>2</v>
      </c>
      <c r="AZ22" s="2268"/>
      <c r="BA22" s="2268"/>
      <c r="BB22" s="2268"/>
      <c r="BC22" s="2268"/>
      <c r="BD22" s="2268"/>
      <c r="BE22" s="2289"/>
      <c r="BF22" s="1982">
        <f t="shared" si="60"/>
        <v>4</v>
      </c>
      <c r="BG22" s="2268">
        <f t="shared" si="49"/>
        <v>6.8159100906755965</v>
      </c>
      <c r="BH22" s="1984">
        <f t="shared" si="61"/>
        <v>2.8159100906755965</v>
      </c>
      <c r="BI22" s="1814"/>
      <c r="BJ22" s="1728"/>
      <c r="BK22" s="2268"/>
      <c r="BL22" s="1814"/>
      <c r="BM22" s="1982">
        <f t="shared" si="39"/>
        <v>0</v>
      </c>
      <c r="BN22" s="2268" t="e">
        <f t="shared" si="50"/>
        <v>#DIV/0!</v>
      </c>
      <c r="BO22" s="1984" t="e">
        <f t="shared" ref="BO22:BO38" si="86">BN22-BM22</f>
        <v>#DIV/0!</v>
      </c>
      <c r="BQ22" s="1735">
        <v>0</v>
      </c>
      <c r="BR22" s="1768">
        <f t="shared" si="40"/>
        <v>0</v>
      </c>
      <c r="BS22" s="2807"/>
      <c r="BT22" s="1763">
        <f t="shared" si="41"/>
        <v>46</v>
      </c>
      <c r="BU22" s="1883">
        <f t="shared" si="42"/>
        <v>0.76666666666666672</v>
      </c>
      <c r="BV22" s="1830"/>
      <c r="BW22" s="1761"/>
      <c r="BY22" s="2810"/>
      <c r="BZ22" s="1985"/>
      <c r="CA22" s="1997"/>
      <c r="CB22" s="1861"/>
      <c r="CC22" s="1860"/>
      <c r="CD22" s="1860"/>
      <c r="CE22" s="1860"/>
      <c r="CF22" s="1860"/>
      <c r="CG22" s="1860"/>
      <c r="CH22" s="1998"/>
    </row>
    <row r="23" spans="1:86" s="1947" customFormat="1" x14ac:dyDescent="0.2">
      <c r="B23" s="2000">
        <v>21</v>
      </c>
      <c r="C23" s="2000" t="s">
        <v>235</v>
      </c>
      <c r="D23" s="2579"/>
      <c r="E23" s="2001">
        <v>50</v>
      </c>
      <c r="F23" s="2001">
        <v>10</v>
      </c>
      <c r="G23" s="2001">
        <v>6.666666666666667</v>
      </c>
      <c r="H23" s="2001">
        <v>5</v>
      </c>
      <c r="I23" s="2001">
        <v>4</v>
      </c>
      <c r="J23" s="2001">
        <f t="shared" si="33"/>
        <v>1.6666666666666667</v>
      </c>
      <c r="K23" s="2584">
        <f t="shared" si="34"/>
        <v>1.4190234280767976E-2</v>
      </c>
      <c r="L23" s="2003"/>
      <c r="M23" s="1950"/>
      <c r="N23" s="2001">
        <f t="shared" ref="N23:T23" si="87">$J$23</f>
        <v>1.6666666666666667</v>
      </c>
      <c r="O23" s="2001">
        <f t="shared" si="87"/>
        <v>1.6666666666666667</v>
      </c>
      <c r="P23" s="2001">
        <f t="shared" si="87"/>
        <v>1.6666666666666667</v>
      </c>
      <c r="Q23" s="2001">
        <f t="shared" si="87"/>
        <v>1.6666666666666667</v>
      </c>
      <c r="R23" s="2001">
        <f t="shared" si="87"/>
        <v>1.6666666666666667</v>
      </c>
      <c r="S23" s="2001">
        <f t="shared" si="87"/>
        <v>1.6666666666666667</v>
      </c>
      <c r="T23" s="2001">
        <f t="shared" si="87"/>
        <v>1.6666666666666667</v>
      </c>
      <c r="U23" s="1951"/>
      <c r="V23" s="2004">
        <f t="shared" si="82"/>
        <v>11.666666666666666</v>
      </c>
      <c r="W23" s="2005">
        <f t="shared" si="69"/>
        <v>21.970668785741651</v>
      </c>
      <c r="X23" s="2006">
        <f t="shared" si="52"/>
        <v>10.304002119074985</v>
      </c>
      <c r="Y23" s="1955"/>
      <c r="Z23" s="2001">
        <f t="shared" ref="Z23:AF23" si="88">$J$23</f>
        <v>1.6666666666666667</v>
      </c>
      <c r="AA23" s="2001">
        <f t="shared" si="88"/>
        <v>1.6666666666666667</v>
      </c>
      <c r="AB23" s="2001">
        <f t="shared" si="88"/>
        <v>1.6666666666666667</v>
      </c>
      <c r="AC23" s="2001">
        <f t="shared" si="88"/>
        <v>1.6666666666666667</v>
      </c>
      <c r="AD23" s="2001">
        <f t="shared" si="88"/>
        <v>1.6666666666666667</v>
      </c>
      <c r="AE23" s="2001">
        <f t="shared" si="88"/>
        <v>1.6666666666666667</v>
      </c>
      <c r="AF23" s="2001">
        <f t="shared" si="88"/>
        <v>1.6666666666666667</v>
      </c>
      <c r="AG23" s="1955"/>
      <c r="AH23" s="2004">
        <f t="shared" si="54"/>
        <v>11.666666666666666</v>
      </c>
      <c r="AI23" s="2005">
        <f t="shared" si="45"/>
        <v>19.39961118758071</v>
      </c>
      <c r="AJ23" s="2006">
        <f t="shared" si="55"/>
        <v>7.7329445209140442</v>
      </c>
      <c r="AK23" s="1955"/>
      <c r="AL23" s="2005">
        <f t="shared" ref="AL23:AR23" si="89">$J$23</f>
        <v>1.6666666666666667</v>
      </c>
      <c r="AM23" s="2005">
        <f t="shared" si="89"/>
        <v>1.6666666666666667</v>
      </c>
      <c r="AN23" s="2005">
        <f t="shared" si="89"/>
        <v>1.6666666666666667</v>
      </c>
      <c r="AO23" s="2005">
        <f t="shared" si="89"/>
        <v>1.6666666666666667</v>
      </c>
      <c r="AP23" s="2005">
        <f t="shared" si="89"/>
        <v>1.6666666666666667</v>
      </c>
      <c r="AQ23" s="2005">
        <f t="shared" si="89"/>
        <v>1.6666666666666667</v>
      </c>
      <c r="AR23" s="2005">
        <f t="shared" si="89"/>
        <v>1.6666666666666667</v>
      </c>
      <c r="AS23" s="2299"/>
      <c r="AT23" s="2004">
        <f t="shared" si="57"/>
        <v>11.666666666666666</v>
      </c>
      <c r="AU23" s="2005">
        <f t="shared" si="47"/>
        <v>18.994820564487522</v>
      </c>
      <c r="AV23" s="2006">
        <f t="shared" si="58"/>
        <v>7.3281538978208562</v>
      </c>
      <c r="AW23" s="2299"/>
      <c r="AX23" s="2005">
        <f t="shared" ref="AX23:AY23" si="90">$J$23</f>
        <v>1.6666666666666667</v>
      </c>
      <c r="AY23" s="2005">
        <f t="shared" si="90"/>
        <v>1.6666666666666667</v>
      </c>
      <c r="AZ23" s="2005"/>
      <c r="BA23" s="2005"/>
      <c r="BB23" s="2005"/>
      <c r="BC23" s="2005"/>
      <c r="BD23" s="2005"/>
      <c r="BE23" s="2299"/>
      <c r="BF23" s="2004">
        <f t="shared" si="60"/>
        <v>3.3333333333333335</v>
      </c>
      <c r="BG23" s="2005">
        <f t="shared" si="49"/>
        <v>5.6799250755629975</v>
      </c>
      <c r="BH23" s="2006">
        <f t="shared" si="61"/>
        <v>2.346591742229664</v>
      </c>
      <c r="BI23" s="1951"/>
      <c r="BJ23" s="2001"/>
      <c r="BK23" s="2005"/>
      <c r="BL23" s="1951"/>
      <c r="BM23" s="2004">
        <f t="shared" si="39"/>
        <v>0</v>
      </c>
      <c r="BN23" s="2005" t="e">
        <f t="shared" si="50"/>
        <v>#DIV/0!</v>
      </c>
      <c r="BO23" s="2006" t="e">
        <f t="shared" si="86"/>
        <v>#DIV/0!</v>
      </c>
      <c r="BQ23" s="2007">
        <v>0</v>
      </c>
      <c r="BR23" s="2008">
        <f t="shared" si="40"/>
        <v>0</v>
      </c>
      <c r="BS23" s="1959"/>
      <c r="BT23" s="1901">
        <f t="shared" si="41"/>
        <v>38.333333333333336</v>
      </c>
      <c r="BU23" s="1902">
        <f t="shared" si="42"/>
        <v>0.76666666666666672</v>
      </c>
      <c r="BV23" s="1962"/>
      <c r="BW23" s="1905"/>
      <c r="BY23" s="2808"/>
      <c r="BZ23" s="2488"/>
      <c r="CA23" s="2010" t="s">
        <v>157</v>
      </c>
      <c r="CB23" s="2490">
        <f>BT1</f>
        <v>0.77419354838709675</v>
      </c>
      <c r="CC23" s="1946"/>
      <c r="CD23" s="1946"/>
      <c r="CE23" s="1946"/>
      <c r="CF23" s="1946"/>
      <c r="CG23" s="1946"/>
      <c r="CH23" s="2012"/>
    </row>
    <row r="24" spans="1:86" s="1726" customFormat="1" x14ac:dyDescent="0.2">
      <c r="A24" s="1756"/>
      <c r="B24" s="1963">
        <v>22</v>
      </c>
      <c r="C24" s="1963" t="s">
        <v>208</v>
      </c>
      <c r="D24" s="2578"/>
      <c r="E24" s="1728">
        <v>0</v>
      </c>
      <c r="F24" s="1728"/>
      <c r="G24" s="1728"/>
      <c r="H24" s="1728"/>
      <c r="I24" s="1728"/>
      <c r="J24" s="1728">
        <f t="shared" si="33"/>
        <v>0</v>
      </c>
      <c r="K24" s="1729">
        <f t="shared" si="34"/>
        <v>0</v>
      </c>
      <c r="L24" s="1931"/>
      <c r="M24" s="1877"/>
      <c r="N24" s="1728">
        <f t="shared" ref="N24:T24" si="91">$J$24</f>
        <v>0</v>
      </c>
      <c r="O24" s="1728">
        <f t="shared" si="91"/>
        <v>0</v>
      </c>
      <c r="P24" s="1728">
        <f t="shared" si="91"/>
        <v>0</v>
      </c>
      <c r="Q24" s="1728">
        <f t="shared" si="91"/>
        <v>0</v>
      </c>
      <c r="R24" s="1728">
        <f t="shared" si="91"/>
        <v>0</v>
      </c>
      <c r="S24" s="1728">
        <f t="shared" si="91"/>
        <v>0</v>
      </c>
      <c r="T24" s="1728">
        <f t="shared" si="91"/>
        <v>0</v>
      </c>
      <c r="U24" s="2811"/>
      <c r="V24" s="1982">
        <f t="shared" si="82"/>
        <v>0</v>
      </c>
      <c r="W24" s="2268">
        <f t="shared" si="69"/>
        <v>0</v>
      </c>
      <c r="X24" s="1984">
        <f t="shared" si="52"/>
        <v>0</v>
      </c>
      <c r="Y24" s="1881"/>
      <c r="Z24" s="1728">
        <f t="shared" ref="Z24:AF24" si="92">$J$24</f>
        <v>0</v>
      </c>
      <c r="AA24" s="1728">
        <f t="shared" si="92"/>
        <v>0</v>
      </c>
      <c r="AB24" s="1728">
        <f t="shared" si="92"/>
        <v>0</v>
      </c>
      <c r="AC24" s="1728">
        <f t="shared" si="92"/>
        <v>0</v>
      </c>
      <c r="AD24" s="1728">
        <f t="shared" si="92"/>
        <v>0</v>
      </c>
      <c r="AE24" s="1728">
        <f t="shared" si="92"/>
        <v>0</v>
      </c>
      <c r="AF24" s="1728">
        <f t="shared" si="92"/>
        <v>0</v>
      </c>
      <c r="AG24" s="1881"/>
      <c r="AH24" s="1982">
        <f t="shared" si="54"/>
        <v>0</v>
      </c>
      <c r="AI24" s="2268">
        <f t="shared" si="45"/>
        <v>0</v>
      </c>
      <c r="AJ24" s="1984">
        <f t="shared" si="55"/>
        <v>0</v>
      </c>
      <c r="AK24" s="1881"/>
      <c r="AL24" s="2268">
        <f t="shared" ref="AL24:AR24" si="93">$J$24</f>
        <v>0</v>
      </c>
      <c r="AM24" s="2268">
        <f t="shared" si="93"/>
        <v>0</v>
      </c>
      <c r="AN24" s="2268">
        <f t="shared" si="93"/>
        <v>0</v>
      </c>
      <c r="AO24" s="2268">
        <f t="shared" si="93"/>
        <v>0</v>
      </c>
      <c r="AP24" s="2268">
        <f t="shared" si="93"/>
        <v>0</v>
      </c>
      <c r="AQ24" s="2268">
        <f t="shared" si="93"/>
        <v>0</v>
      </c>
      <c r="AR24" s="2268">
        <f t="shared" si="93"/>
        <v>0</v>
      </c>
      <c r="AS24" s="2293"/>
      <c r="AT24" s="1982">
        <f t="shared" si="57"/>
        <v>0</v>
      </c>
      <c r="AU24" s="2268">
        <f t="shared" si="47"/>
        <v>0</v>
      </c>
      <c r="AV24" s="1984">
        <f t="shared" si="58"/>
        <v>0</v>
      </c>
      <c r="AW24" s="2293"/>
      <c r="AX24" s="2268">
        <f t="shared" ref="AX24:AY24" si="94">$J$24</f>
        <v>0</v>
      </c>
      <c r="AY24" s="2268">
        <f t="shared" si="94"/>
        <v>0</v>
      </c>
      <c r="AZ24" s="2268"/>
      <c r="BA24" s="2268"/>
      <c r="BB24" s="2268"/>
      <c r="BC24" s="2268"/>
      <c r="BD24" s="2268"/>
      <c r="BE24" s="2293"/>
      <c r="BF24" s="1982">
        <f t="shared" si="60"/>
        <v>0</v>
      </c>
      <c r="BG24" s="2268">
        <f t="shared" si="49"/>
        <v>0</v>
      </c>
      <c r="BH24" s="1984">
        <f t="shared" si="61"/>
        <v>0</v>
      </c>
      <c r="BI24" s="2811"/>
      <c r="BJ24" s="1728"/>
      <c r="BK24" s="2268"/>
      <c r="BL24" s="2811"/>
      <c r="BM24" s="1982">
        <f t="shared" si="39"/>
        <v>0</v>
      </c>
      <c r="BN24" s="2268" t="e">
        <f t="shared" si="50"/>
        <v>#DIV/0!</v>
      </c>
      <c r="BO24" s="1984" t="e">
        <f t="shared" si="86"/>
        <v>#DIV/0!</v>
      </c>
      <c r="BQ24" s="1732">
        <v>0</v>
      </c>
      <c r="BR24" s="1882" t="e">
        <f t="shared" si="40"/>
        <v>#DIV/0!</v>
      </c>
      <c r="BS24" s="1740"/>
      <c r="BT24" s="1734">
        <f t="shared" si="41"/>
        <v>0</v>
      </c>
      <c r="BU24" s="1918" t="e">
        <f t="shared" si="42"/>
        <v>#DIV/0!</v>
      </c>
      <c r="BV24" s="1997"/>
      <c r="BW24" s="2810"/>
      <c r="BY24" s="2014"/>
      <c r="BZ24" s="2637"/>
      <c r="CA24" s="1962"/>
      <c r="CB24" s="2638"/>
      <c r="CC24" s="1810"/>
      <c r="CD24" s="1810"/>
      <c r="CE24" s="1810"/>
      <c r="CF24" s="1810"/>
      <c r="CG24" s="1810"/>
      <c r="CH24" s="1986"/>
    </row>
    <row r="25" spans="1:86" s="1885" customFormat="1" x14ac:dyDescent="0.2">
      <c r="A25" s="1947"/>
      <c r="B25" s="2000">
        <v>23</v>
      </c>
      <c r="C25" s="2000" t="s">
        <v>202</v>
      </c>
      <c r="D25" s="2579"/>
      <c r="E25" s="2001">
        <v>50</v>
      </c>
      <c r="F25" s="2001"/>
      <c r="G25" s="2001"/>
      <c r="H25" s="2001"/>
      <c r="I25" s="2001"/>
      <c r="J25" s="2001">
        <f t="shared" si="33"/>
        <v>1.6666666666666667</v>
      </c>
      <c r="K25" s="2584">
        <f t="shared" si="34"/>
        <v>1.4190234280767976E-2</v>
      </c>
      <c r="L25" s="1891"/>
      <c r="M25" s="1950"/>
      <c r="N25" s="2001">
        <f t="shared" ref="N25:T25" si="95">$J$25</f>
        <v>1.6666666666666667</v>
      </c>
      <c r="O25" s="2001">
        <f t="shared" si="95"/>
        <v>1.6666666666666667</v>
      </c>
      <c r="P25" s="2001">
        <f t="shared" si="95"/>
        <v>1.6666666666666667</v>
      </c>
      <c r="Q25" s="2001">
        <f t="shared" si="95"/>
        <v>1.6666666666666667</v>
      </c>
      <c r="R25" s="2001">
        <f t="shared" si="95"/>
        <v>1.6666666666666667</v>
      </c>
      <c r="S25" s="2001">
        <f t="shared" si="95"/>
        <v>1.6666666666666667</v>
      </c>
      <c r="T25" s="2001">
        <f t="shared" si="95"/>
        <v>1.6666666666666667</v>
      </c>
      <c r="U25" s="2809"/>
      <c r="V25" s="2004">
        <f t="shared" si="82"/>
        <v>11.666666666666666</v>
      </c>
      <c r="W25" s="2005">
        <f t="shared" si="69"/>
        <v>21.970668785741651</v>
      </c>
      <c r="X25" s="2006">
        <f t="shared" si="52"/>
        <v>10.304002119074985</v>
      </c>
      <c r="Y25" s="1896"/>
      <c r="Z25" s="2001">
        <f t="shared" ref="Z25:AF25" si="96">$J$25</f>
        <v>1.6666666666666667</v>
      </c>
      <c r="AA25" s="2001">
        <f t="shared" si="96"/>
        <v>1.6666666666666667</v>
      </c>
      <c r="AB25" s="2001">
        <f t="shared" si="96"/>
        <v>1.6666666666666667</v>
      </c>
      <c r="AC25" s="2001">
        <f t="shared" si="96"/>
        <v>1.6666666666666667</v>
      </c>
      <c r="AD25" s="2001">
        <f t="shared" si="96"/>
        <v>1.6666666666666667</v>
      </c>
      <c r="AE25" s="2001">
        <f t="shared" si="96"/>
        <v>1.6666666666666667</v>
      </c>
      <c r="AF25" s="2001">
        <f t="shared" si="96"/>
        <v>1.6666666666666667</v>
      </c>
      <c r="AG25" s="1896"/>
      <c r="AH25" s="2004">
        <f t="shared" si="54"/>
        <v>11.666666666666666</v>
      </c>
      <c r="AI25" s="2005">
        <f t="shared" si="45"/>
        <v>19.39961118758071</v>
      </c>
      <c r="AJ25" s="2006">
        <f t="shared" si="55"/>
        <v>7.7329445209140442</v>
      </c>
      <c r="AK25" s="1896"/>
      <c r="AL25" s="2005">
        <f t="shared" ref="AL25:AR25" si="97">$J$25</f>
        <v>1.6666666666666667</v>
      </c>
      <c r="AM25" s="2005">
        <f t="shared" si="97"/>
        <v>1.6666666666666667</v>
      </c>
      <c r="AN25" s="2005">
        <f t="shared" si="97"/>
        <v>1.6666666666666667</v>
      </c>
      <c r="AO25" s="2005">
        <f t="shared" si="97"/>
        <v>1.6666666666666667</v>
      </c>
      <c r="AP25" s="2005">
        <f t="shared" si="97"/>
        <v>1.6666666666666667</v>
      </c>
      <c r="AQ25" s="2005">
        <f t="shared" si="97"/>
        <v>1.6666666666666667</v>
      </c>
      <c r="AR25" s="2005">
        <f t="shared" si="97"/>
        <v>1.6666666666666667</v>
      </c>
      <c r="AS25" s="2295"/>
      <c r="AT25" s="2004">
        <f t="shared" si="57"/>
        <v>11.666666666666666</v>
      </c>
      <c r="AU25" s="2005">
        <f t="shared" si="47"/>
        <v>18.994820564487522</v>
      </c>
      <c r="AV25" s="2006">
        <f t="shared" si="58"/>
        <v>7.3281538978208562</v>
      </c>
      <c r="AW25" s="2295"/>
      <c r="AX25" s="2005">
        <f t="shared" ref="AX25:AY25" si="98">$J$25</f>
        <v>1.6666666666666667</v>
      </c>
      <c r="AY25" s="2005">
        <f t="shared" si="98"/>
        <v>1.6666666666666667</v>
      </c>
      <c r="AZ25" s="2005"/>
      <c r="BA25" s="2005"/>
      <c r="BB25" s="2005"/>
      <c r="BC25" s="2005"/>
      <c r="BD25" s="2005"/>
      <c r="BE25" s="2295"/>
      <c r="BF25" s="2004">
        <f t="shared" si="60"/>
        <v>3.3333333333333335</v>
      </c>
      <c r="BG25" s="2005">
        <f t="shared" si="49"/>
        <v>5.6799250755629975</v>
      </c>
      <c r="BH25" s="2006">
        <f t="shared" si="61"/>
        <v>2.346591742229664</v>
      </c>
      <c r="BI25" s="2809"/>
      <c r="BJ25" s="2001"/>
      <c r="BK25" s="2005"/>
      <c r="BL25" s="2809"/>
      <c r="BM25" s="2004">
        <f t="shared" si="39"/>
        <v>0</v>
      </c>
      <c r="BN25" s="2005" t="e">
        <f t="shared" si="50"/>
        <v>#DIV/0!</v>
      </c>
      <c r="BO25" s="2006" t="e">
        <f t="shared" si="86"/>
        <v>#DIV/0!</v>
      </c>
      <c r="BQ25" s="1898">
        <v>0</v>
      </c>
      <c r="BR25" s="1899">
        <f t="shared" si="40"/>
        <v>0</v>
      </c>
      <c r="BS25" s="1900"/>
      <c r="BT25" s="2244">
        <f t="shared" si="41"/>
        <v>38.333333333333336</v>
      </c>
      <c r="BU25" s="2387">
        <f t="shared" si="42"/>
        <v>0.76666666666666672</v>
      </c>
      <c r="BV25" s="2010"/>
      <c r="BW25" s="2808"/>
      <c r="BY25" s="2808"/>
      <c r="BZ25" s="2036"/>
      <c r="CA25" s="1997"/>
      <c r="CB25" s="2037"/>
      <c r="CC25" s="1906"/>
      <c r="CD25" s="1906"/>
      <c r="CE25" s="1906"/>
      <c r="CF25" s="1906"/>
      <c r="CG25" s="1906"/>
      <c r="CH25" s="2386"/>
    </row>
    <row r="26" spans="1:86" s="1726" customFormat="1" x14ac:dyDescent="0.2">
      <c r="B26" s="1963">
        <v>24</v>
      </c>
      <c r="C26" s="1963" t="s">
        <v>254</v>
      </c>
      <c r="D26" s="2578"/>
      <c r="E26" s="1728">
        <v>26.35</v>
      </c>
      <c r="F26" s="1728">
        <v>5</v>
      </c>
      <c r="G26" s="1728">
        <v>3.3333333333333335</v>
      </c>
      <c r="H26" s="1728">
        <v>2.5</v>
      </c>
      <c r="I26" s="1728">
        <v>2</v>
      </c>
      <c r="J26" s="1728">
        <f t="shared" si="33"/>
        <v>0.87833333333333341</v>
      </c>
      <c r="K26" s="1729">
        <f t="shared" si="34"/>
        <v>7.4782534659647241E-3</v>
      </c>
      <c r="L26" s="1931"/>
      <c r="M26" s="1924"/>
      <c r="N26" s="1728">
        <f t="shared" ref="N26:T26" si="99">$J$26</f>
        <v>0.87833333333333341</v>
      </c>
      <c r="O26" s="1728">
        <f t="shared" si="99"/>
        <v>0.87833333333333341</v>
      </c>
      <c r="P26" s="1728">
        <f t="shared" si="99"/>
        <v>0.87833333333333341</v>
      </c>
      <c r="Q26" s="1728">
        <f t="shared" si="99"/>
        <v>0.87833333333333341</v>
      </c>
      <c r="R26" s="1728">
        <f t="shared" si="99"/>
        <v>0.87833333333333341</v>
      </c>
      <c r="S26" s="1728">
        <f t="shared" si="99"/>
        <v>0.87833333333333341</v>
      </c>
      <c r="T26" s="1728">
        <f t="shared" si="99"/>
        <v>0.87833333333333341</v>
      </c>
      <c r="U26" s="2811"/>
      <c r="V26" s="1982">
        <f t="shared" si="82"/>
        <v>6.1483333333333352</v>
      </c>
      <c r="W26" s="2268">
        <f t="shared" si="69"/>
        <v>11.57854245008585</v>
      </c>
      <c r="X26" s="1984">
        <f>W26-V26</f>
        <v>5.4302091167525148</v>
      </c>
      <c r="Y26" s="1881"/>
      <c r="Z26" s="1728">
        <f t="shared" ref="Z26:AF26" si="100">$J$26</f>
        <v>0.87833333333333341</v>
      </c>
      <c r="AA26" s="1728">
        <f t="shared" si="100"/>
        <v>0.87833333333333341</v>
      </c>
      <c r="AB26" s="1728">
        <f t="shared" si="100"/>
        <v>0.87833333333333341</v>
      </c>
      <c r="AC26" s="1728">
        <f t="shared" si="100"/>
        <v>0.87833333333333341</v>
      </c>
      <c r="AD26" s="1728">
        <f t="shared" si="100"/>
        <v>0.87833333333333341</v>
      </c>
      <c r="AE26" s="1728">
        <f t="shared" si="100"/>
        <v>0.87833333333333341</v>
      </c>
      <c r="AF26" s="1728">
        <f t="shared" si="100"/>
        <v>0.87833333333333341</v>
      </c>
      <c r="AG26" s="1881"/>
      <c r="AH26" s="1982">
        <f t="shared" si="54"/>
        <v>6.1483333333333352</v>
      </c>
      <c r="AI26" s="2268">
        <f t="shared" si="45"/>
        <v>10.223595095855034</v>
      </c>
      <c r="AJ26" s="1984">
        <f t="shared" si="55"/>
        <v>4.0752617625216985</v>
      </c>
      <c r="AK26" s="1881"/>
      <c r="AL26" s="2268">
        <f t="shared" ref="AL26:AR26" si="101">$J$26</f>
        <v>0.87833333333333341</v>
      </c>
      <c r="AM26" s="2268">
        <f t="shared" si="101"/>
        <v>0.87833333333333341</v>
      </c>
      <c r="AN26" s="2268">
        <f t="shared" si="101"/>
        <v>0.87833333333333341</v>
      </c>
      <c r="AO26" s="2268">
        <f t="shared" si="101"/>
        <v>0.87833333333333341</v>
      </c>
      <c r="AP26" s="2268">
        <f t="shared" si="101"/>
        <v>0.87833333333333341</v>
      </c>
      <c r="AQ26" s="2268">
        <f t="shared" si="101"/>
        <v>0.87833333333333341</v>
      </c>
      <c r="AR26" s="2268">
        <f t="shared" si="101"/>
        <v>0.87833333333333341</v>
      </c>
      <c r="AS26" s="2293"/>
      <c r="AT26" s="1982">
        <f t="shared" si="57"/>
        <v>6.1483333333333352</v>
      </c>
      <c r="AU26" s="2268">
        <f t="shared" si="47"/>
        <v>10.010270437484925</v>
      </c>
      <c r="AV26" s="1984">
        <f t="shared" si="58"/>
        <v>3.8619371041515898</v>
      </c>
      <c r="AW26" s="2293"/>
      <c r="AX26" s="2268">
        <f t="shared" ref="AX26:AY26" si="102">$J$26</f>
        <v>0.87833333333333341</v>
      </c>
      <c r="AY26" s="2268">
        <f t="shared" si="102"/>
        <v>0.87833333333333341</v>
      </c>
      <c r="AZ26" s="2268"/>
      <c r="BA26" s="2268"/>
      <c r="BB26" s="2268"/>
      <c r="BC26" s="2268"/>
      <c r="BD26" s="2268"/>
      <c r="BE26" s="2293"/>
      <c r="BF26" s="1982">
        <f t="shared" si="60"/>
        <v>1.7566666666666668</v>
      </c>
      <c r="BG26" s="2268">
        <f t="shared" si="49"/>
        <v>2.9933205148217001</v>
      </c>
      <c r="BH26" s="1984">
        <f t="shared" si="61"/>
        <v>1.2366538481550333</v>
      </c>
      <c r="BI26" s="2811"/>
      <c r="BJ26" s="1728"/>
      <c r="BK26" s="2268"/>
      <c r="BL26" s="2811"/>
      <c r="BM26" s="1982">
        <f t="shared" si="39"/>
        <v>0</v>
      </c>
      <c r="BN26" s="2268" t="e">
        <f t="shared" si="50"/>
        <v>#DIV/0!</v>
      </c>
      <c r="BO26" s="1984" t="e">
        <f t="shared" si="86"/>
        <v>#DIV/0!</v>
      </c>
      <c r="BQ26" s="1732">
        <v>0</v>
      </c>
      <c r="BR26" s="1882">
        <f t="shared" si="40"/>
        <v>0</v>
      </c>
      <c r="BS26" s="1740"/>
      <c r="BT26" s="1734">
        <f t="shared" si="41"/>
        <v>20.201666666666675</v>
      </c>
      <c r="BU26" s="1918">
        <f t="shared" si="42"/>
        <v>0.76666666666666694</v>
      </c>
      <c r="BV26" s="1997"/>
      <c r="BW26" s="2810"/>
      <c r="BY26" s="2810"/>
      <c r="BZ26" s="2038"/>
      <c r="CA26" s="1994"/>
      <c r="CB26" s="1994"/>
      <c r="CC26" s="1810"/>
      <c r="CD26" s="1810"/>
      <c r="CE26" s="1810"/>
      <c r="CF26" s="1810"/>
      <c r="CG26" s="1810"/>
      <c r="CH26" s="1986"/>
    </row>
    <row r="27" spans="1:86" s="1885" customFormat="1" x14ac:dyDescent="0.2">
      <c r="B27" s="2580">
        <v>25</v>
      </c>
      <c r="C27" s="2580" t="s">
        <v>205</v>
      </c>
      <c r="D27" s="2596"/>
      <c r="E27" s="2597">
        <v>25.5</v>
      </c>
      <c r="F27" s="2597"/>
      <c r="G27" s="2597"/>
      <c r="H27" s="2597"/>
      <c r="I27" s="2597"/>
      <c r="J27" s="2597">
        <f t="shared" si="33"/>
        <v>0.85</v>
      </c>
      <c r="K27" s="2598">
        <f t="shared" si="34"/>
        <v>7.237019483191668E-3</v>
      </c>
      <c r="L27" s="2003"/>
      <c r="M27" s="1950"/>
      <c r="N27" s="2001">
        <f t="shared" ref="N27:T27" si="103">$J$27</f>
        <v>0.85</v>
      </c>
      <c r="O27" s="2001">
        <f t="shared" si="103"/>
        <v>0.85</v>
      </c>
      <c r="P27" s="2001">
        <f t="shared" si="103"/>
        <v>0.85</v>
      </c>
      <c r="Q27" s="2001">
        <f t="shared" si="103"/>
        <v>0.85</v>
      </c>
      <c r="R27" s="2001">
        <f t="shared" si="103"/>
        <v>0.85</v>
      </c>
      <c r="S27" s="2001">
        <f t="shared" si="103"/>
        <v>0.85</v>
      </c>
      <c r="T27" s="2001">
        <f t="shared" si="103"/>
        <v>0.85</v>
      </c>
      <c r="U27" s="2809"/>
      <c r="V27" s="2481">
        <f t="shared" si="82"/>
        <v>5.9499999999999993</v>
      </c>
      <c r="W27" s="2482">
        <f t="shared" si="69"/>
        <v>11.205041080728241</v>
      </c>
      <c r="X27" s="2483">
        <f t="shared" si="52"/>
        <v>5.2550410807282422</v>
      </c>
      <c r="Y27" s="1896"/>
      <c r="Z27" s="2001">
        <f t="shared" ref="Z27:AF27" si="104">$J$27</f>
        <v>0.85</v>
      </c>
      <c r="AA27" s="2001">
        <f t="shared" si="104"/>
        <v>0.85</v>
      </c>
      <c r="AB27" s="2001">
        <f t="shared" si="104"/>
        <v>0.85</v>
      </c>
      <c r="AC27" s="2001">
        <f t="shared" si="104"/>
        <v>0.85</v>
      </c>
      <c r="AD27" s="2001">
        <f t="shared" si="104"/>
        <v>0.85</v>
      </c>
      <c r="AE27" s="2001">
        <f t="shared" si="104"/>
        <v>0.85</v>
      </c>
      <c r="AF27" s="2001">
        <f t="shared" si="104"/>
        <v>0.85</v>
      </c>
      <c r="AG27" s="1896"/>
      <c r="AH27" s="2481">
        <f t="shared" si="54"/>
        <v>5.9499999999999993</v>
      </c>
      <c r="AI27" s="2482">
        <f t="shared" si="45"/>
        <v>9.8938017056661618</v>
      </c>
      <c r="AJ27" s="2483">
        <f t="shared" si="55"/>
        <v>3.9438017056661625</v>
      </c>
      <c r="AK27" s="1896"/>
      <c r="AL27" s="2005">
        <f t="shared" ref="AL27:AR27" si="105">$J$27</f>
        <v>0.85</v>
      </c>
      <c r="AM27" s="2005">
        <f t="shared" si="105"/>
        <v>0.85</v>
      </c>
      <c r="AN27" s="2005">
        <f t="shared" si="105"/>
        <v>0.85</v>
      </c>
      <c r="AO27" s="2005">
        <f t="shared" si="105"/>
        <v>0.85</v>
      </c>
      <c r="AP27" s="2005">
        <f t="shared" si="105"/>
        <v>0.85</v>
      </c>
      <c r="AQ27" s="2005">
        <f t="shared" si="105"/>
        <v>0.85</v>
      </c>
      <c r="AR27" s="2005">
        <f t="shared" si="105"/>
        <v>0.85</v>
      </c>
      <c r="AS27" s="2295"/>
      <c r="AT27" s="2481">
        <f t="shared" si="57"/>
        <v>5.9499999999999993</v>
      </c>
      <c r="AU27" s="2482">
        <f t="shared" si="47"/>
        <v>9.6873584878886358</v>
      </c>
      <c r="AV27" s="2483">
        <f t="shared" si="58"/>
        <v>3.7373584878886366</v>
      </c>
      <c r="AW27" s="2295"/>
      <c r="AX27" s="2005">
        <f t="shared" ref="AX27:AY27" si="106">$J$27</f>
        <v>0.85</v>
      </c>
      <c r="AY27" s="2005">
        <f t="shared" si="106"/>
        <v>0.85</v>
      </c>
      <c r="AZ27" s="2005"/>
      <c r="BA27" s="2005"/>
      <c r="BB27" s="2005"/>
      <c r="BC27" s="2005"/>
      <c r="BD27" s="2005"/>
      <c r="BE27" s="2295"/>
      <c r="BF27" s="2481">
        <f t="shared" si="60"/>
        <v>1.7</v>
      </c>
      <c r="BG27" s="2482">
        <f t="shared" si="49"/>
        <v>2.8967617885371291</v>
      </c>
      <c r="BH27" s="2483">
        <f t="shared" si="61"/>
        <v>1.1967617885371291</v>
      </c>
      <c r="BI27" s="2809"/>
      <c r="BJ27" s="2001"/>
      <c r="BK27" s="2005"/>
      <c r="BL27" s="2809"/>
      <c r="BM27" s="2481">
        <f t="shared" si="39"/>
        <v>0</v>
      </c>
      <c r="BN27" s="2482" t="e">
        <f t="shared" si="50"/>
        <v>#DIV/0!</v>
      </c>
      <c r="BO27" s="2483" t="e">
        <f t="shared" si="86"/>
        <v>#DIV/0!</v>
      </c>
      <c r="BQ27" s="1898">
        <v>0</v>
      </c>
      <c r="BR27" s="1899">
        <f t="shared" si="40"/>
        <v>0</v>
      </c>
      <c r="BS27" s="1900"/>
      <c r="BT27" s="2388">
        <f t="shared" si="41"/>
        <v>19.549999999999997</v>
      </c>
      <c r="BU27" s="2389">
        <f t="shared" si="42"/>
        <v>0.76666666666666661</v>
      </c>
      <c r="BV27" s="2010"/>
      <c r="BW27" s="2808"/>
      <c r="BY27" s="2808"/>
      <c r="BZ27" s="2488"/>
      <c r="CA27" s="2404" t="s">
        <v>155</v>
      </c>
      <c r="CB27" s="2010" t="s">
        <v>156</v>
      </c>
      <c r="CC27" s="1906"/>
      <c r="CD27" s="1906"/>
      <c r="CE27" s="1906"/>
      <c r="CF27" s="1906"/>
      <c r="CG27" s="1906"/>
      <c r="CH27" s="2386"/>
    </row>
    <row r="28" spans="1:86" s="1726" customFormat="1" x14ac:dyDescent="0.2">
      <c r="B28" s="1963">
        <v>26</v>
      </c>
      <c r="C28" s="1963" t="s">
        <v>206</v>
      </c>
      <c r="D28" s="2578"/>
      <c r="E28" s="1728">
        <v>16.7</v>
      </c>
      <c r="F28" s="1728"/>
      <c r="G28" s="1728"/>
      <c r="H28" s="1728"/>
      <c r="I28" s="1728"/>
      <c r="J28" s="1728">
        <f t="shared" si="33"/>
        <v>0.55666666666666664</v>
      </c>
      <c r="K28" s="1729">
        <f t="shared" si="34"/>
        <v>4.7395382497765039E-3</v>
      </c>
      <c r="L28" s="1931"/>
      <c r="M28" s="1924"/>
      <c r="N28" s="1728">
        <f t="shared" ref="N28:T28" si="107">$J$28</f>
        <v>0.55666666666666664</v>
      </c>
      <c r="O28" s="1728">
        <f t="shared" si="107"/>
        <v>0.55666666666666664</v>
      </c>
      <c r="P28" s="1728">
        <f t="shared" si="107"/>
        <v>0.55666666666666664</v>
      </c>
      <c r="Q28" s="1728">
        <f t="shared" si="107"/>
        <v>0.55666666666666664</v>
      </c>
      <c r="R28" s="1728">
        <f t="shared" si="107"/>
        <v>0.55666666666666664</v>
      </c>
      <c r="S28" s="1728">
        <f t="shared" si="107"/>
        <v>0.55666666666666664</v>
      </c>
      <c r="T28" s="1728">
        <f t="shared" si="107"/>
        <v>0.55666666666666664</v>
      </c>
      <c r="U28" s="2811"/>
      <c r="V28" s="2016">
        <f t="shared" si="82"/>
        <v>3.8966666666666665</v>
      </c>
      <c r="W28" s="2017">
        <f t="shared" si="69"/>
        <v>7.3382033744377111</v>
      </c>
      <c r="X28" s="2018">
        <f t="shared" si="52"/>
        <v>3.4415367077710446</v>
      </c>
      <c r="Y28" s="1881"/>
      <c r="Z28" s="1728">
        <f t="shared" ref="Z28:AF28" si="108">$J$28</f>
        <v>0.55666666666666664</v>
      </c>
      <c r="AA28" s="1728">
        <f t="shared" si="108"/>
        <v>0.55666666666666664</v>
      </c>
      <c r="AB28" s="1728">
        <f t="shared" si="108"/>
        <v>0.55666666666666664</v>
      </c>
      <c r="AC28" s="1728">
        <f t="shared" si="108"/>
        <v>0.55666666666666664</v>
      </c>
      <c r="AD28" s="1728">
        <f t="shared" si="108"/>
        <v>0.55666666666666664</v>
      </c>
      <c r="AE28" s="1728">
        <f t="shared" si="108"/>
        <v>0.55666666666666664</v>
      </c>
      <c r="AF28" s="1728">
        <f t="shared" si="108"/>
        <v>0.55666666666666664</v>
      </c>
      <c r="AG28" s="1881"/>
      <c r="AH28" s="2016">
        <f>SUM(Z28:AF28)</f>
        <v>3.8966666666666665</v>
      </c>
      <c r="AI28" s="2017">
        <f t="shared" si="45"/>
        <v>6.4794701366519565</v>
      </c>
      <c r="AJ28" s="2018">
        <f>AI28-AH28</f>
        <v>2.58280346998529</v>
      </c>
      <c r="AK28" s="1881"/>
      <c r="AL28" s="2268">
        <f t="shared" ref="AL28:AR28" si="109">$J$28</f>
        <v>0.55666666666666664</v>
      </c>
      <c r="AM28" s="2268">
        <f t="shared" si="109"/>
        <v>0.55666666666666664</v>
      </c>
      <c r="AN28" s="2268">
        <f t="shared" si="109"/>
        <v>0.55666666666666664</v>
      </c>
      <c r="AO28" s="2268">
        <f t="shared" si="109"/>
        <v>0.55666666666666664</v>
      </c>
      <c r="AP28" s="2268">
        <f t="shared" si="109"/>
        <v>0.55666666666666664</v>
      </c>
      <c r="AQ28" s="2268">
        <f t="shared" si="109"/>
        <v>0.55666666666666664</v>
      </c>
      <c r="AR28" s="2268">
        <f t="shared" si="109"/>
        <v>0.55666666666666664</v>
      </c>
      <c r="AS28" s="2293"/>
      <c r="AT28" s="2016">
        <f t="shared" si="57"/>
        <v>3.8966666666666665</v>
      </c>
      <c r="AU28" s="2017">
        <f t="shared" si="47"/>
        <v>6.3442700685388314</v>
      </c>
      <c r="AV28" s="2018">
        <f t="shared" si="58"/>
        <v>2.4476034018721649</v>
      </c>
      <c r="AW28" s="2293"/>
      <c r="AX28" s="2268">
        <f t="shared" ref="AX28:AY28" si="110">$J$28</f>
        <v>0.55666666666666664</v>
      </c>
      <c r="AY28" s="2268">
        <f t="shared" si="110"/>
        <v>0.55666666666666664</v>
      </c>
      <c r="AZ28" s="2268"/>
      <c r="BA28" s="2268"/>
      <c r="BB28" s="2268"/>
      <c r="BC28" s="2268"/>
      <c r="BD28" s="2268"/>
      <c r="BE28" s="2293"/>
      <c r="BF28" s="2016">
        <f t="shared" si="60"/>
        <v>1.1133333333333333</v>
      </c>
      <c r="BG28" s="2017">
        <f t="shared" si="49"/>
        <v>1.897094975238041</v>
      </c>
      <c r="BH28" s="2018">
        <f t="shared" si="61"/>
        <v>0.78376164190470776</v>
      </c>
      <c r="BI28" s="2811"/>
      <c r="BJ28" s="1728"/>
      <c r="BK28" s="2268"/>
      <c r="BL28" s="2811"/>
      <c r="BM28" s="2016">
        <f t="shared" si="39"/>
        <v>0</v>
      </c>
      <c r="BN28" s="2017" t="e">
        <f t="shared" si="50"/>
        <v>#DIV/0!</v>
      </c>
      <c r="BO28" s="2018" t="e">
        <f t="shared" si="86"/>
        <v>#DIV/0!</v>
      </c>
      <c r="BQ28" s="1732">
        <v>0</v>
      </c>
      <c r="BR28" s="1882">
        <f t="shared" si="40"/>
        <v>0</v>
      </c>
      <c r="BS28" s="1740"/>
      <c r="BT28" s="2019">
        <f t="shared" si="41"/>
        <v>12.803333333333333</v>
      </c>
      <c r="BU28" s="2020">
        <f t="shared" si="42"/>
        <v>0.76666666666666672</v>
      </c>
      <c r="BV28" s="1997"/>
      <c r="BW28" s="2810"/>
      <c r="BY28" s="2810"/>
      <c r="BZ28" s="2036" t="s">
        <v>159</v>
      </c>
      <c r="CA28" s="2059">
        <v>0.5</v>
      </c>
      <c r="CB28" s="1997" t="str">
        <f>IF(CB23&lt;=CA28,CB23," ")</f>
        <v xml:space="preserve"> </v>
      </c>
      <c r="CC28" s="1810"/>
      <c r="CD28" s="1810"/>
      <c r="CE28" s="1810"/>
      <c r="CF28" s="1810"/>
      <c r="CG28" s="1810"/>
      <c r="CH28" s="1986"/>
    </row>
    <row r="29" spans="1:86" s="1885" customFormat="1" x14ac:dyDescent="0.2">
      <c r="B29" s="2000">
        <v>27</v>
      </c>
      <c r="C29" s="2000" t="s">
        <v>244</v>
      </c>
      <c r="D29" s="2579"/>
      <c r="E29" s="2001">
        <v>5</v>
      </c>
      <c r="F29" s="2001">
        <v>5</v>
      </c>
      <c r="G29" s="2001">
        <v>3.3333333333333335</v>
      </c>
      <c r="H29" s="2001">
        <v>2.5</v>
      </c>
      <c r="I29" s="2001">
        <v>2</v>
      </c>
      <c r="J29" s="2001">
        <f t="shared" si="33"/>
        <v>0.16666666666666666</v>
      </c>
      <c r="K29" s="2584">
        <f t="shared" si="34"/>
        <v>1.4190234280767977E-3</v>
      </c>
      <c r="L29" s="2003"/>
      <c r="M29" s="1950"/>
      <c r="N29" s="2001">
        <f t="shared" ref="N29:T29" si="111">$J$29</f>
        <v>0.16666666666666666</v>
      </c>
      <c r="O29" s="2001">
        <f t="shared" si="111"/>
        <v>0.16666666666666666</v>
      </c>
      <c r="P29" s="2001">
        <f t="shared" si="111"/>
        <v>0.16666666666666666</v>
      </c>
      <c r="Q29" s="2001">
        <f t="shared" si="111"/>
        <v>0.16666666666666666</v>
      </c>
      <c r="R29" s="2001">
        <f t="shared" si="111"/>
        <v>0.16666666666666666</v>
      </c>
      <c r="S29" s="2001">
        <f t="shared" si="111"/>
        <v>0.16666666666666666</v>
      </c>
      <c r="T29" s="2001">
        <f t="shared" si="111"/>
        <v>0.16666666666666666</v>
      </c>
      <c r="U29" s="2809"/>
      <c r="V29" s="2481">
        <f t="shared" ref="V29:V35" si="112">SUM(N29:T29)</f>
        <v>1.1666666666666665</v>
      </c>
      <c r="W29" s="2482">
        <f t="shared" si="69"/>
        <v>2.1970668785741654</v>
      </c>
      <c r="X29" s="2483">
        <f t="shared" ref="X29:X35" si="113">W29-V29</f>
        <v>1.0304002119074989</v>
      </c>
      <c r="Y29" s="1896"/>
      <c r="Z29" s="2001">
        <f t="shared" ref="Z29:AF29" si="114">$J$29</f>
        <v>0.16666666666666666</v>
      </c>
      <c r="AA29" s="2001">
        <f t="shared" si="114"/>
        <v>0.16666666666666666</v>
      </c>
      <c r="AB29" s="2001">
        <f t="shared" si="114"/>
        <v>0.16666666666666666</v>
      </c>
      <c r="AC29" s="2001">
        <f t="shared" si="114"/>
        <v>0.16666666666666666</v>
      </c>
      <c r="AD29" s="2001">
        <f t="shared" si="114"/>
        <v>0.16666666666666666</v>
      </c>
      <c r="AE29" s="2001">
        <f t="shared" si="114"/>
        <v>0.16666666666666666</v>
      </c>
      <c r="AF29" s="2001">
        <f t="shared" si="114"/>
        <v>0.16666666666666666</v>
      </c>
      <c r="AG29" s="1896"/>
      <c r="AH29" s="2481">
        <f t="shared" ref="AH29:AH35" si="115">SUM(Z29:AF29)</f>
        <v>1.1666666666666665</v>
      </c>
      <c r="AI29" s="2482">
        <f t="shared" si="45"/>
        <v>1.9399611187580712</v>
      </c>
      <c r="AJ29" s="2483">
        <f t="shared" ref="AJ29:AJ35" si="116">AI29-AH29</f>
        <v>0.77329445209140468</v>
      </c>
      <c r="AK29" s="1896"/>
      <c r="AL29" s="2005">
        <f t="shared" ref="AL29:AR29" si="117">$J$29</f>
        <v>0.16666666666666666</v>
      </c>
      <c r="AM29" s="2005">
        <f t="shared" si="117"/>
        <v>0.16666666666666666</v>
      </c>
      <c r="AN29" s="2005">
        <f t="shared" si="117"/>
        <v>0.16666666666666666</v>
      </c>
      <c r="AO29" s="2005">
        <f t="shared" si="117"/>
        <v>0.16666666666666666</v>
      </c>
      <c r="AP29" s="2005">
        <f t="shared" si="117"/>
        <v>0.16666666666666666</v>
      </c>
      <c r="AQ29" s="2005">
        <f t="shared" si="117"/>
        <v>0.16666666666666666</v>
      </c>
      <c r="AR29" s="2005">
        <f t="shared" si="117"/>
        <v>0.16666666666666666</v>
      </c>
      <c r="AS29" s="2295"/>
      <c r="AT29" s="2481">
        <f t="shared" si="57"/>
        <v>1.1666666666666665</v>
      </c>
      <c r="AU29" s="2482">
        <f t="shared" si="47"/>
        <v>1.8994820564487522</v>
      </c>
      <c r="AV29" s="2483">
        <f t="shared" si="58"/>
        <v>0.73281538978208571</v>
      </c>
      <c r="AW29" s="2295"/>
      <c r="AX29" s="2005">
        <f t="shared" ref="AX29:AY29" si="118">$J$29</f>
        <v>0.16666666666666666</v>
      </c>
      <c r="AY29" s="2005">
        <f t="shared" si="118"/>
        <v>0.16666666666666666</v>
      </c>
      <c r="AZ29" s="2005"/>
      <c r="BA29" s="2005"/>
      <c r="BB29" s="2005"/>
      <c r="BC29" s="2005"/>
      <c r="BD29" s="2005"/>
      <c r="BE29" s="2295"/>
      <c r="BF29" s="2481">
        <f t="shared" si="60"/>
        <v>0.33333333333333331</v>
      </c>
      <c r="BG29" s="2482">
        <f t="shared" si="49"/>
        <v>0.56799250755629982</v>
      </c>
      <c r="BH29" s="2483">
        <f t="shared" si="61"/>
        <v>0.2346591742229665</v>
      </c>
      <c r="BI29" s="2809"/>
      <c r="BJ29" s="2001"/>
      <c r="BK29" s="2005"/>
      <c r="BL29" s="2809"/>
      <c r="BM29" s="2481">
        <f t="shared" ref="BM29:BM35" si="119">SUM(BJ29:BK29)</f>
        <v>0</v>
      </c>
      <c r="BN29" s="2482" t="e">
        <f t="shared" si="50"/>
        <v>#DIV/0!</v>
      </c>
      <c r="BO29" s="2483" t="e">
        <f t="shared" si="86"/>
        <v>#DIV/0!</v>
      </c>
      <c r="BQ29" s="1898">
        <v>0</v>
      </c>
      <c r="BR29" s="1899">
        <f t="shared" ref="BR29:BR35" si="120">BQ29/E29</f>
        <v>0</v>
      </c>
      <c r="BS29" s="1900"/>
      <c r="BT29" s="2388">
        <f t="shared" ref="BT29:BT35" si="121">SUM(N29:T29)+SUM(Z29:AF29)+SUM(AL29:AR29)+SUM(AX29:BD29)+SUM(BJ29:BK29)</f>
        <v>3.833333333333333</v>
      </c>
      <c r="BU29" s="2389">
        <f t="shared" si="42"/>
        <v>0.76666666666666661</v>
      </c>
      <c r="BV29" s="2010"/>
      <c r="BW29" s="2808"/>
      <c r="BY29" s="2808"/>
      <c r="BZ29" s="2637" t="s">
        <v>160</v>
      </c>
      <c r="CA29" s="2339">
        <v>0.75</v>
      </c>
      <c r="CB29" s="1962" t="str">
        <f>IF(AND(CB23&gt;CA28,CB23&lt;=CA29),CB23," ")</f>
        <v xml:space="preserve"> </v>
      </c>
      <c r="CC29" s="1906"/>
      <c r="CD29" s="1906"/>
      <c r="CE29" s="1906"/>
      <c r="CF29" s="1906"/>
      <c r="CG29" s="1906"/>
      <c r="CH29" s="2386"/>
    </row>
    <row r="30" spans="1:86" s="1726" customFormat="1" x14ac:dyDescent="0.2">
      <c r="B30" s="2508">
        <v>28</v>
      </c>
      <c r="C30" s="1963" t="s">
        <v>255</v>
      </c>
      <c r="D30" s="2578"/>
      <c r="E30" s="1728">
        <v>75</v>
      </c>
      <c r="F30" s="1728"/>
      <c r="G30" s="1728"/>
      <c r="H30" s="1728"/>
      <c r="I30" s="1728"/>
      <c r="J30" s="1728">
        <f t="shared" si="33"/>
        <v>2.5</v>
      </c>
      <c r="K30" s="1729">
        <f t="shared" si="34"/>
        <v>2.1285351421151965E-2</v>
      </c>
      <c r="L30" s="1931"/>
      <c r="M30" s="1924"/>
      <c r="N30" s="1728">
        <f t="shared" ref="N30:T30" si="122">$J$30</f>
        <v>2.5</v>
      </c>
      <c r="O30" s="1728">
        <f t="shared" si="122"/>
        <v>2.5</v>
      </c>
      <c r="P30" s="1728">
        <f t="shared" si="122"/>
        <v>2.5</v>
      </c>
      <c r="Q30" s="1728">
        <f t="shared" si="122"/>
        <v>2.5</v>
      </c>
      <c r="R30" s="1728">
        <f t="shared" si="122"/>
        <v>2.5</v>
      </c>
      <c r="S30" s="1728">
        <f t="shared" si="122"/>
        <v>2.5</v>
      </c>
      <c r="T30" s="1728">
        <f t="shared" si="122"/>
        <v>2.5</v>
      </c>
      <c r="U30" s="2811"/>
      <c r="V30" s="2016">
        <f t="shared" si="112"/>
        <v>17.5</v>
      </c>
      <c r="W30" s="2017">
        <f t="shared" si="69"/>
        <v>32.956003178612477</v>
      </c>
      <c r="X30" s="2018">
        <f t="shared" si="113"/>
        <v>15.456003178612477</v>
      </c>
      <c r="Y30" s="1881"/>
      <c r="Z30" s="1728">
        <f t="shared" ref="Z30:AF30" si="123">$J$30</f>
        <v>2.5</v>
      </c>
      <c r="AA30" s="1728">
        <f t="shared" si="123"/>
        <v>2.5</v>
      </c>
      <c r="AB30" s="1728">
        <f t="shared" si="123"/>
        <v>2.5</v>
      </c>
      <c r="AC30" s="1728">
        <f t="shared" si="123"/>
        <v>2.5</v>
      </c>
      <c r="AD30" s="1728">
        <f t="shared" si="123"/>
        <v>2.5</v>
      </c>
      <c r="AE30" s="1728">
        <f t="shared" si="123"/>
        <v>2.5</v>
      </c>
      <c r="AF30" s="1728">
        <f t="shared" si="123"/>
        <v>2.5</v>
      </c>
      <c r="AG30" s="1881"/>
      <c r="AH30" s="2016">
        <f t="shared" si="115"/>
        <v>17.5</v>
      </c>
      <c r="AI30" s="2017">
        <f t="shared" si="45"/>
        <v>29.099416781371065</v>
      </c>
      <c r="AJ30" s="2018">
        <f t="shared" si="116"/>
        <v>11.599416781371065</v>
      </c>
      <c r="AK30" s="1881"/>
      <c r="AL30" s="2268">
        <f t="shared" ref="AL30:AR30" si="124">$J$30</f>
        <v>2.5</v>
      </c>
      <c r="AM30" s="2268">
        <f t="shared" si="124"/>
        <v>2.5</v>
      </c>
      <c r="AN30" s="2268">
        <f t="shared" si="124"/>
        <v>2.5</v>
      </c>
      <c r="AO30" s="2268">
        <f t="shared" si="124"/>
        <v>2.5</v>
      </c>
      <c r="AP30" s="2268">
        <f t="shared" si="124"/>
        <v>2.5</v>
      </c>
      <c r="AQ30" s="2268">
        <f t="shared" si="124"/>
        <v>2.5</v>
      </c>
      <c r="AR30" s="2268">
        <f t="shared" si="124"/>
        <v>2.5</v>
      </c>
      <c r="AS30" s="2293"/>
      <c r="AT30" s="2016">
        <f t="shared" si="57"/>
        <v>17.5</v>
      </c>
      <c r="AU30" s="2017">
        <f t="shared" si="47"/>
        <v>28.492230846731282</v>
      </c>
      <c r="AV30" s="2018">
        <f t="shared" si="58"/>
        <v>10.992230846731282</v>
      </c>
      <c r="AW30" s="2293"/>
      <c r="AX30" s="2268">
        <f t="shared" ref="AX30:AY30" si="125">$J$30</f>
        <v>2.5</v>
      </c>
      <c r="AY30" s="2268">
        <f t="shared" si="125"/>
        <v>2.5</v>
      </c>
      <c r="AZ30" s="2268"/>
      <c r="BA30" s="2268"/>
      <c r="BB30" s="2268"/>
      <c r="BC30" s="2268"/>
      <c r="BD30" s="2268"/>
      <c r="BE30" s="2293"/>
      <c r="BF30" s="2016">
        <f t="shared" si="60"/>
        <v>5</v>
      </c>
      <c r="BG30" s="2017">
        <f t="shared" si="49"/>
        <v>8.5198876133444976</v>
      </c>
      <c r="BH30" s="2018">
        <f t="shared" si="61"/>
        <v>3.5198876133444976</v>
      </c>
      <c r="BI30" s="2811"/>
      <c r="BJ30" s="1728"/>
      <c r="BK30" s="2268"/>
      <c r="BL30" s="2811"/>
      <c r="BM30" s="2016">
        <f t="shared" si="119"/>
        <v>0</v>
      </c>
      <c r="BN30" s="2017" t="e">
        <f t="shared" si="50"/>
        <v>#DIV/0!</v>
      </c>
      <c r="BO30" s="2018" t="e">
        <f t="shared" si="86"/>
        <v>#DIV/0!</v>
      </c>
      <c r="BQ30" s="1732">
        <v>0</v>
      </c>
      <c r="BR30" s="1882">
        <f t="shared" si="120"/>
        <v>0</v>
      </c>
      <c r="BS30" s="1740"/>
      <c r="BT30" s="2019">
        <f t="shared" si="121"/>
        <v>57.5</v>
      </c>
      <c r="BU30" s="2020">
        <f t="shared" ref="BU30:BU35" si="126">BT30/E30</f>
        <v>0.76666666666666672</v>
      </c>
      <c r="BV30" s="1997"/>
      <c r="BW30" s="2810"/>
      <c r="BY30" s="2810"/>
      <c r="BZ30" s="2036" t="s">
        <v>161</v>
      </c>
      <c r="CA30" s="2059">
        <v>1</v>
      </c>
      <c r="CB30" s="2037">
        <f>IF(CB23&gt;CA29,CB23," ")</f>
        <v>0.77419354838709675</v>
      </c>
      <c r="CC30" s="1810"/>
      <c r="CD30" s="1810"/>
      <c r="CE30" s="1810"/>
      <c r="CF30" s="1810"/>
      <c r="CG30" s="1810"/>
      <c r="CH30" s="1986"/>
    </row>
    <row r="31" spans="1:86" s="1885" customFormat="1" x14ac:dyDescent="0.2">
      <c r="B31" s="2000">
        <v>29</v>
      </c>
      <c r="C31" s="2000" t="s">
        <v>240</v>
      </c>
      <c r="D31" s="2579"/>
      <c r="E31" s="2001">
        <v>30</v>
      </c>
      <c r="F31" s="2001">
        <v>5</v>
      </c>
      <c r="G31" s="2001">
        <v>3.3333333333333335</v>
      </c>
      <c r="H31" s="2001">
        <v>2.5</v>
      </c>
      <c r="I31" s="2001">
        <v>2</v>
      </c>
      <c r="J31" s="2001">
        <f t="shared" si="33"/>
        <v>1</v>
      </c>
      <c r="K31" s="2584">
        <f t="shared" si="34"/>
        <v>8.5141405684607853E-3</v>
      </c>
      <c r="L31" s="2003"/>
      <c r="M31" s="1950"/>
      <c r="N31" s="2001">
        <f t="shared" ref="N31:T31" si="127">$J$31</f>
        <v>1</v>
      </c>
      <c r="O31" s="2001">
        <f t="shared" si="127"/>
        <v>1</v>
      </c>
      <c r="P31" s="2001">
        <f t="shared" si="127"/>
        <v>1</v>
      </c>
      <c r="Q31" s="2001">
        <f t="shared" si="127"/>
        <v>1</v>
      </c>
      <c r="R31" s="2001">
        <f t="shared" si="127"/>
        <v>1</v>
      </c>
      <c r="S31" s="2001">
        <f t="shared" si="127"/>
        <v>1</v>
      </c>
      <c r="T31" s="2001">
        <f t="shared" si="127"/>
        <v>1</v>
      </c>
      <c r="U31" s="2809"/>
      <c r="V31" s="2481">
        <f t="shared" si="112"/>
        <v>7</v>
      </c>
      <c r="W31" s="2482">
        <f t="shared" si="69"/>
        <v>13.18240127144499</v>
      </c>
      <c r="X31" s="2483">
        <f t="shared" si="113"/>
        <v>6.1824012714449896</v>
      </c>
      <c r="Y31" s="1896"/>
      <c r="Z31" s="2001">
        <f t="shared" ref="Z31:AF31" si="128">$J$31</f>
        <v>1</v>
      </c>
      <c r="AA31" s="2001">
        <f t="shared" si="128"/>
        <v>1</v>
      </c>
      <c r="AB31" s="2001">
        <f t="shared" si="128"/>
        <v>1</v>
      </c>
      <c r="AC31" s="2001">
        <f t="shared" si="128"/>
        <v>1</v>
      </c>
      <c r="AD31" s="2001">
        <f t="shared" si="128"/>
        <v>1</v>
      </c>
      <c r="AE31" s="2001">
        <f t="shared" si="128"/>
        <v>1</v>
      </c>
      <c r="AF31" s="2001">
        <f t="shared" si="128"/>
        <v>1</v>
      </c>
      <c r="AG31" s="1896"/>
      <c r="AH31" s="2481">
        <f t="shared" si="115"/>
        <v>7</v>
      </c>
      <c r="AI31" s="2482">
        <f t="shared" si="45"/>
        <v>11.639766712548425</v>
      </c>
      <c r="AJ31" s="2483">
        <f t="shared" si="116"/>
        <v>4.6397667125484254</v>
      </c>
      <c r="AK31" s="1896"/>
      <c r="AL31" s="2005">
        <f t="shared" ref="AL31:AR31" si="129">$J$31</f>
        <v>1</v>
      </c>
      <c r="AM31" s="2005">
        <f t="shared" si="129"/>
        <v>1</v>
      </c>
      <c r="AN31" s="2005">
        <f t="shared" si="129"/>
        <v>1</v>
      </c>
      <c r="AO31" s="2005">
        <f t="shared" si="129"/>
        <v>1</v>
      </c>
      <c r="AP31" s="2005">
        <f t="shared" si="129"/>
        <v>1</v>
      </c>
      <c r="AQ31" s="2005">
        <f t="shared" si="129"/>
        <v>1</v>
      </c>
      <c r="AR31" s="2005">
        <f t="shared" si="129"/>
        <v>1</v>
      </c>
      <c r="AS31" s="2295"/>
      <c r="AT31" s="2481">
        <f t="shared" si="57"/>
        <v>7</v>
      </c>
      <c r="AU31" s="2482">
        <f t="shared" si="47"/>
        <v>11.396892338692513</v>
      </c>
      <c r="AV31" s="2483">
        <f t="shared" si="58"/>
        <v>4.3968923386925134</v>
      </c>
      <c r="AW31" s="2295"/>
      <c r="AX31" s="2005">
        <f t="shared" ref="AX31:AY31" si="130">$J$31</f>
        <v>1</v>
      </c>
      <c r="AY31" s="2005">
        <f t="shared" si="130"/>
        <v>1</v>
      </c>
      <c r="AZ31" s="2005"/>
      <c r="BA31" s="2005"/>
      <c r="BB31" s="2005"/>
      <c r="BC31" s="2005"/>
      <c r="BD31" s="2005"/>
      <c r="BE31" s="2295"/>
      <c r="BF31" s="2481">
        <f t="shared" si="60"/>
        <v>2</v>
      </c>
      <c r="BG31" s="2482">
        <f t="shared" si="49"/>
        <v>3.4079550453377982</v>
      </c>
      <c r="BH31" s="2483">
        <f t="shared" si="61"/>
        <v>1.4079550453377982</v>
      </c>
      <c r="BI31" s="2809"/>
      <c r="BJ31" s="2001"/>
      <c r="BK31" s="2005"/>
      <c r="BL31" s="2809"/>
      <c r="BM31" s="2481">
        <f t="shared" si="119"/>
        <v>0</v>
      </c>
      <c r="BN31" s="2482" t="e">
        <f t="shared" si="50"/>
        <v>#DIV/0!</v>
      </c>
      <c r="BO31" s="2483" t="e">
        <f t="shared" si="86"/>
        <v>#DIV/0!</v>
      </c>
      <c r="BQ31" s="1898">
        <v>0</v>
      </c>
      <c r="BR31" s="1899">
        <f t="shared" si="120"/>
        <v>0</v>
      </c>
      <c r="BS31" s="1900"/>
      <c r="BT31" s="2388">
        <f t="shared" si="121"/>
        <v>23</v>
      </c>
      <c r="BU31" s="2389">
        <f t="shared" si="126"/>
        <v>0.76666666666666672</v>
      </c>
      <c r="BV31" s="2010"/>
      <c r="BW31" s="2808"/>
      <c r="BY31" s="2808"/>
      <c r="BZ31" s="2488"/>
      <c r="CA31" s="2404" t="s">
        <v>158</v>
      </c>
      <c r="CB31" s="2490">
        <f>MAX(100%,CB23)-CB23</f>
        <v>0.22580645161290325</v>
      </c>
      <c r="CC31" s="1906"/>
      <c r="CD31" s="1906"/>
      <c r="CE31" s="1906"/>
      <c r="CF31" s="1906"/>
      <c r="CG31" s="1906"/>
      <c r="CH31" s="2386"/>
    </row>
    <row r="32" spans="1:86" s="1726" customFormat="1" x14ac:dyDescent="0.2">
      <c r="B32" s="1963">
        <v>30</v>
      </c>
      <c r="C32" s="1963" t="s">
        <v>257</v>
      </c>
      <c r="D32" s="2578"/>
      <c r="E32" s="1728">
        <v>100</v>
      </c>
      <c r="F32" s="1728">
        <v>5</v>
      </c>
      <c r="G32" s="1728">
        <v>3.3333333333333335</v>
      </c>
      <c r="H32" s="1728">
        <v>2.5</v>
      </c>
      <c r="I32" s="1728">
        <v>2</v>
      </c>
      <c r="J32" s="1728">
        <f t="shared" si="33"/>
        <v>3.3333333333333335</v>
      </c>
      <c r="K32" s="1729">
        <f t="shared" si="34"/>
        <v>2.8380468561535952E-2</v>
      </c>
      <c r="L32" s="1931"/>
      <c r="M32" s="1924"/>
      <c r="N32" s="1728">
        <f t="shared" ref="N32:T32" si="131">$J$32</f>
        <v>3.3333333333333335</v>
      </c>
      <c r="O32" s="1728">
        <f t="shared" si="131"/>
        <v>3.3333333333333335</v>
      </c>
      <c r="P32" s="1728">
        <f t="shared" si="131"/>
        <v>3.3333333333333335</v>
      </c>
      <c r="Q32" s="1728">
        <f t="shared" si="131"/>
        <v>3.3333333333333335</v>
      </c>
      <c r="R32" s="1728">
        <f t="shared" si="131"/>
        <v>3.3333333333333335</v>
      </c>
      <c r="S32" s="1728">
        <f t="shared" si="131"/>
        <v>3.3333333333333335</v>
      </c>
      <c r="T32" s="1728">
        <f t="shared" si="131"/>
        <v>3.3333333333333335</v>
      </c>
      <c r="U32" s="2811"/>
      <c r="V32" s="2016">
        <f t="shared" si="112"/>
        <v>23.333333333333332</v>
      </c>
      <c r="W32" s="2017">
        <f t="shared" si="69"/>
        <v>43.941337571483302</v>
      </c>
      <c r="X32" s="2018">
        <f t="shared" si="113"/>
        <v>20.60800423814997</v>
      </c>
      <c r="Y32" s="1881"/>
      <c r="Z32" s="1728">
        <f t="shared" ref="Z32:AF32" si="132">$J$32</f>
        <v>3.3333333333333335</v>
      </c>
      <c r="AA32" s="1728">
        <f t="shared" si="132"/>
        <v>3.3333333333333335</v>
      </c>
      <c r="AB32" s="1728">
        <f t="shared" si="132"/>
        <v>3.3333333333333335</v>
      </c>
      <c r="AC32" s="1728">
        <f t="shared" si="132"/>
        <v>3.3333333333333335</v>
      </c>
      <c r="AD32" s="1728">
        <f t="shared" si="132"/>
        <v>3.3333333333333335</v>
      </c>
      <c r="AE32" s="1728">
        <f t="shared" si="132"/>
        <v>3.3333333333333335</v>
      </c>
      <c r="AF32" s="1728">
        <f t="shared" si="132"/>
        <v>3.3333333333333335</v>
      </c>
      <c r="AG32" s="1881"/>
      <c r="AH32" s="2016">
        <f t="shared" si="115"/>
        <v>23.333333333333332</v>
      </c>
      <c r="AI32" s="2017">
        <f t="shared" si="45"/>
        <v>38.79922237516142</v>
      </c>
      <c r="AJ32" s="2018">
        <f t="shared" si="116"/>
        <v>15.465889041828088</v>
      </c>
      <c r="AK32" s="1881"/>
      <c r="AL32" s="2268">
        <f t="shared" ref="AL32:AR32" si="133">$J$32</f>
        <v>3.3333333333333335</v>
      </c>
      <c r="AM32" s="2268">
        <f t="shared" si="133"/>
        <v>3.3333333333333335</v>
      </c>
      <c r="AN32" s="2268">
        <f t="shared" si="133"/>
        <v>3.3333333333333335</v>
      </c>
      <c r="AO32" s="2268">
        <f t="shared" si="133"/>
        <v>3.3333333333333335</v>
      </c>
      <c r="AP32" s="2268">
        <f t="shared" si="133"/>
        <v>3.3333333333333335</v>
      </c>
      <c r="AQ32" s="2268">
        <f t="shared" si="133"/>
        <v>3.3333333333333335</v>
      </c>
      <c r="AR32" s="2268">
        <f t="shared" si="133"/>
        <v>3.3333333333333335</v>
      </c>
      <c r="AS32" s="2293"/>
      <c r="AT32" s="2016">
        <f t="shared" si="57"/>
        <v>23.333333333333332</v>
      </c>
      <c r="AU32" s="2017">
        <f t="shared" si="47"/>
        <v>37.989641128975045</v>
      </c>
      <c r="AV32" s="2018">
        <f t="shared" si="58"/>
        <v>14.656307795641712</v>
      </c>
      <c r="AW32" s="2293"/>
      <c r="AX32" s="2268">
        <f t="shared" ref="AX32:AY32" si="134">$J$32</f>
        <v>3.3333333333333335</v>
      </c>
      <c r="AY32" s="2268">
        <f t="shared" si="134"/>
        <v>3.3333333333333335</v>
      </c>
      <c r="AZ32" s="2268"/>
      <c r="BA32" s="2268"/>
      <c r="BB32" s="2268"/>
      <c r="BC32" s="2268"/>
      <c r="BD32" s="2268"/>
      <c r="BE32" s="2293"/>
      <c r="BF32" s="2016">
        <f t="shared" si="60"/>
        <v>6.666666666666667</v>
      </c>
      <c r="BG32" s="2017">
        <f t="shared" si="49"/>
        <v>11.359850151125995</v>
      </c>
      <c r="BH32" s="2018">
        <f t="shared" si="61"/>
        <v>4.6931834844593281</v>
      </c>
      <c r="BI32" s="2811"/>
      <c r="BJ32" s="1728"/>
      <c r="BK32" s="2268"/>
      <c r="BL32" s="2811"/>
      <c r="BM32" s="2016">
        <f t="shared" si="119"/>
        <v>0</v>
      </c>
      <c r="BN32" s="2017" t="e">
        <f t="shared" si="50"/>
        <v>#DIV/0!</v>
      </c>
      <c r="BO32" s="2018" t="e">
        <f t="shared" si="86"/>
        <v>#DIV/0!</v>
      </c>
      <c r="BQ32" s="1732">
        <v>0</v>
      </c>
      <c r="BR32" s="1882">
        <f t="shared" si="120"/>
        <v>0</v>
      </c>
      <c r="BS32" s="1740"/>
      <c r="BT32" s="2019">
        <f t="shared" si="121"/>
        <v>76.666666666666671</v>
      </c>
      <c r="BU32" s="2020">
        <f t="shared" si="126"/>
        <v>0.76666666666666672</v>
      </c>
      <c r="BV32" s="1997"/>
      <c r="BW32" s="2810"/>
      <c r="BY32" s="2810"/>
      <c r="BZ32" s="2015"/>
      <c r="CA32" s="1830"/>
      <c r="CB32" s="1817"/>
      <c r="CC32" s="1810"/>
      <c r="CD32" s="1810"/>
      <c r="CE32" s="1810"/>
      <c r="CF32" s="1810"/>
      <c r="CG32" s="1810"/>
      <c r="CH32" s="1986"/>
    </row>
    <row r="33" spans="1:86" s="1885" customFormat="1" x14ac:dyDescent="0.2">
      <c r="B33" s="2580">
        <v>31</v>
      </c>
      <c r="C33" s="2000" t="s">
        <v>258</v>
      </c>
      <c r="D33" s="2579"/>
      <c r="E33" s="2001">
        <v>15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33"/>
        <v>0.5</v>
      </c>
      <c r="K33" s="2584">
        <f t="shared" si="34"/>
        <v>4.2570702842303926E-3</v>
      </c>
      <c r="L33" s="2003"/>
      <c r="M33" s="1950"/>
      <c r="N33" s="2001">
        <f t="shared" ref="N33:T33" si="135">$J$33</f>
        <v>0.5</v>
      </c>
      <c r="O33" s="2001">
        <f t="shared" si="135"/>
        <v>0.5</v>
      </c>
      <c r="P33" s="2001">
        <f t="shared" si="135"/>
        <v>0.5</v>
      </c>
      <c r="Q33" s="2001">
        <f t="shared" si="135"/>
        <v>0.5</v>
      </c>
      <c r="R33" s="2001">
        <f t="shared" si="135"/>
        <v>0.5</v>
      </c>
      <c r="S33" s="2001">
        <f t="shared" si="135"/>
        <v>0.5</v>
      </c>
      <c r="T33" s="2001">
        <f t="shared" si="135"/>
        <v>0.5</v>
      </c>
      <c r="U33" s="2809"/>
      <c r="V33" s="2481">
        <f t="shared" si="112"/>
        <v>3.5</v>
      </c>
      <c r="W33" s="2482">
        <f t="shared" si="69"/>
        <v>6.5912006357224948</v>
      </c>
      <c r="X33" s="2483">
        <f t="shared" si="113"/>
        <v>3.0912006357224948</v>
      </c>
      <c r="Y33" s="1896"/>
      <c r="Z33" s="2001">
        <f t="shared" ref="Z33:AF33" si="136">$J$33</f>
        <v>0.5</v>
      </c>
      <c r="AA33" s="2001">
        <f t="shared" si="136"/>
        <v>0.5</v>
      </c>
      <c r="AB33" s="2001">
        <f t="shared" si="136"/>
        <v>0.5</v>
      </c>
      <c r="AC33" s="2001">
        <f t="shared" si="136"/>
        <v>0.5</v>
      </c>
      <c r="AD33" s="2001">
        <f t="shared" si="136"/>
        <v>0.5</v>
      </c>
      <c r="AE33" s="2001">
        <f t="shared" si="136"/>
        <v>0.5</v>
      </c>
      <c r="AF33" s="2001">
        <f t="shared" si="136"/>
        <v>0.5</v>
      </c>
      <c r="AG33" s="1896"/>
      <c r="AH33" s="2481">
        <f t="shared" si="115"/>
        <v>3.5</v>
      </c>
      <c r="AI33" s="2482">
        <f t="shared" si="45"/>
        <v>5.8198833562742127</v>
      </c>
      <c r="AJ33" s="2483">
        <f t="shared" si="116"/>
        <v>2.3198833562742127</v>
      </c>
      <c r="AK33" s="1896"/>
      <c r="AL33" s="2005">
        <f t="shared" ref="AL33:AR33" si="137">$J$33</f>
        <v>0.5</v>
      </c>
      <c r="AM33" s="2005">
        <f t="shared" si="137"/>
        <v>0.5</v>
      </c>
      <c r="AN33" s="2005">
        <f t="shared" si="137"/>
        <v>0.5</v>
      </c>
      <c r="AO33" s="2005">
        <f t="shared" si="137"/>
        <v>0.5</v>
      </c>
      <c r="AP33" s="2005">
        <f t="shared" si="137"/>
        <v>0.5</v>
      </c>
      <c r="AQ33" s="2005">
        <f t="shared" si="137"/>
        <v>0.5</v>
      </c>
      <c r="AR33" s="2005">
        <f t="shared" si="137"/>
        <v>0.5</v>
      </c>
      <c r="AS33" s="2295"/>
      <c r="AT33" s="2481">
        <f t="shared" si="57"/>
        <v>3.5</v>
      </c>
      <c r="AU33" s="2482">
        <f t="shared" si="47"/>
        <v>5.6984461693462567</v>
      </c>
      <c r="AV33" s="2483">
        <f t="shared" si="58"/>
        <v>2.1984461693462567</v>
      </c>
      <c r="AW33" s="2295"/>
      <c r="AX33" s="2005">
        <f t="shared" ref="AX33:AY33" si="138">$J$33</f>
        <v>0.5</v>
      </c>
      <c r="AY33" s="2005">
        <f t="shared" si="138"/>
        <v>0.5</v>
      </c>
      <c r="AZ33" s="2005"/>
      <c r="BA33" s="2005"/>
      <c r="BB33" s="2005"/>
      <c r="BC33" s="2005"/>
      <c r="BD33" s="2005"/>
      <c r="BE33" s="2295"/>
      <c r="BF33" s="2481">
        <f t="shared" si="60"/>
        <v>1</v>
      </c>
      <c r="BG33" s="2482">
        <f t="shared" si="49"/>
        <v>1.7039775226688991</v>
      </c>
      <c r="BH33" s="2483">
        <f t="shared" si="61"/>
        <v>0.70397752266889912</v>
      </c>
      <c r="BI33" s="2809"/>
      <c r="BJ33" s="2001"/>
      <c r="BK33" s="2005"/>
      <c r="BL33" s="2809"/>
      <c r="BM33" s="2481">
        <f t="shared" si="119"/>
        <v>0</v>
      </c>
      <c r="BN33" s="2482" t="e">
        <f t="shared" si="50"/>
        <v>#DIV/0!</v>
      </c>
      <c r="BO33" s="2483" t="e">
        <f t="shared" si="86"/>
        <v>#DIV/0!</v>
      </c>
      <c r="BQ33" s="1898">
        <v>0</v>
      </c>
      <c r="BR33" s="1899">
        <f t="shared" si="120"/>
        <v>0</v>
      </c>
      <c r="BS33" s="1900"/>
      <c r="BT33" s="2388">
        <f t="shared" si="121"/>
        <v>11.5</v>
      </c>
      <c r="BU33" s="2389">
        <f t="shared" si="126"/>
        <v>0.76666666666666672</v>
      </c>
      <c r="BV33" s="2010"/>
      <c r="BW33" s="2808"/>
      <c r="BY33" s="2808"/>
      <c r="BZ33" s="2480"/>
      <c r="CA33" s="1962"/>
      <c r="CB33" s="1960"/>
      <c r="CC33" s="1906"/>
      <c r="CD33" s="1906"/>
      <c r="CE33" s="1906"/>
      <c r="CF33" s="1906"/>
      <c r="CG33" s="1906"/>
      <c r="CH33" s="2386"/>
    </row>
    <row r="34" spans="1:86" s="1726" customFormat="1" x14ac:dyDescent="0.2">
      <c r="B34" s="1963">
        <v>32</v>
      </c>
      <c r="C34" s="1963" t="s">
        <v>259</v>
      </c>
      <c r="D34" s="2578"/>
      <c r="E34" s="1728">
        <v>15</v>
      </c>
      <c r="F34" s="1728">
        <v>5</v>
      </c>
      <c r="G34" s="1728">
        <v>3.3333333333333335</v>
      </c>
      <c r="H34" s="1728">
        <v>2.5</v>
      </c>
      <c r="I34" s="1728">
        <v>2</v>
      </c>
      <c r="J34" s="1728">
        <f t="shared" si="33"/>
        <v>0.5</v>
      </c>
      <c r="K34" s="1729">
        <f t="shared" si="34"/>
        <v>4.2570702842303926E-3</v>
      </c>
      <c r="L34" s="1931"/>
      <c r="M34" s="1924"/>
      <c r="N34" s="1728">
        <f t="shared" ref="N34:T34" si="139">$J$34</f>
        <v>0.5</v>
      </c>
      <c r="O34" s="1728">
        <f t="shared" si="139"/>
        <v>0.5</v>
      </c>
      <c r="P34" s="1728">
        <f t="shared" si="139"/>
        <v>0.5</v>
      </c>
      <c r="Q34" s="1728">
        <f t="shared" si="139"/>
        <v>0.5</v>
      </c>
      <c r="R34" s="1728">
        <f t="shared" si="139"/>
        <v>0.5</v>
      </c>
      <c r="S34" s="1728">
        <f t="shared" si="139"/>
        <v>0.5</v>
      </c>
      <c r="T34" s="1728">
        <f t="shared" si="139"/>
        <v>0.5</v>
      </c>
      <c r="U34" s="2811"/>
      <c r="V34" s="2016">
        <f t="shared" si="112"/>
        <v>3.5</v>
      </c>
      <c r="W34" s="2017">
        <f t="shared" si="69"/>
        <v>6.5912006357224948</v>
      </c>
      <c r="X34" s="2018">
        <f t="shared" si="113"/>
        <v>3.0912006357224948</v>
      </c>
      <c r="Y34" s="1881"/>
      <c r="Z34" s="1728">
        <f t="shared" ref="Z34:AF34" si="140">$J$34</f>
        <v>0.5</v>
      </c>
      <c r="AA34" s="1728">
        <f t="shared" si="140"/>
        <v>0.5</v>
      </c>
      <c r="AB34" s="1728">
        <f t="shared" si="140"/>
        <v>0.5</v>
      </c>
      <c r="AC34" s="1728">
        <f t="shared" si="140"/>
        <v>0.5</v>
      </c>
      <c r="AD34" s="1728">
        <f t="shared" si="140"/>
        <v>0.5</v>
      </c>
      <c r="AE34" s="1728">
        <f t="shared" si="140"/>
        <v>0.5</v>
      </c>
      <c r="AF34" s="1728">
        <f t="shared" si="140"/>
        <v>0.5</v>
      </c>
      <c r="AG34" s="1881"/>
      <c r="AH34" s="2016">
        <f t="shared" si="115"/>
        <v>3.5</v>
      </c>
      <c r="AI34" s="2017">
        <f t="shared" si="45"/>
        <v>5.8198833562742127</v>
      </c>
      <c r="AJ34" s="2018">
        <f t="shared" si="116"/>
        <v>2.3198833562742127</v>
      </c>
      <c r="AK34" s="1881"/>
      <c r="AL34" s="2268">
        <f t="shared" ref="AL34:AR34" si="141">$J$34</f>
        <v>0.5</v>
      </c>
      <c r="AM34" s="2268">
        <f t="shared" si="141"/>
        <v>0.5</v>
      </c>
      <c r="AN34" s="2268">
        <f t="shared" si="141"/>
        <v>0.5</v>
      </c>
      <c r="AO34" s="2268">
        <f t="shared" si="141"/>
        <v>0.5</v>
      </c>
      <c r="AP34" s="2268">
        <f t="shared" si="141"/>
        <v>0.5</v>
      </c>
      <c r="AQ34" s="2268">
        <f t="shared" si="141"/>
        <v>0.5</v>
      </c>
      <c r="AR34" s="2268">
        <f t="shared" si="141"/>
        <v>0.5</v>
      </c>
      <c r="AS34" s="2293"/>
      <c r="AT34" s="2016">
        <f t="shared" si="57"/>
        <v>3.5</v>
      </c>
      <c r="AU34" s="2017">
        <f t="shared" si="47"/>
        <v>5.6984461693462567</v>
      </c>
      <c r="AV34" s="2018">
        <f t="shared" si="58"/>
        <v>2.1984461693462567</v>
      </c>
      <c r="AW34" s="2293"/>
      <c r="AX34" s="2268">
        <f t="shared" ref="AX34:AY34" si="142">$J$34</f>
        <v>0.5</v>
      </c>
      <c r="AY34" s="2268">
        <f t="shared" si="142"/>
        <v>0.5</v>
      </c>
      <c r="AZ34" s="2268"/>
      <c r="BA34" s="2268"/>
      <c r="BB34" s="2268"/>
      <c r="BC34" s="2268"/>
      <c r="BD34" s="2268"/>
      <c r="BE34" s="2293"/>
      <c r="BF34" s="2016">
        <f t="shared" si="60"/>
        <v>1</v>
      </c>
      <c r="BG34" s="2017">
        <f t="shared" si="49"/>
        <v>1.7039775226688991</v>
      </c>
      <c r="BH34" s="2018">
        <f t="shared" si="61"/>
        <v>0.70397752266889912</v>
      </c>
      <c r="BI34" s="2811"/>
      <c r="BJ34" s="1728"/>
      <c r="BK34" s="2268"/>
      <c r="BL34" s="2811"/>
      <c r="BM34" s="2016">
        <f t="shared" si="119"/>
        <v>0</v>
      </c>
      <c r="BN34" s="2017" t="e">
        <f t="shared" si="50"/>
        <v>#DIV/0!</v>
      </c>
      <c r="BO34" s="2018" t="e">
        <f t="shared" si="86"/>
        <v>#DIV/0!</v>
      </c>
      <c r="BQ34" s="1732">
        <v>0</v>
      </c>
      <c r="BR34" s="1882">
        <f t="shared" si="120"/>
        <v>0</v>
      </c>
      <c r="BS34" s="1740"/>
      <c r="BT34" s="2019">
        <f t="shared" si="121"/>
        <v>11.5</v>
      </c>
      <c r="BU34" s="2020">
        <f t="shared" si="126"/>
        <v>0.76666666666666672</v>
      </c>
      <c r="BV34" s="1997"/>
      <c r="BW34" s="2810"/>
      <c r="BY34" s="2810"/>
      <c r="BZ34" s="2015"/>
      <c r="CA34" s="1830"/>
      <c r="CB34" s="1817"/>
      <c r="CC34" s="1810"/>
      <c r="CD34" s="1810"/>
      <c r="CE34" s="1810"/>
      <c r="CF34" s="1810"/>
      <c r="CG34" s="1810"/>
      <c r="CH34" s="1986"/>
    </row>
    <row r="35" spans="1:86" s="1885" customFormat="1" x14ac:dyDescent="0.2">
      <c r="B35" s="2000">
        <v>33</v>
      </c>
      <c r="C35" s="2000" t="s">
        <v>260</v>
      </c>
      <c r="D35" s="2579"/>
      <c r="E35" s="2001">
        <v>25</v>
      </c>
      <c r="F35" s="2001">
        <v>5</v>
      </c>
      <c r="G35" s="2001">
        <v>3.3333333333333335</v>
      </c>
      <c r="H35" s="2001">
        <v>2.5</v>
      </c>
      <c r="I35" s="2001">
        <v>2</v>
      </c>
      <c r="J35" s="2001">
        <f t="shared" si="33"/>
        <v>0.83333333333333337</v>
      </c>
      <c r="K35" s="2584">
        <f t="shared" si="34"/>
        <v>7.095117140383988E-3</v>
      </c>
      <c r="L35" s="2003"/>
      <c r="M35" s="1950"/>
      <c r="N35" s="2001">
        <f t="shared" ref="N35:T35" si="143">$J$35</f>
        <v>0.83333333333333337</v>
      </c>
      <c r="O35" s="2001">
        <f t="shared" si="143"/>
        <v>0.83333333333333337</v>
      </c>
      <c r="P35" s="2001">
        <f t="shared" si="143"/>
        <v>0.83333333333333337</v>
      </c>
      <c r="Q35" s="2001">
        <f t="shared" si="143"/>
        <v>0.83333333333333337</v>
      </c>
      <c r="R35" s="2001">
        <f t="shared" si="143"/>
        <v>0.83333333333333337</v>
      </c>
      <c r="S35" s="2001">
        <f t="shared" si="143"/>
        <v>0.83333333333333337</v>
      </c>
      <c r="T35" s="2001">
        <f t="shared" si="143"/>
        <v>0.83333333333333337</v>
      </c>
      <c r="U35" s="2809"/>
      <c r="V35" s="2481">
        <f t="shared" si="112"/>
        <v>5.833333333333333</v>
      </c>
      <c r="W35" s="2482">
        <f t="shared" si="69"/>
        <v>10.985334392870826</v>
      </c>
      <c r="X35" s="2483">
        <f t="shared" si="113"/>
        <v>5.1520010595374925</v>
      </c>
      <c r="Y35" s="1896"/>
      <c r="Z35" s="2001">
        <f t="shared" ref="Z35:AF35" si="144">$J$35</f>
        <v>0.83333333333333337</v>
      </c>
      <c r="AA35" s="2001">
        <f t="shared" si="144"/>
        <v>0.83333333333333337</v>
      </c>
      <c r="AB35" s="2001">
        <f t="shared" si="144"/>
        <v>0.83333333333333337</v>
      </c>
      <c r="AC35" s="2001">
        <f t="shared" si="144"/>
        <v>0.83333333333333337</v>
      </c>
      <c r="AD35" s="2001">
        <f t="shared" si="144"/>
        <v>0.83333333333333337</v>
      </c>
      <c r="AE35" s="2001">
        <f t="shared" si="144"/>
        <v>0.83333333333333337</v>
      </c>
      <c r="AF35" s="2001">
        <f t="shared" si="144"/>
        <v>0.83333333333333337</v>
      </c>
      <c r="AG35" s="1896"/>
      <c r="AH35" s="2481">
        <f t="shared" si="115"/>
        <v>5.833333333333333</v>
      </c>
      <c r="AI35" s="2482">
        <f t="shared" si="45"/>
        <v>9.6998055937903551</v>
      </c>
      <c r="AJ35" s="2483">
        <f t="shared" si="116"/>
        <v>3.8664722604570221</v>
      </c>
      <c r="AK35" s="1896"/>
      <c r="AL35" s="2005">
        <f t="shared" ref="AL35:AR35" si="145">$J$35</f>
        <v>0.83333333333333337</v>
      </c>
      <c r="AM35" s="2005">
        <f t="shared" si="145"/>
        <v>0.83333333333333337</v>
      </c>
      <c r="AN35" s="2005">
        <f t="shared" si="145"/>
        <v>0.83333333333333337</v>
      </c>
      <c r="AO35" s="2005">
        <f t="shared" si="145"/>
        <v>0.83333333333333337</v>
      </c>
      <c r="AP35" s="2005">
        <f t="shared" si="145"/>
        <v>0.83333333333333337</v>
      </c>
      <c r="AQ35" s="2005">
        <f t="shared" si="145"/>
        <v>0.83333333333333337</v>
      </c>
      <c r="AR35" s="2005">
        <f t="shared" si="145"/>
        <v>0.83333333333333337</v>
      </c>
      <c r="AS35" s="2295"/>
      <c r="AT35" s="2481">
        <f t="shared" si="57"/>
        <v>5.833333333333333</v>
      </c>
      <c r="AU35" s="2482">
        <f t="shared" si="47"/>
        <v>9.4974102822437612</v>
      </c>
      <c r="AV35" s="2483">
        <f t="shared" si="58"/>
        <v>3.6640769489104281</v>
      </c>
      <c r="AW35" s="2295"/>
      <c r="AX35" s="2005">
        <f t="shared" ref="AX35:AY35" si="146">$J$35</f>
        <v>0.83333333333333337</v>
      </c>
      <c r="AY35" s="2005">
        <f t="shared" si="146"/>
        <v>0.83333333333333337</v>
      </c>
      <c r="AZ35" s="2005"/>
      <c r="BA35" s="2005"/>
      <c r="BB35" s="2005"/>
      <c r="BC35" s="2005"/>
      <c r="BD35" s="2005"/>
      <c r="BE35" s="2295"/>
      <c r="BF35" s="2481">
        <f t="shared" si="60"/>
        <v>1.6666666666666667</v>
      </c>
      <c r="BG35" s="2482">
        <f t="shared" si="49"/>
        <v>2.8399625377814988</v>
      </c>
      <c r="BH35" s="2483">
        <f t="shared" si="61"/>
        <v>1.173295871114832</v>
      </c>
      <c r="BI35" s="2809"/>
      <c r="BJ35" s="2001"/>
      <c r="BK35" s="2005"/>
      <c r="BL35" s="2809"/>
      <c r="BM35" s="2481">
        <f t="shared" si="119"/>
        <v>0</v>
      </c>
      <c r="BN35" s="2482" t="e">
        <f t="shared" si="50"/>
        <v>#DIV/0!</v>
      </c>
      <c r="BO35" s="2483" t="e">
        <f t="shared" si="86"/>
        <v>#DIV/0!</v>
      </c>
      <c r="BQ35" s="1898">
        <v>0</v>
      </c>
      <c r="BR35" s="1899">
        <f t="shared" si="120"/>
        <v>0</v>
      </c>
      <c r="BS35" s="1900"/>
      <c r="BT35" s="2388">
        <f t="shared" si="121"/>
        <v>19.166666666666668</v>
      </c>
      <c r="BU35" s="2389">
        <f t="shared" si="126"/>
        <v>0.76666666666666672</v>
      </c>
      <c r="BV35" s="2010"/>
      <c r="BW35" s="2808"/>
      <c r="BY35" s="2808"/>
      <c r="BZ35" s="2480"/>
      <c r="CA35" s="1962"/>
      <c r="CB35" s="1960"/>
      <c r="CC35" s="1906"/>
      <c r="CD35" s="1906"/>
      <c r="CE35" s="1906"/>
      <c r="CF35" s="1906"/>
      <c r="CG35" s="1906"/>
      <c r="CH35" s="2386"/>
    </row>
    <row r="36" spans="1:86" s="1726" customFormat="1" x14ac:dyDescent="0.2">
      <c r="B36" s="2508">
        <v>34</v>
      </c>
      <c r="C36" s="1963" t="s">
        <v>261</v>
      </c>
      <c r="D36" s="2578"/>
      <c r="E36" s="1728">
        <v>0</v>
      </c>
      <c r="F36" s="1728">
        <v>5</v>
      </c>
      <c r="G36" s="1728">
        <v>3.3333333333333335</v>
      </c>
      <c r="H36" s="1728">
        <v>2.5</v>
      </c>
      <c r="I36" s="1728">
        <v>2</v>
      </c>
      <c r="J36" s="1728">
        <f t="shared" si="33"/>
        <v>0</v>
      </c>
      <c r="K36" s="1729">
        <f t="shared" si="34"/>
        <v>0</v>
      </c>
      <c r="L36" s="1931"/>
      <c r="M36" s="1924"/>
      <c r="N36" s="1728">
        <f t="shared" ref="N36:T36" si="147">$J$36</f>
        <v>0</v>
      </c>
      <c r="O36" s="1728">
        <f t="shared" si="147"/>
        <v>0</v>
      </c>
      <c r="P36" s="1728">
        <f t="shared" si="147"/>
        <v>0</v>
      </c>
      <c r="Q36" s="1728">
        <f t="shared" si="147"/>
        <v>0</v>
      </c>
      <c r="R36" s="1728">
        <f t="shared" si="147"/>
        <v>0</v>
      </c>
      <c r="S36" s="1728">
        <f t="shared" si="147"/>
        <v>0</v>
      </c>
      <c r="T36" s="1728">
        <f t="shared" si="147"/>
        <v>0</v>
      </c>
      <c r="U36" s="2811"/>
      <c r="V36" s="2016">
        <f t="shared" si="82"/>
        <v>0</v>
      </c>
      <c r="W36" s="2017">
        <f t="shared" si="69"/>
        <v>0</v>
      </c>
      <c r="X36" s="2018">
        <f t="shared" si="52"/>
        <v>0</v>
      </c>
      <c r="Y36" s="1881"/>
      <c r="Z36" s="1728">
        <f t="shared" ref="Z36:AF36" si="148">$J$36</f>
        <v>0</v>
      </c>
      <c r="AA36" s="1728">
        <f t="shared" si="148"/>
        <v>0</v>
      </c>
      <c r="AB36" s="1728">
        <f t="shared" si="148"/>
        <v>0</v>
      </c>
      <c r="AC36" s="1728">
        <f t="shared" si="148"/>
        <v>0</v>
      </c>
      <c r="AD36" s="1728">
        <f t="shared" si="148"/>
        <v>0</v>
      </c>
      <c r="AE36" s="1728">
        <f t="shared" si="148"/>
        <v>0</v>
      </c>
      <c r="AF36" s="1728">
        <f t="shared" si="148"/>
        <v>0</v>
      </c>
      <c r="AG36" s="1881"/>
      <c r="AH36" s="2016">
        <f t="shared" si="54"/>
        <v>0</v>
      </c>
      <c r="AI36" s="2017">
        <f t="shared" si="45"/>
        <v>0</v>
      </c>
      <c r="AJ36" s="2018">
        <f t="shared" si="55"/>
        <v>0</v>
      </c>
      <c r="AK36" s="1881"/>
      <c r="AL36" s="2268">
        <f t="shared" ref="AL36:AR36" si="149">$J$36</f>
        <v>0</v>
      </c>
      <c r="AM36" s="2268">
        <f t="shared" si="149"/>
        <v>0</v>
      </c>
      <c r="AN36" s="2268">
        <f t="shared" si="149"/>
        <v>0</v>
      </c>
      <c r="AO36" s="2268">
        <f t="shared" si="149"/>
        <v>0</v>
      </c>
      <c r="AP36" s="2268">
        <f t="shared" si="149"/>
        <v>0</v>
      </c>
      <c r="AQ36" s="2268">
        <f t="shared" si="149"/>
        <v>0</v>
      </c>
      <c r="AR36" s="2268">
        <f t="shared" si="149"/>
        <v>0</v>
      </c>
      <c r="AS36" s="2293"/>
      <c r="AT36" s="2016">
        <f t="shared" si="57"/>
        <v>0</v>
      </c>
      <c r="AU36" s="2017">
        <f t="shared" si="47"/>
        <v>0</v>
      </c>
      <c r="AV36" s="2018">
        <f t="shared" si="58"/>
        <v>0</v>
      </c>
      <c r="AW36" s="2293"/>
      <c r="AX36" s="2268">
        <f t="shared" ref="AX36:AY36" si="150">$J$36</f>
        <v>0</v>
      </c>
      <c r="AY36" s="2268">
        <f t="shared" si="150"/>
        <v>0</v>
      </c>
      <c r="AZ36" s="2268"/>
      <c r="BA36" s="2268"/>
      <c r="BB36" s="2268"/>
      <c r="BC36" s="2268"/>
      <c r="BD36" s="2268"/>
      <c r="BE36" s="2293"/>
      <c r="BF36" s="2016">
        <f t="shared" si="60"/>
        <v>0</v>
      </c>
      <c r="BG36" s="2017">
        <f t="shared" si="49"/>
        <v>0</v>
      </c>
      <c r="BH36" s="2018">
        <f t="shared" si="61"/>
        <v>0</v>
      </c>
      <c r="BI36" s="2811"/>
      <c r="BJ36" s="1728"/>
      <c r="BK36" s="2268"/>
      <c r="BL36" s="2811"/>
      <c r="BM36" s="2016">
        <f>SUM(BJ36:BK36)</f>
        <v>0</v>
      </c>
      <c r="BN36" s="2017" t="e">
        <f t="shared" si="50"/>
        <v>#DIV/0!</v>
      </c>
      <c r="BO36" s="2018" t="e">
        <f t="shared" si="86"/>
        <v>#DIV/0!</v>
      </c>
      <c r="BQ36" s="1732">
        <v>0</v>
      </c>
      <c r="BR36" s="1882" t="e">
        <f>BQ36/E36</f>
        <v>#DIV/0!</v>
      </c>
      <c r="BS36" s="1740"/>
      <c r="BT36" s="2019">
        <f>SUM(N36:T36)+SUM(Z36:AF36)+SUM(AL36:AR36)+SUM(AX36:BD36)+SUM(BJ36:BK36)</f>
        <v>0</v>
      </c>
      <c r="BU36" s="2020" t="e">
        <f>BT36/E36</f>
        <v>#DIV/0!</v>
      </c>
      <c r="BV36" s="1997"/>
      <c r="BW36" s="2810"/>
      <c r="BY36" s="2810"/>
      <c r="BZ36" s="2015"/>
      <c r="CA36" s="1830"/>
      <c r="CB36" s="1817"/>
      <c r="CC36" s="1810"/>
      <c r="CD36" s="1810"/>
      <c r="CE36" s="1810"/>
      <c r="CF36" s="1810"/>
      <c r="CG36" s="1810"/>
      <c r="CH36" s="1986"/>
    </row>
    <row r="37" spans="1:86" s="1885" customFormat="1" x14ac:dyDescent="0.2">
      <c r="B37" s="2000">
        <v>35</v>
      </c>
      <c r="C37" s="2000" t="s">
        <v>262</v>
      </c>
      <c r="D37" s="2579"/>
      <c r="E37" s="2001">
        <v>50</v>
      </c>
      <c r="F37" s="2001">
        <v>0.5</v>
      </c>
      <c r="G37" s="2001">
        <v>0.33333333333333331</v>
      </c>
      <c r="H37" s="2001">
        <v>0.25</v>
      </c>
      <c r="I37" s="2001">
        <v>0.2</v>
      </c>
      <c r="J37" s="2001">
        <f t="shared" si="33"/>
        <v>1.6666666666666667</v>
      </c>
      <c r="K37" s="2584">
        <f t="shared" si="34"/>
        <v>1.4190234280767976E-2</v>
      </c>
      <c r="L37" s="2003"/>
      <c r="M37" s="1950"/>
      <c r="N37" s="2001">
        <f t="shared" ref="N37:T37" si="151">$J$37</f>
        <v>1.6666666666666667</v>
      </c>
      <c r="O37" s="2001">
        <f t="shared" si="151"/>
        <v>1.6666666666666667</v>
      </c>
      <c r="P37" s="2001">
        <f t="shared" si="151"/>
        <v>1.6666666666666667</v>
      </c>
      <c r="Q37" s="2001">
        <f t="shared" si="151"/>
        <v>1.6666666666666667</v>
      </c>
      <c r="R37" s="2001">
        <f t="shared" si="151"/>
        <v>1.6666666666666667</v>
      </c>
      <c r="S37" s="2001">
        <f t="shared" si="151"/>
        <v>1.6666666666666667</v>
      </c>
      <c r="T37" s="2001">
        <f t="shared" si="151"/>
        <v>1.6666666666666667</v>
      </c>
      <c r="U37" s="2809"/>
      <c r="V37" s="2481">
        <f t="shared" si="82"/>
        <v>11.666666666666666</v>
      </c>
      <c r="W37" s="2482">
        <f t="shared" si="69"/>
        <v>21.970668785741651</v>
      </c>
      <c r="X37" s="2483">
        <f t="shared" si="52"/>
        <v>10.304002119074985</v>
      </c>
      <c r="Y37" s="1896"/>
      <c r="Z37" s="2001">
        <f t="shared" ref="Z37:AF37" si="152">$J$37</f>
        <v>1.6666666666666667</v>
      </c>
      <c r="AA37" s="2001">
        <f t="shared" si="152"/>
        <v>1.6666666666666667</v>
      </c>
      <c r="AB37" s="2001">
        <f t="shared" si="152"/>
        <v>1.6666666666666667</v>
      </c>
      <c r="AC37" s="2001">
        <f t="shared" si="152"/>
        <v>1.6666666666666667</v>
      </c>
      <c r="AD37" s="2001">
        <f t="shared" si="152"/>
        <v>1.6666666666666667</v>
      </c>
      <c r="AE37" s="2001">
        <f t="shared" si="152"/>
        <v>1.6666666666666667</v>
      </c>
      <c r="AF37" s="2001">
        <f t="shared" si="152"/>
        <v>1.6666666666666667</v>
      </c>
      <c r="AG37" s="1896"/>
      <c r="AH37" s="2481">
        <f t="shared" si="54"/>
        <v>11.666666666666666</v>
      </c>
      <c r="AI37" s="2482">
        <f t="shared" si="45"/>
        <v>19.39961118758071</v>
      </c>
      <c r="AJ37" s="2483">
        <f t="shared" si="55"/>
        <v>7.7329445209140442</v>
      </c>
      <c r="AK37" s="1896"/>
      <c r="AL37" s="2005">
        <f t="shared" ref="AL37:AR37" si="153">$J$37</f>
        <v>1.6666666666666667</v>
      </c>
      <c r="AM37" s="2005">
        <f t="shared" si="153"/>
        <v>1.6666666666666667</v>
      </c>
      <c r="AN37" s="2005">
        <f t="shared" si="153"/>
        <v>1.6666666666666667</v>
      </c>
      <c r="AO37" s="2005">
        <f t="shared" si="153"/>
        <v>1.6666666666666667</v>
      </c>
      <c r="AP37" s="2005">
        <f t="shared" si="153"/>
        <v>1.6666666666666667</v>
      </c>
      <c r="AQ37" s="2005">
        <f t="shared" si="153"/>
        <v>1.6666666666666667</v>
      </c>
      <c r="AR37" s="2005">
        <f t="shared" si="153"/>
        <v>1.6666666666666667</v>
      </c>
      <c r="AS37" s="2295"/>
      <c r="AT37" s="2481">
        <f t="shared" si="57"/>
        <v>11.666666666666666</v>
      </c>
      <c r="AU37" s="2482">
        <f t="shared" si="47"/>
        <v>18.994820564487522</v>
      </c>
      <c r="AV37" s="2483">
        <f t="shared" si="58"/>
        <v>7.3281538978208562</v>
      </c>
      <c r="AW37" s="2295"/>
      <c r="AX37" s="2005">
        <f t="shared" ref="AX37:AY37" si="154">$J$37</f>
        <v>1.6666666666666667</v>
      </c>
      <c r="AY37" s="2005">
        <f t="shared" si="154"/>
        <v>1.6666666666666667</v>
      </c>
      <c r="AZ37" s="2005"/>
      <c r="BA37" s="2005"/>
      <c r="BB37" s="2005"/>
      <c r="BC37" s="2005"/>
      <c r="BD37" s="2005"/>
      <c r="BE37" s="2295"/>
      <c r="BF37" s="2481">
        <f t="shared" si="60"/>
        <v>3.3333333333333335</v>
      </c>
      <c r="BG37" s="2482">
        <f t="shared" si="49"/>
        <v>5.6799250755629975</v>
      </c>
      <c r="BH37" s="2483">
        <f t="shared" si="61"/>
        <v>2.346591742229664</v>
      </c>
      <c r="BI37" s="2809"/>
      <c r="BJ37" s="2001"/>
      <c r="BK37" s="2005"/>
      <c r="BL37" s="2809"/>
      <c r="BM37" s="2481">
        <f>SUM(BJ37:BK37)</f>
        <v>0</v>
      </c>
      <c r="BN37" s="2482" t="e">
        <f t="shared" si="50"/>
        <v>#DIV/0!</v>
      </c>
      <c r="BO37" s="2483" t="e">
        <f t="shared" si="86"/>
        <v>#DIV/0!</v>
      </c>
      <c r="BQ37" s="1898">
        <v>0</v>
      </c>
      <c r="BR37" s="1899">
        <f>BQ37/E37</f>
        <v>0</v>
      </c>
      <c r="BS37" s="1900"/>
      <c r="BT37" s="2388">
        <f>SUM(N37:T37)+SUM(Z37:AF37)+SUM(AL37:AR37)+SUM(AX37:BD37)+SUM(BJ37:BK37)</f>
        <v>38.333333333333336</v>
      </c>
      <c r="BU37" s="2389">
        <f>BT37/E37</f>
        <v>0.76666666666666672</v>
      </c>
      <c r="BV37" s="2010"/>
      <c r="BW37" s="2808"/>
      <c r="BY37" s="2808"/>
      <c r="BZ37" s="2480"/>
      <c r="CA37" s="1962"/>
      <c r="CB37" s="1960"/>
      <c r="CC37" s="1906"/>
      <c r="CD37" s="1906"/>
      <c r="CE37" s="1906"/>
      <c r="CF37" s="1906"/>
      <c r="CG37" s="1906"/>
      <c r="CH37" s="2386"/>
    </row>
    <row r="38" spans="1:86" s="1726" customFormat="1" ht="17.25" thickBot="1" x14ac:dyDescent="0.25">
      <c r="B38" s="1963">
        <v>36</v>
      </c>
      <c r="C38" s="1963"/>
      <c r="D38" s="2578"/>
      <c r="E38" s="1728">
        <v>0</v>
      </c>
      <c r="F38" s="1728"/>
      <c r="G38" s="1728"/>
      <c r="H38" s="1728"/>
      <c r="I38" s="1728"/>
      <c r="J38" s="1728">
        <f t="shared" si="33"/>
        <v>0</v>
      </c>
      <c r="K38" s="1729">
        <f t="shared" si="34"/>
        <v>0</v>
      </c>
      <c r="L38" s="1931"/>
      <c r="M38" s="1924"/>
      <c r="N38" s="1728">
        <f t="shared" ref="N38:T38" si="155">$J$38</f>
        <v>0</v>
      </c>
      <c r="O38" s="1728">
        <f t="shared" si="155"/>
        <v>0</v>
      </c>
      <c r="P38" s="1728">
        <f t="shared" si="155"/>
        <v>0</v>
      </c>
      <c r="Q38" s="1728">
        <f t="shared" si="155"/>
        <v>0</v>
      </c>
      <c r="R38" s="1728">
        <f t="shared" si="155"/>
        <v>0</v>
      </c>
      <c r="S38" s="1728">
        <f t="shared" si="155"/>
        <v>0</v>
      </c>
      <c r="T38" s="1728">
        <f t="shared" si="155"/>
        <v>0</v>
      </c>
      <c r="U38" s="2811"/>
      <c r="V38" s="2799">
        <f>SUM(N38:T38)</f>
        <v>0</v>
      </c>
      <c r="W38" s="2800">
        <f t="shared" si="69"/>
        <v>0</v>
      </c>
      <c r="X38" s="2801">
        <f>W38-V38</f>
        <v>0</v>
      </c>
      <c r="Y38" s="1881"/>
      <c r="Z38" s="1728">
        <f t="shared" ref="Z38:AF38" si="156">$J$38</f>
        <v>0</v>
      </c>
      <c r="AA38" s="1728">
        <f t="shared" si="156"/>
        <v>0</v>
      </c>
      <c r="AB38" s="1728">
        <f t="shared" si="156"/>
        <v>0</v>
      </c>
      <c r="AC38" s="1728">
        <f t="shared" si="156"/>
        <v>0</v>
      </c>
      <c r="AD38" s="1728">
        <f t="shared" si="156"/>
        <v>0</v>
      </c>
      <c r="AE38" s="1728">
        <f t="shared" si="156"/>
        <v>0</v>
      </c>
      <c r="AF38" s="1728">
        <f t="shared" si="156"/>
        <v>0</v>
      </c>
      <c r="AG38" s="1881"/>
      <c r="AH38" s="2799">
        <f t="shared" si="54"/>
        <v>0</v>
      </c>
      <c r="AI38" s="2800">
        <f t="shared" si="45"/>
        <v>0</v>
      </c>
      <c r="AJ38" s="2801">
        <f t="shared" si="55"/>
        <v>0</v>
      </c>
      <c r="AK38" s="1881"/>
      <c r="AL38" s="2268">
        <f t="shared" ref="AL38:AR38" si="157">$J$38</f>
        <v>0</v>
      </c>
      <c r="AM38" s="2268">
        <f t="shared" si="157"/>
        <v>0</v>
      </c>
      <c r="AN38" s="2268">
        <f t="shared" si="157"/>
        <v>0</v>
      </c>
      <c r="AO38" s="2268">
        <f t="shared" si="157"/>
        <v>0</v>
      </c>
      <c r="AP38" s="2268">
        <f t="shared" si="157"/>
        <v>0</v>
      </c>
      <c r="AQ38" s="2268">
        <f t="shared" si="157"/>
        <v>0</v>
      </c>
      <c r="AR38" s="2268">
        <f t="shared" si="157"/>
        <v>0</v>
      </c>
      <c r="AS38" s="2293"/>
      <c r="AT38" s="2799">
        <f t="shared" si="57"/>
        <v>0</v>
      </c>
      <c r="AU38" s="2800">
        <f t="shared" si="47"/>
        <v>0</v>
      </c>
      <c r="AV38" s="2801">
        <f t="shared" si="58"/>
        <v>0</v>
      </c>
      <c r="AW38" s="2293"/>
      <c r="AX38" s="2268">
        <f t="shared" ref="AX38:AY38" si="158">$J$38</f>
        <v>0</v>
      </c>
      <c r="AY38" s="2268">
        <f t="shared" si="158"/>
        <v>0</v>
      </c>
      <c r="AZ38" s="2268"/>
      <c r="BA38" s="2268"/>
      <c r="BB38" s="2268"/>
      <c r="BC38" s="2268"/>
      <c r="BD38" s="2268"/>
      <c r="BE38" s="2293"/>
      <c r="BF38" s="2799">
        <f t="shared" si="60"/>
        <v>0</v>
      </c>
      <c r="BG38" s="2800">
        <f t="shared" si="49"/>
        <v>0</v>
      </c>
      <c r="BH38" s="2801">
        <f t="shared" si="61"/>
        <v>0</v>
      </c>
      <c r="BI38" s="2811"/>
      <c r="BJ38" s="1728"/>
      <c r="BK38" s="2268"/>
      <c r="BL38" s="2811"/>
      <c r="BM38" s="2799">
        <f>SUM(BJ38:BK38)</f>
        <v>0</v>
      </c>
      <c r="BN38" s="2800" t="e">
        <f t="shared" si="50"/>
        <v>#DIV/0!</v>
      </c>
      <c r="BO38" s="2801" t="e">
        <f t="shared" si="86"/>
        <v>#DIV/0!</v>
      </c>
      <c r="BQ38" s="1732">
        <v>0</v>
      </c>
      <c r="BR38" s="1882" t="e">
        <f>BQ38/E38</f>
        <v>#DIV/0!</v>
      </c>
      <c r="BS38" s="1740"/>
      <c r="BT38" s="2226">
        <f>SUM(N38:T38)+SUM(Z38:AF38)+SUM(AL38:AR38)+SUM(AX38:BD38)+SUM(BJ38:BK38)</f>
        <v>0</v>
      </c>
      <c r="BU38" s="2802" t="e">
        <f>BT38/E38</f>
        <v>#DIV/0!</v>
      </c>
      <c r="BV38" s="1997"/>
      <c r="BW38" s="2810"/>
      <c r="BY38" s="2810"/>
      <c r="BZ38" s="2015"/>
      <c r="CA38" s="1997"/>
      <c r="CB38" s="1861"/>
      <c r="CC38" s="1860"/>
      <c r="CD38" s="1860"/>
      <c r="CE38" s="1860"/>
      <c r="CF38" s="1860"/>
      <c r="CG38" s="1860"/>
      <c r="CH38" s="1998"/>
    </row>
    <row r="39" spans="1:86" s="1923" customFormat="1" ht="4.5" customHeight="1" thickBot="1" x14ac:dyDescent="0.25">
      <c r="B39" s="2525"/>
      <c r="C39" s="2526"/>
      <c r="D39" s="1800"/>
      <c r="E39" s="2527"/>
      <c r="F39" s="2527"/>
      <c r="G39" s="2527"/>
      <c r="H39" s="2527"/>
      <c r="I39" s="2527"/>
      <c r="J39" s="2527"/>
      <c r="K39" s="2528"/>
      <c r="L39" s="1866"/>
      <c r="M39" s="1867"/>
      <c r="N39" s="2026"/>
      <c r="O39" s="2026"/>
      <c r="P39" s="2026"/>
      <c r="Q39" s="2026"/>
      <c r="R39" s="2026"/>
      <c r="S39" s="2026"/>
      <c r="T39" s="2026"/>
      <c r="U39" s="2795"/>
      <c r="V39" s="2795"/>
      <c r="W39" s="2795"/>
      <c r="X39" s="2795"/>
      <c r="Y39" s="1915"/>
      <c r="Z39" s="2026"/>
      <c r="AA39" s="2026"/>
      <c r="AB39" s="2026"/>
      <c r="AC39" s="2026"/>
      <c r="AD39" s="2026"/>
      <c r="AE39" s="2026"/>
      <c r="AF39" s="2026"/>
      <c r="AG39" s="1915"/>
      <c r="AH39" s="2795"/>
      <c r="AI39" s="2795"/>
      <c r="AJ39" s="2795"/>
      <c r="AK39" s="1915"/>
      <c r="AL39" s="2026"/>
      <c r="AM39" s="2026"/>
      <c r="AN39" s="2026"/>
      <c r="AO39" s="2026"/>
      <c r="AP39" s="2026"/>
      <c r="AQ39" s="2026"/>
      <c r="AR39" s="2026"/>
      <c r="AS39" s="2795"/>
      <c r="AT39" s="2795"/>
      <c r="AU39" s="2795"/>
      <c r="AV39" s="2795"/>
      <c r="AW39" s="2795"/>
      <c r="AX39" s="2026"/>
      <c r="AY39" s="2026"/>
      <c r="AZ39" s="2026"/>
      <c r="BA39" s="2026"/>
      <c r="BB39" s="2026"/>
      <c r="BC39" s="2026"/>
      <c r="BD39" s="2026"/>
      <c r="BE39" s="2795"/>
      <c r="BF39" s="2795"/>
      <c r="BG39" s="2795"/>
      <c r="BH39" s="2795"/>
      <c r="BI39" s="2795"/>
      <c r="BJ39" s="2026"/>
      <c r="BK39" s="2026"/>
      <c r="BL39" s="2795"/>
      <c r="BM39" s="2795"/>
      <c r="BN39" s="2795"/>
      <c r="BO39" s="2795"/>
      <c r="BQ39" s="2795"/>
      <c r="BR39" s="1993"/>
      <c r="BS39" s="1994"/>
      <c r="BT39" s="2027"/>
      <c r="BU39" s="2028"/>
      <c r="BV39" s="1993"/>
      <c r="BW39" s="1916"/>
      <c r="BY39" s="1916"/>
      <c r="BZ39" s="2029"/>
      <c r="CA39" s="2030"/>
      <c r="CB39" s="1994"/>
      <c r="CH39" s="1995"/>
    </row>
    <row r="40" spans="1:86" s="1885" customFormat="1" ht="17.25" thickBot="1" x14ac:dyDescent="0.25">
      <c r="B40" s="2000"/>
      <c r="C40" s="2803">
        <f>E40*100/24</f>
        <v>14681.458333333334</v>
      </c>
      <c r="D40" s="1888"/>
      <c r="E40" s="2001">
        <f>SUM(E15:E38)</f>
        <v>3523.5499999999997</v>
      </c>
      <c r="F40" s="2001">
        <f t="shared" ref="F40:K40" si="159">SUM(F15:F38)</f>
        <v>279.13333333333333</v>
      </c>
      <c r="G40" s="2001">
        <f t="shared" si="159"/>
        <v>186.08888888888896</v>
      </c>
      <c r="H40" s="2001">
        <f t="shared" si="159"/>
        <v>139.56666666666666</v>
      </c>
      <c r="I40" s="2001">
        <f t="shared" si="159"/>
        <v>111.65333333333334</v>
      </c>
      <c r="J40" s="2001">
        <f>SUM(J15:J38)</f>
        <v>117.45166666666668</v>
      </c>
      <c r="K40" s="2584">
        <f t="shared" si="159"/>
        <v>0.99999999999999989</v>
      </c>
      <c r="L40" s="1949"/>
      <c r="M40" s="1950"/>
      <c r="N40" s="2001">
        <f t="shared" ref="N40" si="160">SUM(N15:N38)</f>
        <v>117.45166666666668</v>
      </c>
      <c r="O40" s="2001">
        <f t="shared" ref="O40:P40" si="161">SUM(O15:O38)</f>
        <v>117.45166666666668</v>
      </c>
      <c r="P40" s="2001">
        <f t="shared" si="161"/>
        <v>117.45166666666668</v>
      </c>
      <c r="Q40" s="2001">
        <f t="shared" ref="Q40:R40" si="162">SUM(Q15:Q38)</f>
        <v>117.45166666666668</v>
      </c>
      <c r="R40" s="2001">
        <f t="shared" si="162"/>
        <v>117.45166666666668</v>
      </c>
      <c r="S40" s="2001">
        <f t="shared" ref="S40" si="163">SUM(S15:S38)</f>
        <v>117.45166666666668</v>
      </c>
      <c r="T40" s="2001">
        <f t="shared" ref="T40" si="164">SUM(T15:T38)</f>
        <v>117.45166666666668</v>
      </c>
      <c r="U40" s="2790"/>
      <c r="V40" s="2804">
        <f>SUM(V15:V38)</f>
        <v>822.16166666666652</v>
      </c>
      <c r="W40" s="2805">
        <f>SUM(W15:W38)</f>
        <v>1548.2950000000003</v>
      </c>
      <c r="X40" s="2806">
        <f t="shared" ref="X40" si="165">SUM(X15:X38)</f>
        <v>726.13333333333355</v>
      </c>
      <c r="Y40" s="1896"/>
      <c r="Z40" s="2001">
        <f t="shared" ref="Z40:AA40" si="166">SUM(Z15:Z38)</f>
        <v>117.45166666666668</v>
      </c>
      <c r="AA40" s="2001">
        <f t="shared" si="166"/>
        <v>117.45166666666668</v>
      </c>
      <c r="AB40" s="2001">
        <f t="shared" ref="AB40:AC40" si="167">SUM(AB15:AB38)</f>
        <v>117.45166666666668</v>
      </c>
      <c r="AC40" s="2001">
        <f t="shared" si="167"/>
        <v>117.45166666666668</v>
      </c>
      <c r="AD40" s="2001">
        <f t="shared" ref="AD40:AE40" si="168">SUM(AD15:AD38)</f>
        <v>117.45166666666668</v>
      </c>
      <c r="AE40" s="2001">
        <f t="shared" si="168"/>
        <v>117.45166666666668</v>
      </c>
      <c r="AF40" s="2001">
        <f t="shared" ref="AF40" si="169">SUM(AF15:AF38)</f>
        <v>117.45166666666668</v>
      </c>
      <c r="AG40" s="1896"/>
      <c r="AH40" s="2804">
        <f>SUM(AH15:AH38)</f>
        <v>822.16166666666652</v>
      </c>
      <c r="AI40" s="2805">
        <f>SUM(AI15:AI38)</f>
        <v>1367.1099999999997</v>
      </c>
      <c r="AJ40" s="2806">
        <f>SUM(AJ15:AJ38)</f>
        <v>544.94833333333372</v>
      </c>
      <c r="AK40" s="1896"/>
      <c r="AL40" s="2005">
        <f t="shared" ref="AL40:AM40" si="170">SUM(AL15:AL38)</f>
        <v>117.45166666666668</v>
      </c>
      <c r="AM40" s="2005">
        <f t="shared" si="170"/>
        <v>117.45166666666668</v>
      </c>
      <c r="AN40" s="2005">
        <f t="shared" ref="AN40" si="171">SUM(AN15:AN38)</f>
        <v>117.45166666666668</v>
      </c>
      <c r="AO40" s="2005">
        <f t="shared" ref="AO40:AR40" si="172">SUM(AO15:AO38)</f>
        <v>117.45166666666668</v>
      </c>
      <c r="AP40" s="2005">
        <f t="shared" si="172"/>
        <v>117.45166666666668</v>
      </c>
      <c r="AQ40" s="2005">
        <f t="shared" si="172"/>
        <v>117.45166666666668</v>
      </c>
      <c r="AR40" s="2005">
        <f t="shared" si="172"/>
        <v>117.45166666666668</v>
      </c>
      <c r="AS40" s="2295"/>
      <c r="AT40" s="2804">
        <f>SUM(AT15:AT38)</f>
        <v>822.16166666666652</v>
      </c>
      <c r="AU40" s="2805">
        <f>SUM(AU15:AU38)</f>
        <v>1338.5840000000001</v>
      </c>
      <c r="AV40" s="2806">
        <f>SUM(AV15:AV38)</f>
        <v>516.42233333333343</v>
      </c>
      <c r="AW40" s="2295"/>
      <c r="AX40" s="2005">
        <f t="shared" ref="AX40:AY40" si="173">SUM(AX15:AX38)</f>
        <v>117.45166666666668</v>
      </c>
      <c r="AY40" s="2005">
        <f t="shared" si="173"/>
        <v>117.45166666666668</v>
      </c>
      <c r="AZ40" s="2005">
        <f t="shared" ref="AZ40:BD40" si="174">SUM(AZ15:AZ38)</f>
        <v>0</v>
      </c>
      <c r="BA40" s="2005">
        <f t="shared" si="174"/>
        <v>0</v>
      </c>
      <c r="BB40" s="2005">
        <f t="shared" si="174"/>
        <v>0</v>
      </c>
      <c r="BC40" s="2005">
        <f t="shared" si="174"/>
        <v>0</v>
      </c>
      <c r="BD40" s="2005">
        <f t="shared" si="174"/>
        <v>0</v>
      </c>
      <c r="BE40" s="2295"/>
      <c r="BF40" s="2804">
        <f>SUM(BF15:BF38)</f>
        <v>234.90333333333336</v>
      </c>
      <c r="BG40" s="2805">
        <f>SUM(BG15:BG38)</f>
        <v>400.27</v>
      </c>
      <c r="BH40" s="2806">
        <f>SUM(BH15:BH38)</f>
        <v>165.3666666666667</v>
      </c>
      <c r="BI40" s="2790"/>
      <c r="BJ40" s="2005">
        <f t="shared" ref="BJ40:BK40" si="175">SUM(BJ15:BJ38)</f>
        <v>0</v>
      </c>
      <c r="BK40" s="2005">
        <f t="shared" si="175"/>
        <v>0</v>
      </c>
      <c r="BL40" s="2790"/>
      <c r="BM40" s="2804">
        <f>SUM(BM15:BM38)</f>
        <v>0</v>
      </c>
      <c r="BN40" s="2805" t="e">
        <f>SUM(BN15:BN38)</f>
        <v>#DIV/0!</v>
      </c>
      <c r="BO40" s="2806" t="e">
        <f>SUM(BO15:BO38)</f>
        <v>#DIV/0!</v>
      </c>
      <c r="BQ40" s="2397">
        <f>SUM(BQ15:BQ38)</f>
        <v>0</v>
      </c>
      <c r="BR40" s="2398">
        <f>BQ40/E40</f>
        <v>0</v>
      </c>
      <c r="BS40" s="1900"/>
      <c r="BT40" s="2397">
        <f>SUM(BT15:BT38)</f>
        <v>2701.3883333333342</v>
      </c>
      <c r="BU40" s="2398">
        <f>BT40/E40</f>
        <v>0.76666666666666694</v>
      </c>
      <c r="BV40" s="2010"/>
      <c r="BW40" s="2789"/>
      <c r="BY40" s="2789"/>
      <c r="BZ40" s="2839"/>
      <c r="CC40" s="1946"/>
      <c r="CD40" s="1946"/>
      <c r="CE40" s="1946"/>
      <c r="CF40" s="1946"/>
      <c r="CG40" s="1946"/>
      <c r="CH40" s="2012"/>
    </row>
    <row r="41" spans="1:86" s="1947" customFormat="1" ht="4.5" customHeight="1" thickBot="1" x14ac:dyDescent="0.25">
      <c r="B41" s="2634"/>
      <c r="C41" s="2635"/>
      <c r="D41" s="1906"/>
      <c r="E41" s="2392"/>
      <c r="F41" s="2392"/>
      <c r="G41" s="2392"/>
      <c r="H41" s="2392"/>
      <c r="I41" s="2392"/>
      <c r="J41" s="2392"/>
      <c r="K41" s="2636"/>
      <c r="L41" s="1949"/>
      <c r="M41" s="1950"/>
      <c r="N41" s="2392"/>
      <c r="O41" s="2392"/>
      <c r="P41" s="2392"/>
      <c r="Q41" s="2392"/>
      <c r="R41" s="2392"/>
      <c r="S41" s="2392"/>
      <c r="T41" s="2392"/>
      <c r="U41" s="1951"/>
      <c r="V41" s="1951"/>
      <c r="W41" s="1951"/>
      <c r="X41" s="1951"/>
      <c r="Y41" s="1956"/>
      <c r="Z41" s="2392"/>
      <c r="AA41" s="2392"/>
      <c r="AB41" s="2392"/>
      <c r="AC41" s="2392"/>
      <c r="AD41" s="2392"/>
      <c r="AE41" s="2392"/>
      <c r="AF41" s="2392"/>
      <c r="AG41" s="1956"/>
      <c r="AH41" s="1951"/>
      <c r="AI41" s="1951"/>
      <c r="AJ41" s="1951"/>
      <c r="AK41" s="1956"/>
      <c r="AL41" s="2392"/>
      <c r="AM41" s="2392"/>
      <c r="AN41" s="2392"/>
      <c r="AO41" s="2392"/>
      <c r="AP41" s="2392"/>
      <c r="AQ41" s="2392"/>
      <c r="AR41" s="2392"/>
      <c r="AS41" s="1951"/>
      <c r="AT41" s="1951"/>
      <c r="AU41" s="1951"/>
      <c r="AV41" s="1951"/>
      <c r="AW41" s="1951"/>
      <c r="AX41" s="2392"/>
      <c r="AY41" s="2392"/>
      <c r="AZ41" s="2392"/>
      <c r="BA41" s="2392"/>
      <c r="BB41" s="2392"/>
      <c r="BC41" s="2392"/>
      <c r="BD41" s="2392"/>
      <c r="BE41" s="1951"/>
      <c r="BF41" s="1951"/>
      <c r="BG41" s="1951"/>
      <c r="BH41" s="1951"/>
      <c r="BI41" s="1951"/>
      <c r="BJ41" s="2392"/>
      <c r="BK41" s="2392"/>
      <c r="BL41" s="1951"/>
      <c r="BM41" s="1951"/>
      <c r="BN41" s="1951"/>
      <c r="BO41" s="1951"/>
      <c r="BQ41" s="1951"/>
      <c r="BR41" s="1962"/>
      <c r="BS41" s="1959"/>
      <c r="BT41" s="1951"/>
      <c r="BU41" s="1962"/>
      <c r="BV41" s="1962"/>
      <c r="BW41" s="1905"/>
      <c r="BY41" s="1905"/>
      <c r="BZ41" s="2840"/>
      <c r="CC41" s="1906"/>
      <c r="CD41" s="1906"/>
      <c r="CE41" s="1906"/>
      <c r="CF41" s="1906"/>
      <c r="CG41" s="1906"/>
      <c r="CH41" s="2386"/>
    </row>
    <row r="42" spans="1:86" s="1726" customFormat="1" ht="17.25" thickBot="1" x14ac:dyDescent="0.25">
      <c r="B42" s="1963">
        <v>37</v>
      </c>
      <c r="C42" s="1963"/>
      <c r="D42" s="1727"/>
      <c r="E42" s="1728"/>
      <c r="F42" s="1728"/>
      <c r="G42" s="1728"/>
      <c r="H42" s="1728"/>
      <c r="I42" s="1728"/>
      <c r="J42" s="1728"/>
      <c r="K42" s="1729"/>
      <c r="L42" s="1760"/>
      <c r="M42" s="1924"/>
      <c r="N42" s="1728"/>
      <c r="O42" s="1728"/>
      <c r="P42" s="1728"/>
      <c r="Q42" s="1728"/>
      <c r="R42" s="1728"/>
      <c r="S42" s="1728"/>
      <c r="T42" s="1728"/>
      <c r="U42" s="2796"/>
      <c r="V42" s="2031"/>
      <c r="W42" s="2032"/>
      <c r="X42" s="2033"/>
      <c r="Y42" s="1881"/>
      <c r="Z42" s="1728"/>
      <c r="AA42" s="1728"/>
      <c r="AB42" s="1728"/>
      <c r="AC42" s="1728"/>
      <c r="AD42" s="1728"/>
      <c r="AE42" s="1728"/>
      <c r="AF42" s="1728"/>
      <c r="AG42" s="1881"/>
      <c r="AH42" s="2031"/>
      <c r="AI42" s="2032"/>
      <c r="AJ42" s="2033"/>
      <c r="AK42" s="1881"/>
      <c r="AL42" s="2268"/>
      <c r="AM42" s="2268"/>
      <c r="AN42" s="2268"/>
      <c r="AO42" s="2268"/>
      <c r="AP42" s="2268"/>
      <c r="AQ42" s="2268"/>
      <c r="AR42" s="2268"/>
      <c r="AS42" s="2293"/>
      <c r="AT42" s="2031"/>
      <c r="AU42" s="2032"/>
      <c r="AV42" s="2033"/>
      <c r="AW42" s="2293"/>
      <c r="AX42" s="2268"/>
      <c r="AY42" s="2268"/>
      <c r="AZ42" s="2268"/>
      <c r="BA42" s="2268"/>
      <c r="BB42" s="2268"/>
      <c r="BC42" s="2268"/>
      <c r="BD42" s="2268"/>
      <c r="BE42" s="2293"/>
      <c r="BF42" s="2031"/>
      <c r="BG42" s="2032"/>
      <c r="BH42" s="2033"/>
      <c r="BI42" s="2796"/>
      <c r="BJ42" s="2268"/>
      <c r="BK42" s="2268"/>
      <c r="BL42" s="2796"/>
      <c r="BM42" s="2031"/>
      <c r="BN42" s="2032"/>
      <c r="BO42" s="2033"/>
      <c r="BQ42" s="2034"/>
      <c r="BR42" s="2035"/>
      <c r="BS42" s="1740"/>
      <c r="BT42" s="2034"/>
      <c r="BU42" s="2035"/>
      <c r="BV42" s="1997"/>
      <c r="BW42" s="2794"/>
      <c r="BY42" s="2794"/>
      <c r="BZ42" s="2841"/>
      <c r="CC42" s="1860"/>
      <c r="CD42" s="1860"/>
      <c r="CE42" s="1860"/>
      <c r="CF42" s="1860"/>
      <c r="CG42" s="1860"/>
      <c r="CH42" s="1998"/>
    </row>
    <row r="43" spans="1:86" s="1923" customFormat="1" ht="4.5" customHeight="1" thickBot="1" x14ac:dyDescent="0.25">
      <c r="B43" s="2023"/>
      <c r="C43" s="2024"/>
      <c r="D43" s="1800"/>
      <c r="E43" s="1803"/>
      <c r="F43" s="1803"/>
      <c r="G43" s="1803"/>
      <c r="H43" s="1803"/>
      <c r="I43" s="1803"/>
      <c r="J43" s="1803"/>
      <c r="K43" s="2025"/>
      <c r="L43" s="1866"/>
      <c r="M43" s="1867"/>
      <c r="N43" s="2026"/>
      <c r="O43" s="2026"/>
      <c r="P43" s="2026"/>
      <c r="Q43" s="2026"/>
      <c r="R43" s="2026"/>
      <c r="S43" s="2026"/>
      <c r="T43" s="2026"/>
      <c r="U43" s="2795"/>
      <c r="V43" s="2795"/>
      <c r="W43" s="2795"/>
      <c r="X43" s="2795"/>
      <c r="Y43" s="1915"/>
      <c r="Z43" s="2026"/>
      <c r="AA43" s="2026"/>
      <c r="AB43" s="2026"/>
      <c r="AC43" s="2026"/>
      <c r="AD43" s="2026"/>
      <c r="AE43" s="2026"/>
      <c r="AF43" s="2026"/>
      <c r="AG43" s="1915"/>
      <c r="AH43" s="2795"/>
      <c r="AI43" s="2795"/>
      <c r="AJ43" s="2795"/>
      <c r="AK43" s="1915"/>
      <c r="AL43" s="2026"/>
      <c r="AM43" s="2026"/>
      <c r="AN43" s="2026"/>
      <c r="AO43" s="2026"/>
      <c r="AP43" s="2026"/>
      <c r="AQ43" s="2026"/>
      <c r="AR43" s="2026"/>
      <c r="AS43" s="2795"/>
      <c r="AT43" s="2795"/>
      <c r="AU43" s="2795"/>
      <c r="AV43" s="2795"/>
      <c r="AW43" s="2795"/>
      <c r="AX43" s="2026"/>
      <c r="AY43" s="2026"/>
      <c r="AZ43" s="2026"/>
      <c r="BA43" s="2026"/>
      <c r="BB43" s="2026"/>
      <c r="BC43" s="2026"/>
      <c r="BD43" s="2026"/>
      <c r="BE43" s="2795"/>
      <c r="BF43" s="2274"/>
      <c r="BG43" s="2274"/>
      <c r="BH43" s="2274"/>
      <c r="BI43" s="2795"/>
      <c r="BJ43" s="2026"/>
      <c r="BK43" s="2026"/>
      <c r="BL43" s="2795"/>
      <c r="BM43" s="2274"/>
      <c r="BN43" s="2274"/>
      <c r="BO43" s="2274"/>
      <c r="BQ43" s="2795"/>
      <c r="BR43" s="1993"/>
      <c r="BS43" s="1994"/>
      <c r="BT43" s="2795"/>
      <c r="BU43" s="1993"/>
      <c r="BV43" s="1993"/>
      <c r="BW43" s="1916"/>
      <c r="BY43" s="1916"/>
      <c r="BZ43" s="2842"/>
      <c r="CH43" s="1995"/>
    </row>
    <row r="44" spans="1:86" s="1885" customFormat="1" ht="17.25" thickBot="1" x14ac:dyDescent="0.25">
      <c r="B44" s="2117"/>
      <c r="C44" s="2212" t="s">
        <v>150</v>
      </c>
      <c r="D44" s="2119"/>
      <c r="E44" s="2123">
        <f>E40*100/24</f>
        <v>14681.458333333334</v>
      </c>
      <c r="F44" s="2121" t="e">
        <f>#REF!*100/30</f>
        <v>#REF!</v>
      </c>
      <c r="G44" s="2121" t="e">
        <f>#REF!*100/30</f>
        <v>#REF!</v>
      </c>
      <c r="H44" s="2121" t="e">
        <f>#REF!*100/30</f>
        <v>#REF!</v>
      </c>
      <c r="I44" s="2121" t="e">
        <f>#REF!*100/30</f>
        <v>#REF!</v>
      </c>
      <c r="J44" s="2121">
        <f>J40*100/24</f>
        <v>489.38194444444451</v>
      </c>
      <c r="K44" s="2130">
        <f>E44/E87</f>
        <v>0.60336826603650817</v>
      </c>
      <c r="L44" s="1949"/>
      <c r="M44" s="2214"/>
      <c r="N44" s="2120">
        <f t="shared" ref="N44:S44" si="176">N9</f>
        <v>44.095666666666659</v>
      </c>
      <c r="O44" s="2123">
        <f t="shared" si="176"/>
        <v>78.636166666666654</v>
      </c>
      <c r="P44" s="2123">
        <f t="shared" si="176"/>
        <v>36.858666666666664</v>
      </c>
      <c r="Q44" s="2123">
        <f t="shared" si="176"/>
        <v>72.791666666666671</v>
      </c>
      <c r="R44" s="2123">
        <f t="shared" si="176"/>
        <v>54.192666666666653</v>
      </c>
      <c r="S44" s="2123">
        <f t="shared" si="176"/>
        <v>31.021666666666661</v>
      </c>
      <c r="T44" s="2124">
        <f t="shared" ref="T44" si="177">T9</f>
        <v>45.470166666666657</v>
      </c>
      <c r="U44" s="1951"/>
      <c r="V44" s="2120">
        <f>SUM(N44:T44)</f>
        <v>363.06666666666661</v>
      </c>
      <c r="W44" s="2123"/>
      <c r="X44" s="2124"/>
      <c r="Y44" s="1956"/>
      <c r="Z44" s="2120">
        <f t="shared" ref="Z44" si="178">Z9</f>
        <v>33.990166666666653</v>
      </c>
      <c r="AA44" s="2121">
        <f t="shared" ref="AA44" si="179">AA9</f>
        <v>61.536166666666659</v>
      </c>
      <c r="AB44" s="2121">
        <f t="shared" ref="AB44:AC44" si="180">AB9</f>
        <v>53.021666666666661</v>
      </c>
      <c r="AC44" s="2121">
        <f t="shared" si="180"/>
        <v>20.967666666666659</v>
      </c>
      <c r="AD44" s="2121">
        <f t="shared" ref="AD44:AE44" si="181">AD9</f>
        <v>63.11966666666666</v>
      </c>
      <c r="AE44" s="2121">
        <f t="shared" si="181"/>
        <v>17.373166666666663</v>
      </c>
      <c r="AF44" s="2121">
        <f t="shared" ref="AF44" si="182">AF9</f>
        <v>22.465666666666664</v>
      </c>
      <c r="AG44" s="1956"/>
      <c r="AH44" s="2120">
        <f>SUM(Z44:AF44)</f>
        <v>272.47416666666663</v>
      </c>
      <c r="AI44" s="2123"/>
      <c r="AJ44" s="2124"/>
      <c r="AK44" s="1955"/>
      <c r="AL44" s="2120">
        <f t="shared" ref="AL44:AM44" si="183">AL9</f>
        <v>51.176666666666662</v>
      </c>
      <c r="AM44" s="2121">
        <f t="shared" si="183"/>
        <v>52.596666666666664</v>
      </c>
      <c r="AN44" s="2121">
        <f t="shared" ref="AN44" si="184">AN9</f>
        <v>22.464166666666657</v>
      </c>
      <c r="AO44" s="2121">
        <f t="shared" ref="AO44:AR44" si="185">AO9</f>
        <v>31.791166666666655</v>
      </c>
      <c r="AP44" s="2121">
        <f t="shared" si="185"/>
        <v>31.563666666666663</v>
      </c>
      <c r="AQ44" s="2121">
        <f t="shared" si="185"/>
        <v>45.666666666666657</v>
      </c>
      <c r="AR44" s="2124">
        <f t="shared" si="185"/>
        <v>22.952166666666656</v>
      </c>
      <c r="AS44" s="2254"/>
      <c r="AT44" s="2120">
        <f>SUM(AL44:AR44)</f>
        <v>258.21116666666666</v>
      </c>
      <c r="AU44" s="2123"/>
      <c r="AV44" s="2124"/>
      <c r="AW44" s="1951"/>
      <c r="AX44" s="2120">
        <f t="shared" ref="AX44:AY44" si="186">AX9</f>
        <v>30.201666666666654</v>
      </c>
      <c r="AY44" s="2123">
        <f t="shared" si="186"/>
        <v>52.481666666666655</v>
      </c>
      <c r="AZ44" s="2123">
        <f t="shared" ref="AZ44:BD44" si="187">AZ9</f>
        <v>0</v>
      </c>
      <c r="BA44" s="2123">
        <f t="shared" si="187"/>
        <v>0</v>
      </c>
      <c r="BB44" s="2123">
        <f t="shared" si="187"/>
        <v>0</v>
      </c>
      <c r="BC44" s="2123">
        <f t="shared" si="187"/>
        <v>0</v>
      </c>
      <c r="BD44" s="2124">
        <f t="shared" si="187"/>
        <v>0</v>
      </c>
      <c r="BE44" s="1951"/>
      <c r="BF44" s="2120">
        <f>SUM(AX44:BD44)</f>
        <v>82.683333333333309</v>
      </c>
      <c r="BG44" s="2123"/>
      <c r="BH44" s="2124"/>
      <c r="BI44" s="1900"/>
      <c r="BJ44" s="2120">
        <f t="shared" ref="BJ44:BK44" si="188">BJ9</f>
        <v>0</v>
      </c>
      <c r="BK44" s="2123">
        <f t="shared" si="188"/>
        <v>0</v>
      </c>
      <c r="BL44" s="2317"/>
      <c r="BM44" s="2215">
        <f>SUM(BJ44:BK44)</f>
        <v>0</v>
      </c>
      <c r="BN44" s="2677"/>
      <c r="BO44" s="2124"/>
      <c r="BP44" s="1897"/>
      <c r="BQ44" s="2215">
        <f>SUM(N44:T44)+SUM(Z44:AF44)+SUM(AL44:AR44)+SUM(AX44:BD44)+SUM(BJ44:BK44)</f>
        <v>976.43533333333323</v>
      </c>
      <c r="BR44" s="2130"/>
      <c r="BS44" s="1900"/>
      <c r="BT44" s="2011"/>
      <c r="BU44" s="2011"/>
      <c r="BV44" s="2011"/>
      <c r="BY44" s="2789"/>
      <c r="BZ44" s="2839"/>
      <c r="CC44" s="1946"/>
      <c r="CD44" s="1946"/>
      <c r="CE44" s="1946"/>
      <c r="CF44" s="1946"/>
      <c r="CG44" s="1946"/>
      <c r="CH44" s="2012"/>
    </row>
    <row r="45" spans="1:86" s="1860" customFormat="1" ht="15" customHeight="1" thickBot="1" x14ac:dyDescent="0.25">
      <c r="B45" s="1861"/>
      <c r="C45" s="1861" t="s">
        <v>191</v>
      </c>
      <c r="D45" s="1861"/>
      <c r="E45" s="2796"/>
      <c r="F45" s="2796"/>
      <c r="G45" s="2796"/>
      <c r="H45" s="2796"/>
      <c r="I45" s="2796"/>
      <c r="J45" s="2796"/>
      <c r="K45" s="2059"/>
      <c r="L45" s="1931"/>
      <c r="M45" s="1877"/>
      <c r="N45" s="2796"/>
      <c r="O45" s="2796"/>
      <c r="P45" s="2845"/>
      <c r="Q45" s="2848"/>
      <c r="R45" s="2851"/>
      <c r="S45" s="2854"/>
      <c r="T45" s="2796"/>
      <c r="U45" s="2796"/>
      <c r="V45" s="2796"/>
      <c r="W45" s="2796"/>
      <c r="X45" s="2796"/>
      <c r="Y45" s="1862"/>
      <c r="Z45" s="2796"/>
      <c r="AA45" s="2796"/>
      <c r="AB45" s="2857"/>
      <c r="AC45" s="2860"/>
      <c r="AD45" s="2863"/>
      <c r="AE45" s="2866"/>
      <c r="AF45" s="2796"/>
      <c r="AG45" s="1862"/>
      <c r="AH45" s="2796"/>
      <c r="AI45" s="2796"/>
      <c r="AJ45" s="2796"/>
      <c r="AK45" s="1862"/>
      <c r="AL45" s="2796"/>
      <c r="AM45" s="2796"/>
      <c r="AN45" s="2796"/>
      <c r="AO45" s="2796"/>
      <c r="AP45" s="2796"/>
      <c r="AQ45" s="2796"/>
      <c r="AR45" s="2796"/>
      <c r="AS45" s="2796"/>
      <c r="AT45" s="2796"/>
      <c r="AU45" s="2796"/>
      <c r="AV45" s="2796"/>
      <c r="AW45" s="2796"/>
      <c r="AX45" s="2796"/>
      <c r="AY45" s="2796"/>
      <c r="AZ45" s="2796"/>
      <c r="BA45" s="2796"/>
      <c r="BB45" s="2796"/>
      <c r="BC45" s="2796"/>
      <c r="BD45" s="2796"/>
      <c r="BE45" s="2796"/>
      <c r="BF45" s="2796"/>
      <c r="BG45" s="2796"/>
      <c r="BH45" s="2796"/>
      <c r="BI45" s="2796"/>
      <c r="BJ45" s="2796"/>
      <c r="BK45" s="2796"/>
      <c r="BL45" s="2796"/>
      <c r="BM45" s="2796"/>
      <c r="BN45" s="2796"/>
      <c r="BO45" s="2796"/>
      <c r="BP45" s="1862"/>
      <c r="BQ45" s="2796"/>
      <c r="BR45" s="2639"/>
      <c r="BS45" s="1861"/>
      <c r="BT45" s="4634" t="s">
        <v>99</v>
      </c>
      <c r="BU45" s="4634"/>
      <c r="BV45" s="2796"/>
      <c r="BW45" s="1862"/>
      <c r="BY45" s="2794"/>
      <c r="BZ45" s="2841"/>
      <c r="CH45" s="1998"/>
    </row>
    <row r="46" spans="1:86" s="1900" customFormat="1" ht="15.75" x14ac:dyDescent="0.2">
      <c r="A46" s="2464"/>
      <c r="B46" s="2280">
        <v>38</v>
      </c>
      <c r="C46" s="2405" t="s">
        <v>245</v>
      </c>
      <c r="D46" s="2119"/>
      <c r="E46" s="2410">
        <v>106</v>
      </c>
      <c r="F46" s="2678"/>
      <c r="G46" s="2678"/>
      <c r="H46" s="2678"/>
      <c r="I46" s="2678"/>
      <c r="J46" s="2406">
        <f t="shared" ref="J46:J54" si="189">E46/30</f>
        <v>3.5333333333333332</v>
      </c>
      <c r="K46" s="2407">
        <f>E46/$E$55</f>
        <v>0.32893716058960437</v>
      </c>
      <c r="L46" s="2468"/>
      <c r="M46" s="2339"/>
      <c r="N46" s="2679">
        <f t="shared" ref="N46:S46" si="190">IF(N44&gt;$J$55,$J$46,IF(N44&lt;$J$55,(IF(N44&lt;0,0,N44*$K$46))))</f>
        <v>3.5333333333333332</v>
      </c>
      <c r="O46" s="2406">
        <f t="shared" si="190"/>
        <v>3.5333333333333332</v>
      </c>
      <c r="P46" s="2406">
        <f t="shared" si="190"/>
        <v>3.5333333333333332</v>
      </c>
      <c r="Q46" s="2406">
        <f t="shared" si="190"/>
        <v>3.5333333333333332</v>
      </c>
      <c r="R46" s="2406">
        <f t="shared" si="190"/>
        <v>3.5333333333333332</v>
      </c>
      <c r="S46" s="2406">
        <f t="shared" si="190"/>
        <v>3.5333333333333332</v>
      </c>
      <c r="T46" s="2409">
        <f t="shared" ref="T46" si="191">IF(T44&gt;$J$55,$J$46,IF(T44&lt;$J$55,(IF(T44&lt;0,0,T44*$K$46))))</f>
        <v>3.5333333333333332</v>
      </c>
      <c r="U46" s="1951"/>
      <c r="V46" s="2410">
        <f t="shared" si="82"/>
        <v>24.733333333333327</v>
      </c>
      <c r="W46" s="2408">
        <f>$J$46*0</f>
        <v>0</v>
      </c>
      <c r="X46" s="2411">
        <f>V46-W46</f>
        <v>24.733333333333327</v>
      </c>
      <c r="Y46" s="1951"/>
      <c r="Z46" s="2410">
        <f t="shared" ref="Z46" si="192">IF(Z44&gt;$J$55,$J$46,IF(Z44&lt;$J$55,(IF(Z44&lt;0,0,Z44*$K$46))))</f>
        <v>3.5333333333333332</v>
      </c>
      <c r="AA46" s="2408">
        <f t="shared" ref="AA46" si="193">IF(AA44&gt;$J$55,$J$46,IF(AA44&lt;$J$55,(IF(AA44&lt;0,0,AA44*$K$46))))</f>
        <v>3.5333333333333332</v>
      </c>
      <c r="AB46" s="2408">
        <f t="shared" ref="AB46:AC46" si="194">IF(AB44&gt;$J$55,$J$46,IF(AB44&lt;$J$55,(IF(AB44&lt;0,0,AB44*$K$46))))</f>
        <v>3.5333333333333332</v>
      </c>
      <c r="AC46" s="2408">
        <f t="shared" si="194"/>
        <v>3.5333333333333332</v>
      </c>
      <c r="AD46" s="2408">
        <f t="shared" ref="AD46:AE46" si="195">IF(AD44&gt;$J$55,$J$46,IF(AD44&lt;$J$55,(IF(AD44&lt;0,0,AD44*$K$46))))</f>
        <v>3.5333333333333332</v>
      </c>
      <c r="AE46" s="2408">
        <f t="shared" si="195"/>
        <v>3.5333333333333332</v>
      </c>
      <c r="AF46" s="2409">
        <f t="shared" ref="AF46" si="196">IF(AF44&gt;$J$55,$J$46,IF(AF44&lt;$J$55,(IF(AF44&lt;0,0,AF44*$K$46))))</f>
        <v>3.5333333333333332</v>
      </c>
      <c r="AG46" s="1951"/>
      <c r="AH46" s="2410">
        <f>SUM(Z46:AF46)</f>
        <v>24.733333333333327</v>
      </c>
      <c r="AI46" s="2408">
        <f>$J$46*0</f>
        <v>0</v>
      </c>
      <c r="AJ46" s="2411">
        <f>AH46-AI46</f>
        <v>24.733333333333327</v>
      </c>
      <c r="AK46" s="1951"/>
      <c r="AL46" s="2410">
        <f t="shared" ref="AL46:AM46" si="197">IF(AL44&gt;$J$55,$J$46,IF(AL44&lt;$J$55,(IF(AL44&lt;0,0,AL44*$K$46))))</f>
        <v>3.5333333333333332</v>
      </c>
      <c r="AM46" s="2406">
        <f t="shared" si="197"/>
        <v>3.5333333333333332</v>
      </c>
      <c r="AN46" s="2406">
        <f t="shared" ref="AN46" si="198">IF(AN44&gt;$J$55,$J$46,IF(AN44&lt;$J$55,(IF(AN44&lt;0,0,AN44*$K$46))))</f>
        <v>3.5333333333333332</v>
      </c>
      <c r="AO46" s="2406">
        <f t="shared" ref="AO46:AR46" si="199">IF(AO44&gt;$J$55,$J$46,IF(AO44&lt;$J$55,(IF(AO44&lt;0,0,AO44*$K$46))))</f>
        <v>3.5333333333333332</v>
      </c>
      <c r="AP46" s="2406">
        <f t="shared" si="199"/>
        <v>3.5333333333333332</v>
      </c>
      <c r="AQ46" s="2406">
        <f t="shared" si="199"/>
        <v>3.5333333333333332</v>
      </c>
      <c r="AR46" s="2409">
        <f t="shared" si="199"/>
        <v>3.5333333333333332</v>
      </c>
      <c r="AS46" s="1951"/>
      <c r="AT46" s="2410">
        <f>SUM(AL46:AR46)</f>
        <v>24.733333333333327</v>
      </c>
      <c r="AU46" s="2408">
        <f>$J$46*0</f>
        <v>0</v>
      </c>
      <c r="AV46" s="2411">
        <f>AT46-AU46</f>
        <v>24.733333333333327</v>
      </c>
      <c r="AW46" s="1951"/>
      <c r="AX46" s="2410">
        <f t="shared" ref="AX46:AY46" si="200">IF(AX44&gt;$J$55,$J$46,IF(AX44&lt;$J$55,(IF(AX44&lt;0,0,AX44*$K$46))))</f>
        <v>3.5333333333333332</v>
      </c>
      <c r="AY46" s="2408">
        <f t="shared" si="200"/>
        <v>3.5333333333333332</v>
      </c>
      <c r="AZ46" s="2408">
        <f t="shared" ref="AZ46:BD46" si="201">IF(AZ44&gt;$J$55,$J$46,IF(AZ44&lt;$J$55,(IF(AZ44&lt;0,0,AZ44*$K$46))))</f>
        <v>0</v>
      </c>
      <c r="BA46" s="2408">
        <f t="shared" si="201"/>
        <v>0</v>
      </c>
      <c r="BB46" s="2408">
        <f t="shared" si="201"/>
        <v>0</v>
      </c>
      <c r="BC46" s="2408">
        <f t="shared" si="201"/>
        <v>0</v>
      </c>
      <c r="BD46" s="2409">
        <f t="shared" si="201"/>
        <v>0</v>
      </c>
      <c r="BE46" s="1951"/>
      <c r="BF46" s="2410">
        <f>SUM(AX46:BD46)</f>
        <v>7.0666666666666664</v>
      </c>
      <c r="BG46" s="2408">
        <f>$J$46*0</f>
        <v>0</v>
      </c>
      <c r="BH46" s="2411">
        <f>BF46-BG46</f>
        <v>7.0666666666666664</v>
      </c>
      <c r="BI46" s="1951"/>
      <c r="BJ46" s="2410">
        <f>IF(BJ44&gt;$J$55,$J$46,IF(BJ44&lt;$J$55,(IF(BJ44&lt;0,0,BJ44*$K$46))))</f>
        <v>0</v>
      </c>
      <c r="BK46" s="2409">
        <f>IF(BK44&gt;$J$55,$J$46,IF(BK44&lt;$J$55,(IF(BK44&lt;0,0,BK44*$K$46))))</f>
        <v>0</v>
      </c>
      <c r="BL46" s="1951"/>
      <c r="BM46" s="2410">
        <f t="shared" ref="BM46:BM54" si="202">SUM(BJ46:BK46)</f>
        <v>0</v>
      </c>
      <c r="BN46" s="2408">
        <f>$J$46*0</f>
        <v>0</v>
      </c>
      <c r="BO46" s="2411">
        <f>BM46-BN46</f>
        <v>0</v>
      </c>
      <c r="BQ46" s="2410"/>
      <c r="BR46" s="2412"/>
      <c r="BT46" s="2410">
        <f t="shared" ref="BT46:BT54" si="203">SUM(N46:T46)+SUM(Z46:AF46)+SUM(AL46:AR46)+SUM(AX46:BD46)+SUM(BJ46:BK46)</f>
        <v>81.266666666666652</v>
      </c>
      <c r="BU46" s="2413">
        <f t="shared" ref="BU46:BU55" si="204">BT46/E46</f>
        <v>0.7666666666666665</v>
      </c>
      <c r="BV46" s="2353"/>
      <c r="BW46" s="4635">
        <f>BU55-BT1</f>
        <v>-7.5268817204301453E-3</v>
      </c>
      <c r="BY46" s="4627"/>
      <c r="BZ46" s="2416"/>
      <c r="CC46" s="2011"/>
      <c r="CD46" s="2011"/>
      <c r="CE46" s="2011"/>
      <c r="CF46" s="2011"/>
      <c r="CG46" s="2011"/>
      <c r="CH46" s="2621"/>
    </row>
    <row r="47" spans="1:86" s="1740" customFormat="1" ht="15.75" x14ac:dyDescent="0.2">
      <c r="A47" s="2466"/>
      <c r="B47" s="2151">
        <v>39</v>
      </c>
      <c r="C47" s="2152" t="s">
        <v>241</v>
      </c>
      <c r="D47" s="2051"/>
      <c r="E47" s="2090">
        <v>65</v>
      </c>
      <c r="F47" s="2154"/>
      <c r="G47" s="2154"/>
      <c r="H47" s="2154"/>
      <c r="I47" s="2154"/>
      <c r="J47" s="2154">
        <f t="shared" si="189"/>
        <v>2.1666666666666665</v>
      </c>
      <c r="K47" s="2155">
        <f>E47/$E$55</f>
        <v>0.20170674941815361</v>
      </c>
      <c r="L47" s="2465"/>
      <c r="M47" s="2131"/>
      <c r="N47" s="2615">
        <f t="shared" ref="N47:O47" si="205">IF(N44&gt;$J$55,$J$47,IF(N44&lt;$J$55,(IF(N44&lt;0,0,N44*$K$47))))</f>
        <v>2.1666666666666665</v>
      </c>
      <c r="O47" s="2154">
        <f t="shared" si="205"/>
        <v>2.1666666666666665</v>
      </c>
      <c r="P47" s="2154">
        <f t="shared" ref="P47:Q47" si="206">IF(P44&gt;$J$55,$J$47,IF(P44&lt;$J$55,(IF(P44&lt;0,0,P44*$K$47))))</f>
        <v>2.1666666666666665</v>
      </c>
      <c r="Q47" s="2154">
        <f t="shared" si="206"/>
        <v>2.1666666666666665</v>
      </c>
      <c r="R47" s="2154">
        <f t="shared" ref="R47:S47" si="207">IF(R44&gt;$J$55,$J$47,IF(R44&lt;$J$55,(IF(R44&lt;0,0,R44*$K$47))))</f>
        <v>2.1666666666666665</v>
      </c>
      <c r="S47" s="2154">
        <f t="shared" si="207"/>
        <v>2.1666666666666665</v>
      </c>
      <c r="T47" s="2154">
        <f t="shared" ref="T47" si="208">IF(T44&gt;$J$55,$J$47,IF(T44&lt;$J$55,(IF(T44&lt;0,0,T44*$K$47))))</f>
        <v>2.1666666666666665</v>
      </c>
      <c r="U47" s="1814"/>
      <c r="V47" s="2153">
        <f>SUM(N47:T47)</f>
        <v>15.166666666666664</v>
      </c>
      <c r="W47" s="2157">
        <f>$J$47*0</f>
        <v>0</v>
      </c>
      <c r="X47" s="2158">
        <f>V47-W47</f>
        <v>15.166666666666664</v>
      </c>
      <c r="Y47" s="1814"/>
      <c r="Z47" s="2153">
        <f t="shared" ref="Z47" si="209">IF(Z44&gt;$J$55,$J$47,IF(Z44&lt;$J$55,(IF(Z44&lt;0,0,Z44*$K$47))))</f>
        <v>2.1666666666666665</v>
      </c>
      <c r="AA47" s="2157">
        <f t="shared" ref="AA47" si="210">IF(AA44&gt;$J$55,$J$47,IF(AA44&lt;$J$55,(IF(AA44&lt;0,0,AA44*$K$47))))</f>
        <v>2.1666666666666665</v>
      </c>
      <c r="AB47" s="2157">
        <f t="shared" ref="AB47:AC47" si="211">IF(AB44&gt;$J$55,$J$47,IF(AB44&lt;$J$55,(IF(AB44&lt;0,0,AB44*$K$47))))</f>
        <v>2.1666666666666665</v>
      </c>
      <c r="AC47" s="2157">
        <f t="shared" si="211"/>
        <v>2.1666666666666665</v>
      </c>
      <c r="AD47" s="2157">
        <f t="shared" ref="AD47:AE47" si="212">IF(AD44&gt;$J$55,$J$47,IF(AD44&lt;$J$55,(IF(AD44&lt;0,0,AD44*$K$47))))</f>
        <v>2.1666666666666665</v>
      </c>
      <c r="AE47" s="2157">
        <f t="shared" si="212"/>
        <v>2.1666666666666665</v>
      </c>
      <c r="AF47" s="2156">
        <f t="shared" ref="AF47" si="213">IF(AF44&gt;$J$55,$J$47,IF(AF44&lt;$J$55,(IF(AF44&lt;0,0,AF44*$K$47))))</f>
        <v>2.1666666666666665</v>
      </c>
      <c r="AG47" s="1814"/>
      <c r="AH47" s="2153">
        <f t="shared" ref="AH47:AH67" si="214">SUM(Z47:AF47)</f>
        <v>15.166666666666664</v>
      </c>
      <c r="AI47" s="2157">
        <f>$J$47*0</f>
        <v>0</v>
      </c>
      <c r="AJ47" s="2158">
        <f t="shared" ref="AJ47:AJ67" si="215">AH47-AI47</f>
        <v>15.166666666666664</v>
      </c>
      <c r="AK47" s="1814"/>
      <c r="AL47" s="2153">
        <f t="shared" ref="AL47:AM47" si="216">IF(AL44&gt;$J$55,$J$47,IF(AL44&lt;$J$55,(IF(AL44&lt;0,0,AL44*$K$47))))</f>
        <v>2.1666666666666665</v>
      </c>
      <c r="AM47" s="2154">
        <f t="shared" si="216"/>
        <v>2.1666666666666665</v>
      </c>
      <c r="AN47" s="2154">
        <f t="shared" ref="AN47" si="217">IF(AN44&gt;$J$55,$J$47,IF(AN44&lt;$J$55,(IF(AN44&lt;0,0,AN44*$K$47))))</f>
        <v>2.1666666666666665</v>
      </c>
      <c r="AO47" s="2154">
        <f t="shared" ref="AO47:AR47" si="218">IF(AO44&gt;$J$55,$J$47,IF(AO44&lt;$J$55,(IF(AO44&lt;0,0,AO44*$K$47))))</f>
        <v>2.1666666666666665</v>
      </c>
      <c r="AP47" s="2154">
        <f t="shared" si="218"/>
        <v>2.1666666666666665</v>
      </c>
      <c r="AQ47" s="2154">
        <f t="shared" si="218"/>
        <v>2.1666666666666665</v>
      </c>
      <c r="AR47" s="2154">
        <f t="shared" si="218"/>
        <v>2.1666666666666665</v>
      </c>
      <c r="AS47" s="1814"/>
      <c r="AT47" s="2153">
        <f t="shared" ref="AT47:AT54" si="219">SUM(AL47:AR47)</f>
        <v>15.166666666666664</v>
      </c>
      <c r="AU47" s="2157">
        <f>$J$47*0</f>
        <v>0</v>
      </c>
      <c r="AV47" s="2158">
        <f t="shared" ref="AV47:AV54" si="220">AT47-AU47</f>
        <v>15.166666666666664</v>
      </c>
      <c r="AW47" s="1814"/>
      <c r="AX47" s="2153">
        <f t="shared" ref="AX47:AY47" si="221">IF(AX44&gt;$J$55,$J$47,IF(AX44&lt;$J$55,(IF(AX44&lt;0,0,AX44*$K$47))))</f>
        <v>2.1666666666666665</v>
      </c>
      <c r="AY47" s="2157">
        <f t="shared" si="221"/>
        <v>2.1666666666666665</v>
      </c>
      <c r="AZ47" s="2157">
        <f>IF(AZ44&gt;$J$55,$J$47,IF(AZ44&lt;$J$55,(IF(AZ44&lt;0,0,AZ44*$K$47))))</f>
        <v>0</v>
      </c>
      <c r="BA47" s="2157">
        <f>IF(BA44&gt;$J$55,$J$47,IF(BA44&lt;$J$55,(IF(BA44&lt;0,0,BA44*$K$47))))</f>
        <v>0</v>
      </c>
      <c r="BB47" s="2157">
        <f>IF(BB44&gt;$J$55,$J$47,IF(BB44&lt;$J$55,(IF(BB44&lt;0,0,BB44*$K$47))))</f>
        <v>0</v>
      </c>
      <c r="BC47" s="2157">
        <f>IF(BC44&gt;$J$55,$J$47,IF(BC44&lt;$J$55,(IF(BC44&lt;0,0,BC44*$K$47))))</f>
        <v>0</v>
      </c>
      <c r="BD47" s="2156">
        <f t="shared" ref="BD47" si="222">IF(BD44&gt;$J$55,$J$47,IF(BD44&lt;$J$55,(IF(BD44&lt;0,0,BD44*$K$47))))</f>
        <v>0</v>
      </c>
      <c r="BE47" s="1814"/>
      <c r="BF47" s="2153">
        <f t="shared" ref="BF47:BF54" si="223">SUM(AX47:BD47)</f>
        <v>4.333333333333333</v>
      </c>
      <c r="BG47" s="2157">
        <f>$J$47*0</f>
        <v>0</v>
      </c>
      <c r="BH47" s="2158">
        <f t="shared" ref="BH47:BH54" si="224">BF47-BG47</f>
        <v>4.333333333333333</v>
      </c>
      <c r="BI47" s="1814"/>
      <c r="BJ47" s="2153">
        <f>IF(BJ44&gt;$J$55,$J$47,IF(BJ44&lt;$J$55,(IF(BJ44&lt;0,0,BJ44*$K$47))))</f>
        <v>0</v>
      </c>
      <c r="BK47" s="2156">
        <f>IF(BK44&gt;$J$55,$J$47,IF(BK44&lt;$J$55,(IF(BK44&lt;0,0,BK44*$K$47))))</f>
        <v>0</v>
      </c>
      <c r="BL47" s="1814"/>
      <c r="BM47" s="2153">
        <f t="shared" si="202"/>
        <v>0</v>
      </c>
      <c r="BN47" s="2157">
        <f>$J$47*0</f>
        <v>0</v>
      </c>
      <c r="BO47" s="2158">
        <f t="shared" ref="BO47:BO54" si="225">BM47-BN47</f>
        <v>0</v>
      </c>
      <c r="BQ47" s="2153"/>
      <c r="BR47" s="2616"/>
      <c r="BT47" s="2153">
        <f t="shared" si="203"/>
        <v>49.833333333333329</v>
      </c>
      <c r="BU47" s="2617">
        <f t="shared" si="204"/>
        <v>0.76666666666666661</v>
      </c>
      <c r="BV47" s="2351"/>
      <c r="BW47" s="4636"/>
      <c r="BY47" s="4627"/>
      <c r="BZ47" s="1996"/>
      <c r="CC47" s="1861"/>
      <c r="CD47" s="1861"/>
      <c r="CE47" s="1861"/>
      <c r="CF47" s="1861"/>
      <c r="CG47" s="1861"/>
      <c r="CH47" s="2467"/>
    </row>
    <row r="48" spans="1:86" s="1900" customFormat="1" ht="15.75" x14ac:dyDescent="0.2">
      <c r="A48" s="2464"/>
      <c r="B48" s="2161">
        <v>40</v>
      </c>
      <c r="C48" s="2162" t="s">
        <v>117</v>
      </c>
      <c r="D48" s="2119"/>
      <c r="E48" s="2169">
        <v>37</v>
      </c>
      <c r="F48" s="2176">
        <f t="shared" ref="F48:F54" si="226">E48/10</f>
        <v>3.7</v>
      </c>
      <c r="G48" s="2176">
        <f t="shared" ref="G48:G54" si="227">E48/15</f>
        <v>2.4666666666666668</v>
      </c>
      <c r="H48" s="2176">
        <f t="shared" ref="H48:H54" si="228">E48/20</f>
        <v>1.85</v>
      </c>
      <c r="I48" s="2176">
        <f t="shared" ref="I48:I54" si="229">E48/25</f>
        <v>1.48</v>
      </c>
      <c r="J48" s="2176">
        <f t="shared" si="189"/>
        <v>1.2333333333333334</v>
      </c>
      <c r="K48" s="2177">
        <f t="shared" ref="K48:K54" si="230">E48/$E$55</f>
        <v>0.11481768813033359</v>
      </c>
      <c r="L48" s="2468"/>
      <c r="M48" s="2339"/>
      <c r="N48" s="2618">
        <f t="shared" ref="N48:S48" si="231">IF(N44&gt;$J$55,$J$48,IF(N44&lt;$J$55,(IF(N44&lt;0,0,N44*$K$48))))</f>
        <v>1.2333333333333334</v>
      </c>
      <c r="O48" s="2164">
        <f t="shared" si="231"/>
        <v>1.2333333333333334</v>
      </c>
      <c r="P48" s="2164">
        <f t="shared" si="231"/>
        <v>1.2333333333333334</v>
      </c>
      <c r="Q48" s="2164">
        <f t="shared" si="231"/>
        <v>1.2333333333333334</v>
      </c>
      <c r="R48" s="2164">
        <f t="shared" si="231"/>
        <v>1.2333333333333334</v>
      </c>
      <c r="S48" s="2164">
        <f t="shared" si="231"/>
        <v>1.2333333333333334</v>
      </c>
      <c r="T48" s="2164">
        <f t="shared" ref="T48" si="232">IF(T44&gt;$J$55,$J$48,IF(T44&lt;$J$55,(IF(T44&lt;0,0,T44*$K$48))))</f>
        <v>1.2333333333333334</v>
      </c>
      <c r="U48" s="1951"/>
      <c r="V48" s="2163">
        <f t="shared" ref="V48" si="233">SUM(N48:T48)</f>
        <v>8.6333333333333329</v>
      </c>
      <c r="W48" s="2167">
        <f>$J$48*0</f>
        <v>0</v>
      </c>
      <c r="X48" s="2168">
        <f>V48-W48</f>
        <v>8.6333333333333329</v>
      </c>
      <c r="Y48" s="1951"/>
      <c r="Z48" s="2163">
        <f t="shared" ref="Z48" si="234">IF(Z44&gt;$J$55,$J$48,IF(Z44&lt;$J$55,(IF(Z44&lt;0,0,Z44*$K$48))))</f>
        <v>1.2333333333333334</v>
      </c>
      <c r="AA48" s="2167">
        <f t="shared" ref="AA48:AF48" si="235">IF(AA44&gt;$J$55,$J$48,IF(AA44&lt;$J$55,(IF(AA44&lt;0,0,AA44*$K$48))))</f>
        <v>1.2333333333333334</v>
      </c>
      <c r="AB48" s="2167">
        <f t="shared" si="235"/>
        <v>1.2333333333333334</v>
      </c>
      <c r="AC48" s="2167">
        <f t="shared" si="235"/>
        <v>1.2333333333333334</v>
      </c>
      <c r="AD48" s="2167">
        <f t="shared" si="235"/>
        <v>1.2333333333333334</v>
      </c>
      <c r="AE48" s="2167">
        <f t="shared" si="235"/>
        <v>1.2333333333333334</v>
      </c>
      <c r="AF48" s="2166">
        <f t="shared" si="235"/>
        <v>1.2333333333333334</v>
      </c>
      <c r="AG48" s="1951"/>
      <c r="AH48" s="2163">
        <f t="shared" si="214"/>
        <v>8.6333333333333329</v>
      </c>
      <c r="AI48" s="2167">
        <f>$J$48*0</f>
        <v>0</v>
      </c>
      <c r="AJ48" s="2168">
        <f t="shared" si="215"/>
        <v>8.6333333333333329</v>
      </c>
      <c r="AK48" s="1951"/>
      <c r="AL48" s="2163">
        <f>IF(AL44&gt;$J$55,$J$48,IF(AL44&lt;$J$55,(IF(AL44&lt;0,0,AL44*$K$48))))</f>
        <v>1.2333333333333334</v>
      </c>
      <c r="AM48" s="2164">
        <f>IF(AM44&gt;$J$55,$J$48,IF(AM44&lt;$J$55,(IF(AM44&lt;0,0,AM44*$K$48))))</f>
        <v>1.2333333333333334</v>
      </c>
      <c r="AN48" s="2164">
        <f>IF(AN44&gt;$J$55,$J$48,IF(AN44&lt;$J$55,(IF(AN44&lt;0,0,AN44*$K$48))))</f>
        <v>1.2333333333333334</v>
      </c>
      <c r="AO48" s="2164">
        <f t="shared" ref="AO48:AR48" si="236">IF(AO44&gt;$J$55,$J$48,IF(AO44&lt;$J$55,(IF(AO44&lt;0,0,AO44*$K$48))))</f>
        <v>1.2333333333333334</v>
      </c>
      <c r="AP48" s="2164">
        <f t="shared" si="236"/>
        <v>1.2333333333333334</v>
      </c>
      <c r="AQ48" s="2164">
        <f t="shared" si="236"/>
        <v>1.2333333333333334</v>
      </c>
      <c r="AR48" s="2164">
        <f t="shared" si="236"/>
        <v>1.2333333333333334</v>
      </c>
      <c r="AS48" s="1951"/>
      <c r="AT48" s="2163">
        <f t="shared" si="219"/>
        <v>8.6333333333333329</v>
      </c>
      <c r="AU48" s="2167">
        <f>$J$48*0</f>
        <v>0</v>
      </c>
      <c r="AV48" s="2168">
        <f t="shared" si="220"/>
        <v>8.6333333333333329</v>
      </c>
      <c r="AW48" s="1951"/>
      <c r="AX48" s="2163">
        <f t="shared" ref="AX48:AY48" si="237">IF(AX44&gt;$J$55,$J$48,IF(AX44&lt;$J$55,(IF(AX44&lt;0,0,AX44*$K$48))))</f>
        <v>1.2333333333333334</v>
      </c>
      <c r="AY48" s="2167">
        <f t="shared" si="237"/>
        <v>1.2333333333333334</v>
      </c>
      <c r="AZ48" s="2167">
        <f t="shared" ref="AZ48:BD48" si="238">IF(AZ44&gt;$J$55,$J$48,IF(AZ44&lt;$J$55,(IF(AZ44&lt;0,0,AZ44*$K$48))))</f>
        <v>0</v>
      </c>
      <c r="BA48" s="2167">
        <f t="shared" si="238"/>
        <v>0</v>
      </c>
      <c r="BB48" s="2167">
        <f t="shared" si="238"/>
        <v>0</v>
      </c>
      <c r="BC48" s="2167">
        <f t="shared" si="238"/>
        <v>0</v>
      </c>
      <c r="BD48" s="2166">
        <f t="shared" si="238"/>
        <v>0</v>
      </c>
      <c r="BE48" s="1951"/>
      <c r="BF48" s="2163">
        <f t="shared" si="223"/>
        <v>2.4666666666666668</v>
      </c>
      <c r="BG48" s="2167">
        <f>$J$48*0</f>
        <v>0</v>
      </c>
      <c r="BH48" s="2168">
        <f t="shared" si="224"/>
        <v>2.4666666666666668</v>
      </c>
      <c r="BI48" s="1951"/>
      <c r="BJ48" s="2163">
        <f>IF(BJ44&gt;$J$55,$J$48,IF(BJ44&lt;$J$55,(IF(BJ44&lt;0,0,BJ44*$K$48))))</f>
        <v>0</v>
      </c>
      <c r="BK48" s="2166">
        <f>IF(BK44&gt;$J$55,$J$48,IF(BK44&lt;$J$55,(IF(BK44&lt;0,0,BK44*$K$48))))</f>
        <v>0</v>
      </c>
      <c r="BL48" s="1951"/>
      <c r="BM48" s="2163">
        <f t="shared" si="202"/>
        <v>0</v>
      </c>
      <c r="BN48" s="2167">
        <f>$J$48*0</f>
        <v>0</v>
      </c>
      <c r="BO48" s="2168">
        <f t="shared" si="225"/>
        <v>0</v>
      </c>
      <c r="BQ48" s="2163"/>
      <c r="BR48" s="2619"/>
      <c r="BT48" s="2163">
        <f t="shared" si="203"/>
        <v>28.366666666666667</v>
      </c>
      <c r="BU48" s="2620">
        <f t="shared" si="204"/>
        <v>0.76666666666666672</v>
      </c>
      <c r="BV48" s="2353"/>
      <c r="BW48" s="4636"/>
      <c r="BY48" s="4626"/>
      <c r="CC48" s="2011"/>
      <c r="CD48" s="2011"/>
      <c r="CE48" s="2011"/>
      <c r="CF48" s="2011"/>
      <c r="CG48" s="2011"/>
      <c r="CH48" s="2621"/>
    </row>
    <row r="49" spans="1:86" s="1726" customFormat="1" x14ac:dyDescent="0.2">
      <c r="B49" s="2085">
        <v>41</v>
      </c>
      <c r="C49" s="2086" t="s">
        <v>246</v>
      </c>
      <c r="D49" s="2051"/>
      <c r="E49" s="2087">
        <v>37</v>
      </c>
      <c r="F49" s="2088">
        <f t="shared" si="226"/>
        <v>3.7</v>
      </c>
      <c r="G49" s="2088">
        <f t="shared" si="227"/>
        <v>2.4666666666666668</v>
      </c>
      <c r="H49" s="2088">
        <f t="shared" si="228"/>
        <v>1.85</v>
      </c>
      <c r="I49" s="2088">
        <f t="shared" si="229"/>
        <v>1.48</v>
      </c>
      <c r="J49" s="2088">
        <f t="shared" si="189"/>
        <v>1.2333333333333334</v>
      </c>
      <c r="K49" s="2089">
        <f t="shared" si="230"/>
        <v>0.11481768813033359</v>
      </c>
      <c r="L49" s="1931"/>
      <c r="M49" s="1924"/>
      <c r="N49" s="2284">
        <f t="shared" ref="N49:S49" si="239">IF(N44&gt;$J$55,$J$49,IF(N44&lt;$J$55,(IF(N44&lt;0,0,N44*$K$49))))</f>
        <v>1.2333333333333334</v>
      </c>
      <c r="O49" s="2088">
        <f t="shared" si="239"/>
        <v>1.2333333333333334</v>
      </c>
      <c r="P49" s="2088">
        <f t="shared" si="239"/>
        <v>1.2333333333333334</v>
      </c>
      <c r="Q49" s="2088">
        <f t="shared" si="239"/>
        <v>1.2333333333333334</v>
      </c>
      <c r="R49" s="2088">
        <f t="shared" si="239"/>
        <v>1.2333333333333334</v>
      </c>
      <c r="S49" s="2088">
        <f t="shared" si="239"/>
        <v>1.2333333333333334</v>
      </c>
      <c r="T49" s="2091">
        <f t="shared" ref="T49" si="240">IF(T44&gt;$J$55,$J$49,IF(T44&lt;$J$55,(IF(T44&lt;0,0,T44*$K$49))))</f>
        <v>1.2333333333333334</v>
      </c>
      <c r="U49" s="1814"/>
      <c r="V49" s="2090">
        <f t="shared" si="82"/>
        <v>8.6333333333333329</v>
      </c>
      <c r="W49" s="2087">
        <f>$J$49*0</f>
        <v>0</v>
      </c>
      <c r="X49" s="2174">
        <f>V49-W49</f>
        <v>8.6333333333333329</v>
      </c>
      <c r="Y49" s="1766"/>
      <c r="Z49" s="2090">
        <f t="shared" ref="Z49" si="241">IF(Z44&gt;$J$55,$J$49,IF(Z44&lt;$J$55,(IF(Z44&lt;0,0,Z44*$K$49))))</f>
        <v>1.2333333333333334</v>
      </c>
      <c r="AA49" s="2087">
        <f t="shared" ref="AA49" si="242">IF(AA44&gt;$J$55,$J$49,IF(AA44&lt;$J$55,(IF(AA44&lt;0,0,AA44*$K$49))))</f>
        <v>1.2333333333333334</v>
      </c>
      <c r="AB49" s="2087">
        <f t="shared" ref="AB49:AC49" si="243">IF(AB44&gt;$J$55,$J$49,IF(AB44&lt;$J$55,(IF(AB44&lt;0,0,AB44*$K$49))))</f>
        <v>1.2333333333333334</v>
      </c>
      <c r="AC49" s="2087">
        <f t="shared" si="243"/>
        <v>1.2333333333333334</v>
      </c>
      <c r="AD49" s="2087">
        <f t="shared" ref="AD49:AE49" si="244">IF(AD44&gt;$J$55,$J$49,IF(AD44&lt;$J$55,(IF(AD44&lt;0,0,AD44*$K$49))))</f>
        <v>1.2333333333333334</v>
      </c>
      <c r="AE49" s="2087">
        <f t="shared" si="244"/>
        <v>1.2333333333333334</v>
      </c>
      <c r="AF49" s="2091">
        <f t="shared" ref="AF49" si="245">IF(AF44&gt;$J$55,$J$49,IF(AF44&lt;$J$55,(IF(AF44&lt;0,0,AF44*$K$49))))</f>
        <v>1.2333333333333334</v>
      </c>
      <c r="AG49" s="1766"/>
      <c r="AH49" s="2090">
        <f t="shared" si="214"/>
        <v>8.6333333333333329</v>
      </c>
      <c r="AI49" s="2087">
        <f>$J$49*0</f>
        <v>0</v>
      </c>
      <c r="AJ49" s="2174">
        <f t="shared" si="215"/>
        <v>8.6333333333333329</v>
      </c>
      <c r="AK49" s="1766"/>
      <c r="AL49" s="2090">
        <f t="shared" ref="AL49:AM49" si="246">IF(AL44&gt;$J$55,$J$49,IF(AL44&lt;$J$55,(IF(AL44&lt;0,0,AL44*$K$49))))</f>
        <v>1.2333333333333334</v>
      </c>
      <c r="AM49" s="2088">
        <f t="shared" si="246"/>
        <v>1.2333333333333334</v>
      </c>
      <c r="AN49" s="2088">
        <f t="shared" ref="AN49" si="247">IF(AN44&gt;$J$55,$J$49,IF(AN44&lt;$J$55,(IF(AN44&lt;0,0,AN44*$K$49))))</f>
        <v>1.2333333333333334</v>
      </c>
      <c r="AO49" s="2088">
        <f t="shared" ref="AO49:AR49" si="248">IF(AO44&gt;$J$55,$J$49,IF(AO44&lt;$J$55,(IF(AO44&lt;0,0,AO44*$K$49))))</f>
        <v>1.2333333333333334</v>
      </c>
      <c r="AP49" s="2088">
        <f t="shared" si="248"/>
        <v>1.2333333333333334</v>
      </c>
      <c r="AQ49" s="2088">
        <f t="shared" si="248"/>
        <v>1.2333333333333334</v>
      </c>
      <c r="AR49" s="2091">
        <f t="shared" si="248"/>
        <v>1.2333333333333334</v>
      </c>
      <c r="AS49" s="1814"/>
      <c r="AT49" s="2090">
        <f t="shared" si="219"/>
        <v>8.6333333333333329</v>
      </c>
      <c r="AU49" s="2087">
        <f>$J$49*0</f>
        <v>0</v>
      </c>
      <c r="AV49" s="2174">
        <f t="shared" si="220"/>
        <v>8.6333333333333329</v>
      </c>
      <c r="AW49" s="1814"/>
      <c r="AX49" s="2090">
        <f t="shared" ref="AX49:AY49" si="249">IF(AX44&gt;$J$55,$J$49,IF(AX44&lt;$J$55,(IF(AX44&lt;0,0,AX44*$K$49))))</f>
        <v>1.2333333333333334</v>
      </c>
      <c r="AY49" s="2087">
        <f t="shared" si="249"/>
        <v>1.2333333333333334</v>
      </c>
      <c r="AZ49" s="2087">
        <f t="shared" ref="AZ49:BD49" si="250">IF(AZ44&gt;$J$55,$J$49,IF(AZ44&lt;$J$55,(IF(AZ44&lt;0,0,AZ44*$K$49))))</f>
        <v>0</v>
      </c>
      <c r="BA49" s="2087">
        <f t="shared" si="250"/>
        <v>0</v>
      </c>
      <c r="BB49" s="2087">
        <f t="shared" si="250"/>
        <v>0</v>
      </c>
      <c r="BC49" s="2087">
        <f t="shared" si="250"/>
        <v>0</v>
      </c>
      <c r="BD49" s="2091">
        <f t="shared" si="250"/>
        <v>0</v>
      </c>
      <c r="BE49" s="1814"/>
      <c r="BF49" s="2090">
        <f t="shared" si="223"/>
        <v>2.4666666666666668</v>
      </c>
      <c r="BG49" s="2087">
        <f>$J$49*0</f>
        <v>0</v>
      </c>
      <c r="BH49" s="2174">
        <f t="shared" si="224"/>
        <v>2.4666666666666668</v>
      </c>
      <c r="BI49" s="1814"/>
      <c r="BJ49" s="2090">
        <f>IF(BJ44&gt;$J$55,$J$49,IF(BJ44&lt;$J$55,(IF(BJ44&lt;0,0,BJ44*$K$49))))</f>
        <v>0</v>
      </c>
      <c r="BK49" s="2091">
        <f>IF(BK44&gt;$J$55,$J$49,IF(BK44&lt;$J$55,(IF(BK44&lt;0,0,BK44*$K$49))))</f>
        <v>0</v>
      </c>
      <c r="BL49" s="1814"/>
      <c r="BM49" s="2090">
        <f t="shared" si="202"/>
        <v>0</v>
      </c>
      <c r="BN49" s="2087">
        <f>$J$49*0</f>
        <v>0</v>
      </c>
      <c r="BO49" s="2174">
        <f t="shared" si="225"/>
        <v>0</v>
      </c>
      <c r="BQ49" s="2090"/>
      <c r="BR49" s="2159"/>
      <c r="BS49" s="1740"/>
      <c r="BT49" s="2090">
        <f t="shared" si="203"/>
        <v>28.366666666666667</v>
      </c>
      <c r="BU49" s="2160">
        <f t="shared" si="204"/>
        <v>0.76666666666666672</v>
      </c>
      <c r="BV49" s="2351"/>
      <c r="BW49" s="4636"/>
      <c r="BY49" s="4626"/>
      <c r="BZ49" s="1830"/>
      <c r="CA49" s="2131"/>
      <c r="CB49" s="1830"/>
      <c r="CC49" s="1860"/>
      <c r="CD49" s="1860"/>
      <c r="CE49" s="1860"/>
      <c r="CF49" s="1860"/>
      <c r="CG49" s="1860"/>
      <c r="CH49" s="1998"/>
    </row>
    <row r="50" spans="1:86" s="1885" customFormat="1" x14ac:dyDescent="0.2">
      <c r="B50" s="2182">
        <v>42</v>
      </c>
      <c r="C50" s="2175" t="s">
        <v>243</v>
      </c>
      <c r="D50" s="2119"/>
      <c r="E50" s="2170">
        <v>29.5</v>
      </c>
      <c r="F50" s="2176">
        <f t="shared" si="226"/>
        <v>2.95</v>
      </c>
      <c r="G50" s="2176">
        <f t="shared" si="227"/>
        <v>1.9666666666666666</v>
      </c>
      <c r="H50" s="2176">
        <f t="shared" si="228"/>
        <v>1.4750000000000001</v>
      </c>
      <c r="I50" s="2176">
        <f t="shared" si="229"/>
        <v>1.18</v>
      </c>
      <c r="J50" s="2176">
        <f t="shared" si="189"/>
        <v>0.98333333333333328</v>
      </c>
      <c r="K50" s="2177">
        <f t="shared" si="230"/>
        <v>9.154383242823895E-2</v>
      </c>
      <c r="L50" s="2003"/>
      <c r="M50" s="1950"/>
      <c r="N50" s="2415">
        <f t="shared" ref="N50:S50" si="251">IF(N44&gt;$J$55,$J$50,IF(N44&lt;$J$55,(IF(N44&lt;0,0,N44*$K$50))))</f>
        <v>0.98333333333333328</v>
      </c>
      <c r="O50" s="2176">
        <f t="shared" si="251"/>
        <v>0.98333333333333328</v>
      </c>
      <c r="P50" s="2176">
        <f t="shared" si="251"/>
        <v>0.98333333333333328</v>
      </c>
      <c r="Q50" s="2176">
        <f t="shared" si="251"/>
        <v>0.98333333333333328</v>
      </c>
      <c r="R50" s="2176">
        <f t="shared" si="251"/>
        <v>0.98333333333333328</v>
      </c>
      <c r="S50" s="2176">
        <f t="shared" si="251"/>
        <v>0.98333333333333328</v>
      </c>
      <c r="T50" s="2171">
        <f t="shared" ref="T50" si="252">IF(T44&gt;$J$55,$J$50,IF(T44&lt;$J$55,(IF(T44&lt;0,0,T44*$K$50))))</f>
        <v>0.98333333333333328</v>
      </c>
      <c r="U50" s="1951"/>
      <c r="V50" s="2169">
        <f t="shared" si="82"/>
        <v>6.8833333333333329</v>
      </c>
      <c r="W50" s="2176">
        <f>$J$50*0</f>
        <v>0</v>
      </c>
      <c r="X50" s="2171">
        <f t="shared" ref="X50:X67" si="253">V50-W50</f>
        <v>6.8833333333333329</v>
      </c>
      <c r="Y50" s="1956"/>
      <c r="Z50" s="2169">
        <f t="shared" ref="Z50" si="254">IF(Z44&gt;$J$55,$J$50,IF(Z44&lt;$J$55,(IF(Z44&lt;0,0,Z44*$K$50))))</f>
        <v>0.98333333333333328</v>
      </c>
      <c r="AA50" s="2176">
        <f t="shared" ref="AA50" si="255">IF(AA44&gt;$J$55,$J$50,IF(AA44&lt;$J$55,(IF(AA44&lt;0,0,AA44*$K$50))))</f>
        <v>0.98333333333333328</v>
      </c>
      <c r="AB50" s="2176">
        <f t="shared" ref="AB50:AC50" si="256">IF(AB44&gt;$J$55,$J$50,IF(AB44&lt;$J$55,(IF(AB44&lt;0,0,AB44*$K$50))))</f>
        <v>0.98333333333333328</v>
      </c>
      <c r="AC50" s="2176">
        <f t="shared" si="256"/>
        <v>0.98333333333333328</v>
      </c>
      <c r="AD50" s="2176">
        <f t="shared" ref="AD50:AE50" si="257">IF(AD44&gt;$J$55,$J$50,IF(AD44&lt;$J$55,(IF(AD44&lt;0,0,AD44*$K$50))))</f>
        <v>0.98333333333333328</v>
      </c>
      <c r="AE50" s="2176">
        <f t="shared" si="257"/>
        <v>0.98333333333333328</v>
      </c>
      <c r="AF50" s="2171">
        <f t="shared" ref="AF50" si="258">IF(AF44&gt;$J$55,$J$50,IF(AF44&lt;$J$55,(IF(AF44&lt;0,0,AF44*$K$50))))</f>
        <v>0.98333333333333328</v>
      </c>
      <c r="AG50" s="1956"/>
      <c r="AH50" s="2169">
        <f t="shared" si="214"/>
        <v>6.8833333333333329</v>
      </c>
      <c r="AI50" s="2176">
        <f>$J$50*0</f>
        <v>0</v>
      </c>
      <c r="AJ50" s="2171">
        <f t="shared" si="215"/>
        <v>6.8833333333333329</v>
      </c>
      <c r="AK50" s="1956"/>
      <c r="AL50" s="2169">
        <f t="shared" ref="AL50:AM50" si="259">IF(AL44&gt;$J$55,$J$50,IF(AL44&lt;$J$55,(IF(AL44&lt;0,0,AL44*$K$50))))</f>
        <v>0.98333333333333328</v>
      </c>
      <c r="AM50" s="2176">
        <f t="shared" si="259"/>
        <v>0.98333333333333328</v>
      </c>
      <c r="AN50" s="2176">
        <f t="shared" ref="AN50" si="260">IF(AN44&gt;$J$55,$J$50,IF(AN44&lt;$J$55,(IF(AN44&lt;0,0,AN44*$K$50))))</f>
        <v>0.98333333333333328</v>
      </c>
      <c r="AO50" s="2176">
        <f t="shared" ref="AO50:AR50" si="261">IF(AO44&gt;$J$55,$J$50,IF(AO44&lt;$J$55,(IF(AO44&lt;0,0,AO44*$K$50))))</f>
        <v>0.98333333333333328</v>
      </c>
      <c r="AP50" s="2176">
        <f t="shared" si="261"/>
        <v>0.98333333333333328</v>
      </c>
      <c r="AQ50" s="2176">
        <f t="shared" si="261"/>
        <v>0.98333333333333328</v>
      </c>
      <c r="AR50" s="2171">
        <f t="shared" si="261"/>
        <v>0.98333333333333328</v>
      </c>
      <c r="AS50" s="1951"/>
      <c r="AT50" s="2169">
        <f t="shared" si="219"/>
        <v>6.8833333333333329</v>
      </c>
      <c r="AU50" s="2176">
        <f>$J$50*0</f>
        <v>0</v>
      </c>
      <c r="AV50" s="2171">
        <f t="shared" si="220"/>
        <v>6.8833333333333329</v>
      </c>
      <c r="AW50" s="1951"/>
      <c r="AX50" s="2169">
        <f t="shared" ref="AX50:AY50" si="262">IF(AX44&gt;$J$55,$J$50,IF(AX44&lt;$J$55,(IF(AX44&lt;0,0,AX44*$K$50))))</f>
        <v>0.98333333333333328</v>
      </c>
      <c r="AY50" s="2170">
        <f t="shared" si="262"/>
        <v>0.98333333333333328</v>
      </c>
      <c r="AZ50" s="2170">
        <f t="shared" ref="AZ50:BD50" si="263">IF(AZ44&gt;$J$55,$J$50,IF(AZ44&lt;$J$55,(IF(AZ44&lt;0,0,AZ44*$K$50))))</f>
        <v>0</v>
      </c>
      <c r="BA50" s="2170">
        <f t="shared" si="263"/>
        <v>0</v>
      </c>
      <c r="BB50" s="2170">
        <f t="shared" si="263"/>
        <v>0</v>
      </c>
      <c r="BC50" s="2170">
        <f t="shared" si="263"/>
        <v>0</v>
      </c>
      <c r="BD50" s="2171">
        <f t="shared" si="263"/>
        <v>0</v>
      </c>
      <c r="BE50" s="1951"/>
      <c r="BF50" s="2169">
        <f t="shared" si="223"/>
        <v>1.9666666666666666</v>
      </c>
      <c r="BG50" s="2176">
        <f>$J$50*0</f>
        <v>0</v>
      </c>
      <c r="BH50" s="2171">
        <f t="shared" si="224"/>
        <v>1.9666666666666666</v>
      </c>
      <c r="BI50" s="1951"/>
      <c r="BJ50" s="2169">
        <f>IF(BJ44&gt;$J$55,$J$50,IF(BJ44&lt;$J$55,(IF(BJ44&lt;0,0,BJ44*$K$50))))</f>
        <v>0</v>
      </c>
      <c r="BK50" s="2171">
        <f>IF(BK44&gt;$J$55,$J$50,IF(BK44&lt;$J$55,(IF(BK44&lt;0,0,BK44*$K$50))))</f>
        <v>0</v>
      </c>
      <c r="BL50" s="1951"/>
      <c r="BM50" s="2169">
        <f t="shared" si="202"/>
        <v>0</v>
      </c>
      <c r="BN50" s="2176">
        <f>$J$50*0</f>
        <v>0</v>
      </c>
      <c r="BO50" s="2171">
        <f t="shared" si="225"/>
        <v>0</v>
      </c>
      <c r="BQ50" s="2179"/>
      <c r="BR50" s="2180"/>
      <c r="BS50" s="1900"/>
      <c r="BT50" s="2179">
        <f t="shared" si="203"/>
        <v>22.616666666666664</v>
      </c>
      <c r="BU50" s="2181">
        <f t="shared" si="204"/>
        <v>0.76666666666666661</v>
      </c>
      <c r="BV50" s="2353"/>
      <c r="BW50" s="4636"/>
      <c r="BY50" s="4626"/>
      <c r="BZ50" s="1962"/>
      <c r="CA50" s="2339"/>
      <c r="CB50" s="1962"/>
      <c r="CC50" s="1946"/>
      <c r="CD50" s="1946"/>
      <c r="CE50" s="1946"/>
      <c r="CF50" s="1946"/>
      <c r="CG50" s="1946"/>
      <c r="CH50" s="2012"/>
    </row>
    <row r="51" spans="1:86" s="1726" customFormat="1" x14ac:dyDescent="0.2">
      <c r="A51" s="1756"/>
      <c r="B51" s="2085">
        <v>43</v>
      </c>
      <c r="C51" s="2086" t="s">
        <v>118</v>
      </c>
      <c r="D51" s="2051"/>
      <c r="E51" s="2087">
        <v>18.75</v>
      </c>
      <c r="F51" s="2088">
        <f t="shared" si="226"/>
        <v>1.875</v>
      </c>
      <c r="G51" s="2088">
        <f t="shared" si="227"/>
        <v>1.25</v>
      </c>
      <c r="H51" s="2088">
        <f t="shared" si="228"/>
        <v>0.9375</v>
      </c>
      <c r="I51" s="2088">
        <f t="shared" si="229"/>
        <v>0.75</v>
      </c>
      <c r="J51" s="2088">
        <f t="shared" si="189"/>
        <v>0.625</v>
      </c>
      <c r="K51" s="2089">
        <f t="shared" si="230"/>
        <v>5.818463925523662E-2</v>
      </c>
      <c r="L51" s="1931"/>
      <c r="M51" s="1924"/>
      <c r="N51" s="2284">
        <f t="shared" ref="N51:S51" si="264">IF(N44&gt;$J$55,$J$51,IF(N44&lt;$J$55,(IF(N44&lt;0,0,N44*$K$51))))</f>
        <v>0.625</v>
      </c>
      <c r="O51" s="2088">
        <f t="shared" si="264"/>
        <v>0.625</v>
      </c>
      <c r="P51" s="2088">
        <f t="shared" si="264"/>
        <v>0.625</v>
      </c>
      <c r="Q51" s="2088">
        <f t="shared" si="264"/>
        <v>0.625</v>
      </c>
      <c r="R51" s="2088">
        <f t="shared" si="264"/>
        <v>0.625</v>
      </c>
      <c r="S51" s="2088">
        <f t="shared" si="264"/>
        <v>0.625</v>
      </c>
      <c r="T51" s="2091">
        <f t="shared" ref="T51" si="265">IF(T44&gt;$J$55,$J$51,IF(T44&lt;$J$55,(IF(T44&lt;0,0,T44*$K$51))))</f>
        <v>0.625</v>
      </c>
      <c r="U51" s="1814"/>
      <c r="V51" s="2090">
        <f t="shared" si="82"/>
        <v>4.375</v>
      </c>
      <c r="W51" s="2088">
        <f>$J$51*0</f>
        <v>0</v>
      </c>
      <c r="X51" s="2091">
        <f t="shared" si="253"/>
        <v>4.375</v>
      </c>
      <c r="Y51" s="1766"/>
      <c r="Z51" s="2090">
        <f t="shared" ref="Z51" si="266">IF(Z44&gt;$J$55,$J$51,IF(Z44&lt;$J$55,(IF(Z44&lt;0,0,Z44*$K$51))))</f>
        <v>0.625</v>
      </c>
      <c r="AA51" s="2088">
        <f t="shared" ref="AA51" si="267">IF(AA44&gt;$J$55,$J$51,IF(AA44&lt;$J$55,(IF(AA44&lt;0,0,AA44*$K$51))))</f>
        <v>0.625</v>
      </c>
      <c r="AB51" s="2088">
        <f t="shared" ref="AB51:AC51" si="268">IF(AB44&gt;$J$55,$J$51,IF(AB44&lt;$J$55,(IF(AB44&lt;0,0,AB44*$K$51))))</f>
        <v>0.625</v>
      </c>
      <c r="AC51" s="2088">
        <f t="shared" si="268"/>
        <v>0.625</v>
      </c>
      <c r="AD51" s="2088">
        <f t="shared" ref="AD51:AE51" si="269">IF(AD44&gt;$J$55,$J$51,IF(AD44&lt;$J$55,(IF(AD44&lt;0,0,AD44*$K$51))))</f>
        <v>0.625</v>
      </c>
      <c r="AE51" s="2088">
        <f t="shared" si="269"/>
        <v>0.625</v>
      </c>
      <c r="AF51" s="2091">
        <f t="shared" ref="AF51" si="270">IF(AF44&gt;$J$55,$J$51,IF(AF44&lt;$J$55,(IF(AF44&lt;0,0,AF44*$K$51))))</f>
        <v>0.625</v>
      </c>
      <c r="AG51" s="1766"/>
      <c r="AH51" s="2090">
        <f t="shared" si="214"/>
        <v>4.375</v>
      </c>
      <c r="AI51" s="2088">
        <f>$J$51*0</f>
        <v>0</v>
      </c>
      <c r="AJ51" s="2091">
        <f t="shared" si="215"/>
        <v>4.375</v>
      </c>
      <c r="AK51" s="1766"/>
      <c r="AL51" s="2090">
        <f t="shared" ref="AL51:AM51" si="271">IF(AL44&gt;$J$55,$J$51,IF(AL44&lt;$J$55,(IF(AL44&lt;0,0,AL44*$K$51))))</f>
        <v>0.625</v>
      </c>
      <c r="AM51" s="2088">
        <f t="shared" si="271"/>
        <v>0.625</v>
      </c>
      <c r="AN51" s="2088">
        <f t="shared" ref="AN51" si="272">IF(AN44&gt;$J$55,$J$51,IF(AN44&lt;$J$55,(IF(AN44&lt;0,0,AN44*$K$51))))</f>
        <v>0.625</v>
      </c>
      <c r="AO51" s="2088">
        <f t="shared" ref="AO51:AR51" si="273">IF(AO44&gt;$J$55,$J$51,IF(AO44&lt;$J$55,(IF(AO44&lt;0,0,AO44*$K$51))))</f>
        <v>0.625</v>
      </c>
      <c r="AP51" s="2088">
        <f t="shared" si="273"/>
        <v>0.625</v>
      </c>
      <c r="AQ51" s="2088">
        <f t="shared" si="273"/>
        <v>0.625</v>
      </c>
      <c r="AR51" s="2091">
        <f t="shared" si="273"/>
        <v>0.625</v>
      </c>
      <c r="AS51" s="1814"/>
      <c r="AT51" s="2090">
        <f t="shared" si="219"/>
        <v>4.375</v>
      </c>
      <c r="AU51" s="2088">
        <f>$J$51*0</f>
        <v>0</v>
      </c>
      <c r="AV51" s="2091">
        <f t="shared" si="220"/>
        <v>4.375</v>
      </c>
      <c r="AW51" s="1814"/>
      <c r="AX51" s="2090">
        <f t="shared" ref="AX51:AY51" si="274">IF(AX44&gt;$J$55,$J$51,IF(AX44&lt;$J$55,(IF(AX44&lt;0,0,AX44*$K$51))))</f>
        <v>0.625</v>
      </c>
      <c r="AY51" s="2087">
        <f t="shared" si="274"/>
        <v>0.625</v>
      </c>
      <c r="AZ51" s="2087">
        <f t="shared" ref="AZ51:BD51" si="275">IF(AZ44&gt;$J$55,$J$51,IF(AZ44&lt;$J$55,(IF(AZ44&lt;0,0,AZ44*$K$51))))</f>
        <v>0</v>
      </c>
      <c r="BA51" s="2087">
        <f t="shared" si="275"/>
        <v>0</v>
      </c>
      <c r="BB51" s="2087">
        <f t="shared" si="275"/>
        <v>0</v>
      </c>
      <c r="BC51" s="2087">
        <f t="shared" si="275"/>
        <v>0</v>
      </c>
      <c r="BD51" s="2091">
        <f t="shared" si="275"/>
        <v>0</v>
      </c>
      <c r="BE51" s="1814"/>
      <c r="BF51" s="2090">
        <f t="shared" si="223"/>
        <v>1.25</v>
      </c>
      <c r="BG51" s="2088">
        <f>$J$51*0</f>
        <v>0</v>
      </c>
      <c r="BH51" s="2091">
        <f t="shared" si="224"/>
        <v>1.25</v>
      </c>
      <c r="BI51" s="1814"/>
      <c r="BJ51" s="2090">
        <f>IF(BJ44&gt;$J$55,$J$51,IF(BJ44&lt;$J$55,(IF(BJ44&lt;0,0,BJ44*$K$51))))</f>
        <v>0</v>
      </c>
      <c r="BK51" s="2091">
        <f>IF(BK44&gt;$J$55,$J$51,IF(BK44&lt;$J$55,(IF(BK44&lt;0,0,BK44*$K$51))))</f>
        <v>0</v>
      </c>
      <c r="BL51" s="1814"/>
      <c r="BM51" s="2090">
        <f t="shared" si="202"/>
        <v>0</v>
      </c>
      <c r="BN51" s="2088">
        <f>$J$51*0</f>
        <v>0</v>
      </c>
      <c r="BO51" s="2091">
        <f t="shared" si="225"/>
        <v>0</v>
      </c>
      <c r="BQ51" s="2092"/>
      <c r="BR51" s="2093"/>
      <c r="BS51" s="1740"/>
      <c r="BT51" s="2092">
        <f t="shared" si="203"/>
        <v>14.375</v>
      </c>
      <c r="BU51" s="2094">
        <f t="shared" si="204"/>
        <v>0.76666666666666672</v>
      </c>
      <c r="BV51" s="2351"/>
      <c r="BW51" s="4636"/>
      <c r="BY51" s="4626"/>
      <c r="BZ51" s="2794"/>
      <c r="CA51" s="2794"/>
      <c r="CB51" s="1860"/>
      <c r="CC51" s="1860"/>
      <c r="CD51" s="1860"/>
      <c r="CE51" s="1860"/>
      <c r="CF51" s="1860"/>
      <c r="CG51" s="1860"/>
      <c r="CH51" s="1998"/>
    </row>
    <row r="52" spans="1:86" s="1885" customFormat="1" x14ac:dyDescent="0.2">
      <c r="B52" s="2182">
        <v>44</v>
      </c>
      <c r="C52" s="2175" t="s">
        <v>123</v>
      </c>
      <c r="D52" s="2119"/>
      <c r="E52" s="2170">
        <v>25</v>
      </c>
      <c r="F52" s="2176">
        <f t="shared" si="226"/>
        <v>2.5</v>
      </c>
      <c r="G52" s="2176">
        <f t="shared" si="227"/>
        <v>1.6666666666666667</v>
      </c>
      <c r="H52" s="2176">
        <f t="shared" si="228"/>
        <v>1.25</v>
      </c>
      <c r="I52" s="2176">
        <f t="shared" si="229"/>
        <v>1</v>
      </c>
      <c r="J52" s="2176">
        <f t="shared" si="189"/>
        <v>0.83333333333333337</v>
      </c>
      <c r="K52" s="2177">
        <f t="shared" si="230"/>
        <v>7.7579519006982151E-2</v>
      </c>
      <c r="L52" s="2003"/>
      <c r="M52" s="1950"/>
      <c r="N52" s="2415">
        <f t="shared" ref="N52:S52" si="276">IF(N44&gt;$J$55,$J$52,IF(N44&lt;$J$55,(IF(N44&lt;0,0,N44*$K$52))))</f>
        <v>0.83333333333333337</v>
      </c>
      <c r="O52" s="2176">
        <f t="shared" si="276"/>
        <v>0.83333333333333337</v>
      </c>
      <c r="P52" s="2176">
        <f t="shared" si="276"/>
        <v>0.83333333333333337</v>
      </c>
      <c r="Q52" s="2176">
        <f t="shared" si="276"/>
        <v>0.83333333333333337</v>
      </c>
      <c r="R52" s="2176">
        <f t="shared" si="276"/>
        <v>0.83333333333333337</v>
      </c>
      <c r="S52" s="2176">
        <f t="shared" si="276"/>
        <v>0.83333333333333337</v>
      </c>
      <c r="T52" s="2171">
        <f t="shared" ref="T52" si="277">IF(T44&gt;$J$55,$J$52,IF(T44&lt;$J$55,(IF(T44&lt;0,0,T44*$K$52))))</f>
        <v>0.83333333333333337</v>
      </c>
      <c r="U52" s="1951"/>
      <c r="V52" s="2169">
        <f t="shared" si="82"/>
        <v>5.833333333333333</v>
      </c>
      <c r="W52" s="2176">
        <f>$J$52*0</f>
        <v>0</v>
      </c>
      <c r="X52" s="2171">
        <f t="shared" si="253"/>
        <v>5.833333333333333</v>
      </c>
      <c r="Y52" s="1956"/>
      <c r="Z52" s="2169">
        <f t="shared" ref="Z52" si="278">IF(Z44&gt;$J$55,$J$52,IF(Z44&lt;$J$55,(IF(Z44&lt;0,0,Z44*$K$52))))</f>
        <v>0.83333333333333337</v>
      </c>
      <c r="AA52" s="2176">
        <f t="shared" ref="AA52" si="279">IF(AA44&gt;$J$55,$J$52,IF(AA44&lt;$J$55,(IF(AA44&lt;0,0,AA44*$K$52))))</f>
        <v>0.83333333333333337</v>
      </c>
      <c r="AB52" s="2176">
        <f t="shared" ref="AB52:AC52" si="280">IF(AB44&gt;$J$55,$J$52,IF(AB44&lt;$J$55,(IF(AB44&lt;0,0,AB44*$K$52))))</f>
        <v>0.83333333333333337</v>
      </c>
      <c r="AC52" s="2176">
        <f t="shared" si="280"/>
        <v>0.83333333333333337</v>
      </c>
      <c r="AD52" s="2176">
        <f t="shared" ref="AD52:AE52" si="281">IF(AD44&gt;$J$55,$J$52,IF(AD44&lt;$J$55,(IF(AD44&lt;0,0,AD44*$K$52))))</f>
        <v>0.83333333333333337</v>
      </c>
      <c r="AE52" s="2176">
        <f t="shared" si="281"/>
        <v>0.83333333333333337</v>
      </c>
      <c r="AF52" s="2171">
        <f t="shared" ref="AF52" si="282">IF(AF44&gt;$J$55,$J$52,IF(AF44&lt;$J$55,(IF(AF44&lt;0,0,AF44*$K$52))))</f>
        <v>0.83333333333333337</v>
      </c>
      <c r="AG52" s="1956"/>
      <c r="AH52" s="2169">
        <f t="shared" si="214"/>
        <v>5.833333333333333</v>
      </c>
      <c r="AI52" s="2176">
        <f>$J$52*0</f>
        <v>0</v>
      </c>
      <c r="AJ52" s="2171">
        <f t="shared" si="215"/>
        <v>5.833333333333333</v>
      </c>
      <c r="AK52" s="1956"/>
      <c r="AL52" s="2169">
        <f t="shared" ref="AL52:AM52" si="283">IF(AL44&gt;$J$55,$J$52,IF(AL44&lt;$J$55,(IF(AL44&lt;0,0,AL44*$K$52))))</f>
        <v>0.83333333333333337</v>
      </c>
      <c r="AM52" s="2176">
        <f t="shared" si="283"/>
        <v>0.83333333333333337</v>
      </c>
      <c r="AN52" s="2176">
        <f t="shared" ref="AN52" si="284">IF(AN44&gt;$J$55,$J$52,IF(AN44&lt;$J$55,(IF(AN44&lt;0,0,AN44*$K$52))))</f>
        <v>0.83333333333333337</v>
      </c>
      <c r="AO52" s="2176">
        <f t="shared" ref="AO52:AR52" si="285">IF(AO44&gt;$J$55,$J$52,IF(AO44&lt;$J$55,(IF(AO44&lt;0,0,AO44*$K$52))))</f>
        <v>0.83333333333333337</v>
      </c>
      <c r="AP52" s="2176">
        <f t="shared" si="285"/>
        <v>0.83333333333333337</v>
      </c>
      <c r="AQ52" s="2176">
        <f t="shared" si="285"/>
        <v>0.83333333333333337</v>
      </c>
      <c r="AR52" s="2171">
        <f t="shared" si="285"/>
        <v>0.83333333333333337</v>
      </c>
      <c r="AS52" s="1951"/>
      <c r="AT52" s="2169">
        <f t="shared" si="219"/>
        <v>5.833333333333333</v>
      </c>
      <c r="AU52" s="2176">
        <f>$J$52*0</f>
        <v>0</v>
      </c>
      <c r="AV52" s="2171">
        <f t="shared" si="220"/>
        <v>5.833333333333333</v>
      </c>
      <c r="AW52" s="1951"/>
      <c r="AX52" s="2169">
        <f t="shared" ref="AX52:AY52" si="286">IF(AX44&gt;$J$55,$J$52,IF(AX44&lt;$J$55,(IF(AX44&lt;0,0,AX44*$K$52))))</f>
        <v>0.83333333333333337</v>
      </c>
      <c r="AY52" s="2170">
        <f t="shared" si="286"/>
        <v>0.83333333333333337</v>
      </c>
      <c r="AZ52" s="2170">
        <f t="shared" ref="AZ52:BD52" si="287">IF(AZ44&gt;$J$55,$J$52,IF(AZ44&lt;$J$55,(IF(AZ44&lt;0,0,AZ44*$K$52))))</f>
        <v>0</v>
      </c>
      <c r="BA52" s="2170">
        <f t="shared" si="287"/>
        <v>0</v>
      </c>
      <c r="BB52" s="2170">
        <f t="shared" si="287"/>
        <v>0</v>
      </c>
      <c r="BC52" s="2170">
        <f t="shared" si="287"/>
        <v>0</v>
      </c>
      <c r="BD52" s="2171">
        <f t="shared" si="287"/>
        <v>0</v>
      </c>
      <c r="BE52" s="1951"/>
      <c r="BF52" s="2169">
        <f t="shared" si="223"/>
        <v>1.6666666666666667</v>
      </c>
      <c r="BG52" s="2176">
        <f>$J$52*0</f>
        <v>0</v>
      </c>
      <c r="BH52" s="2171">
        <f t="shared" si="224"/>
        <v>1.6666666666666667</v>
      </c>
      <c r="BI52" s="1951"/>
      <c r="BJ52" s="2169">
        <f>IF(BJ44&gt;$J$55,$J$52,IF(BJ44&lt;$J$55,(IF(BJ44&lt;0,0,BJ44*$K$52))))</f>
        <v>0</v>
      </c>
      <c r="BK52" s="2171">
        <f>IF(BK44&gt;$J$55,$J$52,IF(BK44&lt;$J$55,(IF(BK44&lt;0,0,BK44*$K$52))))</f>
        <v>0</v>
      </c>
      <c r="BL52" s="1951"/>
      <c r="BM52" s="2169">
        <f t="shared" si="202"/>
        <v>0</v>
      </c>
      <c r="BN52" s="2176">
        <f>$J$52*0</f>
        <v>0</v>
      </c>
      <c r="BO52" s="2171">
        <f t="shared" si="225"/>
        <v>0</v>
      </c>
      <c r="BQ52" s="2179"/>
      <c r="BR52" s="2180"/>
      <c r="BS52" s="1900"/>
      <c r="BT52" s="2179">
        <f t="shared" si="203"/>
        <v>19.166666666666668</v>
      </c>
      <c r="BU52" s="2181">
        <f t="shared" si="204"/>
        <v>0.76666666666666672</v>
      </c>
      <c r="BV52" s="2353"/>
      <c r="BW52" s="4636"/>
      <c r="BY52" s="4626"/>
      <c r="BZ52" s="2789"/>
      <c r="CA52" s="2789"/>
      <c r="CB52" s="1946"/>
      <c r="CC52" s="1946"/>
      <c r="CD52" s="1946"/>
      <c r="CE52" s="1946"/>
      <c r="CF52" s="1946"/>
      <c r="CG52" s="1946"/>
      <c r="CH52" s="2012"/>
    </row>
    <row r="53" spans="1:86" s="1726" customFormat="1" ht="17.25" thickBot="1" x14ac:dyDescent="0.25">
      <c r="B53" s="2085">
        <v>45</v>
      </c>
      <c r="C53" s="2108" t="s">
        <v>119</v>
      </c>
      <c r="D53" s="2051"/>
      <c r="E53" s="2110">
        <v>4</v>
      </c>
      <c r="F53" s="2111">
        <f t="shared" si="226"/>
        <v>0.4</v>
      </c>
      <c r="G53" s="2111">
        <f t="shared" si="227"/>
        <v>0.26666666666666666</v>
      </c>
      <c r="H53" s="2111">
        <f t="shared" si="228"/>
        <v>0.2</v>
      </c>
      <c r="I53" s="2111">
        <f t="shared" si="229"/>
        <v>0.16</v>
      </c>
      <c r="J53" s="2111">
        <f t="shared" si="189"/>
        <v>0.13333333333333333</v>
      </c>
      <c r="K53" s="2112">
        <f t="shared" si="230"/>
        <v>1.2412723041117145E-2</v>
      </c>
      <c r="L53" s="1931"/>
      <c r="M53" s="1924"/>
      <c r="N53" s="2284">
        <f t="shared" ref="N53:S53" si="288">IF(N44&gt;$J$55,$J$53,IF(N44&lt;$J$55,(IF(N44&lt;0,0,N44*$K$53))))</f>
        <v>0.13333333333333333</v>
      </c>
      <c r="O53" s="2088">
        <f t="shared" si="288"/>
        <v>0.13333333333333333</v>
      </c>
      <c r="P53" s="2088">
        <f t="shared" si="288"/>
        <v>0.13333333333333333</v>
      </c>
      <c r="Q53" s="2088">
        <f t="shared" si="288"/>
        <v>0.13333333333333333</v>
      </c>
      <c r="R53" s="2088">
        <f t="shared" si="288"/>
        <v>0.13333333333333333</v>
      </c>
      <c r="S53" s="2088">
        <f t="shared" si="288"/>
        <v>0.13333333333333333</v>
      </c>
      <c r="T53" s="2091">
        <f t="shared" ref="T53" si="289">IF(T44&gt;$J$55,$J$53,IF(T44&lt;$J$55,(IF(T44&lt;0,0,T44*$K$53))))</f>
        <v>0.13333333333333333</v>
      </c>
      <c r="U53" s="1814"/>
      <c r="V53" s="2090">
        <f>SUM(N53:T53)</f>
        <v>0.93333333333333324</v>
      </c>
      <c r="W53" s="2087">
        <f>$J$53*0</f>
        <v>0</v>
      </c>
      <c r="X53" s="2174">
        <f t="shared" si="253"/>
        <v>0.93333333333333324</v>
      </c>
      <c r="Y53" s="1766"/>
      <c r="Z53" s="2090">
        <f t="shared" ref="Z53" si="290">IF(Z44&gt;$J$55,$J$53,IF(Z44&lt;$J$55,(IF(Z44&lt;0,0,Z44*$K$53))))</f>
        <v>0.13333333333333333</v>
      </c>
      <c r="AA53" s="2087">
        <f t="shared" ref="AA53" si="291">IF(AA44&gt;$J$55,$J$53,IF(AA44&lt;$J$55,(IF(AA44&lt;0,0,AA44*$K$53))))</f>
        <v>0.13333333333333333</v>
      </c>
      <c r="AB53" s="2087">
        <f t="shared" ref="AB53:AC53" si="292">IF(AB44&gt;$J$55,$J$53,IF(AB44&lt;$J$55,(IF(AB44&lt;0,0,AB44*$K$53))))</f>
        <v>0.13333333333333333</v>
      </c>
      <c r="AC53" s="2087">
        <f t="shared" si="292"/>
        <v>0.13333333333333333</v>
      </c>
      <c r="AD53" s="2087">
        <f t="shared" ref="AD53:AE53" si="293">IF(AD44&gt;$J$55,$J$53,IF(AD44&lt;$J$55,(IF(AD44&lt;0,0,AD44*$K$53))))</f>
        <v>0.13333333333333333</v>
      </c>
      <c r="AE53" s="2087">
        <f t="shared" si="293"/>
        <v>0.13333333333333333</v>
      </c>
      <c r="AF53" s="2091">
        <f t="shared" ref="AF53" si="294">IF(AF44&gt;$J$55,$J$53,IF(AF44&lt;$J$55,(IF(AF44&lt;0,0,AF44*$K$53))))</f>
        <v>0.13333333333333333</v>
      </c>
      <c r="AG53" s="1766"/>
      <c r="AH53" s="2090">
        <f t="shared" si="214"/>
        <v>0.93333333333333324</v>
      </c>
      <c r="AI53" s="2087">
        <f>$J$53*0</f>
        <v>0</v>
      </c>
      <c r="AJ53" s="2174">
        <f t="shared" si="215"/>
        <v>0.93333333333333324</v>
      </c>
      <c r="AK53" s="1766"/>
      <c r="AL53" s="2090">
        <f t="shared" ref="AL53:AM53" si="295">IF(AL44&gt;$J$55,$J$53,IF(AL44&lt;$J$55,(IF(AL44&lt;0,0,AL44*$K$53))))</f>
        <v>0.13333333333333333</v>
      </c>
      <c r="AM53" s="2088">
        <f t="shared" si="295"/>
        <v>0.13333333333333333</v>
      </c>
      <c r="AN53" s="2088">
        <f t="shared" ref="AN53" si="296">IF(AN44&gt;$J$55,$J$53,IF(AN44&lt;$J$55,(IF(AN44&lt;0,0,AN44*$K$53))))</f>
        <v>0.13333333333333333</v>
      </c>
      <c r="AO53" s="2088">
        <f t="shared" ref="AO53:AR53" si="297">IF(AO44&gt;$J$55,$J$53,IF(AO44&lt;$J$55,(IF(AO44&lt;0,0,AO44*$K$53))))</f>
        <v>0.13333333333333333</v>
      </c>
      <c r="AP53" s="2088">
        <f t="shared" si="297"/>
        <v>0.13333333333333333</v>
      </c>
      <c r="AQ53" s="2088">
        <f t="shared" si="297"/>
        <v>0.13333333333333333</v>
      </c>
      <c r="AR53" s="2091">
        <f t="shared" si="297"/>
        <v>0.13333333333333333</v>
      </c>
      <c r="AS53" s="1814"/>
      <c r="AT53" s="2090">
        <f t="shared" si="219"/>
        <v>0.93333333333333324</v>
      </c>
      <c r="AU53" s="2087">
        <f>$J$53*0</f>
        <v>0</v>
      </c>
      <c r="AV53" s="2174">
        <f t="shared" si="220"/>
        <v>0.93333333333333324</v>
      </c>
      <c r="AW53" s="1814"/>
      <c r="AX53" s="2090">
        <f t="shared" ref="AX53:AY53" si="298">IF(AX44&gt;$J$55,$J$53,IF(AX44&lt;$J$55,(IF(AX44&lt;0,0,AX44*$K$53))))</f>
        <v>0.13333333333333333</v>
      </c>
      <c r="AY53" s="2087">
        <f t="shared" si="298"/>
        <v>0.13333333333333333</v>
      </c>
      <c r="AZ53" s="2087">
        <f t="shared" ref="AZ53:BD53" si="299">IF(AZ44&gt;$J$55,$J$53,IF(AZ44&lt;$J$55,(IF(AZ44&lt;0,0,AZ44*$K$53))))</f>
        <v>0</v>
      </c>
      <c r="BA53" s="2087">
        <f t="shared" si="299"/>
        <v>0</v>
      </c>
      <c r="BB53" s="2087">
        <f t="shared" si="299"/>
        <v>0</v>
      </c>
      <c r="BC53" s="2087">
        <f t="shared" si="299"/>
        <v>0</v>
      </c>
      <c r="BD53" s="2091">
        <f t="shared" si="299"/>
        <v>0</v>
      </c>
      <c r="BE53" s="1814"/>
      <c r="BF53" s="2090">
        <f t="shared" si="223"/>
        <v>0.26666666666666666</v>
      </c>
      <c r="BG53" s="2087">
        <f>$J$53*0</f>
        <v>0</v>
      </c>
      <c r="BH53" s="2174">
        <f t="shared" si="224"/>
        <v>0.26666666666666666</v>
      </c>
      <c r="BI53" s="1814"/>
      <c r="BJ53" s="2090">
        <f>IF(BJ44&gt;$J$55,$J$53,IF(BJ44&lt;$J$55,(IF(BJ44&lt;0,0,BJ44*$K$53))))</f>
        <v>0</v>
      </c>
      <c r="BK53" s="2091">
        <f>IF(BK44&gt;$J$55,$J$53,IF(BK44&lt;$J$55,(IF(BK44&lt;0,0,BK44*$K$53))))</f>
        <v>0</v>
      </c>
      <c r="BL53" s="1814"/>
      <c r="BM53" s="2090">
        <f t="shared" si="202"/>
        <v>0</v>
      </c>
      <c r="BN53" s="2087">
        <f>$J$53*0</f>
        <v>0</v>
      </c>
      <c r="BO53" s="2174">
        <f t="shared" si="225"/>
        <v>0</v>
      </c>
      <c r="BQ53" s="2092"/>
      <c r="BR53" s="2093"/>
      <c r="BS53" s="1740"/>
      <c r="BT53" s="2092">
        <f t="shared" si="203"/>
        <v>3.0666666666666664</v>
      </c>
      <c r="BU53" s="2094">
        <f t="shared" si="204"/>
        <v>0.76666666666666661</v>
      </c>
      <c r="BV53" s="2351"/>
      <c r="BW53" s="4636"/>
      <c r="BY53" s="4626"/>
      <c r="BZ53" s="2640"/>
      <c r="CA53" s="2791"/>
      <c r="CB53" s="2791"/>
      <c r="CC53" s="2791"/>
      <c r="CD53" s="2791"/>
      <c r="CE53" s="2791"/>
      <c r="CF53" s="2791"/>
      <c r="CG53" s="2791"/>
      <c r="CH53" s="2641"/>
    </row>
    <row r="54" spans="1:86" s="1885" customFormat="1" ht="17.25" thickBot="1" x14ac:dyDescent="0.25">
      <c r="B54" s="2420">
        <v>46</v>
      </c>
      <c r="C54" s="2417" t="s">
        <v>237</v>
      </c>
      <c r="D54" s="2680"/>
      <c r="E54" s="2681">
        <v>0</v>
      </c>
      <c r="F54" s="2418">
        <f t="shared" si="226"/>
        <v>0</v>
      </c>
      <c r="G54" s="2418">
        <f t="shared" si="227"/>
        <v>0</v>
      </c>
      <c r="H54" s="2418">
        <f t="shared" si="228"/>
        <v>0</v>
      </c>
      <c r="I54" s="2418">
        <f t="shared" si="229"/>
        <v>0</v>
      </c>
      <c r="J54" s="2418">
        <f t="shared" si="189"/>
        <v>0</v>
      </c>
      <c r="K54" s="2419">
        <f t="shared" si="230"/>
        <v>0</v>
      </c>
      <c r="L54" s="2003"/>
      <c r="M54" s="1950"/>
      <c r="N54" s="2682">
        <f t="shared" ref="N54:S54" si="300">IF(N44&gt;$J$55,$J$54,IF(N44&lt;$J$55,(IF(N44&lt;0,0,N44*$K$54))))</f>
        <v>0</v>
      </c>
      <c r="O54" s="2418">
        <f t="shared" si="300"/>
        <v>0</v>
      </c>
      <c r="P54" s="2418">
        <f t="shared" si="300"/>
        <v>0</v>
      </c>
      <c r="Q54" s="2418">
        <f t="shared" si="300"/>
        <v>0</v>
      </c>
      <c r="R54" s="2418">
        <f t="shared" si="300"/>
        <v>0</v>
      </c>
      <c r="S54" s="2418">
        <f t="shared" si="300"/>
        <v>0</v>
      </c>
      <c r="T54" s="2683">
        <f t="shared" ref="T54" si="301">IF(T44&gt;$J$55,$J$54,IF(T44&lt;$J$55,(IF(T44&lt;0,0,T44*$K$54))))</f>
        <v>0</v>
      </c>
      <c r="U54" s="1951"/>
      <c r="V54" s="2179">
        <f t="shared" ref="V54:V66" si="302">SUM(N54:T54)</f>
        <v>0</v>
      </c>
      <c r="W54" s="2681">
        <f>$J$54*0</f>
        <v>0</v>
      </c>
      <c r="X54" s="2684">
        <f t="shared" si="253"/>
        <v>0</v>
      </c>
      <c r="Y54" s="1956"/>
      <c r="Z54" s="2179">
        <f t="shared" ref="Z54" si="303">IF(Z44&gt;$J$55,$J$54,IF(Z44&lt;$J$55,(IF(Z44&lt;0,0,Z44*$K$54))))</f>
        <v>0</v>
      </c>
      <c r="AA54" s="2681">
        <f t="shared" ref="AA54" si="304">IF(AA44&gt;$J$55,$J$54,IF(AA44&lt;$J$55,(IF(AA44&lt;0,0,AA44*$K$54))))</f>
        <v>0</v>
      </c>
      <c r="AB54" s="2681">
        <f t="shared" ref="AB54:AC54" si="305">IF(AB44&gt;$J$55,$J$54,IF(AB44&lt;$J$55,(IF(AB44&lt;0,0,AB44*$K$54))))</f>
        <v>0</v>
      </c>
      <c r="AC54" s="2681">
        <f t="shared" si="305"/>
        <v>0</v>
      </c>
      <c r="AD54" s="2681">
        <f t="shared" ref="AD54:AE54" si="306">IF(AD44&gt;$J$55,$J$54,IF(AD44&lt;$J$55,(IF(AD44&lt;0,0,AD44*$K$54))))</f>
        <v>0</v>
      </c>
      <c r="AE54" s="2681">
        <f t="shared" si="306"/>
        <v>0</v>
      </c>
      <c r="AF54" s="2683">
        <f t="shared" ref="AF54" si="307">IF(AF44&gt;$J$55,$J$54,IF(AF44&lt;$J$55,(IF(AF44&lt;0,0,AF44*$K$54))))</f>
        <v>0</v>
      </c>
      <c r="AG54" s="1956"/>
      <c r="AH54" s="2179">
        <f t="shared" si="214"/>
        <v>0</v>
      </c>
      <c r="AI54" s="2681">
        <f>$J$54*0</f>
        <v>0</v>
      </c>
      <c r="AJ54" s="2684">
        <f t="shared" si="215"/>
        <v>0</v>
      </c>
      <c r="AK54" s="1956"/>
      <c r="AL54" s="2179">
        <f t="shared" ref="AL54:AM54" si="308">IF(AL44&gt;$J$55,$J$54,IF(AL44&lt;$J$55,(IF(AL44&lt;0,0,AL44*$K$54))))</f>
        <v>0</v>
      </c>
      <c r="AM54" s="2418">
        <f t="shared" si="308"/>
        <v>0</v>
      </c>
      <c r="AN54" s="2418">
        <f t="shared" ref="AN54" si="309">IF(AN44&gt;$J$55,$J$54,IF(AN44&lt;$J$55,(IF(AN44&lt;0,0,AN44*$K$54))))</f>
        <v>0</v>
      </c>
      <c r="AO54" s="2418">
        <f t="shared" ref="AO54:AR54" si="310">IF(AO44&gt;$J$55,$J$54,IF(AO44&lt;$J$55,(IF(AO44&lt;0,0,AO44*$K$54))))</f>
        <v>0</v>
      </c>
      <c r="AP54" s="2418">
        <f t="shared" si="310"/>
        <v>0</v>
      </c>
      <c r="AQ54" s="2418">
        <f t="shared" si="310"/>
        <v>0</v>
      </c>
      <c r="AR54" s="2683">
        <f t="shared" si="310"/>
        <v>0</v>
      </c>
      <c r="AS54" s="1951"/>
      <c r="AT54" s="2169">
        <f t="shared" si="219"/>
        <v>0</v>
      </c>
      <c r="AU54" s="2170">
        <f>$J$54*0</f>
        <v>0</v>
      </c>
      <c r="AV54" s="2178">
        <f t="shared" si="220"/>
        <v>0</v>
      </c>
      <c r="AW54" s="1951"/>
      <c r="AX54" s="2187">
        <f t="shared" ref="AX54:AY54" si="311">IF(AX44&gt;$J$55,$J$54,IF(AX44&lt;$J$55,(IF(AX44&lt;0,0,AX44*$K$54))))</f>
        <v>0</v>
      </c>
      <c r="AY54" s="2681">
        <f t="shared" si="311"/>
        <v>0</v>
      </c>
      <c r="AZ54" s="2681">
        <f t="shared" ref="AZ54:BD54" si="312">IF(AZ44&gt;$J$55,$J$54,IF(AZ44&lt;$J$55,(IF(AZ44&lt;0,0,AZ44*$K$54))))</f>
        <v>0</v>
      </c>
      <c r="BA54" s="2681">
        <f t="shared" si="312"/>
        <v>0</v>
      </c>
      <c r="BB54" s="2681">
        <f t="shared" si="312"/>
        <v>0</v>
      </c>
      <c r="BC54" s="2681">
        <f t="shared" si="312"/>
        <v>0</v>
      </c>
      <c r="BD54" s="2683">
        <f t="shared" si="312"/>
        <v>0</v>
      </c>
      <c r="BE54" s="1951"/>
      <c r="BF54" s="2169">
        <f t="shared" si="223"/>
        <v>0</v>
      </c>
      <c r="BG54" s="2170">
        <f>$J$54*0</f>
        <v>0</v>
      </c>
      <c r="BH54" s="2178">
        <f t="shared" si="224"/>
        <v>0</v>
      </c>
      <c r="BI54" s="1951"/>
      <c r="BJ54" s="2179">
        <f>IF(BJ44&gt;$J$55,$J$54,IF(BJ44&lt;$J$55,(IF(BJ44&lt;0,0,BJ44*$K$54))))</f>
        <v>0</v>
      </c>
      <c r="BK54" s="2683">
        <f>IF(BK44&gt;$J$55,$J$54,IF(BK44&lt;$J$55,(IF(BK44&lt;0,0,BK44*$K$54))))</f>
        <v>0</v>
      </c>
      <c r="BL54" s="1951"/>
      <c r="BM54" s="2179">
        <f t="shared" si="202"/>
        <v>0</v>
      </c>
      <c r="BN54" s="2681">
        <f>$J$54*0</f>
        <v>0</v>
      </c>
      <c r="BO54" s="2684">
        <f t="shared" si="225"/>
        <v>0</v>
      </c>
      <c r="BQ54" s="2179"/>
      <c r="BR54" s="2180"/>
      <c r="BS54" s="1900"/>
      <c r="BT54" s="2179">
        <f t="shared" si="203"/>
        <v>0</v>
      </c>
      <c r="BU54" s="2181" t="e">
        <f t="shared" si="204"/>
        <v>#DIV/0!</v>
      </c>
      <c r="BV54" s="2353"/>
      <c r="BW54" s="4636"/>
      <c r="BY54" s="4627"/>
      <c r="BZ54" s="2685"/>
      <c r="CA54" s="2686"/>
      <c r="CB54" s="2686"/>
      <c r="CC54" s="2686"/>
      <c r="CD54" s="2686"/>
      <c r="CE54" s="2686"/>
      <c r="CF54" s="2686"/>
      <c r="CG54" s="2686"/>
      <c r="CH54" s="2686"/>
    </row>
    <row r="55" spans="1:86" s="1726" customFormat="1" ht="17.25" thickBot="1" x14ac:dyDescent="0.25">
      <c r="B55" s="2049"/>
      <c r="C55" s="2190" t="s">
        <v>192</v>
      </c>
      <c r="D55" s="2051"/>
      <c r="E55" s="2056">
        <f>SUM(E46:E54)</f>
        <v>322.25</v>
      </c>
      <c r="F55" s="2053"/>
      <c r="G55" s="2053"/>
      <c r="H55" s="2053"/>
      <c r="I55" s="2053"/>
      <c r="J55" s="2053">
        <f t="shared" ref="J55:K55" si="313">SUM(J46:J54)</f>
        <v>10.741666666666665</v>
      </c>
      <c r="K55" s="2191">
        <f t="shared" si="313"/>
        <v>1</v>
      </c>
      <c r="L55" s="1931"/>
      <c r="M55" s="1924"/>
      <c r="N55" s="2642">
        <f t="shared" ref="N55:T55" si="314">SUM(N46:N54)</f>
        <v>10.741666666666665</v>
      </c>
      <c r="O55" s="2053">
        <f t="shared" si="314"/>
        <v>10.741666666666665</v>
      </c>
      <c r="P55" s="2053">
        <f t="shared" si="314"/>
        <v>10.741666666666665</v>
      </c>
      <c r="Q55" s="2053">
        <f t="shared" si="314"/>
        <v>10.741666666666665</v>
      </c>
      <c r="R55" s="2053">
        <f t="shared" si="314"/>
        <v>10.741666666666665</v>
      </c>
      <c r="S55" s="2053">
        <f t="shared" si="314"/>
        <v>10.741666666666665</v>
      </c>
      <c r="T55" s="2057">
        <f t="shared" si="314"/>
        <v>10.741666666666665</v>
      </c>
      <c r="U55" s="1814"/>
      <c r="V55" s="2056">
        <f>SUM(V46:V54)</f>
        <v>75.191666666666649</v>
      </c>
      <c r="W55" s="2052">
        <f t="shared" ref="W55" si="315">SUM(W46:W54)</f>
        <v>0</v>
      </c>
      <c r="X55" s="2192">
        <f>SUM(X46:X54)</f>
        <v>75.191666666666649</v>
      </c>
      <c r="Y55" s="1766"/>
      <c r="Z55" s="2056">
        <f t="shared" ref="Z55" si="316">SUM(Z46:Z54)</f>
        <v>10.741666666666665</v>
      </c>
      <c r="AA55" s="2052">
        <f t="shared" ref="AA55" si="317">SUM(AA46:AA54)</f>
        <v>10.741666666666665</v>
      </c>
      <c r="AB55" s="2052">
        <f t="shared" ref="AB55:AC55" si="318">SUM(AB46:AB54)</f>
        <v>10.741666666666665</v>
      </c>
      <c r="AC55" s="2052">
        <f t="shared" si="318"/>
        <v>10.741666666666665</v>
      </c>
      <c r="AD55" s="2052">
        <f t="shared" ref="AD55:AE55" si="319">SUM(AD46:AD54)</f>
        <v>10.741666666666665</v>
      </c>
      <c r="AE55" s="2052">
        <f t="shared" si="319"/>
        <v>10.741666666666665</v>
      </c>
      <c r="AF55" s="2057">
        <f t="shared" ref="AF55" si="320">SUM(AF46:AF54)</f>
        <v>10.741666666666665</v>
      </c>
      <c r="AG55" s="1766"/>
      <c r="AH55" s="2056">
        <f>SUM(AH46:AH54)</f>
        <v>75.191666666666649</v>
      </c>
      <c r="AI55" s="2052">
        <f>SUM(AI46:AI54)</f>
        <v>0</v>
      </c>
      <c r="AJ55" s="2192">
        <f>SUM(AJ46:AJ54)</f>
        <v>75.191666666666649</v>
      </c>
      <c r="AK55" s="1766"/>
      <c r="AL55" s="2056">
        <f t="shared" ref="AL55:AM55" si="321">SUM(AL46:AL54)</f>
        <v>10.741666666666665</v>
      </c>
      <c r="AM55" s="2053">
        <f t="shared" si="321"/>
        <v>10.741666666666665</v>
      </c>
      <c r="AN55" s="2053">
        <f t="shared" ref="AN55" si="322">SUM(AN46:AN54)</f>
        <v>10.741666666666665</v>
      </c>
      <c r="AO55" s="2053">
        <f t="shared" ref="AO55:AR55" si="323">SUM(AO46:AO54)</f>
        <v>10.741666666666665</v>
      </c>
      <c r="AP55" s="2053">
        <f t="shared" si="323"/>
        <v>10.741666666666665</v>
      </c>
      <c r="AQ55" s="2053">
        <f t="shared" si="323"/>
        <v>10.741666666666665</v>
      </c>
      <c r="AR55" s="2057">
        <f t="shared" si="323"/>
        <v>10.741666666666665</v>
      </c>
      <c r="AS55" s="1814"/>
      <c r="AT55" s="2056">
        <f>SUM(AT46:AT54)</f>
        <v>75.191666666666649</v>
      </c>
      <c r="AU55" s="2052">
        <f>SUM(AU46:AU54)</f>
        <v>0</v>
      </c>
      <c r="AV55" s="2192">
        <f>SUM(AV46:AV54)</f>
        <v>75.191666666666649</v>
      </c>
      <c r="AW55" s="1814"/>
      <c r="AX55" s="2056">
        <f t="shared" ref="AX55:AY55" si="324">SUM(AX46:AX54)</f>
        <v>10.741666666666665</v>
      </c>
      <c r="AY55" s="2052">
        <f t="shared" si="324"/>
        <v>10.741666666666665</v>
      </c>
      <c r="AZ55" s="2052">
        <f t="shared" ref="AZ55:BD55" si="325">SUM(AZ46:AZ54)</f>
        <v>0</v>
      </c>
      <c r="BA55" s="2052">
        <f t="shared" si="325"/>
        <v>0</v>
      </c>
      <c r="BB55" s="2052">
        <f t="shared" si="325"/>
        <v>0</v>
      </c>
      <c r="BC55" s="2052">
        <f t="shared" si="325"/>
        <v>0</v>
      </c>
      <c r="BD55" s="2057">
        <f t="shared" si="325"/>
        <v>0</v>
      </c>
      <c r="BE55" s="1814"/>
      <c r="BF55" s="2056">
        <f>SUM(BF46:BF54)</f>
        <v>21.483333333333331</v>
      </c>
      <c r="BG55" s="2052">
        <f>SUM(BG46:BG54)</f>
        <v>0</v>
      </c>
      <c r="BH55" s="2192">
        <f>SUM(BH46:BH54)</f>
        <v>21.483333333333331</v>
      </c>
      <c r="BI55" s="1814"/>
      <c r="BJ55" s="2056">
        <f t="shared" ref="BJ55:BK55" si="326">SUM(BJ46:BJ54)</f>
        <v>0</v>
      </c>
      <c r="BK55" s="2057">
        <f t="shared" si="326"/>
        <v>0</v>
      </c>
      <c r="BL55" s="1814"/>
      <c r="BM55" s="2056">
        <f>SUM(BM46:BM54)</f>
        <v>0</v>
      </c>
      <c r="BN55" s="2052">
        <f>SUM(BN46:BN54)</f>
        <v>0</v>
      </c>
      <c r="BO55" s="2192">
        <f>SUM(BO46:BO54)</f>
        <v>0</v>
      </c>
      <c r="BQ55" s="2056">
        <f>X55+AJ55+AV55</f>
        <v>225.57499999999993</v>
      </c>
      <c r="BR55" s="2253"/>
      <c r="BS55" s="1740"/>
      <c r="BT55" s="2056">
        <f>SUM(BT46:BT54)</f>
        <v>247.05833333333331</v>
      </c>
      <c r="BU55" s="2054">
        <f t="shared" si="204"/>
        <v>0.76666666666666661</v>
      </c>
      <c r="BV55" s="2351"/>
      <c r="BW55" s="4637"/>
      <c r="BY55" s="4627"/>
      <c r="BZ55" s="2794"/>
      <c r="CA55" s="1860"/>
      <c r="CB55" s="1860"/>
      <c r="CC55" s="1860"/>
      <c r="CD55" s="1860"/>
      <c r="CE55" s="1860"/>
      <c r="CF55" s="1860"/>
      <c r="CG55" s="1860"/>
      <c r="CH55" s="1860"/>
    </row>
    <row r="56" spans="1:86" s="1810" customFormat="1" ht="4.5" customHeight="1" thickBot="1" x14ac:dyDescent="0.25">
      <c r="B56" s="1817"/>
      <c r="C56" s="1817"/>
      <c r="D56" s="1817"/>
      <c r="E56" s="1814"/>
      <c r="F56" s="1814"/>
      <c r="G56" s="1814"/>
      <c r="H56" s="1814"/>
      <c r="I56" s="1814"/>
      <c r="J56" s="1814"/>
      <c r="K56" s="2131"/>
      <c r="L56" s="1924"/>
      <c r="M56" s="1924"/>
      <c r="N56" s="2792"/>
      <c r="O56" s="2792"/>
      <c r="P56" s="2843"/>
      <c r="Q56" s="2846"/>
      <c r="R56" s="2849"/>
      <c r="S56" s="2852"/>
      <c r="T56" s="2792"/>
      <c r="U56" s="1814"/>
      <c r="V56" s="1814"/>
      <c r="W56" s="1814"/>
      <c r="X56" s="1814"/>
      <c r="Y56" s="1766"/>
      <c r="Z56" s="2792"/>
      <c r="AA56" s="2792"/>
      <c r="AB56" s="2855"/>
      <c r="AC56" s="2858"/>
      <c r="AD56" s="2861"/>
      <c r="AE56" s="2864"/>
      <c r="AF56" s="2792"/>
      <c r="AG56" s="1766"/>
      <c r="AH56" s="1814"/>
      <c r="AI56" s="1814"/>
      <c r="AJ56" s="1814"/>
      <c r="AK56" s="1766"/>
      <c r="AL56" s="2792"/>
      <c r="AM56" s="2792"/>
      <c r="AN56" s="2792"/>
      <c r="AO56" s="2792"/>
      <c r="AP56" s="2792"/>
      <c r="AQ56" s="2792"/>
      <c r="AR56" s="2792"/>
      <c r="AS56" s="1814"/>
      <c r="AT56" s="2137"/>
      <c r="AU56" s="2137"/>
      <c r="AV56" s="2137"/>
      <c r="AW56" s="1814"/>
      <c r="AX56" s="1944"/>
      <c r="AY56" s="1944"/>
      <c r="AZ56" s="1944"/>
      <c r="BA56" s="1944"/>
      <c r="BB56" s="1944"/>
      <c r="BC56" s="1944"/>
      <c r="BD56" s="1944"/>
      <c r="BE56" s="1814"/>
      <c r="BF56" s="2137"/>
      <c r="BG56" s="2137"/>
      <c r="BH56" s="2137"/>
      <c r="BI56" s="1814"/>
      <c r="BJ56" s="2792"/>
      <c r="BK56" s="2792"/>
      <c r="BL56" s="1814"/>
      <c r="BM56" s="1814"/>
      <c r="BN56" s="1814"/>
      <c r="BO56" s="1814"/>
      <c r="BQ56" s="1814"/>
      <c r="BR56" s="2132"/>
      <c r="BS56" s="1817"/>
      <c r="BT56" s="1814"/>
      <c r="BU56" s="1830"/>
      <c r="BV56" s="1830"/>
      <c r="BW56" s="2643"/>
      <c r="BZ56" s="1761"/>
    </row>
    <row r="57" spans="1:86" s="1906" customFormat="1" ht="17.25" thickBot="1" x14ac:dyDescent="0.25">
      <c r="B57" s="1960"/>
      <c r="C57" s="1960" t="s">
        <v>193</v>
      </c>
      <c r="D57" s="1960"/>
      <c r="E57" s="2687"/>
      <c r="F57" s="1951"/>
      <c r="G57" s="1951"/>
      <c r="H57" s="1951"/>
      <c r="I57" s="1951"/>
      <c r="J57" s="1951"/>
      <c r="K57" s="2339"/>
      <c r="L57" s="2003"/>
      <c r="M57" s="1950"/>
      <c r="N57" s="2120">
        <f t="shared" ref="N57:S57" si="327">N44-N55</f>
        <v>33.353999999999992</v>
      </c>
      <c r="O57" s="2123">
        <f t="shared" si="327"/>
        <v>67.894499999999994</v>
      </c>
      <c r="P57" s="2123">
        <f t="shared" si="327"/>
        <v>26.116999999999997</v>
      </c>
      <c r="Q57" s="2123">
        <f t="shared" si="327"/>
        <v>62.050000000000004</v>
      </c>
      <c r="R57" s="2123">
        <f t="shared" si="327"/>
        <v>43.450999999999986</v>
      </c>
      <c r="S57" s="2123">
        <f t="shared" si="327"/>
        <v>20.279999999999994</v>
      </c>
      <c r="T57" s="2124">
        <f t="shared" ref="T57" si="328">T44-T55</f>
        <v>34.72849999999999</v>
      </c>
      <c r="U57" s="1951"/>
      <c r="V57" s="1951"/>
      <c r="W57" s="1951"/>
      <c r="X57" s="1951"/>
      <c r="Y57" s="1956"/>
      <c r="Z57" s="2120">
        <f t="shared" ref="Z57" si="329">Z44-Z55</f>
        <v>23.248499999999986</v>
      </c>
      <c r="AA57" s="2123">
        <f t="shared" ref="AA57" si="330">AA44-AA55</f>
        <v>50.794499999999992</v>
      </c>
      <c r="AB57" s="2123">
        <f t="shared" ref="AB57:AC57" si="331">AB44-AB55</f>
        <v>42.279999999999994</v>
      </c>
      <c r="AC57" s="2123">
        <f t="shared" si="331"/>
        <v>10.225999999999994</v>
      </c>
      <c r="AD57" s="2123">
        <f t="shared" ref="AD57:AE57" si="332">AD44-AD55</f>
        <v>52.377999999999993</v>
      </c>
      <c r="AE57" s="2123">
        <f t="shared" si="332"/>
        <v>6.6314999999999973</v>
      </c>
      <c r="AF57" s="2124">
        <f t="shared" ref="AF57" si="333">AF44-AF55</f>
        <v>11.723999999999998</v>
      </c>
      <c r="AG57" s="1956"/>
      <c r="AH57" s="1951"/>
      <c r="AI57" s="1951"/>
      <c r="AJ57" s="1951"/>
      <c r="AK57" s="1956"/>
      <c r="AL57" s="2120">
        <f t="shared" ref="AL57:AM57" si="334">AL44-AL55</f>
        <v>40.434999999999995</v>
      </c>
      <c r="AM57" s="2123">
        <f t="shared" si="334"/>
        <v>41.854999999999997</v>
      </c>
      <c r="AN57" s="2123">
        <f t="shared" ref="AN57" si="335">AN44-AN55</f>
        <v>11.722499999999991</v>
      </c>
      <c r="AO57" s="2123">
        <f t="shared" ref="AO57:AR57" si="336">AO44-AO55</f>
        <v>21.049499999999988</v>
      </c>
      <c r="AP57" s="2123">
        <f t="shared" si="336"/>
        <v>20.821999999999996</v>
      </c>
      <c r="AQ57" s="2123">
        <f t="shared" si="336"/>
        <v>34.92499999999999</v>
      </c>
      <c r="AR57" s="2124">
        <f t="shared" si="336"/>
        <v>12.210499999999991</v>
      </c>
      <c r="AS57" s="1951"/>
      <c r="AT57" s="1951"/>
      <c r="AU57" s="1951"/>
      <c r="AV57" s="1951"/>
      <c r="AW57" s="1951"/>
      <c r="AX57" s="2120">
        <f t="shared" ref="AX57:AY57" si="337">AX44-AX55</f>
        <v>19.459999999999987</v>
      </c>
      <c r="AY57" s="2123">
        <f t="shared" si="337"/>
        <v>41.739999999999988</v>
      </c>
      <c r="AZ57" s="2123">
        <f t="shared" ref="AZ57:BD57" si="338">AZ44-AZ55</f>
        <v>0</v>
      </c>
      <c r="BA57" s="2123">
        <f t="shared" si="338"/>
        <v>0</v>
      </c>
      <c r="BB57" s="2123">
        <f t="shared" si="338"/>
        <v>0</v>
      </c>
      <c r="BC57" s="2123">
        <f t="shared" si="338"/>
        <v>0</v>
      </c>
      <c r="BD57" s="2124">
        <f t="shared" si="338"/>
        <v>0</v>
      </c>
      <c r="BE57" s="1951"/>
      <c r="BF57" s="1951"/>
      <c r="BG57" s="1951"/>
      <c r="BH57" s="1951"/>
      <c r="BI57" s="1951"/>
      <c r="BJ57" s="2120">
        <f t="shared" ref="BJ57:BK57" si="339">BJ44-BJ55</f>
        <v>0</v>
      </c>
      <c r="BK57" s="2123">
        <f t="shared" si="339"/>
        <v>0</v>
      </c>
      <c r="BL57" s="1951"/>
      <c r="BM57" s="1951"/>
      <c r="BN57" s="1951"/>
      <c r="BO57" s="1951"/>
      <c r="BQ57" s="2007"/>
      <c r="BR57" s="2688"/>
      <c r="BS57" s="1960"/>
      <c r="BT57" s="2007"/>
      <c r="BU57" s="2008"/>
      <c r="BV57" s="1962"/>
      <c r="BW57" s="2689"/>
      <c r="BZ57" s="1905"/>
    </row>
    <row r="58" spans="1:86" s="1810" customFormat="1" ht="4.5" customHeight="1" thickBot="1" x14ac:dyDescent="0.25">
      <c r="B58" s="1817"/>
      <c r="C58" s="1817"/>
      <c r="D58" s="1817"/>
      <c r="E58" s="1814"/>
      <c r="F58" s="1814"/>
      <c r="G58" s="1814"/>
      <c r="H58" s="1814"/>
      <c r="I58" s="1814"/>
      <c r="J58" s="1814"/>
      <c r="K58" s="2131"/>
      <c r="L58" s="1924"/>
      <c r="M58" s="1924"/>
      <c r="N58" s="2137"/>
      <c r="O58" s="2137"/>
      <c r="P58" s="2137"/>
      <c r="Q58" s="2137"/>
      <c r="R58" s="2137"/>
      <c r="S58" s="2137"/>
      <c r="T58" s="2137"/>
      <c r="U58" s="1814"/>
      <c r="V58" s="1814"/>
      <c r="W58" s="1814"/>
      <c r="X58" s="1814"/>
      <c r="Y58" s="1766"/>
      <c r="Z58" s="1944"/>
      <c r="AA58" s="1944"/>
      <c r="AB58" s="1944"/>
      <c r="AC58" s="1944"/>
      <c r="AD58" s="1944"/>
      <c r="AE58" s="1944"/>
      <c r="AF58" s="1944"/>
      <c r="AG58" s="1766"/>
      <c r="AH58" s="1814"/>
      <c r="AI58" s="1814"/>
      <c r="AJ58" s="1814"/>
      <c r="AK58" s="1766"/>
      <c r="AL58" s="2137"/>
      <c r="AM58" s="2137"/>
      <c r="AN58" s="2137"/>
      <c r="AO58" s="2137"/>
      <c r="AP58" s="2137"/>
      <c r="AQ58" s="2137"/>
      <c r="AR58" s="2137"/>
      <c r="AS58" s="1814"/>
      <c r="AT58" s="1814"/>
      <c r="AU58" s="1814"/>
      <c r="AV58" s="1814"/>
      <c r="AW58" s="1814"/>
      <c r="AX58" s="2137"/>
      <c r="AY58" s="2137"/>
      <c r="AZ58" s="2137"/>
      <c r="BA58" s="2137"/>
      <c r="BB58" s="2137"/>
      <c r="BC58" s="2137"/>
      <c r="BD58" s="2137"/>
      <c r="BE58" s="1814"/>
      <c r="BF58" s="1814"/>
      <c r="BG58" s="1814"/>
      <c r="BH58" s="1814"/>
      <c r="BI58" s="1814"/>
      <c r="BJ58" s="2137"/>
      <c r="BK58" s="2137"/>
      <c r="BL58" s="1814"/>
      <c r="BM58" s="1814"/>
      <c r="BN58" s="1814"/>
      <c r="BO58" s="1814"/>
      <c r="BQ58" s="2137"/>
      <c r="BR58" s="2138"/>
      <c r="BS58" s="1817"/>
      <c r="BT58" s="2137"/>
      <c r="BU58" s="2139"/>
      <c r="BV58" s="1830"/>
      <c r="BW58" s="2644"/>
      <c r="BZ58" s="1761"/>
    </row>
    <row r="59" spans="1:86" s="1740" customFormat="1" ht="15.75" x14ac:dyDescent="0.2">
      <c r="A59" s="2466"/>
      <c r="B59" s="2444">
        <v>47</v>
      </c>
      <c r="C59" s="2281" t="s">
        <v>132</v>
      </c>
      <c r="D59" s="1817"/>
      <c r="E59" s="2067">
        <v>465</v>
      </c>
      <c r="F59" s="2065">
        <f>E59/10</f>
        <v>46.5</v>
      </c>
      <c r="G59" s="2065">
        <f>E59/15</f>
        <v>31</v>
      </c>
      <c r="H59" s="2065">
        <f>E59/20</f>
        <v>23.25</v>
      </c>
      <c r="I59" s="2065">
        <f>E59/25</f>
        <v>18.600000000000001</v>
      </c>
      <c r="J59" s="2065">
        <f t="shared" ref="J59:J67" si="340">E59/30</f>
        <v>15.5</v>
      </c>
      <c r="K59" s="2066">
        <f t="shared" ref="K59:K67" si="341">E59/$E$68</f>
        <v>0.28284671532846717</v>
      </c>
      <c r="L59" s="2465"/>
      <c r="M59" s="2131"/>
      <c r="N59" s="2067">
        <f t="shared" ref="N59:O59" si="342">IF(N57&gt;$J$68,$J$59,IF(N57&lt;$J$68,(IF(N57&lt;0,0,N57*$K$59))))</f>
        <v>9.4340693430656923</v>
      </c>
      <c r="O59" s="2065">
        <f t="shared" si="342"/>
        <v>15.5</v>
      </c>
      <c r="P59" s="2065">
        <f t="shared" ref="P59:Q59" si="343">IF(P57&gt;$J$68,$J$59,IF(P57&lt;$J$68,(IF(P57&lt;0,0,P57*$K$59))))</f>
        <v>7.387107664233576</v>
      </c>
      <c r="Q59" s="2065">
        <f t="shared" si="343"/>
        <v>15.5</v>
      </c>
      <c r="R59" s="2065">
        <f t="shared" ref="R59:S59" si="344">IF(R57&gt;$J$68,$J$59,IF(R57&lt;$J$68,(IF(R57&lt;0,0,R57*$K$59))))</f>
        <v>12.289972627737223</v>
      </c>
      <c r="S59" s="2065">
        <f t="shared" si="344"/>
        <v>5.7361313868613122</v>
      </c>
      <c r="T59" s="2069">
        <f t="shared" ref="T59" si="345">IF(T57&gt;$J$68,$J$59,IF(T57&lt;$J$68,(IF(T57&lt;0,0,T57*$K$59))))</f>
        <v>9.8228421532846699</v>
      </c>
      <c r="U59" s="1814"/>
      <c r="V59" s="2067">
        <f t="shared" si="302"/>
        <v>75.670123175182468</v>
      </c>
      <c r="W59" s="2068">
        <f>$J$59*0</f>
        <v>0</v>
      </c>
      <c r="X59" s="2070">
        <f t="shared" si="253"/>
        <v>75.670123175182468</v>
      </c>
      <c r="Y59" s="1814"/>
      <c r="Z59" s="2090">
        <f t="shared" ref="Z59" si="346">IF(Z57&gt;$J$68,$J$59,IF(Z57&lt;$J$68,(IF(Z57&lt;0,0,Z57*$K$59))))</f>
        <v>6.5757618613138646</v>
      </c>
      <c r="AA59" s="2087">
        <f t="shared" ref="AA59" si="347">IF(AA57&gt;$J$68,$J$59,IF(AA57&lt;$J$68,(IF(AA57&lt;0,0,AA57*$K$59))))</f>
        <v>14.367057481751823</v>
      </c>
      <c r="AB59" s="2087">
        <f t="shared" ref="AB59:AC59" si="348">IF(AB57&gt;$J$68,$J$59,IF(AB57&lt;$J$68,(IF(AB57&lt;0,0,AB57*$K$59))))</f>
        <v>11.958759124087591</v>
      </c>
      <c r="AC59" s="2087">
        <f t="shared" si="348"/>
        <v>2.8923905109489034</v>
      </c>
      <c r="AD59" s="2087">
        <f t="shared" ref="AD59:AE59" si="349">IF(AD57&gt;$J$68,$J$59,IF(AD57&lt;$J$68,(IF(AD57&lt;0,0,AD57*$K$59))))</f>
        <v>14.814945255474452</v>
      </c>
      <c r="AE59" s="2087">
        <f t="shared" si="349"/>
        <v>1.8756979927007293</v>
      </c>
      <c r="AF59" s="2091">
        <f t="shared" ref="AF59" si="350">IF(AF57&gt;$J$68,$J$59,IF(AF57&lt;$J$68,(IF(AF57&lt;0,0,AF57*$K$59))))</f>
        <v>3.3160948905109486</v>
      </c>
      <c r="AG59" s="1814"/>
      <c r="AH59" s="2067">
        <f t="shared" si="214"/>
        <v>55.800707116788317</v>
      </c>
      <c r="AI59" s="2068">
        <f>$J$59*0</f>
        <v>0</v>
      </c>
      <c r="AJ59" s="2070">
        <f>AH59-AI59</f>
        <v>55.800707116788317</v>
      </c>
      <c r="AK59" s="1814"/>
      <c r="AL59" s="2067">
        <f t="shared" ref="AL59:AM59" si="351">IF(AL57&gt;$J$68,$J$59,IF(AL57&lt;$J$68,(IF(AL57&lt;0,0,AL57*$K$59))))</f>
        <v>11.436906934306569</v>
      </c>
      <c r="AM59" s="2065">
        <f t="shared" si="351"/>
        <v>11.838549270072992</v>
      </c>
      <c r="AN59" s="2065">
        <f t="shared" ref="AN59" si="352">IF(AN57&gt;$J$68,$J$59,IF(AN57&lt;$J$68,(IF(AN57&lt;0,0,AN57*$K$59))))</f>
        <v>3.3156706204379538</v>
      </c>
      <c r="AO59" s="2065">
        <f t="shared" ref="AO59:AR59" si="353">IF(AO57&gt;$J$68,$J$59,IF(AO57&lt;$J$68,(IF(AO57&lt;0,0,AO57*$K$59))))</f>
        <v>5.9537819343065665</v>
      </c>
      <c r="AP59" s="2065">
        <f t="shared" si="353"/>
        <v>5.889434306569342</v>
      </c>
      <c r="AQ59" s="2065">
        <f t="shared" si="353"/>
        <v>9.8784215328467138</v>
      </c>
      <c r="AR59" s="2069">
        <f t="shared" si="353"/>
        <v>3.4536998175182458</v>
      </c>
      <c r="AS59" s="1814"/>
      <c r="AT59" s="2067">
        <f>SUM(AL59:AR59)</f>
        <v>51.766464416058383</v>
      </c>
      <c r="AU59" s="2068">
        <f>$J$59*0</f>
        <v>0</v>
      </c>
      <c r="AV59" s="2070">
        <f>AT59-AU59</f>
        <v>51.766464416058383</v>
      </c>
      <c r="AW59" s="1814"/>
      <c r="AX59" s="2067">
        <f t="shared" ref="AX59:AY59" si="354">IF(AX57&gt;$J$68,$J$59,IF(AX57&lt;$J$68,(IF(AX57&lt;0,0,AX57*$K$59))))</f>
        <v>5.5041970802919673</v>
      </c>
      <c r="AY59" s="2645">
        <f t="shared" si="354"/>
        <v>11.806021897810217</v>
      </c>
      <c r="AZ59" s="2645">
        <f t="shared" ref="AZ59:BC59" si="355">IF(AZ57&gt;$J$68,$J$59,IF(AZ57&lt;$J$68,(IF(AZ57&lt;0,0,AZ57*$K$59))))</f>
        <v>0</v>
      </c>
      <c r="BA59" s="2645">
        <f t="shared" si="355"/>
        <v>0</v>
      </c>
      <c r="BB59" s="2645">
        <f t="shared" si="355"/>
        <v>0</v>
      </c>
      <c r="BC59" s="2645">
        <f t="shared" si="355"/>
        <v>0</v>
      </c>
      <c r="BD59" s="2069">
        <f>IF(BD57&gt;$J$68,$J$59,IF(BD57&lt;$J$68,(IF(BD57&lt;0,0,BD57*$K$59))))</f>
        <v>0</v>
      </c>
      <c r="BE59" s="1814"/>
      <c r="BF59" s="2067">
        <f t="shared" ref="BF59:BF67" si="356">SUM(AX59:BD59)</f>
        <v>17.310218978102185</v>
      </c>
      <c r="BG59" s="2068">
        <f>$J$59*0</f>
        <v>0</v>
      </c>
      <c r="BH59" s="2070">
        <f t="shared" ref="BH59:BH67" si="357">BF59-BG59</f>
        <v>17.310218978102185</v>
      </c>
      <c r="BI59" s="1814"/>
      <c r="BJ59" s="2067">
        <f>IF(BJ57&gt;$J$68,$J$59,IF(BJ57&lt;$J$68,(IF(BJ57&lt;0,0,BJ57*$K$59))))</f>
        <v>0</v>
      </c>
      <c r="BK59" s="2070">
        <f>IF(BK57&gt;$J$68,$J$59,IF(BK57&lt;$J$68,(IF(BK57&lt;0,0,BK57*$K$59))))</f>
        <v>0</v>
      </c>
      <c r="BL59" s="1814"/>
      <c r="BM59" s="2067">
        <f t="shared" ref="BM59:BM68" si="358">SUM(BJ59:BK59)</f>
        <v>0</v>
      </c>
      <c r="BN59" s="2068">
        <f>$J$59*0</f>
        <v>0</v>
      </c>
      <c r="BO59" s="2070">
        <f t="shared" ref="BO59:BO67" si="359">BM59-BN59</f>
        <v>0</v>
      </c>
      <c r="BQ59" s="2067"/>
      <c r="BR59" s="2071"/>
      <c r="BT59" s="2067">
        <f t="shared" ref="BT59:BT67" si="360">SUM(N59:T59)+SUM(Z59:AF59)+SUM(AL59:AR59)+SUM(AX59:BD59)+SUM(BJ59:BK59)</f>
        <v>200.54751368613137</v>
      </c>
      <c r="BU59" s="2072">
        <f t="shared" ref="BU59:BU68" si="361">BT59/E59</f>
        <v>0.43128497566909973</v>
      </c>
      <c r="BV59" s="2351"/>
      <c r="BW59" s="4635">
        <f>BU68-BT1</f>
        <v>-0.34290857271799707</v>
      </c>
      <c r="BZ59" s="1997"/>
      <c r="CA59" s="1861"/>
      <c r="CB59" s="1861"/>
      <c r="CC59" s="1861"/>
      <c r="CD59" s="1861"/>
      <c r="CE59" s="1861"/>
      <c r="CF59" s="1861"/>
      <c r="CG59" s="1861"/>
      <c r="CH59" s="1861"/>
    </row>
    <row r="60" spans="1:86" s="1900" customFormat="1" ht="15.75" x14ac:dyDescent="0.2">
      <c r="A60" s="2464"/>
      <c r="B60" s="2161">
        <v>48</v>
      </c>
      <c r="C60" s="2162" t="s">
        <v>232</v>
      </c>
      <c r="D60" s="1960"/>
      <c r="E60" s="2163">
        <v>345</v>
      </c>
      <c r="F60" s="2164">
        <f>E60/10</f>
        <v>34.5</v>
      </c>
      <c r="G60" s="2164">
        <f>E60/15</f>
        <v>23</v>
      </c>
      <c r="H60" s="2164">
        <f>E60/20</f>
        <v>17.25</v>
      </c>
      <c r="I60" s="2164">
        <f>E60/25</f>
        <v>13.8</v>
      </c>
      <c r="J60" s="2164">
        <f t="shared" si="340"/>
        <v>11.5</v>
      </c>
      <c r="K60" s="2165">
        <f t="shared" si="341"/>
        <v>0.20985401459854014</v>
      </c>
      <c r="L60" s="2468"/>
      <c r="M60" s="2339"/>
      <c r="N60" s="2163">
        <f t="shared" ref="N60:O60" si="362">IF(N57&gt;$J$68,$J$60,IF(N57&lt;$J$68,(IF(N57&lt;0,0,N57*$K$60))))</f>
        <v>6.9994708029197064</v>
      </c>
      <c r="O60" s="2164">
        <f t="shared" si="362"/>
        <v>11.5</v>
      </c>
      <c r="P60" s="2164">
        <f t="shared" ref="P60:Q60" si="363">IF(P57&gt;$J$68,$J$60,IF(P57&lt;$J$68,(IF(P57&lt;0,0,P57*$K$60))))</f>
        <v>5.4807572992700724</v>
      </c>
      <c r="Q60" s="2164">
        <f t="shared" si="363"/>
        <v>11.5</v>
      </c>
      <c r="R60" s="2164">
        <f t="shared" ref="R60:S60" si="364">IF(R57&gt;$J$68,$J$60,IF(R57&lt;$J$68,(IF(R57&lt;0,0,R57*$K$60))))</f>
        <v>9.1183667883211648</v>
      </c>
      <c r="S60" s="2164">
        <f t="shared" si="364"/>
        <v>4.255839416058393</v>
      </c>
      <c r="T60" s="2166">
        <f t="shared" ref="T60" si="365">IF(T57&gt;$J$68,$J$60,IF(T57&lt;$J$68,(IF(T57&lt;0,0,T57*$K$60))))</f>
        <v>7.2879151459853988</v>
      </c>
      <c r="U60" s="1951"/>
      <c r="V60" s="2163">
        <f t="shared" si="302"/>
        <v>56.142349452554733</v>
      </c>
      <c r="W60" s="2167">
        <f>$J$60*0</f>
        <v>0</v>
      </c>
      <c r="X60" s="2168">
        <f t="shared" si="253"/>
        <v>56.142349452554733</v>
      </c>
      <c r="Y60" s="1951"/>
      <c r="Z60" s="2169">
        <f t="shared" ref="Z60" si="366">IF(Z57&gt;$J$68,$J$60,IF(Z57&lt;$J$68,(IF(Z57&lt;0,0,Z57*$K$60))))</f>
        <v>4.8787910583941576</v>
      </c>
      <c r="AA60" s="2170">
        <f t="shared" ref="AA60" si="367">IF(AA57&gt;$J$68,$J$60,IF(AA57&lt;$J$68,(IF(AA57&lt;0,0,AA57*$K$60))))</f>
        <v>10.659429744525546</v>
      </c>
      <c r="AB60" s="2170">
        <f t="shared" ref="AB60:AC60" si="368">IF(AB57&gt;$J$68,$J$60,IF(AB57&lt;$J$68,(IF(AB57&lt;0,0,AB57*$K$60))))</f>
        <v>8.8726277372262761</v>
      </c>
      <c r="AC60" s="2170">
        <f t="shared" si="368"/>
        <v>2.14596715328467</v>
      </c>
      <c r="AD60" s="2170">
        <f t="shared" ref="AD60:AE60" si="369">IF(AD57&gt;$J$68,$J$60,IF(AD57&lt;$J$68,(IF(AD57&lt;0,0,AD57*$K$60))))</f>
        <v>10.991733576642334</v>
      </c>
      <c r="AE60" s="2170">
        <f t="shared" si="369"/>
        <v>1.3916468978102183</v>
      </c>
      <c r="AF60" s="2171">
        <f t="shared" ref="AF60" si="370">IF(AF57&gt;$J$68,$J$60,IF(AF57&lt;$J$68,(IF(AF57&lt;0,0,AF57*$K$60))))</f>
        <v>2.4603284671532841</v>
      </c>
      <c r="AG60" s="1951"/>
      <c r="AH60" s="2163">
        <f>SUM(Z60:AF60)</f>
        <v>41.400524635036483</v>
      </c>
      <c r="AI60" s="2167">
        <f>$J$60*0</f>
        <v>0</v>
      </c>
      <c r="AJ60" s="2168">
        <f t="shared" ref="AJ60:AJ61" si="371">AH60-AI60</f>
        <v>41.400524635036483</v>
      </c>
      <c r="AK60" s="1951"/>
      <c r="AL60" s="2163">
        <f t="shared" ref="AL60:AM60" si="372">IF(AL57&gt;$J$68,$J$60,IF(AL57&lt;$J$68,(IF(AL57&lt;0,0,AL57*$K$60))))</f>
        <v>8.4854470802919693</v>
      </c>
      <c r="AM60" s="2164">
        <f t="shared" si="372"/>
        <v>8.7834397810218974</v>
      </c>
      <c r="AN60" s="2164">
        <f t="shared" ref="AN60" si="373">IF(AN57&gt;$J$68,$J$60,IF(AN57&lt;$J$68,(IF(AN57&lt;0,0,AN57*$K$60))))</f>
        <v>2.460013686131385</v>
      </c>
      <c r="AO60" s="2164">
        <f t="shared" ref="AO60:AR60" si="374">IF(AO57&gt;$J$68,$J$60,IF(AO57&lt;$J$68,(IF(AO57&lt;0,0,AO57*$K$60))))</f>
        <v>4.4173220802919682</v>
      </c>
      <c r="AP60" s="2164">
        <f t="shared" si="374"/>
        <v>4.3695802919708022</v>
      </c>
      <c r="AQ60" s="2164">
        <f t="shared" si="374"/>
        <v>7.3291514598540122</v>
      </c>
      <c r="AR60" s="2166">
        <f t="shared" si="374"/>
        <v>2.5624224452554722</v>
      </c>
      <c r="AS60" s="1951"/>
      <c r="AT60" s="2163">
        <f t="shared" ref="AT60:AT67" si="375">SUM(AL60:AR60)</f>
        <v>38.407376824817504</v>
      </c>
      <c r="AU60" s="2167">
        <f>$J$60*0</f>
        <v>0</v>
      </c>
      <c r="AV60" s="2168">
        <f t="shared" ref="AV60:AV67" si="376">AT60-AU60</f>
        <v>38.407376824817504</v>
      </c>
      <c r="AW60" s="1951"/>
      <c r="AX60" s="2163">
        <f t="shared" ref="AX60:AY60" si="377">IF(AX57&gt;$J$68,$J$60,IF(AX57&lt;$J$68,(IF(AX57&lt;0,0,AX57*$K$60))))</f>
        <v>4.0837591240875879</v>
      </c>
      <c r="AY60" s="2306">
        <f t="shared" si="377"/>
        <v>8.7593065693430621</v>
      </c>
      <c r="AZ60" s="2306">
        <f>IF(AZ57&gt;$J$68,$J$60,IF(AZ57&lt;$J$68,(IF(AZ57&lt;0,0,AZ57*$K$60))))</f>
        <v>0</v>
      </c>
      <c r="BA60" s="2306">
        <f t="shared" ref="BA60:BD60" si="378">IF(BA57&gt;$J$68,$J$60,IF(BA57&lt;$J$68,(IF(BA57&lt;0,0,BA57*$K$60))))</f>
        <v>0</v>
      </c>
      <c r="BB60" s="2306">
        <f t="shared" si="378"/>
        <v>0</v>
      </c>
      <c r="BC60" s="2306">
        <f t="shared" si="378"/>
        <v>0</v>
      </c>
      <c r="BD60" s="2166">
        <f t="shared" si="378"/>
        <v>0</v>
      </c>
      <c r="BE60" s="1951"/>
      <c r="BF60" s="2163">
        <f t="shared" si="356"/>
        <v>12.843065693430649</v>
      </c>
      <c r="BG60" s="2167">
        <f>$J$60*0</f>
        <v>0</v>
      </c>
      <c r="BH60" s="2168">
        <f t="shared" si="357"/>
        <v>12.843065693430649</v>
      </c>
      <c r="BI60" s="1951"/>
      <c r="BJ60" s="2169">
        <f>IF(BJ57&gt;$J$68,$J$60,IF(BJ57&lt;$J$68,(IF(BJ57&lt;0,0,BJ57*$K$60))))</f>
        <v>0</v>
      </c>
      <c r="BK60" s="2178">
        <f>IF(BK57&gt;$J$68,$J$60,IF(BK57&lt;$J$68,(IF(BK57&lt;0,0,BK57*$K$60))))</f>
        <v>0</v>
      </c>
      <c r="BL60" s="1951"/>
      <c r="BM60" s="2169">
        <f t="shared" si="358"/>
        <v>0</v>
      </c>
      <c r="BN60" s="2170">
        <f>$J$60*0</f>
        <v>0</v>
      </c>
      <c r="BO60" s="2178">
        <f t="shared" si="359"/>
        <v>0</v>
      </c>
      <c r="BQ60" s="2169"/>
      <c r="BR60" s="2172"/>
      <c r="BT60" s="2169">
        <f t="shared" si="360"/>
        <v>148.79331660583935</v>
      </c>
      <c r="BU60" s="2173">
        <f t="shared" si="361"/>
        <v>0.43128497566909957</v>
      </c>
      <c r="BV60" s="2353"/>
      <c r="BW60" s="4636"/>
      <c r="BZ60" s="2010"/>
      <c r="CA60" s="2011"/>
      <c r="CB60" s="2011"/>
      <c r="CC60" s="2011"/>
      <c r="CD60" s="2011"/>
      <c r="CE60" s="2011"/>
      <c r="CF60" s="2011"/>
      <c r="CG60" s="2011"/>
      <c r="CH60" s="2011"/>
    </row>
    <row r="61" spans="1:86" s="1726" customFormat="1" x14ac:dyDescent="0.2">
      <c r="A61" s="1756"/>
      <c r="B61" s="2151">
        <v>49</v>
      </c>
      <c r="C61" s="2152" t="s">
        <v>4</v>
      </c>
      <c r="D61" s="1817"/>
      <c r="E61" s="2153">
        <v>300</v>
      </c>
      <c r="F61" s="2154"/>
      <c r="G61" s="2154"/>
      <c r="H61" s="2154"/>
      <c r="I61" s="2154"/>
      <c r="J61" s="2154">
        <f t="shared" si="340"/>
        <v>10</v>
      </c>
      <c r="K61" s="2155">
        <f t="shared" si="341"/>
        <v>0.18248175182481752</v>
      </c>
      <c r="L61" s="1931"/>
      <c r="M61" s="1924"/>
      <c r="N61" s="2153">
        <f t="shared" ref="N61:O61" si="379">IF(N57&gt;$J$68,$J$61,IF(N57&lt;$J$68,(IF(N57&lt;0,0,N57*$K$61))))</f>
        <v>6.0864963503649623</v>
      </c>
      <c r="O61" s="2154">
        <f t="shared" si="379"/>
        <v>10</v>
      </c>
      <c r="P61" s="2154">
        <f t="shared" ref="P61:Q61" si="380">IF(P57&gt;$J$68,$J$61,IF(P57&lt;$J$68,(IF(P57&lt;0,0,P57*$K$61))))</f>
        <v>4.7658759124087586</v>
      </c>
      <c r="Q61" s="2154">
        <f t="shared" si="380"/>
        <v>10</v>
      </c>
      <c r="R61" s="2154">
        <f t="shared" ref="R61:S61" si="381">IF(R57&gt;$J$68,$J$61,IF(R57&lt;$J$68,(IF(R57&lt;0,0,R57*$K$61))))</f>
        <v>7.9290145985401432</v>
      </c>
      <c r="S61" s="2154">
        <f t="shared" si="381"/>
        <v>3.700729927007298</v>
      </c>
      <c r="T61" s="2156">
        <f t="shared" ref="T61" si="382">IF(T57&gt;$J$68,$J$61,IF(T57&lt;$J$68,(IF(T57&lt;0,0,T57*$K$61))))</f>
        <v>6.3373175182481729</v>
      </c>
      <c r="U61" s="1814"/>
      <c r="V61" s="2153">
        <f t="shared" si="302"/>
        <v>48.819434306569327</v>
      </c>
      <c r="W61" s="2157">
        <f>$J$61*0</f>
        <v>0</v>
      </c>
      <c r="X61" s="2158">
        <f t="shared" si="253"/>
        <v>48.819434306569327</v>
      </c>
      <c r="Y61" s="1766"/>
      <c r="Z61" s="2090">
        <f t="shared" ref="Z61" si="383">IF(Z57&gt;$J$68,$J$61,IF(Z57&lt;$J$68,(IF(Z57&lt;0,0,Z57*$K$61))))</f>
        <v>4.2424270072992671</v>
      </c>
      <c r="AA61" s="2087">
        <f t="shared" ref="AA61" si="384">IF(AA57&gt;$J$68,$J$61,IF(AA57&lt;$J$68,(IF(AA57&lt;0,0,AA57*$K$61))))</f>
        <v>9.2690693430656914</v>
      </c>
      <c r="AB61" s="2087">
        <f t="shared" ref="AB61:AC61" si="385">IF(AB57&gt;$J$68,$J$61,IF(AB57&lt;$J$68,(IF(AB57&lt;0,0,AB57*$K$61))))</f>
        <v>7.7153284671532836</v>
      </c>
      <c r="AC61" s="2087">
        <f t="shared" si="385"/>
        <v>1.8660583941605828</v>
      </c>
      <c r="AD61" s="2087">
        <f t="shared" ref="AD61:AE61" si="386">IF(AD57&gt;$J$68,$J$61,IF(AD57&lt;$J$68,(IF(AD57&lt;0,0,AD57*$K$61))))</f>
        <v>9.5580291970802911</v>
      </c>
      <c r="AE61" s="2087">
        <f t="shared" si="386"/>
        <v>1.2101277372262769</v>
      </c>
      <c r="AF61" s="2091">
        <f t="shared" ref="AF61" si="387">IF(AF57&gt;$J$68,$J$61,IF(AF57&lt;$J$68,(IF(AF57&lt;0,0,AF57*$K$61))))</f>
        <v>2.1394160583941604</v>
      </c>
      <c r="AG61" s="1766"/>
      <c r="AH61" s="2153">
        <f t="shared" ref="AH61" si="388">SUM(Z61:AF61)</f>
        <v>36.000456204379553</v>
      </c>
      <c r="AI61" s="2157">
        <f>$J$61*0</f>
        <v>0</v>
      </c>
      <c r="AJ61" s="2158">
        <f t="shared" si="371"/>
        <v>36.000456204379553</v>
      </c>
      <c r="AK61" s="1766"/>
      <c r="AL61" s="2153">
        <f t="shared" ref="AL61:AM61" si="389">IF(AL57&gt;$J$68,$J$61,IF(AL57&lt;$J$68,(IF(AL57&lt;0,0,AL57*$K$61))))</f>
        <v>7.3786496350364956</v>
      </c>
      <c r="AM61" s="2154">
        <f t="shared" si="389"/>
        <v>7.6377737226277365</v>
      </c>
      <c r="AN61" s="2154">
        <f t="shared" ref="AN61" si="390">IF(AN57&gt;$J$68,$J$61,IF(AN57&lt;$J$68,(IF(AN57&lt;0,0,AN57*$K$61))))</f>
        <v>2.1391423357664219</v>
      </c>
      <c r="AO61" s="2154">
        <f t="shared" ref="AO61:AR61" si="391">IF(AO57&gt;$J$68,$J$61,IF(AO57&lt;$J$68,(IF(AO57&lt;0,0,AO57*$K$61))))</f>
        <v>3.8411496350364942</v>
      </c>
      <c r="AP61" s="2154">
        <f t="shared" si="391"/>
        <v>3.7996350364963494</v>
      </c>
      <c r="AQ61" s="2154">
        <f t="shared" si="391"/>
        <v>6.3731751824817504</v>
      </c>
      <c r="AR61" s="2156">
        <f t="shared" si="391"/>
        <v>2.2281934306569324</v>
      </c>
      <c r="AS61" s="1814"/>
      <c r="AT61" s="2153">
        <f t="shared" si="375"/>
        <v>33.397718978102176</v>
      </c>
      <c r="AU61" s="2157">
        <f>$J$61*0</f>
        <v>0</v>
      </c>
      <c r="AV61" s="2158">
        <f t="shared" si="376"/>
        <v>33.397718978102176</v>
      </c>
      <c r="AW61" s="1814"/>
      <c r="AX61" s="2153">
        <f t="shared" ref="AX61:AY61" si="392">IF(AX57&gt;$J$68,$J$61,IF(AX57&lt;$J$68,(IF(AX57&lt;0,0,AX57*$K$61))))</f>
        <v>3.5510948905109463</v>
      </c>
      <c r="AY61" s="2304">
        <f t="shared" si="392"/>
        <v>7.6167883211678813</v>
      </c>
      <c r="AZ61" s="2304">
        <f t="shared" ref="AZ61:BD61" si="393">IF(AZ57&gt;$J$68,$J$61,IF(AZ57&lt;$J$68,(IF(AZ57&lt;0,0,AZ57*$K$61))))</f>
        <v>0</v>
      </c>
      <c r="BA61" s="2304">
        <f t="shared" si="393"/>
        <v>0</v>
      </c>
      <c r="BB61" s="2304">
        <f t="shared" si="393"/>
        <v>0</v>
      </c>
      <c r="BC61" s="2304">
        <f t="shared" si="393"/>
        <v>0</v>
      </c>
      <c r="BD61" s="2156">
        <f t="shared" si="393"/>
        <v>0</v>
      </c>
      <c r="BE61" s="1814"/>
      <c r="BF61" s="2153">
        <f t="shared" si="356"/>
        <v>11.167883211678827</v>
      </c>
      <c r="BG61" s="2157">
        <f>$J$61*0</f>
        <v>0</v>
      </c>
      <c r="BH61" s="2158">
        <f t="shared" si="357"/>
        <v>11.167883211678827</v>
      </c>
      <c r="BI61" s="1814"/>
      <c r="BJ61" s="2090">
        <f>IF(BJ57&gt;$J$68,$J$61,IF(BJ57&lt;$J$68,(IF(BJ57&lt;0,0,BJ57*$K$61))))</f>
        <v>0</v>
      </c>
      <c r="BK61" s="2174">
        <f>IF(BK57&gt;$J$68,$J$61,IF(BK57&lt;$J$68,(IF(BK57&lt;0,0,BK57*$K$61))))</f>
        <v>0</v>
      </c>
      <c r="BL61" s="1814"/>
      <c r="BM61" s="2090">
        <f t="shared" si="358"/>
        <v>0</v>
      </c>
      <c r="BN61" s="2087">
        <f>$J$61*0</f>
        <v>0</v>
      </c>
      <c r="BO61" s="2174">
        <f t="shared" si="359"/>
        <v>0</v>
      </c>
      <c r="BQ61" s="2090"/>
      <c r="BR61" s="2159"/>
      <c r="BS61" s="1740"/>
      <c r="BT61" s="2090">
        <f t="shared" si="360"/>
        <v>129.38549270072988</v>
      </c>
      <c r="BU61" s="2160">
        <f t="shared" si="361"/>
        <v>0.43128497566909962</v>
      </c>
      <c r="BV61" s="2351"/>
      <c r="BW61" s="4636"/>
      <c r="BZ61" s="2794"/>
      <c r="CA61" s="1860"/>
      <c r="CB61" s="1860"/>
      <c r="CC61" s="1860"/>
      <c r="CD61" s="1860"/>
      <c r="CE61" s="1860"/>
      <c r="CF61" s="1860"/>
      <c r="CG61" s="1860"/>
      <c r="CH61" s="1860"/>
    </row>
    <row r="62" spans="1:86" s="1900" customFormat="1" ht="15.75" x14ac:dyDescent="0.2">
      <c r="A62" s="2464"/>
      <c r="B62" s="2161">
        <v>50</v>
      </c>
      <c r="C62" s="2175" t="s">
        <v>121</v>
      </c>
      <c r="D62" s="1960"/>
      <c r="E62" s="2169">
        <v>250</v>
      </c>
      <c r="F62" s="2176">
        <f>E62/10</f>
        <v>25</v>
      </c>
      <c r="G62" s="2176">
        <f>E62/15</f>
        <v>16.666666666666668</v>
      </c>
      <c r="H62" s="2176">
        <f>E62/20</f>
        <v>12.5</v>
      </c>
      <c r="I62" s="2176">
        <f>E62/25</f>
        <v>10</v>
      </c>
      <c r="J62" s="2176">
        <f t="shared" si="340"/>
        <v>8.3333333333333339</v>
      </c>
      <c r="K62" s="2177">
        <f t="shared" si="341"/>
        <v>0.15206812652068127</v>
      </c>
      <c r="L62" s="2468"/>
      <c r="M62" s="2339"/>
      <c r="N62" s="2169">
        <f t="shared" ref="N62:O62" si="394">IF(N57&gt;$J$68,$J$62,IF(N57&lt;$J$68,(IF(N57&lt;0,0,N57*$K$62))))</f>
        <v>5.0720802919708019</v>
      </c>
      <c r="O62" s="2176">
        <f t="shared" si="394"/>
        <v>8.3333333333333339</v>
      </c>
      <c r="P62" s="2176">
        <f t="shared" ref="P62:Q62" si="395">IF(P57&gt;$J$68,$J$62,IF(P57&lt;$J$68,(IF(P57&lt;0,0,P57*$K$62))))</f>
        <v>3.9715632603406323</v>
      </c>
      <c r="Q62" s="2176">
        <f t="shared" si="395"/>
        <v>8.3333333333333339</v>
      </c>
      <c r="R62" s="2176">
        <f t="shared" ref="R62:S62" si="396">IF(R57&gt;$J$68,$J$62,IF(R57&lt;$J$68,(IF(R57&lt;0,0,R57*$K$62))))</f>
        <v>6.6075121654501201</v>
      </c>
      <c r="S62" s="2176">
        <f t="shared" si="396"/>
        <v>3.0839416058394153</v>
      </c>
      <c r="T62" s="2171">
        <f t="shared" ref="T62" si="397">IF(T57&gt;$J$68,$J$62,IF(T57&lt;$J$68,(IF(T57&lt;0,0,T57*$K$62))))</f>
        <v>5.2810979318734779</v>
      </c>
      <c r="U62" s="1951"/>
      <c r="V62" s="2169">
        <f t="shared" si="302"/>
        <v>40.682861922141107</v>
      </c>
      <c r="W62" s="2170">
        <f>$J$62*0</f>
        <v>0</v>
      </c>
      <c r="X62" s="2178">
        <f t="shared" si="253"/>
        <v>40.682861922141107</v>
      </c>
      <c r="Y62" s="1951"/>
      <c r="Z62" s="2169">
        <f t="shared" ref="Z62" si="398">IF(Z57&gt;$J$68,$J$62,IF(Z57&lt;$J$68,(IF(Z57&lt;0,0,Z57*$K$62))))</f>
        <v>3.5353558394160562</v>
      </c>
      <c r="AA62" s="2170">
        <f t="shared" ref="AA62" si="399">IF(AA57&gt;$J$68,$J$62,IF(AA57&lt;$J$68,(IF(AA57&lt;0,0,AA57*$K$62))))</f>
        <v>7.7242244525547434</v>
      </c>
      <c r="AB62" s="2170">
        <f t="shared" ref="AB62:AC62" si="400">IF(AB57&gt;$J$68,$J$62,IF(AB57&lt;$J$68,(IF(AB57&lt;0,0,AB57*$K$62))))</f>
        <v>6.4294403892944034</v>
      </c>
      <c r="AC62" s="2170">
        <f t="shared" si="400"/>
        <v>1.5550486618004857</v>
      </c>
      <c r="AD62" s="2170">
        <f t="shared" ref="AD62:AE62" si="401">IF(AD57&gt;$J$68,$J$62,IF(AD57&lt;$J$68,(IF(AD57&lt;0,0,AD57*$K$62))))</f>
        <v>7.9650243309002429</v>
      </c>
      <c r="AE62" s="2170">
        <f t="shared" si="401"/>
        <v>1.0084397810218975</v>
      </c>
      <c r="AF62" s="2171">
        <f t="shared" ref="AF62" si="402">IF(AF57&gt;$J$68,$J$62,IF(AF57&lt;$J$68,(IF(AF57&lt;0,0,AF57*$K$62))))</f>
        <v>1.7828467153284671</v>
      </c>
      <c r="AG62" s="1951"/>
      <c r="AH62" s="2169">
        <f t="shared" si="214"/>
        <v>30.000380170316298</v>
      </c>
      <c r="AI62" s="2170">
        <f>$J$62*0</f>
        <v>0</v>
      </c>
      <c r="AJ62" s="2178">
        <f t="shared" si="215"/>
        <v>30.000380170316298</v>
      </c>
      <c r="AK62" s="1951"/>
      <c r="AL62" s="2169">
        <f t="shared" ref="AL62:AM62" si="403">IF(AL57&gt;$J$68,$J$62,IF(AL57&lt;$J$68,(IF(AL57&lt;0,0,AL57*$K$62))))</f>
        <v>6.1488746958637464</v>
      </c>
      <c r="AM62" s="2176">
        <f t="shared" si="403"/>
        <v>6.364811435523114</v>
      </c>
      <c r="AN62" s="2176">
        <f t="shared" ref="AN62" si="404">IF(AN57&gt;$J$68,$J$62,IF(AN57&lt;$J$68,(IF(AN57&lt;0,0,AN57*$K$62))))</f>
        <v>1.782618613138685</v>
      </c>
      <c r="AO62" s="2176">
        <f t="shared" ref="AO62:AR62" si="405">IF(AO57&gt;$J$68,$J$62,IF(AO57&lt;$J$68,(IF(AO57&lt;0,0,AO57*$K$62))))</f>
        <v>3.2009580291970785</v>
      </c>
      <c r="AP62" s="2176">
        <f t="shared" si="405"/>
        <v>3.1663625304136249</v>
      </c>
      <c r="AQ62" s="2176">
        <f t="shared" si="405"/>
        <v>5.310979318734792</v>
      </c>
      <c r="AR62" s="2171">
        <f t="shared" si="405"/>
        <v>1.8568278588807774</v>
      </c>
      <c r="AS62" s="1951"/>
      <c r="AT62" s="2169">
        <f t="shared" si="375"/>
        <v>27.831432481751818</v>
      </c>
      <c r="AU62" s="2170">
        <f>$J$62*0</f>
        <v>0</v>
      </c>
      <c r="AV62" s="2178">
        <f t="shared" si="376"/>
        <v>27.831432481751818</v>
      </c>
      <c r="AW62" s="1951"/>
      <c r="AX62" s="2169">
        <f t="shared" ref="AX62:AY62" si="406">IF(AX57&gt;$J$68,$J$62,IF(AX57&lt;$J$68,(IF(AX57&lt;0,0,AX57*$K$62))))</f>
        <v>2.9592457420924556</v>
      </c>
      <c r="AY62" s="2307">
        <f t="shared" si="406"/>
        <v>6.3473236009732341</v>
      </c>
      <c r="AZ62" s="2307">
        <f t="shared" ref="AZ62:BD62" si="407">IF(AZ57&gt;$J$68,$J$62,IF(AZ57&lt;$J$68,(IF(AZ57&lt;0,0,AZ57*$K$62))))</f>
        <v>0</v>
      </c>
      <c r="BA62" s="2307">
        <f t="shared" si="407"/>
        <v>0</v>
      </c>
      <c r="BB62" s="2307">
        <f t="shared" si="407"/>
        <v>0</v>
      </c>
      <c r="BC62" s="2307">
        <f t="shared" si="407"/>
        <v>0</v>
      </c>
      <c r="BD62" s="2171">
        <f t="shared" si="407"/>
        <v>0</v>
      </c>
      <c r="BE62" s="1951"/>
      <c r="BF62" s="2169">
        <f t="shared" si="356"/>
        <v>9.3065693430656893</v>
      </c>
      <c r="BG62" s="2170">
        <f>$J$62*0</f>
        <v>0</v>
      </c>
      <c r="BH62" s="2178">
        <f t="shared" si="357"/>
        <v>9.3065693430656893</v>
      </c>
      <c r="BI62" s="1951"/>
      <c r="BJ62" s="2169">
        <f>IF(BJ57&gt;$J$68,$J$62,IF(BJ57&lt;$J$68,(IF(BJ57&lt;0,0,BJ57*$K$62))))</f>
        <v>0</v>
      </c>
      <c r="BK62" s="2178">
        <f>IF(BK57&gt;$J$68,$J$62,IF(BK57&lt;$J$68,(IF(BK57&lt;0,0,BK57*$K$62))))</f>
        <v>0</v>
      </c>
      <c r="BL62" s="1951"/>
      <c r="BM62" s="2169">
        <f t="shared" si="358"/>
        <v>0</v>
      </c>
      <c r="BN62" s="2170">
        <f>$J$62*0</f>
        <v>0</v>
      </c>
      <c r="BO62" s="2178">
        <f t="shared" si="359"/>
        <v>0</v>
      </c>
      <c r="BQ62" s="2179"/>
      <c r="BR62" s="2180"/>
      <c r="BT62" s="2179">
        <f t="shared" si="360"/>
        <v>107.82124391727491</v>
      </c>
      <c r="BU62" s="2181">
        <f t="shared" si="361"/>
        <v>0.43128497566909962</v>
      </c>
      <c r="BV62" s="2353"/>
      <c r="BW62" s="4636"/>
      <c r="BZ62" s="2010"/>
      <c r="CA62" s="2011"/>
      <c r="CB62" s="2011"/>
      <c r="CC62" s="2011"/>
      <c r="CD62" s="2011"/>
      <c r="CE62" s="2011"/>
      <c r="CF62" s="2011"/>
      <c r="CG62" s="2011"/>
      <c r="CH62" s="2011"/>
    </row>
    <row r="63" spans="1:86" s="1740" customFormat="1" ht="15.75" x14ac:dyDescent="0.2">
      <c r="A63" s="2466"/>
      <c r="B63" s="2151">
        <v>51</v>
      </c>
      <c r="C63" s="2086" t="s">
        <v>229</v>
      </c>
      <c r="D63" s="1817"/>
      <c r="E63" s="2090">
        <v>209</v>
      </c>
      <c r="F63" s="2088">
        <f>E63/10</f>
        <v>20.9</v>
      </c>
      <c r="G63" s="2088">
        <f>E63/15</f>
        <v>13.933333333333334</v>
      </c>
      <c r="H63" s="2088">
        <f>E63/20</f>
        <v>10.45</v>
      </c>
      <c r="I63" s="2088">
        <f>E63/25</f>
        <v>8.36</v>
      </c>
      <c r="J63" s="2088">
        <f t="shared" si="340"/>
        <v>6.9666666666666668</v>
      </c>
      <c r="K63" s="2089">
        <f t="shared" si="341"/>
        <v>0.12712895377128955</v>
      </c>
      <c r="L63" s="2465"/>
      <c r="M63" s="2131"/>
      <c r="N63" s="2090">
        <f t="shared" ref="N63:O63" si="408">IF(N57&gt;$J$68,$J$63,IF(N57&lt;$J$68,(IF(N57&lt;0,0,N57*$K$63))))</f>
        <v>4.2402591240875909</v>
      </c>
      <c r="O63" s="2088">
        <f t="shared" si="408"/>
        <v>6.9666666666666668</v>
      </c>
      <c r="P63" s="2088">
        <f t="shared" ref="P63:Q63" si="409">IF(P57&gt;$J$68,$J$63,IF(P57&lt;$J$68,(IF(P57&lt;0,0,P57*$K$63))))</f>
        <v>3.320226885644769</v>
      </c>
      <c r="Q63" s="2088">
        <f t="shared" si="409"/>
        <v>6.9666666666666668</v>
      </c>
      <c r="R63" s="2088">
        <f t="shared" ref="R63:S63" si="410">IF(R57&gt;$J$68,$J$63,IF(R57&lt;$J$68,(IF(R57&lt;0,0,R57*$K$63))))</f>
        <v>5.5238801703163007</v>
      </c>
      <c r="S63" s="2088">
        <f t="shared" si="410"/>
        <v>2.5781751824817514</v>
      </c>
      <c r="T63" s="2091">
        <f t="shared" ref="T63" si="411">IF(T57&gt;$J$68,$J$63,IF(T57&lt;$J$68,(IF(T57&lt;0,0,T57*$K$63))))</f>
        <v>4.4149978710462277</v>
      </c>
      <c r="U63" s="1814"/>
      <c r="V63" s="2090">
        <f t="shared" si="302"/>
        <v>34.010872566909974</v>
      </c>
      <c r="W63" s="2087">
        <f>$J$63*0</f>
        <v>0</v>
      </c>
      <c r="X63" s="2174">
        <f t="shared" si="253"/>
        <v>34.010872566909974</v>
      </c>
      <c r="Y63" s="1814"/>
      <c r="Z63" s="2090">
        <f t="shared" ref="Z63" si="412">IF(Z57&gt;$J$68,$J$63,IF(Z57&lt;$J$68,(IF(Z57&lt;0,0,Z57*$K$63))))</f>
        <v>2.9555574817518231</v>
      </c>
      <c r="AA63" s="2087">
        <f t="shared" ref="AA63" si="413">IF(AA57&gt;$J$68,$J$63,IF(AA57&lt;$J$68,(IF(AA57&lt;0,0,AA57*$K$63))))</f>
        <v>6.4574516423357657</v>
      </c>
      <c r="AB63" s="2087">
        <f t="shared" ref="AB63:AC63" si="414">IF(AB57&gt;$J$68,$J$63,IF(AB57&lt;$J$68,(IF(AB57&lt;0,0,AB57*$K$63))))</f>
        <v>5.3750121654501211</v>
      </c>
      <c r="AC63" s="2087">
        <f t="shared" si="414"/>
        <v>1.3000206812652062</v>
      </c>
      <c r="AD63" s="2087">
        <f t="shared" ref="AD63:AE63" si="415">IF(AD57&gt;$J$68,$J$63,IF(AD57&lt;$J$68,(IF(AD57&lt;0,0,AD57*$K$63))))</f>
        <v>6.658760340632603</v>
      </c>
      <c r="AE63" s="2087">
        <f t="shared" si="415"/>
        <v>0.84305565693430629</v>
      </c>
      <c r="AF63" s="2091">
        <f t="shared" ref="AF63" si="416">IF(AF57&gt;$J$68,$J$63,IF(AF57&lt;$J$68,(IF(AF57&lt;0,0,AF57*$K$63))))</f>
        <v>1.4904598540145986</v>
      </c>
      <c r="AG63" s="1814"/>
      <c r="AH63" s="2090">
        <f t="shared" si="214"/>
        <v>25.080317822384426</v>
      </c>
      <c r="AI63" s="2087">
        <f>$J$63*0</f>
        <v>0</v>
      </c>
      <c r="AJ63" s="2174">
        <f t="shared" si="215"/>
        <v>25.080317822384426</v>
      </c>
      <c r="AK63" s="1814"/>
      <c r="AL63" s="2090">
        <f t="shared" ref="AL63:AM63" si="417">IF(AL57&gt;$J$68,$J$63,IF(AL57&lt;$J$68,(IF(AL57&lt;0,0,AL57*$K$63))))</f>
        <v>5.1404592457420923</v>
      </c>
      <c r="AM63" s="2088">
        <f t="shared" si="417"/>
        <v>5.3209823600973234</v>
      </c>
      <c r="AN63" s="2088">
        <f t="shared" ref="AN63" si="418">IF(AN57&gt;$J$68,$J$63,IF(AN57&lt;$J$68,(IF(AN57&lt;0,0,AN57*$K$63))))</f>
        <v>1.4902691605839407</v>
      </c>
      <c r="AO63" s="2088">
        <f t="shared" ref="AO63:AR63" si="419">IF(AO57&gt;$J$68,$J$63,IF(AO57&lt;$J$68,(IF(AO57&lt;0,0,AO57*$K$63))))</f>
        <v>2.6760009124087576</v>
      </c>
      <c r="AP63" s="2088">
        <f t="shared" si="419"/>
        <v>2.6470790754257902</v>
      </c>
      <c r="AQ63" s="2088">
        <f t="shared" si="419"/>
        <v>4.4399787104622863</v>
      </c>
      <c r="AR63" s="2091">
        <f t="shared" si="419"/>
        <v>1.5523080900243298</v>
      </c>
      <c r="AS63" s="1814"/>
      <c r="AT63" s="2090">
        <f t="shared" si="375"/>
        <v>23.267077554744521</v>
      </c>
      <c r="AU63" s="2087">
        <f>$J$63*0</f>
        <v>0</v>
      </c>
      <c r="AV63" s="2174">
        <f t="shared" si="376"/>
        <v>23.267077554744521</v>
      </c>
      <c r="AW63" s="1814"/>
      <c r="AX63" s="2090">
        <f t="shared" ref="AX63:AY63" si="420">IF(AX57&gt;$J$68,$J$63,IF(AX57&lt;$J$68,(IF(AX57&lt;0,0,AX57*$K$63))))</f>
        <v>2.4739294403892931</v>
      </c>
      <c r="AY63" s="2305">
        <f t="shared" si="420"/>
        <v>5.3063625304136242</v>
      </c>
      <c r="AZ63" s="2305">
        <f t="shared" ref="AZ63:BD63" si="421">IF(AZ57&gt;$J$68,$J$63,IF(AZ57&lt;$J$68,(IF(AZ57&lt;0,0,AZ57*$K$63))))</f>
        <v>0</v>
      </c>
      <c r="BA63" s="2305">
        <f t="shared" si="421"/>
        <v>0</v>
      </c>
      <c r="BB63" s="2305">
        <f t="shared" si="421"/>
        <v>0</v>
      </c>
      <c r="BC63" s="2305">
        <f t="shared" si="421"/>
        <v>0</v>
      </c>
      <c r="BD63" s="2091">
        <f t="shared" si="421"/>
        <v>0</v>
      </c>
      <c r="BE63" s="1814"/>
      <c r="BF63" s="2090">
        <f t="shared" si="356"/>
        <v>7.7802919708029172</v>
      </c>
      <c r="BG63" s="2087">
        <f>$J$63*0</f>
        <v>0</v>
      </c>
      <c r="BH63" s="2174">
        <f t="shared" si="357"/>
        <v>7.7802919708029172</v>
      </c>
      <c r="BI63" s="1814"/>
      <c r="BJ63" s="2090">
        <f>IF(BJ57&gt;$J$68,$J$63,IF(BJ57&lt;$J$68,(IF(BJ57&lt;0,0,BJ57*$K$63))))</f>
        <v>0</v>
      </c>
      <c r="BK63" s="2174">
        <f>IF(BK57&gt;$J$68,$J$63,IF(BK57&lt;$J$68,(IF(BK57&lt;0,0,BK57*$K$63))))</f>
        <v>0</v>
      </c>
      <c r="BL63" s="1814"/>
      <c r="BM63" s="2090">
        <f t="shared" si="358"/>
        <v>0</v>
      </c>
      <c r="BN63" s="2087">
        <f>$J$63*0</f>
        <v>0</v>
      </c>
      <c r="BO63" s="2174">
        <f t="shared" si="359"/>
        <v>0</v>
      </c>
      <c r="BQ63" s="2092"/>
      <c r="BR63" s="2093"/>
      <c r="BT63" s="2092">
        <f t="shared" si="360"/>
        <v>90.138559914841835</v>
      </c>
      <c r="BU63" s="2094">
        <f t="shared" si="361"/>
        <v>0.43128497566909968</v>
      </c>
      <c r="BV63" s="2351"/>
      <c r="BW63" s="4636"/>
      <c r="BZ63" s="1997"/>
      <c r="CA63" s="1861"/>
      <c r="CB63" s="1861"/>
      <c r="CC63" s="1861"/>
      <c r="CD63" s="1861"/>
      <c r="CE63" s="1861"/>
      <c r="CF63" s="1861"/>
      <c r="CG63" s="1861"/>
      <c r="CH63" s="1861"/>
    </row>
    <row r="64" spans="1:86" s="1885" customFormat="1" x14ac:dyDescent="0.2">
      <c r="A64" s="1947"/>
      <c r="B64" s="2690">
        <v>52</v>
      </c>
      <c r="C64" s="2417" t="s">
        <v>122</v>
      </c>
      <c r="D64" s="1960"/>
      <c r="E64" s="2179">
        <v>75</v>
      </c>
      <c r="F64" s="2418">
        <f>E64/10</f>
        <v>7.5</v>
      </c>
      <c r="G64" s="2418">
        <f>E64/15</f>
        <v>5</v>
      </c>
      <c r="H64" s="2418">
        <f>E64/20</f>
        <v>3.75</v>
      </c>
      <c r="I64" s="2418">
        <f>E64/25</f>
        <v>3</v>
      </c>
      <c r="J64" s="2418">
        <f t="shared" si="340"/>
        <v>2.5</v>
      </c>
      <c r="K64" s="2419">
        <f t="shared" si="341"/>
        <v>4.5620437956204379E-2</v>
      </c>
      <c r="L64" s="2003"/>
      <c r="M64" s="1950"/>
      <c r="N64" s="2169">
        <f t="shared" ref="N64:O64" si="422">IF(N57&gt;$J$68,$J$64,IF(N57&lt;$J$68,(IF(N57&lt;0,0,N57*$K$64))))</f>
        <v>1.5216240875912406</v>
      </c>
      <c r="O64" s="2176">
        <f t="shared" si="422"/>
        <v>2.5</v>
      </c>
      <c r="P64" s="2176">
        <f t="shared" ref="P64:Q64" si="423">IF(P57&gt;$J$68,$J$64,IF(P57&lt;$J$68,(IF(P57&lt;0,0,P57*$K$64))))</f>
        <v>1.1914689781021897</v>
      </c>
      <c r="Q64" s="2176">
        <f t="shared" si="423"/>
        <v>2.5</v>
      </c>
      <c r="R64" s="2176">
        <f t="shared" ref="R64:S64" si="424">IF(R57&gt;$J$68,$J$64,IF(R57&lt;$J$68,(IF(R57&lt;0,0,R57*$K$64))))</f>
        <v>1.9822536496350358</v>
      </c>
      <c r="S64" s="2176">
        <f t="shared" si="424"/>
        <v>0.92518248175182449</v>
      </c>
      <c r="T64" s="2171">
        <f t="shared" ref="T64" si="425">IF(T57&gt;$J$68,$J$64,IF(T57&lt;$J$68,(IF(T57&lt;0,0,T57*$K$64))))</f>
        <v>1.5843293795620432</v>
      </c>
      <c r="U64" s="1951"/>
      <c r="V64" s="2169">
        <f t="shared" si="302"/>
        <v>12.204858576642332</v>
      </c>
      <c r="W64" s="2170">
        <f>$J$64*0</f>
        <v>0</v>
      </c>
      <c r="X64" s="2178">
        <f t="shared" si="253"/>
        <v>12.204858576642332</v>
      </c>
      <c r="Y64" s="1956"/>
      <c r="Z64" s="2169">
        <f t="shared" ref="Z64" si="426">IF(Z57&gt;$J$68,$J$64,IF(Z57&lt;$J$68,(IF(Z57&lt;0,0,Z57*$K$64))))</f>
        <v>1.0606067518248168</v>
      </c>
      <c r="AA64" s="2170">
        <f t="shared" ref="AA64" si="427">IF(AA57&gt;$J$68,$J$64,IF(AA57&lt;$J$68,(IF(AA57&lt;0,0,AA57*$K$64))))</f>
        <v>2.3172673357664229</v>
      </c>
      <c r="AB64" s="2170">
        <f t="shared" ref="AB64:AC64" si="428">IF(AB57&gt;$J$68,$J$64,IF(AB57&lt;$J$68,(IF(AB57&lt;0,0,AB57*$K$64))))</f>
        <v>1.9288321167883209</v>
      </c>
      <c r="AC64" s="2170">
        <f t="shared" si="428"/>
        <v>0.46651459854014571</v>
      </c>
      <c r="AD64" s="2170">
        <f t="shared" ref="AD64:AE64" si="429">IF(AD57&gt;$J$68,$J$64,IF(AD57&lt;$J$68,(IF(AD57&lt;0,0,AD57*$K$64))))</f>
        <v>2.3895072992700728</v>
      </c>
      <c r="AE64" s="2170">
        <f t="shared" si="429"/>
        <v>0.30253193430656922</v>
      </c>
      <c r="AF64" s="2171">
        <f t="shared" ref="AF64" si="430">IF(AF57&gt;$J$68,$J$64,IF(AF57&lt;$J$68,(IF(AF57&lt;0,0,AF57*$K$64))))</f>
        <v>0.5348540145985401</v>
      </c>
      <c r="AG64" s="1956"/>
      <c r="AH64" s="2169">
        <f t="shared" si="214"/>
        <v>9.0001140510948883</v>
      </c>
      <c r="AI64" s="2170">
        <f>$J$64*0</f>
        <v>0</v>
      </c>
      <c r="AJ64" s="2178">
        <f t="shared" si="215"/>
        <v>9.0001140510948883</v>
      </c>
      <c r="AK64" s="1956"/>
      <c r="AL64" s="2169">
        <f t="shared" ref="AL64:AM64" si="431">IF(AL57&gt;$J$68,$J$64,IF(AL57&lt;$J$68,(IF(AL57&lt;0,0,AL57*$K$64))))</f>
        <v>1.8446624087591239</v>
      </c>
      <c r="AM64" s="2176">
        <f t="shared" si="431"/>
        <v>1.9094434306569341</v>
      </c>
      <c r="AN64" s="2176">
        <f t="shared" ref="AN64" si="432">IF(AN57&gt;$J$68,$J$64,IF(AN57&lt;$J$68,(IF(AN57&lt;0,0,AN57*$K$64))))</f>
        <v>0.53478558394160547</v>
      </c>
      <c r="AO64" s="2176">
        <f t="shared" ref="AO64:AR64" si="433">IF(AO57&gt;$J$68,$J$64,IF(AO57&lt;$J$68,(IF(AO57&lt;0,0,AO57*$K$64))))</f>
        <v>0.96028740875912355</v>
      </c>
      <c r="AP64" s="2176">
        <f t="shared" si="433"/>
        <v>0.94990875912408734</v>
      </c>
      <c r="AQ64" s="2176">
        <f t="shared" si="433"/>
        <v>1.5932937956204376</v>
      </c>
      <c r="AR64" s="2171">
        <f t="shared" si="433"/>
        <v>0.55704835766423311</v>
      </c>
      <c r="AS64" s="1951"/>
      <c r="AT64" s="2169">
        <f t="shared" si="375"/>
        <v>8.3494297445255441</v>
      </c>
      <c r="AU64" s="2170">
        <f>$J$64*0</f>
        <v>0</v>
      </c>
      <c r="AV64" s="2178">
        <f t="shared" si="376"/>
        <v>8.3494297445255441</v>
      </c>
      <c r="AW64" s="1951"/>
      <c r="AX64" s="2169">
        <f t="shared" ref="AX64:AY64" si="434">IF(AX57&gt;$J$68,$J$64,IF(AX57&lt;$J$68,(IF(AX57&lt;0,0,AX57*$K$64))))</f>
        <v>0.88777372262773657</v>
      </c>
      <c r="AY64" s="2307">
        <f t="shared" si="434"/>
        <v>1.9041970802919703</v>
      </c>
      <c r="AZ64" s="2307">
        <f t="shared" ref="AZ64:BD64" si="435">IF(AZ57&gt;$J$68,$J$64,IF(AZ57&lt;$J$68,(IF(AZ57&lt;0,0,AZ57*$K$64))))</f>
        <v>0</v>
      </c>
      <c r="BA64" s="2307">
        <f t="shared" si="435"/>
        <v>0</v>
      </c>
      <c r="BB64" s="2307">
        <f t="shared" si="435"/>
        <v>0</v>
      </c>
      <c r="BC64" s="2307">
        <f t="shared" si="435"/>
        <v>0</v>
      </c>
      <c r="BD64" s="2171">
        <f t="shared" si="435"/>
        <v>0</v>
      </c>
      <c r="BE64" s="1951"/>
      <c r="BF64" s="2169">
        <f t="shared" si="356"/>
        <v>2.7919708029197068</v>
      </c>
      <c r="BG64" s="2170">
        <f>$J$64*0</f>
        <v>0</v>
      </c>
      <c r="BH64" s="2178">
        <f t="shared" si="357"/>
        <v>2.7919708029197068</v>
      </c>
      <c r="BI64" s="1951"/>
      <c r="BJ64" s="2169">
        <f>IF(BJ57&gt;$J$68,$J$64,IF(BJ57&lt;$J$68,(IF(BJ57&lt;0,0,BJ57*$K$64))))</f>
        <v>0</v>
      </c>
      <c r="BK64" s="2178">
        <f>IF(BK57&gt;$J$68,$J$64,IF(BK57&lt;$J$68,(IF(BK57&lt;0,0,BK57*$K$64))))</f>
        <v>0</v>
      </c>
      <c r="BL64" s="1951"/>
      <c r="BM64" s="2169">
        <f t="shared" si="358"/>
        <v>0</v>
      </c>
      <c r="BN64" s="2170">
        <f>$J$64*0</f>
        <v>0</v>
      </c>
      <c r="BO64" s="2178">
        <f t="shared" si="359"/>
        <v>0</v>
      </c>
      <c r="BQ64" s="2179"/>
      <c r="BR64" s="2180"/>
      <c r="BS64" s="1900"/>
      <c r="BT64" s="2179">
        <f t="shared" si="360"/>
        <v>32.346373175182471</v>
      </c>
      <c r="BU64" s="2181">
        <f t="shared" si="361"/>
        <v>0.43128497566909962</v>
      </c>
      <c r="BV64" s="2353"/>
      <c r="BW64" s="4636"/>
      <c r="BZ64" s="2789"/>
      <c r="CA64" s="1946"/>
      <c r="CB64" s="1946"/>
      <c r="CC64" s="1946"/>
      <c r="CD64" s="1946"/>
      <c r="CE64" s="1946"/>
      <c r="CF64" s="1946"/>
      <c r="CG64" s="1946"/>
      <c r="CH64" s="1946"/>
    </row>
    <row r="65" spans="1:86" s="1726" customFormat="1" ht="17.25" thickBot="1" x14ac:dyDescent="0.25">
      <c r="A65" s="1756"/>
      <c r="B65" s="2107">
        <v>53</v>
      </c>
      <c r="C65" s="2108" t="s">
        <v>242</v>
      </c>
      <c r="D65" s="2646"/>
      <c r="E65" s="2092">
        <v>0</v>
      </c>
      <c r="F65" s="2111">
        <f>E65/10</f>
        <v>0</v>
      </c>
      <c r="G65" s="2111">
        <f>E65/15</f>
        <v>0</v>
      </c>
      <c r="H65" s="2111">
        <f>E65/20</f>
        <v>0</v>
      </c>
      <c r="I65" s="2111">
        <f>E65/25</f>
        <v>0</v>
      </c>
      <c r="J65" s="2111">
        <f t="shared" si="340"/>
        <v>0</v>
      </c>
      <c r="K65" s="2112">
        <f t="shared" si="341"/>
        <v>0</v>
      </c>
      <c r="L65" s="1931"/>
      <c r="M65" s="1924"/>
      <c r="N65" s="2090">
        <f t="shared" ref="N65:O65" si="436">IF(N57&gt;$J$68,$J$65,IF(N57&lt;$J$68,(IF(N57&lt;0,0,N57*$K$65))))</f>
        <v>0</v>
      </c>
      <c r="O65" s="2088">
        <f t="shared" si="436"/>
        <v>0</v>
      </c>
      <c r="P65" s="2088">
        <f t="shared" ref="P65:Q65" si="437">IF(P57&gt;$J$68,$J$65,IF(P57&lt;$J$68,(IF(P57&lt;0,0,P57*$K$65))))</f>
        <v>0</v>
      </c>
      <c r="Q65" s="2088">
        <f t="shared" si="437"/>
        <v>0</v>
      </c>
      <c r="R65" s="2088">
        <f t="shared" ref="R65:S65" si="438">IF(R57&gt;$J$68,$J$65,IF(R57&lt;$J$68,(IF(R57&lt;0,0,R57*$K$65))))</f>
        <v>0</v>
      </c>
      <c r="S65" s="2088">
        <f t="shared" si="438"/>
        <v>0</v>
      </c>
      <c r="T65" s="2091">
        <f t="shared" ref="T65" si="439">IF(T57&gt;$J$68,$J$65,IF(T57&lt;$J$68,(IF(T57&lt;0,0,T57*$K$65))))</f>
        <v>0</v>
      </c>
      <c r="U65" s="1814"/>
      <c r="V65" s="2090">
        <f t="shared" si="302"/>
        <v>0</v>
      </c>
      <c r="W65" s="2087">
        <f>$J$65*0</f>
        <v>0</v>
      </c>
      <c r="X65" s="2174">
        <f t="shared" si="253"/>
        <v>0</v>
      </c>
      <c r="Y65" s="1766"/>
      <c r="Z65" s="2090">
        <f t="shared" ref="Z65" si="440">IF(Z57&gt;$J$68,$J$65,IF(Z57&lt;$J$68,(IF(Z57&lt;0,0,Z57*$K$65))))</f>
        <v>0</v>
      </c>
      <c r="AA65" s="2087">
        <f t="shared" ref="AA65" si="441">IF(AA57&gt;$J$68,$J$65,IF(AA57&lt;$J$68,(IF(AA57&lt;0,0,AA57*$K$65))))</f>
        <v>0</v>
      </c>
      <c r="AB65" s="2087">
        <f t="shared" ref="AB65:AC65" si="442">IF(AB57&gt;$J$68,$J$65,IF(AB57&lt;$J$68,(IF(AB57&lt;0,0,AB57*$K$65))))</f>
        <v>0</v>
      </c>
      <c r="AC65" s="2087">
        <f t="shared" si="442"/>
        <v>0</v>
      </c>
      <c r="AD65" s="2087">
        <f t="shared" ref="AD65:AE65" si="443">IF(AD57&gt;$J$68,$J$65,IF(AD57&lt;$J$68,(IF(AD57&lt;0,0,AD57*$K$65))))</f>
        <v>0</v>
      </c>
      <c r="AE65" s="2087">
        <f t="shared" si="443"/>
        <v>0</v>
      </c>
      <c r="AF65" s="2091">
        <f t="shared" ref="AF65" si="444">IF(AF57&gt;$J$68,$J$65,IF(AF57&lt;$J$68,(IF(AF57&lt;0,0,AF57*$K$65))))</f>
        <v>0</v>
      </c>
      <c r="AG65" s="1766"/>
      <c r="AH65" s="2090">
        <f t="shared" si="214"/>
        <v>0</v>
      </c>
      <c r="AI65" s="2087">
        <f>$J$65*0</f>
        <v>0</v>
      </c>
      <c r="AJ65" s="2174">
        <f t="shared" si="215"/>
        <v>0</v>
      </c>
      <c r="AK65" s="1766"/>
      <c r="AL65" s="2090">
        <f t="shared" ref="AL65:AM65" si="445">IF(AL57&gt;$J$68,$J$65,IF(AL57&lt;$J$68,(IF(AL57&lt;0,0,AL57*$K$65))))</f>
        <v>0</v>
      </c>
      <c r="AM65" s="2088">
        <f t="shared" si="445"/>
        <v>0</v>
      </c>
      <c r="AN65" s="2088">
        <f t="shared" ref="AN65" si="446">IF(AN57&gt;$J$68,$J$65,IF(AN57&lt;$J$68,(IF(AN57&lt;0,0,AN57*$K$65))))</f>
        <v>0</v>
      </c>
      <c r="AO65" s="2088">
        <f t="shared" ref="AO65:AR65" si="447">IF(AO57&gt;$J$68,$J$65,IF(AO57&lt;$J$68,(IF(AO57&lt;0,0,AO57*$K$65))))</f>
        <v>0</v>
      </c>
      <c r="AP65" s="2088">
        <f t="shared" si="447"/>
        <v>0</v>
      </c>
      <c r="AQ65" s="2088">
        <f t="shared" si="447"/>
        <v>0</v>
      </c>
      <c r="AR65" s="2091">
        <f t="shared" si="447"/>
        <v>0</v>
      </c>
      <c r="AS65" s="1814"/>
      <c r="AT65" s="2090">
        <f t="shared" si="375"/>
        <v>0</v>
      </c>
      <c r="AU65" s="2087">
        <f>$J$65*0</f>
        <v>0</v>
      </c>
      <c r="AV65" s="2174">
        <f t="shared" si="376"/>
        <v>0</v>
      </c>
      <c r="AW65" s="1814"/>
      <c r="AX65" s="2090">
        <f t="shared" ref="AX65:AY65" si="448">IF(AX57&gt;$J$68,$J$65,IF(AX57&lt;$J$68,(IF(AX57&lt;0,0,AX57*$K$65))))</f>
        <v>0</v>
      </c>
      <c r="AY65" s="2305">
        <f t="shared" si="448"/>
        <v>0</v>
      </c>
      <c r="AZ65" s="2305">
        <f t="shared" ref="AZ65:BD65" si="449">IF(AZ57&gt;$J$68,$J$65,IF(AZ57&lt;$J$68,(IF(AZ57&lt;0,0,AZ57*$K$65))))</f>
        <v>0</v>
      </c>
      <c r="BA65" s="2305">
        <f t="shared" si="449"/>
        <v>0</v>
      </c>
      <c r="BB65" s="2305">
        <f t="shared" si="449"/>
        <v>0</v>
      </c>
      <c r="BC65" s="2305">
        <f t="shared" si="449"/>
        <v>0</v>
      </c>
      <c r="BD65" s="2091">
        <f t="shared" si="449"/>
        <v>0</v>
      </c>
      <c r="BE65" s="1814"/>
      <c r="BF65" s="2090">
        <f t="shared" si="356"/>
        <v>0</v>
      </c>
      <c r="BG65" s="2087">
        <f>$J$65*0</f>
        <v>0</v>
      </c>
      <c r="BH65" s="2174">
        <f t="shared" si="357"/>
        <v>0</v>
      </c>
      <c r="BI65" s="1814"/>
      <c r="BJ65" s="2090">
        <f>IF(BJ57&gt;$J$68,$J$65,IF(BJ57&lt;$J$68,(IF(BJ57&lt;0,0,BJ57*$K$65))))</f>
        <v>0</v>
      </c>
      <c r="BK65" s="2174">
        <f>IF(BK57&gt;$J$68,$J$65,IF(BK57&lt;$J$68,(IF(BK57&lt;0,0,BK57*$K$65))))</f>
        <v>0</v>
      </c>
      <c r="BL65" s="1814"/>
      <c r="BM65" s="2090">
        <f t="shared" si="358"/>
        <v>0</v>
      </c>
      <c r="BN65" s="2087">
        <f>$J$65*0</f>
        <v>0</v>
      </c>
      <c r="BO65" s="2174">
        <f t="shared" si="359"/>
        <v>0</v>
      </c>
      <c r="BQ65" s="2092"/>
      <c r="BR65" s="2093"/>
      <c r="BS65" s="1740"/>
      <c r="BT65" s="2092">
        <f t="shared" si="360"/>
        <v>0</v>
      </c>
      <c r="BU65" s="2094" t="e">
        <f t="shared" si="361"/>
        <v>#DIV/0!</v>
      </c>
      <c r="BV65" s="2351"/>
      <c r="BW65" s="4636"/>
      <c r="BZ65" s="2794"/>
      <c r="CA65" s="1860"/>
      <c r="CB65" s="1860"/>
      <c r="CC65" s="1860"/>
      <c r="CD65" s="1860"/>
      <c r="CE65" s="1860"/>
      <c r="CF65" s="1860"/>
      <c r="CG65" s="1860"/>
      <c r="CH65" s="1860"/>
    </row>
    <row r="66" spans="1:86" s="1885" customFormat="1" x14ac:dyDescent="0.2">
      <c r="B66" s="2691">
        <v>54</v>
      </c>
      <c r="C66" s="2692" t="s">
        <v>227</v>
      </c>
      <c r="D66" s="2693"/>
      <c r="E66" s="2694">
        <v>0</v>
      </c>
      <c r="F66" s="2695"/>
      <c r="G66" s="2695"/>
      <c r="H66" s="2695"/>
      <c r="I66" s="2695"/>
      <c r="J66" s="2695">
        <f t="shared" si="340"/>
        <v>0</v>
      </c>
      <c r="K66" s="2696">
        <f t="shared" si="341"/>
        <v>0</v>
      </c>
      <c r="L66" s="2003"/>
      <c r="M66" s="1950"/>
      <c r="N66" s="2169">
        <f t="shared" ref="N66:O66" si="450">IF(N57&gt;$J$68,$J$66,IF(N57&lt;$J$68,(IF(N57&lt;0,0,N57*$K$66))))</f>
        <v>0</v>
      </c>
      <c r="O66" s="2176">
        <f t="shared" si="450"/>
        <v>0</v>
      </c>
      <c r="P66" s="2176">
        <f t="shared" ref="P66:Q66" si="451">IF(P57&gt;$J$68,$J$66,IF(P57&lt;$J$68,(IF(P57&lt;0,0,P57*$K$66))))</f>
        <v>0</v>
      </c>
      <c r="Q66" s="2176">
        <f t="shared" si="451"/>
        <v>0</v>
      </c>
      <c r="R66" s="2176">
        <f t="shared" ref="R66:S66" si="452">IF(R57&gt;$J$68,$J$66,IF(R57&lt;$J$68,(IF(R57&lt;0,0,R57*$K$66))))</f>
        <v>0</v>
      </c>
      <c r="S66" s="2176">
        <f t="shared" si="452"/>
        <v>0</v>
      </c>
      <c r="T66" s="2171">
        <f t="shared" ref="T66" si="453">IF(T57&gt;$J$68,$J$66,IF(T57&lt;$J$68,(IF(T57&lt;0,0,T57*$K$66))))</f>
        <v>0</v>
      </c>
      <c r="U66" s="1951"/>
      <c r="V66" s="2169">
        <f t="shared" si="302"/>
        <v>0</v>
      </c>
      <c r="W66" s="2170">
        <f>$J$66*0</f>
        <v>0</v>
      </c>
      <c r="X66" s="2178">
        <f t="shared" si="253"/>
        <v>0</v>
      </c>
      <c r="Y66" s="1956"/>
      <c r="Z66" s="2169">
        <f t="shared" ref="Z66" si="454">IF(Z57&gt;$J$68,$J$66,IF(Z57&lt;$J$68,(IF(Z57&lt;0,0,Z57*$K$66))))</f>
        <v>0</v>
      </c>
      <c r="AA66" s="2170">
        <f t="shared" ref="AA66" si="455">IF(AA57&gt;$J$68,$J$66,IF(AA57&lt;$J$68,(IF(AA57&lt;0,0,AA57*$K$66))))</f>
        <v>0</v>
      </c>
      <c r="AB66" s="2170">
        <f t="shared" ref="AB66:AC66" si="456">IF(AB57&gt;$J$68,$J$66,IF(AB57&lt;$J$68,(IF(AB57&lt;0,0,AB57*$K$66))))</f>
        <v>0</v>
      </c>
      <c r="AC66" s="2170">
        <f t="shared" si="456"/>
        <v>0</v>
      </c>
      <c r="AD66" s="2170">
        <f t="shared" ref="AD66:AE66" si="457">IF(AD57&gt;$J$68,$J$66,IF(AD57&lt;$J$68,(IF(AD57&lt;0,0,AD57*$K$66))))</f>
        <v>0</v>
      </c>
      <c r="AE66" s="2170">
        <f t="shared" si="457"/>
        <v>0</v>
      </c>
      <c r="AF66" s="2171">
        <f t="shared" ref="AF66" si="458">IF(AF57&gt;$J$68,$J$66,IF(AF57&lt;$J$68,(IF(AF57&lt;0,0,AF57*$K$66))))</f>
        <v>0</v>
      </c>
      <c r="AG66" s="1956"/>
      <c r="AH66" s="2169">
        <f t="shared" si="214"/>
        <v>0</v>
      </c>
      <c r="AI66" s="2170">
        <f>$J$66*0</f>
        <v>0</v>
      </c>
      <c r="AJ66" s="2178">
        <f t="shared" si="215"/>
        <v>0</v>
      </c>
      <c r="AK66" s="1956"/>
      <c r="AL66" s="2169">
        <f t="shared" ref="AL66:AM66" si="459">IF(AL57&gt;$J$68,$J$66,IF(AL57&lt;$J$68,(IF(AL57&lt;0,0,AL57*$K$66))))</f>
        <v>0</v>
      </c>
      <c r="AM66" s="2176">
        <f t="shared" si="459"/>
        <v>0</v>
      </c>
      <c r="AN66" s="2176">
        <f t="shared" ref="AN66" si="460">IF(AN57&gt;$J$68,$J$66,IF(AN57&lt;$J$68,(IF(AN57&lt;0,0,AN57*$K$66))))</f>
        <v>0</v>
      </c>
      <c r="AO66" s="2176">
        <f t="shared" ref="AO66:AR66" si="461">IF(AO57&gt;$J$68,$J$66,IF(AO57&lt;$J$68,(IF(AO57&lt;0,0,AO57*$K$66))))</f>
        <v>0</v>
      </c>
      <c r="AP66" s="2176">
        <f t="shared" si="461"/>
        <v>0</v>
      </c>
      <c r="AQ66" s="2176">
        <f t="shared" si="461"/>
        <v>0</v>
      </c>
      <c r="AR66" s="2171">
        <f t="shared" si="461"/>
        <v>0</v>
      </c>
      <c r="AS66" s="1951"/>
      <c r="AT66" s="2169">
        <f t="shared" si="375"/>
        <v>0</v>
      </c>
      <c r="AU66" s="2170">
        <f>$J$66*0</f>
        <v>0</v>
      </c>
      <c r="AV66" s="2178">
        <f t="shared" si="376"/>
        <v>0</v>
      </c>
      <c r="AW66" s="1951"/>
      <c r="AX66" s="2169">
        <f t="shared" ref="AX66:AY66" si="462">IF(AX57&gt;$J$68,$J$66,IF(AX57&lt;$J$68,(IF(AX57&lt;0,0,AX57*$K$66))))</f>
        <v>0</v>
      </c>
      <c r="AY66" s="2307">
        <f t="shared" si="462"/>
        <v>0</v>
      </c>
      <c r="AZ66" s="2307">
        <f t="shared" ref="AZ66:BD66" si="463">IF(AZ57&gt;$J$68,$J$66,IF(AZ57&lt;$J$68,(IF(AZ57&lt;0,0,AZ57*$K$66))))</f>
        <v>0</v>
      </c>
      <c r="BA66" s="2307">
        <f t="shared" si="463"/>
        <v>0</v>
      </c>
      <c r="BB66" s="2307">
        <f t="shared" si="463"/>
        <v>0</v>
      </c>
      <c r="BC66" s="2307">
        <f t="shared" si="463"/>
        <v>0</v>
      </c>
      <c r="BD66" s="2171">
        <f t="shared" si="463"/>
        <v>0</v>
      </c>
      <c r="BE66" s="1951"/>
      <c r="BF66" s="2169">
        <f t="shared" si="356"/>
        <v>0</v>
      </c>
      <c r="BG66" s="2170">
        <f>$J$66*0</f>
        <v>0</v>
      </c>
      <c r="BH66" s="2178">
        <f t="shared" si="357"/>
        <v>0</v>
      </c>
      <c r="BI66" s="1951"/>
      <c r="BJ66" s="2169">
        <f>IF(BJ57&gt;$J$68,$J$66,IF(BJ57&lt;$J$68,(IF(BJ57&lt;0,0,BJ57*$K$66))))</f>
        <v>0</v>
      </c>
      <c r="BK66" s="2178">
        <f>IF(BK57&gt;$J$68,$J$66,IF(BK57&lt;$J$68,(IF(BK57&lt;0,0,BK57*$K$66))))</f>
        <v>0</v>
      </c>
      <c r="BL66" s="1951"/>
      <c r="BM66" s="2169">
        <f t="shared" si="358"/>
        <v>0</v>
      </c>
      <c r="BN66" s="2170">
        <f>$J$66*0</f>
        <v>0</v>
      </c>
      <c r="BO66" s="2178">
        <f t="shared" si="359"/>
        <v>0</v>
      </c>
      <c r="BQ66" s="2179"/>
      <c r="BR66" s="2180"/>
      <c r="BS66" s="1900"/>
      <c r="BT66" s="2179">
        <f t="shared" si="360"/>
        <v>0</v>
      </c>
      <c r="BU66" s="2181" t="e">
        <f t="shared" si="361"/>
        <v>#DIV/0!</v>
      </c>
      <c r="BV66" s="2353"/>
      <c r="BW66" s="4636"/>
      <c r="BZ66" s="2789"/>
      <c r="CA66" s="1946"/>
      <c r="CB66" s="1946"/>
      <c r="CC66" s="1946"/>
      <c r="CD66" s="1946"/>
      <c r="CE66" s="1946"/>
      <c r="CF66" s="1946"/>
      <c r="CG66" s="1946"/>
      <c r="CH66" s="1946"/>
    </row>
    <row r="67" spans="1:86" s="1726" customFormat="1" ht="17.25" thickBot="1" x14ac:dyDescent="0.25">
      <c r="B67" s="2647">
        <v>55</v>
      </c>
      <c r="C67" s="2648" t="s">
        <v>228</v>
      </c>
      <c r="D67" s="2649"/>
      <c r="E67" s="2193">
        <v>0</v>
      </c>
      <c r="F67" s="2313">
        <f>E67/10</f>
        <v>0</v>
      </c>
      <c r="G67" s="2313">
        <f>E67/15</f>
        <v>0</v>
      </c>
      <c r="H67" s="2313">
        <f>E67/20</f>
        <v>0</v>
      </c>
      <c r="I67" s="2313">
        <f>E67/25</f>
        <v>0</v>
      </c>
      <c r="J67" s="2313">
        <f t="shared" si="340"/>
        <v>0</v>
      </c>
      <c r="K67" s="2194">
        <f t="shared" si="341"/>
        <v>0</v>
      </c>
      <c r="L67" s="1931"/>
      <c r="M67" s="1924"/>
      <c r="N67" s="2090">
        <f t="shared" ref="N67:O67" si="464">IF(N57&gt;$J$68,$J$67,IF(N57&lt;$J$68,(IF(N57&lt;0,0,N57*$K$67))))</f>
        <v>0</v>
      </c>
      <c r="O67" s="2088">
        <f t="shared" si="464"/>
        <v>0</v>
      </c>
      <c r="P67" s="2088">
        <f t="shared" ref="P67:Q67" si="465">IF(P57&gt;$J$68,$J$67,IF(P57&lt;$J$68,(IF(P57&lt;0,0,P57*$K$67))))</f>
        <v>0</v>
      </c>
      <c r="Q67" s="2088">
        <f t="shared" si="465"/>
        <v>0</v>
      </c>
      <c r="R67" s="2088">
        <f t="shared" ref="R67:S67" si="466">IF(R57&gt;$J$68,$J$67,IF(R57&lt;$J$68,(IF(R57&lt;0,0,R57*$K$67))))</f>
        <v>0</v>
      </c>
      <c r="S67" s="2088">
        <f t="shared" si="466"/>
        <v>0</v>
      </c>
      <c r="T67" s="2091">
        <f t="shared" ref="T67" si="467">IF(T57&gt;$J$68,$J$67,IF(T57&lt;$J$68,(IF(T57&lt;0,0,T57*$K$67))))</f>
        <v>0</v>
      </c>
      <c r="U67" s="1814"/>
      <c r="V67" s="2445">
        <f t="shared" si="82"/>
        <v>0</v>
      </c>
      <c r="W67" s="2650">
        <f>$J$67*0</f>
        <v>0</v>
      </c>
      <c r="X67" s="2651">
        <f t="shared" si="253"/>
        <v>0</v>
      </c>
      <c r="Y67" s="1766"/>
      <c r="Z67" s="2445">
        <f t="shared" ref="Z67" si="468">IF(Z57&gt;$J$68,$J$67,IF(Z57&lt;$J$68,(IF(Z57&lt;0,0,Z57*$K$67))))</f>
        <v>0</v>
      </c>
      <c r="AA67" s="2650">
        <f t="shared" ref="AA67" si="469">IF(AA57&gt;$J$68,$J$67,IF(AA57&lt;$J$68,(IF(AA57&lt;0,0,AA57*$K$67))))</f>
        <v>0</v>
      </c>
      <c r="AB67" s="2650">
        <f t="shared" ref="AB67:AC67" si="470">IF(AB57&gt;$J$68,$J$67,IF(AB57&lt;$J$68,(IF(AB57&lt;0,0,AB57*$K$67))))</f>
        <v>0</v>
      </c>
      <c r="AC67" s="2650">
        <f t="shared" si="470"/>
        <v>0</v>
      </c>
      <c r="AD67" s="2650">
        <f t="shared" ref="AD67:AE67" si="471">IF(AD57&gt;$J$68,$J$67,IF(AD57&lt;$J$68,(IF(AD57&lt;0,0,AD57*$K$67))))</f>
        <v>0</v>
      </c>
      <c r="AE67" s="2650">
        <f t="shared" si="471"/>
        <v>0</v>
      </c>
      <c r="AF67" s="2652">
        <f t="shared" ref="AF67" si="472">IF(AF57&gt;$J$68,$J$67,IF(AF57&lt;$J$68,(IF(AF57&lt;0,0,AF57*$K$67))))</f>
        <v>0</v>
      </c>
      <c r="AG67" s="1766"/>
      <c r="AH67" s="2445">
        <f t="shared" si="214"/>
        <v>0</v>
      </c>
      <c r="AI67" s="2650">
        <f>$J$67*0</f>
        <v>0</v>
      </c>
      <c r="AJ67" s="2651">
        <f t="shared" si="215"/>
        <v>0</v>
      </c>
      <c r="AK67" s="1766"/>
      <c r="AL67" s="2193">
        <f t="shared" ref="AL67:AM67" si="473">IF(AL57&gt;$J$68,$J$67,IF(AL57&lt;$J$68,(IF(AL57&lt;0,0,AL57*$K$67))))</f>
        <v>0</v>
      </c>
      <c r="AM67" s="2313">
        <f t="shared" si="473"/>
        <v>0</v>
      </c>
      <c r="AN67" s="2313">
        <f t="shared" ref="AN67" si="474">IF(AN57&gt;$J$68,$J$67,IF(AN57&lt;$J$68,(IF(AN57&lt;0,0,AN57*$K$67))))</f>
        <v>0</v>
      </c>
      <c r="AO67" s="2313">
        <f t="shared" ref="AO67:AR67" si="475">IF(AO57&gt;$J$68,$J$67,IF(AO57&lt;$J$68,(IF(AO57&lt;0,0,AO57*$K$67))))</f>
        <v>0</v>
      </c>
      <c r="AP67" s="2313">
        <f t="shared" si="475"/>
        <v>0</v>
      </c>
      <c r="AQ67" s="2313">
        <f t="shared" si="475"/>
        <v>0</v>
      </c>
      <c r="AR67" s="2314">
        <f t="shared" si="475"/>
        <v>0</v>
      </c>
      <c r="AS67" s="1814"/>
      <c r="AT67" s="2445">
        <f t="shared" si="375"/>
        <v>0</v>
      </c>
      <c r="AU67" s="2650">
        <f>$J$67*0</f>
        <v>0</v>
      </c>
      <c r="AV67" s="2651">
        <f t="shared" si="376"/>
        <v>0</v>
      </c>
      <c r="AW67" s="1814"/>
      <c r="AX67" s="2445">
        <f t="shared" ref="AX67:AY67" si="476">IF(AX57&gt;$J$68,$J$67,IF(AX57&lt;$J$68,(IF(AX57&lt;0,0,AX57*$K$67))))</f>
        <v>0</v>
      </c>
      <c r="AY67" s="2653">
        <f t="shared" si="476"/>
        <v>0</v>
      </c>
      <c r="AZ67" s="2653">
        <f t="shared" ref="AZ67:BD67" si="477">IF(AZ57&gt;$J$68,$J$67,IF(AZ57&lt;$J$68,(IF(AZ57&lt;0,0,AZ57*$K$67))))</f>
        <v>0</v>
      </c>
      <c r="BA67" s="2653">
        <f t="shared" si="477"/>
        <v>0</v>
      </c>
      <c r="BB67" s="2653">
        <f t="shared" si="477"/>
        <v>0</v>
      </c>
      <c r="BC67" s="2653">
        <f t="shared" si="477"/>
        <v>0</v>
      </c>
      <c r="BD67" s="2652">
        <f t="shared" si="477"/>
        <v>0</v>
      </c>
      <c r="BE67" s="1814"/>
      <c r="BF67" s="2445">
        <f t="shared" si="356"/>
        <v>0</v>
      </c>
      <c r="BG67" s="2650">
        <f>$J$67*0</f>
        <v>0</v>
      </c>
      <c r="BH67" s="2651">
        <f t="shared" si="357"/>
        <v>0</v>
      </c>
      <c r="BI67" s="1814"/>
      <c r="BJ67" s="2445">
        <f>IF(BJ57&gt;$J$68,$J$67,IF(BJ57&lt;$J$68,(IF(BJ57&lt;0,0,BJ57*$K$67))))</f>
        <v>0</v>
      </c>
      <c r="BK67" s="2651">
        <f>IF(BK57&gt;$J$68,$J$67,IF(BK57&lt;$J$68,(IF(BK57&lt;0,0,BK57*$K$67))))</f>
        <v>0</v>
      </c>
      <c r="BL67" s="1814"/>
      <c r="BM67" s="2445">
        <f t="shared" si="358"/>
        <v>0</v>
      </c>
      <c r="BN67" s="2650">
        <f>$J$67*0</f>
        <v>0</v>
      </c>
      <c r="BO67" s="2651">
        <f t="shared" si="359"/>
        <v>0</v>
      </c>
      <c r="BQ67" s="2193"/>
      <c r="BR67" s="2654"/>
      <c r="BS67" s="1740"/>
      <c r="BT67" s="2193">
        <f t="shared" si="360"/>
        <v>0</v>
      </c>
      <c r="BU67" s="2195" t="e">
        <f t="shared" si="361"/>
        <v>#DIV/0!</v>
      </c>
      <c r="BV67" s="2351"/>
      <c r="BW67" s="4636"/>
      <c r="BZ67" s="2794"/>
      <c r="CA67" s="2794"/>
      <c r="CB67" s="1860"/>
      <c r="CC67" s="1860"/>
      <c r="CD67" s="1860"/>
      <c r="CE67" s="1860"/>
      <c r="CF67" s="1860"/>
      <c r="CG67" s="1860"/>
      <c r="CH67" s="1860"/>
    </row>
    <row r="68" spans="1:86" s="1885" customFormat="1" ht="17.25" thickBot="1" x14ac:dyDescent="0.25">
      <c r="B68" s="2697"/>
      <c r="C68" s="2698" t="s">
        <v>194</v>
      </c>
      <c r="D68" s="2119"/>
      <c r="E68" s="2183">
        <f>SUM(E59:E67)</f>
        <v>1644</v>
      </c>
      <c r="F68" s="2311">
        <f>SUM(F46:F67)</f>
        <v>149.52500000000001</v>
      </c>
      <c r="G68" s="2311">
        <f>SUM(G46:G67)</f>
        <v>99.683333333333351</v>
      </c>
      <c r="H68" s="2311">
        <f>SUM(H46:H67)</f>
        <v>74.762500000000003</v>
      </c>
      <c r="I68" s="2311">
        <f>SUM(I46:I67)</f>
        <v>59.81</v>
      </c>
      <c r="J68" s="2311">
        <f>SUM(J59:J67)</f>
        <v>54.800000000000004</v>
      </c>
      <c r="K68" s="2699">
        <f>SUM(K59:K67)</f>
        <v>1</v>
      </c>
      <c r="L68" s="2003"/>
      <c r="M68" s="1950"/>
      <c r="N68" s="2120">
        <f t="shared" ref="N68:O68" si="478">SUM(N59:N67)</f>
        <v>33.353999999999992</v>
      </c>
      <c r="O68" s="2123">
        <f t="shared" si="478"/>
        <v>54.800000000000004</v>
      </c>
      <c r="P68" s="2123">
        <f t="shared" ref="P68:Q68" si="479">SUM(P59:P67)</f>
        <v>26.116999999999997</v>
      </c>
      <c r="Q68" s="2123">
        <f t="shared" si="479"/>
        <v>54.800000000000004</v>
      </c>
      <c r="R68" s="2123">
        <f t="shared" ref="R68:S68" si="480">SUM(R59:R67)</f>
        <v>43.450999999999986</v>
      </c>
      <c r="S68" s="2123">
        <f t="shared" si="480"/>
        <v>20.279999999999994</v>
      </c>
      <c r="T68" s="2124">
        <f t="shared" ref="T68" si="481">SUM(T59:T67)</f>
        <v>34.72849999999999</v>
      </c>
      <c r="U68" s="1951"/>
      <c r="V68" s="2120">
        <f>SUM(V59:V67)</f>
        <v>267.53049999999996</v>
      </c>
      <c r="W68" s="2123">
        <f>SUM(W59:W67)</f>
        <v>0</v>
      </c>
      <c r="X68" s="2125">
        <f>SUM(X59:X67)</f>
        <v>267.53049999999996</v>
      </c>
      <c r="Y68" s="1956"/>
      <c r="Z68" s="2120">
        <f t="shared" ref="Z68" si="482">SUM(Z59:Z67)</f>
        <v>23.248499999999982</v>
      </c>
      <c r="AA68" s="2123">
        <f t="shared" ref="AA68" si="483">SUM(AA59:AA67)</f>
        <v>50.794499999999992</v>
      </c>
      <c r="AB68" s="2123">
        <f t="shared" ref="AB68:AC68" si="484">SUM(AB59:AB67)</f>
        <v>42.28</v>
      </c>
      <c r="AC68" s="2123">
        <f t="shared" si="484"/>
        <v>10.225999999999994</v>
      </c>
      <c r="AD68" s="2123">
        <f t="shared" ref="AD68:AE68" si="485">SUM(AD59:AD67)</f>
        <v>52.377999999999993</v>
      </c>
      <c r="AE68" s="2123">
        <f t="shared" si="485"/>
        <v>6.6314999999999973</v>
      </c>
      <c r="AF68" s="2124">
        <f t="shared" ref="AF68" si="486">SUM(AF59:AF67)</f>
        <v>11.724</v>
      </c>
      <c r="AG68" s="1956"/>
      <c r="AH68" s="2120">
        <f>SUM(Z68:AF68)</f>
        <v>197.28249999999994</v>
      </c>
      <c r="AI68" s="2123">
        <f>SUM(AI59:AI67)</f>
        <v>0</v>
      </c>
      <c r="AJ68" s="2125">
        <f>SUM(AJ46:AJ67)</f>
        <v>347.66583333333324</v>
      </c>
      <c r="AK68" s="1956"/>
      <c r="AL68" s="2120">
        <f t="shared" ref="AL68:AM68" si="487">SUM(AL59:AL67)</f>
        <v>40.435000000000002</v>
      </c>
      <c r="AM68" s="2121">
        <f t="shared" si="487"/>
        <v>41.855000000000004</v>
      </c>
      <c r="AN68" s="2121">
        <f t="shared" ref="AN68" si="488">SUM(AN59:AN67)</f>
        <v>11.722499999999991</v>
      </c>
      <c r="AO68" s="2121">
        <f t="shared" ref="AO68:AR68" si="489">SUM(AO59:AO67)</f>
        <v>21.049499999999988</v>
      </c>
      <c r="AP68" s="2121">
        <f t="shared" si="489"/>
        <v>20.821999999999996</v>
      </c>
      <c r="AQ68" s="2121">
        <f t="shared" si="489"/>
        <v>34.924999999999997</v>
      </c>
      <c r="AR68" s="2124">
        <f t="shared" si="489"/>
        <v>12.210499999999989</v>
      </c>
      <c r="AS68" s="1951"/>
      <c r="AT68" s="2120">
        <f>SUM(AL68:AR68)</f>
        <v>183.01949999999997</v>
      </c>
      <c r="AU68" s="2123">
        <f>SUM(AU59:AU67)</f>
        <v>0</v>
      </c>
      <c r="AV68" s="2125">
        <f>SUM(AV46:AV67)</f>
        <v>333.40283333333315</v>
      </c>
      <c r="AW68" s="1951"/>
      <c r="AX68" s="2187">
        <f t="shared" ref="AX68:AY68" si="490">SUM(AX59:AX67)</f>
        <v>19.45999999999999</v>
      </c>
      <c r="AY68" s="2700">
        <f t="shared" si="490"/>
        <v>41.739999999999988</v>
      </c>
      <c r="AZ68" s="2700">
        <f t="shared" ref="AZ68:BD68" si="491">SUM(AZ59:AZ67)</f>
        <v>0</v>
      </c>
      <c r="BA68" s="2700">
        <f t="shared" si="491"/>
        <v>0</v>
      </c>
      <c r="BB68" s="2700">
        <f t="shared" si="491"/>
        <v>0</v>
      </c>
      <c r="BC68" s="2700">
        <f t="shared" si="491"/>
        <v>0</v>
      </c>
      <c r="BD68" s="2309">
        <f t="shared" si="491"/>
        <v>0</v>
      </c>
      <c r="BE68" s="1951"/>
      <c r="BF68" s="2187">
        <f>SUM(AX68:BD68)</f>
        <v>61.199999999999974</v>
      </c>
      <c r="BG68" s="2701">
        <f>SUM(BG59:BG67)</f>
        <v>0</v>
      </c>
      <c r="BH68" s="2702">
        <f>SUM(BH46:BH67)</f>
        <v>104.16666666666664</v>
      </c>
      <c r="BI68" s="1951"/>
      <c r="BJ68" s="2187">
        <f t="shared" ref="BJ68:BK68" si="492">SUM(BJ59:BJ67)</f>
        <v>0</v>
      </c>
      <c r="BK68" s="2702">
        <f t="shared" si="492"/>
        <v>0</v>
      </c>
      <c r="BL68" s="1951"/>
      <c r="BM68" s="2187">
        <f t="shared" si="358"/>
        <v>0</v>
      </c>
      <c r="BN68" s="2701">
        <f>SUM(BN46:BN67)</f>
        <v>0</v>
      </c>
      <c r="BO68" s="2702">
        <f>SUM(BO46:BO67)</f>
        <v>0</v>
      </c>
      <c r="BQ68" s="2187">
        <f>X68+AJ68+AV68</f>
        <v>948.59916666666641</v>
      </c>
      <c r="BR68" s="2427"/>
      <c r="BS68" s="1900"/>
      <c r="BT68" s="2187">
        <f>SUM(BT59:BT67)</f>
        <v>709.03249999999991</v>
      </c>
      <c r="BU68" s="2189">
        <f t="shared" si="361"/>
        <v>0.43128497566909968</v>
      </c>
      <c r="BV68" s="2353"/>
      <c r="BW68" s="4637"/>
      <c r="BZ68" s="2789"/>
      <c r="CA68" s="1946"/>
      <c r="CB68" s="1946"/>
      <c r="CC68" s="1946"/>
      <c r="CD68" s="1946"/>
      <c r="CE68" s="1946"/>
      <c r="CF68" s="1946"/>
      <c r="CG68" s="1946"/>
      <c r="CH68" s="1946"/>
    </row>
    <row r="69" spans="1:86" s="1860" customFormat="1" ht="4.5" customHeight="1" x14ac:dyDescent="0.2">
      <c r="B69" s="2196"/>
      <c r="C69" s="2196"/>
      <c r="D69" s="1861"/>
      <c r="E69" s="2197"/>
      <c r="F69" s="2197"/>
      <c r="G69" s="2197"/>
      <c r="H69" s="2197"/>
      <c r="I69" s="2197"/>
      <c r="J69" s="2197"/>
      <c r="K69" s="2198"/>
      <c r="L69" s="1760"/>
      <c r="M69" s="2794"/>
      <c r="N69" s="2197"/>
      <c r="O69" s="2197"/>
      <c r="P69" s="2197"/>
      <c r="Q69" s="2197"/>
      <c r="R69" s="2197"/>
      <c r="S69" s="2197"/>
      <c r="T69" s="2197"/>
      <c r="U69" s="2796"/>
      <c r="V69" s="2796"/>
      <c r="W69" s="2796"/>
      <c r="X69" s="2796"/>
      <c r="Y69" s="1862"/>
      <c r="Z69" s="2199"/>
      <c r="AA69" s="2199"/>
      <c r="AB69" s="2199"/>
      <c r="AC69" s="2199"/>
      <c r="AD69" s="2199"/>
      <c r="AE69" s="2199"/>
      <c r="AF69" s="2199"/>
      <c r="AG69" s="1862"/>
      <c r="AH69" s="2796"/>
      <c r="AI69" s="2796"/>
      <c r="AJ69" s="2796"/>
      <c r="AK69" s="1862"/>
      <c r="AL69" s="2197"/>
      <c r="AM69" s="2197"/>
      <c r="AN69" s="2197"/>
      <c r="AO69" s="2197"/>
      <c r="AP69" s="2197"/>
      <c r="AQ69" s="2197"/>
      <c r="AR69" s="2197"/>
      <c r="AS69" s="2796"/>
      <c r="AT69" s="2796"/>
      <c r="AU69" s="2796"/>
      <c r="AV69" s="2796"/>
      <c r="AW69" s="2796"/>
      <c r="AX69" s="2197"/>
      <c r="AY69" s="2197"/>
      <c r="AZ69" s="2197"/>
      <c r="BA69" s="2197"/>
      <c r="BB69" s="2197"/>
      <c r="BC69" s="2197"/>
      <c r="BD69" s="2197"/>
      <c r="BE69" s="2796"/>
      <c r="BF69" s="2796"/>
      <c r="BG69" s="2796"/>
      <c r="BH69" s="2796"/>
      <c r="BI69" s="2796"/>
      <c r="BJ69" s="2197"/>
      <c r="BK69" s="2197"/>
      <c r="BL69" s="2796"/>
      <c r="BM69" s="2796"/>
      <c r="BN69" s="2796"/>
      <c r="BO69" s="2796"/>
      <c r="BQ69" s="2197"/>
      <c r="BR69" s="2200"/>
      <c r="BS69" s="1861"/>
      <c r="BT69" s="2197"/>
      <c r="BU69" s="2198"/>
      <c r="BV69" s="1997"/>
      <c r="BW69" s="2794"/>
    </row>
    <row r="70" spans="1:86" s="1860" customFormat="1" ht="15.75" customHeight="1" x14ac:dyDescent="0.2">
      <c r="B70" s="2196"/>
      <c r="C70" s="2197"/>
      <c r="D70" s="1861"/>
      <c r="E70" s="1732">
        <f t="shared" ref="E70:I70" si="493">E55+E68</f>
        <v>1966.25</v>
      </c>
      <c r="F70" s="1732">
        <f t="shared" si="493"/>
        <v>149.52500000000001</v>
      </c>
      <c r="G70" s="1732">
        <f t="shared" si="493"/>
        <v>99.683333333333351</v>
      </c>
      <c r="H70" s="1732">
        <f t="shared" si="493"/>
        <v>74.762500000000003</v>
      </c>
      <c r="I70" s="1732">
        <f t="shared" si="493"/>
        <v>59.81</v>
      </c>
      <c r="J70" s="1732">
        <f>J55+J68</f>
        <v>65.541666666666671</v>
      </c>
      <c r="K70" s="1882">
        <f>E70/E89</f>
        <v>0.33669817459502038</v>
      </c>
      <c r="L70" s="1760"/>
      <c r="M70" s="2794"/>
      <c r="N70" s="1732">
        <f t="shared" ref="N70:O70" si="494">N57-N68</f>
        <v>0</v>
      </c>
      <c r="O70" s="1732">
        <f t="shared" si="494"/>
        <v>13.094499999999989</v>
      </c>
      <c r="P70" s="1732">
        <f t="shared" ref="P70:Q70" si="495">P57-P68</f>
        <v>0</v>
      </c>
      <c r="Q70" s="1732">
        <f t="shared" si="495"/>
        <v>7.25</v>
      </c>
      <c r="R70" s="1732">
        <f t="shared" ref="R70:S70" si="496">R57-R68</f>
        <v>0</v>
      </c>
      <c r="S70" s="1732">
        <f t="shared" si="496"/>
        <v>0</v>
      </c>
      <c r="T70" s="1732">
        <f t="shared" ref="T70" si="497">T57-T68</f>
        <v>0</v>
      </c>
      <c r="U70" s="2796"/>
      <c r="V70" s="2796"/>
      <c r="W70" s="2796"/>
      <c r="X70" s="2796"/>
      <c r="Y70" s="1862"/>
      <c r="Z70" s="1732">
        <f t="shared" ref="Z70" si="498">Z57-Z68</f>
        <v>0</v>
      </c>
      <c r="AA70" s="1732">
        <f t="shared" ref="AA70" si="499">AA57-AA68</f>
        <v>0</v>
      </c>
      <c r="AB70" s="1732">
        <f t="shared" ref="AB70:AC70" si="500">AB57-AB68</f>
        <v>0</v>
      </c>
      <c r="AC70" s="1732">
        <f t="shared" si="500"/>
        <v>0</v>
      </c>
      <c r="AD70" s="1732">
        <f t="shared" ref="AD70:AE70" si="501">AD57-AD68</f>
        <v>0</v>
      </c>
      <c r="AE70" s="1732">
        <f t="shared" si="501"/>
        <v>0</v>
      </c>
      <c r="AF70" s="1732">
        <f t="shared" ref="AF70" si="502">AF57-AF68</f>
        <v>0</v>
      </c>
      <c r="AG70" s="1862"/>
      <c r="AH70" s="2796"/>
      <c r="AI70" s="2796"/>
      <c r="AJ70" s="2796"/>
      <c r="AK70" s="1862"/>
      <c r="AL70" s="1732">
        <f t="shared" ref="AL70:AM70" si="503">AL57-AL68</f>
        <v>0</v>
      </c>
      <c r="AM70" s="1732">
        <f t="shared" si="503"/>
        <v>0</v>
      </c>
      <c r="AN70" s="1732">
        <f t="shared" ref="AN70" si="504">AN57-AN68</f>
        <v>0</v>
      </c>
      <c r="AO70" s="1732">
        <f t="shared" ref="AO70:AR70" si="505">AO57-AO68</f>
        <v>0</v>
      </c>
      <c r="AP70" s="1732">
        <f t="shared" si="505"/>
        <v>0</v>
      </c>
      <c r="AQ70" s="1732">
        <f t="shared" si="505"/>
        <v>0</v>
      </c>
      <c r="AR70" s="1732">
        <f t="shared" si="505"/>
        <v>0</v>
      </c>
      <c r="AS70" s="2796"/>
      <c r="AT70" s="2796"/>
      <c r="AU70" s="2796"/>
      <c r="AV70" s="2796"/>
      <c r="AW70" s="2796"/>
      <c r="AX70" s="1732">
        <f t="shared" ref="AX70:AY70" si="506">AX57-AX68</f>
        <v>0</v>
      </c>
      <c r="AY70" s="1732">
        <f t="shared" si="506"/>
        <v>0</v>
      </c>
      <c r="AZ70" s="1732">
        <f t="shared" ref="AZ70:BD70" si="507">AZ57-AZ68</f>
        <v>0</v>
      </c>
      <c r="BA70" s="1732">
        <f t="shared" si="507"/>
        <v>0</v>
      </c>
      <c r="BB70" s="1732">
        <f t="shared" si="507"/>
        <v>0</v>
      </c>
      <c r="BC70" s="1732">
        <f t="shared" si="507"/>
        <v>0</v>
      </c>
      <c r="BD70" s="1732">
        <f t="shared" si="507"/>
        <v>0</v>
      </c>
      <c r="BE70" s="2796"/>
      <c r="BF70" s="2796"/>
      <c r="BG70" s="2796"/>
      <c r="BH70" s="2796"/>
      <c r="BI70" s="2796"/>
      <c r="BJ70" s="1732">
        <f t="shared" ref="BJ70:BK70" si="508">BJ57-BJ68</f>
        <v>0</v>
      </c>
      <c r="BK70" s="1732">
        <f t="shared" si="508"/>
        <v>0</v>
      </c>
      <c r="BL70" s="2796"/>
      <c r="BM70" s="2796"/>
      <c r="BN70" s="2796"/>
      <c r="BO70" s="2796"/>
      <c r="BQ70" s="1732"/>
      <c r="BR70" s="2211"/>
      <c r="BS70" s="1861"/>
      <c r="BT70" s="1732"/>
      <c r="BU70" s="1882"/>
      <c r="BV70" s="1997"/>
      <c r="BW70" s="2794"/>
    </row>
    <row r="71" spans="1:86" s="1860" customFormat="1" ht="4.5" customHeight="1" thickBot="1" x14ac:dyDescent="0.25">
      <c r="B71" s="2196"/>
      <c r="C71" s="2196"/>
      <c r="D71" s="1861"/>
      <c r="E71" s="2197"/>
      <c r="F71" s="2197"/>
      <c r="G71" s="2197"/>
      <c r="H71" s="2197"/>
      <c r="I71" s="2197"/>
      <c r="J71" s="2197"/>
      <c r="K71" s="2198"/>
      <c r="L71" s="1760"/>
      <c r="M71" s="2794"/>
      <c r="N71" s="2796"/>
      <c r="O71" s="2796"/>
      <c r="P71" s="2845"/>
      <c r="Q71" s="2848"/>
      <c r="R71" s="2851"/>
      <c r="S71" s="2854"/>
      <c r="T71" s="2796"/>
      <c r="U71" s="2796"/>
      <c r="V71" s="2796"/>
      <c r="W71" s="2796"/>
      <c r="X71" s="2796"/>
      <c r="Y71" s="1862"/>
      <c r="Z71" s="2232"/>
      <c r="AA71" s="2232"/>
      <c r="AB71" s="2232"/>
      <c r="AC71" s="2232"/>
      <c r="AD71" s="2232"/>
      <c r="AE71" s="2232"/>
      <c r="AF71" s="2232"/>
      <c r="AG71" s="1862"/>
      <c r="AH71" s="2796"/>
      <c r="AI71" s="2796"/>
      <c r="AJ71" s="2796"/>
      <c r="AK71" s="1862"/>
      <c r="AL71" s="2232"/>
      <c r="AM71" s="2232"/>
      <c r="AN71" s="2232"/>
      <c r="AO71" s="2232"/>
      <c r="AP71" s="2232"/>
      <c r="AQ71" s="2232"/>
      <c r="AR71" s="2232"/>
      <c r="AS71" s="2796"/>
      <c r="AT71" s="2796"/>
      <c r="AU71" s="2796"/>
      <c r="AV71" s="2796"/>
      <c r="AW71" s="2796"/>
      <c r="AX71" s="2232"/>
      <c r="AY71" s="2232"/>
      <c r="AZ71" s="2232"/>
      <c r="BA71" s="2232"/>
      <c r="BB71" s="2232"/>
      <c r="BC71" s="2232"/>
      <c r="BD71" s="2232"/>
      <c r="BE71" s="2796"/>
      <c r="BF71" s="2796"/>
      <c r="BG71" s="2796"/>
      <c r="BH71" s="2796"/>
      <c r="BI71" s="2796"/>
      <c r="BJ71" s="2199"/>
      <c r="BK71" s="2199"/>
      <c r="BL71" s="2796"/>
      <c r="BM71" s="2796"/>
      <c r="BN71" s="2796"/>
      <c r="BO71" s="2796"/>
      <c r="BQ71" s="2199"/>
      <c r="BR71" s="2203"/>
      <c r="BS71" s="1861"/>
      <c r="BT71" s="2199"/>
      <c r="BU71" s="2204"/>
      <c r="BV71" s="1997"/>
      <c r="BW71" s="2794"/>
    </row>
    <row r="72" spans="1:86" s="1885" customFormat="1" ht="17.25" thickBot="1" x14ac:dyDescent="0.25">
      <c r="B72" s="2401"/>
      <c r="C72" s="2401" t="s">
        <v>151</v>
      </c>
      <c r="D72" s="2402"/>
      <c r="E72" s="1898">
        <f>(E68+E55)*100/24</f>
        <v>8192.7083333333339</v>
      </c>
      <c r="F72" s="1898" t="e">
        <f>#REF!+F68</f>
        <v>#REF!</v>
      </c>
      <c r="G72" s="1898" t="e">
        <f>#REF!+G68</f>
        <v>#REF!</v>
      </c>
      <c r="H72" s="1898" t="e">
        <f>#REF!+H68</f>
        <v>#REF!</v>
      </c>
      <c r="I72" s="1898" t="e">
        <f>#REF!+I68</f>
        <v>#REF!</v>
      </c>
      <c r="J72" s="1898">
        <f>(J68+J55)*100/30</f>
        <v>218.47222222222223</v>
      </c>
      <c r="K72" s="1899">
        <f>E72/E87</f>
        <v>0.33669817459502038</v>
      </c>
      <c r="L72" s="1949"/>
      <c r="M72" s="2789"/>
      <c r="N72" s="2793"/>
      <c r="O72" s="2793"/>
      <c r="P72" s="2844"/>
      <c r="Q72" s="2847"/>
      <c r="R72" s="2850"/>
      <c r="S72" s="2853"/>
      <c r="T72" s="2793"/>
      <c r="U72" s="2790"/>
      <c r="V72" s="2319"/>
      <c r="W72" s="2321"/>
      <c r="X72" s="2433"/>
      <c r="Y72" s="1897"/>
      <c r="Z72" s="2793"/>
      <c r="AA72" s="2793"/>
      <c r="AB72" s="2856"/>
      <c r="AC72" s="2859"/>
      <c r="AD72" s="2862"/>
      <c r="AE72" s="2865"/>
      <c r="AF72" s="2793"/>
      <c r="AG72" s="1896"/>
      <c r="AH72" s="2319"/>
      <c r="AI72" s="2321"/>
      <c r="AJ72" s="2433"/>
      <c r="AK72" s="1897"/>
      <c r="AL72" s="2793"/>
      <c r="AM72" s="2793"/>
      <c r="AN72" s="2793"/>
      <c r="AO72" s="2793"/>
      <c r="AP72" s="2793"/>
      <c r="AQ72" s="2793"/>
      <c r="AR72" s="2793"/>
      <c r="AS72" s="2295"/>
      <c r="AT72" s="2319"/>
      <c r="AU72" s="2321"/>
      <c r="AV72" s="2433"/>
      <c r="AW72" s="2790"/>
      <c r="AX72" s="2793"/>
      <c r="AY72" s="2793"/>
      <c r="AZ72" s="2793"/>
      <c r="BA72" s="2793"/>
      <c r="BB72" s="2793"/>
      <c r="BC72" s="2793"/>
      <c r="BD72" s="2793"/>
      <c r="BE72" s="2295"/>
      <c r="BF72" s="2319">
        <f t="shared" ref="BF72:BF73" si="509">SUM(AX72:BD72)</f>
        <v>0</v>
      </c>
      <c r="BG72" s="2321"/>
      <c r="BH72" s="2433"/>
      <c r="BI72" s="2790"/>
      <c r="BJ72" s="1898"/>
      <c r="BK72" s="1898"/>
      <c r="BL72" s="2790"/>
      <c r="BM72" s="2319">
        <f>SUM(BJ72:BK72)</f>
        <v>0</v>
      </c>
      <c r="BN72" s="2321"/>
      <c r="BO72" s="2433"/>
      <c r="BQ72" s="1898"/>
      <c r="BR72" s="2202"/>
      <c r="BS72" s="1900"/>
      <c r="BT72" s="1898"/>
      <c r="BU72" s="1899"/>
      <c r="BV72" s="2010"/>
      <c r="BW72" s="2789"/>
    </row>
    <row r="73" spans="1:86" s="1726" customFormat="1" ht="17.25" thickBot="1" x14ac:dyDescent="0.25">
      <c r="B73" s="2049"/>
      <c r="C73" s="2050" t="s">
        <v>149</v>
      </c>
      <c r="D73" s="2051"/>
      <c r="E73" s="2052"/>
      <c r="F73" s="2053"/>
      <c r="G73" s="2053"/>
      <c r="H73" s="2053"/>
      <c r="I73" s="2053"/>
      <c r="J73" s="2053"/>
      <c r="K73" s="2253"/>
      <c r="L73" s="2216"/>
      <c r="M73" s="2055"/>
      <c r="N73" s="2056">
        <f t="shared" ref="N73:T73" si="510">IF(N70&gt;$J$70,N70,IF(N70&lt;$J$70,(IF(N70&lt;0,-65.542,N57-$J$68))))</f>
        <v>-21.446000000000012</v>
      </c>
      <c r="O73" s="2053">
        <f t="shared" si="510"/>
        <v>13.094499999999989</v>
      </c>
      <c r="P73" s="2053">
        <f t="shared" si="510"/>
        <v>-28.683000000000007</v>
      </c>
      <c r="Q73" s="2053">
        <f t="shared" si="510"/>
        <v>7.25</v>
      </c>
      <c r="R73" s="2053">
        <f t="shared" si="510"/>
        <v>-11.349000000000018</v>
      </c>
      <c r="S73" s="2053">
        <f t="shared" si="510"/>
        <v>-34.52000000000001</v>
      </c>
      <c r="T73" s="2057">
        <f t="shared" si="510"/>
        <v>-20.071500000000015</v>
      </c>
      <c r="U73" s="1814"/>
      <c r="V73" s="2056">
        <f>SUM(N73:T73)</f>
        <v>-95.72500000000008</v>
      </c>
      <c r="W73" s="2052"/>
      <c r="X73" s="2057"/>
      <c r="Y73" s="1766"/>
      <c r="Z73" s="2056">
        <f t="shared" ref="Z73:AE73" si="511">IF(Z70&gt;$J$70,Z70,IF(Z70&lt;$J$70,(IF(Z70&lt;0,-65.542,Z57-$J$68))))</f>
        <v>-31.551500000000019</v>
      </c>
      <c r="AA73" s="2053">
        <f t="shared" si="511"/>
        <v>-4.0055000000000121</v>
      </c>
      <c r="AB73" s="2053">
        <f t="shared" si="511"/>
        <v>-12.52000000000001</v>
      </c>
      <c r="AC73" s="2053">
        <f t="shared" si="511"/>
        <v>-44.574000000000012</v>
      </c>
      <c r="AD73" s="2053">
        <f t="shared" si="511"/>
        <v>-2.4220000000000113</v>
      </c>
      <c r="AE73" s="2053">
        <f t="shared" si="511"/>
        <v>-48.168500000000009</v>
      </c>
      <c r="AF73" s="2053">
        <f t="shared" ref="AF73" si="512">IF(AF70&gt;$J$70,AF70,IF(AF70&lt;$J$70,(IF(AF70&lt;0,-65.542,AF57-$J$68))))</f>
        <v>-43.076000000000008</v>
      </c>
      <c r="AG73" s="1766"/>
      <c r="AH73" s="2056">
        <f>SUM(Z73:AF73)</f>
        <v>-186.31750000000011</v>
      </c>
      <c r="AI73" s="2052"/>
      <c r="AJ73" s="2057"/>
      <c r="AK73" s="1764"/>
      <c r="AL73" s="2056">
        <f t="shared" ref="AL73:AM73" si="513">IF(AL70&gt;$J$70,AL70,IF(AL70&lt;$J$70,(IF(AL70&lt;0,-65.542,AL57-$J$68))))</f>
        <v>-14.365000000000009</v>
      </c>
      <c r="AM73" s="2053">
        <f t="shared" si="513"/>
        <v>-12.945000000000007</v>
      </c>
      <c r="AN73" s="2053">
        <f t="shared" ref="AN73" si="514">IF(AN70&gt;$J$70,AN70,IF(AN70&lt;$J$70,(IF(AN70&lt;0,-65.542,AN57-$J$68))))</f>
        <v>-43.077500000000015</v>
      </c>
      <c r="AO73" s="2053">
        <f t="shared" ref="AO73:AR73" si="515">IF(AO70&gt;$J$70,AO70,IF(AO70&lt;$J$70,(IF(AO70&lt;0,-65.542,AO57-$J$68))))</f>
        <v>-33.750500000000017</v>
      </c>
      <c r="AP73" s="2053">
        <f t="shared" si="515"/>
        <v>-33.978000000000009</v>
      </c>
      <c r="AQ73" s="2053">
        <f t="shared" si="515"/>
        <v>-19.875000000000014</v>
      </c>
      <c r="AR73" s="2057">
        <f t="shared" si="515"/>
        <v>-42.589500000000015</v>
      </c>
      <c r="AS73" s="2300"/>
      <c r="AT73" s="2056">
        <f t="shared" ref="AT73" si="516">SUM(AL73:AR73)</f>
        <v>-200.58050000000006</v>
      </c>
      <c r="AU73" s="2052"/>
      <c r="AV73" s="2057"/>
      <c r="AW73" s="1814"/>
      <c r="AX73" s="2056">
        <f t="shared" ref="AX73:AY73" si="517">IF(AX70&gt;$J$70,AX70,IF(AX70&lt;$J$70,(IF(AX70&lt;0,-65.542,AX57-$J$68))))</f>
        <v>-35.340000000000018</v>
      </c>
      <c r="AY73" s="2052">
        <f t="shared" si="517"/>
        <v>-13.060000000000016</v>
      </c>
      <c r="AZ73" s="2052"/>
      <c r="BA73" s="2052"/>
      <c r="BB73" s="2052"/>
      <c r="BC73" s="2052"/>
      <c r="BD73" s="2057"/>
      <c r="BE73" s="1814"/>
      <c r="BF73" s="2056">
        <f t="shared" si="509"/>
        <v>-48.400000000000034</v>
      </c>
      <c r="BG73" s="2052"/>
      <c r="BH73" s="2057"/>
      <c r="BI73" s="1740"/>
      <c r="BJ73" s="2056"/>
      <c r="BK73" s="2052"/>
      <c r="BL73" s="2301"/>
      <c r="BM73" s="2058">
        <f>SUM(BJ73:BK73)</f>
        <v>0</v>
      </c>
      <c r="BN73" s="2324"/>
      <c r="BO73" s="2190"/>
      <c r="BP73" s="1862"/>
      <c r="BQ73" s="2058">
        <f>SUM(N73:T73)+SUM(Z73:AF73)+SUM(AL73:AR73)+SUM(AX73:BD73)+SUM(BJ73:BK73)</f>
        <v>-531.02300000000037</v>
      </c>
      <c r="BR73" s="2054"/>
      <c r="BS73" s="1740"/>
      <c r="BT73" s="1740"/>
      <c r="BU73" s="1740"/>
      <c r="BV73" s="1861"/>
    </row>
    <row r="74" spans="1:86" s="1756" customFormat="1" ht="17.25" thickBot="1" x14ac:dyDescent="0.25">
      <c r="B74" s="1817"/>
      <c r="C74" s="1817"/>
      <c r="D74" s="1817"/>
      <c r="E74" s="1814"/>
      <c r="F74" s="1814"/>
      <c r="G74" s="1814"/>
      <c r="H74" s="1814"/>
      <c r="I74" s="1814"/>
      <c r="J74" s="1814"/>
      <c r="K74" s="1818"/>
      <c r="L74" s="2216"/>
      <c r="M74" s="2055"/>
      <c r="N74" s="1814"/>
      <c r="O74" s="1814"/>
      <c r="P74" s="1814"/>
      <c r="Q74" s="1814"/>
      <c r="R74" s="1814"/>
      <c r="S74" s="1814"/>
      <c r="T74" s="1814"/>
      <c r="U74" s="1814"/>
      <c r="V74" s="1814"/>
      <c r="W74" s="1814"/>
      <c r="X74" s="1814"/>
      <c r="Y74" s="1766"/>
      <c r="Z74" s="1814"/>
      <c r="AA74" s="1814"/>
      <c r="AB74" s="1814"/>
      <c r="AC74" s="1814"/>
      <c r="AD74" s="1814"/>
      <c r="AE74" s="1814"/>
      <c r="AF74" s="1814"/>
      <c r="AG74" s="1766"/>
      <c r="AH74" s="1814"/>
      <c r="AI74" s="1814"/>
      <c r="AJ74" s="1814"/>
      <c r="AK74" s="1766"/>
      <c r="AL74" s="1814"/>
      <c r="AM74" s="1814"/>
      <c r="AN74" s="1814"/>
      <c r="AO74" s="1814"/>
      <c r="AP74" s="1814"/>
      <c r="AQ74" s="1814"/>
      <c r="AR74" s="1814"/>
      <c r="AS74" s="1814"/>
      <c r="AT74" s="1814"/>
      <c r="AU74" s="1814"/>
      <c r="AV74" s="1814"/>
      <c r="AW74" s="1814"/>
      <c r="AX74" s="1814"/>
      <c r="AY74" s="1814"/>
      <c r="AZ74" s="1814"/>
      <c r="BA74" s="1814"/>
      <c r="BB74" s="1814"/>
      <c r="BC74" s="1814"/>
      <c r="BD74" s="1814"/>
      <c r="BE74" s="1814"/>
      <c r="BF74" s="1814"/>
      <c r="BG74" s="1814"/>
      <c r="BH74" s="1814"/>
      <c r="BI74" s="1814"/>
      <c r="BJ74" s="1814"/>
      <c r="BK74" s="1814"/>
      <c r="BL74" s="1814"/>
      <c r="BM74" s="1814"/>
      <c r="BN74" s="1814"/>
      <c r="BO74" s="1814"/>
      <c r="BP74" s="1766"/>
      <c r="BQ74" s="1814"/>
      <c r="BR74" s="1830"/>
      <c r="BS74" s="2788"/>
      <c r="BT74" s="2788"/>
      <c r="BU74" s="2788"/>
      <c r="BV74" s="1817"/>
    </row>
    <row r="75" spans="1:86" s="1947" customFormat="1" x14ac:dyDescent="0.2">
      <c r="A75" s="2217"/>
      <c r="B75" s="2218">
        <v>56</v>
      </c>
      <c r="C75" s="2218" t="s">
        <v>74</v>
      </c>
      <c r="D75" s="2219"/>
      <c r="E75" s="2007">
        <v>350</v>
      </c>
      <c r="F75" s="2007">
        <f t="shared" ref="F75:F84" si="518">E75/10</f>
        <v>35</v>
      </c>
      <c r="G75" s="2007">
        <f t="shared" ref="G75:G76" si="519">E75/15</f>
        <v>23.333333333333332</v>
      </c>
      <c r="H75" s="2007">
        <f t="shared" ref="H75:H76" si="520">E75/20</f>
        <v>17.5</v>
      </c>
      <c r="I75" s="2007">
        <f t="shared" ref="I75:I76" si="521">E75/25</f>
        <v>14</v>
      </c>
      <c r="J75" s="2007">
        <f>E75/30</f>
        <v>11.666666666666666</v>
      </c>
      <c r="K75" s="2008">
        <f>E75/E89</f>
        <v>5.9933559368471521E-2</v>
      </c>
      <c r="L75" s="1949"/>
      <c r="M75" s="1905"/>
      <c r="N75" s="2007">
        <f t="shared" ref="N75:T75" si="522">$J$75</f>
        <v>11.666666666666666</v>
      </c>
      <c r="O75" s="2007">
        <f t="shared" si="522"/>
        <v>11.666666666666666</v>
      </c>
      <c r="P75" s="2007">
        <f t="shared" si="522"/>
        <v>11.666666666666666</v>
      </c>
      <c r="Q75" s="2007">
        <f t="shared" si="522"/>
        <v>11.666666666666666</v>
      </c>
      <c r="R75" s="2007">
        <f t="shared" si="522"/>
        <v>11.666666666666666</v>
      </c>
      <c r="S75" s="2007">
        <f t="shared" si="522"/>
        <v>11.666666666666666</v>
      </c>
      <c r="T75" s="2007">
        <f t="shared" si="522"/>
        <v>11.666666666666666</v>
      </c>
      <c r="U75" s="1951"/>
      <c r="V75" s="2220">
        <f t="shared" si="82"/>
        <v>81.666666666666671</v>
      </c>
      <c r="W75" s="2221"/>
      <c r="X75" s="2222"/>
      <c r="Y75" s="1955"/>
      <c r="Z75" s="2223">
        <f t="shared" ref="Z75:AF75" si="523">$J$75</f>
        <v>11.666666666666666</v>
      </c>
      <c r="AA75" s="2223">
        <f t="shared" si="523"/>
        <v>11.666666666666666</v>
      </c>
      <c r="AB75" s="2223">
        <f t="shared" si="523"/>
        <v>11.666666666666666</v>
      </c>
      <c r="AC75" s="2223">
        <f t="shared" si="523"/>
        <v>11.666666666666666</v>
      </c>
      <c r="AD75" s="2223">
        <f t="shared" si="523"/>
        <v>11.666666666666666</v>
      </c>
      <c r="AE75" s="2223">
        <f t="shared" si="523"/>
        <v>11.666666666666666</v>
      </c>
      <c r="AF75" s="2223">
        <f t="shared" si="523"/>
        <v>11.666666666666666</v>
      </c>
      <c r="AG75" s="1955"/>
      <c r="AH75" s="2220">
        <f t="shared" ref="AH75:AH76" si="524">SUM(Z75:AF75)</f>
        <v>81.666666666666671</v>
      </c>
      <c r="AI75" s="2221"/>
      <c r="AJ75" s="2222"/>
      <c r="AK75" s="1955"/>
      <c r="AL75" s="2223">
        <f t="shared" ref="AL75:AR75" si="525">$J$75</f>
        <v>11.666666666666666</v>
      </c>
      <c r="AM75" s="2223">
        <f t="shared" si="525"/>
        <v>11.666666666666666</v>
      </c>
      <c r="AN75" s="2223">
        <f t="shared" si="525"/>
        <v>11.666666666666666</v>
      </c>
      <c r="AO75" s="2223">
        <f t="shared" si="525"/>
        <v>11.666666666666666</v>
      </c>
      <c r="AP75" s="2223">
        <f t="shared" si="525"/>
        <v>11.666666666666666</v>
      </c>
      <c r="AQ75" s="2223">
        <f t="shared" si="525"/>
        <v>11.666666666666666</v>
      </c>
      <c r="AR75" s="2223">
        <f t="shared" si="525"/>
        <v>11.666666666666666</v>
      </c>
      <c r="AS75" s="2299"/>
      <c r="AT75" s="2220">
        <f t="shared" ref="AT75:AT78" si="526">SUM(AL75:AR75)</f>
        <v>81.666666666666671</v>
      </c>
      <c r="AU75" s="2221"/>
      <c r="AV75" s="2222"/>
      <c r="AW75" s="2299"/>
      <c r="AX75" s="2223">
        <f t="shared" ref="AX75:AY75" si="527">$J$75</f>
        <v>11.666666666666666</v>
      </c>
      <c r="AY75" s="2223">
        <f t="shared" si="527"/>
        <v>11.666666666666666</v>
      </c>
      <c r="AZ75" s="2223"/>
      <c r="BA75" s="2223"/>
      <c r="BB75" s="2223"/>
      <c r="BC75" s="2223"/>
      <c r="BD75" s="2223"/>
      <c r="BE75" s="2299"/>
      <c r="BF75" s="2220">
        <f t="shared" ref="BF75:BF76" si="528">SUM(AX75:BD75)</f>
        <v>23.333333333333332</v>
      </c>
      <c r="BG75" s="2221"/>
      <c r="BH75" s="2222"/>
      <c r="BI75" s="1951"/>
      <c r="BJ75" s="2007"/>
      <c r="BK75" s="2223"/>
      <c r="BL75" s="1951"/>
      <c r="BM75" s="2220">
        <f>SUM(BJ75:BK75)</f>
        <v>0</v>
      </c>
      <c r="BN75" s="2221"/>
      <c r="BO75" s="2222"/>
      <c r="BQ75" s="2007">
        <f>SUM(N75:T75)+SUM(Z75:AF75)+SUM(AL75:AR75)+SUM(AX75:BD75)+SUM(BJ75:BK75)</f>
        <v>268.33333333333331</v>
      </c>
      <c r="BR75" s="2008">
        <f>BQ75/E75</f>
        <v>0.76666666666666661</v>
      </c>
      <c r="BS75" s="1959"/>
      <c r="BT75" s="2224"/>
      <c r="BU75" s="2225"/>
      <c r="BV75" s="2339"/>
      <c r="BW75" s="1950"/>
    </row>
    <row r="76" spans="1:86" s="1860" customFormat="1" ht="17.25" thickBot="1" x14ac:dyDescent="0.25">
      <c r="B76" s="1739"/>
      <c r="C76" s="1739" t="s">
        <v>153</v>
      </c>
      <c r="D76" s="2205"/>
      <c r="E76" s="1732">
        <f>E75*100/24</f>
        <v>1458.3333333333333</v>
      </c>
      <c r="F76" s="1732">
        <f t="shared" si="518"/>
        <v>145.83333333333331</v>
      </c>
      <c r="G76" s="1732">
        <f t="shared" si="519"/>
        <v>97.222222222222214</v>
      </c>
      <c r="H76" s="1732">
        <f t="shared" si="520"/>
        <v>72.916666666666657</v>
      </c>
      <c r="I76" s="1732">
        <f t="shared" si="521"/>
        <v>58.333333333333329</v>
      </c>
      <c r="J76" s="1732">
        <f>J75*100/30</f>
        <v>38.888888888888886</v>
      </c>
      <c r="K76" s="1882">
        <f>E76/E87</f>
        <v>5.9933559368471521E-2</v>
      </c>
      <c r="L76" s="1760"/>
      <c r="M76" s="2794"/>
      <c r="N76" s="1732">
        <f t="shared" ref="N76:T76" si="529">$J$76</f>
        <v>38.888888888888886</v>
      </c>
      <c r="O76" s="1732">
        <f t="shared" si="529"/>
        <v>38.888888888888886</v>
      </c>
      <c r="P76" s="1732">
        <f t="shared" si="529"/>
        <v>38.888888888888886</v>
      </c>
      <c r="Q76" s="1732">
        <f t="shared" si="529"/>
        <v>38.888888888888886</v>
      </c>
      <c r="R76" s="1732">
        <f t="shared" si="529"/>
        <v>38.888888888888886</v>
      </c>
      <c r="S76" s="1732">
        <f t="shared" si="529"/>
        <v>38.888888888888886</v>
      </c>
      <c r="T76" s="1732">
        <f t="shared" si="529"/>
        <v>38.888888888888886</v>
      </c>
      <c r="U76" s="2796"/>
      <c r="V76" s="2226">
        <f t="shared" si="82"/>
        <v>272.22222222222217</v>
      </c>
      <c r="W76" s="2227"/>
      <c r="X76" s="2228"/>
      <c r="Y76" s="1881"/>
      <c r="Z76" s="2210">
        <f t="shared" ref="Z76:AF76" si="530">$J$76</f>
        <v>38.888888888888886</v>
      </c>
      <c r="AA76" s="2210">
        <f t="shared" si="530"/>
        <v>38.888888888888886</v>
      </c>
      <c r="AB76" s="2210">
        <f t="shared" si="530"/>
        <v>38.888888888888886</v>
      </c>
      <c r="AC76" s="2210">
        <f t="shared" si="530"/>
        <v>38.888888888888886</v>
      </c>
      <c r="AD76" s="2210">
        <f t="shared" si="530"/>
        <v>38.888888888888886</v>
      </c>
      <c r="AE76" s="2210">
        <f t="shared" si="530"/>
        <v>38.888888888888886</v>
      </c>
      <c r="AF76" s="2210">
        <f t="shared" si="530"/>
        <v>38.888888888888886</v>
      </c>
      <c r="AG76" s="1881"/>
      <c r="AH76" s="2226">
        <f t="shared" si="524"/>
        <v>272.22222222222217</v>
      </c>
      <c r="AI76" s="2227"/>
      <c r="AJ76" s="2228"/>
      <c r="AK76" s="1881"/>
      <c r="AL76" s="2210">
        <f t="shared" ref="AL76:AR76" si="531">$J$76</f>
        <v>38.888888888888886</v>
      </c>
      <c r="AM76" s="2210">
        <f t="shared" si="531"/>
        <v>38.888888888888886</v>
      </c>
      <c r="AN76" s="2210">
        <f t="shared" si="531"/>
        <v>38.888888888888886</v>
      </c>
      <c r="AO76" s="2210">
        <f t="shared" si="531"/>
        <v>38.888888888888886</v>
      </c>
      <c r="AP76" s="2210">
        <f t="shared" si="531"/>
        <v>38.888888888888886</v>
      </c>
      <c r="AQ76" s="2210">
        <f t="shared" si="531"/>
        <v>38.888888888888886</v>
      </c>
      <c r="AR76" s="2210">
        <f t="shared" si="531"/>
        <v>38.888888888888886</v>
      </c>
      <c r="AS76" s="2293"/>
      <c r="AT76" s="2226">
        <f t="shared" si="526"/>
        <v>272.22222222222217</v>
      </c>
      <c r="AU76" s="2227"/>
      <c r="AV76" s="2228"/>
      <c r="AW76" s="2293"/>
      <c r="AX76" s="2210">
        <f t="shared" ref="AX76:AY76" si="532">$J$76</f>
        <v>38.888888888888886</v>
      </c>
      <c r="AY76" s="2210">
        <f t="shared" si="532"/>
        <v>38.888888888888886</v>
      </c>
      <c r="AZ76" s="2210"/>
      <c r="BA76" s="2210"/>
      <c r="BB76" s="2210"/>
      <c r="BC76" s="2210"/>
      <c r="BD76" s="2210"/>
      <c r="BE76" s="2293"/>
      <c r="BF76" s="2226">
        <f t="shared" si="528"/>
        <v>77.777777777777771</v>
      </c>
      <c r="BG76" s="2227"/>
      <c r="BH76" s="2228"/>
      <c r="BI76" s="2796"/>
      <c r="BJ76" s="1732"/>
      <c r="BK76" s="2210"/>
      <c r="BL76" s="2796"/>
      <c r="BM76" s="2226">
        <f>SUM(BJ76:BK76)</f>
        <v>0</v>
      </c>
      <c r="BN76" s="2227"/>
      <c r="BO76" s="2228"/>
      <c r="BP76" s="1726"/>
      <c r="BQ76" s="1732">
        <f>SUM(N76:T76)+SUM(Z76:AF76)+SUM(AL76:AR76)+SUM(AX76:BD76)+SUM(BJ76:BK76)</f>
        <v>894.44444444444434</v>
      </c>
      <c r="BR76" s="1882">
        <f>BQ76/E76</f>
        <v>0.61333333333333329</v>
      </c>
      <c r="BS76" s="1740"/>
      <c r="BT76" s="2229"/>
      <c r="BU76" s="2230"/>
      <c r="BV76" s="2059"/>
      <c r="BW76" s="1877"/>
      <c r="BX76" s="1726"/>
    </row>
    <row r="77" spans="1:86" s="1860" customFormat="1" ht="4.5" customHeight="1" thickBot="1" x14ac:dyDescent="0.25">
      <c r="B77" s="2231"/>
      <c r="C77" s="2231"/>
      <c r="D77" s="1861"/>
      <c r="E77" s="2232"/>
      <c r="F77" s="2232"/>
      <c r="G77" s="2232"/>
      <c r="H77" s="2232"/>
      <c r="I77" s="2232"/>
      <c r="J77" s="2232"/>
      <c r="K77" s="2233"/>
      <c r="L77" s="1760"/>
      <c r="M77" s="2794"/>
      <c r="N77" s="2232"/>
      <c r="O77" s="2232"/>
      <c r="P77" s="2232"/>
      <c r="Q77" s="2232"/>
      <c r="R77" s="2232"/>
      <c r="S77" s="2232"/>
      <c r="T77" s="2232"/>
      <c r="U77" s="2796"/>
      <c r="V77" s="2796"/>
      <c r="W77" s="2796"/>
      <c r="X77" s="2796"/>
      <c r="Y77" s="1862"/>
      <c r="Z77" s="2232"/>
      <c r="AA77" s="2232"/>
      <c r="AB77" s="2232"/>
      <c r="AC77" s="2232"/>
      <c r="AD77" s="2232"/>
      <c r="AE77" s="2232"/>
      <c r="AF77" s="2232"/>
      <c r="AG77" s="1862"/>
      <c r="AH77" s="2796"/>
      <c r="AI77" s="2796"/>
      <c r="AJ77" s="2796"/>
      <c r="AK77" s="1862"/>
      <c r="AL77" s="2232"/>
      <c r="AM77" s="2232"/>
      <c r="AN77" s="2232"/>
      <c r="AO77" s="2232"/>
      <c r="AP77" s="2232"/>
      <c r="AQ77" s="2232"/>
      <c r="AR77" s="2232"/>
      <c r="AS77" s="2796"/>
      <c r="AT77" s="2796"/>
      <c r="AU77" s="2796"/>
      <c r="AV77" s="2796"/>
      <c r="AW77" s="2796"/>
      <c r="AX77" s="2232"/>
      <c r="AY77" s="2232"/>
      <c r="AZ77" s="2232"/>
      <c r="BA77" s="2232"/>
      <c r="BB77" s="2232"/>
      <c r="BC77" s="2232"/>
      <c r="BD77" s="2232"/>
      <c r="BE77" s="2796"/>
      <c r="BF77" s="2796"/>
      <c r="BG77" s="2796"/>
      <c r="BH77" s="2796"/>
      <c r="BI77" s="2796"/>
      <c r="BJ77" s="2232"/>
      <c r="BK77" s="2232"/>
      <c r="BL77" s="2796"/>
      <c r="BM77" s="2796"/>
      <c r="BN77" s="2796"/>
      <c r="BO77" s="2796"/>
      <c r="BP77" s="1726"/>
      <c r="BQ77" s="2232"/>
      <c r="BR77" s="2233"/>
      <c r="BS77" s="1740"/>
      <c r="BT77" s="2796"/>
      <c r="BU77" s="2059"/>
      <c r="BV77" s="2059"/>
      <c r="BW77" s="1877"/>
      <c r="BX77" s="1726"/>
    </row>
    <row r="78" spans="1:86" s="1885" customFormat="1" ht="17.25" thickBot="1" x14ac:dyDescent="0.25">
      <c r="B78" s="2117"/>
      <c r="C78" s="2212" t="s">
        <v>154</v>
      </c>
      <c r="D78" s="2119"/>
      <c r="E78" s="2123"/>
      <c r="F78" s="2121"/>
      <c r="G78" s="2121"/>
      <c r="H78" s="2121"/>
      <c r="I78" s="2121"/>
      <c r="J78" s="2121"/>
      <c r="K78" s="2129"/>
      <c r="L78" s="2213"/>
      <c r="M78" s="2214"/>
      <c r="N78" s="2120">
        <f t="shared" ref="N78" si="533">IF(N73&gt;$J$75,N73-N75,IF(N73&lt;$J$75,(IF(N73&lt;0,-11.667,N73-N75))))</f>
        <v>-11.667</v>
      </c>
      <c r="O78" s="2121">
        <f t="shared" ref="O78" si="534">IF(O73&gt;$J$75,O73-O75,IF(O73&lt;$J$75,(IF(O73&lt;0,-11.667,O73-O75))))</f>
        <v>1.4278333333333233</v>
      </c>
      <c r="P78" s="2121">
        <f t="shared" ref="P78:Q78" si="535">IF(P73&gt;$J$75,P73-P75,IF(P73&lt;$J$75,(IF(P73&lt;0,-11.667,P73-P75))))</f>
        <v>-11.667</v>
      </c>
      <c r="Q78" s="2121">
        <f t="shared" si="535"/>
        <v>-4.4166666666666661</v>
      </c>
      <c r="R78" s="2121">
        <f t="shared" ref="R78:S78" si="536">IF(R73&gt;$J$75,R73-R75,IF(R73&lt;$J$75,(IF(R73&lt;0,-11.667,R73-R75))))</f>
        <v>-11.667</v>
      </c>
      <c r="S78" s="2121">
        <f t="shared" si="536"/>
        <v>-11.667</v>
      </c>
      <c r="T78" s="2124">
        <f t="shared" ref="T78" si="537">IF(T73&gt;$J$75,T73-T75,IF(T73&lt;$J$75,(IF(T73&lt;0,-11.667,T73-T75))))</f>
        <v>-11.667</v>
      </c>
      <c r="U78" s="1951"/>
      <c r="V78" s="2120">
        <f>SUM(N78:T78)</f>
        <v>-61.323833333333347</v>
      </c>
      <c r="W78" s="2123"/>
      <c r="X78" s="2124"/>
      <c r="Y78" s="1956"/>
      <c r="Z78" s="2120">
        <f t="shared" ref="Z78" si="538">IF(Z73&gt;$J$75,Z73-Z75,IF(Z73&lt;$J$75,(IF(Z73&lt;0,-11.667,Z73-Z75))))</f>
        <v>-11.667</v>
      </c>
      <c r="AA78" s="2121">
        <f t="shared" ref="AA78:AB78" si="539">IF(AA73&gt;$J$75,AA73-AA75,IF(AA73&lt;$J$75,(IF(AA73&lt;0,-11.667,AA73-AA75))))</f>
        <v>-11.667</v>
      </c>
      <c r="AB78" s="2121">
        <f t="shared" si="539"/>
        <v>-11.667</v>
      </c>
      <c r="AC78" s="2121">
        <f t="shared" ref="AC78:AD78" si="540">IF(AC73&gt;$J$75,AC73-AC75,IF(AC73&lt;$J$75,(IF(AC73&lt;0,-11.667,AC73-AC75))))</f>
        <v>-11.667</v>
      </c>
      <c r="AD78" s="2121">
        <f t="shared" si="540"/>
        <v>-11.667</v>
      </c>
      <c r="AE78" s="2121">
        <f t="shared" ref="AE78" si="541">IF(AE73&gt;$J$75,AE73-AE75,IF(AE73&lt;$J$75,(IF(AE73&lt;0,-11.667,AE73-AE75))))</f>
        <v>-11.667</v>
      </c>
      <c r="AF78" s="2121">
        <f t="shared" ref="AF78" si="542">IF(AF73&gt;$J$75,AF73-AF75,IF(AF73&lt;$J$75,(IF(AF73&lt;0,-11.667,AF73-AF75))))</f>
        <v>-11.667</v>
      </c>
      <c r="AG78" s="1956"/>
      <c r="AH78" s="2120">
        <f>SUM(Z78:AF78)</f>
        <v>-81.668999999999997</v>
      </c>
      <c r="AI78" s="2123"/>
      <c r="AJ78" s="2124"/>
      <c r="AK78" s="1955"/>
      <c r="AL78" s="2120">
        <f t="shared" ref="AL78:AM78" si="543">IF(AL73&gt;$J$75,AL73-AL75,IF(AL73&lt;$J$75,(IF(AL73&lt;0,-11.667,AL73-AL75))))</f>
        <v>-11.667</v>
      </c>
      <c r="AM78" s="2121">
        <f t="shared" si="543"/>
        <v>-11.667</v>
      </c>
      <c r="AN78" s="2121">
        <f t="shared" ref="AN78" si="544">IF(AN73&gt;$J$75,AN73-AN75,IF(AN73&lt;$J$75,(IF(AN73&lt;0,-11.667,AN73-AN75))))</f>
        <v>-11.667</v>
      </c>
      <c r="AO78" s="2121">
        <f t="shared" ref="AO78:AR78" si="545">IF(AO73&gt;$J$75,AO73-AO75,IF(AO73&lt;$J$75,(IF(AO73&lt;0,-11.667,AO73-AO75))))</f>
        <v>-11.667</v>
      </c>
      <c r="AP78" s="2121">
        <f t="shared" si="545"/>
        <v>-11.667</v>
      </c>
      <c r="AQ78" s="2121">
        <f t="shared" si="545"/>
        <v>-11.667</v>
      </c>
      <c r="AR78" s="2124">
        <f t="shared" si="545"/>
        <v>-11.667</v>
      </c>
      <c r="AS78" s="2254"/>
      <c r="AT78" s="2120">
        <f t="shared" si="526"/>
        <v>-81.668999999999997</v>
      </c>
      <c r="AU78" s="2123"/>
      <c r="AV78" s="2124"/>
      <c r="AW78" s="1951"/>
      <c r="AX78" s="2120">
        <f t="shared" ref="AX78:AY78" si="546">IF(AX73&gt;$J$75,AX73-AX75,IF(AX73&lt;$J$75,(IF(AX73&lt;0,-11.667,AX73-AX75))))</f>
        <v>-11.667</v>
      </c>
      <c r="AY78" s="2123">
        <f t="shared" si="546"/>
        <v>-11.667</v>
      </c>
      <c r="AZ78" s="2123"/>
      <c r="BA78" s="2123"/>
      <c r="BB78" s="2123"/>
      <c r="BC78" s="2123"/>
      <c r="BD78" s="2124"/>
      <c r="BE78" s="1951"/>
      <c r="BF78" s="2120">
        <f t="shared" ref="BF78" si="547">SUM(AX78:BD78)</f>
        <v>-23.334</v>
      </c>
      <c r="BG78" s="2123"/>
      <c r="BH78" s="2124"/>
      <c r="BI78" s="1900"/>
      <c r="BJ78" s="2120"/>
      <c r="BK78" s="2123"/>
      <c r="BL78" s="2317"/>
      <c r="BM78" s="2215">
        <f>SUM(BJ78:BK78)</f>
        <v>0</v>
      </c>
      <c r="BN78" s="2318"/>
      <c r="BO78" s="2118"/>
      <c r="BP78" s="1897"/>
      <c r="BQ78" s="2215">
        <f>SUM(N78:T78)+SUM(Z78:AF78)+SUM(AL78:AR78)+SUM(AX78:BD78)+SUM(BJ78:BK78)</f>
        <v>-247.99583333333334</v>
      </c>
      <c r="BR78" s="2130">
        <f>BQ78/E75</f>
        <v>-0.70855952380952381</v>
      </c>
      <c r="BS78" s="1900"/>
      <c r="BT78" s="1900"/>
      <c r="BU78" s="1900"/>
      <c r="BV78" s="2011"/>
    </row>
    <row r="79" spans="1:86" s="1756" customFormat="1" ht="17.25" thickBot="1" x14ac:dyDescent="0.25">
      <c r="B79" s="1817"/>
      <c r="C79" s="1817"/>
      <c r="D79" s="1817"/>
      <c r="E79" s="1814"/>
      <c r="F79" s="1814"/>
      <c r="G79" s="1814"/>
      <c r="H79" s="1814"/>
      <c r="I79" s="1814"/>
      <c r="J79" s="1814"/>
      <c r="K79" s="1818"/>
      <c r="L79" s="2216"/>
      <c r="M79" s="2055"/>
      <c r="N79" s="1814"/>
      <c r="O79" s="1814"/>
      <c r="P79" s="1814"/>
      <c r="Q79" s="1814"/>
      <c r="R79" s="1814"/>
      <c r="S79" s="1814"/>
      <c r="T79" s="1814"/>
      <c r="U79" s="1814"/>
      <c r="V79" s="1814"/>
      <c r="W79" s="1814"/>
      <c r="X79" s="1814"/>
      <c r="Y79" s="1766"/>
      <c r="Z79" s="1814"/>
      <c r="AA79" s="1814"/>
      <c r="AB79" s="1814"/>
      <c r="AC79" s="1814"/>
      <c r="AD79" s="1814"/>
      <c r="AE79" s="1814"/>
      <c r="AF79" s="1814"/>
      <c r="AG79" s="1766"/>
      <c r="AH79" s="1814"/>
      <c r="AI79" s="1814"/>
      <c r="AJ79" s="1814"/>
      <c r="AK79" s="1766"/>
      <c r="AL79" s="1814"/>
      <c r="AM79" s="1814"/>
      <c r="AN79" s="1814"/>
      <c r="AO79" s="1814"/>
      <c r="AP79" s="1814"/>
      <c r="AQ79" s="1814"/>
      <c r="AR79" s="1814"/>
      <c r="AS79" s="1814"/>
      <c r="AT79" s="1814"/>
      <c r="AU79" s="1814"/>
      <c r="AV79" s="1814"/>
      <c r="AW79" s="1814"/>
      <c r="AX79" s="1814"/>
      <c r="AY79" s="1814"/>
      <c r="AZ79" s="1814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814"/>
      <c r="BP79" s="1766"/>
      <c r="BQ79" s="1814"/>
      <c r="BR79" s="1830"/>
      <c r="BS79" s="2788"/>
      <c r="BT79" s="2788"/>
      <c r="BU79" s="2788"/>
      <c r="BV79" s="1817"/>
    </row>
    <row r="80" spans="1:86" s="1860" customFormat="1" x14ac:dyDescent="0.2">
      <c r="B80" s="4649"/>
      <c r="C80" s="4647" t="s">
        <v>213</v>
      </c>
      <c r="D80" s="1861"/>
      <c r="E80" s="4645">
        <f>C40</f>
        <v>14681.458333333334</v>
      </c>
      <c r="F80" s="2657"/>
      <c r="G80" s="2658"/>
      <c r="H80" s="2659"/>
      <c r="I80" s="2660"/>
      <c r="J80" s="4643">
        <f>E80/30</f>
        <v>489.38194444444446</v>
      </c>
      <c r="K80" s="4641">
        <f>J80*24%</f>
        <v>117.45166666666667</v>
      </c>
      <c r="L80" s="2216"/>
      <c r="M80" s="2055"/>
      <c r="N80" s="4628" t="str">
        <f>IF(N44&gt;0,"0.000",N44)</f>
        <v>0.000</v>
      </c>
      <c r="O80" s="4630" t="str">
        <f t="shared" ref="O80:T80" si="548">IF(O44&gt;0,"0.000",O44)</f>
        <v>0.000</v>
      </c>
      <c r="P80" s="4630" t="str">
        <f t="shared" si="548"/>
        <v>0.000</v>
      </c>
      <c r="Q80" s="4630" t="str">
        <f t="shared" si="548"/>
        <v>0.000</v>
      </c>
      <c r="R80" s="4630" t="str">
        <f t="shared" si="548"/>
        <v>0.000</v>
      </c>
      <c r="S80" s="4630" t="str">
        <f t="shared" si="548"/>
        <v>0.000</v>
      </c>
      <c r="T80" s="4632" t="str">
        <f t="shared" si="548"/>
        <v>0.000</v>
      </c>
      <c r="U80" s="2796"/>
      <c r="V80" s="4628">
        <f t="shared" si="82"/>
        <v>0</v>
      </c>
      <c r="W80" s="4630"/>
      <c r="X80" s="4632"/>
      <c r="Y80" s="1862"/>
      <c r="Z80" s="4628" t="str">
        <f t="shared" ref="Z80:AF80" si="549">IF(Z44&gt;0,"0.000",Z44)</f>
        <v>0.000</v>
      </c>
      <c r="AA80" s="4630" t="str">
        <f t="shared" si="549"/>
        <v>0.000</v>
      </c>
      <c r="AB80" s="4630" t="str">
        <f t="shared" si="549"/>
        <v>0.000</v>
      </c>
      <c r="AC80" s="4630" t="str">
        <f t="shared" si="549"/>
        <v>0.000</v>
      </c>
      <c r="AD80" s="4630" t="str">
        <f t="shared" si="549"/>
        <v>0.000</v>
      </c>
      <c r="AE80" s="4630" t="str">
        <f t="shared" si="549"/>
        <v>0.000</v>
      </c>
      <c r="AF80" s="4632" t="str">
        <f t="shared" si="549"/>
        <v>0.000</v>
      </c>
      <c r="AG80" s="1862"/>
      <c r="AH80" s="4628">
        <f t="shared" ref="AH80:AH85" si="550">SUM(Z80:AF80)</f>
        <v>0</v>
      </c>
      <c r="AI80" s="4630"/>
      <c r="AJ80" s="4632"/>
      <c r="AK80" s="1862"/>
      <c r="AL80" s="4628" t="str">
        <f t="shared" ref="AL80:AR80" si="551">IF(AL44&gt;0,"0.000",AL44)</f>
        <v>0.000</v>
      </c>
      <c r="AM80" s="4630" t="str">
        <f t="shared" si="551"/>
        <v>0.000</v>
      </c>
      <c r="AN80" s="4630" t="str">
        <f t="shared" si="551"/>
        <v>0.000</v>
      </c>
      <c r="AO80" s="4630" t="str">
        <f t="shared" si="551"/>
        <v>0.000</v>
      </c>
      <c r="AP80" s="4630" t="str">
        <f t="shared" si="551"/>
        <v>0.000</v>
      </c>
      <c r="AQ80" s="4630" t="str">
        <f t="shared" si="551"/>
        <v>0.000</v>
      </c>
      <c r="AR80" s="4632" t="str">
        <f t="shared" si="551"/>
        <v>0.000</v>
      </c>
      <c r="AS80" s="2796"/>
      <c r="AT80" s="4628">
        <f t="shared" ref="AT80:AT85" si="552">SUM(AL80:AR80)</f>
        <v>0</v>
      </c>
      <c r="AU80" s="4630"/>
      <c r="AV80" s="4632"/>
      <c r="AW80" s="2796"/>
      <c r="AX80" s="4628" t="str">
        <f t="shared" ref="AX80:BD80" si="553">IF(AX44&gt;0,"0.000",AX44)</f>
        <v>0.000</v>
      </c>
      <c r="AY80" s="4630" t="str">
        <f t="shared" si="553"/>
        <v>0.000</v>
      </c>
      <c r="AZ80" s="4630">
        <f t="shared" si="553"/>
        <v>0</v>
      </c>
      <c r="BA80" s="4630">
        <f t="shared" si="553"/>
        <v>0</v>
      </c>
      <c r="BB80" s="4630">
        <f t="shared" si="553"/>
        <v>0</v>
      </c>
      <c r="BC80" s="4630">
        <f t="shared" si="553"/>
        <v>0</v>
      </c>
      <c r="BD80" s="4632">
        <f t="shared" si="553"/>
        <v>0</v>
      </c>
      <c r="BE80" s="2796"/>
      <c r="BF80" s="4628">
        <f t="shared" ref="BF80:BF85" si="554">SUM(AX80:BD80)</f>
        <v>0</v>
      </c>
      <c r="BG80" s="4630"/>
      <c r="BH80" s="4632"/>
      <c r="BI80" s="2796"/>
      <c r="BJ80" s="4628">
        <f>IF(BJ44&gt;0,"0.000",BJ44)</f>
        <v>0</v>
      </c>
      <c r="BK80" s="4632">
        <f>IF(BK44&gt;0,"0.000",BK44)</f>
        <v>0</v>
      </c>
      <c r="BL80" s="2796"/>
      <c r="BM80" s="4628">
        <f>SUM(BJ80:BK80)</f>
        <v>0</v>
      </c>
      <c r="BN80" s="4630"/>
      <c r="BO80" s="4632"/>
      <c r="BP80" s="1726"/>
      <c r="BQ80" s="4628">
        <f>SUM(N80:T80)+SUM(Z80:AF80)+SUM(AL80:AR80)+SUM(AX80:BD80)+SUM(BJ80:BK80)</f>
        <v>0</v>
      </c>
      <c r="BR80" s="4632"/>
      <c r="BS80" s="1740"/>
      <c r="BT80" s="2796"/>
      <c r="BU80" s="1997"/>
      <c r="BV80" s="1997"/>
      <c r="BW80" s="2794"/>
    </row>
    <row r="81" spans="2:75" s="1946" customFormat="1" ht="17.25" thickBot="1" x14ac:dyDescent="0.25">
      <c r="B81" s="4650"/>
      <c r="C81" s="4648"/>
      <c r="D81" s="2011"/>
      <c r="E81" s="4646"/>
      <c r="F81" s="2375"/>
      <c r="G81" s="2376"/>
      <c r="H81" s="2377"/>
      <c r="I81" s="2378"/>
      <c r="J81" s="4644"/>
      <c r="K81" s="4642"/>
      <c r="L81" s="2213"/>
      <c r="M81" s="2214"/>
      <c r="N81" s="4629"/>
      <c r="O81" s="4631"/>
      <c r="P81" s="4631"/>
      <c r="Q81" s="4631"/>
      <c r="R81" s="4631"/>
      <c r="S81" s="4631"/>
      <c r="T81" s="4633"/>
      <c r="U81" s="2790"/>
      <c r="V81" s="4629"/>
      <c r="W81" s="4631"/>
      <c r="X81" s="4633"/>
      <c r="Y81" s="1897"/>
      <c r="Z81" s="4629"/>
      <c r="AA81" s="4631"/>
      <c r="AB81" s="4631"/>
      <c r="AC81" s="4631"/>
      <c r="AD81" s="4631"/>
      <c r="AE81" s="4631"/>
      <c r="AF81" s="4633"/>
      <c r="AG81" s="1897"/>
      <c r="AH81" s="4629"/>
      <c r="AI81" s="4631"/>
      <c r="AJ81" s="4633"/>
      <c r="AK81" s="1897"/>
      <c r="AL81" s="4629"/>
      <c r="AM81" s="4631"/>
      <c r="AN81" s="4631"/>
      <c r="AO81" s="4631"/>
      <c r="AP81" s="4631"/>
      <c r="AQ81" s="4631"/>
      <c r="AR81" s="4633"/>
      <c r="AS81" s="2790"/>
      <c r="AT81" s="4629"/>
      <c r="AU81" s="4631"/>
      <c r="AV81" s="4633"/>
      <c r="AW81" s="2790"/>
      <c r="AX81" s="4629"/>
      <c r="AY81" s="4631"/>
      <c r="AZ81" s="4631"/>
      <c r="BA81" s="4631"/>
      <c r="BB81" s="4631"/>
      <c r="BC81" s="4631"/>
      <c r="BD81" s="4633"/>
      <c r="BE81" s="2790"/>
      <c r="BF81" s="4629"/>
      <c r="BG81" s="4631"/>
      <c r="BH81" s="4633"/>
      <c r="BI81" s="2790"/>
      <c r="BJ81" s="4629"/>
      <c r="BK81" s="4633"/>
      <c r="BL81" s="2790"/>
      <c r="BM81" s="4629"/>
      <c r="BN81" s="4631"/>
      <c r="BO81" s="4633"/>
      <c r="BP81" s="1885"/>
      <c r="BQ81" s="4629"/>
      <c r="BR81" s="4633"/>
      <c r="BS81" s="1900"/>
      <c r="BT81" s="2790"/>
      <c r="BU81" s="2010"/>
      <c r="BV81" s="2010"/>
      <c r="BW81" s="2789"/>
    </row>
    <row r="82" spans="2:75" s="1860" customFormat="1" ht="5.25" customHeight="1" thickBot="1" x14ac:dyDescent="0.25">
      <c r="B82" s="1861"/>
      <c r="C82" s="1861"/>
      <c r="D82" s="1861"/>
      <c r="E82" s="1814"/>
      <c r="F82" s="2367"/>
      <c r="G82" s="2368"/>
      <c r="H82" s="2369"/>
      <c r="I82" s="2370"/>
      <c r="J82" s="1814"/>
      <c r="K82" s="1818"/>
      <c r="L82" s="2055"/>
      <c r="M82" s="2055"/>
      <c r="N82" s="2796"/>
      <c r="O82" s="2796"/>
      <c r="P82" s="2796"/>
      <c r="Q82" s="2796"/>
      <c r="R82" s="2796"/>
      <c r="S82" s="2796"/>
      <c r="T82" s="2796"/>
      <c r="U82" s="2796"/>
      <c r="V82" s="2796"/>
      <c r="W82" s="2796"/>
      <c r="X82" s="2796"/>
      <c r="Y82" s="1862"/>
      <c r="Z82" s="2796"/>
      <c r="AA82" s="2796"/>
      <c r="AB82" s="2796"/>
      <c r="AC82" s="2796"/>
      <c r="AD82" s="2796"/>
      <c r="AE82" s="2796"/>
      <c r="AF82" s="2796"/>
      <c r="AG82" s="1862"/>
      <c r="AH82" s="2796"/>
      <c r="AI82" s="2796"/>
      <c r="AJ82" s="2796"/>
      <c r="AK82" s="1862"/>
      <c r="AL82" s="2796"/>
      <c r="AM82" s="2796"/>
      <c r="AN82" s="2796"/>
      <c r="AO82" s="2796"/>
      <c r="AP82" s="2796"/>
      <c r="AQ82" s="2796"/>
      <c r="AR82" s="2796"/>
      <c r="AS82" s="2796"/>
      <c r="AT82" s="2796"/>
      <c r="AU82" s="2796"/>
      <c r="AV82" s="2796"/>
      <c r="AW82" s="2796"/>
      <c r="AX82" s="2796"/>
      <c r="AY82" s="2796"/>
      <c r="AZ82" s="2796"/>
      <c r="BA82" s="2796"/>
      <c r="BB82" s="2796"/>
      <c r="BC82" s="2796"/>
      <c r="BD82" s="2796"/>
      <c r="BE82" s="2796"/>
      <c r="BF82" s="2796"/>
      <c r="BG82" s="2796"/>
      <c r="BH82" s="2796"/>
      <c r="BI82" s="2796"/>
      <c r="BJ82" s="2796"/>
      <c r="BK82" s="2796"/>
      <c r="BL82" s="2796"/>
      <c r="BM82" s="2796"/>
      <c r="BN82" s="2796"/>
      <c r="BO82" s="2796"/>
      <c r="BQ82" s="2796"/>
      <c r="BR82" s="2796"/>
      <c r="BS82" s="1861"/>
      <c r="BT82" s="2796"/>
      <c r="BU82" s="1997"/>
      <c r="BV82" s="1997"/>
      <c r="BW82" s="2794"/>
    </row>
    <row r="83" spans="2:75" s="1726" customFormat="1" x14ac:dyDescent="0.2">
      <c r="B83" s="2655"/>
      <c r="C83" s="2656" t="s">
        <v>143</v>
      </c>
      <c r="D83" s="1861"/>
      <c r="E83" s="1771">
        <f>E72</f>
        <v>8192.7083333333339</v>
      </c>
      <c r="F83" s="2657">
        <f t="shared" si="518"/>
        <v>819.27083333333337</v>
      </c>
      <c r="G83" s="2658">
        <f t="shared" ref="G83:G84" si="555">E83/15</f>
        <v>546.18055555555554</v>
      </c>
      <c r="H83" s="2659">
        <f t="shared" ref="H83:H84" si="556">E83/20</f>
        <v>409.63541666666669</v>
      </c>
      <c r="I83" s="2660">
        <f t="shared" ref="I83:I84" si="557">E83/25</f>
        <v>327.70833333333337</v>
      </c>
      <c r="J83" s="2661">
        <f>E83/30</f>
        <v>273.09027777777777</v>
      </c>
      <c r="K83" s="1773">
        <f>J83*24%</f>
        <v>65.541666666666657</v>
      </c>
      <c r="L83" s="2216"/>
      <c r="M83" s="2055"/>
      <c r="N83" s="2207">
        <f>IF(N73&gt;0,"0.000",N73)</f>
        <v>-21.446000000000012</v>
      </c>
      <c r="O83" s="2662" t="str">
        <f>IF(O73&gt;0,"0.000",O73)</f>
        <v>0.000</v>
      </c>
      <c r="P83" s="2662">
        <f t="shared" ref="P83:T83" si="558">IF(P73&gt;0,"0.000",P73)</f>
        <v>-28.683000000000007</v>
      </c>
      <c r="Q83" s="2662" t="str">
        <f t="shared" si="558"/>
        <v>0.000</v>
      </c>
      <c r="R83" s="2662">
        <f t="shared" si="558"/>
        <v>-11.349000000000018</v>
      </c>
      <c r="S83" s="2662">
        <f t="shared" si="558"/>
        <v>-34.52000000000001</v>
      </c>
      <c r="T83" s="2277">
        <f t="shared" si="558"/>
        <v>-20.071500000000015</v>
      </c>
      <c r="U83" s="2796"/>
      <c r="V83" s="2207">
        <f t="shared" si="82"/>
        <v>-116.06950000000006</v>
      </c>
      <c r="W83" s="2662"/>
      <c r="X83" s="2277"/>
      <c r="Y83" s="1862"/>
      <c r="Z83" s="2207">
        <f t="shared" ref="Z83:AF83" si="559">IF(Z73&gt;0,"0.000",Z73)</f>
        <v>-31.551500000000019</v>
      </c>
      <c r="AA83" s="2662">
        <f t="shared" si="559"/>
        <v>-4.0055000000000121</v>
      </c>
      <c r="AB83" s="2662">
        <f t="shared" si="559"/>
        <v>-12.52000000000001</v>
      </c>
      <c r="AC83" s="2662">
        <f t="shared" si="559"/>
        <v>-44.574000000000012</v>
      </c>
      <c r="AD83" s="2662">
        <f t="shared" si="559"/>
        <v>-2.4220000000000113</v>
      </c>
      <c r="AE83" s="2662">
        <f t="shared" si="559"/>
        <v>-48.168500000000009</v>
      </c>
      <c r="AF83" s="2277">
        <f t="shared" si="559"/>
        <v>-43.076000000000008</v>
      </c>
      <c r="AG83" s="1862"/>
      <c r="AH83" s="2207">
        <f>SUM(Z83:AF83)</f>
        <v>-186.31750000000011</v>
      </c>
      <c r="AI83" s="2662"/>
      <c r="AJ83" s="2277"/>
      <c r="AK83" s="1862"/>
      <c r="AL83" s="2207">
        <f t="shared" ref="AL83:AR83" si="560">IF(AL73&gt;0,"0.000",AL73)</f>
        <v>-14.365000000000009</v>
      </c>
      <c r="AM83" s="2662">
        <f t="shared" si="560"/>
        <v>-12.945000000000007</v>
      </c>
      <c r="AN83" s="2662">
        <f t="shared" si="560"/>
        <v>-43.077500000000015</v>
      </c>
      <c r="AO83" s="2662">
        <f t="shared" si="560"/>
        <v>-33.750500000000017</v>
      </c>
      <c r="AP83" s="2662">
        <f t="shared" si="560"/>
        <v>-33.978000000000009</v>
      </c>
      <c r="AQ83" s="2662">
        <f t="shared" si="560"/>
        <v>-19.875000000000014</v>
      </c>
      <c r="AR83" s="2277">
        <f t="shared" si="560"/>
        <v>-42.589500000000015</v>
      </c>
      <c r="AS83" s="2796"/>
      <c r="AT83" s="2207">
        <f t="shared" si="552"/>
        <v>-200.58050000000006</v>
      </c>
      <c r="AU83" s="2662"/>
      <c r="AV83" s="2277"/>
      <c r="AW83" s="2796"/>
      <c r="AX83" s="2207">
        <f t="shared" ref="AX83:BD83" si="561">IF(AX73&gt;0,"0.000",AX73)</f>
        <v>-35.340000000000018</v>
      </c>
      <c r="AY83" s="2662">
        <f t="shared" si="561"/>
        <v>-13.060000000000016</v>
      </c>
      <c r="AZ83" s="2662">
        <f t="shared" si="561"/>
        <v>0</v>
      </c>
      <c r="BA83" s="2662">
        <f t="shared" si="561"/>
        <v>0</v>
      </c>
      <c r="BB83" s="2662">
        <f t="shared" si="561"/>
        <v>0</v>
      </c>
      <c r="BC83" s="2662">
        <f t="shared" si="561"/>
        <v>0</v>
      </c>
      <c r="BD83" s="2277">
        <f t="shared" si="561"/>
        <v>0</v>
      </c>
      <c r="BE83" s="2796"/>
      <c r="BF83" s="2207">
        <f t="shared" si="554"/>
        <v>-48.400000000000034</v>
      </c>
      <c r="BG83" s="2662"/>
      <c r="BH83" s="2277"/>
      <c r="BI83" s="2796"/>
      <c r="BJ83" s="2207">
        <f>IF(BJ73&gt;0,"0.000",BJ73)</f>
        <v>0</v>
      </c>
      <c r="BK83" s="2209">
        <f>IF(BK73&gt;0,"0.000",BK73)</f>
        <v>0</v>
      </c>
      <c r="BL83" s="2796"/>
      <c r="BM83" s="2207">
        <f>SUM(BJ83:BK83)</f>
        <v>0</v>
      </c>
      <c r="BN83" s="2662"/>
      <c r="BO83" s="2277"/>
      <c r="BQ83" s="2663">
        <f>SUM(N83:T83)+SUM(Z83:AF83)+SUM(AL83:AR83)+SUM(AX83:BD83)+SUM(BJ83:BK83)</f>
        <v>-551.36750000000029</v>
      </c>
      <c r="BR83" s="2277"/>
      <c r="BS83" s="1740"/>
      <c r="BT83" s="2796"/>
      <c r="BU83" s="2246"/>
      <c r="BV83" s="2246"/>
      <c r="BW83" s="2247"/>
    </row>
    <row r="84" spans="2:75" s="1885" customFormat="1" ht="17.25" thickBot="1" x14ac:dyDescent="0.25">
      <c r="B84" s="2703"/>
      <c r="C84" s="2704" t="s">
        <v>178</v>
      </c>
      <c r="D84" s="2011"/>
      <c r="E84" s="2705">
        <f>E76</f>
        <v>1458.3333333333333</v>
      </c>
      <c r="F84" s="2706">
        <f t="shared" si="518"/>
        <v>145.83333333333331</v>
      </c>
      <c r="G84" s="2707">
        <f t="shared" si="555"/>
        <v>97.222222222222214</v>
      </c>
      <c r="H84" s="2708">
        <f t="shared" si="556"/>
        <v>72.916666666666657</v>
      </c>
      <c r="I84" s="2709">
        <f t="shared" si="557"/>
        <v>58.333333333333329</v>
      </c>
      <c r="J84" s="2710">
        <f>E84/30</f>
        <v>48.611111111111107</v>
      </c>
      <c r="K84" s="2711">
        <f>J84*24%</f>
        <v>11.666666666666666</v>
      </c>
      <c r="L84" s="2213"/>
      <c r="M84" s="2214"/>
      <c r="N84" s="2244">
        <f>IF(N78&gt;0,"0.000",N78)</f>
        <v>-11.667</v>
      </c>
      <c r="O84" s="1898" t="str">
        <f t="shared" ref="O84:T84" si="562">IF(O78&gt;0,"0.000",O78)</f>
        <v>0.000</v>
      </c>
      <c r="P84" s="1898">
        <f t="shared" si="562"/>
        <v>-11.667</v>
      </c>
      <c r="Q84" s="1898">
        <f t="shared" si="562"/>
        <v>-4.4166666666666661</v>
      </c>
      <c r="R84" s="1898">
        <f t="shared" si="562"/>
        <v>-11.667</v>
      </c>
      <c r="S84" s="1898">
        <f t="shared" si="562"/>
        <v>-11.667</v>
      </c>
      <c r="T84" s="2245">
        <f t="shared" si="562"/>
        <v>-11.667</v>
      </c>
      <c r="U84" s="2790"/>
      <c r="V84" s="2244">
        <f t="shared" si="82"/>
        <v>-62.751666666666672</v>
      </c>
      <c r="W84" s="1898"/>
      <c r="X84" s="2245"/>
      <c r="Y84" s="1897"/>
      <c r="Z84" s="2244">
        <f t="shared" ref="Z84:AF84" si="563">IF(Z78&gt;0,"0.000",Z78)</f>
        <v>-11.667</v>
      </c>
      <c r="AA84" s="1898">
        <f t="shared" si="563"/>
        <v>-11.667</v>
      </c>
      <c r="AB84" s="1898">
        <f t="shared" si="563"/>
        <v>-11.667</v>
      </c>
      <c r="AC84" s="1898">
        <f t="shared" si="563"/>
        <v>-11.667</v>
      </c>
      <c r="AD84" s="1898">
        <f t="shared" si="563"/>
        <v>-11.667</v>
      </c>
      <c r="AE84" s="1898">
        <f t="shared" si="563"/>
        <v>-11.667</v>
      </c>
      <c r="AF84" s="2245">
        <f t="shared" si="563"/>
        <v>-11.667</v>
      </c>
      <c r="AG84" s="1897"/>
      <c r="AH84" s="2244">
        <f t="shared" si="550"/>
        <v>-81.668999999999997</v>
      </c>
      <c r="AI84" s="1898"/>
      <c r="AJ84" s="2245"/>
      <c r="AK84" s="1897"/>
      <c r="AL84" s="2244">
        <f t="shared" ref="AL84:AR84" si="564">IF(AL78&gt;0,"0.000",AL78)</f>
        <v>-11.667</v>
      </c>
      <c r="AM84" s="1898">
        <f t="shared" si="564"/>
        <v>-11.667</v>
      </c>
      <c r="AN84" s="1898">
        <f t="shared" si="564"/>
        <v>-11.667</v>
      </c>
      <c r="AO84" s="1898">
        <f t="shared" si="564"/>
        <v>-11.667</v>
      </c>
      <c r="AP84" s="1898">
        <f t="shared" si="564"/>
        <v>-11.667</v>
      </c>
      <c r="AQ84" s="1898">
        <f t="shared" si="564"/>
        <v>-11.667</v>
      </c>
      <c r="AR84" s="2245">
        <f t="shared" si="564"/>
        <v>-11.667</v>
      </c>
      <c r="AS84" s="2790"/>
      <c r="AT84" s="2244">
        <f t="shared" si="552"/>
        <v>-81.668999999999997</v>
      </c>
      <c r="AU84" s="1898"/>
      <c r="AV84" s="2245"/>
      <c r="AW84" s="2790"/>
      <c r="AX84" s="2244">
        <f t="shared" ref="AX84:BD84" si="565">IF(AX78&gt;0,"0.000",AX78)</f>
        <v>-11.667</v>
      </c>
      <c r="AY84" s="1898">
        <f t="shared" si="565"/>
        <v>-11.667</v>
      </c>
      <c r="AZ84" s="1898">
        <f t="shared" si="565"/>
        <v>0</v>
      </c>
      <c r="BA84" s="1898">
        <f t="shared" si="565"/>
        <v>0</v>
      </c>
      <c r="BB84" s="1898">
        <f t="shared" si="565"/>
        <v>0</v>
      </c>
      <c r="BC84" s="1898">
        <f t="shared" si="565"/>
        <v>0</v>
      </c>
      <c r="BD84" s="2245">
        <f t="shared" si="565"/>
        <v>0</v>
      </c>
      <c r="BE84" s="2790"/>
      <c r="BF84" s="2244">
        <f t="shared" si="554"/>
        <v>-23.334</v>
      </c>
      <c r="BG84" s="1898"/>
      <c r="BH84" s="2245"/>
      <c r="BI84" s="2790"/>
      <c r="BJ84" s="2244">
        <f>IF(BJ78&gt;0,"0.000",BJ78)</f>
        <v>0</v>
      </c>
      <c r="BK84" s="2738">
        <f>IF(BK78&gt;0,"0.000",BK78)</f>
        <v>0</v>
      </c>
      <c r="BL84" s="2790"/>
      <c r="BM84" s="2244">
        <f>SUM(BJ84:BK84)</f>
        <v>0</v>
      </c>
      <c r="BN84" s="1898"/>
      <c r="BO84" s="2245"/>
      <c r="BQ84" s="2244">
        <f>SUM(N84:T84)+SUM(Z84:AF84)+SUM(AL84:AR84)+SUM(AX84:BD84)+SUM(BJ84:BK84)</f>
        <v>-249.42366666666669</v>
      </c>
      <c r="BR84" s="2245"/>
      <c r="BS84" s="1900"/>
      <c r="BT84" s="2790"/>
      <c r="BU84" s="2251"/>
      <c r="BV84" s="2251"/>
      <c r="BW84" s="2252"/>
    </row>
    <row r="85" spans="2:75" s="1726" customFormat="1" ht="17.25" thickBot="1" x14ac:dyDescent="0.25">
      <c r="B85" s="2355"/>
      <c r="C85" s="2356" t="s">
        <v>215</v>
      </c>
      <c r="D85" s="1861"/>
      <c r="E85" s="2664">
        <f>E83+E84</f>
        <v>9651.0416666666679</v>
      </c>
      <c r="F85" s="2665"/>
      <c r="G85" s="2666"/>
      <c r="H85" s="2667"/>
      <c r="I85" s="2668"/>
      <c r="J85" s="2669">
        <f>J83+J84</f>
        <v>321.70138888888886</v>
      </c>
      <c r="K85" s="2670">
        <f>K83+K84</f>
        <v>77.208333333333329</v>
      </c>
      <c r="L85" s="2216"/>
      <c r="M85" s="2055"/>
      <c r="N85" s="2226" t="str">
        <f>IF(N78&lt;0,"0.000",N78)</f>
        <v>0.000</v>
      </c>
      <c r="O85" s="2671">
        <f t="shared" ref="O85:T85" si="566">IF(O78&lt;0,"0.000",O78)</f>
        <v>1.4278333333333233</v>
      </c>
      <c r="P85" s="2671" t="str">
        <f t="shared" si="566"/>
        <v>0.000</v>
      </c>
      <c r="Q85" s="2671" t="str">
        <f t="shared" si="566"/>
        <v>0.000</v>
      </c>
      <c r="R85" s="2671" t="str">
        <f t="shared" si="566"/>
        <v>0.000</v>
      </c>
      <c r="S85" s="2671" t="str">
        <f t="shared" si="566"/>
        <v>0.000</v>
      </c>
      <c r="T85" s="2672" t="str">
        <f t="shared" si="566"/>
        <v>0.000</v>
      </c>
      <c r="U85" s="2796"/>
      <c r="V85" s="2226">
        <f t="shared" si="82"/>
        <v>1.4278333333333233</v>
      </c>
      <c r="W85" s="2671"/>
      <c r="X85" s="2672"/>
      <c r="Y85" s="1862"/>
      <c r="Z85" s="2226" t="str">
        <f t="shared" ref="Z85:AF85" si="567">IF(Z78&lt;0,"0.000",Z78)</f>
        <v>0.000</v>
      </c>
      <c r="AA85" s="2671" t="str">
        <f t="shared" si="567"/>
        <v>0.000</v>
      </c>
      <c r="AB85" s="2671" t="str">
        <f t="shared" si="567"/>
        <v>0.000</v>
      </c>
      <c r="AC85" s="2671" t="str">
        <f t="shared" si="567"/>
        <v>0.000</v>
      </c>
      <c r="AD85" s="2671" t="str">
        <f t="shared" si="567"/>
        <v>0.000</v>
      </c>
      <c r="AE85" s="2671" t="str">
        <f t="shared" si="567"/>
        <v>0.000</v>
      </c>
      <c r="AF85" s="2672" t="str">
        <f t="shared" si="567"/>
        <v>0.000</v>
      </c>
      <c r="AG85" s="1862"/>
      <c r="AH85" s="2226">
        <f t="shared" si="550"/>
        <v>0</v>
      </c>
      <c r="AI85" s="2671"/>
      <c r="AJ85" s="2672"/>
      <c r="AK85" s="1862"/>
      <c r="AL85" s="2226" t="str">
        <f t="shared" ref="AL85:AR85" si="568">IF(AL78&lt;0,"0.000",AL78)</f>
        <v>0.000</v>
      </c>
      <c r="AM85" s="2671" t="str">
        <f t="shared" si="568"/>
        <v>0.000</v>
      </c>
      <c r="AN85" s="2671" t="str">
        <f t="shared" si="568"/>
        <v>0.000</v>
      </c>
      <c r="AO85" s="2671" t="str">
        <f t="shared" si="568"/>
        <v>0.000</v>
      </c>
      <c r="AP85" s="2671" t="str">
        <f t="shared" si="568"/>
        <v>0.000</v>
      </c>
      <c r="AQ85" s="2671" t="str">
        <f t="shared" si="568"/>
        <v>0.000</v>
      </c>
      <c r="AR85" s="2672" t="str">
        <f t="shared" si="568"/>
        <v>0.000</v>
      </c>
      <c r="AS85" s="2796"/>
      <c r="AT85" s="2226">
        <f t="shared" si="552"/>
        <v>0</v>
      </c>
      <c r="AU85" s="2671"/>
      <c r="AV85" s="2672"/>
      <c r="AW85" s="2796"/>
      <c r="AX85" s="2226" t="str">
        <f t="shared" ref="AX85:BD85" si="569">IF(AX78&lt;0,"0.000",AX78)</f>
        <v>0.000</v>
      </c>
      <c r="AY85" s="2671" t="str">
        <f t="shared" si="569"/>
        <v>0.000</v>
      </c>
      <c r="AZ85" s="2671">
        <f t="shared" si="569"/>
        <v>0</v>
      </c>
      <c r="BA85" s="2671">
        <f t="shared" si="569"/>
        <v>0</v>
      </c>
      <c r="BB85" s="2671">
        <f t="shared" si="569"/>
        <v>0</v>
      </c>
      <c r="BC85" s="2671">
        <f t="shared" si="569"/>
        <v>0</v>
      </c>
      <c r="BD85" s="2672">
        <f t="shared" si="569"/>
        <v>0</v>
      </c>
      <c r="BE85" s="2796"/>
      <c r="BF85" s="2226">
        <f t="shared" si="554"/>
        <v>0</v>
      </c>
      <c r="BG85" s="2671"/>
      <c r="BH85" s="2672"/>
      <c r="BI85" s="2796"/>
      <c r="BJ85" s="2226">
        <f>IF(BJ78&lt;0,"0.000",BJ78)</f>
        <v>0</v>
      </c>
      <c r="BK85" s="2228">
        <f>IF(BK78&lt;0,"0.000",BK78)</f>
        <v>0</v>
      </c>
      <c r="BL85" s="2796"/>
      <c r="BM85" s="2226">
        <f>SUM(BJ85:BK85)</f>
        <v>0</v>
      </c>
      <c r="BN85" s="2671"/>
      <c r="BO85" s="2672"/>
      <c r="BQ85" s="2226">
        <f>SUM(N85:T85)+SUM(Z85:AF85)+SUM(AL85:AR85)+SUM(AX85:BD85)+SUM(BJ85:BK85)</f>
        <v>1.4278333333333233</v>
      </c>
      <c r="BR85" s="2672"/>
      <c r="BS85" s="1740"/>
      <c r="BT85" s="2796"/>
      <c r="BU85" s="2246"/>
      <c r="BV85" s="2246"/>
      <c r="BW85" s="2247"/>
    </row>
    <row r="86" spans="2:75" s="1726" customFormat="1" ht="4.5" customHeight="1" thickBot="1" x14ac:dyDescent="0.25">
      <c r="B86" s="1740"/>
      <c r="C86" s="1740"/>
      <c r="D86" s="1861"/>
      <c r="E86" s="1740"/>
      <c r="F86" s="1740"/>
      <c r="G86" s="1740"/>
      <c r="H86" s="1740"/>
      <c r="I86" s="1740"/>
      <c r="J86" s="1740"/>
      <c r="K86" s="1997"/>
      <c r="L86" s="1760"/>
      <c r="M86" s="2794"/>
      <c r="N86" s="1740"/>
      <c r="O86" s="1740"/>
      <c r="P86" s="1740"/>
      <c r="Q86" s="1740"/>
      <c r="R86" s="1740"/>
      <c r="S86" s="1740"/>
      <c r="T86" s="1740"/>
      <c r="U86" s="1861"/>
      <c r="V86" s="1740"/>
      <c r="W86" s="1740"/>
      <c r="X86" s="1740"/>
      <c r="Y86" s="1860"/>
      <c r="Z86" s="1740"/>
      <c r="AA86" s="1740"/>
      <c r="AB86" s="1740"/>
      <c r="AC86" s="1740"/>
      <c r="AD86" s="1740"/>
      <c r="AE86" s="1740"/>
      <c r="AF86" s="1740"/>
      <c r="AG86" s="1860"/>
      <c r="AH86" s="1740"/>
      <c r="AI86" s="1740"/>
      <c r="AJ86" s="1740"/>
      <c r="AK86" s="1860"/>
      <c r="AL86" s="1740"/>
      <c r="AM86" s="1740"/>
      <c r="AN86" s="1740"/>
      <c r="AO86" s="1740"/>
      <c r="AP86" s="1740"/>
      <c r="AQ86" s="1740"/>
      <c r="AR86" s="1740"/>
      <c r="AS86" s="1861"/>
      <c r="AT86" s="1740"/>
      <c r="AU86" s="1740"/>
      <c r="AV86" s="1740"/>
      <c r="AW86" s="1861"/>
      <c r="AX86" s="1740"/>
      <c r="AY86" s="1740"/>
      <c r="AZ86" s="1740"/>
      <c r="BA86" s="1740"/>
      <c r="BB86" s="1740"/>
      <c r="BC86" s="1740"/>
      <c r="BD86" s="1740"/>
      <c r="BE86" s="1861"/>
      <c r="BF86" s="1740"/>
      <c r="BG86" s="1740"/>
      <c r="BH86" s="1740"/>
      <c r="BI86" s="1740"/>
      <c r="BJ86" s="1740"/>
      <c r="BK86" s="1740"/>
      <c r="BL86" s="1740"/>
      <c r="BM86" s="1740"/>
      <c r="BN86" s="1740"/>
      <c r="BO86" s="1740"/>
      <c r="BQ86" s="1740"/>
      <c r="BR86" s="1740"/>
      <c r="BS86" s="1740"/>
      <c r="BT86" s="1740"/>
      <c r="BU86" s="1740"/>
      <c r="BV86" s="1861"/>
    </row>
    <row r="87" spans="2:75" s="1885" customFormat="1" ht="17.25" thickBot="1" x14ac:dyDescent="0.25">
      <c r="B87" s="2117"/>
      <c r="C87" s="2212"/>
      <c r="D87" s="2119"/>
      <c r="E87" s="2123">
        <f>SUM(E80:E84)</f>
        <v>24332.5</v>
      </c>
      <c r="F87" s="2121"/>
      <c r="G87" s="2121"/>
      <c r="H87" s="2121"/>
      <c r="I87" s="2121"/>
      <c r="J87" s="2121">
        <f>E87/30</f>
        <v>811.08333333333337</v>
      </c>
      <c r="K87" s="2129">
        <f>J87*24%</f>
        <v>194.66</v>
      </c>
      <c r="L87" s="2213"/>
      <c r="M87" s="2214"/>
      <c r="N87" s="2120">
        <f>SUM(N80:N85)</f>
        <v>-33.113000000000014</v>
      </c>
      <c r="O87" s="2123">
        <f t="shared" ref="O87:T87" si="570">SUM(O80:O85)</f>
        <v>1.4278333333333233</v>
      </c>
      <c r="P87" s="2123">
        <f t="shared" si="570"/>
        <v>-40.350000000000009</v>
      </c>
      <c r="Q87" s="2123">
        <f t="shared" si="570"/>
        <v>-4.4166666666666661</v>
      </c>
      <c r="R87" s="2123">
        <f t="shared" si="570"/>
        <v>-23.01600000000002</v>
      </c>
      <c r="S87" s="2123">
        <f t="shared" si="570"/>
        <v>-46.187000000000012</v>
      </c>
      <c r="T87" s="2124">
        <f t="shared" si="570"/>
        <v>-31.738500000000016</v>
      </c>
      <c r="U87" s="1951"/>
      <c r="V87" s="2120">
        <f>SUM(N87:T87)</f>
        <v>-177.3933333333334</v>
      </c>
      <c r="W87" s="2123"/>
      <c r="X87" s="2124"/>
      <c r="Y87" s="1956"/>
      <c r="Z87" s="2120">
        <f t="shared" ref="Z87:AF87" si="571">SUM(Z80:Z85)</f>
        <v>-43.21850000000002</v>
      </c>
      <c r="AA87" s="2123">
        <f t="shared" si="571"/>
        <v>-15.672500000000012</v>
      </c>
      <c r="AB87" s="2123">
        <f t="shared" si="571"/>
        <v>-24.187000000000012</v>
      </c>
      <c r="AC87" s="2123">
        <f t="shared" si="571"/>
        <v>-56.241000000000014</v>
      </c>
      <c r="AD87" s="2123">
        <f t="shared" si="571"/>
        <v>-14.089000000000011</v>
      </c>
      <c r="AE87" s="2123">
        <f t="shared" si="571"/>
        <v>-59.83550000000001</v>
      </c>
      <c r="AF87" s="2124">
        <f t="shared" si="571"/>
        <v>-54.743000000000009</v>
      </c>
      <c r="AG87" s="1956"/>
      <c r="AH87" s="2120">
        <f>SUM(Z87:AF87)</f>
        <v>-267.98650000000009</v>
      </c>
      <c r="AI87" s="2123"/>
      <c r="AJ87" s="2124"/>
      <c r="AK87" s="1955"/>
      <c r="AL87" s="2120">
        <f t="shared" ref="AL87:AR87" si="572">SUM(AL80:AL85)</f>
        <v>-26.032000000000011</v>
      </c>
      <c r="AM87" s="2121">
        <f t="shared" si="572"/>
        <v>-24.612000000000009</v>
      </c>
      <c r="AN87" s="2121">
        <f t="shared" si="572"/>
        <v>-54.744500000000016</v>
      </c>
      <c r="AO87" s="2121">
        <f t="shared" si="572"/>
        <v>-45.417500000000018</v>
      </c>
      <c r="AP87" s="2121">
        <f t="shared" si="572"/>
        <v>-45.64500000000001</v>
      </c>
      <c r="AQ87" s="2121">
        <f t="shared" si="572"/>
        <v>-31.542000000000016</v>
      </c>
      <c r="AR87" s="2124">
        <f t="shared" si="572"/>
        <v>-54.256500000000017</v>
      </c>
      <c r="AS87" s="2254"/>
      <c r="AT87" s="2120">
        <f>SUM(AL87:AR87)</f>
        <v>-282.24950000000007</v>
      </c>
      <c r="AU87" s="2123"/>
      <c r="AV87" s="2124"/>
      <c r="AW87" s="1951"/>
      <c r="AX87" s="2120">
        <f t="shared" ref="AX87:BD87" si="573">SUM(AX80:AX85)</f>
        <v>-47.007000000000019</v>
      </c>
      <c r="AY87" s="2121">
        <f t="shared" si="573"/>
        <v>-24.727000000000018</v>
      </c>
      <c r="AZ87" s="2121">
        <f t="shared" si="573"/>
        <v>0</v>
      </c>
      <c r="BA87" s="2121">
        <f t="shared" si="573"/>
        <v>0</v>
      </c>
      <c r="BB87" s="2121">
        <f t="shared" si="573"/>
        <v>0</v>
      </c>
      <c r="BC87" s="2121">
        <f t="shared" si="573"/>
        <v>0</v>
      </c>
      <c r="BD87" s="2124">
        <f t="shared" si="573"/>
        <v>0</v>
      </c>
      <c r="BE87" s="1951"/>
      <c r="BF87" s="2120">
        <f>SUM(AX87:BD87)</f>
        <v>-71.734000000000037</v>
      </c>
      <c r="BG87" s="2123"/>
      <c r="BH87" s="2124"/>
      <c r="BI87" s="1900"/>
      <c r="BJ87" s="2120">
        <f t="shared" ref="BJ87:BK87" si="574">SUM(BJ80:BJ85)</f>
        <v>0</v>
      </c>
      <c r="BK87" s="2123">
        <f t="shared" si="574"/>
        <v>0</v>
      </c>
      <c r="BL87" s="2317"/>
      <c r="BM87" s="2215">
        <f>SUM(BJ87:BK87)</f>
        <v>0</v>
      </c>
      <c r="BN87" s="2318"/>
      <c r="BO87" s="2118"/>
      <c r="BP87" s="1897"/>
      <c r="BQ87" s="2215">
        <f>SUM(N87:T87)+SUM(Z87:AF87)+SUM(AL87:AR87)+SUM(AX87:BD87)+SUM(BJ87:BK87)</f>
        <v>-799.36333333333357</v>
      </c>
      <c r="BR87" s="2130"/>
      <c r="BS87" s="1900"/>
      <c r="BT87" s="1900"/>
      <c r="BU87" s="1900"/>
      <c r="BV87" s="2011"/>
    </row>
    <row r="88" spans="2:75" s="1726" customFormat="1" ht="4.5" customHeight="1" thickBot="1" x14ac:dyDescent="0.25">
      <c r="B88" s="1740"/>
      <c r="C88" s="1740"/>
      <c r="D88" s="1861"/>
      <c r="E88" s="1740"/>
      <c r="F88" s="1740"/>
      <c r="G88" s="1740"/>
      <c r="H88" s="1740"/>
      <c r="I88" s="1740"/>
      <c r="J88" s="1740"/>
      <c r="K88" s="1861"/>
      <c r="L88" s="1827"/>
      <c r="M88" s="1810"/>
      <c r="N88" s="1740"/>
      <c r="O88" s="1740"/>
      <c r="P88" s="1740"/>
      <c r="Q88" s="1740"/>
      <c r="R88" s="1740"/>
      <c r="S88" s="1740"/>
      <c r="T88" s="1740"/>
      <c r="U88" s="1861"/>
      <c r="V88" s="1740"/>
      <c r="W88" s="1740"/>
      <c r="X88" s="1740"/>
      <c r="Y88" s="1860"/>
      <c r="AG88" s="1860"/>
      <c r="AH88" s="1740"/>
      <c r="AI88" s="1740"/>
      <c r="AJ88" s="1740"/>
      <c r="AK88" s="1860"/>
      <c r="AL88" s="1740"/>
      <c r="AM88" s="1740"/>
      <c r="AN88" s="1740"/>
      <c r="AO88" s="1740"/>
      <c r="AP88" s="1740"/>
      <c r="AQ88" s="1740"/>
      <c r="AR88" s="1740"/>
      <c r="AS88" s="1861"/>
      <c r="AT88" s="1740"/>
      <c r="AU88" s="1740"/>
      <c r="AV88" s="1740"/>
      <c r="AW88" s="1861"/>
      <c r="AX88" s="1740"/>
      <c r="AY88" s="1740"/>
      <c r="AZ88" s="1740"/>
      <c r="BA88" s="1740"/>
      <c r="BB88" s="1740"/>
      <c r="BC88" s="1740"/>
      <c r="BD88" s="1740"/>
      <c r="BE88" s="1861"/>
      <c r="BF88" s="1740"/>
      <c r="BG88" s="1740"/>
      <c r="BH88" s="1740"/>
      <c r="BI88" s="1740"/>
      <c r="BJ88" s="1740"/>
      <c r="BK88" s="1740"/>
      <c r="BL88" s="1740"/>
      <c r="BM88" s="1740"/>
      <c r="BN88" s="1740"/>
      <c r="BO88" s="1740"/>
      <c r="BQ88" s="1740"/>
      <c r="BR88" s="1740"/>
      <c r="BS88" s="1740"/>
      <c r="BT88" s="1740"/>
      <c r="BU88" s="1740"/>
      <c r="BV88" s="1861"/>
    </row>
    <row r="89" spans="2:75" s="1726" customFormat="1" ht="17.25" thickBot="1" x14ac:dyDescent="0.25">
      <c r="B89" s="2049"/>
      <c r="C89" s="2050"/>
      <c r="D89" s="2051"/>
      <c r="E89" s="2052">
        <f>E87*24%</f>
        <v>5839.8</v>
      </c>
      <c r="F89" s="2053"/>
      <c r="G89" s="2053"/>
      <c r="H89" s="2053"/>
      <c r="I89" s="2053"/>
      <c r="J89" s="2053"/>
      <c r="K89" s="2253"/>
      <c r="L89" s="2216"/>
      <c r="M89" s="2055"/>
      <c r="N89" s="2056">
        <f>N87*100/30</f>
        <v>-110.37666666666672</v>
      </c>
      <c r="O89" s="2052">
        <f t="shared" ref="O89:T89" si="575">O87*100/30</f>
        <v>4.7594444444444113</v>
      </c>
      <c r="P89" s="2052">
        <f t="shared" si="575"/>
        <v>-134.50000000000003</v>
      </c>
      <c r="Q89" s="2052">
        <f t="shared" si="575"/>
        <v>-14.722222222222221</v>
      </c>
      <c r="R89" s="2052">
        <f t="shared" si="575"/>
        <v>-76.72000000000007</v>
      </c>
      <c r="S89" s="2052">
        <f t="shared" si="575"/>
        <v>-153.95666666666668</v>
      </c>
      <c r="T89" s="2192">
        <f t="shared" si="575"/>
        <v>-105.79500000000006</v>
      </c>
      <c r="U89" s="2300"/>
      <c r="V89" s="2056">
        <f>SUM(N89:T89)</f>
        <v>-591.31111111111136</v>
      </c>
      <c r="W89" s="2052"/>
      <c r="X89" s="2057"/>
      <c r="Y89" s="1766"/>
      <c r="Z89" s="2673">
        <f t="shared" ref="Z89:AF89" si="576">Z87*100/30</f>
        <v>-144.06166666666675</v>
      </c>
      <c r="AA89" s="2674">
        <f t="shared" si="576"/>
        <v>-52.241666666666703</v>
      </c>
      <c r="AB89" s="2674">
        <f t="shared" si="576"/>
        <v>-80.623333333333377</v>
      </c>
      <c r="AC89" s="2052">
        <f t="shared" si="576"/>
        <v>-187.47000000000006</v>
      </c>
      <c r="AD89" s="2674">
        <f t="shared" si="576"/>
        <v>-46.963333333333367</v>
      </c>
      <c r="AE89" s="2674">
        <f t="shared" si="576"/>
        <v>-199.45166666666671</v>
      </c>
      <c r="AF89" s="2675">
        <f t="shared" si="576"/>
        <v>-182.47666666666672</v>
      </c>
      <c r="AG89" s="1766"/>
      <c r="AH89" s="2056">
        <f>SUM(Z89:AF89)</f>
        <v>-893.28833333333364</v>
      </c>
      <c r="AI89" s="2052"/>
      <c r="AJ89" s="2057"/>
      <c r="AK89" s="1764"/>
      <c r="AL89" s="2056">
        <f t="shared" ref="AL89:AR89" si="577">AL87*100/30</f>
        <v>-86.773333333333369</v>
      </c>
      <c r="AM89" s="2053">
        <f t="shared" si="577"/>
        <v>-82.04000000000002</v>
      </c>
      <c r="AN89" s="2053">
        <f t="shared" si="577"/>
        <v>-182.48166666666671</v>
      </c>
      <c r="AO89" s="2053">
        <f t="shared" si="577"/>
        <v>-151.39166666666674</v>
      </c>
      <c r="AP89" s="2053">
        <f t="shared" si="577"/>
        <v>-152.15000000000003</v>
      </c>
      <c r="AQ89" s="2053">
        <f t="shared" si="577"/>
        <v>-105.14000000000006</v>
      </c>
      <c r="AR89" s="2057">
        <f t="shared" si="577"/>
        <v>-180.85500000000005</v>
      </c>
      <c r="AS89" s="2300"/>
      <c r="AT89" s="2056">
        <f>SUM(AL89:AR89)</f>
        <v>-940.83166666666693</v>
      </c>
      <c r="AU89" s="2052"/>
      <c r="AV89" s="2057"/>
      <c r="AW89" s="1814"/>
      <c r="AX89" s="2056">
        <f t="shared" ref="AX89:BD89" si="578">AX87*100/30</f>
        <v>-156.69000000000005</v>
      </c>
      <c r="AY89" s="2053">
        <f t="shared" si="578"/>
        <v>-82.423333333333389</v>
      </c>
      <c r="AZ89" s="2053">
        <f t="shared" si="578"/>
        <v>0</v>
      </c>
      <c r="BA89" s="2053">
        <f t="shared" si="578"/>
        <v>0</v>
      </c>
      <c r="BB89" s="2053">
        <f t="shared" si="578"/>
        <v>0</v>
      </c>
      <c r="BC89" s="2053">
        <f t="shared" si="578"/>
        <v>0</v>
      </c>
      <c r="BD89" s="2057">
        <f t="shared" si="578"/>
        <v>0</v>
      </c>
      <c r="BE89" s="1814"/>
      <c r="BF89" s="2056">
        <f>SUM(AX89:BD89)</f>
        <v>-239.11333333333346</v>
      </c>
      <c r="BG89" s="2052"/>
      <c r="BH89" s="2057"/>
      <c r="BI89" s="1740"/>
      <c r="BJ89" s="2056">
        <f t="shared" ref="BJ89:BK89" si="579">BJ87*100/30</f>
        <v>0</v>
      </c>
      <c r="BK89" s="2052">
        <f t="shared" si="579"/>
        <v>0</v>
      </c>
      <c r="BL89" s="2301"/>
      <c r="BM89" s="2058">
        <f>SUM(BJ89:BK89)</f>
        <v>0</v>
      </c>
      <c r="BN89" s="2324"/>
      <c r="BO89" s="2190"/>
      <c r="BP89" s="1862"/>
      <c r="BQ89" s="2058">
        <f>SUM(N89:T89)+SUM(Z89:AF89)+SUM(AL89:AR89)+SUM(AX89:BD89)+SUM(BJ89:BK89)</f>
        <v>-2664.5444444444456</v>
      </c>
      <c r="BR89" s="2676">
        <f>BQ89/BZ18</f>
        <v>-111.02268518518524</v>
      </c>
      <c r="BS89" s="1740"/>
      <c r="BT89" s="1740"/>
      <c r="BU89" s="1740"/>
      <c r="BV89" s="1861"/>
    </row>
    <row r="91" spans="2:75" ht="18" x14ac:dyDescent="0.2">
      <c r="C91" s="2448"/>
      <c r="D91" s="2450"/>
      <c r="E91" s="2449"/>
      <c r="F91" s="2449"/>
      <c r="G91" s="2449"/>
      <c r="H91" s="2449"/>
      <c r="I91" s="2449"/>
      <c r="J91" s="2449"/>
    </row>
    <row r="92" spans="2:75" ht="18" x14ac:dyDescent="0.2">
      <c r="C92" s="2448">
        <f>E92*23%</f>
        <v>7816.2145833333352</v>
      </c>
      <c r="D92" s="2450"/>
      <c r="E92" s="2449">
        <f>(E85*2)+E80</f>
        <v>33983.541666666672</v>
      </c>
      <c r="F92" s="2449"/>
      <c r="G92" s="2449"/>
      <c r="H92" s="2449"/>
      <c r="I92" s="2449"/>
      <c r="J92" s="2449">
        <v>30000</v>
      </c>
      <c r="K92" s="2771">
        <f>J92*23%</f>
        <v>6900</v>
      </c>
      <c r="P92" s="2255"/>
      <c r="Q92" s="2256"/>
      <c r="R92" s="2256"/>
      <c r="S92" s="2257"/>
      <c r="T92" s="2257"/>
      <c r="U92" s="1915"/>
      <c r="V92" s="2257"/>
    </row>
    <row r="93" spans="2:75" ht="18" x14ac:dyDescent="0.2">
      <c r="C93" s="2451">
        <f>C92-E40</f>
        <v>4292.664583333335</v>
      </c>
      <c r="D93" s="1721"/>
      <c r="E93" s="2771"/>
      <c r="F93" s="2771"/>
      <c r="G93" s="2771"/>
      <c r="H93" s="2771"/>
      <c r="I93" s="2771"/>
      <c r="J93" s="2449"/>
      <c r="K93" s="2449">
        <f>K92-E40</f>
        <v>3376.4500000000003</v>
      </c>
      <c r="AM93" s="2257"/>
    </row>
    <row r="94" spans="2:75" ht="18" x14ac:dyDescent="0.2">
      <c r="C94" s="2452">
        <f>C93/2</f>
        <v>2146.3322916666675</v>
      </c>
      <c r="D94" s="1721"/>
      <c r="E94" s="2771"/>
      <c r="F94" s="2771"/>
      <c r="G94" s="2771"/>
      <c r="H94" s="2771"/>
      <c r="I94" s="2771"/>
      <c r="J94" s="2450"/>
      <c r="K94" s="2771">
        <f>K93/2</f>
        <v>1688.2250000000001</v>
      </c>
    </row>
    <row r="95" spans="2:75" ht="18" x14ac:dyDescent="0.2">
      <c r="K95" s="2449"/>
    </row>
  </sheetData>
  <sortState xmlns:xlrd2="http://schemas.microsoft.com/office/spreadsheetml/2017/richdata2" ref="C19:K41">
    <sortCondition descending="1" ref="K41"/>
  </sortState>
  <mergeCells count="87">
    <mergeCell ref="K80:K81"/>
    <mergeCell ref="J80:J81"/>
    <mergeCell ref="E80:E81"/>
    <mergeCell ref="C80:C81"/>
    <mergeCell ref="B80:B81"/>
    <mergeCell ref="BA80:BA81"/>
    <mergeCell ref="BB80:BB81"/>
    <mergeCell ref="BR80:BR81"/>
    <mergeCell ref="BD80:BD81"/>
    <mergeCell ref="BF80:BF81"/>
    <mergeCell ref="BG80:BG81"/>
    <mergeCell ref="BH80:BH81"/>
    <mergeCell ref="BJ80:BJ81"/>
    <mergeCell ref="BK80:BK81"/>
    <mergeCell ref="BM80:BM81"/>
    <mergeCell ref="BN80:BN81"/>
    <mergeCell ref="BO80:BO81"/>
    <mergeCell ref="BQ80:BQ81"/>
    <mergeCell ref="AU80:AU81"/>
    <mergeCell ref="AV80:AV81"/>
    <mergeCell ref="AX80:AX81"/>
    <mergeCell ref="AY80:AY81"/>
    <mergeCell ref="AZ80:AZ81"/>
    <mergeCell ref="BT45:BU45"/>
    <mergeCell ref="BW46:BW55"/>
    <mergeCell ref="BY46:BY55"/>
    <mergeCell ref="BW59:BW68"/>
    <mergeCell ref="T80:T81"/>
    <mergeCell ref="V80:V81"/>
    <mergeCell ref="W80:W81"/>
    <mergeCell ref="X80:X81"/>
    <mergeCell ref="Z80:Z81"/>
    <mergeCell ref="AO80:AO81"/>
    <mergeCell ref="AB80:AB81"/>
    <mergeCell ref="AC80:AC81"/>
    <mergeCell ref="AD80:AD81"/>
    <mergeCell ref="AE80:AE81"/>
    <mergeCell ref="AF80:AF81"/>
    <mergeCell ref="AH80:AH81"/>
    <mergeCell ref="N80:N81"/>
    <mergeCell ref="O80:O81"/>
    <mergeCell ref="P80:P81"/>
    <mergeCell ref="Q80:Q81"/>
    <mergeCell ref="R80:R81"/>
    <mergeCell ref="S80:S81"/>
    <mergeCell ref="V14:X14"/>
    <mergeCell ref="AH14:AJ14"/>
    <mergeCell ref="AT14:AV14"/>
    <mergeCell ref="BF14:BH14"/>
    <mergeCell ref="AA80:AA81"/>
    <mergeCell ref="AI80:AI81"/>
    <mergeCell ref="AJ80:AJ81"/>
    <mergeCell ref="AL80:AL81"/>
    <mergeCell ref="AM80:AM81"/>
    <mergeCell ref="AN80:AN81"/>
    <mergeCell ref="BC80:BC81"/>
    <mergeCell ref="AP80:AP81"/>
    <mergeCell ref="AQ80:AQ81"/>
    <mergeCell ref="AR80:AR81"/>
    <mergeCell ref="AT80:AT81"/>
    <mergeCell ref="K8:K9"/>
    <mergeCell ref="BY8:BZ9"/>
    <mergeCell ref="BZ11:BZ12"/>
    <mergeCell ref="CA11:CA12"/>
    <mergeCell ref="BR1:BR12"/>
    <mergeCell ref="BT1:BW2"/>
    <mergeCell ref="AT1:AV2"/>
    <mergeCell ref="AX1:BD2"/>
    <mergeCell ref="AL1:AR2"/>
    <mergeCell ref="C1:K2"/>
    <mergeCell ref="N1:T2"/>
    <mergeCell ref="V1:X2"/>
    <mergeCell ref="Z1:AF2"/>
    <mergeCell ref="AH1:AJ2"/>
    <mergeCell ref="CH1:CH2"/>
    <mergeCell ref="CI1:CI2"/>
    <mergeCell ref="CC1:CC2"/>
    <mergeCell ref="CD1:CD2"/>
    <mergeCell ref="CE1:CE2"/>
    <mergeCell ref="CG1:CG2"/>
    <mergeCell ref="AZ14:BD14"/>
    <mergeCell ref="BF1:BH2"/>
    <mergeCell ref="BJ1:BK2"/>
    <mergeCell ref="BM1:BO2"/>
    <mergeCell ref="BQ1:BQ12"/>
    <mergeCell ref="BJ14:BK14"/>
    <mergeCell ref="BM14:BO14"/>
  </mergeCells>
  <conditionalFormatting sqref="BR83">
    <cfRule type="cellIs" dxfId="362" priority="7" operator="greaterThan">
      <formula>0</formula>
    </cfRule>
    <cfRule type="cellIs" dxfId="361" priority="8" operator="lessThan">
      <formula>0</formula>
    </cfRule>
  </conditionalFormatting>
  <conditionalFormatting sqref="J94">
    <cfRule type="cellIs" dxfId="360" priority="5" operator="lessThan">
      <formula>0</formula>
    </cfRule>
    <cfRule type="cellIs" dxfId="359" priority="6" operator="greaterThan">
      <formula>0</formula>
    </cfRule>
  </conditionalFormatting>
  <conditionalFormatting sqref="N3:T3">
    <cfRule type="cellIs" dxfId="358" priority="4" operator="greaterThan">
      <formula>433</formula>
    </cfRule>
  </conditionalFormatting>
  <conditionalFormatting sqref="N4:T4">
    <cfRule type="cellIs" dxfId="357" priority="1" operator="lessThan">
      <formula>260</formula>
    </cfRule>
    <cfRule type="cellIs" dxfId="356" priority="2" operator="greaterThan">
      <formula>260</formula>
    </cfRule>
    <cfRule type="cellIs" dxfId="355" priority="3" operator="greaterThan">
      <formula>260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600-0000A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11-19)'!N78:N78</xm:f>
              <xm:sqref>N79</xm:sqref>
            </x14:sparkline>
            <x14:sparkline>
              <xm:f>'RAWABI INCOME 11-19)'!O78:O78</xm:f>
              <xm:sqref>O79</xm:sqref>
            </x14:sparkline>
            <x14:sparkline>
              <xm:f>'RAWABI INCOME 11-19)'!P78:P78</xm:f>
              <xm:sqref>P79</xm:sqref>
            </x14:sparkline>
            <x14:sparkline>
              <xm:f>'RAWABI INCOME 11-19)'!Q78:Q78</xm:f>
              <xm:sqref>Q79</xm:sqref>
            </x14:sparkline>
            <x14:sparkline>
              <xm:f>'RAWABI INCOME 11-19)'!R78:R78</xm:f>
              <xm:sqref>R79</xm:sqref>
            </x14:sparkline>
            <x14:sparkline>
              <xm:f>'RAWABI INCOME 11-19)'!S78:S78</xm:f>
              <xm:sqref>S79</xm:sqref>
            </x14:sparkline>
            <x14:sparkline>
              <xm:f>'RAWABI INCOME 11-19)'!T78:T78</xm:f>
              <xm:sqref>T79</xm:sqref>
            </x14:sparkline>
            <x14:sparkline>
              <xm:f>'RAWABI INCOME 11-19)'!V78:V78</xm:f>
              <xm:sqref>V79</xm:sqref>
            </x14:sparkline>
            <x14:sparkline>
              <xm:f>'RAWABI INCOME 11-19)'!W78:W78</xm:f>
              <xm:sqref>W79</xm:sqref>
            </x14:sparkline>
            <x14:sparkline>
              <xm:f>'RAWABI INCOME 11-19)'!X78:X78</xm:f>
              <xm:sqref>X79</xm:sqref>
            </x14:sparkline>
            <x14:sparkline>
              <xm:f>'RAWABI INCOME 11-19)'!Y78:Y78</xm:f>
              <xm:sqref>Y79</xm:sqref>
            </x14:sparkline>
            <x14:sparkline>
              <xm:f>'RAWABI INCOME 11-19)'!Z78:Z78</xm:f>
              <xm:sqref>Z79</xm:sqref>
            </x14:sparkline>
            <x14:sparkline>
              <xm:f>'RAWABI INCOME 11-19)'!AA78:AA78</xm:f>
              <xm:sqref>AA79</xm:sqref>
            </x14:sparkline>
            <x14:sparkline>
              <xm:f>'RAWABI INCOME 11-19)'!AB78:AB78</xm:f>
              <xm:sqref>AB79</xm:sqref>
            </x14:sparkline>
            <x14:sparkline>
              <xm:f>'RAWABI INCOME 11-19)'!AC78:AC78</xm:f>
              <xm:sqref>AC79</xm:sqref>
            </x14:sparkline>
            <x14:sparkline>
              <xm:f>'RAWABI INCOME 11-19)'!AD78:AD78</xm:f>
              <xm:sqref>AD79</xm:sqref>
            </x14:sparkline>
            <x14:sparkline>
              <xm:f>'RAWABI INCOME 11-19)'!AE78:AE78</xm:f>
              <xm:sqref>AE79</xm:sqref>
            </x14:sparkline>
            <x14:sparkline>
              <xm:f>'RAWABI INCOME 11-19)'!AF78:AF78</xm:f>
              <xm:sqref>AF79</xm:sqref>
            </x14:sparkline>
            <x14:sparkline>
              <xm:f>'RAWABI INCOME 11-19)'!AG78:AG78</xm:f>
              <xm:sqref>AG79</xm:sqref>
            </x14:sparkline>
            <x14:sparkline>
              <xm:f>'RAWABI INCOME 11-19)'!AH78:AH78</xm:f>
              <xm:sqref>AH79</xm:sqref>
            </x14:sparkline>
            <x14:sparkline>
              <xm:f>'RAWABI INCOME 11-19)'!AI78:AI78</xm:f>
              <xm:sqref>AI79</xm:sqref>
            </x14:sparkline>
            <x14:sparkline>
              <xm:f>'RAWABI INCOME 11-19)'!AJ78:AJ78</xm:f>
              <xm:sqref>AJ79</xm:sqref>
            </x14:sparkline>
            <x14:sparkline>
              <xm:f>'RAWABI INCOME 11-19)'!AK78:AK78</xm:f>
              <xm:sqref>AK79</xm:sqref>
            </x14:sparkline>
            <x14:sparkline>
              <xm:f>'RAWABI INCOME 11-19)'!AL78:AL78</xm:f>
              <xm:sqref>AL79</xm:sqref>
            </x14:sparkline>
            <x14:sparkline>
              <xm:f>'RAWABI INCOME 11-19)'!AM78:AM78</xm:f>
              <xm:sqref>AM79</xm:sqref>
            </x14:sparkline>
            <x14:sparkline>
              <xm:f>'RAWABI INCOME 11-19)'!AN78:AN78</xm:f>
              <xm:sqref>AN79</xm:sqref>
            </x14:sparkline>
            <x14:sparkline>
              <xm:f>'RAWABI INCOME 11-19)'!AO78:AO78</xm:f>
              <xm:sqref>AO79</xm:sqref>
            </x14:sparkline>
            <x14:sparkline>
              <xm:f>'RAWABI INCOME 11-19)'!AP78:AP78</xm:f>
              <xm:sqref>AP79</xm:sqref>
            </x14:sparkline>
            <x14:sparkline>
              <xm:f>'RAWABI INCOME 11-19)'!AQ78:AQ78</xm:f>
              <xm:sqref>AQ79</xm:sqref>
            </x14:sparkline>
            <x14:sparkline>
              <xm:f>'RAWABI INCOME 11-19)'!AR78:AR78</xm:f>
              <xm:sqref>AR79</xm:sqref>
            </x14:sparkline>
            <x14:sparkline>
              <xm:f>'RAWABI INCOME 11-19)'!AS78:AS78</xm:f>
              <xm:sqref>AS79</xm:sqref>
            </x14:sparkline>
            <x14:sparkline>
              <xm:f>'RAWABI INCOME 11-19)'!AT78:AT78</xm:f>
              <xm:sqref>AT79</xm:sqref>
            </x14:sparkline>
            <x14:sparkline>
              <xm:f>'RAWABI INCOME 11-19)'!AU78:AU78</xm:f>
              <xm:sqref>AU79</xm:sqref>
            </x14:sparkline>
            <x14:sparkline>
              <xm:f>'RAWABI INCOME 11-19)'!AV78:AV78</xm:f>
              <xm:sqref>AV79</xm:sqref>
            </x14:sparkline>
            <x14:sparkline>
              <xm:f>'RAWABI INCOME 11-19)'!AW78:AW78</xm:f>
              <xm:sqref>AW79</xm:sqref>
            </x14:sparkline>
            <x14:sparkline>
              <xm:f>'RAWABI INCOME 11-19)'!AX78:AX78</xm:f>
              <xm:sqref>AX79</xm:sqref>
            </x14:sparkline>
            <x14:sparkline>
              <xm:f>'RAWABI INCOME 11-19)'!AY78:AY78</xm:f>
              <xm:sqref>AY79</xm:sqref>
            </x14:sparkline>
            <x14:sparkline>
              <xm:f>'RAWABI INCOME 11-19)'!AZ78:AZ78</xm:f>
              <xm:sqref>AZ79</xm:sqref>
            </x14:sparkline>
            <x14:sparkline>
              <xm:f>'RAWABI INCOME 11-19)'!BA78:BA78</xm:f>
              <xm:sqref>BA79</xm:sqref>
            </x14:sparkline>
            <x14:sparkline>
              <xm:f>'RAWABI INCOME 11-19)'!BB78:BB78</xm:f>
              <xm:sqref>BB79</xm:sqref>
            </x14:sparkline>
            <x14:sparkline>
              <xm:f>'RAWABI INCOME 11-19)'!BC78:BC78</xm:f>
              <xm:sqref>BC79</xm:sqref>
            </x14:sparkline>
            <x14:sparkline>
              <xm:f>'RAWABI INCOME 11-19)'!BD78:BD78</xm:f>
              <xm:sqref>BD79</xm:sqref>
            </x14:sparkline>
            <x14:sparkline>
              <xm:f>'RAWABI INCOME 11-19)'!BE78:BE78</xm:f>
              <xm:sqref>BE79</xm:sqref>
            </x14:sparkline>
            <x14:sparkline>
              <xm:f>'RAWABI INCOME 11-19)'!BF78:BF78</xm:f>
              <xm:sqref>BF79</xm:sqref>
            </x14:sparkline>
            <x14:sparkline>
              <xm:f>'RAWABI INCOME 11-19)'!BG78:BG78</xm:f>
              <xm:sqref>BG79</xm:sqref>
            </x14:sparkline>
            <x14:sparkline>
              <xm:f>'RAWABI INCOME 11-19)'!BH78:BH78</xm:f>
              <xm:sqref>BH79</xm:sqref>
            </x14:sparkline>
            <x14:sparkline>
              <xm:f>'RAWABI INCOME 11-19)'!BI78:BI78</xm:f>
              <xm:sqref>BI79</xm:sqref>
            </x14:sparkline>
            <x14:sparkline>
              <xm:f>'RAWABI INCOME 11-19)'!BJ78:BJ78</xm:f>
              <xm:sqref>BJ79</xm:sqref>
            </x14:sparkline>
            <x14:sparkline>
              <xm:f>'RAWABI INCOME 11-19)'!BK78:BK78</xm:f>
              <xm:sqref>BK79</xm:sqref>
            </x14:sparkline>
            <x14:sparkline>
              <xm:f>'RAWABI INCOME 11-19)'!BL78:BL78</xm:f>
              <xm:sqref>BL79</xm:sqref>
            </x14:sparkline>
            <x14:sparkline>
              <xm:f>'RAWABI INCOME 11-19)'!BM78:BM78</xm:f>
              <xm:sqref>BM79</xm:sqref>
            </x14:sparkline>
            <x14:sparkline>
              <xm:f>'RAWABI INCOME 11-19)'!BN78:BN78</xm:f>
              <xm:sqref>BN79</xm:sqref>
            </x14:sparkline>
            <x14:sparkline>
              <xm:f>'RAWABI INCOME 11-19)'!BO78:BO78</xm:f>
              <xm:sqref>BO79</xm:sqref>
            </x14:sparkline>
            <x14:sparkline>
              <xm:f>'RAWABI INCOME 11-19)'!BQ78:BQ78</xm:f>
              <xm:sqref>BQ79</xm:sqref>
            </x14:sparkline>
          </x14:sparklines>
        </x14:sparklineGroup>
        <x14:sparklineGroup type="stacked" displayEmptyCellsAs="gap" negative="1" xr2:uid="{00000000-0003-0000-1600-0000A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11-19)'!BP44:BP44</xm:f>
              <xm:sqref>BP45</xm:sqref>
            </x14:sparkline>
          </x14:sparklines>
        </x14:sparklineGroup>
        <x14:sparklineGroup type="stacked" displayEmptyCellsAs="gap" negative="1" xr2:uid="{00000000-0003-0000-1600-0000A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11-19)'!BQ85:BQ85</xm:f>
              <xm:sqref>BR85</xm:sqref>
            </x14:sparkline>
          </x14:sparklines>
        </x14:sparklineGroup>
        <x14:sparklineGroup type="stacked" displayEmptyCellsAs="gap" negative="1" xr2:uid="{00000000-0003-0000-1600-0000A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11-19)'!U73:U73</xm:f>
              <xm:sqref>U74</xm:sqref>
            </x14:sparkline>
          </x14:sparklines>
        </x14:sparklineGroup>
        <x14:sparklineGroup type="stacked" displayEmptyCellsAs="gap" negative="1" xr2:uid="{00000000-0003-0000-1600-0000A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11-19)'!BQ83:BQ83</xm:f>
              <xm:sqref>BR83</xm:sqref>
            </x14:sparkline>
          </x14:sparklines>
        </x14:sparklineGroup>
        <x14:sparklineGroup type="stacked" displayEmptyCellsAs="gap" negative="1" xr2:uid="{00000000-0003-0000-1600-0000A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11-19)'!BP78:BP78</xm:f>
              <xm:sqref>BP79</xm:sqref>
            </x14:sparkline>
          </x14:sparklines>
        </x14:sparklineGroup>
        <x14:sparklineGroup type="stacked" displayEmptyCellsAs="gap" negative="1" xr2:uid="{00000000-0003-0000-1600-00009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11-19)'!N44:N44</xm:f>
              <xm:sqref>N45</xm:sqref>
            </x14:sparkline>
            <x14:sparkline>
              <xm:f>'RAWABI INCOME 11-19)'!O44:O44</xm:f>
              <xm:sqref>O45</xm:sqref>
            </x14:sparkline>
            <x14:sparkline>
              <xm:f>'RAWABI INCOME 11-19)'!P44:P44</xm:f>
              <xm:sqref>P45</xm:sqref>
            </x14:sparkline>
            <x14:sparkline>
              <xm:f>'RAWABI INCOME 11-19)'!Q44:Q44</xm:f>
              <xm:sqref>Q45</xm:sqref>
            </x14:sparkline>
            <x14:sparkline>
              <xm:f>'RAWABI INCOME 11-19)'!R44:R44</xm:f>
              <xm:sqref>R45</xm:sqref>
            </x14:sparkline>
            <x14:sparkline>
              <xm:f>'RAWABI INCOME 11-19)'!S44:S44</xm:f>
              <xm:sqref>S45</xm:sqref>
            </x14:sparkline>
            <x14:sparkline>
              <xm:f>'RAWABI INCOME 11-19)'!T44:T44</xm:f>
              <xm:sqref>T45</xm:sqref>
            </x14:sparkline>
          </x14:sparklines>
        </x14:sparklineGroup>
        <x14:sparklineGroup type="stacked" displayEmptyCellsAs="gap" negative="1" xr2:uid="{00000000-0003-0000-1600-00009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11-19)'!U44:U44</xm:f>
              <xm:sqref>U45</xm:sqref>
            </x14:sparkline>
          </x14:sparklines>
        </x14:sparklineGroup>
        <x14:sparklineGroup type="stacked" displayEmptyCellsAs="gap" negative="1" xr2:uid="{00000000-0003-0000-1600-00009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11-19)'!BQ80:BQ80</xm:f>
              <xm:sqref>BR80</xm:sqref>
            </x14:sparkline>
            <x14:sparkline>
              <xm:f>'RAWABI INCOME 11-19)'!BQ82:BQ82</xm:f>
              <xm:sqref>BR82</xm:sqref>
            </x14:sparkline>
          </x14:sparklines>
        </x14:sparklineGroup>
        <x14:sparklineGroup type="stacked" displayEmptyCellsAs="gap" negative="1" xr2:uid="{00000000-0003-0000-1600-00009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11-19)'!BP73:BP73</xm:f>
              <xm:sqref>BP74</xm:sqref>
            </x14:sparkline>
          </x14:sparklines>
        </x14:sparklineGroup>
        <x14:sparklineGroup type="stacked" displayEmptyCellsAs="gap" negative="1" xr2:uid="{00000000-0003-0000-1600-00009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11-19)'!Y44:Y44</xm:f>
              <xm:sqref>Y45</xm:sqref>
            </x14:sparkline>
            <x14:sparkline>
              <xm:f>'RAWABI INCOME 11-19)'!AG44:AG44</xm:f>
              <xm:sqref>AG45</xm:sqref>
            </x14:sparkline>
            <x14:sparkline>
              <xm:f>'RAWABI INCOME 11-19)'!AI44:AI44</xm:f>
              <xm:sqref>AI45</xm:sqref>
            </x14:sparkline>
            <x14:sparkline>
              <xm:f>'RAWABI INCOME 11-19)'!AJ44:AJ44</xm:f>
              <xm:sqref>AJ45</xm:sqref>
            </x14:sparkline>
            <x14:sparkline>
              <xm:f>'RAWABI INCOME 11-19)'!AK44:AK44</xm:f>
              <xm:sqref>AK45</xm:sqref>
            </x14:sparkline>
            <x14:sparkline>
              <xm:f>'RAWABI INCOME 11-19)'!AL44:AL44</xm:f>
              <xm:sqref>AL45</xm:sqref>
            </x14:sparkline>
            <x14:sparkline>
              <xm:f>'RAWABI INCOME 11-19)'!AM44:AM44</xm:f>
              <xm:sqref>AM45</xm:sqref>
            </x14:sparkline>
            <x14:sparkline>
              <xm:f>'RAWABI INCOME 11-19)'!AN44:AN44</xm:f>
              <xm:sqref>AN45</xm:sqref>
            </x14:sparkline>
            <x14:sparkline>
              <xm:f>'RAWABI INCOME 11-19)'!AO44:AO44</xm:f>
              <xm:sqref>AO45</xm:sqref>
            </x14:sparkline>
            <x14:sparkline>
              <xm:f>'RAWABI INCOME 11-19)'!AR44:AR44</xm:f>
              <xm:sqref>AR45</xm:sqref>
            </x14:sparkline>
            <x14:sparkline>
              <xm:f>'RAWABI INCOME 11-19)'!AS44:AS44</xm:f>
              <xm:sqref>AS45</xm:sqref>
            </x14:sparkline>
            <x14:sparkline>
              <xm:f>'RAWABI INCOME 11-19)'!AT44:AT44</xm:f>
              <xm:sqref>AT45</xm:sqref>
            </x14:sparkline>
            <x14:sparkline>
              <xm:f>'RAWABI INCOME 11-19)'!AU44:AU44</xm:f>
              <xm:sqref>AU45</xm:sqref>
            </x14:sparkline>
            <x14:sparkline>
              <xm:f>'RAWABI INCOME 11-19)'!AV44:AV44</xm:f>
              <xm:sqref>AV45</xm:sqref>
            </x14:sparkline>
            <x14:sparkline>
              <xm:f>'RAWABI INCOME 11-19)'!AW44:AW44</xm:f>
              <xm:sqref>AW45</xm:sqref>
            </x14:sparkline>
            <x14:sparkline>
              <xm:f>'RAWABI INCOME 11-19)'!AX44:AX44</xm:f>
              <xm:sqref>AX45</xm:sqref>
            </x14:sparkline>
            <x14:sparkline>
              <xm:f>'RAWABI INCOME 11-19)'!BD44:BD44</xm:f>
              <xm:sqref>BD45</xm:sqref>
            </x14:sparkline>
            <x14:sparkline>
              <xm:f>'RAWABI INCOME 11-19)'!BE44:BE44</xm:f>
              <xm:sqref>BE45</xm:sqref>
            </x14:sparkline>
            <x14:sparkline>
              <xm:f>'RAWABI INCOME 11-19)'!BF44:BF44</xm:f>
              <xm:sqref>BF45</xm:sqref>
            </x14:sparkline>
            <x14:sparkline>
              <xm:f>'RAWABI INCOME 11-19)'!BG44:BG44</xm:f>
              <xm:sqref>BG45</xm:sqref>
            </x14:sparkline>
            <x14:sparkline>
              <xm:f>'RAWABI INCOME 11-19)'!BH44:BH44</xm:f>
              <xm:sqref>BH45</xm:sqref>
            </x14:sparkline>
            <x14:sparkline>
              <xm:f>'RAWABI INCOME 11-19)'!BI44:BI44</xm:f>
              <xm:sqref>BI45</xm:sqref>
            </x14:sparkline>
            <x14:sparkline>
              <xm:f>'RAWABI INCOME 11-19)'!BJ44:BJ44</xm:f>
              <xm:sqref>BJ45</xm:sqref>
            </x14:sparkline>
            <x14:sparkline>
              <xm:f>'RAWABI INCOME 11-19)'!BK44:BK44</xm:f>
              <xm:sqref>BK45</xm:sqref>
            </x14:sparkline>
            <x14:sparkline>
              <xm:f>'RAWABI INCOME 11-19)'!BL44:BL44</xm:f>
              <xm:sqref>BL45</xm:sqref>
            </x14:sparkline>
            <x14:sparkline>
              <xm:f>'RAWABI INCOME 11-19)'!BM44:BM44</xm:f>
              <xm:sqref>BM45</xm:sqref>
            </x14:sparkline>
            <x14:sparkline>
              <xm:f>'RAWABI INCOME 11-19)'!BN44:BN44</xm:f>
              <xm:sqref>BN45</xm:sqref>
            </x14:sparkline>
            <x14:sparkline>
              <xm:f>'RAWABI INCOME 11-19)'!BO44:BO44</xm:f>
              <xm:sqref>BO45</xm:sqref>
            </x14:sparkline>
            <x14:sparkline>
              <xm:f>'RAWABI INCOME 11-19)'!AY44:AY44</xm:f>
              <xm:sqref>AY45</xm:sqref>
            </x14:sparkline>
            <x14:sparkline>
              <xm:f>'RAWABI INCOME 11-19)'!AP44:AP44</xm:f>
              <xm:sqref>AP45</xm:sqref>
            </x14:sparkline>
            <x14:sparkline>
              <xm:f>'RAWABI INCOME 11-19)'!AQ44:AQ44</xm:f>
              <xm:sqref>AQ45</xm:sqref>
            </x14:sparkline>
            <x14:sparkline>
              <xm:f>'RAWABI INCOME 11-19)'!AZ44:AZ44</xm:f>
              <xm:sqref>AZ45</xm:sqref>
            </x14:sparkline>
            <x14:sparkline>
              <xm:f>'RAWABI INCOME 11-19)'!BA44:BA44</xm:f>
              <xm:sqref>BA45</xm:sqref>
            </x14:sparkline>
            <x14:sparkline>
              <xm:f>'RAWABI INCOME 11-19)'!BB44:BB44</xm:f>
              <xm:sqref>BB45</xm:sqref>
            </x14:sparkline>
            <x14:sparkline>
              <xm:f>'RAWABI INCOME 11-19)'!BC44:BC44</xm:f>
              <xm:sqref>BC45</xm:sqref>
            </x14:sparkline>
          </x14:sparklines>
        </x14:sparklineGroup>
        <x14:sparklineGroup type="stacked" displayEmptyCellsAs="gap" negative="1" xr2:uid="{00000000-0003-0000-1600-00009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11-19)'!U78:U78</xm:f>
              <xm:sqref>U79</xm:sqref>
            </x14:sparkline>
          </x14:sparklines>
        </x14:sparklineGroup>
        <x14:sparklineGroup type="stacked" displayEmptyCellsAs="gap" negative="1" xr2:uid="{00000000-0003-0000-1600-00009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11-19)'!Z44:Z44</xm:f>
              <xm:sqref>Z45</xm:sqref>
            </x14:sparkline>
            <x14:sparkline>
              <xm:f>'RAWABI INCOME 11-19)'!AA44:AA44</xm:f>
              <xm:sqref>AA45</xm:sqref>
            </x14:sparkline>
            <x14:sparkline>
              <xm:f>'RAWABI INCOME 11-19)'!AB44:AB44</xm:f>
              <xm:sqref>AB45</xm:sqref>
            </x14:sparkline>
            <x14:sparkline>
              <xm:f>'RAWABI INCOME 11-19)'!AC44:AC44</xm:f>
              <xm:sqref>AC45</xm:sqref>
            </x14:sparkline>
            <x14:sparkline>
              <xm:f>'RAWABI INCOME 11-19)'!AD44:AD44</xm:f>
              <xm:sqref>AD45</xm:sqref>
            </x14:sparkline>
            <x14:sparkline>
              <xm:f>'RAWABI INCOME 11-19)'!AE44:AE44</xm:f>
              <xm:sqref>AE45</xm:sqref>
            </x14:sparkline>
            <x14:sparkline>
              <xm:f>'RAWABI INCOME 11-19)'!AF44:AF44</xm:f>
              <xm:sqref>AF45</xm:sqref>
            </x14:sparkline>
          </x14:sparklines>
        </x14:sparklineGroup>
        <x14:sparklineGroup type="stacked" displayEmptyCellsAs="gap" negative="1" xr2:uid="{00000000-0003-0000-1600-00009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11-19)'!BQ44:BQ44</xm:f>
              <xm:sqref>BQ45</xm:sqref>
            </x14:sparkline>
          </x14:sparklines>
        </x14:sparklineGroup>
        <x14:sparklineGroup type="stacked" displayEmptyCellsAs="gap" negative="1" xr2:uid="{00000000-0003-0000-1600-00009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11-19)'!BQ44:BQ44</xm:f>
              <xm:sqref>BR44</xm:sqref>
            </x14:sparkline>
          </x14:sparklines>
        </x14:sparklineGroup>
        <x14:sparklineGroup type="stacked" displayEmptyCellsAs="gap" negative="1" xr2:uid="{00000000-0003-0000-1600-00009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11-19)'!N73:N73</xm:f>
              <xm:sqref>N74</xm:sqref>
            </x14:sparkline>
            <x14:sparkline>
              <xm:f>'RAWABI INCOME 11-19)'!V73:V73</xm:f>
              <xm:sqref>V74</xm:sqref>
            </x14:sparkline>
            <x14:sparkline>
              <xm:f>'RAWABI INCOME 11-19)'!W73:W73</xm:f>
              <xm:sqref>W74</xm:sqref>
            </x14:sparkline>
            <x14:sparkline>
              <xm:f>'RAWABI INCOME 11-19)'!X73:X73</xm:f>
              <xm:sqref>X74</xm:sqref>
            </x14:sparkline>
            <x14:sparkline>
              <xm:f>'RAWABI INCOME 11-19)'!Y73:Y73</xm:f>
              <xm:sqref>Y74</xm:sqref>
            </x14:sparkline>
            <x14:sparkline>
              <xm:f>'RAWABI INCOME 11-19)'!Z73:Z73</xm:f>
              <xm:sqref>Z74</xm:sqref>
            </x14:sparkline>
            <x14:sparkline>
              <xm:f>'RAWABI INCOME 11-19)'!AG73:AG73</xm:f>
              <xm:sqref>AG74</xm:sqref>
            </x14:sparkline>
            <x14:sparkline>
              <xm:f>'RAWABI INCOME 11-19)'!AH73:AH73</xm:f>
              <xm:sqref>AH74</xm:sqref>
            </x14:sparkline>
            <x14:sparkline>
              <xm:f>'RAWABI INCOME 11-19)'!AI73:AI73</xm:f>
              <xm:sqref>AI74</xm:sqref>
            </x14:sparkline>
            <x14:sparkline>
              <xm:f>'RAWABI INCOME 11-19)'!AJ73:AJ73</xm:f>
              <xm:sqref>AJ74</xm:sqref>
            </x14:sparkline>
            <x14:sparkline>
              <xm:f>'RAWABI INCOME 11-19)'!AK73:AK73</xm:f>
              <xm:sqref>AK74</xm:sqref>
            </x14:sparkline>
            <x14:sparkline>
              <xm:f>'RAWABI INCOME 11-19)'!AL73:AL73</xm:f>
              <xm:sqref>AL74</xm:sqref>
            </x14:sparkline>
            <x14:sparkline>
              <xm:f>'RAWABI INCOME 11-19)'!AS73:AS73</xm:f>
              <xm:sqref>AS74</xm:sqref>
            </x14:sparkline>
            <x14:sparkline>
              <xm:f>'RAWABI INCOME 11-19)'!AT73:AT73</xm:f>
              <xm:sqref>AT74</xm:sqref>
            </x14:sparkline>
            <x14:sparkline>
              <xm:f>'RAWABI INCOME 11-19)'!AU73:AU73</xm:f>
              <xm:sqref>AU74</xm:sqref>
            </x14:sparkline>
            <x14:sparkline>
              <xm:f>'RAWABI INCOME 11-19)'!AV73:AV73</xm:f>
              <xm:sqref>AV74</xm:sqref>
            </x14:sparkline>
            <x14:sparkline>
              <xm:f>'RAWABI INCOME 11-19)'!AW73:AW73</xm:f>
              <xm:sqref>AW74</xm:sqref>
            </x14:sparkline>
            <x14:sparkline>
              <xm:f>'RAWABI INCOME 11-19)'!AX73:AX73</xm:f>
              <xm:sqref>AX74</xm:sqref>
            </x14:sparkline>
            <x14:sparkline>
              <xm:f>'RAWABI INCOME 11-19)'!BE73:BE73</xm:f>
              <xm:sqref>BE74</xm:sqref>
            </x14:sparkline>
            <x14:sparkline>
              <xm:f>'RAWABI INCOME 11-19)'!BF73:BF73</xm:f>
              <xm:sqref>BF74</xm:sqref>
            </x14:sparkline>
            <x14:sparkline>
              <xm:f>'RAWABI INCOME 11-19)'!BG73:BG73</xm:f>
              <xm:sqref>BG74</xm:sqref>
            </x14:sparkline>
            <x14:sparkline>
              <xm:f>'RAWABI INCOME 11-19)'!BH73:BH73</xm:f>
              <xm:sqref>BH74</xm:sqref>
            </x14:sparkline>
            <x14:sparkline>
              <xm:f>'RAWABI INCOME 11-19)'!BI73:BI73</xm:f>
              <xm:sqref>BI74</xm:sqref>
            </x14:sparkline>
            <x14:sparkline>
              <xm:f>'RAWABI INCOME 11-19)'!BJ73:BJ73</xm:f>
              <xm:sqref>BJ74</xm:sqref>
            </x14:sparkline>
            <x14:sparkline>
              <xm:f>'RAWABI INCOME 11-19)'!BK73:BK73</xm:f>
              <xm:sqref>BK74</xm:sqref>
            </x14:sparkline>
            <x14:sparkline>
              <xm:f>'RAWABI INCOME 11-19)'!BL73:BL73</xm:f>
              <xm:sqref>BL74</xm:sqref>
            </x14:sparkline>
            <x14:sparkline>
              <xm:f>'RAWABI INCOME 11-19)'!BM73:BM73</xm:f>
              <xm:sqref>BM74</xm:sqref>
            </x14:sparkline>
            <x14:sparkline>
              <xm:f>'RAWABI INCOME 11-19)'!BN73:BN73</xm:f>
              <xm:sqref>BN74</xm:sqref>
            </x14:sparkline>
            <x14:sparkline>
              <xm:f>'RAWABI INCOME 11-19)'!BO73:BO73</xm:f>
              <xm:sqref>BO74</xm:sqref>
            </x14:sparkline>
            <x14:sparkline>
              <xm:f>'RAWABI INCOME 11-19)'!BQ73:BQ73</xm:f>
              <xm:sqref>BQ74</xm:sqref>
            </x14:sparkline>
            <x14:sparkline>
              <xm:f>'RAWABI INCOME 11-19)'!AR73:AR73</xm:f>
              <xm:sqref>AR74</xm:sqref>
            </x14:sparkline>
            <x14:sparkline>
              <xm:f>'RAWABI INCOME 11-19)'!BD73:BD73</xm:f>
              <xm:sqref>BD74</xm:sqref>
            </x14:sparkline>
            <x14:sparkline>
              <xm:f>'RAWABI INCOME 11-19)'!T73:T73</xm:f>
              <xm:sqref>T74</xm:sqref>
            </x14:sparkline>
            <x14:sparkline>
              <xm:f>'RAWABI INCOME 11-19)'!AY73:AY73</xm:f>
              <xm:sqref>AY74</xm:sqref>
            </x14:sparkline>
            <x14:sparkline>
              <xm:f>'RAWABI INCOME 11-19)'!O73:O73</xm:f>
              <xm:sqref>O74</xm:sqref>
            </x14:sparkline>
            <x14:sparkline>
              <xm:f>'RAWABI INCOME 11-19)'!AA73:AA73</xm:f>
              <xm:sqref>AA74</xm:sqref>
            </x14:sparkline>
            <x14:sparkline>
              <xm:f>'RAWABI INCOME 11-19)'!AF73:AF73</xm:f>
              <xm:sqref>AF74</xm:sqref>
            </x14:sparkline>
            <x14:sparkline>
              <xm:f>'RAWABI INCOME 11-19)'!AM73:AM73</xm:f>
              <xm:sqref>AM74</xm:sqref>
            </x14:sparkline>
            <x14:sparkline>
              <xm:f>'RAWABI INCOME 11-19)'!AN73:AN73</xm:f>
              <xm:sqref>AN74</xm:sqref>
            </x14:sparkline>
            <x14:sparkline>
              <xm:f>'RAWABI INCOME 11-19)'!AO73:AO73</xm:f>
              <xm:sqref>AO74</xm:sqref>
            </x14:sparkline>
            <x14:sparkline>
              <xm:f>'RAWABI INCOME 11-19)'!AP73:AP73</xm:f>
              <xm:sqref>AP74</xm:sqref>
            </x14:sparkline>
            <x14:sparkline>
              <xm:f>'RAWABI INCOME 11-19)'!AQ73:AQ73</xm:f>
              <xm:sqref>AQ74</xm:sqref>
            </x14:sparkline>
            <x14:sparkline>
              <xm:f>'RAWABI INCOME 11-19)'!AZ73:AZ73</xm:f>
              <xm:sqref>AZ74</xm:sqref>
            </x14:sparkline>
            <x14:sparkline>
              <xm:f>'RAWABI INCOME 11-19)'!BA73:BA73</xm:f>
              <xm:sqref>BA74</xm:sqref>
            </x14:sparkline>
            <x14:sparkline>
              <xm:f>'RAWABI INCOME 11-19)'!BB73:BB73</xm:f>
              <xm:sqref>BB74</xm:sqref>
            </x14:sparkline>
            <x14:sparkline>
              <xm:f>'RAWABI INCOME 11-19)'!BC73:BC73</xm:f>
              <xm:sqref>BC74</xm:sqref>
            </x14:sparkline>
            <x14:sparkline>
              <xm:f>'RAWABI INCOME 11-19)'!P73:P73</xm:f>
              <xm:sqref>P74</xm:sqref>
            </x14:sparkline>
            <x14:sparkline>
              <xm:f>'RAWABI INCOME 11-19)'!Q73:Q73</xm:f>
              <xm:sqref>Q74</xm:sqref>
            </x14:sparkline>
            <x14:sparkline>
              <xm:f>'RAWABI INCOME 11-19)'!R73:R73</xm:f>
              <xm:sqref>R74</xm:sqref>
            </x14:sparkline>
            <x14:sparkline>
              <xm:f>'RAWABI INCOME 11-19)'!S73:S73</xm:f>
              <xm:sqref>S74</xm:sqref>
            </x14:sparkline>
            <x14:sparkline>
              <xm:f>'RAWABI INCOME 11-19)'!AB73:AB73</xm:f>
              <xm:sqref>AB74</xm:sqref>
            </x14:sparkline>
            <x14:sparkline>
              <xm:f>'RAWABI INCOME 11-19)'!AC73:AC73</xm:f>
              <xm:sqref>AC74</xm:sqref>
            </x14:sparkline>
            <x14:sparkline>
              <xm:f>'RAWABI INCOME 11-19)'!AD73:AD73</xm:f>
              <xm:sqref>AD74</xm:sqref>
            </x14:sparkline>
            <x14:sparkline>
              <xm:f>'RAWABI INCOME 11-19)'!AE73:AE73</xm:f>
              <xm:sqref>AE74</xm:sqref>
            </x14:sparkline>
          </x14:sparklines>
        </x14:sparklineGroup>
        <x14:sparklineGroup type="stacked" displayEmptyCellsAs="gap" negative="1" xr2:uid="{00000000-0003-0000-1600-00009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11-19)'!V44:V44</xm:f>
              <xm:sqref>V45</xm:sqref>
            </x14:sparkline>
            <x14:sparkline>
              <xm:f>'RAWABI INCOME 11-19)'!W44:W44</xm:f>
              <xm:sqref>W45</xm:sqref>
            </x14:sparkline>
            <x14:sparkline>
              <xm:f>'RAWABI INCOME 11-19)'!X44:X44</xm:f>
              <xm:sqref>X45</xm:sqref>
            </x14:sparkline>
          </x14:sparklines>
        </x14:sparklineGroup>
        <x14:sparklineGroup type="stacked" displayEmptyCellsAs="gap" negative="1" xr2:uid="{00000000-0003-0000-1600-00009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11-19)'!AH44:AH44</xm:f>
              <xm:sqref>AH45</xm:sqref>
            </x14:sparkline>
          </x14:sparklines>
        </x14:sparklineGroup>
        <x14:sparklineGroup type="stacked" displayEmptyCellsAs="gap" negative="1" xr2:uid="{00000000-0003-0000-1600-00009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11-19)'!BQ84:BQ84</xm:f>
              <xm:sqref>BR84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FQ123"/>
  <sheetViews>
    <sheetView zoomScale="80" zoomScaleNormal="80" zoomScaleSheetLayoutView="80" workbookViewId="0">
      <pane xSplit="12" ySplit="14" topLeftCell="M15" activePane="bottomRight" state="frozen"/>
      <selection activeCell="C40" sqref="C40"/>
      <selection pane="topRight" activeCell="C40" sqref="C40"/>
      <selection pane="bottomLeft" activeCell="C40" sqref="C40"/>
      <selection pane="bottomRight" activeCell="C40" sqref="C40"/>
    </sheetView>
  </sheetViews>
  <sheetFormatPr defaultColWidth="9.125" defaultRowHeight="16.5" x14ac:dyDescent="0.2"/>
  <cols>
    <col min="1" max="1" width="1.75" style="1719" customWidth="1"/>
    <col min="2" max="2" width="4.75" style="1719" customWidth="1"/>
    <col min="3" max="3" width="59.75" style="1719" bestFit="1" customWidth="1"/>
    <col min="4" max="4" width="0.875" style="1923" customWidth="1"/>
    <col min="5" max="5" width="13.75" style="1719" bestFit="1" customWidth="1"/>
    <col min="6" max="9" width="10.875" style="1719" hidden="1" customWidth="1"/>
    <col min="10" max="10" width="12.875" style="1719" bestFit="1" customWidth="1"/>
    <col min="11" max="11" width="12" style="1719" bestFit="1" customWidth="1"/>
    <col min="12" max="12" width="0.875" style="1719" customWidth="1"/>
    <col min="13" max="13" width="0.875" style="1923" customWidth="1"/>
    <col min="14" max="14" width="9.375" style="1719" customWidth="1"/>
    <col min="15" max="20" width="8.875" style="1719" customWidth="1"/>
    <col min="21" max="21" width="0.875" style="1923" customWidth="1"/>
    <col min="22" max="22" width="10.125" style="1719" customWidth="1"/>
    <col min="23" max="23" width="9.25" style="1719" bestFit="1" customWidth="1"/>
    <col min="24" max="24" width="10" style="1719" bestFit="1" customWidth="1"/>
    <col min="25" max="25" width="0.875" style="1923" customWidth="1"/>
    <col min="26" max="26" width="8.875" style="1719" customWidth="1"/>
    <col min="27" max="27" width="8.75" style="1719" customWidth="1"/>
    <col min="28" max="28" width="9.25" style="1719" customWidth="1"/>
    <col min="29" max="30" width="8.875" style="1719" customWidth="1"/>
    <col min="31" max="32" width="9.25" style="1719" customWidth="1"/>
    <col min="33" max="33" width="0.875" style="1923" customWidth="1"/>
    <col min="34" max="34" width="10.125" style="1719" customWidth="1"/>
    <col min="35" max="36" width="9.375" style="1719" customWidth="1"/>
    <col min="37" max="37" width="0.875" style="1923" customWidth="1"/>
    <col min="38" max="44" width="8.875" style="1719" customWidth="1"/>
    <col min="45" max="45" width="0.875" style="1923" customWidth="1"/>
    <col min="46" max="46" width="10" style="1719" bestFit="1" customWidth="1"/>
    <col min="47" max="47" width="9.25" style="1719" bestFit="1" customWidth="1"/>
    <col min="48" max="48" width="10" style="1719" bestFit="1" customWidth="1"/>
    <col min="49" max="49" width="0.875" style="1923" customWidth="1"/>
    <col min="50" max="50" width="9" style="1719" customWidth="1"/>
    <col min="51" max="55" width="8.875" style="1719" customWidth="1"/>
    <col min="56" max="56" width="9.125" style="1719" customWidth="1"/>
    <col min="57" max="57" width="0.875" style="1923" customWidth="1"/>
    <col min="58" max="58" width="8.875" style="1719" bestFit="1" customWidth="1"/>
    <col min="59" max="59" width="9.625" style="1719" customWidth="1"/>
    <col min="60" max="60" width="8.875" style="1719" bestFit="1" customWidth="1"/>
    <col min="61" max="61" width="0.875" style="1719" customWidth="1"/>
    <col min="62" max="62" width="8.875" style="1719" customWidth="1"/>
    <col min="63" max="63" width="9" style="1719" customWidth="1"/>
    <col min="64" max="64" width="0.875" style="1719" customWidth="1"/>
    <col min="65" max="67" width="8" style="1719" customWidth="1"/>
    <col min="68" max="68" width="0.875" style="1719" customWidth="1"/>
    <col min="69" max="69" width="10" style="1719" bestFit="1" customWidth="1"/>
    <col min="70" max="70" width="11" style="1719" bestFit="1" customWidth="1"/>
    <col min="71" max="71" width="0.875" style="1719" customWidth="1"/>
    <col min="72" max="72" width="10.375" style="1719" bestFit="1" customWidth="1"/>
    <col min="73" max="73" width="10.25" style="1719" bestFit="1" customWidth="1"/>
    <col min="74" max="74" width="0.875" style="1923" customWidth="1"/>
    <col min="75" max="75" width="10.375" style="1719" bestFit="1" customWidth="1"/>
    <col min="76" max="76" width="1.875" style="1719" customWidth="1"/>
    <col min="77" max="78" width="12.25" style="1719" bestFit="1" customWidth="1"/>
    <col min="79" max="79" width="13.125" style="1719" bestFit="1" customWidth="1"/>
    <col min="80" max="80" width="16.25" style="1719" bestFit="1" customWidth="1"/>
    <col min="81" max="81" width="12" style="1719" customWidth="1"/>
    <col min="82" max="82" width="12" style="1719" bestFit="1" customWidth="1"/>
    <col min="83" max="83" width="10.875" style="1719" customWidth="1"/>
    <col min="84" max="84" width="10" style="1719" bestFit="1" customWidth="1"/>
    <col min="85" max="85" width="13" style="1719" bestFit="1" customWidth="1"/>
    <col min="86" max="86" width="12" style="1719" bestFit="1" customWidth="1"/>
    <col min="87" max="87" width="12.125" style="1719" bestFit="1" customWidth="1"/>
    <col min="88" max="88" width="11" style="1719" bestFit="1" customWidth="1"/>
    <col min="89" max="90" width="9.125" style="1719" customWidth="1"/>
    <col min="91" max="16384" width="9.125" style="1719"/>
  </cols>
  <sheetData>
    <row r="1" spans="2:173" s="1726" customFormat="1" ht="18" customHeight="1" x14ac:dyDescent="0.2">
      <c r="C1" s="4558" t="s">
        <v>256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535" t="s">
        <v>145</v>
      </c>
      <c r="BK1" s="4536"/>
      <c r="BM1" s="4541" t="s">
        <v>146</v>
      </c>
      <c r="BN1" s="4542"/>
      <c r="BO1" s="4543"/>
      <c r="BQ1" s="4613" t="s">
        <v>54</v>
      </c>
      <c r="BR1" s="4579" t="s">
        <v>61</v>
      </c>
      <c r="BT1" s="4582">
        <f>BZ20/31</f>
        <v>0.77419354838709675</v>
      </c>
      <c r="BU1" s="4583"/>
      <c r="BV1" s="4583"/>
      <c r="BW1" s="4584"/>
      <c r="BY1" s="2454">
        <f>BT3/BZ20*24</f>
        <v>1000</v>
      </c>
      <c r="BZ1" s="2455">
        <f>BY1*BT5</f>
        <v>240</v>
      </c>
      <c r="CA1" s="2456">
        <f>BZ1-E42</f>
        <v>-2289.9499999999998</v>
      </c>
      <c r="CB1" s="2762">
        <f>CA1/2</f>
        <v>-1144.9749999999999</v>
      </c>
      <c r="CC1" s="4570"/>
      <c r="CD1" s="4566"/>
      <c r="CE1" s="4568"/>
      <c r="CG1" s="4570"/>
      <c r="CH1" s="4566"/>
      <c r="CI1" s="4568"/>
    </row>
    <row r="2" spans="2:173" ht="20.25" customHeight="1" thickBot="1" x14ac:dyDescent="0.25">
      <c r="C2" s="4651"/>
      <c r="D2" s="4562"/>
      <c r="E2" s="4652"/>
      <c r="F2" s="4652"/>
      <c r="G2" s="4652"/>
      <c r="H2" s="4652"/>
      <c r="I2" s="4652"/>
      <c r="J2" s="4652"/>
      <c r="K2" s="4653"/>
      <c r="L2" s="1720"/>
      <c r="M2" s="1721"/>
      <c r="N2" s="4654"/>
      <c r="O2" s="4655"/>
      <c r="P2" s="4655"/>
      <c r="Q2" s="4655"/>
      <c r="R2" s="4655"/>
      <c r="S2" s="4655"/>
      <c r="T2" s="4656"/>
      <c r="U2" s="2258"/>
      <c r="V2" s="4544"/>
      <c r="W2" s="4545"/>
      <c r="X2" s="4546"/>
      <c r="Y2" s="2258"/>
      <c r="Z2" s="4575"/>
      <c r="AA2" s="4576"/>
      <c r="AB2" s="4576"/>
      <c r="AC2" s="4576"/>
      <c r="AD2" s="4576"/>
      <c r="AE2" s="4576"/>
      <c r="AF2" s="4577"/>
      <c r="AG2" s="2258"/>
      <c r="AH2" s="4544"/>
      <c r="AI2" s="4545"/>
      <c r="AJ2" s="4546"/>
      <c r="AK2" s="2258"/>
      <c r="AL2" s="4575"/>
      <c r="AM2" s="4576"/>
      <c r="AN2" s="4576"/>
      <c r="AO2" s="4576"/>
      <c r="AP2" s="4576"/>
      <c r="AQ2" s="4576"/>
      <c r="AR2" s="4577"/>
      <c r="AS2" s="2258"/>
      <c r="AT2" s="4544"/>
      <c r="AU2" s="4545"/>
      <c r="AV2" s="4546"/>
      <c r="AW2" s="2258"/>
      <c r="AX2" s="4575"/>
      <c r="AY2" s="4576"/>
      <c r="AZ2" s="4576"/>
      <c r="BA2" s="4576"/>
      <c r="BB2" s="4576"/>
      <c r="BC2" s="4576"/>
      <c r="BD2" s="4577"/>
      <c r="BE2" s="2258"/>
      <c r="BF2" s="4544"/>
      <c r="BG2" s="4545"/>
      <c r="BH2" s="4546"/>
      <c r="BI2" s="1724"/>
      <c r="BJ2" s="4538"/>
      <c r="BK2" s="4539"/>
      <c r="BL2" s="1724"/>
      <c r="BM2" s="4544"/>
      <c r="BN2" s="4545"/>
      <c r="BO2" s="4546"/>
      <c r="BQ2" s="4614"/>
      <c r="BR2" s="4580"/>
      <c r="BT2" s="4585"/>
      <c r="BU2" s="4586"/>
      <c r="BV2" s="4586"/>
      <c r="BW2" s="4587"/>
      <c r="BY2" s="2744"/>
      <c r="BZ2" s="2833">
        <f>BZ1/BY1</f>
        <v>0.24</v>
      </c>
      <c r="CA2" s="2745"/>
      <c r="CB2" s="2746"/>
      <c r="CC2" s="4571"/>
      <c r="CD2" s="4567"/>
      <c r="CE2" s="4569"/>
      <c r="CF2" s="1725"/>
      <c r="CG2" s="4571"/>
      <c r="CH2" s="4567"/>
      <c r="CI2" s="4569"/>
      <c r="CJ2" s="1725"/>
    </row>
    <row r="3" spans="2:173" s="1726" customFormat="1" ht="17.25" customHeight="1" x14ac:dyDescent="0.2">
      <c r="C3" s="4657" t="s">
        <v>265</v>
      </c>
      <c r="D3" s="1810"/>
      <c r="E3" s="2887"/>
      <c r="F3" s="2888"/>
      <c r="G3" s="2888"/>
      <c r="H3" s="2888"/>
      <c r="I3" s="2888"/>
      <c r="J3" s="2889">
        <f>BT3</f>
        <v>1000</v>
      </c>
      <c r="K3" s="2890">
        <f>BT3/BZ20</f>
        <v>41.666666666666664</v>
      </c>
      <c r="L3" s="1730"/>
      <c r="M3" s="1731"/>
      <c r="N3" s="2909">
        <v>1000</v>
      </c>
      <c r="O3" s="2910"/>
      <c r="P3" s="2910"/>
      <c r="Q3" s="2910"/>
      <c r="R3" s="2910"/>
      <c r="S3" s="2910"/>
      <c r="T3" s="2911"/>
      <c r="U3" s="1861"/>
      <c r="V3" s="2207">
        <f>SUM(N3:T3)</f>
        <v>1000</v>
      </c>
      <c r="W3" s="2275">
        <f>($J$42*100/24)*0</f>
        <v>0</v>
      </c>
      <c r="X3" s="2277">
        <f>V3-W3</f>
        <v>1000</v>
      </c>
      <c r="Y3" s="1737"/>
      <c r="Z3" s="1732"/>
      <c r="AA3" s="1732"/>
      <c r="AB3" s="1732"/>
      <c r="AC3" s="1732"/>
      <c r="AD3" s="1732"/>
      <c r="AE3" s="1732"/>
      <c r="AF3" s="1732"/>
      <c r="AG3" s="1738"/>
      <c r="AH3" s="2207">
        <f>SUM(Z3:AF3)</f>
        <v>0</v>
      </c>
      <c r="AI3" s="2275">
        <f>($J$42*100/24)*0</f>
        <v>0</v>
      </c>
      <c r="AJ3" s="2277">
        <f>AH3-AI3</f>
        <v>0</v>
      </c>
      <c r="AK3" s="1738"/>
      <c r="AL3" s="1732"/>
      <c r="AM3" s="1732"/>
      <c r="AN3" s="1732"/>
      <c r="AO3" s="1732"/>
      <c r="AP3" s="1732"/>
      <c r="AQ3" s="1732"/>
      <c r="AR3" s="1732"/>
      <c r="AS3" s="2205"/>
      <c r="AT3" s="2207">
        <f>SUM(AL3:AR3)</f>
        <v>0</v>
      </c>
      <c r="AU3" s="2275">
        <f>($J$42*100/24)*0</f>
        <v>0</v>
      </c>
      <c r="AV3" s="2277">
        <f>AT3-AU3</f>
        <v>0</v>
      </c>
      <c r="AW3" s="2205"/>
      <c r="AX3" s="1732"/>
      <c r="AY3" s="1732"/>
      <c r="AZ3" s="1732"/>
      <c r="BA3" s="1732"/>
      <c r="BB3" s="1732"/>
      <c r="BC3" s="1732"/>
      <c r="BD3" s="1732"/>
      <c r="BE3" s="2205"/>
      <c r="BF3" s="2207">
        <f>SUM(AX3:BD3)</f>
        <v>0</v>
      </c>
      <c r="BG3" s="2275">
        <f>($J$42*100/24)*0</f>
        <v>0</v>
      </c>
      <c r="BH3" s="2277">
        <f>BF3-BG3</f>
        <v>0</v>
      </c>
      <c r="BI3" s="1861"/>
      <c r="BJ3" s="1732"/>
      <c r="BK3" s="1732"/>
      <c r="BL3" s="1861"/>
      <c r="BM3" s="2207">
        <f>SUM(BJ3:BK3)</f>
        <v>0</v>
      </c>
      <c r="BN3" s="2275" t="e">
        <f>($J$42*BM5)*0</f>
        <v>#DIV/0!</v>
      </c>
      <c r="BO3" s="2277" t="e">
        <f>BM3-BN3</f>
        <v>#DIV/0!</v>
      </c>
      <c r="BQ3" s="4614"/>
      <c r="BR3" s="4580"/>
      <c r="BT3" s="2345">
        <f>SUM(N3:T3)+SUM(Z3:AF3)+SUM(AL3:AR3)+SUM(AX3:BD3)+SUM(BJ3:BK3)</f>
        <v>1000</v>
      </c>
      <c r="BU3" s="2346">
        <f>BT3/BY3</f>
        <v>9.4863534852467457E-2</v>
      </c>
      <c r="BV3" s="1997"/>
      <c r="BW3" s="2797">
        <f>BT3/BZ20*30</f>
        <v>1250</v>
      </c>
      <c r="BX3" s="1740"/>
      <c r="BY3" s="2747">
        <f>C42</f>
        <v>10541.458333333332</v>
      </c>
      <c r="BZ3" s="2748">
        <f>BY3-BT3</f>
        <v>9541.4583333333321</v>
      </c>
      <c r="CA3" s="2749">
        <f>BZ3/BZ23</f>
        <v>1590.2430555555554</v>
      </c>
      <c r="CB3" s="2582" t="e">
        <f>BY1/'RAWABI INCOME (10-19) '!BZ1-1</f>
        <v>#DIV/0!</v>
      </c>
      <c r="CC3" s="2333"/>
      <c r="CD3" s="2334"/>
      <c r="CE3" s="2335"/>
      <c r="CF3" s="1742"/>
      <c r="CG3" s="2333"/>
      <c r="CH3" s="2334"/>
      <c r="CI3" s="2335"/>
      <c r="CJ3" s="1742"/>
    </row>
    <row r="4" spans="2:173" s="2713" customFormat="1" ht="17.25" customHeight="1" x14ac:dyDescent="0.2">
      <c r="C4" s="4658"/>
      <c r="D4" s="2886"/>
      <c r="E4" s="2891"/>
      <c r="F4" s="2716"/>
      <c r="G4" s="2716"/>
      <c r="H4" s="2716"/>
      <c r="I4" s="2716"/>
      <c r="J4" s="2717">
        <f>BT4</f>
        <v>240</v>
      </c>
      <c r="K4" s="2892">
        <f>C42/K3</f>
        <v>252.99499999999998</v>
      </c>
      <c r="L4" s="2719"/>
      <c r="M4" s="2720"/>
      <c r="N4" s="2912">
        <v>240</v>
      </c>
      <c r="O4" s="2721"/>
      <c r="P4" s="2721"/>
      <c r="Q4" s="2721"/>
      <c r="R4" s="2721"/>
      <c r="S4" s="2721"/>
      <c r="T4" s="2913"/>
      <c r="U4" s="2726"/>
      <c r="V4" s="2781">
        <f>SUM(N4:T4)</f>
        <v>240</v>
      </c>
      <c r="W4" s="2782">
        <f>W3*V5</f>
        <v>0</v>
      </c>
      <c r="X4" s="2783">
        <f>X3*V5</f>
        <v>240</v>
      </c>
      <c r="Y4" s="2723"/>
      <c r="Z4" s="2721"/>
      <c r="AA4" s="2721"/>
      <c r="AB4" s="2721"/>
      <c r="AC4" s="2721"/>
      <c r="AD4" s="2721"/>
      <c r="AE4" s="2721"/>
      <c r="AF4" s="2721"/>
      <c r="AG4" s="2724"/>
      <c r="AH4" s="2781">
        <f>SUM(Z4:AF4)</f>
        <v>0</v>
      </c>
      <c r="AI4" s="2782" t="e">
        <f>AI3*AH5</f>
        <v>#DIV/0!</v>
      </c>
      <c r="AJ4" s="2783">
        <f>AJ3*25%</f>
        <v>0</v>
      </c>
      <c r="AK4" s="2724"/>
      <c r="AL4" s="2721"/>
      <c r="AM4" s="2721"/>
      <c r="AN4" s="2721"/>
      <c r="AO4" s="2721"/>
      <c r="AP4" s="2721"/>
      <c r="AQ4" s="2721"/>
      <c r="AR4" s="2721"/>
      <c r="AS4" s="2725"/>
      <c r="AT4" s="2781">
        <f>SUM(AL4:AR4)</f>
        <v>0</v>
      </c>
      <c r="AU4" s="2782" t="e">
        <f>AU3*AT5</f>
        <v>#DIV/0!</v>
      </c>
      <c r="AV4" s="2783">
        <f>AV3*25%</f>
        <v>0</v>
      </c>
      <c r="AW4" s="2725"/>
      <c r="AX4" s="2721"/>
      <c r="AY4" s="2721"/>
      <c r="AZ4" s="2721"/>
      <c r="BA4" s="2721"/>
      <c r="BB4" s="2721"/>
      <c r="BC4" s="2721"/>
      <c r="BD4" s="2721"/>
      <c r="BE4" s="2725"/>
      <c r="BF4" s="2781">
        <f>SUM(AX4:BD4)</f>
        <v>0</v>
      </c>
      <c r="BG4" s="2782" t="e">
        <f>BG3*BF5</f>
        <v>#DIV/0!</v>
      </c>
      <c r="BH4" s="2783">
        <f>BH3*25%</f>
        <v>0</v>
      </c>
      <c r="BI4" s="2726"/>
      <c r="BJ4" s="2721"/>
      <c r="BK4" s="2721"/>
      <c r="BL4" s="2726"/>
      <c r="BM4" s="2781">
        <f>SUM(BJ4:BK4)</f>
        <v>0</v>
      </c>
      <c r="BN4" s="2782" t="e">
        <f>BN3*BM5</f>
        <v>#DIV/0!</v>
      </c>
      <c r="BO4" s="2783" t="e">
        <f>BO3*25%</f>
        <v>#DIV/0!</v>
      </c>
      <c r="BQ4" s="4614"/>
      <c r="BR4" s="4580"/>
      <c r="BT4" s="2727">
        <f>SUM(N4:T4)+SUM(Z4:AF4)+SUM(AL4:AR4)+SUM(AX4:BD4)+SUM(BJ4:BK4)</f>
        <v>240</v>
      </c>
      <c r="BU4" s="2728">
        <f>BT4/E42</f>
        <v>9.4863534852467443E-2</v>
      </c>
      <c r="BV4" s="2729"/>
      <c r="BW4" s="2798"/>
      <c r="BX4" s="2730"/>
      <c r="BY4" s="2750"/>
      <c r="BZ4" s="2751">
        <f>BZ3/K3</f>
        <v>228.99499999999998</v>
      </c>
      <c r="CA4" s="2752" t="s">
        <v>251</v>
      </c>
      <c r="CB4" s="2772" t="s">
        <v>253</v>
      </c>
      <c r="CC4" s="2731"/>
      <c r="CD4" s="2732"/>
      <c r="CE4" s="2733"/>
      <c r="CF4" s="2734"/>
      <c r="CG4" s="2731"/>
      <c r="CH4" s="2732"/>
      <c r="CI4" s="2733"/>
      <c r="CJ4" s="2734"/>
    </row>
    <row r="5" spans="2:173" s="1885" customFormat="1" ht="17.25" customHeight="1" thickBot="1" x14ac:dyDescent="0.25">
      <c r="C5" s="4659"/>
      <c r="D5" s="1906"/>
      <c r="E5" s="2893"/>
      <c r="F5" s="2894"/>
      <c r="G5" s="2894"/>
      <c r="H5" s="2894"/>
      <c r="I5" s="2894"/>
      <c r="J5" s="2895"/>
      <c r="K5" s="2896"/>
      <c r="L5" s="2816"/>
      <c r="M5" s="2817"/>
      <c r="N5" s="2914">
        <f t="shared" ref="N5:T5" si="0">N4/N3</f>
        <v>0.24</v>
      </c>
      <c r="O5" s="2915" t="e">
        <f t="shared" si="0"/>
        <v>#DIV/0!</v>
      </c>
      <c r="P5" s="2915" t="e">
        <f t="shared" si="0"/>
        <v>#DIV/0!</v>
      </c>
      <c r="Q5" s="2915" t="e">
        <f t="shared" si="0"/>
        <v>#DIV/0!</v>
      </c>
      <c r="R5" s="2915" t="e">
        <f t="shared" si="0"/>
        <v>#DIV/0!</v>
      </c>
      <c r="S5" s="2915" t="e">
        <f t="shared" si="0"/>
        <v>#DIV/0!</v>
      </c>
      <c r="T5" s="2916" t="e">
        <f t="shared" si="0"/>
        <v>#DIV/0!</v>
      </c>
      <c r="U5" s="2011"/>
      <c r="V5" s="2878">
        <f>V4/V3</f>
        <v>0.24</v>
      </c>
      <c r="W5" s="2879"/>
      <c r="X5" s="2880">
        <f>W5-V4</f>
        <v>-240</v>
      </c>
      <c r="Y5" s="2822"/>
      <c r="Z5" s="2818" t="e">
        <f t="shared" ref="Z5:AF5" si="1">Z4/Z3</f>
        <v>#DIV/0!</v>
      </c>
      <c r="AA5" s="2818" t="e">
        <f t="shared" si="1"/>
        <v>#DIV/0!</v>
      </c>
      <c r="AB5" s="2818" t="e">
        <f t="shared" si="1"/>
        <v>#DIV/0!</v>
      </c>
      <c r="AC5" s="2818" t="e">
        <f t="shared" si="1"/>
        <v>#DIV/0!</v>
      </c>
      <c r="AD5" s="2818" t="e">
        <f t="shared" si="1"/>
        <v>#DIV/0!</v>
      </c>
      <c r="AE5" s="2818" t="e">
        <f t="shared" si="1"/>
        <v>#DIV/0!</v>
      </c>
      <c r="AF5" s="2818" t="e">
        <f t="shared" si="1"/>
        <v>#DIV/0!</v>
      </c>
      <c r="AG5" s="2823"/>
      <c r="AH5" s="2820" t="e">
        <f>AH4/AH3</f>
        <v>#DIV/0!</v>
      </c>
      <c r="AI5" s="2821"/>
      <c r="AJ5" s="2245">
        <f>AI5-AH4</f>
        <v>0</v>
      </c>
      <c r="AK5" s="2823"/>
      <c r="AL5" s="2818" t="e">
        <f t="shared" ref="AL5:AR5" si="2">AL4/AL3</f>
        <v>#DIV/0!</v>
      </c>
      <c r="AM5" s="2818" t="e">
        <f t="shared" si="2"/>
        <v>#DIV/0!</v>
      </c>
      <c r="AN5" s="2818" t="e">
        <f t="shared" si="2"/>
        <v>#DIV/0!</v>
      </c>
      <c r="AO5" s="2818" t="e">
        <f t="shared" si="2"/>
        <v>#DIV/0!</v>
      </c>
      <c r="AP5" s="2818" t="e">
        <f t="shared" si="2"/>
        <v>#DIV/0!</v>
      </c>
      <c r="AQ5" s="2818" t="e">
        <f t="shared" si="2"/>
        <v>#DIV/0!</v>
      </c>
      <c r="AR5" s="2818" t="e">
        <f t="shared" si="2"/>
        <v>#DIV/0!</v>
      </c>
      <c r="AS5" s="2823"/>
      <c r="AT5" s="2820" t="e">
        <f>AT4/AT3</f>
        <v>#DIV/0!</v>
      </c>
      <c r="AU5" s="2821"/>
      <c r="AV5" s="2245">
        <f>AU5-AT4</f>
        <v>0</v>
      </c>
      <c r="AW5" s="2402"/>
      <c r="AX5" s="2818" t="e">
        <f t="shared" ref="AX5:BD5" si="3">AX4/AX3</f>
        <v>#DIV/0!</v>
      </c>
      <c r="AY5" s="2818" t="e">
        <f t="shared" si="3"/>
        <v>#DIV/0!</v>
      </c>
      <c r="AZ5" s="2818" t="e">
        <f t="shared" si="3"/>
        <v>#DIV/0!</v>
      </c>
      <c r="BA5" s="2818" t="e">
        <f t="shared" si="3"/>
        <v>#DIV/0!</v>
      </c>
      <c r="BB5" s="2818" t="e">
        <f t="shared" si="3"/>
        <v>#DIV/0!</v>
      </c>
      <c r="BC5" s="2818" t="e">
        <f t="shared" si="3"/>
        <v>#DIV/0!</v>
      </c>
      <c r="BD5" s="2818" t="e">
        <f t="shared" si="3"/>
        <v>#DIV/0!</v>
      </c>
      <c r="BE5" s="2823"/>
      <c r="BF5" s="2820" t="e">
        <f>BF4/BF3</f>
        <v>#DIV/0!</v>
      </c>
      <c r="BG5" s="2821">
        <v>403.52199999999999</v>
      </c>
      <c r="BH5" s="2245">
        <f>BG5-BF4</f>
        <v>403.52199999999999</v>
      </c>
      <c r="BI5" s="2011"/>
      <c r="BJ5" s="2818" t="e">
        <f t="shared" ref="BJ5:BK5" si="4">BJ4/BJ3</f>
        <v>#DIV/0!</v>
      </c>
      <c r="BK5" s="2818" t="e">
        <f t="shared" si="4"/>
        <v>#DIV/0!</v>
      </c>
      <c r="BL5" s="2823"/>
      <c r="BM5" s="2820" t="e">
        <f>BM4/BM3</f>
        <v>#DIV/0!</v>
      </c>
      <c r="BN5" s="2821"/>
      <c r="BO5" s="2245">
        <f>BN5-BM4</f>
        <v>0</v>
      </c>
      <c r="BQ5" s="4614"/>
      <c r="BR5" s="4580"/>
      <c r="BT5" s="2820">
        <f>BT4/BT3</f>
        <v>0.24</v>
      </c>
      <c r="BU5" s="2821"/>
      <c r="BV5" s="2010"/>
      <c r="BW5" s="2824">
        <f>BU5-BT4</f>
        <v>-240</v>
      </c>
      <c r="BX5" s="1900"/>
      <c r="BY5" s="2825"/>
      <c r="BZ5" s="2826"/>
      <c r="CA5" s="2827"/>
      <c r="CB5" s="2828"/>
      <c r="CC5" s="2829"/>
      <c r="CD5" s="2830"/>
      <c r="CE5" s="2831"/>
      <c r="CF5" s="2832"/>
      <c r="CG5" s="2829"/>
      <c r="CH5" s="2830"/>
      <c r="CI5" s="2831"/>
      <c r="CJ5" s="2832"/>
    </row>
    <row r="6" spans="2:173" s="1885" customFormat="1" ht="17.25" customHeight="1" x14ac:dyDescent="0.2">
      <c r="C6" s="4660" t="s">
        <v>264</v>
      </c>
      <c r="D6" s="1906"/>
      <c r="E6" s="2899"/>
      <c r="F6" s="2900"/>
      <c r="G6" s="2900"/>
      <c r="H6" s="2900"/>
      <c r="I6" s="2900"/>
      <c r="J6" s="2901"/>
      <c r="K6" s="2902"/>
      <c r="L6" s="2816"/>
      <c r="M6" s="2817"/>
      <c r="N6" s="2922">
        <v>100</v>
      </c>
      <c r="O6" s="2918"/>
      <c r="P6" s="2918"/>
      <c r="Q6" s="2918"/>
      <c r="R6" s="2918"/>
      <c r="S6" s="2918"/>
      <c r="T6" s="2919"/>
      <c r="U6" s="2011"/>
      <c r="V6" s="2923">
        <f>SUM(N6:T6)</f>
        <v>100</v>
      </c>
      <c r="W6" s="2921">
        <f>($J$42*100/24)*0</f>
        <v>0</v>
      </c>
      <c r="X6" s="2867">
        <f>V6-W6</f>
        <v>100</v>
      </c>
      <c r="Y6" s="2822"/>
      <c r="Z6" s="2008"/>
      <c r="AA6" s="2008"/>
      <c r="AB6" s="2008"/>
      <c r="AC6" s="2008"/>
      <c r="AD6" s="2008"/>
      <c r="AE6" s="2008"/>
      <c r="AF6" s="2008"/>
      <c r="AG6" s="2823"/>
      <c r="AH6" s="2878"/>
      <c r="AI6" s="2884"/>
      <c r="AJ6" s="2880"/>
      <c r="AK6" s="2823"/>
      <c r="AL6" s="2008"/>
      <c r="AM6" s="2008"/>
      <c r="AN6" s="2008"/>
      <c r="AO6" s="2008"/>
      <c r="AP6" s="2008"/>
      <c r="AQ6" s="2008"/>
      <c r="AR6" s="2008"/>
      <c r="AS6" s="2823"/>
      <c r="AT6" s="2878"/>
      <c r="AU6" s="2884"/>
      <c r="AV6" s="2880"/>
      <c r="AW6" s="2402"/>
      <c r="AX6" s="2008"/>
      <c r="AY6" s="2008"/>
      <c r="AZ6" s="2008"/>
      <c r="BA6" s="2008"/>
      <c r="BB6" s="2008"/>
      <c r="BC6" s="2008"/>
      <c r="BD6" s="2008"/>
      <c r="BE6" s="2823"/>
      <c r="BF6" s="2878"/>
      <c r="BG6" s="2884"/>
      <c r="BH6" s="2880"/>
      <c r="BI6" s="2011"/>
      <c r="BJ6" s="2008"/>
      <c r="BK6" s="2008"/>
      <c r="BL6" s="2881"/>
      <c r="BM6" s="2878"/>
      <c r="BN6" s="2884"/>
      <c r="BO6" s="2880"/>
      <c r="BQ6" s="4614"/>
      <c r="BR6" s="4580"/>
      <c r="BT6" s="2878"/>
      <c r="BU6" s="2882"/>
      <c r="BV6" s="2010"/>
      <c r="BW6" s="2883"/>
      <c r="BX6" s="1900"/>
      <c r="BY6" s="2825"/>
      <c r="BZ6" s="2826"/>
      <c r="CA6" s="2827"/>
      <c r="CB6" s="2828"/>
      <c r="CC6" s="2829"/>
      <c r="CD6" s="2830"/>
      <c r="CE6" s="2831"/>
      <c r="CF6" s="2832"/>
      <c r="CG6" s="2829"/>
      <c r="CH6" s="2830"/>
      <c r="CI6" s="2831"/>
      <c r="CJ6" s="2832"/>
    </row>
    <row r="7" spans="2:173" s="1885" customFormat="1" ht="17.25" customHeight="1" x14ac:dyDescent="0.2">
      <c r="C7" s="4661"/>
      <c r="D7" s="1906"/>
      <c r="E7" s="2903"/>
      <c r="F7" s="2813"/>
      <c r="G7" s="2813"/>
      <c r="H7" s="2813"/>
      <c r="I7" s="2813"/>
      <c r="J7" s="2814"/>
      <c r="K7" s="2904"/>
      <c r="L7" s="2816"/>
      <c r="M7" s="2817"/>
      <c r="N7" s="2927">
        <v>50</v>
      </c>
      <c r="O7" s="2008"/>
      <c r="P7" s="2008"/>
      <c r="Q7" s="2008"/>
      <c r="R7" s="2008"/>
      <c r="S7" s="2008"/>
      <c r="T7" s="2920"/>
      <c r="U7" s="2011"/>
      <c r="V7" s="2924">
        <f>SUM(N7:T7)</f>
        <v>50</v>
      </c>
      <c r="W7" s="2884">
        <f>W6*V8</f>
        <v>0</v>
      </c>
      <c r="X7" s="2880">
        <f>X6*V8</f>
        <v>50</v>
      </c>
      <c r="Y7" s="2822"/>
      <c r="Z7" s="2008"/>
      <c r="AA7" s="2008"/>
      <c r="AB7" s="2008"/>
      <c r="AC7" s="2008"/>
      <c r="AD7" s="2008"/>
      <c r="AE7" s="2008"/>
      <c r="AF7" s="2008"/>
      <c r="AG7" s="2823"/>
      <c r="AH7" s="2878"/>
      <c r="AI7" s="2884"/>
      <c r="AJ7" s="2880"/>
      <c r="AK7" s="2823"/>
      <c r="AL7" s="2008"/>
      <c r="AM7" s="2008"/>
      <c r="AN7" s="2008"/>
      <c r="AO7" s="2008"/>
      <c r="AP7" s="2008"/>
      <c r="AQ7" s="2008"/>
      <c r="AR7" s="2008"/>
      <c r="AS7" s="2823"/>
      <c r="AT7" s="2878"/>
      <c r="AU7" s="2884"/>
      <c r="AV7" s="2880"/>
      <c r="AW7" s="2402"/>
      <c r="AX7" s="2008"/>
      <c r="AY7" s="2008"/>
      <c r="AZ7" s="2008"/>
      <c r="BA7" s="2008"/>
      <c r="BB7" s="2008"/>
      <c r="BC7" s="2008"/>
      <c r="BD7" s="2008"/>
      <c r="BE7" s="2823"/>
      <c r="BF7" s="2878"/>
      <c r="BG7" s="2884"/>
      <c r="BH7" s="2880"/>
      <c r="BI7" s="2011"/>
      <c r="BJ7" s="2008"/>
      <c r="BK7" s="2008"/>
      <c r="BL7" s="2881"/>
      <c r="BM7" s="2878"/>
      <c r="BN7" s="2884"/>
      <c r="BO7" s="2880"/>
      <c r="BQ7" s="4614"/>
      <c r="BR7" s="4580"/>
      <c r="BT7" s="2878"/>
      <c r="BU7" s="2882"/>
      <c r="BV7" s="2010"/>
      <c r="BW7" s="2883"/>
      <c r="BX7" s="1900"/>
      <c r="BY7" s="2825"/>
      <c r="BZ7" s="2826"/>
      <c r="CA7" s="2827"/>
      <c r="CB7" s="2828"/>
      <c r="CC7" s="2829"/>
      <c r="CD7" s="2830"/>
      <c r="CE7" s="2831"/>
      <c r="CF7" s="2832"/>
      <c r="CG7" s="2829"/>
      <c r="CH7" s="2830"/>
      <c r="CI7" s="2831"/>
      <c r="CJ7" s="2832"/>
    </row>
    <row r="8" spans="2:173" ht="17.25" customHeight="1" thickBot="1" x14ac:dyDescent="0.25">
      <c r="C8" s="4662"/>
      <c r="D8" s="1800"/>
      <c r="E8" s="2905"/>
      <c r="F8" s="2906"/>
      <c r="G8" s="2906"/>
      <c r="H8" s="2906"/>
      <c r="I8" s="2906"/>
      <c r="J8" s="2907"/>
      <c r="K8" s="2908"/>
      <c r="L8" s="1720"/>
      <c r="M8" s="1721"/>
      <c r="N8" s="2914">
        <f t="shared" ref="N8:T8" si="5">N7/N6</f>
        <v>0.5</v>
      </c>
      <c r="O8" s="2915" t="e">
        <f t="shared" si="5"/>
        <v>#DIV/0!</v>
      </c>
      <c r="P8" s="2915" t="e">
        <f t="shared" si="5"/>
        <v>#DIV/0!</v>
      </c>
      <c r="Q8" s="2915" t="e">
        <f t="shared" si="5"/>
        <v>#DIV/0!</v>
      </c>
      <c r="R8" s="2915" t="e">
        <f t="shared" si="5"/>
        <v>#DIV/0!</v>
      </c>
      <c r="S8" s="2915" t="e">
        <f t="shared" si="5"/>
        <v>#DIV/0!</v>
      </c>
      <c r="T8" s="2916" t="e">
        <f t="shared" si="5"/>
        <v>#DIV/0!</v>
      </c>
      <c r="U8" s="1994"/>
      <c r="V8" s="2925">
        <f>V7/V6</f>
        <v>0.5</v>
      </c>
      <c r="W8" s="2926"/>
      <c r="X8" s="2278">
        <f>W8-V7</f>
        <v>-50</v>
      </c>
      <c r="Y8" s="1722"/>
      <c r="Z8" s="1747"/>
      <c r="AA8" s="1747"/>
      <c r="AB8" s="1747"/>
      <c r="AC8" s="1747"/>
      <c r="AD8" s="1747"/>
      <c r="AE8" s="1747"/>
      <c r="AF8" s="1747"/>
      <c r="AG8" s="1723"/>
      <c r="AH8" s="2021"/>
      <c r="AI8" s="1786"/>
      <c r="AJ8" s="2278"/>
      <c r="AK8" s="1723"/>
      <c r="AL8" s="1747"/>
      <c r="AM8" s="1747"/>
      <c r="AN8" s="1747"/>
      <c r="AO8" s="1747"/>
      <c r="AP8" s="1747"/>
      <c r="AQ8" s="1747"/>
      <c r="AR8" s="1747"/>
      <c r="AS8" s="2039"/>
      <c r="AT8" s="2021"/>
      <c r="AU8" s="1786"/>
      <c r="AV8" s="2278"/>
      <c r="AW8" s="2039"/>
      <c r="AX8" s="1747"/>
      <c r="AY8" s="1747"/>
      <c r="AZ8" s="1747"/>
      <c r="BA8" s="1747"/>
      <c r="BB8" s="1747"/>
      <c r="BC8" s="1747"/>
      <c r="BD8" s="1747"/>
      <c r="BE8" s="2039"/>
      <c r="BF8" s="2021"/>
      <c r="BG8" s="1786"/>
      <c r="BH8" s="2278"/>
      <c r="BI8" s="1994"/>
      <c r="BJ8" s="1747"/>
      <c r="BK8" s="1747"/>
      <c r="BL8" s="1994"/>
      <c r="BM8" s="2021"/>
      <c r="BN8" s="1786"/>
      <c r="BO8" s="2278"/>
      <c r="BQ8" s="4614"/>
      <c r="BR8" s="4580"/>
      <c r="BT8" s="2326" t="e">
        <f>SUM(N8:T8)+SUM(Z8:AF8)+SUM(AL8:AR8)+SUM(AX8:BD8)+SUM(BJ8:BK8)</f>
        <v>#DIV/0!</v>
      </c>
      <c r="BU8" s="2022" t="e">
        <f>BT8/E42</f>
        <v>#DIV/0!</v>
      </c>
      <c r="BV8" s="1993"/>
      <c r="BW8" s="2342"/>
      <c r="BX8" s="1754"/>
      <c r="BY8" s="2753"/>
      <c r="BZ8" s="2754"/>
      <c r="CA8" s="2755"/>
      <c r="CB8" s="1755"/>
      <c r="CC8" s="2336"/>
      <c r="CD8" s="2337"/>
      <c r="CE8" s="2338"/>
      <c r="CF8" s="1725"/>
      <c r="CG8" s="2336"/>
      <c r="CH8" s="2337"/>
      <c r="CI8" s="2338"/>
      <c r="CJ8" s="1725"/>
    </row>
    <row r="9" spans="2:173" s="1923" customFormat="1" ht="5.25" customHeight="1" thickBot="1" x14ac:dyDescent="0.25">
      <c r="C9" s="2885"/>
      <c r="D9" s="1800"/>
      <c r="E9" s="2897"/>
      <c r="F9" s="2897"/>
      <c r="G9" s="2897"/>
      <c r="H9" s="2897"/>
      <c r="I9" s="2897"/>
      <c r="J9" s="2527"/>
      <c r="K9" s="2898"/>
      <c r="L9" s="1721"/>
      <c r="M9" s="1721"/>
      <c r="N9" s="2917"/>
      <c r="O9" s="2917"/>
      <c r="P9" s="2917"/>
      <c r="Q9" s="2917"/>
      <c r="R9" s="2917"/>
      <c r="S9" s="2917"/>
      <c r="T9" s="2917"/>
      <c r="U9" s="1994"/>
      <c r="V9" s="2875"/>
      <c r="W9" s="1801"/>
      <c r="X9" s="2875"/>
      <c r="Y9" s="2258"/>
      <c r="Z9" s="2026"/>
      <c r="AA9" s="2026"/>
      <c r="AB9" s="2026"/>
      <c r="AC9" s="2026"/>
      <c r="AD9" s="2026"/>
      <c r="AE9" s="2026"/>
      <c r="AF9" s="2026"/>
      <c r="AG9" s="2258"/>
      <c r="AH9" s="2875"/>
      <c r="AI9" s="1801"/>
      <c r="AJ9" s="2875"/>
      <c r="AK9" s="2258"/>
      <c r="AL9" s="2026"/>
      <c r="AM9" s="2026"/>
      <c r="AN9" s="2026"/>
      <c r="AO9" s="2026"/>
      <c r="AP9" s="2026"/>
      <c r="AQ9" s="2026"/>
      <c r="AR9" s="2026"/>
      <c r="AS9" s="1994"/>
      <c r="AT9" s="2875"/>
      <c r="AU9" s="1801"/>
      <c r="AV9" s="2875"/>
      <c r="AW9" s="1994"/>
      <c r="AX9" s="2026"/>
      <c r="AY9" s="2026"/>
      <c r="AZ9" s="2026"/>
      <c r="BA9" s="2026"/>
      <c r="BB9" s="2026"/>
      <c r="BC9" s="2026"/>
      <c r="BD9" s="2026"/>
      <c r="BE9" s="1994"/>
      <c r="BF9" s="2875"/>
      <c r="BG9" s="1801"/>
      <c r="BH9" s="2875"/>
      <c r="BI9" s="1994"/>
      <c r="BJ9" s="2023"/>
      <c r="BK9" s="2023"/>
      <c r="BL9" s="1994"/>
      <c r="BM9" s="2875"/>
      <c r="BN9" s="1801"/>
      <c r="BO9" s="2875"/>
      <c r="BQ9" s="4614"/>
      <c r="BR9" s="4580"/>
      <c r="BT9" s="1805"/>
      <c r="BU9" s="1993"/>
      <c r="BV9" s="1993"/>
      <c r="BW9" s="2325"/>
      <c r="BX9" s="1994"/>
      <c r="BY9" s="2270"/>
      <c r="BZ9" s="2270"/>
      <c r="CA9" s="2270"/>
      <c r="CB9" s="1755"/>
      <c r="CC9" s="2271"/>
      <c r="CD9" s="2271"/>
      <c r="CE9" s="2271"/>
      <c r="CF9" s="1725"/>
      <c r="CG9" s="2271"/>
      <c r="CH9" s="2271"/>
      <c r="CI9" s="2271"/>
      <c r="CJ9" s="1725"/>
    </row>
    <row r="10" spans="2:173" s="1810" customFormat="1" ht="17.25" customHeight="1" x14ac:dyDescent="0.2">
      <c r="C10" s="1811" t="s">
        <v>190</v>
      </c>
      <c r="D10" s="1727"/>
      <c r="E10" s="1812"/>
      <c r="F10" s="1812"/>
      <c r="G10" s="1812"/>
      <c r="H10" s="1812"/>
      <c r="I10" s="1812"/>
      <c r="J10" s="1813">
        <f>BT10</f>
        <v>73.585833333333341</v>
      </c>
      <c r="K10" s="4564">
        <f>CB1-J10</f>
        <v>-1218.5608333333332</v>
      </c>
      <c r="L10" s="1760"/>
      <c r="M10" s="1761"/>
      <c r="N10" s="1735">
        <f>((N4-N42)+(N7-N70))/2</f>
        <v>73.585833333333341</v>
      </c>
      <c r="O10" s="1735"/>
      <c r="P10" s="1735"/>
      <c r="Q10" s="1735"/>
      <c r="R10" s="1735"/>
      <c r="S10" s="1735"/>
      <c r="T10" s="1735"/>
      <c r="U10" s="1814"/>
      <c r="V10" s="1771">
        <f>SUM(N10:T10)</f>
        <v>73.585833333333341</v>
      </c>
      <c r="W10" s="1815"/>
      <c r="X10" s="1816"/>
      <c r="Y10" s="1764"/>
      <c r="Z10" s="1735"/>
      <c r="AA10" s="1735"/>
      <c r="AB10" s="1735"/>
      <c r="AC10" s="1735"/>
      <c r="AD10" s="1735"/>
      <c r="AE10" s="1735"/>
      <c r="AF10" s="1735"/>
      <c r="AG10" s="1764"/>
      <c r="AH10" s="1771">
        <f>SUM(Z10:AF10)</f>
        <v>0</v>
      </c>
      <c r="AI10" s="1815"/>
      <c r="AJ10" s="1816"/>
      <c r="AK10" s="1764"/>
      <c r="AL10" s="1735">
        <f t="shared" ref="AL10:AR10" si="6">(AL4-AL42)/2</f>
        <v>0</v>
      </c>
      <c r="AM10" s="1735">
        <f t="shared" si="6"/>
        <v>0</v>
      </c>
      <c r="AN10" s="1735">
        <f t="shared" si="6"/>
        <v>0</v>
      </c>
      <c r="AO10" s="1735">
        <f t="shared" si="6"/>
        <v>0</v>
      </c>
      <c r="AP10" s="1735">
        <f t="shared" si="6"/>
        <v>0</v>
      </c>
      <c r="AQ10" s="1735">
        <f t="shared" si="6"/>
        <v>0</v>
      </c>
      <c r="AR10" s="1735">
        <f t="shared" si="6"/>
        <v>0</v>
      </c>
      <c r="AS10" s="2289"/>
      <c r="AT10" s="1771">
        <f>SUM(AL10:AR10)</f>
        <v>0</v>
      </c>
      <c r="AU10" s="1815"/>
      <c r="AV10" s="1816"/>
      <c r="AW10" s="2289"/>
      <c r="AX10" s="1735">
        <f t="shared" ref="AX10:AY10" si="7">(AX4-AX42)/2</f>
        <v>0</v>
      </c>
      <c r="AY10" s="1735">
        <f t="shared" si="7"/>
        <v>0</v>
      </c>
      <c r="AZ10" s="1735"/>
      <c r="BA10" s="1735"/>
      <c r="BB10" s="1735"/>
      <c r="BC10" s="1735"/>
      <c r="BD10" s="1735"/>
      <c r="BE10" s="2289"/>
      <c r="BF10" s="1771">
        <f>SUM(AX10:BD10)</f>
        <v>0</v>
      </c>
      <c r="BG10" s="1815"/>
      <c r="BH10" s="1816"/>
      <c r="BI10" s="1814"/>
      <c r="BJ10" s="1735"/>
      <c r="BK10" s="1735"/>
      <c r="BL10" s="1814"/>
      <c r="BM10" s="1771">
        <f>SUM(BJ10:BK10)</f>
        <v>0</v>
      </c>
      <c r="BN10" s="1815"/>
      <c r="BO10" s="1816"/>
      <c r="BP10" s="1766"/>
      <c r="BQ10" s="4614"/>
      <c r="BR10" s="4580"/>
      <c r="BS10" s="1766"/>
      <c r="BT10" s="1771">
        <f>SUM(N10:T10)+SUM(Z10:AF10)+SUM(AL10:AR10)+SUM(AX10:BD10)+SUM(BJ10:BK10)</f>
        <v>73.585833333333341</v>
      </c>
      <c r="BU10" s="2340"/>
      <c r="BV10" s="1830"/>
      <c r="BW10" s="2348">
        <v>0</v>
      </c>
      <c r="BX10" s="1817"/>
      <c r="BY10" s="4578" t="s">
        <v>226</v>
      </c>
      <c r="BZ10" s="4578"/>
      <c r="CA10" s="1818"/>
      <c r="CB10" s="1774"/>
      <c r="CC10" s="1766"/>
      <c r="CD10" s="1766"/>
      <c r="CE10" s="1819"/>
      <c r="CF10" s="1820"/>
      <c r="CG10" s="1766"/>
      <c r="CH10" s="1766"/>
      <c r="CI10" s="1819"/>
      <c r="CJ10" s="1820"/>
      <c r="CK10" s="1821"/>
      <c r="CL10" s="1821"/>
      <c r="CM10" s="1821"/>
      <c r="CN10" s="1821"/>
      <c r="CO10" s="1821"/>
      <c r="CP10" s="1821"/>
      <c r="CQ10" s="1821"/>
      <c r="CR10" s="1821"/>
      <c r="CS10" s="1821"/>
      <c r="CT10" s="1821"/>
      <c r="CU10" s="1821"/>
      <c r="CV10" s="1821"/>
      <c r="CW10" s="1821"/>
      <c r="CX10" s="1821"/>
      <c r="CY10" s="1821"/>
      <c r="CZ10" s="1821"/>
      <c r="DA10" s="1821"/>
      <c r="DB10" s="1821"/>
      <c r="DC10" s="1821"/>
      <c r="DD10" s="1821"/>
      <c r="DE10" s="1821"/>
      <c r="DF10" s="1821"/>
      <c r="DG10" s="1821"/>
      <c r="DH10" s="1821"/>
      <c r="DI10" s="1821"/>
      <c r="DJ10" s="1821"/>
      <c r="DK10" s="1821"/>
      <c r="DL10" s="1821"/>
      <c r="DM10" s="1821"/>
      <c r="DN10" s="1821"/>
      <c r="DO10" s="1821"/>
      <c r="DP10" s="1821"/>
      <c r="DQ10" s="1821"/>
      <c r="DR10" s="1821"/>
      <c r="DS10" s="1821"/>
      <c r="DT10" s="1821"/>
      <c r="DU10" s="1821"/>
      <c r="DV10" s="1821"/>
      <c r="DW10" s="1821"/>
      <c r="DX10" s="1821"/>
      <c r="DY10" s="1821"/>
      <c r="DZ10" s="1821"/>
      <c r="EA10" s="1821"/>
      <c r="EB10" s="1821"/>
      <c r="EC10" s="1821"/>
      <c r="ED10" s="1821"/>
      <c r="EE10" s="1821"/>
      <c r="EF10" s="1821"/>
      <c r="EG10" s="1821"/>
      <c r="EH10" s="1821"/>
      <c r="EI10" s="1821"/>
      <c r="EJ10" s="1821"/>
      <c r="EK10" s="1821"/>
      <c r="EL10" s="1821"/>
      <c r="EM10" s="1821"/>
      <c r="EN10" s="1821"/>
      <c r="EO10" s="1821"/>
      <c r="EP10" s="1821"/>
      <c r="EQ10" s="1821"/>
      <c r="ER10" s="1821"/>
      <c r="ES10" s="1821"/>
      <c r="ET10" s="1821"/>
      <c r="EU10" s="1821"/>
      <c r="EV10" s="1821"/>
      <c r="EW10" s="1821"/>
      <c r="EX10" s="1821"/>
      <c r="EY10" s="1821"/>
      <c r="EZ10" s="1821"/>
      <c r="FA10" s="1821"/>
      <c r="FB10" s="1821"/>
      <c r="FC10" s="1821"/>
      <c r="FD10" s="1821"/>
      <c r="FE10" s="1821"/>
      <c r="FF10" s="1821"/>
      <c r="FG10" s="1821"/>
      <c r="FH10" s="1821"/>
      <c r="FI10" s="1821"/>
      <c r="FJ10" s="1821"/>
      <c r="FK10" s="1821"/>
      <c r="FL10" s="1821"/>
      <c r="FM10" s="1821"/>
      <c r="FN10" s="1821"/>
      <c r="FO10" s="1821"/>
      <c r="FP10" s="1821"/>
      <c r="FQ10" s="1821"/>
    </row>
    <row r="11" spans="2:173" s="1777" customFormat="1" ht="17.25" customHeight="1" thickBot="1" x14ac:dyDescent="0.25">
      <c r="C11" s="1822" t="s">
        <v>169</v>
      </c>
      <c r="D11" s="1744"/>
      <c r="E11" s="1823"/>
      <c r="F11" s="1823"/>
      <c r="G11" s="1823"/>
      <c r="H11" s="1823"/>
      <c r="I11" s="1823"/>
      <c r="J11" s="1824"/>
      <c r="K11" s="4565">
        <f t="shared" ref="K11" si="8">BQ77</f>
        <v>0</v>
      </c>
      <c r="L11" s="1782"/>
      <c r="M11" s="1783"/>
      <c r="N11" s="1750">
        <f t="shared" ref="N11" si="9">N10</f>
        <v>73.585833333333341</v>
      </c>
      <c r="O11" s="1750"/>
      <c r="P11" s="1750"/>
      <c r="Q11" s="1750"/>
      <c r="R11" s="1750"/>
      <c r="S11" s="1750"/>
      <c r="T11" s="1750"/>
      <c r="U11" s="1801"/>
      <c r="V11" s="1785">
        <f>SUM(N11:T11)</f>
        <v>73.585833333333341</v>
      </c>
      <c r="W11" s="1825"/>
      <c r="X11" s="1826"/>
      <c r="Y11" s="1788"/>
      <c r="Z11" s="1750"/>
      <c r="AA11" s="1750"/>
      <c r="AB11" s="1750"/>
      <c r="AC11" s="1750"/>
      <c r="AD11" s="1750"/>
      <c r="AE11" s="1750"/>
      <c r="AF11" s="1750"/>
      <c r="AG11" s="1788"/>
      <c r="AH11" s="1785">
        <f>SUM(Z11:AF11)</f>
        <v>0</v>
      </c>
      <c r="AI11" s="1825"/>
      <c r="AJ11" s="1826"/>
      <c r="AK11" s="1788"/>
      <c r="AL11" s="1750">
        <f t="shared" ref="AL11:AR11" si="10">AL10</f>
        <v>0</v>
      </c>
      <c r="AM11" s="1750">
        <f t="shared" si="10"/>
        <v>0</v>
      </c>
      <c r="AN11" s="1750">
        <f t="shared" si="10"/>
        <v>0</v>
      </c>
      <c r="AO11" s="1750">
        <f t="shared" si="10"/>
        <v>0</v>
      </c>
      <c r="AP11" s="1750">
        <f t="shared" si="10"/>
        <v>0</v>
      </c>
      <c r="AQ11" s="1750">
        <f t="shared" si="10"/>
        <v>0</v>
      </c>
      <c r="AR11" s="1750">
        <f t="shared" si="10"/>
        <v>0</v>
      </c>
      <c r="AS11" s="2290"/>
      <c r="AT11" s="1785">
        <f>SUM(AL11:AR11)</f>
        <v>0</v>
      </c>
      <c r="AU11" s="1825"/>
      <c r="AV11" s="1826"/>
      <c r="AW11" s="2290"/>
      <c r="AX11" s="1750">
        <f t="shared" ref="AX11:AY11" si="11">AX10</f>
        <v>0</v>
      </c>
      <c r="AY11" s="1750">
        <f t="shared" si="11"/>
        <v>0</v>
      </c>
      <c r="AZ11" s="1750"/>
      <c r="BA11" s="1750"/>
      <c r="BB11" s="1750"/>
      <c r="BC11" s="1750"/>
      <c r="BD11" s="1750"/>
      <c r="BE11" s="2290"/>
      <c r="BF11" s="1785">
        <f>SUM(AX11:BD11)</f>
        <v>0</v>
      </c>
      <c r="BG11" s="1825"/>
      <c r="BH11" s="1826"/>
      <c r="BI11" s="1801"/>
      <c r="BJ11" s="1750"/>
      <c r="BK11" s="1750"/>
      <c r="BL11" s="1801"/>
      <c r="BM11" s="1785">
        <f>SUM(BJ11:BK11)</f>
        <v>0</v>
      </c>
      <c r="BN11" s="1825"/>
      <c r="BO11" s="1826"/>
      <c r="BP11" s="1792"/>
      <c r="BQ11" s="4614"/>
      <c r="BR11" s="4580"/>
      <c r="BS11" s="1792"/>
      <c r="BT11" s="1793"/>
      <c r="BU11" s="2341"/>
      <c r="BV11" s="1802"/>
      <c r="BW11" s="2349"/>
      <c r="BX11" s="1795"/>
      <c r="BY11" s="4578"/>
      <c r="BZ11" s="4578"/>
      <c r="CA11" s="1805"/>
      <c r="CB11" s="1797"/>
      <c r="CC11" s="1791"/>
      <c r="CD11" s="1791"/>
      <c r="CE11" s="1807"/>
      <c r="CF11" s="1798"/>
      <c r="CG11" s="1791"/>
      <c r="CH11" s="1791"/>
      <c r="CI11" s="1807"/>
      <c r="CJ11" s="1798"/>
      <c r="CK11" s="1799"/>
      <c r="CL11" s="1799"/>
      <c r="CM11" s="1799"/>
      <c r="CN11" s="1799"/>
      <c r="CO11" s="1799"/>
      <c r="CP11" s="1799"/>
      <c r="CQ11" s="1799"/>
      <c r="CR11" s="1799"/>
      <c r="CS11" s="1799"/>
      <c r="CT11" s="1799"/>
      <c r="CU11" s="1799"/>
      <c r="CV11" s="1799"/>
      <c r="CW11" s="1799"/>
      <c r="CX11" s="1799"/>
      <c r="CY11" s="1799"/>
      <c r="CZ11" s="1799"/>
      <c r="DA11" s="1799"/>
      <c r="DB11" s="1799"/>
      <c r="DC11" s="1799"/>
      <c r="DD11" s="1799"/>
      <c r="DE11" s="1799"/>
      <c r="DF11" s="1799"/>
      <c r="DG11" s="1799"/>
      <c r="DH11" s="1799"/>
      <c r="DI11" s="1799"/>
      <c r="DJ11" s="1799"/>
      <c r="DK11" s="1799"/>
      <c r="DL11" s="1799"/>
      <c r="DM11" s="1799"/>
      <c r="DN11" s="1799"/>
      <c r="DO11" s="1799"/>
      <c r="DP11" s="1799"/>
      <c r="DQ11" s="1799"/>
      <c r="DR11" s="1799"/>
      <c r="DS11" s="1799"/>
      <c r="DT11" s="1799"/>
      <c r="DU11" s="1799"/>
      <c r="DV11" s="1799"/>
      <c r="DW11" s="1799"/>
      <c r="DX11" s="1799"/>
      <c r="DY11" s="1799"/>
      <c r="DZ11" s="1799"/>
      <c r="EA11" s="1799"/>
      <c r="EB11" s="1799"/>
      <c r="EC11" s="1799"/>
      <c r="ED11" s="1799"/>
      <c r="EE11" s="1799"/>
      <c r="EF11" s="1799"/>
      <c r="EG11" s="1799"/>
      <c r="EH11" s="1799"/>
      <c r="EI11" s="1799"/>
      <c r="EJ11" s="1799"/>
      <c r="EK11" s="1799"/>
      <c r="EL11" s="1799"/>
      <c r="EM11" s="1799"/>
      <c r="EN11" s="1799"/>
      <c r="EO11" s="1799"/>
      <c r="EP11" s="1799"/>
      <c r="EQ11" s="1799"/>
      <c r="ER11" s="1799"/>
      <c r="ES11" s="1799"/>
      <c r="ET11" s="1799"/>
      <c r="EU11" s="1799"/>
      <c r="EV11" s="1799"/>
      <c r="EW11" s="1799"/>
      <c r="EX11" s="1799"/>
      <c r="EY11" s="1799"/>
      <c r="EZ11" s="1799"/>
      <c r="FA11" s="1799"/>
      <c r="FB11" s="1799"/>
      <c r="FC11" s="1799"/>
      <c r="FD11" s="1799"/>
      <c r="FE11" s="1799"/>
      <c r="FF11" s="1799"/>
      <c r="FG11" s="1799"/>
      <c r="FH11" s="1799"/>
      <c r="FI11" s="1799"/>
      <c r="FJ11" s="1799"/>
      <c r="FK11" s="1799"/>
      <c r="FL11" s="1799"/>
      <c r="FM11" s="1799"/>
      <c r="FN11" s="1799"/>
      <c r="FO11" s="1799"/>
      <c r="FP11" s="1799"/>
      <c r="FQ11" s="1799"/>
    </row>
    <row r="12" spans="2:173" s="1800" customFormat="1" ht="4.5" customHeight="1" thickBot="1" x14ac:dyDescent="0.25">
      <c r="E12" s="1791"/>
      <c r="F12" s="1791"/>
      <c r="G12" s="1791"/>
      <c r="H12" s="1791"/>
      <c r="I12" s="1791"/>
      <c r="J12" s="1791"/>
      <c r="K12" s="1783"/>
      <c r="L12" s="1782"/>
      <c r="M12" s="1783"/>
      <c r="N12" s="1803"/>
      <c r="O12" s="1803"/>
      <c r="P12" s="1803"/>
      <c r="Q12" s="1803"/>
      <c r="R12" s="1803"/>
      <c r="S12" s="1803"/>
      <c r="T12" s="1803"/>
      <c r="U12" s="1801"/>
      <c r="V12" s="1801"/>
      <c r="W12" s="1801"/>
      <c r="X12" s="1801"/>
      <c r="Y12" s="1791"/>
      <c r="Z12" s="1803"/>
      <c r="AA12" s="1803"/>
      <c r="AB12" s="1803"/>
      <c r="AC12" s="1803"/>
      <c r="AD12" s="1803"/>
      <c r="AE12" s="1803"/>
      <c r="AF12" s="1803"/>
      <c r="AG12" s="1791"/>
      <c r="AH12" s="1801"/>
      <c r="AI12" s="1801"/>
      <c r="AJ12" s="1801"/>
      <c r="AK12" s="1791"/>
      <c r="AL12" s="1803"/>
      <c r="AM12" s="1803"/>
      <c r="AN12" s="1803"/>
      <c r="AO12" s="1803"/>
      <c r="AP12" s="1803"/>
      <c r="AQ12" s="1803"/>
      <c r="AR12" s="1803"/>
      <c r="AS12" s="1801"/>
      <c r="AT12" s="1801"/>
      <c r="AU12" s="1801"/>
      <c r="AV12" s="1801"/>
      <c r="AW12" s="1801"/>
      <c r="AX12" s="1803"/>
      <c r="AY12" s="1803"/>
      <c r="AZ12" s="1803"/>
      <c r="BA12" s="1803"/>
      <c r="BB12" s="1803"/>
      <c r="BC12" s="1803"/>
      <c r="BD12" s="1803"/>
      <c r="BE12" s="1801"/>
      <c r="BF12" s="1801"/>
      <c r="BG12" s="1801"/>
      <c r="BH12" s="1801"/>
      <c r="BI12" s="1801"/>
      <c r="BJ12" s="1803"/>
      <c r="BK12" s="1803"/>
      <c r="BL12" s="1801"/>
      <c r="BM12" s="1801"/>
      <c r="BN12" s="1801"/>
      <c r="BO12" s="1801"/>
      <c r="BP12" s="1791"/>
      <c r="BQ12" s="4614"/>
      <c r="BR12" s="4580"/>
      <c r="BS12" s="1791"/>
      <c r="BT12" s="1801"/>
      <c r="BU12" s="1802"/>
      <c r="BV12" s="1802"/>
      <c r="BW12" s="1805"/>
      <c r="BX12" s="1806"/>
      <c r="BY12" s="1801"/>
      <c r="BZ12" s="1805"/>
      <c r="CA12" s="1805"/>
      <c r="CB12" s="1797"/>
      <c r="CC12" s="1791"/>
      <c r="CD12" s="1791"/>
      <c r="CE12" s="1807"/>
      <c r="CF12" s="1808"/>
      <c r="CG12" s="1791"/>
      <c r="CH12" s="1791"/>
      <c r="CI12" s="1807"/>
      <c r="CJ12" s="1808"/>
      <c r="CK12" s="1809"/>
      <c r="CL12" s="1809"/>
      <c r="CM12" s="1809"/>
      <c r="CN12" s="1809"/>
      <c r="CO12" s="1809"/>
      <c r="CP12" s="1809"/>
      <c r="CQ12" s="1809"/>
      <c r="CR12" s="1809"/>
      <c r="CS12" s="1809"/>
      <c r="CT12" s="1809"/>
      <c r="CU12" s="1809"/>
      <c r="CV12" s="1809"/>
      <c r="CW12" s="1809"/>
      <c r="CX12" s="1809"/>
      <c r="CY12" s="1809"/>
      <c r="CZ12" s="1809"/>
      <c r="DA12" s="1809"/>
      <c r="DB12" s="1809"/>
      <c r="DC12" s="1809"/>
      <c r="DD12" s="1809"/>
      <c r="DE12" s="1809"/>
      <c r="DF12" s="1809"/>
      <c r="DG12" s="1809"/>
      <c r="DH12" s="1809"/>
      <c r="DI12" s="1809"/>
      <c r="DJ12" s="1809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</row>
    <row r="13" spans="2:173" s="1756" customFormat="1" ht="15" customHeight="1" x14ac:dyDescent="0.2">
      <c r="C13" s="1810"/>
      <c r="D13" s="1810"/>
      <c r="K13" s="1810"/>
      <c r="L13" s="1827"/>
      <c r="M13" s="1810"/>
      <c r="N13" s="2834" t="s">
        <v>45</v>
      </c>
      <c r="O13" s="1735" t="s">
        <v>46</v>
      </c>
      <c r="P13" s="1735" t="s">
        <v>47</v>
      </c>
      <c r="Q13" s="1735" t="s">
        <v>48</v>
      </c>
      <c r="R13" s="1735" t="s">
        <v>49</v>
      </c>
      <c r="S13" s="1735" t="s">
        <v>50</v>
      </c>
      <c r="T13" s="1735" t="s">
        <v>51</v>
      </c>
      <c r="U13" s="1814"/>
      <c r="V13" s="1771"/>
      <c r="W13" s="1815"/>
      <c r="X13" s="1816"/>
      <c r="Y13" s="1764"/>
      <c r="Z13" s="2834" t="s">
        <v>45</v>
      </c>
      <c r="AA13" s="1735" t="s">
        <v>46</v>
      </c>
      <c r="AB13" s="1735" t="s">
        <v>47</v>
      </c>
      <c r="AC13" s="1735" t="s">
        <v>48</v>
      </c>
      <c r="AD13" s="1735" t="s">
        <v>49</v>
      </c>
      <c r="AE13" s="1735" t="s">
        <v>50</v>
      </c>
      <c r="AF13" s="1735" t="s">
        <v>51</v>
      </c>
      <c r="AG13" s="1764"/>
      <c r="AH13" s="1771"/>
      <c r="AI13" s="1815"/>
      <c r="AJ13" s="1829"/>
      <c r="AK13" s="1764"/>
      <c r="AL13" s="2834" t="s">
        <v>45</v>
      </c>
      <c r="AM13" s="1735" t="s">
        <v>46</v>
      </c>
      <c r="AN13" s="1735" t="s">
        <v>47</v>
      </c>
      <c r="AO13" s="1735" t="s">
        <v>48</v>
      </c>
      <c r="AP13" s="1735" t="s">
        <v>49</v>
      </c>
      <c r="AQ13" s="1735" t="s">
        <v>50</v>
      </c>
      <c r="AR13" s="1735" t="s">
        <v>51</v>
      </c>
      <c r="AS13" s="2289"/>
      <c r="AT13" s="1771"/>
      <c r="AU13" s="1815"/>
      <c r="AV13" s="1816"/>
      <c r="AW13" s="2289"/>
      <c r="AX13" s="2834" t="s">
        <v>45</v>
      </c>
      <c r="AY13" s="1735" t="s">
        <v>46</v>
      </c>
      <c r="AZ13" s="1735" t="s">
        <v>47</v>
      </c>
      <c r="BA13" s="1735" t="s">
        <v>48</v>
      </c>
      <c r="BB13" s="1735" t="s">
        <v>49</v>
      </c>
      <c r="BC13" s="1735" t="s">
        <v>50</v>
      </c>
      <c r="BD13" s="1735" t="s">
        <v>51</v>
      </c>
      <c r="BE13" s="2289"/>
      <c r="BF13" s="1771"/>
      <c r="BG13" s="1815"/>
      <c r="BH13" s="1816"/>
      <c r="BI13" s="1814"/>
      <c r="BJ13" s="2834" t="s">
        <v>45</v>
      </c>
      <c r="BK13" s="1735" t="s">
        <v>46</v>
      </c>
      <c r="BL13" s="1814"/>
      <c r="BM13" s="1771"/>
      <c r="BN13" s="1815"/>
      <c r="BO13" s="1816"/>
      <c r="BQ13" s="4614"/>
      <c r="BR13" s="4580"/>
      <c r="BT13" s="1814"/>
      <c r="BU13" s="1830"/>
      <c r="BV13" s="1830"/>
      <c r="BW13" s="1818"/>
      <c r="BX13" s="2868"/>
      <c r="BY13" s="2742">
        <f>BU4-BT1</f>
        <v>-0.6793300135346293</v>
      </c>
      <c r="BZ13" s="4607"/>
      <c r="CA13" s="4608" t="s">
        <v>101</v>
      </c>
      <c r="CB13" s="1831"/>
      <c r="CC13" s="1832"/>
      <c r="CD13" s="1832" t="s">
        <v>252</v>
      </c>
      <c r="CE13" s="1833"/>
      <c r="CF13" s="1776"/>
      <c r="CG13" s="1776"/>
      <c r="CH13" s="1776"/>
      <c r="CI13" s="1834"/>
      <c r="CJ13" s="1776"/>
      <c r="CK13" s="1776"/>
      <c r="CL13" s="1776"/>
      <c r="CM13" s="1776"/>
      <c r="CN13" s="1776"/>
      <c r="CO13" s="1776"/>
      <c r="CP13" s="1776"/>
      <c r="CQ13" s="1776"/>
      <c r="CR13" s="1776"/>
      <c r="CS13" s="1776"/>
      <c r="CT13" s="1776"/>
      <c r="CU13" s="1776"/>
      <c r="CV13" s="1776"/>
      <c r="CW13" s="1776"/>
      <c r="CX13" s="1776"/>
      <c r="CY13" s="1776"/>
      <c r="CZ13" s="1776"/>
      <c r="DA13" s="1776"/>
      <c r="DB13" s="1776"/>
      <c r="DC13" s="1776"/>
      <c r="DD13" s="1776"/>
      <c r="DE13" s="1776"/>
      <c r="DF13" s="1776"/>
      <c r="DG13" s="1776"/>
      <c r="DH13" s="1776"/>
      <c r="DI13" s="1776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</row>
    <row r="14" spans="2:173" s="1777" customFormat="1" ht="18.75" thickBot="1" x14ac:dyDescent="0.25">
      <c r="B14" s="1835" t="s">
        <v>0</v>
      </c>
      <c r="C14" s="1836" t="s">
        <v>1</v>
      </c>
      <c r="D14" s="1744"/>
      <c r="E14" s="1836" t="s">
        <v>24</v>
      </c>
      <c r="F14" s="1837" t="s">
        <v>108</v>
      </c>
      <c r="G14" s="1838" t="s">
        <v>109</v>
      </c>
      <c r="H14" s="1839" t="s">
        <v>110</v>
      </c>
      <c r="I14" s="1840" t="s">
        <v>111</v>
      </c>
      <c r="J14" s="1841" t="s">
        <v>107</v>
      </c>
      <c r="K14" s="1836" t="s">
        <v>2</v>
      </c>
      <c r="L14" s="1842"/>
      <c r="M14" s="1800"/>
      <c r="N14" s="1835">
        <v>1</v>
      </c>
      <c r="O14" s="1835">
        <v>2</v>
      </c>
      <c r="P14" s="1835">
        <v>3</v>
      </c>
      <c r="Q14" s="1835">
        <v>4</v>
      </c>
      <c r="R14" s="1835">
        <v>5</v>
      </c>
      <c r="S14" s="1835">
        <v>6</v>
      </c>
      <c r="T14" s="1835">
        <v>7</v>
      </c>
      <c r="U14" s="1843"/>
      <c r="V14" s="1844"/>
      <c r="W14" s="1845"/>
      <c r="X14" s="1846"/>
      <c r="Y14" s="1847"/>
      <c r="Z14" s="1835">
        <v>8</v>
      </c>
      <c r="AA14" s="1835">
        <v>9</v>
      </c>
      <c r="AB14" s="1835">
        <v>10</v>
      </c>
      <c r="AC14" s="1835">
        <v>11</v>
      </c>
      <c r="AD14" s="1835">
        <v>12</v>
      </c>
      <c r="AE14" s="1835">
        <v>13</v>
      </c>
      <c r="AF14" s="1835">
        <v>14</v>
      </c>
      <c r="AG14" s="1744"/>
      <c r="AH14" s="1844"/>
      <c r="AI14" s="1845"/>
      <c r="AJ14" s="1846"/>
      <c r="AK14" s="1744"/>
      <c r="AL14" s="1835">
        <v>15</v>
      </c>
      <c r="AM14" s="1835">
        <v>16</v>
      </c>
      <c r="AN14" s="1835">
        <v>17</v>
      </c>
      <c r="AO14" s="1835">
        <v>18</v>
      </c>
      <c r="AP14" s="1835">
        <v>19</v>
      </c>
      <c r="AQ14" s="1835">
        <v>20</v>
      </c>
      <c r="AR14" s="1835">
        <v>21</v>
      </c>
      <c r="AS14" s="2291"/>
      <c r="AT14" s="1844"/>
      <c r="AU14" s="1845"/>
      <c r="AV14" s="1846"/>
      <c r="AW14" s="2291"/>
      <c r="AX14" s="1835">
        <v>22</v>
      </c>
      <c r="AY14" s="1835">
        <v>23</v>
      </c>
      <c r="AZ14" s="1835">
        <v>24</v>
      </c>
      <c r="BA14" s="1835">
        <v>25</v>
      </c>
      <c r="BB14" s="1835">
        <v>26</v>
      </c>
      <c r="BC14" s="1835">
        <v>27</v>
      </c>
      <c r="BD14" s="1835">
        <v>28</v>
      </c>
      <c r="BE14" s="2291"/>
      <c r="BF14" s="1844"/>
      <c r="BG14" s="1845"/>
      <c r="BH14" s="1846"/>
      <c r="BI14" s="1806"/>
      <c r="BJ14" s="1835">
        <v>29</v>
      </c>
      <c r="BK14" s="1835">
        <v>31</v>
      </c>
      <c r="BL14" s="1806"/>
      <c r="BM14" s="1844"/>
      <c r="BN14" s="1845"/>
      <c r="BO14" s="1846"/>
      <c r="BQ14" s="4615"/>
      <c r="BR14" s="4581"/>
      <c r="BT14" s="1835" t="s">
        <v>7</v>
      </c>
      <c r="BU14" s="1835" t="s">
        <v>2</v>
      </c>
      <c r="BV14" s="1806"/>
      <c r="BW14" s="1806"/>
      <c r="BX14" s="1795"/>
      <c r="BY14" s="2743"/>
      <c r="BZ14" s="4607"/>
      <c r="CA14" s="4608"/>
      <c r="CB14" s="1848"/>
      <c r="CC14" s="1799"/>
      <c r="CD14" s="1799"/>
      <c r="CE14" s="1799"/>
      <c r="CF14" s="1799"/>
      <c r="CG14" s="1799"/>
      <c r="CH14" s="1799"/>
      <c r="CI14" s="1799"/>
      <c r="CJ14" s="1799"/>
      <c r="CK14" s="1799"/>
      <c r="CL14" s="1799"/>
      <c r="CM14" s="1799"/>
      <c r="CN14" s="1799"/>
      <c r="CO14" s="1799"/>
      <c r="CP14" s="1799"/>
      <c r="CQ14" s="1799"/>
      <c r="CR14" s="1799"/>
      <c r="CS14" s="1799"/>
      <c r="CT14" s="1799"/>
      <c r="CU14" s="1799"/>
      <c r="CV14" s="1799"/>
      <c r="CW14" s="1799"/>
      <c r="CX14" s="1799"/>
      <c r="CY14" s="1799"/>
      <c r="CZ14" s="1799"/>
      <c r="DA14" s="1799"/>
      <c r="DB14" s="1799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</row>
    <row r="15" spans="2:173" s="1777" customFormat="1" ht="4.5" customHeight="1" x14ac:dyDescent="0.2">
      <c r="B15" s="1806"/>
      <c r="C15" s="1800"/>
      <c r="D15" s="1800"/>
      <c r="E15" s="1800"/>
      <c r="F15" s="1849"/>
      <c r="G15" s="1850"/>
      <c r="H15" s="1851"/>
      <c r="I15" s="1852"/>
      <c r="J15" s="1800"/>
      <c r="K15" s="1800"/>
      <c r="L15" s="1842"/>
      <c r="M15" s="1800"/>
      <c r="N15" s="1806"/>
      <c r="O15" s="1806"/>
      <c r="P15" s="1806"/>
      <c r="Q15" s="1806"/>
      <c r="R15" s="1806"/>
      <c r="S15" s="1806"/>
      <c r="T15" s="1806"/>
      <c r="U15" s="1806"/>
      <c r="V15" s="1806"/>
      <c r="W15" s="1806"/>
      <c r="X15" s="1806"/>
      <c r="Y15" s="1800"/>
      <c r="Z15" s="1806"/>
      <c r="AA15" s="1806"/>
      <c r="AB15" s="1806"/>
      <c r="AC15" s="1806"/>
      <c r="AD15" s="1806"/>
      <c r="AE15" s="1806"/>
      <c r="AF15" s="1806"/>
      <c r="AG15" s="1800"/>
      <c r="AH15" s="1806"/>
      <c r="AI15" s="1806"/>
      <c r="AJ15" s="1806"/>
      <c r="AK15" s="1800"/>
      <c r="AL15" s="1806"/>
      <c r="AM15" s="1806"/>
      <c r="AN15" s="1806"/>
      <c r="AO15" s="1806"/>
      <c r="AP15" s="1806"/>
      <c r="AQ15" s="1806"/>
      <c r="AR15" s="1806"/>
      <c r="AS15" s="1806"/>
      <c r="AT15" s="1806"/>
      <c r="AU15" s="1806"/>
      <c r="AV15" s="1806"/>
      <c r="AW15" s="1806"/>
      <c r="AX15" s="1806"/>
      <c r="AY15" s="1806"/>
      <c r="AZ15" s="1806"/>
      <c r="BA15" s="1806"/>
      <c r="BB15" s="1806"/>
      <c r="BC15" s="1806"/>
      <c r="BD15" s="1806"/>
      <c r="BE15" s="1806"/>
      <c r="BF15" s="1806"/>
      <c r="BG15" s="1806"/>
      <c r="BH15" s="1806"/>
      <c r="BI15" s="1806"/>
      <c r="BJ15" s="1806"/>
      <c r="BK15" s="1806"/>
      <c r="BL15" s="1806"/>
      <c r="BM15" s="1806"/>
      <c r="BN15" s="1806"/>
      <c r="BO15" s="1806"/>
      <c r="BQ15" s="1853"/>
      <c r="BR15" s="1854"/>
      <c r="BT15" s="1800"/>
      <c r="BU15" s="1800"/>
      <c r="BV15" s="1800"/>
      <c r="BW15" s="1800"/>
      <c r="BY15" s="1855"/>
      <c r="BZ15" s="1800"/>
      <c r="CA15" s="1800"/>
      <c r="CB15" s="1856"/>
      <c r="CC15" s="1800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  <c r="CY15" s="1800"/>
      <c r="CZ15" s="1800"/>
      <c r="DA15" s="1800"/>
      <c r="DB15" s="1800"/>
      <c r="DC15" s="1800"/>
      <c r="DD15" s="1800"/>
      <c r="DE15" s="1800"/>
      <c r="DF15" s="1800"/>
      <c r="DG15" s="1800"/>
      <c r="DH15" s="1800"/>
      <c r="DI15" s="1800"/>
      <c r="DJ15" s="1800"/>
      <c r="DK15" s="1800"/>
      <c r="DL15" s="1800"/>
      <c r="DM15" s="1800"/>
      <c r="DN15" s="1800"/>
      <c r="DO15" s="1800"/>
      <c r="DP15" s="1800"/>
      <c r="DQ15" s="1800"/>
      <c r="DR15" s="1800"/>
      <c r="DS15" s="1800"/>
      <c r="DT15" s="1800"/>
      <c r="DU15" s="1800"/>
      <c r="DV15" s="1800"/>
      <c r="DW15" s="1800"/>
      <c r="DX15" s="1800"/>
      <c r="DY15" s="1800"/>
      <c r="DZ15" s="1800"/>
      <c r="EA15" s="1800"/>
      <c r="EB15" s="1800"/>
      <c r="EC15" s="1800"/>
      <c r="ED15" s="1800"/>
      <c r="EE15" s="1800"/>
      <c r="EF15" s="1800"/>
      <c r="EG15" s="1800"/>
      <c r="EH15" s="1800"/>
      <c r="EI15" s="1800"/>
      <c r="EJ15" s="1800"/>
      <c r="EK15" s="1800"/>
      <c r="EL15" s="1800"/>
      <c r="EM15" s="1800"/>
      <c r="EN15" s="1800"/>
      <c r="EO15" s="1800"/>
      <c r="EP15" s="1800"/>
      <c r="EQ15" s="1800"/>
      <c r="ER15" s="1800"/>
      <c r="ES15" s="1800"/>
      <c r="ET15" s="1800"/>
      <c r="EU15" s="1800"/>
      <c r="EV15" s="1800"/>
      <c r="EW15" s="1800"/>
      <c r="EX15" s="1800"/>
      <c r="EY15" s="1800"/>
      <c r="EZ15" s="1800"/>
      <c r="FA15" s="1800"/>
      <c r="FB15" s="1800"/>
      <c r="FC15" s="1800"/>
      <c r="FD15" s="1800"/>
      <c r="FE15" s="1800"/>
      <c r="FF15" s="1800"/>
      <c r="FG15" s="1800"/>
      <c r="FH15" s="1800"/>
      <c r="FI15" s="1800"/>
      <c r="FJ15" s="1800"/>
      <c r="FK15" s="1800"/>
      <c r="FL15" s="1800"/>
      <c r="FM15" s="1800"/>
      <c r="FN15" s="1800"/>
      <c r="FO15" s="1800"/>
      <c r="FP15" s="1800"/>
      <c r="FQ15" s="1800"/>
    </row>
    <row r="16" spans="2:173" s="1810" customFormat="1" ht="21" thickBot="1" x14ac:dyDescent="0.25">
      <c r="B16" s="1963"/>
      <c r="C16" s="1964" t="s">
        <v>266</v>
      </c>
      <c r="D16" s="2578"/>
      <c r="E16" s="1728"/>
      <c r="F16" s="1728"/>
      <c r="G16" s="1728"/>
      <c r="H16" s="1728"/>
      <c r="I16" s="1728"/>
      <c r="J16" s="1728">
        <f>J42*100/23</f>
        <v>366.65942028985506</v>
      </c>
      <c r="K16" s="2383">
        <f>J16*BZ20</f>
        <v>8799.826086956522</v>
      </c>
      <c r="L16" s="1924"/>
      <c r="M16" s="1966"/>
      <c r="N16" s="2266"/>
      <c r="O16" s="2266"/>
      <c r="P16" s="2266"/>
      <c r="Q16" s="2266"/>
      <c r="R16" s="2266"/>
      <c r="S16" s="2266"/>
      <c r="T16" s="2266"/>
      <c r="U16" s="1814"/>
      <c r="V16" s="4588"/>
      <c r="W16" s="4588"/>
      <c r="X16" s="4588"/>
      <c r="Y16" s="1766"/>
      <c r="Z16" s="2266"/>
      <c r="AA16" s="2266"/>
      <c r="AB16" s="2266"/>
      <c r="AC16" s="2266"/>
      <c r="AD16" s="2266"/>
      <c r="AE16" s="2266"/>
      <c r="AF16" s="2266"/>
      <c r="AG16" s="1766"/>
      <c r="AH16" s="4588"/>
      <c r="AI16" s="4588"/>
      <c r="AJ16" s="4588"/>
      <c r="AK16" s="1766"/>
      <c r="AL16" s="2266"/>
      <c r="AM16" s="2266"/>
      <c r="AN16" s="2266"/>
      <c r="AO16" s="2266"/>
      <c r="AP16" s="2266"/>
      <c r="AQ16" s="2266"/>
      <c r="AR16" s="2266"/>
      <c r="AS16" s="1814"/>
      <c r="AT16" s="4588"/>
      <c r="AU16" s="4588"/>
      <c r="AV16" s="4588"/>
      <c r="AW16" s="1814"/>
      <c r="AX16" s="2266"/>
      <c r="AY16" s="2266"/>
      <c r="AZ16" s="4638" t="s">
        <v>263</v>
      </c>
      <c r="BA16" s="4639"/>
      <c r="BB16" s="4639"/>
      <c r="BC16" s="4639"/>
      <c r="BD16" s="4640"/>
      <c r="BE16" s="1814"/>
      <c r="BF16" s="4588"/>
      <c r="BG16" s="4588"/>
      <c r="BH16" s="4588"/>
      <c r="BI16" s="1814"/>
      <c r="BJ16" s="4638" t="s">
        <v>263</v>
      </c>
      <c r="BK16" s="4640"/>
      <c r="BL16" s="1814"/>
      <c r="BM16" s="4588"/>
      <c r="BN16" s="4588"/>
      <c r="BO16" s="4588"/>
      <c r="BQ16" s="2872"/>
      <c r="BR16" s="1968"/>
      <c r="BS16" s="1817"/>
      <c r="BT16" s="1814"/>
      <c r="BU16" s="1830"/>
      <c r="BV16" s="1830"/>
      <c r="BW16" s="1761"/>
      <c r="BY16" s="1860"/>
      <c r="BZ16" s="2874"/>
      <c r="CA16" s="1860"/>
      <c r="CB16" s="1860"/>
      <c r="CC16" s="1860"/>
      <c r="CD16" s="1860"/>
      <c r="CE16" s="1860"/>
      <c r="CF16" s="1860"/>
      <c r="CG16" s="1860"/>
    </row>
    <row r="17" spans="1:86" x14ac:dyDescent="0.2">
      <c r="A17" s="1777"/>
      <c r="B17" s="1987">
        <v>13</v>
      </c>
      <c r="C17" s="1987" t="s">
        <v>197</v>
      </c>
      <c r="D17" s="1836"/>
      <c r="E17" s="1746">
        <v>1000</v>
      </c>
      <c r="F17" s="1746">
        <v>108.33333333333333</v>
      </c>
      <c r="G17" s="1746">
        <v>72.222222222222214</v>
      </c>
      <c r="H17" s="1746">
        <v>54.166666666666664</v>
      </c>
      <c r="I17" s="1746">
        <v>43.333333333333329</v>
      </c>
      <c r="J17" s="1746">
        <f t="shared" ref="J17:J40" si="12">E17/30</f>
        <v>33.333333333333336</v>
      </c>
      <c r="K17" s="2583">
        <f t="shared" ref="K17:K40" si="13">E17/$E$42</f>
        <v>0.39526472855194772</v>
      </c>
      <c r="L17" s="1909"/>
      <c r="M17" s="1910"/>
      <c r="N17" s="1746">
        <f t="shared" ref="N17" si="14">$J$17</f>
        <v>33.333333333333336</v>
      </c>
      <c r="O17" s="1746"/>
      <c r="P17" s="1746"/>
      <c r="Q17" s="1746"/>
      <c r="R17" s="1746"/>
      <c r="S17" s="1746"/>
      <c r="T17" s="1746"/>
      <c r="U17" s="2875"/>
      <c r="V17" s="1972">
        <f>SUM(N17:T17)</f>
        <v>33.333333333333336</v>
      </c>
      <c r="W17" s="1973">
        <f>($V$3*K17)*$V$5</f>
        <v>94.863534852467453</v>
      </c>
      <c r="X17" s="1974">
        <f>W17-V17</f>
        <v>61.530201519134117</v>
      </c>
      <c r="Y17" s="1914"/>
      <c r="Z17" s="1746"/>
      <c r="AA17" s="1746"/>
      <c r="AB17" s="1746"/>
      <c r="AC17" s="1746"/>
      <c r="AD17" s="1746"/>
      <c r="AE17" s="1746"/>
      <c r="AF17" s="1746"/>
      <c r="AG17" s="1914"/>
      <c r="AH17" s="1972">
        <f>SUM(Z17:AF17)</f>
        <v>0</v>
      </c>
      <c r="AI17" s="1973" t="e">
        <f>($AH$3*K17)*$AH$5</f>
        <v>#DIV/0!</v>
      </c>
      <c r="AJ17" s="1974" t="e">
        <f>AI17-AH17</f>
        <v>#DIV/0!</v>
      </c>
      <c r="AK17" s="1914"/>
      <c r="AL17" s="1990"/>
      <c r="AM17" s="1990"/>
      <c r="AN17" s="1990"/>
      <c r="AO17" s="1990"/>
      <c r="AP17" s="1990"/>
      <c r="AQ17" s="1990"/>
      <c r="AR17" s="1990"/>
      <c r="AS17" s="2297"/>
      <c r="AT17" s="1972">
        <f>SUM(AL17:AR17)</f>
        <v>0</v>
      </c>
      <c r="AU17" s="1973" t="e">
        <f>($AT$3*K17)*$AT$5</f>
        <v>#DIV/0!</v>
      </c>
      <c r="AV17" s="1974" t="e">
        <f>AU17-AT17</f>
        <v>#DIV/0!</v>
      </c>
      <c r="AW17" s="2297"/>
      <c r="AX17" s="1990"/>
      <c r="AY17" s="1990"/>
      <c r="AZ17" s="1990"/>
      <c r="BA17" s="1990"/>
      <c r="BB17" s="1990"/>
      <c r="BC17" s="1990"/>
      <c r="BD17" s="1990"/>
      <c r="BE17" s="2297"/>
      <c r="BF17" s="1972">
        <f>SUM(AX17:BD17)</f>
        <v>0</v>
      </c>
      <c r="BG17" s="1973" t="e">
        <f>($BF$3*K17)*$BF$5</f>
        <v>#DIV/0!</v>
      </c>
      <c r="BH17" s="1974" t="e">
        <f>BG17-BF17</f>
        <v>#DIV/0!</v>
      </c>
      <c r="BI17" s="2875"/>
      <c r="BJ17" s="1746"/>
      <c r="BK17" s="1990"/>
      <c r="BL17" s="2875"/>
      <c r="BM17" s="1972">
        <f t="shared" ref="BM17:BM37" si="15">SUM(BJ17:BK17)</f>
        <v>0</v>
      </c>
      <c r="BN17" s="1973" t="e">
        <f>($BM$3*K17)*$BM$5</f>
        <v>#DIV/0!</v>
      </c>
      <c r="BO17" s="1974" t="e">
        <f>BN17-BM17</f>
        <v>#DIV/0!</v>
      </c>
      <c r="BQ17" s="1747">
        <v>0</v>
      </c>
      <c r="BR17" s="1752">
        <f t="shared" ref="BR17:BR37" si="16">BQ17/E17</f>
        <v>0</v>
      </c>
      <c r="BS17" s="1754"/>
      <c r="BT17" s="1975">
        <f t="shared" ref="BT17:BT37" si="17">SUM(N17:T17)+SUM(Z17:AF17)+SUM(AL17:AR17)+SUM(AX17:BD17)+SUM(BJ17:BK17)</f>
        <v>33.333333333333336</v>
      </c>
      <c r="BU17" s="1976">
        <f t="shared" ref="BU17:BU37" si="18">BT17/E17</f>
        <v>3.3333333333333333E-2</v>
      </c>
      <c r="BV17" s="1993"/>
      <c r="BW17" s="1977"/>
      <c r="BY17" s="1923"/>
      <c r="BZ17" s="1978"/>
      <c r="CA17" s="1979"/>
      <c r="CB17" s="1980"/>
      <c r="CC17" s="1980"/>
      <c r="CD17" s="1980"/>
      <c r="CE17" s="1980"/>
      <c r="CF17" s="1980"/>
      <c r="CG17" s="1980"/>
      <c r="CH17" s="1981"/>
    </row>
    <row r="18" spans="1:86" s="1726" customFormat="1" x14ac:dyDescent="0.2">
      <c r="B18" s="1963">
        <v>14</v>
      </c>
      <c r="C18" s="1963" t="s">
        <v>198</v>
      </c>
      <c r="D18" s="2578"/>
      <c r="E18" s="1728">
        <v>750</v>
      </c>
      <c r="F18" s="1728">
        <v>45</v>
      </c>
      <c r="G18" s="1728">
        <v>30</v>
      </c>
      <c r="H18" s="1728">
        <v>22.5</v>
      </c>
      <c r="I18" s="1728">
        <v>18</v>
      </c>
      <c r="J18" s="1728">
        <f t="shared" si="12"/>
        <v>25</v>
      </c>
      <c r="K18" s="1729">
        <f t="shared" si="13"/>
        <v>0.29644854641396079</v>
      </c>
      <c r="L18" s="1876"/>
      <c r="M18" s="1877"/>
      <c r="N18" s="1728">
        <f t="shared" ref="N18" si="19">$J$18</f>
        <v>25</v>
      </c>
      <c r="O18" s="1728"/>
      <c r="P18" s="1728"/>
      <c r="Q18" s="1728"/>
      <c r="R18" s="1728"/>
      <c r="S18" s="1728"/>
      <c r="T18" s="1728"/>
      <c r="U18" s="2876"/>
      <c r="V18" s="1982">
        <f>SUM(N18:T18)</f>
        <v>25</v>
      </c>
      <c r="W18" s="2268">
        <f>($V$3*K18)*$V$5</f>
        <v>71.147651139350586</v>
      </c>
      <c r="X18" s="1984">
        <f>W18-V18</f>
        <v>46.147651139350586</v>
      </c>
      <c r="Y18" s="1881"/>
      <c r="Z18" s="1728"/>
      <c r="AA18" s="1728"/>
      <c r="AB18" s="1728"/>
      <c r="AC18" s="1728"/>
      <c r="AD18" s="1728"/>
      <c r="AE18" s="1728"/>
      <c r="AF18" s="1728"/>
      <c r="AG18" s="1881"/>
      <c r="AH18" s="1982">
        <f>SUM(Z18:AF18)</f>
        <v>0</v>
      </c>
      <c r="AI18" s="2268" t="e">
        <f t="shared" ref="AI18:AI40" si="20">($AH$3*K18)*$AH$5</f>
        <v>#DIV/0!</v>
      </c>
      <c r="AJ18" s="1984" t="e">
        <f>AI18-AH18</f>
        <v>#DIV/0!</v>
      </c>
      <c r="AK18" s="1881"/>
      <c r="AL18" s="2268"/>
      <c r="AM18" s="2268"/>
      <c r="AN18" s="2268"/>
      <c r="AO18" s="2268"/>
      <c r="AP18" s="2268"/>
      <c r="AQ18" s="2268"/>
      <c r="AR18" s="2268"/>
      <c r="AS18" s="2293"/>
      <c r="AT18" s="1982">
        <f>SUM(AL18:AR18)</f>
        <v>0</v>
      </c>
      <c r="AU18" s="2268" t="e">
        <f t="shared" ref="AU18:AU40" si="21">($AT$3*K18)*$AT$5</f>
        <v>#DIV/0!</v>
      </c>
      <c r="AV18" s="1984" t="e">
        <f>AU18-AT18</f>
        <v>#DIV/0!</v>
      </c>
      <c r="AW18" s="2293"/>
      <c r="AX18" s="2268"/>
      <c r="AY18" s="2268"/>
      <c r="AZ18" s="2268"/>
      <c r="BA18" s="2268"/>
      <c r="BB18" s="2268"/>
      <c r="BC18" s="2268"/>
      <c r="BD18" s="2268"/>
      <c r="BE18" s="2293"/>
      <c r="BF18" s="1982">
        <f>SUM(AX18:BD18)</f>
        <v>0</v>
      </c>
      <c r="BG18" s="2268" t="e">
        <f t="shared" ref="BG18:BG40" si="22">($BF$3*K18)*$BF$5</f>
        <v>#DIV/0!</v>
      </c>
      <c r="BH18" s="1984" t="e">
        <f>BG18-BF18</f>
        <v>#DIV/0!</v>
      </c>
      <c r="BI18" s="2876"/>
      <c r="BJ18" s="1728"/>
      <c r="BK18" s="2268"/>
      <c r="BL18" s="2876"/>
      <c r="BM18" s="1982">
        <f t="shared" si="15"/>
        <v>0</v>
      </c>
      <c r="BN18" s="2268" t="e">
        <f t="shared" ref="BN18:BN40" si="23">($BM$3*K18)*$BM$5</f>
        <v>#DIV/0!</v>
      </c>
      <c r="BO18" s="1984" t="e">
        <f>BN18-BM18</f>
        <v>#DIV/0!</v>
      </c>
      <c r="BQ18" s="1732">
        <v>0</v>
      </c>
      <c r="BR18" s="1882">
        <f t="shared" si="16"/>
        <v>0</v>
      </c>
      <c r="BS18" s="1740"/>
      <c r="BT18" s="1734">
        <f t="shared" si="17"/>
        <v>25</v>
      </c>
      <c r="BU18" s="1918">
        <f t="shared" si="18"/>
        <v>3.3333333333333333E-2</v>
      </c>
      <c r="BV18" s="1997"/>
      <c r="BW18" s="2874"/>
      <c r="BY18" s="1860"/>
      <c r="BZ18" s="1985">
        <v>43793</v>
      </c>
      <c r="CA18" s="1830"/>
      <c r="CB18" s="1817"/>
      <c r="CC18" s="1810"/>
      <c r="CD18" s="1810"/>
      <c r="CE18" s="1810"/>
      <c r="CF18" s="1810"/>
      <c r="CG18" s="1810"/>
      <c r="CH18" s="1986"/>
    </row>
    <row r="19" spans="1:86" s="1947" customFormat="1" x14ac:dyDescent="0.2">
      <c r="B19" s="2000">
        <v>15</v>
      </c>
      <c r="C19" s="2000" t="s">
        <v>211</v>
      </c>
      <c r="D19" s="2579"/>
      <c r="E19" s="2001">
        <v>120</v>
      </c>
      <c r="F19" s="2001"/>
      <c r="G19" s="2001"/>
      <c r="H19" s="2001"/>
      <c r="I19" s="2001"/>
      <c r="J19" s="2001">
        <f t="shared" si="12"/>
        <v>4</v>
      </c>
      <c r="K19" s="2584">
        <f t="shared" si="13"/>
        <v>4.7431767426233722E-2</v>
      </c>
      <c r="L19" s="2003"/>
      <c r="M19" s="1950"/>
      <c r="N19" s="2001">
        <f t="shared" ref="N19" si="24">$J$19</f>
        <v>4</v>
      </c>
      <c r="O19" s="2001"/>
      <c r="P19" s="2001"/>
      <c r="Q19" s="2001"/>
      <c r="R19" s="2001"/>
      <c r="S19" s="2001"/>
      <c r="T19" s="2001"/>
      <c r="U19" s="1951"/>
      <c r="V19" s="2004">
        <f>SUM(N19:T19)</f>
        <v>4</v>
      </c>
      <c r="W19" s="2005">
        <f>($V$3*K19)*$V$5</f>
        <v>11.383624182296092</v>
      </c>
      <c r="X19" s="2006">
        <f t="shared" ref="X19:X39" si="25">W19-V19</f>
        <v>7.3836241822960922</v>
      </c>
      <c r="Y19" s="1955"/>
      <c r="Z19" s="2001"/>
      <c r="AA19" s="2001"/>
      <c r="AB19" s="2001"/>
      <c r="AC19" s="2001"/>
      <c r="AD19" s="2001"/>
      <c r="AE19" s="2001"/>
      <c r="AF19" s="2001"/>
      <c r="AG19" s="1955"/>
      <c r="AH19" s="2004">
        <f t="shared" ref="AH19:AH40" si="26">SUM(Z19:AF19)</f>
        <v>0</v>
      </c>
      <c r="AI19" s="2005" t="e">
        <f t="shared" si="20"/>
        <v>#DIV/0!</v>
      </c>
      <c r="AJ19" s="2006" t="e">
        <f t="shared" ref="AJ19:AJ40" si="27">AI19-AH19</f>
        <v>#DIV/0!</v>
      </c>
      <c r="AK19" s="1955"/>
      <c r="AL19" s="2005"/>
      <c r="AM19" s="2005"/>
      <c r="AN19" s="2005"/>
      <c r="AO19" s="2005"/>
      <c r="AP19" s="2005"/>
      <c r="AQ19" s="2005"/>
      <c r="AR19" s="2005"/>
      <c r="AS19" s="2299"/>
      <c r="AT19" s="2004">
        <f t="shared" ref="AT19:AT40" si="28">SUM(AL19:AR19)</f>
        <v>0</v>
      </c>
      <c r="AU19" s="2005" t="e">
        <f t="shared" si="21"/>
        <v>#DIV/0!</v>
      </c>
      <c r="AV19" s="2006" t="e">
        <f t="shared" ref="AV19:AV40" si="29">AU19-AT19</f>
        <v>#DIV/0!</v>
      </c>
      <c r="AW19" s="2299"/>
      <c r="AX19" s="2005"/>
      <c r="AY19" s="2005"/>
      <c r="AZ19" s="2005"/>
      <c r="BA19" s="2005"/>
      <c r="BB19" s="2005"/>
      <c r="BC19" s="2005"/>
      <c r="BD19" s="2005"/>
      <c r="BE19" s="2299"/>
      <c r="BF19" s="2004">
        <f t="shared" ref="BF19:BF40" si="30">SUM(AX19:BD19)</f>
        <v>0</v>
      </c>
      <c r="BG19" s="2005" t="e">
        <f t="shared" si="22"/>
        <v>#DIV/0!</v>
      </c>
      <c r="BH19" s="2006" t="e">
        <f t="shared" ref="BH19:BH40" si="31">BG19-BF19</f>
        <v>#DIV/0!</v>
      </c>
      <c r="BI19" s="1951"/>
      <c r="BJ19" s="2001"/>
      <c r="BK19" s="2005"/>
      <c r="BL19" s="1951"/>
      <c r="BM19" s="2004">
        <f t="shared" si="15"/>
        <v>0</v>
      </c>
      <c r="BN19" s="2005" t="e">
        <f t="shared" si="23"/>
        <v>#DIV/0!</v>
      </c>
      <c r="BO19" s="2006" t="e">
        <f t="shared" ref="BO19" si="32">BN19-BM19</f>
        <v>#DIV/0!</v>
      </c>
      <c r="BQ19" s="2007">
        <v>0</v>
      </c>
      <c r="BR19" s="2008">
        <f t="shared" si="16"/>
        <v>0</v>
      </c>
      <c r="BS19" s="1959"/>
      <c r="BT19" s="1901">
        <f t="shared" si="17"/>
        <v>4</v>
      </c>
      <c r="BU19" s="1902">
        <f t="shared" si="18"/>
        <v>3.3333333333333333E-2</v>
      </c>
      <c r="BV19" s="1962"/>
      <c r="BW19" s="1905"/>
      <c r="BY19" s="2869"/>
      <c r="BZ19" s="2009">
        <v>43799</v>
      </c>
      <c r="CA19" s="2010"/>
      <c r="CB19" s="2011"/>
      <c r="CC19" s="1946"/>
      <c r="CD19" s="1946"/>
      <c r="CE19" s="1946"/>
      <c r="CF19" s="1946"/>
      <c r="CG19" s="1946"/>
      <c r="CH19" s="2012"/>
    </row>
    <row r="20" spans="1:86" s="1756" customFormat="1" x14ac:dyDescent="0.2">
      <c r="B20" s="1963">
        <v>16</v>
      </c>
      <c r="C20" s="1963" t="s">
        <v>230</v>
      </c>
      <c r="D20" s="2578"/>
      <c r="E20" s="1728">
        <v>100</v>
      </c>
      <c r="F20" s="1728"/>
      <c r="G20" s="1728"/>
      <c r="H20" s="1728"/>
      <c r="I20" s="1728"/>
      <c r="J20" s="1728">
        <f t="shared" si="12"/>
        <v>3.3333333333333335</v>
      </c>
      <c r="K20" s="1729">
        <f t="shared" si="13"/>
        <v>3.9526472855194769E-2</v>
      </c>
      <c r="L20" s="1931"/>
      <c r="M20" s="1924"/>
      <c r="N20" s="1728">
        <f t="shared" ref="N20" si="33">$J$20</f>
        <v>3.3333333333333335</v>
      </c>
      <c r="O20" s="1728"/>
      <c r="P20" s="1728"/>
      <c r="Q20" s="1728"/>
      <c r="R20" s="1728"/>
      <c r="S20" s="1728"/>
      <c r="T20" s="1728"/>
      <c r="U20" s="1814"/>
      <c r="V20" s="1982">
        <f t="shared" ref="V20:V108" si="34">SUM(N20:T20)</f>
        <v>3.3333333333333335</v>
      </c>
      <c r="W20" s="2268">
        <f>($V$3*K20)*$V$5</f>
        <v>9.4863534852467435</v>
      </c>
      <c r="X20" s="1984">
        <f t="shared" si="25"/>
        <v>6.1530201519134096</v>
      </c>
      <c r="Y20" s="1764"/>
      <c r="Z20" s="1728"/>
      <c r="AA20" s="1728"/>
      <c r="AB20" s="1728"/>
      <c r="AC20" s="1728"/>
      <c r="AD20" s="1728"/>
      <c r="AE20" s="1728"/>
      <c r="AF20" s="1728"/>
      <c r="AG20" s="1764"/>
      <c r="AH20" s="1982">
        <f t="shared" si="26"/>
        <v>0</v>
      </c>
      <c r="AI20" s="2268" t="e">
        <f t="shared" si="20"/>
        <v>#DIV/0!</v>
      </c>
      <c r="AJ20" s="1984" t="e">
        <f t="shared" si="27"/>
        <v>#DIV/0!</v>
      </c>
      <c r="AK20" s="1764"/>
      <c r="AL20" s="2268"/>
      <c r="AM20" s="2268"/>
      <c r="AN20" s="2268"/>
      <c r="AO20" s="2268"/>
      <c r="AP20" s="2268"/>
      <c r="AQ20" s="2268"/>
      <c r="AR20" s="2268"/>
      <c r="AS20" s="2289"/>
      <c r="AT20" s="1982">
        <f t="shared" si="28"/>
        <v>0</v>
      </c>
      <c r="AU20" s="2268" t="e">
        <f t="shared" si="21"/>
        <v>#DIV/0!</v>
      </c>
      <c r="AV20" s="1984" t="e">
        <f t="shared" si="29"/>
        <v>#DIV/0!</v>
      </c>
      <c r="AW20" s="2289"/>
      <c r="AX20" s="2268"/>
      <c r="AY20" s="2268"/>
      <c r="AZ20" s="2268"/>
      <c r="BA20" s="2268"/>
      <c r="BB20" s="2268"/>
      <c r="BC20" s="2268"/>
      <c r="BD20" s="2268"/>
      <c r="BE20" s="2289"/>
      <c r="BF20" s="1982">
        <f t="shared" si="30"/>
        <v>0</v>
      </c>
      <c r="BG20" s="2268" t="e">
        <f t="shared" si="22"/>
        <v>#DIV/0!</v>
      </c>
      <c r="BH20" s="1984" t="e">
        <f t="shared" si="31"/>
        <v>#DIV/0!</v>
      </c>
      <c r="BI20" s="1814"/>
      <c r="BJ20" s="1728"/>
      <c r="BK20" s="2268"/>
      <c r="BL20" s="1814"/>
      <c r="BM20" s="1982">
        <f t="shared" si="15"/>
        <v>0</v>
      </c>
      <c r="BN20" s="2268" t="e">
        <f t="shared" si="23"/>
        <v>#DIV/0!</v>
      </c>
      <c r="BO20" s="1984" t="e">
        <f>BN20-BM20</f>
        <v>#DIV/0!</v>
      </c>
      <c r="BQ20" s="1735">
        <v>0</v>
      </c>
      <c r="BR20" s="1768">
        <f t="shared" si="16"/>
        <v>0</v>
      </c>
      <c r="BS20" s="2868"/>
      <c r="BT20" s="1763">
        <f t="shared" si="17"/>
        <v>3.3333333333333335</v>
      </c>
      <c r="BU20" s="1883">
        <f t="shared" si="18"/>
        <v>3.3333333333333333E-2</v>
      </c>
      <c r="BV20" s="1830"/>
      <c r="BW20" s="1761"/>
      <c r="BY20" s="2874"/>
      <c r="BZ20" s="1996">
        <v>24</v>
      </c>
      <c r="CA20" s="1997"/>
      <c r="CB20" s="1861"/>
      <c r="CC20" s="1860"/>
      <c r="CD20" s="1860"/>
      <c r="CE20" s="1860"/>
      <c r="CF20" s="1860"/>
      <c r="CG20" s="1860"/>
      <c r="CH20" s="1998"/>
    </row>
    <row r="21" spans="1:86" s="1947" customFormat="1" x14ac:dyDescent="0.2">
      <c r="B21" s="2000">
        <v>17</v>
      </c>
      <c r="C21" s="2000" t="s">
        <v>199</v>
      </c>
      <c r="D21" s="2579"/>
      <c r="E21" s="2001">
        <v>75</v>
      </c>
      <c r="F21" s="2001">
        <v>0</v>
      </c>
      <c r="G21" s="2001">
        <v>0</v>
      </c>
      <c r="H21" s="2001">
        <v>0</v>
      </c>
      <c r="I21" s="2001">
        <v>0</v>
      </c>
      <c r="J21" s="2001">
        <f t="shared" si="12"/>
        <v>2.5</v>
      </c>
      <c r="K21" s="2584">
        <f t="shared" si="13"/>
        <v>2.9644854641396077E-2</v>
      </c>
      <c r="L21" s="2003"/>
      <c r="M21" s="1950"/>
      <c r="N21" s="2001">
        <f t="shared" ref="N21" si="35">$J$21</f>
        <v>2.5</v>
      </c>
      <c r="O21" s="2001"/>
      <c r="P21" s="2001"/>
      <c r="Q21" s="2001"/>
      <c r="R21" s="2001"/>
      <c r="S21" s="2001"/>
      <c r="T21" s="2001"/>
      <c r="U21" s="1951"/>
      <c r="V21" s="2004">
        <f t="shared" si="34"/>
        <v>2.5</v>
      </c>
      <c r="W21" s="2005">
        <f t="shared" ref="W21:W40" si="36">($V$3*K21)*$V$5</f>
        <v>7.1147651139350581</v>
      </c>
      <c r="X21" s="2006">
        <f t="shared" si="25"/>
        <v>4.6147651139350581</v>
      </c>
      <c r="Y21" s="1955"/>
      <c r="Z21" s="2001"/>
      <c r="AA21" s="2001"/>
      <c r="AB21" s="2001"/>
      <c r="AC21" s="2001"/>
      <c r="AD21" s="2001"/>
      <c r="AE21" s="2001"/>
      <c r="AF21" s="2001"/>
      <c r="AG21" s="1955"/>
      <c r="AH21" s="2004">
        <f t="shared" si="26"/>
        <v>0</v>
      </c>
      <c r="AI21" s="2005" t="e">
        <f t="shared" si="20"/>
        <v>#DIV/0!</v>
      </c>
      <c r="AJ21" s="2006" t="e">
        <f t="shared" si="27"/>
        <v>#DIV/0!</v>
      </c>
      <c r="AK21" s="1955"/>
      <c r="AL21" s="2005"/>
      <c r="AM21" s="2005"/>
      <c r="AN21" s="2005"/>
      <c r="AO21" s="2005"/>
      <c r="AP21" s="2005"/>
      <c r="AQ21" s="2005"/>
      <c r="AR21" s="2005"/>
      <c r="AS21" s="2299"/>
      <c r="AT21" s="2004">
        <f t="shared" si="28"/>
        <v>0</v>
      </c>
      <c r="AU21" s="2005" t="e">
        <f t="shared" si="21"/>
        <v>#DIV/0!</v>
      </c>
      <c r="AV21" s="2006" t="e">
        <f t="shared" si="29"/>
        <v>#DIV/0!</v>
      </c>
      <c r="AW21" s="2299"/>
      <c r="AX21" s="2005"/>
      <c r="AY21" s="2005"/>
      <c r="AZ21" s="2005"/>
      <c r="BA21" s="2005"/>
      <c r="BB21" s="2005"/>
      <c r="BC21" s="2005"/>
      <c r="BD21" s="2005"/>
      <c r="BE21" s="2299"/>
      <c r="BF21" s="2004">
        <f t="shared" si="30"/>
        <v>0</v>
      </c>
      <c r="BG21" s="2005" t="e">
        <f t="shared" si="22"/>
        <v>#DIV/0!</v>
      </c>
      <c r="BH21" s="2006" t="e">
        <f t="shared" si="31"/>
        <v>#DIV/0!</v>
      </c>
      <c r="BI21" s="1951"/>
      <c r="BJ21" s="2001"/>
      <c r="BK21" s="2005"/>
      <c r="BL21" s="1951"/>
      <c r="BM21" s="2004">
        <f t="shared" si="15"/>
        <v>0</v>
      </c>
      <c r="BN21" s="2005" t="e">
        <f t="shared" si="23"/>
        <v>#DIV/0!</v>
      </c>
      <c r="BO21" s="2006" t="e">
        <f>BN21-BM21</f>
        <v>#DIV/0!</v>
      </c>
      <c r="BQ21" s="2007">
        <v>0</v>
      </c>
      <c r="BR21" s="2008">
        <f t="shared" si="16"/>
        <v>0</v>
      </c>
      <c r="BS21" s="1959"/>
      <c r="BT21" s="1901">
        <f t="shared" si="17"/>
        <v>2.5</v>
      </c>
      <c r="BU21" s="1902">
        <f t="shared" si="18"/>
        <v>3.3333333333333333E-2</v>
      </c>
      <c r="BV21" s="1962"/>
      <c r="BW21" s="1905"/>
      <c r="BY21" s="2869"/>
      <c r="BZ21" s="2009">
        <v>43793</v>
      </c>
      <c r="CA21" s="2010"/>
      <c r="CB21" s="2011"/>
      <c r="CC21" s="1946"/>
      <c r="CD21" s="1946"/>
      <c r="CE21" s="1946"/>
      <c r="CF21" s="1946"/>
      <c r="CG21" s="1946"/>
      <c r="CH21" s="2012"/>
    </row>
    <row r="22" spans="1:86" s="1756" customFormat="1" x14ac:dyDescent="0.2">
      <c r="B22" s="1963">
        <v>18</v>
      </c>
      <c r="C22" s="1963" t="s">
        <v>239</v>
      </c>
      <c r="D22" s="2578"/>
      <c r="E22" s="1728">
        <v>75</v>
      </c>
      <c r="F22" s="1728"/>
      <c r="G22" s="1728"/>
      <c r="H22" s="1728"/>
      <c r="I22" s="1728"/>
      <c r="J22" s="1728">
        <f t="shared" si="12"/>
        <v>2.5</v>
      </c>
      <c r="K22" s="1729">
        <f t="shared" si="13"/>
        <v>2.9644854641396077E-2</v>
      </c>
      <c r="L22" s="1931"/>
      <c r="M22" s="1924"/>
      <c r="N22" s="1728">
        <f t="shared" ref="N22" si="37">$J$22</f>
        <v>2.5</v>
      </c>
      <c r="O22" s="1728"/>
      <c r="P22" s="1728"/>
      <c r="Q22" s="1728"/>
      <c r="R22" s="1728"/>
      <c r="S22" s="1728"/>
      <c r="T22" s="1728"/>
      <c r="U22" s="1814"/>
      <c r="V22" s="1982">
        <f t="shared" si="34"/>
        <v>2.5</v>
      </c>
      <c r="W22" s="2268">
        <f t="shared" si="36"/>
        <v>7.1147651139350581</v>
      </c>
      <c r="X22" s="1984">
        <f t="shared" si="25"/>
        <v>4.6147651139350581</v>
      </c>
      <c r="Y22" s="1764"/>
      <c r="Z22" s="1728"/>
      <c r="AA22" s="1728"/>
      <c r="AB22" s="1728"/>
      <c r="AC22" s="1728"/>
      <c r="AD22" s="1728"/>
      <c r="AE22" s="1728"/>
      <c r="AF22" s="1728"/>
      <c r="AG22" s="1764"/>
      <c r="AH22" s="1982">
        <f t="shared" si="26"/>
        <v>0</v>
      </c>
      <c r="AI22" s="2268" t="e">
        <f t="shared" si="20"/>
        <v>#DIV/0!</v>
      </c>
      <c r="AJ22" s="1984" t="e">
        <f t="shared" si="27"/>
        <v>#DIV/0!</v>
      </c>
      <c r="AK22" s="1764"/>
      <c r="AL22" s="2268"/>
      <c r="AM22" s="2268"/>
      <c r="AN22" s="2268"/>
      <c r="AO22" s="2268"/>
      <c r="AP22" s="2268"/>
      <c r="AQ22" s="2268"/>
      <c r="AR22" s="2268"/>
      <c r="AS22" s="2289"/>
      <c r="AT22" s="1982">
        <f t="shared" si="28"/>
        <v>0</v>
      </c>
      <c r="AU22" s="2268" t="e">
        <f t="shared" si="21"/>
        <v>#DIV/0!</v>
      </c>
      <c r="AV22" s="1984" t="e">
        <f t="shared" si="29"/>
        <v>#DIV/0!</v>
      </c>
      <c r="AW22" s="2289"/>
      <c r="AX22" s="2268"/>
      <c r="AY22" s="2268"/>
      <c r="AZ22" s="2268"/>
      <c r="BA22" s="2268"/>
      <c r="BB22" s="2268"/>
      <c r="BC22" s="2268"/>
      <c r="BD22" s="2268"/>
      <c r="BE22" s="2289"/>
      <c r="BF22" s="1982">
        <f t="shared" si="30"/>
        <v>0</v>
      </c>
      <c r="BG22" s="2268" t="e">
        <f t="shared" si="22"/>
        <v>#DIV/0!</v>
      </c>
      <c r="BH22" s="1984" t="e">
        <f t="shared" si="31"/>
        <v>#DIV/0!</v>
      </c>
      <c r="BI22" s="1814"/>
      <c r="BJ22" s="1728"/>
      <c r="BK22" s="2268"/>
      <c r="BL22" s="1814"/>
      <c r="BM22" s="1982">
        <f t="shared" si="15"/>
        <v>0</v>
      </c>
      <c r="BN22" s="2268" t="e">
        <f t="shared" si="23"/>
        <v>#DIV/0!</v>
      </c>
      <c r="BO22" s="1984" t="e">
        <f>BN22-BM22</f>
        <v>#DIV/0!</v>
      </c>
      <c r="BQ22" s="1735">
        <v>0</v>
      </c>
      <c r="BR22" s="1768">
        <f t="shared" si="16"/>
        <v>0</v>
      </c>
      <c r="BS22" s="2868"/>
      <c r="BT22" s="1763">
        <f t="shared" si="17"/>
        <v>2.5</v>
      </c>
      <c r="BU22" s="1883">
        <f t="shared" si="18"/>
        <v>3.3333333333333333E-2</v>
      </c>
      <c r="BV22" s="1830"/>
      <c r="BW22" s="1761"/>
      <c r="BY22" s="2874"/>
      <c r="BZ22" s="2015">
        <v>43799</v>
      </c>
      <c r="CA22" s="1997"/>
      <c r="CB22" s="1861"/>
      <c r="CC22" s="1860"/>
      <c r="CD22" s="1860"/>
      <c r="CE22" s="1860"/>
      <c r="CF22" s="1860"/>
      <c r="CG22" s="1860"/>
      <c r="CH22" s="1998"/>
    </row>
    <row r="23" spans="1:86" s="1947" customFormat="1" x14ac:dyDescent="0.2">
      <c r="B23" s="2000">
        <v>19</v>
      </c>
      <c r="C23" s="2000" t="s">
        <v>214</v>
      </c>
      <c r="D23" s="2579"/>
      <c r="E23" s="2001">
        <v>0</v>
      </c>
      <c r="F23" s="2001">
        <v>75.3</v>
      </c>
      <c r="G23" s="2001">
        <v>50.2</v>
      </c>
      <c r="H23" s="2001">
        <v>37.65</v>
      </c>
      <c r="I23" s="2001">
        <v>30.12</v>
      </c>
      <c r="J23" s="2001">
        <f t="shared" si="12"/>
        <v>0</v>
      </c>
      <c r="K23" s="2584">
        <f t="shared" si="13"/>
        <v>0</v>
      </c>
      <c r="L23" s="2003"/>
      <c r="M23" s="1950"/>
      <c r="N23" s="2001">
        <f t="shared" ref="N23" si="38">$J$23</f>
        <v>0</v>
      </c>
      <c r="O23" s="2001"/>
      <c r="P23" s="2001"/>
      <c r="Q23" s="2001"/>
      <c r="R23" s="2001"/>
      <c r="S23" s="2001"/>
      <c r="T23" s="2001"/>
      <c r="U23" s="1951"/>
      <c r="V23" s="2004">
        <f t="shared" si="34"/>
        <v>0</v>
      </c>
      <c r="W23" s="2005">
        <f t="shared" si="36"/>
        <v>0</v>
      </c>
      <c r="X23" s="2006">
        <f t="shared" si="25"/>
        <v>0</v>
      </c>
      <c r="Y23" s="1955"/>
      <c r="Z23" s="2001"/>
      <c r="AA23" s="2001"/>
      <c r="AB23" s="2001"/>
      <c r="AC23" s="2001"/>
      <c r="AD23" s="2001"/>
      <c r="AE23" s="2001"/>
      <c r="AF23" s="2001"/>
      <c r="AG23" s="1955"/>
      <c r="AH23" s="2004">
        <f t="shared" si="26"/>
        <v>0</v>
      </c>
      <c r="AI23" s="2005" t="e">
        <f t="shared" si="20"/>
        <v>#DIV/0!</v>
      </c>
      <c r="AJ23" s="2006" t="e">
        <f t="shared" si="27"/>
        <v>#DIV/0!</v>
      </c>
      <c r="AK23" s="1955"/>
      <c r="AL23" s="2005"/>
      <c r="AM23" s="2005"/>
      <c r="AN23" s="2005"/>
      <c r="AO23" s="2005"/>
      <c r="AP23" s="2005"/>
      <c r="AQ23" s="2005"/>
      <c r="AR23" s="2005"/>
      <c r="AS23" s="2299"/>
      <c r="AT23" s="2004">
        <f t="shared" si="28"/>
        <v>0</v>
      </c>
      <c r="AU23" s="2005" t="e">
        <f t="shared" si="21"/>
        <v>#DIV/0!</v>
      </c>
      <c r="AV23" s="2006" t="e">
        <f t="shared" si="29"/>
        <v>#DIV/0!</v>
      </c>
      <c r="AW23" s="2299"/>
      <c r="AX23" s="2005"/>
      <c r="AY23" s="2005"/>
      <c r="AZ23" s="2005"/>
      <c r="BA23" s="2005"/>
      <c r="BB23" s="2005"/>
      <c r="BC23" s="2005"/>
      <c r="BD23" s="2005"/>
      <c r="BE23" s="2299"/>
      <c r="BF23" s="2004">
        <f t="shared" si="30"/>
        <v>0</v>
      </c>
      <c r="BG23" s="2005" t="e">
        <f t="shared" si="22"/>
        <v>#DIV/0!</v>
      </c>
      <c r="BH23" s="2006" t="e">
        <f t="shared" si="31"/>
        <v>#DIV/0!</v>
      </c>
      <c r="BI23" s="1951"/>
      <c r="BJ23" s="2001"/>
      <c r="BK23" s="2005"/>
      <c r="BL23" s="1951"/>
      <c r="BM23" s="2004">
        <f t="shared" si="15"/>
        <v>0</v>
      </c>
      <c r="BN23" s="2005" t="e">
        <f t="shared" si="23"/>
        <v>#DIV/0!</v>
      </c>
      <c r="BO23" s="2006" t="e">
        <f>BN23-BM23</f>
        <v>#DIV/0!</v>
      </c>
      <c r="BQ23" s="2007">
        <v>0</v>
      </c>
      <c r="BR23" s="2008" t="e">
        <f t="shared" si="16"/>
        <v>#DIV/0!</v>
      </c>
      <c r="BS23" s="1959"/>
      <c r="BT23" s="1901">
        <f t="shared" si="17"/>
        <v>0</v>
      </c>
      <c r="BU23" s="1902" t="e">
        <f t="shared" si="18"/>
        <v>#DIV/0!</v>
      </c>
      <c r="BV23" s="1962"/>
      <c r="BW23" s="1905"/>
      <c r="BY23" s="2869"/>
      <c r="BZ23" s="2479">
        <f>BZ22-BZ21</f>
        <v>6</v>
      </c>
      <c r="CA23" s="2010"/>
      <c r="CB23" s="2011"/>
      <c r="CC23" s="1946"/>
      <c r="CD23" s="1946"/>
      <c r="CE23" s="1946"/>
      <c r="CF23" s="1946"/>
      <c r="CG23" s="1946"/>
      <c r="CH23" s="2012"/>
    </row>
    <row r="24" spans="1:86" s="1756" customFormat="1" x14ac:dyDescent="0.2">
      <c r="B24" s="1963">
        <v>20</v>
      </c>
      <c r="C24" s="1963" t="s">
        <v>247</v>
      </c>
      <c r="D24" s="2578"/>
      <c r="E24" s="1728">
        <v>60</v>
      </c>
      <c r="F24" s="1728">
        <v>0</v>
      </c>
      <c r="G24" s="1728">
        <v>0</v>
      </c>
      <c r="H24" s="1728">
        <v>0</v>
      </c>
      <c r="I24" s="1728">
        <v>0</v>
      </c>
      <c r="J24" s="1728">
        <f t="shared" si="12"/>
        <v>2</v>
      </c>
      <c r="K24" s="1729">
        <f t="shared" si="13"/>
        <v>2.3715883713116861E-2</v>
      </c>
      <c r="L24" s="1931"/>
      <c r="M24" s="1924"/>
      <c r="N24" s="1728">
        <f t="shared" ref="N24" si="39">$J$24</f>
        <v>2</v>
      </c>
      <c r="O24" s="1728"/>
      <c r="P24" s="1728"/>
      <c r="Q24" s="1728"/>
      <c r="R24" s="1728"/>
      <c r="S24" s="1728"/>
      <c r="T24" s="1728"/>
      <c r="U24" s="1814"/>
      <c r="V24" s="1982">
        <f t="shared" si="34"/>
        <v>2</v>
      </c>
      <c r="W24" s="2268">
        <f t="shared" si="36"/>
        <v>5.6918120911480461</v>
      </c>
      <c r="X24" s="1984">
        <f t="shared" si="25"/>
        <v>3.6918120911480461</v>
      </c>
      <c r="Y24" s="1764"/>
      <c r="Z24" s="1728"/>
      <c r="AA24" s="1728"/>
      <c r="AB24" s="1728"/>
      <c r="AC24" s="1728"/>
      <c r="AD24" s="1728"/>
      <c r="AE24" s="1728"/>
      <c r="AF24" s="1728"/>
      <c r="AG24" s="1764"/>
      <c r="AH24" s="1982">
        <f t="shared" si="26"/>
        <v>0</v>
      </c>
      <c r="AI24" s="2268" t="e">
        <f t="shared" si="20"/>
        <v>#DIV/0!</v>
      </c>
      <c r="AJ24" s="1984" t="e">
        <f t="shared" si="27"/>
        <v>#DIV/0!</v>
      </c>
      <c r="AK24" s="1764"/>
      <c r="AL24" s="2268"/>
      <c r="AM24" s="2268"/>
      <c r="AN24" s="2268"/>
      <c r="AO24" s="2268"/>
      <c r="AP24" s="2268"/>
      <c r="AQ24" s="2268"/>
      <c r="AR24" s="2268"/>
      <c r="AS24" s="2289"/>
      <c r="AT24" s="1982">
        <f t="shared" si="28"/>
        <v>0</v>
      </c>
      <c r="AU24" s="2268" t="e">
        <f t="shared" si="21"/>
        <v>#DIV/0!</v>
      </c>
      <c r="AV24" s="1984" t="e">
        <f t="shared" si="29"/>
        <v>#DIV/0!</v>
      </c>
      <c r="AW24" s="2289"/>
      <c r="AX24" s="2268"/>
      <c r="AY24" s="2268"/>
      <c r="AZ24" s="2268"/>
      <c r="BA24" s="2268"/>
      <c r="BB24" s="2268"/>
      <c r="BC24" s="2268"/>
      <c r="BD24" s="2268"/>
      <c r="BE24" s="2289"/>
      <c r="BF24" s="1982">
        <f t="shared" si="30"/>
        <v>0</v>
      </c>
      <c r="BG24" s="2268" t="e">
        <f t="shared" si="22"/>
        <v>#DIV/0!</v>
      </c>
      <c r="BH24" s="1984" t="e">
        <f t="shared" si="31"/>
        <v>#DIV/0!</v>
      </c>
      <c r="BI24" s="1814"/>
      <c r="BJ24" s="1728"/>
      <c r="BK24" s="2268"/>
      <c r="BL24" s="1814"/>
      <c r="BM24" s="1982">
        <f t="shared" si="15"/>
        <v>0</v>
      </c>
      <c r="BN24" s="2268" t="e">
        <f t="shared" si="23"/>
        <v>#DIV/0!</v>
      </c>
      <c r="BO24" s="1984" t="e">
        <f t="shared" ref="BO24:BO40" si="40">BN24-BM24</f>
        <v>#DIV/0!</v>
      </c>
      <c r="BQ24" s="1735">
        <v>0</v>
      </c>
      <c r="BR24" s="1768">
        <f t="shared" si="16"/>
        <v>0</v>
      </c>
      <c r="BS24" s="2868"/>
      <c r="BT24" s="1763">
        <f t="shared" si="17"/>
        <v>2</v>
      </c>
      <c r="BU24" s="1883">
        <f t="shared" si="18"/>
        <v>3.3333333333333333E-2</v>
      </c>
      <c r="BV24" s="1830"/>
      <c r="BW24" s="1761"/>
      <c r="BY24" s="2874"/>
      <c r="BZ24" s="1985"/>
      <c r="CA24" s="1997"/>
      <c r="CB24" s="1861"/>
      <c r="CC24" s="1860"/>
      <c r="CD24" s="1860"/>
      <c r="CE24" s="1860"/>
      <c r="CF24" s="1860"/>
      <c r="CG24" s="1860"/>
      <c r="CH24" s="1998"/>
    </row>
    <row r="25" spans="1:86" s="1947" customFormat="1" x14ac:dyDescent="0.2">
      <c r="B25" s="2000">
        <v>21</v>
      </c>
      <c r="C25" s="2000" t="s">
        <v>235</v>
      </c>
      <c r="D25" s="2579"/>
      <c r="E25" s="2001">
        <v>25</v>
      </c>
      <c r="F25" s="2001">
        <v>10</v>
      </c>
      <c r="G25" s="2001">
        <v>6.666666666666667</v>
      </c>
      <c r="H25" s="2001">
        <v>5</v>
      </c>
      <c r="I25" s="2001">
        <v>4</v>
      </c>
      <c r="J25" s="2001">
        <f t="shared" si="12"/>
        <v>0.83333333333333337</v>
      </c>
      <c r="K25" s="2584">
        <f t="shared" si="13"/>
        <v>9.8816182137986923E-3</v>
      </c>
      <c r="L25" s="2003"/>
      <c r="M25" s="1950"/>
      <c r="N25" s="2001">
        <f t="shared" ref="N25" si="41">$J$25</f>
        <v>0.83333333333333337</v>
      </c>
      <c r="O25" s="2001"/>
      <c r="P25" s="2001"/>
      <c r="Q25" s="2001"/>
      <c r="R25" s="2001"/>
      <c r="S25" s="2001"/>
      <c r="T25" s="2001"/>
      <c r="U25" s="1951"/>
      <c r="V25" s="2004">
        <f t="shared" si="34"/>
        <v>0.83333333333333337</v>
      </c>
      <c r="W25" s="2005">
        <f t="shared" si="36"/>
        <v>2.3715883713116859</v>
      </c>
      <c r="X25" s="2006">
        <f t="shared" si="25"/>
        <v>1.5382550379783524</v>
      </c>
      <c r="Y25" s="1955"/>
      <c r="Z25" s="2001"/>
      <c r="AA25" s="2001"/>
      <c r="AB25" s="2001"/>
      <c r="AC25" s="2001"/>
      <c r="AD25" s="2001"/>
      <c r="AE25" s="2001"/>
      <c r="AF25" s="2001"/>
      <c r="AG25" s="1955"/>
      <c r="AH25" s="2004">
        <f t="shared" si="26"/>
        <v>0</v>
      </c>
      <c r="AI25" s="2005" t="e">
        <f t="shared" si="20"/>
        <v>#DIV/0!</v>
      </c>
      <c r="AJ25" s="2006" t="e">
        <f t="shared" si="27"/>
        <v>#DIV/0!</v>
      </c>
      <c r="AK25" s="1955"/>
      <c r="AL25" s="2005"/>
      <c r="AM25" s="2005"/>
      <c r="AN25" s="2005"/>
      <c r="AO25" s="2005"/>
      <c r="AP25" s="2005"/>
      <c r="AQ25" s="2005"/>
      <c r="AR25" s="2005"/>
      <c r="AS25" s="2299"/>
      <c r="AT25" s="2004">
        <f t="shared" si="28"/>
        <v>0</v>
      </c>
      <c r="AU25" s="2005" t="e">
        <f t="shared" si="21"/>
        <v>#DIV/0!</v>
      </c>
      <c r="AV25" s="2006" t="e">
        <f t="shared" si="29"/>
        <v>#DIV/0!</v>
      </c>
      <c r="AW25" s="2299"/>
      <c r="AX25" s="2005"/>
      <c r="AY25" s="2005"/>
      <c r="AZ25" s="2005"/>
      <c r="BA25" s="2005"/>
      <c r="BB25" s="2005"/>
      <c r="BC25" s="2005"/>
      <c r="BD25" s="2005"/>
      <c r="BE25" s="2299"/>
      <c r="BF25" s="2004">
        <f t="shared" si="30"/>
        <v>0</v>
      </c>
      <c r="BG25" s="2005" t="e">
        <f t="shared" si="22"/>
        <v>#DIV/0!</v>
      </c>
      <c r="BH25" s="2006" t="e">
        <f t="shared" si="31"/>
        <v>#DIV/0!</v>
      </c>
      <c r="BI25" s="1951"/>
      <c r="BJ25" s="2001"/>
      <c r="BK25" s="2005"/>
      <c r="BL25" s="1951"/>
      <c r="BM25" s="2004">
        <f t="shared" si="15"/>
        <v>0</v>
      </c>
      <c r="BN25" s="2005" t="e">
        <f t="shared" si="23"/>
        <v>#DIV/0!</v>
      </c>
      <c r="BO25" s="2006" t="e">
        <f t="shared" si="40"/>
        <v>#DIV/0!</v>
      </c>
      <c r="BQ25" s="2007">
        <v>0</v>
      </c>
      <c r="BR25" s="2008">
        <f t="shared" si="16"/>
        <v>0</v>
      </c>
      <c r="BS25" s="1959"/>
      <c r="BT25" s="1901">
        <f t="shared" si="17"/>
        <v>0.83333333333333337</v>
      </c>
      <c r="BU25" s="1902">
        <f t="shared" si="18"/>
        <v>3.3333333333333333E-2</v>
      </c>
      <c r="BV25" s="1962"/>
      <c r="BW25" s="1905"/>
      <c r="BY25" s="2869"/>
      <c r="BZ25" s="2488"/>
      <c r="CA25" s="2010" t="s">
        <v>157</v>
      </c>
      <c r="CB25" s="2490">
        <f>BT1</f>
        <v>0.77419354838709675</v>
      </c>
      <c r="CC25" s="1946"/>
      <c r="CD25" s="1946"/>
      <c r="CE25" s="1946"/>
      <c r="CF25" s="1946"/>
      <c r="CG25" s="1946"/>
      <c r="CH25" s="2012"/>
    </row>
    <row r="26" spans="1:86" s="1726" customFormat="1" x14ac:dyDescent="0.2">
      <c r="A26" s="1756"/>
      <c r="B26" s="1963">
        <v>22</v>
      </c>
      <c r="C26" s="1963" t="s">
        <v>208</v>
      </c>
      <c r="D26" s="2578"/>
      <c r="E26" s="1728">
        <v>0</v>
      </c>
      <c r="F26" s="1728"/>
      <c r="G26" s="1728"/>
      <c r="H26" s="1728"/>
      <c r="I26" s="1728"/>
      <c r="J26" s="1728">
        <f t="shared" si="12"/>
        <v>0</v>
      </c>
      <c r="K26" s="1729">
        <f t="shared" si="13"/>
        <v>0</v>
      </c>
      <c r="L26" s="1931"/>
      <c r="M26" s="1877"/>
      <c r="N26" s="1728">
        <f t="shared" ref="N26" si="42">$J$26</f>
        <v>0</v>
      </c>
      <c r="O26" s="1728"/>
      <c r="P26" s="1728"/>
      <c r="Q26" s="1728"/>
      <c r="R26" s="1728"/>
      <c r="S26" s="1728"/>
      <c r="T26" s="1728"/>
      <c r="U26" s="2876"/>
      <c r="V26" s="1982">
        <f t="shared" si="34"/>
        <v>0</v>
      </c>
      <c r="W26" s="2268">
        <f t="shared" si="36"/>
        <v>0</v>
      </c>
      <c r="X26" s="1984">
        <f t="shared" si="25"/>
        <v>0</v>
      </c>
      <c r="Y26" s="1881"/>
      <c r="Z26" s="1728"/>
      <c r="AA26" s="1728"/>
      <c r="AB26" s="1728"/>
      <c r="AC26" s="1728"/>
      <c r="AD26" s="1728"/>
      <c r="AE26" s="1728"/>
      <c r="AF26" s="1728"/>
      <c r="AG26" s="1881"/>
      <c r="AH26" s="1982">
        <f t="shared" si="26"/>
        <v>0</v>
      </c>
      <c r="AI26" s="2268" t="e">
        <f t="shared" si="20"/>
        <v>#DIV/0!</v>
      </c>
      <c r="AJ26" s="1984" t="e">
        <f t="shared" si="27"/>
        <v>#DIV/0!</v>
      </c>
      <c r="AK26" s="1881"/>
      <c r="AL26" s="2268"/>
      <c r="AM26" s="2268"/>
      <c r="AN26" s="2268"/>
      <c r="AO26" s="2268"/>
      <c r="AP26" s="2268"/>
      <c r="AQ26" s="2268"/>
      <c r="AR26" s="2268"/>
      <c r="AS26" s="2293"/>
      <c r="AT26" s="1982">
        <f t="shared" si="28"/>
        <v>0</v>
      </c>
      <c r="AU26" s="2268" t="e">
        <f t="shared" si="21"/>
        <v>#DIV/0!</v>
      </c>
      <c r="AV26" s="1984" t="e">
        <f t="shared" si="29"/>
        <v>#DIV/0!</v>
      </c>
      <c r="AW26" s="2293"/>
      <c r="AX26" s="2268"/>
      <c r="AY26" s="2268"/>
      <c r="AZ26" s="2268"/>
      <c r="BA26" s="2268"/>
      <c r="BB26" s="2268"/>
      <c r="BC26" s="2268"/>
      <c r="BD26" s="2268"/>
      <c r="BE26" s="2293"/>
      <c r="BF26" s="1982">
        <f t="shared" si="30"/>
        <v>0</v>
      </c>
      <c r="BG26" s="2268" t="e">
        <f t="shared" si="22"/>
        <v>#DIV/0!</v>
      </c>
      <c r="BH26" s="1984" t="e">
        <f t="shared" si="31"/>
        <v>#DIV/0!</v>
      </c>
      <c r="BI26" s="2876"/>
      <c r="BJ26" s="1728"/>
      <c r="BK26" s="2268"/>
      <c r="BL26" s="2876"/>
      <c r="BM26" s="1982">
        <f t="shared" si="15"/>
        <v>0</v>
      </c>
      <c r="BN26" s="2268" t="e">
        <f t="shared" si="23"/>
        <v>#DIV/0!</v>
      </c>
      <c r="BO26" s="1984" t="e">
        <f t="shared" si="40"/>
        <v>#DIV/0!</v>
      </c>
      <c r="BQ26" s="1732">
        <v>0</v>
      </c>
      <c r="BR26" s="1882" t="e">
        <f t="shared" si="16"/>
        <v>#DIV/0!</v>
      </c>
      <c r="BS26" s="1740"/>
      <c r="BT26" s="1734">
        <f t="shared" si="17"/>
        <v>0</v>
      </c>
      <c r="BU26" s="1918" t="e">
        <f t="shared" si="18"/>
        <v>#DIV/0!</v>
      </c>
      <c r="BV26" s="1997"/>
      <c r="BW26" s="2874"/>
      <c r="BY26" s="2014"/>
      <c r="BZ26" s="2637"/>
      <c r="CA26" s="1962"/>
      <c r="CB26" s="2638"/>
      <c r="CC26" s="1810"/>
      <c r="CD26" s="1810"/>
      <c r="CE26" s="1810"/>
      <c r="CF26" s="1810"/>
      <c r="CG26" s="1810"/>
      <c r="CH26" s="1986"/>
    </row>
    <row r="27" spans="1:86" s="1885" customFormat="1" x14ac:dyDescent="0.2">
      <c r="A27" s="1947"/>
      <c r="B27" s="2000">
        <v>23</v>
      </c>
      <c r="C27" s="2000" t="s">
        <v>202</v>
      </c>
      <c r="D27" s="2579"/>
      <c r="E27" s="2001">
        <v>30</v>
      </c>
      <c r="F27" s="2001"/>
      <c r="G27" s="2001"/>
      <c r="H27" s="2001"/>
      <c r="I27" s="2001"/>
      <c r="J27" s="2001">
        <f t="shared" si="12"/>
        <v>1</v>
      </c>
      <c r="K27" s="2584">
        <f t="shared" si="13"/>
        <v>1.185794185655843E-2</v>
      </c>
      <c r="L27" s="1891"/>
      <c r="M27" s="1950"/>
      <c r="N27" s="2001">
        <f t="shared" ref="N27" si="43">$J$27</f>
        <v>1</v>
      </c>
      <c r="O27" s="2001"/>
      <c r="P27" s="2001"/>
      <c r="Q27" s="2001"/>
      <c r="R27" s="2001"/>
      <c r="S27" s="2001"/>
      <c r="T27" s="2001"/>
      <c r="U27" s="2870"/>
      <c r="V27" s="2004">
        <f t="shared" si="34"/>
        <v>1</v>
      </c>
      <c r="W27" s="2005">
        <f t="shared" si="36"/>
        <v>2.845906045574023</v>
      </c>
      <c r="X27" s="2006">
        <f t="shared" si="25"/>
        <v>1.845906045574023</v>
      </c>
      <c r="Y27" s="1896"/>
      <c r="Z27" s="2001"/>
      <c r="AA27" s="2001"/>
      <c r="AB27" s="2001"/>
      <c r="AC27" s="2001"/>
      <c r="AD27" s="2001"/>
      <c r="AE27" s="2001"/>
      <c r="AF27" s="2001"/>
      <c r="AG27" s="1896"/>
      <c r="AH27" s="2004">
        <f t="shared" si="26"/>
        <v>0</v>
      </c>
      <c r="AI27" s="2005" t="e">
        <f t="shared" si="20"/>
        <v>#DIV/0!</v>
      </c>
      <c r="AJ27" s="2006" t="e">
        <f t="shared" si="27"/>
        <v>#DIV/0!</v>
      </c>
      <c r="AK27" s="1896"/>
      <c r="AL27" s="2005"/>
      <c r="AM27" s="2005"/>
      <c r="AN27" s="2005"/>
      <c r="AO27" s="2005"/>
      <c r="AP27" s="2005"/>
      <c r="AQ27" s="2005"/>
      <c r="AR27" s="2005"/>
      <c r="AS27" s="2295"/>
      <c r="AT27" s="2004">
        <f t="shared" si="28"/>
        <v>0</v>
      </c>
      <c r="AU27" s="2005" t="e">
        <f t="shared" si="21"/>
        <v>#DIV/0!</v>
      </c>
      <c r="AV27" s="2006" t="e">
        <f t="shared" si="29"/>
        <v>#DIV/0!</v>
      </c>
      <c r="AW27" s="2295"/>
      <c r="AX27" s="2005"/>
      <c r="AY27" s="2005"/>
      <c r="AZ27" s="2005"/>
      <c r="BA27" s="2005"/>
      <c r="BB27" s="2005"/>
      <c r="BC27" s="2005"/>
      <c r="BD27" s="2005"/>
      <c r="BE27" s="2295"/>
      <c r="BF27" s="2004">
        <f t="shared" si="30"/>
        <v>0</v>
      </c>
      <c r="BG27" s="2005" t="e">
        <f t="shared" si="22"/>
        <v>#DIV/0!</v>
      </c>
      <c r="BH27" s="2006" t="e">
        <f t="shared" si="31"/>
        <v>#DIV/0!</v>
      </c>
      <c r="BI27" s="2870"/>
      <c r="BJ27" s="2001"/>
      <c r="BK27" s="2005"/>
      <c r="BL27" s="2870"/>
      <c r="BM27" s="2004">
        <f t="shared" si="15"/>
        <v>0</v>
      </c>
      <c r="BN27" s="2005" t="e">
        <f t="shared" si="23"/>
        <v>#DIV/0!</v>
      </c>
      <c r="BO27" s="2006" t="e">
        <f t="shared" si="40"/>
        <v>#DIV/0!</v>
      </c>
      <c r="BQ27" s="1898">
        <v>0</v>
      </c>
      <c r="BR27" s="1899">
        <f t="shared" si="16"/>
        <v>0</v>
      </c>
      <c r="BS27" s="1900"/>
      <c r="BT27" s="2244">
        <f t="shared" si="17"/>
        <v>1</v>
      </c>
      <c r="BU27" s="2387">
        <f t="shared" si="18"/>
        <v>3.3333333333333333E-2</v>
      </c>
      <c r="BV27" s="2010"/>
      <c r="BW27" s="2869"/>
      <c r="BY27" s="2869"/>
      <c r="BZ27" s="2036"/>
      <c r="CA27" s="1997"/>
      <c r="CB27" s="2037"/>
      <c r="CC27" s="1906"/>
      <c r="CD27" s="1906"/>
      <c r="CE27" s="1906"/>
      <c r="CF27" s="1906"/>
      <c r="CG27" s="1906"/>
      <c r="CH27" s="2386"/>
    </row>
    <row r="28" spans="1:86" s="1726" customFormat="1" x14ac:dyDescent="0.2">
      <c r="B28" s="1963">
        <v>24</v>
      </c>
      <c r="C28" s="1963" t="s">
        <v>254</v>
      </c>
      <c r="D28" s="2578"/>
      <c r="E28" s="1728">
        <v>26.35</v>
      </c>
      <c r="F28" s="1728">
        <v>5</v>
      </c>
      <c r="G28" s="1728">
        <v>3.3333333333333335</v>
      </c>
      <c r="H28" s="1728">
        <v>2.5</v>
      </c>
      <c r="I28" s="1728">
        <v>2</v>
      </c>
      <c r="J28" s="1728">
        <f t="shared" si="12"/>
        <v>0.87833333333333341</v>
      </c>
      <c r="K28" s="1729">
        <f t="shared" si="13"/>
        <v>1.0415225597343822E-2</v>
      </c>
      <c r="L28" s="1931"/>
      <c r="M28" s="1924"/>
      <c r="N28" s="1728">
        <f t="shared" ref="N28" si="44">$J$28</f>
        <v>0.87833333333333341</v>
      </c>
      <c r="O28" s="1728"/>
      <c r="P28" s="1728"/>
      <c r="Q28" s="1728"/>
      <c r="R28" s="1728"/>
      <c r="S28" s="1728"/>
      <c r="T28" s="1728"/>
      <c r="U28" s="2876"/>
      <c r="V28" s="1982">
        <f t="shared" si="34"/>
        <v>0.87833333333333341</v>
      </c>
      <c r="W28" s="2268">
        <f t="shared" si="36"/>
        <v>2.499654143362517</v>
      </c>
      <c r="X28" s="1984">
        <f>W28-V28</f>
        <v>1.6213208100291836</v>
      </c>
      <c r="Y28" s="1881"/>
      <c r="Z28" s="1728"/>
      <c r="AA28" s="1728"/>
      <c r="AB28" s="1728"/>
      <c r="AC28" s="1728"/>
      <c r="AD28" s="1728"/>
      <c r="AE28" s="1728"/>
      <c r="AF28" s="1728"/>
      <c r="AG28" s="1881"/>
      <c r="AH28" s="1982">
        <f t="shared" si="26"/>
        <v>0</v>
      </c>
      <c r="AI28" s="2268" t="e">
        <f t="shared" si="20"/>
        <v>#DIV/0!</v>
      </c>
      <c r="AJ28" s="1984" t="e">
        <f t="shared" si="27"/>
        <v>#DIV/0!</v>
      </c>
      <c r="AK28" s="1881"/>
      <c r="AL28" s="2268"/>
      <c r="AM28" s="2268"/>
      <c r="AN28" s="2268"/>
      <c r="AO28" s="2268"/>
      <c r="AP28" s="2268"/>
      <c r="AQ28" s="2268"/>
      <c r="AR28" s="2268"/>
      <c r="AS28" s="2293"/>
      <c r="AT28" s="1982">
        <f t="shared" si="28"/>
        <v>0</v>
      </c>
      <c r="AU28" s="2268" t="e">
        <f t="shared" si="21"/>
        <v>#DIV/0!</v>
      </c>
      <c r="AV28" s="1984" t="e">
        <f t="shared" si="29"/>
        <v>#DIV/0!</v>
      </c>
      <c r="AW28" s="2293"/>
      <c r="AX28" s="2268"/>
      <c r="AY28" s="2268"/>
      <c r="AZ28" s="2268"/>
      <c r="BA28" s="2268"/>
      <c r="BB28" s="2268"/>
      <c r="BC28" s="2268"/>
      <c r="BD28" s="2268"/>
      <c r="BE28" s="2293"/>
      <c r="BF28" s="1982">
        <f t="shared" si="30"/>
        <v>0</v>
      </c>
      <c r="BG28" s="2268" t="e">
        <f t="shared" si="22"/>
        <v>#DIV/0!</v>
      </c>
      <c r="BH28" s="1984" t="e">
        <f t="shared" si="31"/>
        <v>#DIV/0!</v>
      </c>
      <c r="BI28" s="2876"/>
      <c r="BJ28" s="1728"/>
      <c r="BK28" s="2268"/>
      <c r="BL28" s="2876"/>
      <c r="BM28" s="1982">
        <f t="shared" si="15"/>
        <v>0</v>
      </c>
      <c r="BN28" s="2268" t="e">
        <f t="shared" si="23"/>
        <v>#DIV/0!</v>
      </c>
      <c r="BO28" s="1984" t="e">
        <f t="shared" si="40"/>
        <v>#DIV/0!</v>
      </c>
      <c r="BQ28" s="1732">
        <v>0</v>
      </c>
      <c r="BR28" s="1882">
        <f t="shared" si="16"/>
        <v>0</v>
      </c>
      <c r="BS28" s="1740"/>
      <c r="BT28" s="1734">
        <f t="shared" si="17"/>
        <v>0.87833333333333341</v>
      </c>
      <c r="BU28" s="1918">
        <f t="shared" si="18"/>
        <v>3.3333333333333333E-2</v>
      </c>
      <c r="BV28" s="1997"/>
      <c r="BW28" s="2874"/>
      <c r="BY28" s="2874"/>
      <c r="BZ28" s="2038"/>
      <c r="CA28" s="1994"/>
      <c r="CB28" s="1994"/>
      <c r="CC28" s="1810"/>
      <c r="CD28" s="1810"/>
      <c r="CE28" s="1810"/>
      <c r="CF28" s="1810"/>
      <c r="CG28" s="1810"/>
      <c r="CH28" s="1986"/>
    </row>
    <row r="29" spans="1:86" s="1885" customFormat="1" x14ac:dyDescent="0.2">
      <c r="B29" s="2580">
        <v>25</v>
      </c>
      <c r="C29" s="2580" t="s">
        <v>205</v>
      </c>
      <c r="D29" s="2596"/>
      <c r="E29" s="2597">
        <v>12.75</v>
      </c>
      <c r="F29" s="2597"/>
      <c r="G29" s="2597"/>
      <c r="H29" s="2597"/>
      <c r="I29" s="2597"/>
      <c r="J29" s="2597">
        <f t="shared" si="12"/>
        <v>0.42499999999999999</v>
      </c>
      <c r="K29" s="2598">
        <f t="shared" si="13"/>
        <v>5.039625289037333E-3</v>
      </c>
      <c r="L29" s="2003"/>
      <c r="M29" s="1950"/>
      <c r="N29" s="2001">
        <f t="shared" ref="N29" si="45">$J$29</f>
        <v>0.42499999999999999</v>
      </c>
      <c r="O29" s="2001"/>
      <c r="P29" s="2001"/>
      <c r="Q29" s="2001"/>
      <c r="R29" s="2001"/>
      <c r="S29" s="2001"/>
      <c r="T29" s="2001"/>
      <c r="U29" s="2870"/>
      <c r="V29" s="2481">
        <f t="shared" si="34"/>
        <v>0.42499999999999999</v>
      </c>
      <c r="W29" s="2482">
        <f t="shared" si="36"/>
        <v>1.2095100693689598</v>
      </c>
      <c r="X29" s="2483">
        <f t="shared" si="25"/>
        <v>0.78451006936895973</v>
      </c>
      <c r="Y29" s="1896"/>
      <c r="Z29" s="2001"/>
      <c r="AA29" s="2001"/>
      <c r="AB29" s="2001"/>
      <c r="AC29" s="2001"/>
      <c r="AD29" s="2001"/>
      <c r="AE29" s="2001"/>
      <c r="AF29" s="2001"/>
      <c r="AG29" s="1896"/>
      <c r="AH29" s="2481">
        <f t="shared" si="26"/>
        <v>0</v>
      </c>
      <c r="AI29" s="2482" t="e">
        <f t="shared" si="20"/>
        <v>#DIV/0!</v>
      </c>
      <c r="AJ29" s="2483" t="e">
        <f t="shared" si="27"/>
        <v>#DIV/0!</v>
      </c>
      <c r="AK29" s="1896"/>
      <c r="AL29" s="2005"/>
      <c r="AM29" s="2005"/>
      <c r="AN29" s="2005"/>
      <c r="AO29" s="2005"/>
      <c r="AP29" s="2005"/>
      <c r="AQ29" s="2005"/>
      <c r="AR29" s="2005"/>
      <c r="AS29" s="2295"/>
      <c r="AT29" s="2481">
        <f t="shared" si="28"/>
        <v>0</v>
      </c>
      <c r="AU29" s="2482" t="e">
        <f t="shared" si="21"/>
        <v>#DIV/0!</v>
      </c>
      <c r="AV29" s="2483" t="e">
        <f t="shared" si="29"/>
        <v>#DIV/0!</v>
      </c>
      <c r="AW29" s="2295"/>
      <c r="AX29" s="2005"/>
      <c r="AY29" s="2005"/>
      <c r="AZ29" s="2005"/>
      <c r="BA29" s="2005"/>
      <c r="BB29" s="2005"/>
      <c r="BC29" s="2005"/>
      <c r="BD29" s="2005"/>
      <c r="BE29" s="2295"/>
      <c r="BF29" s="2481">
        <f t="shared" si="30"/>
        <v>0</v>
      </c>
      <c r="BG29" s="2482" t="e">
        <f t="shared" si="22"/>
        <v>#DIV/0!</v>
      </c>
      <c r="BH29" s="2483" t="e">
        <f t="shared" si="31"/>
        <v>#DIV/0!</v>
      </c>
      <c r="BI29" s="2870"/>
      <c r="BJ29" s="2001"/>
      <c r="BK29" s="2005"/>
      <c r="BL29" s="2870"/>
      <c r="BM29" s="2481">
        <f t="shared" si="15"/>
        <v>0</v>
      </c>
      <c r="BN29" s="2482" t="e">
        <f t="shared" si="23"/>
        <v>#DIV/0!</v>
      </c>
      <c r="BO29" s="2483" t="e">
        <f t="shared" si="40"/>
        <v>#DIV/0!</v>
      </c>
      <c r="BQ29" s="1898">
        <v>0</v>
      </c>
      <c r="BR29" s="1899">
        <f t="shared" si="16"/>
        <v>0</v>
      </c>
      <c r="BS29" s="1900"/>
      <c r="BT29" s="2388">
        <f t="shared" si="17"/>
        <v>0.42499999999999999</v>
      </c>
      <c r="BU29" s="2389">
        <f t="shared" si="18"/>
        <v>3.3333333333333333E-2</v>
      </c>
      <c r="BV29" s="2010"/>
      <c r="BW29" s="2869"/>
      <c r="BY29" s="2869"/>
      <c r="BZ29" s="2488"/>
      <c r="CA29" s="2404" t="s">
        <v>155</v>
      </c>
      <c r="CB29" s="2010" t="s">
        <v>156</v>
      </c>
      <c r="CC29" s="1906"/>
      <c r="CD29" s="1906"/>
      <c r="CE29" s="1906"/>
      <c r="CF29" s="1906"/>
      <c r="CG29" s="1906"/>
      <c r="CH29" s="2386"/>
    </row>
    <row r="30" spans="1:86" s="1726" customFormat="1" x14ac:dyDescent="0.2">
      <c r="B30" s="1963">
        <v>26</v>
      </c>
      <c r="C30" s="1963" t="s">
        <v>206</v>
      </c>
      <c r="D30" s="2578"/>
      <c r="E30" s="1728">
        <v>8.35</v>
      </c>
      <c r="F30" s="1728"/>
      <c r="G30" s="1728"/>
      <c r="H30" s="1728"/>
      <c r="I30" s="1728"/>
      <c r="J30" s="1728">
        <f t="shared" si="12"/>
        <v>0.27833333333333332</v>
      </c>
      <c r="K30" s="1729">
        <f t="shared" si="13"/>
        <v>3.300460483408763E-3</v>
      </c>
      <c r="L30" s="1931"/>
      <c r="M30" s="1924"/>
      <c r="N30" s="1728">
        <f t="shared" ref="N30" si="46">$J$30</f>
        <v>0.27833333333333332</v>
      </c>
      <c r="O30" s="1728"/>
      <c r="P30" s="1728"/>
      <c r="Q30" s="1728"/>
      <c r="R30" s="1728"/>
      <c r="S30" s="1728"/>
      <c r="T30" s="1728"/>
      <c r="U30" s="2876"/>
      <c r="V30" s="2016">
        <f t="shared" si="34"/>
        <v>0.27833333333333332</v>
      </c>
      <c r="W30" s="2017">
        <f t="shared" si="36"/>
        <v>0.79211051601810312</v>
      </c>
      <c r="X30" s="2018">
        <f t="shared" si="25"/>
        <v>0.5137771826847698</v>
      </c>
      <c r="Y30" s="1881"/>
      <c r="Z30" s="1728"/>
      <c r="AA30" s="1728"/>
      <c r="AB30" s="1728"/>
      <c r="AC30" s="1728"/>
      <c r="AD30" s="1728"/>
      <c r="AE30" s="1728"/>
      <c r="AF30" s="1728"/>
      <c r="AG30" s="1881"/>
      <c r="AH30" s="2016">
        <f>SUM(Z30:AF30)</f>
        <v>0</v>
      </c>
      <c r="AI30" s="2017" t="e">
        <f t="shared" si="20"/>
        <v>#DIV/0!</v>
      </c>
      <c r="AJ30" s="2018" t="e">
        <f>AI30-AH30</f>
        <v>#DIV/0!</v>
      </c>
      <c r="AK30" s="1881"/>
      <c r="AL30" s="2268"/>
      <c r="AM30" s="2268"/>
      <c r="AN30" s="2268"/>
      <c r="AO30" s="2268"/>
      <c r="AP30" s="2268"/>
      <c r="AQ30" s="2268"/>
      <c r="AR30" s="2268"/>
      <c r="AS30" s="2293"/>
      <c r="AT30" s="2016">
        <f t="shared" si="28"/>
        <v>0</v>
      </c>
      <c r="AU30" s="2017" t="e">
        <f t="shared" si="21"/>
        <v>#DIV/0!</v>
      </c>
      <c r="AV30" s="2018" t="e">
        <f t="shared" si="29"/>
        <v>#DIV/0!</v>
      </c>
      <c r="AW30" s="2293"/>
      <c r="AX30" s="2268"/>
      <c r="AY30" s="2268"/>
      <c r="AZ30" s="2268"/>
      <c r="BA30" s="2268"/>
      <c r="BB30" s="2268"/>
      <c r="BC30" s="2268"/>
      <c r="BD30" s="2268"/>
      <c r="BE30" s="2293"/>
      <c r="BF30" s="2016">
        <f t="shared" si="30"/>
        <v>0</v>
      </c>
      <c r="BG30" s="2017" t="e">
        <f t="shared" si="22"/>
        <v>#DIV/0!</v>
      </c>
      <c r="BH30" s="2018" t="e">
        <f t="shared" si="31"/>
        <v>#DIV/0!</v>
      </c>
      <c r="BI30" s="2876"/>
      <c r="BJ30" s="1728"/>
      <c r="BK30" s="2268"/>
      <c r="BL30" s="2876"/>
      <c r="BM30" s="2016">
        <f t="shared" si="15"/>
        <v>0</v>
      </c>
      <c r="BN30" s="2017" t="e">
        <f t="shared" si="23"/>
        <v>#DIV/0!</v>
      </c>
      <c r="BO30" s="2018" t="e">
        <f t="shared" si="40"/>
        <v>#DIV/0!</v>
      </c>
      <c r="BQ30" s="1732">
        <v>0</v>
      </c>
      <c r="BR30" s="1882">
        <f t="shared" si="16"/>
        <v>0</v>
      </c>
      <c r="BS30" s="1740"/>
      <c r="BT30" s="2019">
        <f t="shared" si="17"/>
        <v>0.27833333333333332</v>
      </c>
      <c r="BU30" s="2020">
        <f t="shared" si="18"/>
        <v>3.3333333333333333E-2</v>
      </c>
      <c r="BV30" s="1997"/>
      <c r="BW30" s="2874"/>
      <c r="BY30" s="2874"/>
      <c r="BZ30" s="2036" t="s">
        <v>159</v>
      </c>
      <c r="CA30" s="2059">
        <v>0.5</v>
      </c>
      <c r="CB30" s="1997" t="str">
        <f>IF(CB25&lt;=CA30,CB25," ")</f>
        <v xml:space="preserve"> </v>
      </c>
      <c r="CC30" s="1810"/>
      <c r="CD30" s="1810"/>
      <c r="CE30" s="1810"/>
      <c r="CF30" s="1810"/>
      <c r="CG30" s="1810"/>
      <c r="CH30" s="1986"/>
    </row>
    <row r="31" spans="1:86" s="1885" customFormat="1" x14ac:dyDescent="0.2">
      <c r="B31" s="2000">
        <v>27</v>
      </c>
      <c r="C31" s="2000" t="s">
        <v>244</v>
      </c>
      <c r="D31" s="2579"/>
      <c r="E31" s="2001">
        <v>5</v>
      </c>
      <c r="F31" s="2001">
        <v>5</v>
      </c>
      <c r="G31" s="2001">
        <v>3.3333333333333335</v>
      </c>
      <c r="H31" s="2001">
        <v>2.5</v>
      </c>
      <c r="I31" s="2001">
        <v>2</v>
      </c>
      <c r="J31" s="2001">
        <f t="shared" si="12"/>
        <v>0.16666666666666666</v>
      </c>
      <c r="K31" s="2584">
        <f t="shared" si="13"/>
        <v>1.9763236427597385E-3</v>
      </c>
      <c r="L31" s="2003"/>
      <c r="M31" s="1950"/>
      <c r="N31" s="2001">
        <f t="shared" ref="N31" si="47">$J$31</f>
        <v>0.16666666666666666</v>
      </c>
      <c r="O31" s="2001"/>
      <c r="P31" s="2001"/>
      <c r="Q31" s="2001"/>
      <c r="R31" s="2001"/>
      <c r="S31" s="2001"/>
      <c r="T31" s="2001"/>
      <c r="U31" s="2870"/>
      <c r="V31" s="2481">
        <f t="shared" si="34"/>
        <v>0.16666666666666666</v>
      </c>
      <c r="W31" s="2482">
        <f t="shared" si="36"/>
        <v>0.47431767426233723</v>
      </c>
      <c r="X31" s="2483">
        <f t="shared" si="25"/>
        <v>0.30765100759567054</v>
      </c>
      <c r="Y31" s="1896"/>
      <c r="Z31" s="2001"/>
      <c r="AA31" s="2001"/>
      <c r="AB31" s="2001"/>
      <c r="AC31" s="2001"/>
      <c r="AD31" s="2001"/>
      <c r="AE31" s="2001"/>
      <c r="AF31" s="2001"/>
      <c r="AG31" s="1896"/>
      <c r="AH31" s="2481">
        <f t="shared" ref="AH31:AH37" si="48">SUM(Z31:AF31)</f>
        <v>0</v>
      </c>
      <c r="AI31" s="2482" t="e">
        <f t="shared" si="20"/>
        <v>#DIV/0!</v>
      </c>
      <c r="AJ31" s="2483" t="e">
        <f t="shared" ref="AJ31:AJ37" si="49">AI31-AH31</f>
        <v>#DIV/0!</v>
      </c>
      <c r="AK31" s="1896"/>
      <c r="AL31" s="2005"/>
      <c r="AM31" s="2005"/>
      <c r="AN31" s="2005"/>
      <c r="AO31" s="2005"/>
      <c r="AP31" s="2005"/>
      <c r="AQ31" s="2005"/>
      <c r="AR31" s="2005"/>
      <c r="AS31" s="2295"/>
      <c r="AT31" s="2481">
        <f t="shared" si="28"/>
        <v>0</v>
      </c>
      <c r="AU31" s="2482" t="e">
        <f t="shared" si="21"/>
        <v>#DIV/0!</v>
      </c>
      <c r="AV31" s="2483" t="e">
        <f t="shared" si="29"/>
        <v>#DIV/0!</v>
      </c>
      <c r="AW31" s="2295"/>
      <c r="AX31" s="2005"/>
      <c r="AY31" s="2005"/>
      <c r="AZ31" s="2005"/>
      <c r="BA31" s="2005"/>
      <c r="BB31" s="2005"/>
      <c r="BC31" s="2005"/>
      <c r="BD31" s="2005"/>
      <c r="BE31" s="2295"/>
      <c r="BF31" s="2481">
        <f t="shared" si="30"/>
        <v>0</v>
      </c>
      <c r="BG31" s="2482" t="e">
        <f t="shared" si="22"/>
        <v>#DIV/0!</v>
      </c>
      <c r="BH31" s="2483" t="e">
        <f t="shared" si="31"/>
        <v>#DIV/0!</v>
      </c>
      <c r="BI31" s="2870"/>
      <c r="BJ31" s="2001"/>
      <c r="BK31" s="2005"/>
      <c r="BL31" s="2870"/>
      <c r="BM31" s="2481">
        <f t="shared" si="15"/>
        <v>0</v>
      </c>
      <c r="BN31" s="2482" t="e">
        <f t="shared" si="23"/>
        <v>#DIV/0!</v>
      </c>
      <c r="BO31" s="2483" t="e">
        <f t="shared" si="40"/>
        <v>#DIV/0!</v>
      </c>
      <c r="BQ31" s="1898">
        <v>0</v>
      </c>
      <c r="BR31" s="1899">
        <f t="shared" si="16"/>
        <v>0</v>
      </c>
      <c r="BS31" s="1900"/>
      <c r="BT31" s="2388">
        <f t="shared" si="17"/>
        <v>0.16666666666666666</v>
      </c>
      <c r="BU31" s="2389">
        <f t="shared" si="18"/>
        <v>3.3333333333333333E-2</v>
      </c>
      <c r="BV31" s="2010"/>
      <c r="BW31" s="2869"/>
      <c r="BY31" s="2869"/>
      <c r="BZ31" s="2637" t="s">
        <v>160</v>
      </c>
      <c r="CA31" s="2339">
        <v>0.75</v>
      </c>
      <c r="CB31" s="1962" t="str">
        <f>IF(AND(CB25&gt;CA30,CB25&lt;=CA31),CB25," ")</f>
        <v xml:space="preserve"> </v>
      </c>
      <c r="CC31" s="1906"/>
      <c r="CD31" s="1906"/>
      <c r="CE31" s="1906"/>
      <c r="CF31" s="1906"/>
      <c r="CG31" s="1906"/>
      <c r="CH31" s="2386"/>
    </row>
    <row r="32" spans="1:86" s="1726" customFormat="1" x14ac:dyDescent="0.2">
      <c r="B32" s="2508">
        <v>28</v>
      </c>
      <c r="C32" s="1963" t="s">
        <v>255</v>
      </c>
      <c r="D32" s="2578"/>
      <c r="E32" s="1728">
        <v>37.5</v>
      </c>
      <c r="F32" s="1728"/>
      <c r="G32" s="1728"/>
      <c r="H32" s="1728"/>
      <c r="I32" s="1728"/>
      <c r="J32" s="1728">
        <f t="shared" si="12"/>
        <v>1.25</v>
      </c>
      <c r="K32" s="1729">
        <f t="shared" si="13"/>
        <v>1.4822427320698038E-2</v>
      </c>
      <c r="L32" s="1931"/>
      <c r="M32" s="1924"/>
      <c r="N32" s="1728">
        <f t="shared" ref="N32" si="50">$J$32</f>
        <v>1.25</v>
      </c>
      <c r="O32" s="1728"/>
      <c r="P32" s="1728"/>
      <c r="Q32" s="1728"/>
      <c r="R32" s="1728"/>
      <c r="S32" s="1728"/>
      <c r="T32" s="1728"/>
      <c r="U32" s="2876"/>
      <c r="V32" s="2016">
        <f t="shared" si="34"/>
        <v>1.25</v>
      </c>
      <c r="W32" s="2017">
        <f t="shared" si="36"/>
        <v>3.557382556967529</v>
      </c>
      <c r="X32" s="2018">
        <f t="shared" si="25"/>
        <v>2.307382556967529</v>
      </c>
      <c r="Y32" s="1881"/>
      <c r="Z32" s="1728"/>
      <c r="AA32" s="1728"/>
      <c r="AB32" s="1728"/>
      <c r="AC32" s="1728"/>
      <c r="AD32" s="1728"/>
      <c r="AE32" s="1728"/>
      <c r="AF32" s="1728"/>
      <c r="AG32" s="1881"/>
      <c r="AH32" s="2016">
        <f t="shared" si="48"/>
        <v>0</v>
      </c>
      <c r="AI32" s="2017" t="e">
        <f t="shared" si="20"/>
        <v>#DIV/0!</v>
      </c>
      <c r="AJ32" s="2018" t="e">
        <f t="shared" si="49"/>
        <v>#DIV/0!</v>
      </c>
      <c r="AK32" s="1881"/>
      <c r="AL32" s="2268"/>
      <c r="AM32" s="2268"/>
      <c r="AN32" s="2268"/>
      <c r="AO32" s="2268"/>
      <c r="AP32" s="2268"/>
      <c r="AQ32" s="2268"/>
      <c r="AR32" s="2268"/>
      <c r="AS32" s="2293"/>
      <c r="AT32" s="2016">
        <f t="shared" si="28"/>
        <v>0</v>
      </c>
      <c r="AU32" s="2017" t="e">
        <f t="shared" si="21"/>
        <v>#DIV/0!</v>
      </c>
      <c r="AV32" s="2018" t="e">
        <f t="shared" si="29"/>
        <v>#DIV/0!</v>
      </c>
      <c r="AW32" s="2293"/>
      <c r="AX32" s="2268"/>
      <c r="AY32" s="2268"/>
      <c r="AZ32" s="2268"/>
      <c r="BA32" s="2268"/>
      <c r="BB32" s="2268"/>
      <c r="BC32" s="2268"/>
      <c r="BD32" s="2268"/>
      <c r="BE32" s="2293"/>
      <c r="BF32" s="2016">
        <f t="shared" si="30"/>
        <v>0</v>
      </c>
      <c r="BG32" s="2017" t="e">
        <f t="shared" si="22"/>
        <v>#DIV/0!</v>
      </c>
      <c r="BH32" s="2018" t="e">
        <f t="shared" si="31"/>
        <v>#DIV/0!</v>
      </c>
      <c r="BI32" s="2876"/>
      <c r="BJ32" s="1728"/>
      <c r="BK32" s="2268"/>
      <c r="BL32" s="2876"/>
      <c r="BM32" s="2016">
        <f t="shared" si="15"/>
        <v>0</v>
      </c>
      <c r="BN32" s="2017" t="e">
        <f t="shared" si="23"/>
        <v>#DIV/0!</v>
      </c>
      <c r="BO32" s="2018" t="e">
        <f t="shared" si="40"/>
        <v>#DIV/0!</v>
      </c>
      <c r="BQ32" s="1732">
        <v>0</v>
      </c>
      <c r="BR32" s="1882">
        <f t="shared" si="16"/>
        <v>0</v>
      </c>
      <c r="BS32" s="1740"/>
      <c r="BT32" s="2019">
        <f t="shared" si="17"/>
        <v>1.25</v>
      </c>
      <c r="BU32" s="2020">
        <f t="shared" si="18"/>
        <v>3.3333333333333333E-2</v>
      </c>
      <c r="BV32" s="1997"/>
      <c r="BW32" s="2874"/>
      <c r="BY32" s="2874"/>
      <c r="BZ32" s="2036" t="s">
        <v>161</v>
      </c>
      <c r="CA32" s="2059">
        <v>1</v>
      </c>
      <c r="CB32" s="2037">
        <f>IF(CB25&gt;CA31,CB25," ")</f>
        <v>0.77419354838709675</v>
      </c>
      <c r="CC32" s="1810"/>
      <c r="CD32" s="1810"/>
      <c r="CE32" s="1810"/>
      <c r="CF32" s="1810"/>
      <c r="CG32" s="1810"/>
      <c r="CH32" s="1986"/>
    </row>
    <row r="33" spans="2:86" s="1885" customFormat="1" x14ac:dyDescent="0.2">
      <c r="B33" s="2000">
        <v>29</v>
      </c>
      <c r="C33" s="2000" t="s">
        <v>240</v>
      </c>
      <c r="D33" s="2579"/>
      <c r="E33" s="2001">
        <v>15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12"/>
        <v>0.5</v>
      </c>
      <c r="K33" s="2584">
        <f t="shared" si="13"/>
        <v>5.9289709282792152E-3</v>
      </c>
      <c r="L33" s="2003"/>
      <c r="M33" s="1950"/>
      <c r="N33" s="2001">
        <f t="shared" ref="N33" si="51">$J$33</f>
        <v>0.5</v>
      </c>
      <c r="O33" s="2001"/>
      <c r="P33" s="2001"/>
      <c r="Q33" s="2001"/>
      <c r="R33" s="2001"/>
      <c r="S33" s="2001"/>
      <c r="T33" s="2001"/>
      <c r="U33" s="2870"/>
      <c r="V33" s="2481">
        <f t="shared" si="34"/>
        <v>0.5</v>
      </c>
      <c r="W33" s="2482">
        <f t="shared" si="36"/>
        <v>1.4229530227870115</v>
      </c>
      <c r="X33" s="2483">
        <f t="shared" si="25"/>
        <v>0.92295302278701152</v>
      </c>
      <c r="Y33" s="1896"/>
      <c r="Z33" s="2001"/>
      <c r="AA33" s="2001"/>
      <c r="AB33" s="2001"/>
      <c r="AC33" s="2001"/>
      <c r="AD33" s="2001"/>
      <c r="AE33" s="2001"/>
      <c r="AF33" s="2001"/>
      <c r="AG33" s="1896"/>
      <c r="AH33" s="2481">
        <f t="shared" si="48"/>
        <v>0</v>
      </c>
      <c r="AI33" s="2482" t="e">
        <f t="shared" si="20"/>
        <v>#DIV/0!</v>
      </c>
      <c r="AJ33" s="2483" t="e">
        <f t="shared" si="49"/>
        <v>#DIV/0!</v>
      </c>
      <c r="AK33" s="1896"/>
      <c r="AL33" s="2005"/>
      <c r="AM33" s="2005"/>
      <c r="AN33" s="2005"/>
      <c r="AO33" s="2005"/>
      <c r="AP33" s="2005"/>
      <c r="AQ33" s="2005"/>
      <c r="AR33" s="2005"/>
      <c r="AS33" s="2295"/>
      <c r="AT33" s="2481">
        <f t="shared" si="28"/>
        <v>0</v>
      </c>
      <c r="AU33" s="2482" t="e">
        <f t="shared" si="21"/>
        <v>#DIV/0!</v>
      </c>
      <c r="AV33" s="2483" t="e">
        <f t="shared" si="29"/>
        <v>#DIV/0!</v>
      </c>
      <c r="AW33" s="2295"/>
      <c r="AX33" s="2005"/>
      <c r="AY33" s="2005"/>
      <c r="AZ33" s="2005"/>
      <c r="BA33" s="2005"/>
      <c r="BB33" s="2005"/>
      <c r="BC33" s="2005"/>
      <c r="BD33" s="2005"/>
      <c r="BE33" s="2295"/>
      <c r="BF33" s="2481">
        <f t="shared" si="30"/>
        <v>0</v>
      </c>
      <c r="BG33" s="2482" t="e">
        <f t="shared" si="22"/>
        <v>#DIV/0!</v>
      </c>
      <c r="BH33" s="2483" t="e">
        <f t="shared" si="31"/>
        <v>#DIV/0!</v>
      </c>
      <c r="BI33" s="2870"/>
      <c r="BJ33" s="2001"/>
      <c r="BK33" s="2005"/>
      <c r="BL33" s="2870"/>
      <c r="BM33" s="2481">
        <f t="shared" si="15"/>
        <v>0</v>
      </c>
      <c r="BN33" s="2482" t="e">
        <f t="shared" si="23"/>
        <v>#DIV/0!</v>
      </c>
      <c r="BO33" s="2483" t="e">
        <f t="shared" si="40"/>
        <v>#DIV/0!</v>
      </c>
      <c r="BQ33" s="1898">
        <v>0</v>
      </c>
      <c r="BR33" s="1899">
        <f t="shared" si="16"/>
        <v>0</v>
      </c>
      <c r="BS33" s="1900"/>
      <c r="BT33" s="2388">
        <f t="shared" si="17"/>
        <v>0.5</v>
      </c>
      <c r="BU33" s="2389">
        <f t="shared" si="18"/>
        <v>3.3333333333333333E-2</v>
      </c>
      <c r="BV33" s="2010"/>
      <c r="BW33" s="2869"/>
      <c r="BY33" s="2869"/>
      <c r="BZ33" s="2488"/>
      <c r="CA33" s="2404" t="s">
        <v>158</v>
      </c>
      <c r="CB33" s="2490">
        <f>MAX(100%,CB25)-CB25</f>
        <v>0.22580645161290325</v>
      </c>
      <c r="CC33" s="1906"/>
      <c r="CD33" s="1906"/>
      <c r="CE33" s="1906"/>
      <c r="CF33" s="1906"/>
      <c r="CG33" s="1906"/>
      <c r="CH33" s="2386"/>
    </row>
    <row r="34" spans="2:86" s="1726" customFormat="1" x14ac:dyDescent="0.2">
      <c r="B34" s="1963">
        <v>30</v>
      </c>
      <c r="C34" s="1963" t="s">
        <v>257</v>
      </c>
      <c r="D34" s="2578"/>
      <c r="E34" s="1728">
        <v>100</v>
      </c>
      <c r="F34" s="1728">
        <v>5</v>
      </c>
      <c r="G34" s="1728">
        <v>3.3333333333333335</v>
      </c>
      <c r="H34" s="1728">
        <v>2.5</v>
      </c>
      <c r="I34" s="1728">
        <v>2</v>
      </c>
      <c r="J34" s="1728">
        <f t="shared" si="12"/>
        <v>3.3333333333333335</v>
      </c>
      <c r="K34" s="1729">
        <f t="shared" si="13"/>
        <v>3.9526472855194769E-2</v>
      </c>
      <c r="L34" s="1931"/>
      <c r="M34" s="1924"/>
      <c r="N34" s="1728">
        <f t="shared" ref="N34" si="52">$J$34</f>
        <v>3.3333333333333335</v>
      </c>
      <c r="O34" s="1728"/>
      <c r="P34" s="1728"/>
      <c r="Q34" s="1728"/>
      <c r="R34" s="1728"/>
      <c r="S34" s="1728"/>
      <c r="T34" s="1728"/>
      <c r="U34" s="2876"/>
      <c r="V34" s="2016">
        <f t="shared" si="34"/>
        <v>3.3333333333333335</v>
      </c>
      <c r="W34" s="2017">
        <f t="shared" si="36"/>
        <v>9.4863534852467435</v>
      </c>
      <c r="X34" s="2018">
        <f t="shared" si="25"/>
        <v>6.1530201519134096</v>
      </c>
      <c r="Y34" s="1881"/>
      <c r="Z34" s="1728"/>
      <c r="AA34" s="1728"/>
      <c r="AB34" s="1728"/>
      <c r="AC34" s="1728"/>
      <c r="AD34" s="1728"/>
      <c r="AE34" s="1728"/>
      <c r="AF34" s="1728"/>
      <c r="AG34" s="1881"/>
      <c r="AH34" s="2016">
        <f t="shared" si="48"/>
        <v>0</v>
      </c>
      <c r="AI34" s="2017" t="e">
        <f t="shared" si="20"/>
        <v>#DIV/0!</v>
      </c>
      <c r="AJ34" s="2018" t="e">
        <f t="shared" si="49"/>
        <v>#DIV/0!</v>
      </c>
      <c r="AK34" s="1881"/>
      <c r="AL34" s="2268"/>
      <c r="AM34" s="2268"/>
      <c r="AN34" s="2268"/>
      <c r="AO34" s="2268"/>
      <c r="AP34" s="2268"/>
      <c r="AQ34" s="2268"/>
      <c r="AR34" s="2268"/>
      <c r="AS34" s="2293"/>
      <c r="AT34" s="2016">
        <f t="shared" si="28"/>
        <v>0</v>
      </c>
      <c r="AU34" s="2017" t="e">
        <f t="shared" si="21"/>
        <v>#DIV/0!</v>
      </c>
      <c r="AV34" s="2018" t="e">
        <f t="shared" si="29"/>
        <v>#DIV/0!</v>
      </c>
      <c r="AW34" s="2293"/>
      <c r="AX34" s="2268"/>
      <c r="AY34" s="2268"/>
      <c r="AZ34" s="2268"/>
      <c r="BA34" s="2268"/>
      <c r="BB34" s="2268"/>
      <c r="BC34" s="2268"/>
      <c r="BD34" s="2268"/>
      <c r="BE34" s="2293"/>
      <c r="BF34" s="2016">
        <f t="shared" si="30"/>
        <v>0</v>
      </c>
      <c r="BG34" s="2017" t="e">
        <f t="shared" si="22"/>
        <v>#DIV/0!</v>
      </c>
      <c r="BH34" s="2018" t="e">
        <f t="shared" si="31"/>
        <v>#DIV/0!</v>
      </c>
      <c r="BI34" s="2876"/>
      <c r="BJ34" s="1728"/>
      <c r="BK34" s="2268"/>
      <c r="BL34" s="2876"/>
      <c r="BM34" s="2016">
        <f t="shared" si="15"/>
        <v>0</v>
      </c>
      <c r="BN34" s="2017" t="e">
        <f t="shared" si="23"/>
        <v>#DIV/0!</v>
      </c>
      <c r="BO34" s="2018" t="e">
        <f t="shared" si="40"/>
        <v>#DIV/0!</v>
      </c>
      <c r="BQ34" s="1732">
        <v>0</v>
      </c>
      <c r="BR34" s="1882">
        <f t="shared" si="16"/>
        <v>0</v>
      </c>
      <c r="BS34" s="1740"/>
      <c r="BT34" s="2019">
        <f t="shared" si="17"/>
        <v>3.3333333333333335</v>
      </c>
      <c r="BU34" s="2020">
        <f t="shared" si="18"/>
        <v>3.3333333333333333E-2</v>
      </c>
      <c r="BV34" s="1997"/>
      <c r="BW34" s="2874"/>
      <c r="BY34" s="2874"/>
      <c r="BZ34" s="2015"/>
      <c r="CA34" s="1830"/>
      <c r="CB34" s="1817"/>
      <c r="CC34" s="1810"/>
      <c r="CD34" s="1810"/>
      <c r="CE34" s="1810"/>
      <c r="CF34" s="1810"/>
      <c r="CG34" s="1810"/>
      <c r="CH34" s="1986"/>
    </row>
    <row r="35" spans="2:86" s="1885" customFormat="1" x14ac:dyDescent="0.2">
      <c r="B35" s="2580">
        <v>31</v>
      </c>
      <c r="C35" s="2000" t="s">
        <v>258</v>
      </c>
      <c r="D35" s="2579"/>
      <c r="E35" s="2001">
        <v>7.5</v>
      </c>
      <c r="F35" s="2001">
        <v>5</v>
      </c>
      <c r="G35" s="2001">
        <v>3.3333333333333335</v>
      </c>
      <c r="H35" s="2001">
        <v>2.5</v>
      </c>
      <c r="I35" s="2001">
        <v>2</v>
      </c>
      <c r="J35" s="2001">
        <f t="shared" si="12"/>
        <v>0.25</v>
      </c>
      <c r="K35" s="2584">
        <f t="shared" si="13"/>
        <v>2.9644854641396076E-3</v>
      </c>
      <c r="L35" s="2003"/>
      <c r="M35" s="1950"/>
      <c r="N35" s="2001">
        <f t="shared" ref="N35" si="53">$J$35</f>
        <v>0.25</v>
      </c>
      <c r="O35" s="2001"/>
      <c r="P35" s="2001"/>
      <c r="Q35" s="2001"/>
      <c r="R35" s="2001"/>
      <c r="S35" s="2001"/>
      <c r="T35" s="2001"/>
      <c r="U35" s="2870"/>
      <c r="V35" s="2481">
        <f t="shared" si="34"/>
        <v>0.25</v>
      </c>
      <c r="W35" s="2482">
        <f t="shared" si="36"/>
        <v>0.71147651139350576</v>
      </c>
      <c r="X35" s="2483">
        <f t="shared" si="25"/>
        <v>0.46147651139350576</v>
      </c>
      <c r="Y35" s="1896"/>
      <c r="Z35" s="2001"/>
      <c r="AA35" s="2001"/>
      <c r="AB35" s="2001"/>
      <c r="AC35" s="2001"/>
      <c r="AD35" s="2001"/>
      <c r="AE35" s="2001"/>
      <c r="AF35" s="2001"/>
      <c r="AG35" s="1896"/>
      <c r="AH35" s="2481">
        <f t="shared" si="48"/>
        <v>0</v>
      </c>
      <c r="AI35" s="2482" t="e">
        <f t="shared" si="20"/>
        <v>#DIV/0!</v>
      </c>
      <c r="AJ35" s="2483" t="e">
        <f t="shared" si="49"/>
        <v>#DIV/0!</v>
      </c>
      <c r="AK35" s="1896"/>
      <c r="AL35" s="2005"/>
      <c r="AM35" s="2005"/>
      <c r="AN35" s="2005"/>
      <c r="AO35" s="2005"/>
      <c r="AP35" s="2005"/>
      <c r="AQ35" s="2005"/>
      <c r="AR35" s="2005"/>
      <c r="AS35" s="2295"/>
      <c r="AT35" s="2481">
        <f t="shared" si="28"/>
        <v>0</v>
      </c>
      <c r="AU35" s="2482" t="e">
        <f t="shared" si="21"/>
        <v>#DIV/0!</v>
      </c>
      <c r="AV35" s="2483" t="e">
        <f t="shared" si="29"/>
        <v>#DIV/0!</v>
      </c>
      <c r="AW35" s="2295"/>
      <c r="AX35" s="2005"/>
      <c r="AY35" s="2005"/>
      <c r="AZ35" s="2005"/>
      <c r="BA35" s="2005"/>
      <c r="BB35" s="2005"/>
      <c r="BC35" s="2005"/>
      <c r="BD35" s="2005"/>
      <c r="BE35" s="2295"/>
      <c r="BF35" s="2481">
        <f t="shared" si="30"/>
        <v>0</v>
      </c>
      <c r="BG35" s="2482" t="e">
        <f t="shared" si="22"/>
        <v>#DIV/0!</v>
      </c>
      <c r="BH35" s="2483" t="e">
        <f t="shared" si="31"/>
        <v>#DIV/0!</v>
      </c>
      <c r="BI35" s="2870"/>
      <c r="BJ35" s="2001"/>
      <c r="BK35" s="2005"/>
      <c r="BL35" s="2870"/>
      <c r="BM35" s="2481">
        <f t="shared" si="15"/>
        <v>0</v>
      </c>
      <c r="BN35" s="2482" t="e">
        <f t="shared" si="23"/>
        <v>#DIV/0!</v>
      </c>
      <c r="BO35" s="2483" t="e">
        <f t="shared" si="40"/>
        <v>#DIV/0!</v>
      </c>
      <c r="BQ35" s="1898">
        <v>0</v>
      </c>
      <c r="BR35" s="1899">
        <f t="shared" si="16"/>
        <v>0</v>
      </c>
      <c r="BS35" s="1900"/>
      <c r="BT35" s="2388">
        <f t="shared" si="17"/>
        <v>0.25</v>
      </c>
      <c r="BU35" s="2389">
        <f t="shared" si="18"/>
        <v>3.3333333333333333E-2</v>
      </c>
      <c r="BV35" s="2010"/>
      <c r="BW35" s="2869"/>
      <c r="BY35" s="2869"/>
      <c r="BZ35" s="2480"/>
      <c r="CA35" s="1962"/>
      <c r="CB35" s="1960"/>
      <c r="CC35" s="1906"/>
      <c r="CD35" s="1906"/>
      <c r="CE35" s="1906"/>
      <c r="CF35" s="1906"/>
      <c r="CG35" s="1906"/>
      <c r="CH35" s="2386"/>
    </row>
    <row r="36" spans="2:86" s="1726" customFormat="1" x14ac:dyDescent="0.2">
      <c r="B36" s="1963">
        <v>32</v>
      </c>
      <c r="C36" s="1963" t="s">
        <v>259</v>
      </c>
      <c r="D36" s="2578"/>
      <c r="E36" s="1728">
        <v>7.5</v>
      </c>
      <c r="F36" s="1728">
        <v>5</v>
      </c>
      <c r="G36" s="1728">
        <v>3.3333333333333335</v>
      </c>
      <c r="H36" s="1728">
        <v>2.5</v>
      </c>
      <c r="I36" s="1728">
        <v>2</v>
      </c>
      <c r="J36" s="1728">
        <f t="shared" si="12"/>
        <v>0.25</v>
      </c>
      <c r="K36" s="1729">
        <f t="shared" si="13"/>
        <v>2.9644854641396076E-3</v>
      </c>
      <c r="L36" s="1931"/>
      <c r="M36" s="1924"/>
      <c r="N36" s="1728">
        <f t="shared" ref="N36" si="54">$J$36</f>
        <v>0.25</v>
      </c>
      <c r="O36" s="1728"/>
      <c r="P36" s="1728"/>
      <c r="Q36" s="1728"/>
      <c r="R36" s="1728"/>
      <c r="S36" s="1728"/>
      <c r="T36" s="1728"/>
      <c r="U36" s="2876"/>
      <c r="V36" s="2016">
        <f t="shared" si="34"/>
        <v>0.25</v>
      </c>
      <c r="W36" s="2017">
        <f t="shared" si="36"/>
        <v>0.71147651139350576</v>
      </c>
      <c r="X36" s="2018">
        <f t="shared" si="25"/>
        <v>0.46147651139350576</v>
      </c>
      <c r="Y36" s="1881"/>
      <c r="Z36" s="1728"/>
      <c r="AA36" s="1728"/>
      <c r="AB36" s="1728"/>
      <c r="AC36" s="1728"/>
      <c r="AD36" s="1728"/>
      <c r="AE36" s="1728"/>
      <c r="AF36" s="1728"/>
      <c r="AG36" s="1881"/>
      <c r="AH36" s="2016">
        <f t="shared" si="48"/>
        <v>0</v>
      </c>
      <c r="AI36" s="2017" t="e">
        <f t="shared" si="20"/>
        <v>#DIV/0!</v>
      </c>
      <c r="AJ36" s="2018" t="e">
        <f t="shared" si="49"/>
        <v>#DIV/0!</v>
      </c>
      <c r="AK36" s="1881"/>
      <c r="AL36" s="2268"/>
      <c r="AM36" s="2268"/>
      <c r="AN36" s="2268"/>
      <c r="AO36" s="2268"/>
      <c r="AP36" s="2268"/>
      <c r="AQ36" s="2268"/>
      <c r="AR36" s="2268"/>
      <c r="AS36" s="2293"/>
      <c r="AT36" s="2016">
        <f t="shared" si="28"/>
        <v>0</v>
      </c>
      <c r="AU36" s="2017" t="e">
        <f t="shared" si="21"/>
        <v>#DIV/0!</v>
      </c>
      <c r="AV36" s="2018" t="e">
        <f t="shared" si="29"/>
        <v>#DIV/0!</v>
      </c>
      <c r="AW36" s="2293"/>
      <c r="AX36" s="2268"/>
      <c r="AY36" s="2268"/>
      <c r="AZ36" s="2268"/>
      <c r="BA36" s="2268"/>
      <c r="BB36" s="2268"/>
      <c r="BC36" s="2268"/>
      <c r="BD36" s="2268"/>
      <c r="BE36" s="2293"/>
      <c r="BF36" s="2016">
        <f t="shared" si="30"/>
        <v>0</v>
      </c>
      <c r="BG36" s="2017" t="e">
        <f t="shared" si="22"/>
        <v>#DIV/0!</v>
      </c>
      <c r="BH36" s="2018" t="e">
        <f t="shared" si="31"/>
        <v>#DIV/0!</v>
      </c>
      <c r="BI36" s="2876"/>
      <c r="BJ36" s="1728"/>
      <c r="BK36" s="2268"/>
      <c r="BL36" s="2876"/>
      <c r="BM36" s="2016">
        <f t="shared" si="15"/>
        <v>0</v>
      </c>
      <c r="BN36" s="2017" t="e">
        <f t="shared" si="23"/>
        <v>#DIV/0!</v>
      </c>
      <c r="BO36" s="2018" t="e">
        <f t="shared" si="40"/>
        <v>#DIV/0!</v>
      </c>
      <c r="BQ36" s="1732">
        <v>0</v>
      </c>
      <c r="BR36" s="1882">
        <f t="shared" si="16"/>
        <v>0</v>
      </c>
      <c r="BS36" s="1740"/>
      <c r="BT36" s="2019">
        <f t="shared" si="17"/>
        <v>0.25</v>
      </c>
      <c r="BU36" s="2020">
        <f t="shared" si="18"/>
        <v>3.3333333333333333E-2</v>
      </c>
      <c r="BV36" s="1997"/>
      <c r="BW36" s="2874"/>
      <c r="BY36" s="2874"/>
      <c r="BZ36" s="2015"/>
      <c r="CA36" s="1830"/>
      <c r="CB36" s="1817"/>
      <c r="CC36" s="1810"/>
      <c r="CD36" s="1810"/>
      <c r="CE36" s="1810"/>
      <c r="CF36" s="1810"/>
      <c r="CG36" s="1810"/>
      <c r="CH36" s="1986"/>
    </row>
    <row r="37" spans="2:86" s="1885" customFormat="1" x14ac:dyDescent="0.2">
      <c r="B37" s="2000">
        <v>33</v>
      </c>
      <c r="C37" s="2000" t="s">
        <v>260</v>
      </c>
      <c r="D37" s="2579"/>
      <c r="E37" s="2001">
        <v>25</v>
      </c>
      <c r="F37" s="2001">
        <v>5</v>
      </c>
      <c r="G37" s="2001">
        <v>3.3333333333333335</v>
      </c>
      <c r="H37" s="2001">
        <v>2.5</v>
      </c>
      <c r="I37" s="2001">
        <v>2</v>
      </c>
      <c r="J37" s="2001">
        <f t="shared" si="12"/>
        <v>0.83333333333333337</v>
      </c>
      <c r="K37" s="2584">
        <f t="shared" si="13"/>
        <v>9.8816182137986923E-3</v>
      </c>
      <c r="L37" s="2003"/>
      <c r="M37" s="1950"/>
      <c r="N37" s="2001">
        <f t="shared" ref="N37" si="55">$J$37</f>
        <v>0.83333333333333337</v>
      </c>
      <c r="O37" s="2001"/>
      <c r="P37" s="2001"/>
      <c r="Q37" s="2001"/>
      <c r="R37" s="2001"/>
      <c r="S37" s="2001"/>
      <c r="T37" s="2001"/>
      <c r="U37" s="2870"/>
      <c r="V37" s="2481">
        <f t="shared" si="34"/>
        <v>0.83333333333333337</v>
      </c>
      <c r="W37" s="2482">
        <f t="shared" si="36"/>
        <v>2.3715883713116859</v>
      </c>
      <c r="X37" s="2483">
        <f t="shared" si="25"/>
        <v>1.5382550379783524</v>
      </c>
      <c r="Y37" s="1896"/>
      <c r="Z37" s="2001"/>
      <c r="AA37" s="2001"/>
      <c r="AB37" s="2001"/>
      <c r="AC37" s="2001"/>
      <c r="AD37" s="2001"/>
      <c r="AE37" s="2001"/>
      <c r="AF37" s="2001"/>
      <c r="AG37" s="1896"/>
      <c r="AH37" s="2481">
        <f t="shared" si="48"/>
        <v>0</v>
      </c>
      <c r="AI37" s="2482" t="e">
        <f t="shared" si="20"/>
        <v>#DIV/0!</v>
      </c>
      <c r="AJ37" s="2483" t="e">
        <f t="shared" si="49"/>
        <v>#DIV/0!</v>
      </c>
      <c r="AK37" s="1896"/>
      <c r="AL37" s="2005"/>
      <c r="AM37" s="2005"/>
      <c r="AN37" s="2005"/>
      <c r="AO37" s="2005"/>
      <c r="AP37" s="2005"/>
      <c r="AQ37" s="2005"/>
      <c r="AR37" s="2005"/>
      <c r="AS37" s="2295"/>
      <c r="AT37" s="2481">
        <f t="shared" si="28"/>
        <v>0</v>
      </c>
      <c r="AU37" s="2482" t="e">
        <f t="shared" si="21"/>
        <v>#DIV/0!</v>
      </c>
      <c r="AV37" s="2483" t="e">
        <f t="shared" si="29"/>
        <v>#DIV/0!</v>
      </c>
      <c r="AW37" s="2295"/>
      <c r="AX37" s="2005"/>
      <c r="AY37" s="2005"/>
      <c r="AZ37" s="2005"/>
      <c r="BA37" s="2005"/>
      <c r="BB37" s="2005"/>
      <c r="BC37" s="2005"/>
      <c r="BD37" s="2005"/>
      <c r="BE37" s="2295"/>
      <c r="BF37" s="2481">
        <f t="shared" si="30"/>
        <v>0</v>
      </c>
      <c r="BG37" s="2482" t="e">
        <f t="shared" si="22"/>
        <v>#DIV/0!</v>
      </c>
      <c r="BH37" s="2483" t="e">
        <f t="shared" si="31"/>
        <v>#DIV/0!</v>
      </c>
      <c r="BI37" s="2870"/>
      <c r="BJ37" s="2001"/>
      <c r="BK37" s="2005"/>
      <c r="BL37" s="2870"/>
      <c r="BM37" s="2481">
        <f t="shared" si="15"/>
        <v>0</v>
      </c>
      <c r="BN37" s="2482" t="e">
        <f t="shared" si="23"/>
        <v>#DIV/0!</v>
      </c>
      <c r="BO37" s="2483" t="e">
        <f t="shared" si="40"/>
        <v>#DIV/0!</v>
      </c>
      <c r="BQ37" s="1898">
        <v>0</v>
      </c>
      <c r="BR37" s="1899">
        <f t="shared" si="16"/>
        <v>0</v>
      </c>
      <c r="BS37" s="1900"/>
      <c r="BT37" s="2388">
        <f t="shared" si="17"/>
        <v>0.83333333333333337</v>
      </c>
      <c r="BU37" s="2389">
        <f t="shared" si="18"/>
        <v>3.3333333333333333E-2</v>
      </c>
      <c r="BV37" s="2010"/>
      <c r="BW37" s="2869"/>
      <c r="BY37" s="2869"/>
      <c r="BZ37" s="2480"/>
      <c r="CA37" s="1962"/>
      <c r="CB37" s="1960"/>
      <c r="CC37" s="1906"/>
      <c r="CD37" s="1906"/>
      <c r="CE37" s="1906"/>
      <c r="CF37" s="1906"/>
      <c r="CG37" s="1906"/>
      <c r="CH37" s="2386"/>
    </row>
    <row r="38" spans="2:86" s="1726" customFormat="1" x14ac:dyDescent="0.2">
      <c r="B38" s="2508">
        <v>34</v>
      </c>
      <c r="C38" s="1963" t="s">
        <v>261</v>
      </c>
      <c r="D38" s="2578"/>
      <c r="E38" s="1728">
        <v>0</v>
      </c>
      <c r="F38" s="1728">
        <v>5</v>
      </c>
      <c r="G38" s="1728">
        <v>3.3333333333333335</v>
      </c>
      <c r="H38" s="1728">
        <v>2.5</v>
      </c>
      <c r="I38" s="1728">
        <v>2</v>
      </c>
      <c r="J38" s="1728">
        <f t="shared" si="12"/>
        <v>0</v>
      </c>
      <c r="K38" s="1729">
        <f t="shared" si="13"/>
        <v>0</v>
      </c>
      <c r="L38" s="1931"/>
      <c r="M38" s="1924"/>
      <c r="N38" s="1728">
        <f t="shared" ref="N38" si="56">$J$38</f>
        <v>0</v>
      </c>
      <c r="O38" s="1728"/>
      <c r="P38" s="1728"/>
      <c r="Q38" s="1728"/>
      <c r="R38" s="1728"/>
      <c r="S38" s="1728"/>
      <c r="T38" s="1728"/>
      <c r="U38" s="2876"/>
      <c r="V38" s="2016">
        <f t="shared" si="34"/>
        <v>0</v>
      </c>
      <c r="W38" s="2017">
        <f t="shared" si="36"/>
        <v>0</v>
      </c>
      <c r="X38" s="2018">
        <f t="shared" si="25"/>
        <v>0</v>
      </c>
      <c r="Y38" s="1881"/>
      <c r="Z38" s="1728"/>
      <c r="AA38" s="1728"/>
      <c r="AB38" s="1728"/>
      <c r="AC38" s="1728"/>
      <c r="AD38" s="1728"/>
      <c r="AE38" s="1728"/>
      <c r="AF38" s="1728"/>
      <c r="AG38" s="1881"/>
      <c r="AH38" s="2016">
        <f t="shared" si="26"/>
        <v>0</v>
      </c>
      <c r="AI38" s="2017" t="e">
        <f t="shared" si="20"/>
        <v>#DIV/0!</v>
      </c>
      <c r="AJ38" s="2018" t="e">
        <f t="shared" si="27"/>
        <v>#DIV/0!</v>
      </c>
      <c r="AK38" s="1881"/>
      <c r="AL38" s="2268"/>
      <c r="AM38" s="2268"/>
      <c r="AN38" s="2268"/>
      <c r="AO38" s="2268"/>
      <c r="AP38" s="2268"/>
      <c r="AQ38" s="2268"/>
      <c r="AR38" s="2268"/>
      <c r="AS38" s="2293"/>
      <c r="AT38" s="2016">
        <f t="shared" si="28"/>
        <v>0</v>
      </c>
      <c r="AU38" s="2017" t="e">
        <f t="shared" si="21"/>
        <v>#DIV/0!</v>
      </c>
      <c r="AV38" s="2018" t="e">
        <f t="shared" si="29"/>
        <v>#DIV/0!</v>
      </c>
      <c r="AW38" s="2293"/>
      <c r="AX38" s="2268"/>
      <c r="AY38" s="2268"/>
      <c r="AZ38" s="2268"/>
      <c r="BA38" s="2268"/>
      <c r="BB38" s="2268"/>
      <c r="BC38" s="2268"/>
      <c r="BD38" s="2268"/>
      <c r="BE38" s="2293"/>
      <c r="BF38" s="2016">
        <f t="shared" si="30"/>
        <v>0</v>
      </c>
      <c r="BG38" s="2017" t="e">
        <f t="shared" si="22"/>
        <v>#DIV/0!</v>
      </c>
      <c r="BH38" s="2018" t="e">
        <f t="shared" si="31"/>
        <v>#DIV/0!</v>
      </c>
      <c r="BI38" s="2876"/>
      <c r="BJ38" s="1728"/>
      <c r="BK38" s="2268"/>
      <c r="BL38" s="2876"/>
      <c r="BM38" s="2016">
        <f>SUM(BJ38:BK38)</f>
        <v>0</v>
      </c>
      <c r="BN38" s="2017" t="e">
        <f t="shared" si="23"/>
        <v>#DIV/0!</v>
      </c>
      <c r="BO38" s="2018" t="e">
        <f t="shared" si="40"/>
        <v>#DIV/0!</v>
      </c>
      <c r="BQ38" s="1732">
        <v>0</v>
      </c>
      <c r="BR38" s="1882" t="e">
        <f>BQ38/E38</f>
        <v>#DIV/0!</v>
      </c>
      <c r="BS38" s="1740"/>
      <c r="BT38" s="2019">
        <f>SUM(N38:T38)+SUM(Z38:AF38)+SUM(AL38:AR38)+SUM(AX38:BD38)+SUM(BJ38:BK38)</f>
        <v>0</v>
      </c>
      <c r="BU38" s="2020" t="e">
        <f>BT38/E38</f>
        <v>#DIV/0!</v>
      </c>
      <c r="BV38" s="1997"/>
      <c r="BW38" s="2874"/>
      <c r="BY38" s="2874"/>
      <c r="BZ38" s="2015"/>
      <c r="CA38" s="1830"/>
      <c r="CB38" s="1817"/>
      <c r="CC38" s="1810"/>
      <c r="CD38" s="1810"/>
      <c r="CE38" s="1810"/>
      <c r="CF38" s="1810"/>
      <c r="CG38" s="1810"/>
      <c r="CH38" s="1986"/>
    </row>
    <row r="39" spans="2:86" s="1885" customFormat="1" x14ac:dyDescent="0.2">
      <c r="B39" s="2000">
        <v>35</v>
      </c>
      <c r="C39" s="2000" t="s">
        <v>262</v>
      </c>
      <c r="D39" s="2579"/>
      <c r="E39" s="2001">
        <v>50</v>
      </c>
      <c r="F39" s="2001">
        <v>0.5</v>
      </c>
      <c r="G39" s="2001">
        <v>0.33333333333333331</v>
      </c>
      <c r="H39" s="2001">
        <v>0.25</v>
      </c>
      <c r="I39" s="2001">
        <v>0.2</v>
      </c>
      <c r="J39" s="2001">
        <f t="shared" si="12"/>
        <v>1.6666666666666667</v>
      </c>
      <c r="K39" s="2584">
        <f t="shared" si="13"/>
        <v>1.9763236427597385E-2</v>
      </c>
      <c r="L39" s="2003"/>
      <c r="M39" s="1950"/>
      <c r="N39" s="2001">
        <f t="shared" ref="N39" si="57">$J$39</f>
        <v>1.6666666666666667</v>
      </c>
      <c r="O39" s="2001"/>
      <c r="P39" s="2001"/>
      <c r="Q39" s="2001"/>
      <c r="R39" s="2001"/>
      <c r="S39" s="2001"/>
      <c r="T39" s="2001"/>
      <c r="U39" s="2870"/>
      <c r="V39" s="2481">
        <f t="shared" si="34"/>
        <v>1.6666666666666667</v>
      </c>
      <c r="W39" s="2482">
        <f t="shared" si="36"/>
        <v>4.7431767426233717</v>
      </c>
      <c r="X39" s="2483">
        <f t="shared" si="25"/>
        <v>3.0765100759567048</v>
      </c>
      <c r="Y39" s="1896"/>
      <c r="Z39" s="2001"/>
      <c r="AA39" s="2001"/>
      <c r="AB39" s="2001"/>
      <c r="AC39" s="2001"/>
      <c r="AD39" s="2001"/>
      <c r="AE39" s="2001"/>
      <c r="AF39" s="2001"/>
      <c r="AG39" s="1896"/>
      <c r="AH39" s="2481">
        <f t="shared" si="26"/>
        <v>0</v>
      </c>
      <c r="AI39" s="2482" t="e">
        <f t="shared" si="20"/>
        <v>#DIV/0!</v>
      </c>
      <c r="AJ39" s="2483" t="e">
        <f t="shared" si="27"/>
        <v>#DIV/0!</v>
      </c>
      <c r="AK39" s="1896"/>
      <c r="AL39" s="2005"/>
      <c r="AM39" s="2005"/>
      <c r="AN39" s="2005"/>
      <c r="AO39" s="2005"/>
      <c r="AP39" s="2005"/>
      <c r="AQ39" s="2005"/>
      <c r="AR39" s="2005"/>
      <c r="AS39" s="2295"/>
      <c r="AT39" s="2481">
        <f t="shared" si="28"/>
        <v>0</v>
      </c>
      <c r="AU39" s="2482" t="e">
        <f t="shared" si="21"/>
        <v>#DIV/0!</v>
      </c>
      <c r="AV39" s="2483" t="e">
        <f t="shared" si="29"/>
        <v>#DIV/0!</v>
      </c>
      <c r="AW39" s="2295"/>
      <c r="AX39" s="2005"/>
      <c r="AY39" s="2005"/>
      <c r="AZ39" s="2005"/>
      <c r="BA39" s="2005"/>
      <c r="BB39" s="2005"/>
      <c r="BC39" s="2005"/>
      <c r="BD39" s="2005"/>
      <c r="BE39" s="2295"/>
      <c r="BF39" s="2481">
        <f t="shared" si="30"/>
        <v>0</v>
      </c>
      <c r="BG39" s="2482" t="e">
        <f t="shared" si="22"/>
        <v>#DIV/0!</v>
      </c>
      <c r="BH39" s="2483" t="e">
        <f t="shared" si="31"/>
        <v>#DIV/0!</v>
      </c>
      <c r="BI39" s="2870"/>
      <c r="BJ39" s="2001"/>
      <c r="BK39" s="2005"/>
      <c r="BL39" s="2870"/>
      <c r="BM39" s="2481">
        <f>SUM(BJ39:BK39)</f>
        <v>0</v>
      </c>
      <c r="BN39" s="2482" t="e">
        <f t="shared" si="23"/>
        <v>#DIV/0!</v>
      </c>
      <c r="BO39" s="2483" t="e">
        <f t="shared" si="40"/>
        <v>#DIV/0!</v>
      </c>
      <c r="BQ39" s="1898">
        <v>0</v>
      </c>
      <c r="BR39" s="1899">
        <f>BQ39/E39</f>
        <v>0</v>
      </c>
      <c r="BS39" s="1900"/>
      <c r="BT39" s="2388">
        <f>SUM(N39:T39)+SUM(Z39:AF39)+SUM(AL39:AR39)+SUM(AX39:BD39)+SUM(BJ39:BK39)</f>
        <v>1.6666666666666667</v>
      </c>
      <c r="BU39" s="2389">
        <f>BT39/E39</f>
        <v>3.3333333333333333E-2</v>
      </c>
      <c r="BV39" s="2010"/>
      <c r="BW39" s="2869"/>
      <c r="BY39" s="2869"/>
      <c r="BZ39" s="2480"/>
      <c r="CA39" s="1962"/>
      <c r="CB39" s="1960"/>
      <c r="CC39" s="1906"/>
      <c r="CD39" s="1906"/>
      <c r="CE39" s="1906"/>
      <c r="CF39" s="1906"/>
      <c r="CG39" s="1906"/>
      <c r="CH39" s="2386"/>
    </row>
    <row r="40" spans="2:86" s="1726" customFormat="1" ht="17.25" thickBot="1" x14ac:dyDescent="0.25">
      <c r="B40" s="1963">
        <v>36</v>
      </c>
      <c r="C40" s="1963"/>
      <c r="D40" s="2578"/>
      <c r="E40" s="1728">
        <v>0</v>
      </c>
      <c r="F40" s="1728"/>
      <c r="G40" s="1728"/>
      <c r="H40" s="1728"/>
      <c r="I40" s="1728"/>
      <c r="J40" s="1728">
        <f t="shared" si="12"/>
        <v>0</v>
      </c>
      <c r="K40" s="1729">
        <f t="shared" si="13"/>
        <v>0</v>
      </c>
      <c r="L40" s="1931"/>
      <c r="M40" s="1924"/>
      <c r="N40" s="1728">
        <f t="shared" ref="N40" si="58">$J$40</f>
        <v>0</v>
      </c>
      <c r="O40" s="1728"/>
      <c r="P40" s="1728"/>
      <c r="Q40" s="1728"/>
      <c r="R40" s="1728"/>
      <c r="S40" s="1728"/>
      <c r="T40" s="1728"/>
      <c r="U40" s="2876"/>
      <c r="V40" s="2799">
        <f>SUM(N40:T40)</f>
        <v>0</v>
      </c>
      <c r="W40" s="2800">
        <f t="shared" si="36"/>
        <v>0</v>
      </c>
      <c r="X40" s="2801">
        <f>W40-V40</f>
        <v>0</v>
      </c>
      <c r="Y40" s="1881"/>
      <c r="Z40" s="1728"/>
      <c r="AA40" s="1728"/>
      <c r="AB40" s="1728"/>
      <c r="AC40" s="1728"/>
      <c r="AD40" s="1728"/>
      <c r="AE40" s="1728"/>
      <c r="AF40" s="1728"/>
      <c r="AG40" s="1881"/>
      <c r="AH40" s="2799">
        <f t="shared" si="26"/>
        <v>0</v>
      </c>
      <c r="AI40" s="2800" t="e">
        <f t="shared" si="20"/>
        <v>#DIV/0!</v>
      </c>
      <c r="AJ40" s="2801" t="e">
        <f t="shared" si="27"/>
        <v>#DIV/0!</v>
      </c>
      <c r="AK40" s="1881"/>
      <c r="AL40" s="2268"/>
      <c r="AM40" s="2268"/>
      <c r="AN40" s="2268"/>
      <c r="AO40" s="2268"/>
      <c r="AP40" s="2268"/>
      <c r="AQ40" s="2268"/>
      <c r="AR40" s="2268"/>
      <c r="AS40" s="2293"/>
      <c r="AT40" s="2799">
        <f t="shared" si="28"/>
        <v>0</v>
      </c>
      <c r="AU40" s="2800" t="e">
        <f t="shared" si="21"/>
        <v>#DIV/0!</v>
      </c>
      <c r="AV40" s="2801" t="e">
        <f t="shared" si="29"/>
        <v>#DIV/0!</v>
      </c>
      <c r="AW40" s="2293"/>
      <c r="AX40" s="2268"/>
      <c r="AY40" s="2268"/>
      <c r="AZ40" s="2268"/>
      <c r="BA40" s="2268"/>
      <c r="BB40" s="2268"/>
      <c r="BC40" s="2268"/>
      <c r="BD40" s="2268"/>
      <c r="BE40" s="2293"/>
      <c r="BF40" s="2799">
        <f t="shared" si="30"/>
        <v>0</v>
      </c>
      <c r="BG40" s="2800" t="e">
        <f t="shared" si="22"/>
        <v>#DIV/0!</v>
      </c>
      <c r="BH40" s="2801" t="e">
        <f t="shared" si="31"/>
        <v>#DIV/0!</v>
      </c>
      <c r="BI40" s="2876"/>
      <c r="BJ40" s="1728"/>
      <c r="BK40" s="2268"/>
      <c r="BL40" s="2876"/>
      <c r="BM40" s="2799">
        <f>SUM(BJ40:BK40)</f>
        <v>0</v>
      </c>
      <c r="BN40" s="2800" t="e">
        <f t="shared" si="23"/>
        <v>#DIV/0!</v>
      </c>
      <c r="BO40" s="2801" t="e">
        <f t="shared" si="40"/>
        <v>#DIV/0!</v>
      </c>
      <c r="BQ40" s="1732">
        <v>0</v>
      </c>
      <c r="BR40" s="1882" t="e">
        <f>BQ40/E40</f>
        <v>#DIV/0!</v>
      </c>
      <c r="BS40" s="1740"/>
      <c r="BT40" s="2226">
        <f>SUM(N40:T40)+SUM(Z40:AF40)+SUM(AL40:AR40)+SUM(AX40:BD40)+SUM(BJ40:BK40)</f>
        <v>0</v>
      </c>
      <c r="BU40" s="2802" t="e">
        <f>BT40/E40</f>
        <v>#DIV/0!</v>
      </c>
      <c r="BV40" s="1997"/>
      <c r="BW40" s="2874"/>
      <c r="BY40" s="2874"/>
      <c r="BZ40" s="2015"/>
      <c r="CA40" s="1997"/>
      <c r="CB40" s="1861"/>
      <c r="CC40" s="1860"/>
      <c r="CD40" s="1860"/>
      <c r="CE40" s="1860"/>
      <c r="CF40" s="1860"/>
      <c r="CG40" s="1860"/>
      <c r="CH40" s="1998"/>
    </row>
    <row r="41" spans="2:86" s="1923" customFormat="1" ht="4.5" customHeight="1" thickBot="1" x14ac:dyDescent="0.25">
      <c r="B41" s="2525"/>
      <c r="C41" s="2526"/>
      <c r="D41" s="1800"/>
      <c r="E41" s="2527"/>
      <c r="F41" s="2527"/>
      <c r="G41" s="2527"/>
      <c r="H41" s="2527"/>
      <c r="I41" s="2527"/>
      <c r="J41" s="2527"/>
      <c r="K41" s="2528"/>
      <c r="L41" s="1866"/>
      <c r="M41" s="1867"/>
      <c r="N41" s="2026"/>
      <c r="O41" s="2026"/>
      <c r="P41" s="2026"/>
      <c r="Q41" s="2026"/>
      <c r="R41" s="2026"/>
      <c r="S41" s="2026"/>
      <c r="T41" s="2026"/>
      <c r="U41" s="2875"/>
      <c r="V41" s="2875"/>
      <c r="W41" s="2875"/>
      <c r="X41" s="2875"/>
      <c r="Y41" s="1915"/>
      <c r="Z41" s="2026"/>
      <c r="AA41" s="2026"/>
      <c r="AB41" s="2026"/>
      <c r="AC41" s="2026"/>
      <c r="AD41" s="2026"/>
      <c r="AE41" s="2026"/>
      <c r="AF41" s="2026"/>
      <c r="AG41" s="1915"/>
      <c r="AH41" s="2875"/>
      <c r="AI41" s="2875"/>
      <c r="AJ41" s="2875"/>
      <c r="AK41" s="1915"/>
      <c r="AL41" s="2026"/>
      <c r="AM41" s="2026"/>
      <c r="AN41" s="2026"/>
      <c r="AO41" s="2026"/>
      <c r="AP41" s="2026"/>
      <c r="AQ41" s="2026"/>
      <c r="AR41" s="2026"/>
      <c r="AS41" s="2875"/>
      <c r="AT41" s="2875"/>
      <c r="AU41" s="2875"/>
      <c r="AV41" s="2875"/>
      <c r="AW41" s="2875"/>
      <c r="AX41" s="2026"/>
      <c r="AY41" s="2026"/>
      <c r="AZ41" s="2026"/>
      <c r="BA41" s="2026"/>
      <c r="BB41" s="2026"/>
      <c r="BC41" s="2026"/>
      <c r="BD41" s="2026"/>
      <c r="BE41" s="2875"/>
      <c r="BF41" s="2875"/>
      <c r="BG41" s="2875"/>
      <c r="BH41" s="2875"/>
      <c r="BI41" s="2875"/>
      <c r="BJ41" s="2026"/>
      <c r="BK41" s="2026"/>
      <c r="BL41" s="2875"/>
      <c r="BM41" s="2875"/>
      <c r="BN41" s="2875"/>
      <c r="BO41" s="2875"/>
      <c r="BQ41" s="2875"/>
      <c r="BR41" s="1993"/>
      <c r="BS41" s="1994"/>
      <c r="BT41" s="2027"/>
      <c r="BU41" s="2028"/>
      <c r="BV41" s="1993"/>
      <c r="BW41" s="1916"/>
      <c r="BY41" s="1916"/>
      <c r="BZ41" s="2029"/>
      <c r="CA41" s="2030"/>
      <c r="CB41" s="1994"/>
      <c r="CH41" s="1995"/>
    </row>
    <row r="42" spans="2:86" s="1885" customFormat="1" ht="17.25" thickBot="1" x14ac:dyDescent="0.25">
      <c r="B42" s="2000"/>
      <c r="C42" s="2803">
        <f>E42*100/24</f>
        <v>10541.458333333332</v>
      </c>
      <c r="D42" s="1888"/>
      <c r="E42" s="2001">
        <f>SUM(E17:E40)</f>
        <v>2529.9499999999998</v>
      </c>
      <c r="F42" s="2001">
        <f t="shared" ref="F42:K42" si="59">SUM(F17:F40)</f>
        <v>279.13333333333333</v>
      </c>
      <c r="G42" s="2001">
        <f t="shared" si="59"/>
        <v>186.08888888888896</v>
      </c>
      <c r="H42" s="2001">
        <f t="shared" si="59"/>
        <v>139.56666666666666</v>
      </c>
      <c r="I42" s="2001">
        <f t="shared" si="59"/>
        <v>111.65333333333334</v>
      </c>
      <c r="J42" s="2001">
        <f>SUM(J17:J40)</f>
        <v>84.331666666666663</v>
      </c>
      <c r="K42" s="2584">
        <f t="shared" si="59"/>
        <v>1.0000000000000004</v>
      </c>
      <c r="L42" s="1949"/>
      <c r="M42" s="1950"/>
      <c r="N42" s="2001">
        <f t="shared" ref="N42:T42" si="60">SUM(N17:N40)</f>
        <v>84.331666666666663</v>
      </c>
      <c r="O42" s="2001">
        <f t="shared" si="60"/>
        <v>0</v>
      </c>
      <c r="P42" s="2001">
        <f t="shared" si="60"/>
        <v>0</v>
      </c>
      <c r="Q42" s="2001">
        <f t="shared" si="60"/>
        <v>0</v>
      </c>
      <c r="R42" s="2001">
        <f t="shared" si="60"/>
        <v>0</v>
      </c>
      <c r="S42" s="2001">
        <f t="shared" si="60"/>
        <v>0</v>
      </c>
      <c r="T42" s="2001">
        <f t="shared" si="60"/>
        <v>0</v>
      </c>
      <c r="U42" s="2870"/>
      <c r="V42" s="2804">
        <f>SUM(V17:V40)</f>
        <v>84.331666666666663</v>
      </c>
      <c r="W42" s="2805">
        <f>SUM(W17:W40)</f>
        <v>239.99999999999994</v>
      </c>
      <c r="X42" s="2806">
        <f t="shared" ref="X42" si="61">SUM(X17:X40)</f>
        <v>155.66833333333335</v>
      </c>
      <c r="Y42" s="1896"/>
      <c r="Z42" s="2001">
        <f t="shared" ref="Z42:AF42" si="62">SUM(Z17:Z40)</f>
        <v>0</v>
      </c>
      <c r="AA42" s="2001">
        <f t="shared" si="62"/>
        <v>0</v>
      </c>
      <c r="AB42" s="2001">
        <f t="shared" si="62"/>
        <v>0</v>
      </c>
      <c r="AC42" s="2001">
        <f t="shared" si="62"/>
        <v>0</v>
      </c>
      <c r="AD42" s="2001">
        <f t="shared" si="62"/>
        <v>0</v>
      </c>
      <c r="AE42" s="2001">
        <f t="shared" si="62"/>
        <v>0</v>
      </c>
      <c r="AF42" s="2001">
        <f t="shared" si="62"/>
        <v>0</v>
      </c>
      <c r="AG42" s="1896"/>
      <c r="AH42" s="2804">
        <f>SUM(AH17:AH40)</f>
        <v>0</v>
      </c>
      <c r="AI42" s="2805" t="e">
        <f>SUM(AI17:AI40)</f>
        <v>#DIV/0!</v>
      </c>
      <c r="AJ42" s="2806" t="e">
        <f>SUM(AJ17:AJ40)</f>
        <v>#DIV/0!</v>
      </c>
      <c r="AK42" s="1896"/>
      <c r="AL42" s="2005">
        <f t="shared" ref="AL42:AR42" si="63">SUM(AL17:AL40)</f>
        <v>0</v>
      </c>
      <c r="AM42" s="2005">
        <f t="shared" si="63"/>
        <v>0</v>
      </c>
      <c r="AN42" s="2005">
        <f t="shared" si="63"/>
        <v>0</v>
      </c>
      <c r="AO42" s="2005">
        <f t="shared" si="63"/>
        <v>0</v>
      </c>
      <c r="AP42" s="2005">
        <f t="shared" si="63"/>
        <v>0</v>
      </c>
      <c r="AQ42" s="2005">
        <f t="shared" si="63"/>
        <v>0</v>
      </c>
      <c r="AR42" s="2005">
        <f t="shared" si="63"/>
        <v>0</v>
      </c>
      <c r="AS42" s="2295"/>
      <c r="AT42" s="2804">
        <f>SUM(AT17:AT40)</f>
        <v>0</v>
      </c>
      <c r="AU42" s="2805" t="e">
        <f>SUM(AU17:AU40)</f>
        <v>#DIV/0!</v>
      </c>
      <c r="AV42" s="2806" t="e">
        <f>SUM(AV17:AV40)</f>
        <v>#DIV/0!</v>
      </c>
      <c r="AW42" s="2295"/>
      <c r="AX42" s="2005">
        <f t="shared" ref="AX42:BD42" si="64">SUM(AX17:AX40)</f>
        <v>0</v>
      </c>
      <c r="AY42" s="2005">
        <f t="shared" si="64"/>
        <v>0</v>
      </c>
      <c r="AZ42" s="2005">
        <f t="shared" si="64"/>
        <v>0</v>
      </c>
      <c r="BA42" s="2005">
        <f t="shared" si="64"/>
        <v>0</v>
      </c>
      <c r="BB42" s="2005">
        <f t="shared" si="64"/>
        <v>0</v>
      </c>
      <c r="BC42" s="2005">
        <f t="shared" si="64"/>
        <v>0</v>
      </c>
      <c r="BD42" s="2005">
        <f t="shared" si="64"/>
        <v>0</v>
      </c>
      <c r="BE42" s="2295"/>
      <c r="BF42" s="2804">
        <f>SUM(BF17:BF40)</f>
        <v>0</v>
      </c>
      <c r="BG42" s="2805" t="e">
        <f>SUM(BG17:BG40)</f>
        <v>#DIV/0!</v>
      </c>
      <c r="BH42" s="2806" t="e">
        <f>SUM(BH17:BH40)</f>
        <v>#DIV/0!</v>
      </c>
      <c r="BI42" s="2870"/>
      <c r="BJ42" s="2005">
        <f t="shared" ref="BJ42:BK42" si="65">SUM(BJ17:BJ40)</f>
        <v>0</v>
      </c>
      <c r="BK42" s="2005">
        <f t="shared" si="65"/>
        <v>0</v>
      </c>
      <c r="BL42" s="2870"/>
      <c r="BM42" s="2804">
        <f>SUM(BM17:BM40)</f>
        <v>0</v>
      </c>
      <c r="BN42" s="2805" t="e">
        <f>SUM(BN17:BN40)</f>
        <v>#DIV/0!</v>
      </c>
      <c r="BO42" s="2806" t="e">
        <f>SUM(BO17:BO40)</f>
        <v>#DIV/0!</v>
      </c>
      <c r="BQ42" s="2397">
        <f>SUM(BQ17:BQ40)</f>
        <v>0</v>
      </c>
      <c r="BR42" s="2398">
        <f>BQ42/E42</f>
        <v>0</v>
      </c>
      <c r="BS42" s="1900"/>
      <c r="BT42" s="2397">
        <f>SUM(BT17:BT40)</f>
        <v>84.331666666666663</v>
      </c>
      <c r="BU42" s="2398">
        <f>BT42/E42</f>
        <v>3.3333333333333333E-2</v>
      </c>
      <c r="BV42" s="2010"/>
      <c r="BW42" s="2869"/>
      <c r="BY42" s="2869"/>
      <c r="BZ42" s="2839"/>
      <c r="CC42" s="1946"/>
      <c r="CD42" s="1946"/>
      <c r="CE42" s="1946"/>
      <c r="CF42" s="1946"/>
      <c r="CG42" s="1946"/>
      <c r="CH42" s="2012"/>
    </row>
    <row r="43" spans="2:86" s="1947" customFormat="1" ht="4.5" customHeight="1" x14ac:dyDescent="0.2">
      <c r="B43" s="2634"/>
      <c r="C43" s="2635"/>
      <c r="D43" s="1906"/>
      <c r="E43" s="2392"/>
      <c r="F43" s="2392"/>
      <c r="G43" s="2392"/>
      <c r="H43" s="2392"/>
      <c r="I43" s="2392"/>
      <c r="J43" s="2392"/>
      <c r="K43" s="2636"/>
      <c r="L43" s="1949"/>
      <c r="M43" s="1950"/>
      <c r="N43" s="2392"/>
      <c r="O43" s="2392"/>
      <c r="P43" s="2392"/>
      <c r="Q43" s="2392"/>
      <c r="R43" s="2392"/>
      <c r="S43" s="2392"/>
      <c r="T43" s="2392"/>
      <c r="U43" s="1951"/>
      <c r="V43" s="1951"/>
      <c r="W43" s="1951"/>
      <c r="X43" s="1951"/>
      <c r="Y43" s="1956"/>
      <c r="Z43" s="2392"/>
      <c r="AA43" s="2392"/>
      <c r="AB43" s="2392"/>
      <c r="AC43" s="2392"/>
      <c r="AD43" s="2392"/>
      <c r="AE43" s="2392"/>
      <c r="AF43" s="2392"/>
      <c r="AG43" s="1956"/>
      <c r="AH43" s="1951"/>
      <c r="AI43" s="1951"/>
      <c r="AJ43" s="1951"/>
      <c r="AK43" s="1956"/>
      <c r="AL43" s="2392"/>
      <c r="AM43" s="2392"/>
      <c r="AN43" s="2392"/>
      <c r="AO43" s="2392"/>
      <c r="AP43" s="2392"/>
      <c r="AQ43" s="2392"/>
      <c r="AR43" s="2392"/>
      <c r="AS43" s="1951"/>
      <c r="AT43" s="1951"/>
      <c r="AU43" s="1951"/>
      <c r="AV43" s="1951"/>
      <c r="AW43" s="1951"/>
      <c r="AX43" s="2421"/>
      <c r="AY43" s="2421"/>
      <c r="AZ43" s="2421"/>
      <c r="BA43" s="2421"/>
      <c r="BB43" s="2421"/>
      <c r="BC43" s="2421"/>
      <c r="BD43" s="2421"/>
      <c r="BE43" s="1951"/>
      <c r="BF43" s="1951"/>
      <c r="BG43" s="1951"/>
      <c r="BH43" s="1951"/>
      <c r="BI43" s="1951"/>
      <c r="BJ43" s="2421"/>
      <c r="BK43" s="2421"/>
      <c r="BL43" s="1951"/>
      <c r="BM43" s="1951"/>
      <c r="BN43" s="1951"/>
      <c r="BO43" s="1951"/>
      <c r="BQ43" s="1951"/>
      <c r="BR43" s="1962"/>
      <c r="BS43" s="1959"/>
      <c r="BT43" s="1951"/>
      <c r="BU43" s="1962"/>
      <c r="BV43" s="1962"/>
      <c r="BW43" s="1905"/>
      <c r="BY43" s="1905"/>
      <c r="BZ43" s="2840"/>
      <c r="CC43" s="1906"/>
      <c r="CD43" s="1906"/>
      <c r="CE43" s="1906"/>
      <c r="CF43" s="1906"/>
      <c r="CG43" s="1906"/>
      <c r="CH43" s="2386"/>
    </row>
    <row r="44" spans="2:86" s="1947" customFormat="1" ht="16.5" customHeight="1" thickBot="1" x14ac:dyDescent="0.25">
      <c r="B44" s="1963"/>
      <c r="C44" s="1964" t="s">
        <v>267</v>
      </c>
      <c r="D44" s="2578"/>
      <c r="E44" s="1728"/>
      <c r="F44" s="1728"/>
      <c r="G44" s="1728"/>
      <c r="H44" s="1728"/>
      <c r="I44" s="1728"/>
      <c r="J44" s="1728">
        <f>J70*100/50</f>
        <v>116.99333333333334</v>
      </c>
      <c r="K44" s="2383">
        <f>J44*BZ48</f>
        <v>0</v>
      </c>
      <c r="L44" s="1924"/>
      <c r="M44" s="1966"/>
      <c r="N44" s="2266"/>
      <c r="O44" s="2266"/>
      <c r="P44" s="2266"/>
      <c r="Q44" s="2266"/>
      <c r="R44" s="2266"/>
      <c r="S44" s="2266"/>
      <c r="T44" s="2266"/>
      <c r="U44" s="1814"/>
      <c r="V44" s="4588"/>
      <c r="W44" s="4588"/>
      <c r="X44" s="4588"/>
      <c r="Y44" s="1766"/>
      <c r="Z44" s="2266"/>
      <c r="AA44" s="2266"/>
      <c r="AB44" s="2266"/>
      <c r="AC44" s="2266"/>
      <c r="AD44" s="2266"/>
      <c r="AE44" s="2266"/>
      <c r="AF44" s="2266"/>
      <c r="AG44" s="1766"/>
      <c r="AH44" s="4588"/>
      <c r="AI44" s="4588"/>
      <c r="AJ44" s="4588"/>
      <c r="AK44" s="1766"/>
      <c r="AL44" s="2266"/>
      <c r="AM44" s="2266"/>
      <c r="AN44" s="2266"/>
      <c r="AO44" s="2266"/>
      <c r="AP44" s="2266"/>
      <c r="AQ44" s="2266"/>
      <c r="AR44" s="2266"/>
      <c r="AS44" s="1814"/>
      <c r="AT44" s="4588"/>
      <c r="AU44" s="4588"/>
      <c r="AV44" s="4588"/>
      <c r="AW44" s="1814"/>
      <c r="AX44" s="2266"/>
      <c r="AY44" s="2266"/>
      <c r="AZ44" s="4589"/>
      <c r="BA44" s="4589"/>
      <c r="BB44" s="4589"/>
      <c r="BC44" s="4589"/>
      <c r="BD44" s="4589"/>
      <c r="BE44" s="1814"/>
      <c r="BF44" s="4588"/>
      <c r="BG44" s="4588"/>
      <c r="BH44" s="4588"/>
      <c r="BI44" s="1814"/>
      <c r="BJ44" s="4589"/>
      <c r="BK44" s="4589"/>
      <c r="BL44" s="1814"/>
      <c r="BM44" s="4588"/>
      <c r="BN44" s="4588"/>
      <c r="BO44" s="4588"/>
      <c r="BP44" s="1810"/>
      <c r="BQ44" s="2872"/>
      <c r="BR44" s="1968"/>
      <c r="BS44" s="1817"/>
      <c r="BT44" s="1814"/>
      <c r="BU44" s="1830"/>
      <c r="BV44" s="1962"/>
      <c r="BW44" s="1905"/>
      <c r="BY44" s="1905"/>
      <c r="BZ44" s="2840"/>
      <c r="CC44" s="1906"/>
      <c r="CD44" s="1906"/>
      <c r="CE44" s="1906"/>
      <c r="CF44" s="1906"/>
      <c r="CG44" s="1906"/>
      <c r="CH44" s="2386"/>
    </row>
    <row r="45" spans="2:86" s="1947" customFormat="1" ht="16.5" customHeight="1" x14ac:dyDescent="0.2">
      <c r="B45" s="1987">
        <v>13</v>
      </c>
      <c r="C45" s="1987" t="s">
        <v>197</v>
      </c>
      <c r="D45" s="1836"/>
      <c r="E45" s="1746">
        <v>500</v>
      </c>
      <c r="F45" s="1746">
        <v>108.33333333333333</v>
      </c>
      <c r="G45" s="1746">
        <v>72.222222222222214</v>
      </c>
      <c r="H45" s="1746">
        <v>54.166666666666664</v>
      </c>
      <c r="I45" s="1746">
        <v>43.333333333333329</v>
      </c>
      <c r="J45" s="1746">
        <f t="shared" ref="J45:J68" si="66">E45/30</f>
        <v>16.666666666666668</v>
      </c>
      <c r="K45" s="2583">
        <f t="shared" ref="K45:K68" si="67">E45/$E$42</f>
        <v>0.19763236427597386</v>
      </c>
      <c r="L45" s="1909"/>
      <c r="M45" s="1910"/>
      <c r="N45" s="1746">
        <f>$J$45</f>
        <v>16.666666666666668</v>
      </c>
      <c r="O45" s="1746"/>
      <c r="P45" s="1746"/>
      <c r="Q45" s="1746"/>
      <c r="R45" s="1746"/>
      <c r="S45" s="1746"/>
      <c r="T45" s="1746"/>
      <c r="U45" s="2875"/>
      <c r="V45" s="1972">
        <f>SUM(N45:T45)</f>
        <v>16.666666666666668</v>
      </c>
      <c r="W45" s="1973">
        <f>($V$3*K45)*$V$5</f>
        <v>47.431767426233726</v>
      </c>
      <c r="X45" s="1974">
        <f>W45-V45</f>
        <v>30.765100759567058</v>
      </c>
      <c r="Y45" s="1914"/>
      <c r="Z45" s="1746"/>
      <c r="AA45" s="1746"/>
      <c r="AB45" s="1746"/>
      <c r="AC45" s="1746"/>
      <c r="AD45" s="1746"/>
      <c r="AE45" s="1746"/>
      <c r="AF45" s="1746"/>
      <c r="AG45" s="1914"/>
      <c r="AH45" s="1972">
        <f>SUM(Z45:AF45)</f>
        <v>0</v>
      </c>
      <c r="AI45" s="1973" t="e">
        <f>($AH$3*K45)*$AH$5</f>
        <v>#DIV/0!</v>
      </c>
      <c r="AJ45" s="1974" t="e">
        <f>AI45-AH45</f>
        <v>#DIV/0!</v>
      </c>
      <c r="AK45" s="1914"/>
      <c r="AL45" s="1990"/>
      <c r="AM45" s="1990"/>
      <c r="AN45" s="1990"/>
      <c r="AO45" s="1990"/>
      <c r="AP45" s="1990"/>
      <c r="AQ45" s="1990"/>
      <c r="AR45" s="1990"/>
      <c r="AS45" s="2297"/>
      <c r="AT45" s="1972">
        <f>SUM(AL45:AR45)</f>
        <v>0</v>
      </c>
      <c r="AU45" s="1973" t="e">
        <f>($AT$3*K45)*$AT$5</f>
        <v>#DIV/0!</v>
      </c>
      <c r="AV45" s="1974" t="e">
        <f>AU45-AT45</f>
        <v>#DIV/0!</v>
      </c>
      <c r="AW45" s="2297"/>
      <c r="AX45" s="1990"/>
      <c r="AY45" s="1990"/>
      <c r="AZ45" s="1990"/>
      <c r="BA45" s="1990"/>
      <c r="BB45" s="1990"/>
      <c r="BC45" s="1990"/>
      <c r="BD45" s="1990"/>
      <c r="BE45" s="2297"/>
      <c r="BF45" s="1972">
        <f>SUM(AX45:BD45)</f>
        <v>0</v>
      </c>
      <c r="BG45" s="1973" t="e">
        <f>($BF$3*K45)*$BF$5</f>
        <v>#DIV/0!</v>
      </c>
      <c r="BH45" s="1974" t="e">
        <f>BG45-BF45</f>
        <v>#DIV/0!</v>
      </c>
      <c r="BI45" s="2875"/>
      <c r="BJ45" s="1746"/>
      <c r="BK45" s="1990"/>
      <c r="BL45" s="2875"/>
      <c r="BM45" s="1972">
        <f t="shared" ref="BM45:BM65" si="68">SUM(BJ45:BK45)</f>
        <v>0</v>
      </c>
      <c r="BN45" s="1973" t="e">
        <f>($BM$3*K45)*$BM$5</f>
        <v>#DIV/0!</v>
      </c>
      <c r="BO45" s="1974" t="e">
        <f>BN45-BM45</f>
        <v>#DIV/0!</v>
      </c>
      <c r="BP45" s="1719"/>
      <c r="BQ45" s="1747">
        <v>0</v>
      </c>
      <c r="BR45" s="1752">
        <f t="shared" ref="BR45:BR65" si="69">BQ45/E45</f>
        <v>0</v>
      </c>
      <c r="BS45" s="1754"/>
      <c r="BT45" s="1975">
        <f t="shared" ref="BT45:BT65" si="70">SUM(N45:T45)+SUM(Z45:AF45)+SUM(AL45:AR45)+SUM(AX45:BD45)+SUM(BJ45:BK45)</f>
        <v>16.666666666666668</v>
      </c>
      <c r="BU45" s="1976">
        <f t="shared" ref="BU45:BU65" si="71">BT45/E45</f>
        <v>3.3333333333333333E-2</v>
      </c>
      <c r="BV45" s="1962"/>
      <c r="BW45" s="1905"/>
      <c r="BY45" s="1905"/>
      <c r="BZ45" s="2840"/>
      <c r="CC45" s="1906"/>
      <c r="CD45" s="1906"/>
      <c r="CE45" s="1906"/>
      <c r="CF45" s="1906"/>
      <c r="CG45" s="1906"/>
      <c r="CH45" s="2386"/>
    </row>
    <row r="46" spans="2:86" s="1947" customFormat="1" ht="16.5" customHeight="1" x14ac:dyDescent="0.2">
      <c r="B46" s="1963">
        <v>14</v>
      </c>
      <c r="C46" s="1963" t="s">
        <v>198</v>
      </c>
      <c r="D46" s="2578"/>
      <c r="E46" s="1728">
        <v>500</v>
      </c>
      <c r="F46" s="1728">
        <v>45</v>
      </c>
      <c r="G46" s="1728">
        <v>30</v>
      </c>
      <c r="H46" s="1728">
        <v>22.5</v>
      </c>
      <c r="I46" s="1728">
        <v>18</v>
      </c>
      <c r="J46" s="1728">
        <f t="shared" si="66"/>
        <v>16.666666666666668</v>
      </c>
      <c r="K46" s="1729">
        <f t="shared" si="67"/>
        <v>0.19763236427597386</v>
      </c>
      <c r="L46" s="1876"/>
      <c r="M46" s="1877"/>
      <c r="N46" s="1728">
        <f>$J$46</f>
        <v>16.666666666666668</v>
      </c>
      <c r="O46" s="1728"/>
      <c r="P46" s="1728"/>
      <c r="Q46" s="1728"/>
      <c r="R46" s="1728"/>
      <c r="S46" s="1728"/>
      <c r="T46" s="1728"/>
      <c r="U46" s="2876"/>
      <c r="V46" s="1982">
        <f>SUM(N46:T46)</f>
        <v>16.666666666666668</v>
      </c>
      <c r="W46" s="2268">
        <f>($V$3*K46)*$V$5</f>
        <v>47.431767426233726</v>
      </c>
      <c r="X46" s="1984">
        <f>W46-V46</f>
        <v>30.765100759567058</v>
      </c>
      <c r="Y46" s="1881"/>
      <c r="Z46" s="1728"/>
      <c r="AA46" s="1728"/>
      <c r="AB46" s="1728"/>
      <c r="AC46" s="1728"/>
      <c r="AD46" s="1728"/>
      <c r="AE46" s="1728"/>
      <c r="AF46" s="1728"/>
      <c r="AG46" s="1881"/>
      <c r="AH46" s="1982">
        <f>SUM(Z46:AF46)</f>
        <v>0</v>
      </c>
      <c r="AI46" s="2268" t="e">
        <f t="shared" ref="AI46:AI68" si="72">($AH$3*K46)*$AH$5</f>
        <v>#DIV/0!</v>
      </c>
      <c r="AJ46" s="1984" t="e">
        <f>AI46-AH46</f>
        <v>#DIV/0!</v>
      </c>
      <c r="AK46" s="1881"/>
      <c r="AL46" s="2268"/>
      <c r="AM46" s="2268"/>
      <c r="AN46" s="2268"/>
      <c r="AO46" s="2268"/>
      <c r="AP46" s="2268"/>
      <c r="AQ46" s="2268"/>
      <c r="AR46" s="2268"/>
      <c r="AS46" s="2293"/>
      <c r="AT46" s="1982">
        <f>SUM(AL46:AR46)</f>
        <v>0</v>
      </c>
      <c r="AU46" s="2268" t="e">
        <f t="shared" ref="AU46:AU68" si="73">($AT$3*K46)*$AT$5</f>
        <v>#DIV/0!</v>
      </c>
      <c r="AV46" s="1984" t="e">
        <f>AU46-AT46</f>
        <v>#DIV/0!</v>
      </c>
      <c r="AW46" s="2293"/>
      <c r="AX46" s="2268"/>
      <c r="AY46" s="2268"/>
      <c r="AZ46" s="2268"/>
      <c r="BA46" s="2268"/>
      <c r="BB46" s="2268"/>
      <c r="BC46" s="2268"/>
      <c r="BD46" s="2268"/>
      <c r="BE46" s="2293"/>
      <c r="BF46" s="1982">
        <f>SUM(AX46:BD46)</f>
        <v>0</v>
      </c>
      <c r="BG46" s="2268" t="e">
        <f t="shared" ref="BG46:BG68" si="74">($BF$3*K46)*$BF$5</f>
        <v>#DIV/0!</v>
      </c>
      <c r="BH46" s="1984" t="e">
        <f>BG46-BF46</f>
        <v>#DIV/0!</v>
      </c>
      <c r="BI46" s="2876"/>
      <c r="BJ46" s="1728"/>
      <c r="BK46" s="2268"/>
      <c r="BL46" s="2876"/>
      <c r="BM46" s="1982">
        <f t="shared" si="68"/>
        <v>0</v>
      </c>
      <c r="BN46" s="2268" t="e">
        <f t="shared" ref="BN46:BN68" si="75">($BM$3*K46)*$BM$5</f>
        <v>#DIV/0!</v>
      </c>
      <c r="BO46" s="1984" t="e">
        <f>BN46-BM46</f>
        <v>#DIV/0!</v>
      </c>
      <c r="BP46" s="1726"/>
      <c r="BQ46" s="1732">
        <v>0</v>
      </c>
      <c r="BR46" s="1882">
        <f t="shared" si="69"/>
        <v>0</v>
      </c>
      <c r="BS46" s="1740"/>
      <c r="BT46" s="1734">
        <f t="shared" si="70"/>
        <v>16.666666666666668</v>
      </c>
      <c r="BU46" s="1918">
        <f t="shared" si="71"/>
        <v>3.3333333333333333E-2</v>
      </c>
      <c r="BV46" s="1962"/>
      <c r="BW46" s="1905"/>
      <c r="BY46" s="1905"/>
      <c r="BZ46" s="2840"/>
      <c r="CC46" s="1906"/>
      <c r="CD46" s="1906"/>
      <c r="CE46" s="1906"/>
      <c r="CF46" s="1906"/>
      <c r="CG46" s="1906"/>
      <c r="CH46" s="2386"/>
    </row>
    <row r="47" spans="2:86" s="1947" customFormat="1" ht="16.5" customHeight="1" x14ac:dyDescent="0.2">
      <c r="B47" s="2000">
        <v>15</v>
      </c>
      <c r="C47" s="2000" t="s">
        <v>211</v>
      </c>
      <c r="D47" s="2579"/>
      <c r="E47" s="2001">
        <v>120</v>
      </c>
      <c r="F47" s="2001"/>
      <c r="G47" s="2001"/>
      <c r="H47" s="2001"/>
      <c r="I47" s="2001"/>
      <c r="J47" s="2001">
        <f t="shared" si="66"/>
        <v>4</v>
      </c>
      <c r="K47" s="2584">
        <f t="shared" si="67"/>
        <v>4.7431767426233722E-2</v>
      </c>
      <c r="L47" s="2003"/>
      <c r="M47" s="1950"/>
      <c r="N47" s="2001">
        <f>$J$47</f>
        <v>4</v>
      </c>
      <c r="O47" s="2001"/>
      <c r="P47" s="2001"/>
      <c r="Q47" s="2001"/>
      <c r="R47" s="2001"/>
      <c r="S47" s="2001"/>
      <c r="T47" s="2001"/>
      <c r="U47" s="1951"/>
      <c r="V47" s="2004">
        <f>SUM(N47:T47)</f>
        <v>4</v>
      </c>
      <c r="W47" s="2005">
        <f>($V$3*K47)*$V$5</f>
        <v>11.383624182296092</v>
      </c>
      <c r="X47" s="2006">
        <f t="shared" ref="X47:X55" si="76">W47-V47</f>
        <v>7.3836241822960922</v>
      </c>
      <c r="Y47" s="1955"/>
      <c r="Z47" s="2001"/>
      <c r="AA47" s="2001"/>
      <c r="AB47" s="2001"/>
      <c r="AC47" s="2001"/>
      <c r="AD47" s="2001"/>
      <c r="AE47" s="2001"/>
      <c r="AF47" s="2001"/>
      <c r="AG47" s="1955"/>
      <c r="AH47" s="2004">
        <f t="shared" ref="AH47:AH57" si="77">SUM(Z47:AF47)</f>
        <v>0</v>
      </c>
      <c r="AI47" s="2005" t="e">
        <f t="shared" si="72"/>
        <v>#DIV/0!</v>
      </c>
      <c r="AJ47" s="2006" t="e">
        <f t="shared" ref="AJ47:AJ57" si="78">AI47-AH47</f>
        <v>#DIV/0!</v>
      </c>
      <c r="AK47" s="1955"/>
      <c r="AL47" s="2005"/>
      <c r="AM47" s="2005"/>
      <c r="AN47" s="2005"/>
      <c r="AO47" s="2005"/>
      <c r="AP47" s="2005"/>
      <c r="AQ47" s="2005"/>
      <c r="AR47" s="2005"/>
      <c r="AS47" s="2299"/>
      <c r="AT47" s="2004">
        <f t="shared" ref="AT47:AT68" si="79">SUM(AL47:AR47)</f>
        <v>0</v>
      </c>
      <c r="AU47" s="2005" t="e">
        <f t="shared" si="73"/>
        <v>#DIV/0!</v>
      </c>
      <c r="AV47" s="2006" t="e">
        <f t="shared" ref="AV47:AV68" si="80">AU47-AT47</f>
        <v>#DIV/0!</v>
      </c>
      <c r="AW47" s="2299"/>
      <c r="AX47" s="2005"/>
      <c r="AY47" s="2005"/>
      <c r="AZ47" s="2005"/>
      <c r="BA47" s="2005"/>
      <c r="BB47" s="2005"/>
      <c r="BC47" s="2005"/>
      <c r="BD47" s="2005"/>
      <c r="BE47" s="2299"/>
      <c r="BF47" s="2004">
        <f t="shared" ref="BF47:BF68" si="81">SUM(AX47:BD47)</f>
        <v>0</v>
      </c>
      <c r="BG47" s="2005" t="e">
        <f t="shared" si="74"/>
        <v>#DIV/0!</v>
      </c>
      <c r="BH47" s="2006" t="e">
        <f t="shared" ref="BH47:BH68" si="82">BG47-BF47</f>
        <v>#DIV/0!</v>
      </c>
      <c r="BI47" s="1951"/>
      <c r="BJ47" s="2001"/>
      <c r="BK47" s="2005"/>
      <c r="BL47" s="1951"/>
      <c r="BM47" s="2004">
        <f t="shared" si="68"/>
        <v>0</v>
      </c>
      <c r="BN47" s="2005" t="e">
        <f t="shared" si="75"/>
        <v>#DIV/0!</v>
      </c>
      <c r="BO47" s="2006" t="e">
        <f t="shared" ref="BO47" si="83">BN47-BM47</f>
        <v>#DIV/0!</v>
      </c>
      <c r="BQ47" s="2007">
        <v>0</v>
      </c>
      <c r="BR47" s="2008">
        <f t="shared" si="69"/>
        <v>0</v>
      </c>
      <c r="BS47" s="1959"/>
      <c r="BT47" s="1901">
        <f t="shared" si="70"/>
        <v>4</v>
      </c>
      <c r="BU47" s="1902">
        <f t="shared" si="71"/>
        <v>3.3333333333333333E-2</v>
      </c>
      <c r="BV47" s="1962"/>
      <c r="BW47" s="1905"/>
      <c r="BY47" s="1905"/>
      <c r="BZ47" s="2840"/>
      <c r="CC47" s="1906"/>
      <c r="CD47" s="1906"/>
      <c r="CE47" s="1906"/>
      <c r="CF47" s="1906"/>
      <c r="CG47" s="1906"/>
      <c r="CH47" s="2386"/>
    </row>
    <row r="48" spans="2:86" s="1947" customFormat="1" ht="16.5" customHeight="1" x14ac:dyDescent="0.2">
      <c r="B48" s="1963">
        <v>16</v>
      </c>
      <c r="C48" s="1963" t="s">
        <v>230</v>
      </c>
      <c r="D48" s="2578"/>
      <c r="E48" s="1728">
        <v>100</v>
      </c>
      <c r="F48" s="1728"/>
      <c r="G48" s="1728"/>
      <c r="H48" s="1728"/>
      <c r="I48" s="1728"/>
      <c r="J48" s="1728">
        <f t="shared" si="66"/>
        <v>3.3333333333333335</v>
      </c>
      <c r="K48" s="1729">
        <f t="shared" si="67"/>
        <v>3.9526472855194769E-2</v>
      </c>
      <c r="L48" s="1931"/>
      <c r="M48" s="1924"/>
      <c r="N48" s="1728">
        <f>$J$48</f>
        <v>3.3333333333333335</v>
      </c>
      <c r="O48" s="1728"/>
      <c r="P48" s="1728"/>
      <c r="Q48" s="1728"/>
      <c r="R48" s="1728"/>
      <c r="S48" s="1728"/>
      <c r="T48" s="1728"/>
      <c r="U48" s="1814"/>
      <c r="V48" s="1982">
        <f t="shared" ref="V48:V67" si="84">SUM(N48:T48)</f>
        <v>3.3333333333333335</v>
      </c>
      <c r="W48" s="2268">
        <f>($V$3*K48)*$V$5</f>
        <v>9.4863534852467435</v>
      </c>
      <c r="X48" s="1984">
        <f t="shared" si="76"/>
        <v>6.1530201519134096</v>
      </c>
      <c r="Y48" s="1764"/>
      <c r="Z48" s="1728"/>
      <c r="AA48" s="1728"/>
      <c r="AB48" s="1728"/>
      <c r="AC48" s="1728"/>
      <c r="AD48" s="1728"/>
      <c r="AE48" s="1728"/>
      <c r="AF48" s="1728"/>
      <c r="AG48" s="1764"/>
      <c r="AH48" s="1982">
        <f t="shared" si="77"/>
        <v>0</v>
      </c>
      <c r="AI48" s="2268" t="e">
        <f t="shared" si="72"/>
        <v>#DIV/0!</v>
      </c>
      <c r="AJ48" s="1984" t="e">
        <f t="shared" si="78"/>
        <v>#DIV/0!</v>
      </c>
      <c r="AK48" s="1764"/>
      <c r="AL48" s="2268"/>
      <c r="AM48" s="2268"/>
      <c r="AN48" s="2268"/>
      <c r="AO48" s="2268"/>
      <c r="AP48" s="2268"/>
      <c r="AQ48" s="2268"/>
      <c r="AR48" s="2268"/>
      <c r="AS48" s="2289"/>
      <c r="AT48" s="1982">
        <f t="shared" si="79"/>
        <v>0</v>
      </c>
      <c r="AU48" s="2268" t="e">
        <f t="shared" si="73"/>
        <v>#DIV/0!</v>
      </c>
      <c r="AV48" s="1984" t="e">
        <f t="shared" si="80"/>
        <v>#DIV/0!</v>
      </c>
      <c r="AW48" s="2289"/>
      <c r="AX48" s="2268"/>
      <c r="AY48" s="2268"/>
      <c r="AZ48" s="2268"/>
      <c r="BA48" s="2268"/>
      <c r="BB48" s="2268"/>
      <c r="BC48" s="2268"/>
      <c r="BD48" s="2268"/>
      <c r="BE48" s="2289"/>
      <c r="BF48" s="1982">
        <f t="shared" si="81"/>
        <v>0</v>
      </c>
      <c r="BG48" s="2268" t="e">
        <f t="shared" si="74"/>
        <v>#DIV/0!</v>
      </c>
      <c r="BH48" s="1984" t="e">
        <f t="shared" si="82"/>
        <v>#DIV/0!</v>
      </c>
      <c r="BI48" s="1814"/>
      <c r="BJ48" s="1728"/>
      <c r="BK48" s="2268"/>
      <c r="BL48" s="1814"/>
      <c r="BM48" s="1982">
        <f t="shared" si="68"/>
        <v>0</v>
      </c>
      <c r="BN48" s="2268" t="e">
        <f t="shared" si="75"/>
        <v>#DIV/0!</v>
      </c>
      <c r="BO48" s="1984" t="e">
        <f>BN48-BM48</f>
        <v>#DIV/0!</v>
      </c>
      <c r="BP48" s="1756"/>
      <c r="BQ48" s="1735">
        <v>0</v>
      </c>
      <c r="BR48" s="1768">
        <f t="shared" si="69"/>
        <v>0</v>
      </c>
      <c r="BS48" s="2868"/>
      <c r="BT48" s="1763">
        <f t="shared" si="70"/>
        <v>3.3333333333333335</v>
      </c>
      <c r="BU48" s="1883">
        <f t="shared" si="71"/>
        <v>3.3333333333333333E-2</v>
      </c>
      <c r="BV48" s="1962"/>
      <c r="BW48" s="1905"/>
      <c r="BY48" s="1905"/>
      <c r="BZ48" s="2840"/>
      <c r="CC48" s="1906"/>
      <c r="CD48" s="1906"/>
      <c r="CE48" s="1906"/>
      <c r="CF48" s="1906"/>
      <c r="CG48" s="1906"/>
      <c r="CH48" s="2386"/>
    </row>
    <row r="49" spans="2:86" s="1947" customFormat="1" ht="16.5" customHeight="1" x14ac:dyDescent="0.2">
      <c r="B49" s="2000">
        <v>17</v>
      </c>
      <c r="C49" s="2000" t="s">
        <v>199</v>
      </c>
      <c r="D49" s="2579"/>
      <c r="E49" s="2001">
        <v>75</v>
      </c>
      <c r="F49" s="2001">
        <v>0</v>
      </c>
      <c r="G49" s="2001">
        <v>0</v>
      </c>
      <c r="H49" s="2001">
        <v>0</v>
      </c>
      <c r="I49" s="2001">
        <v>0</v>
      </c>
      <c r="J49" s="2001">
        <f t="shared" si="66"/>
        <v>2.5</v>
      </c>
      <c r="K49" s="2584">
        <f t="shared" si="67"/>
        <v>2.9644854641396077E-2</v>
      </c>
      <c r="L49" s="2003"/>
      <c r="M49" s="1950"/>
      <c r="N49" s="2001">
        <f>$J$49</f>
        <v>2.5</v>
      </c>
      <c r="O49" s="2001"/>
      <c r="P49" s="2001"/>
      <c r="Q49" s="2001"/>
      <c r="R49" s="2001"/>
      <c r="S49" s="2001"/>
      <c r="T49" s="2001"/>
      <c r="U49" s="1951"/>
      <c r="V49" s="2004">
        <f t="shared" si="84"/>
        <v>2.5</v>
      </c>
      <c r="W49" s="2005">
        <f t="shared" ref="W49:W68" si="85">($V$3*K49)*$V$5</f>
        <v>7.1147651139350581</v>
      </c>
      <c r="X49" s="2006">
        <f t="shared" si="76"/>
        <v>4.6147651139350581</v>
      </c>
      <c r="Y49" s="1955"/>
      <c r="Z49" s="2001"/>
      <c r="AA49" s="2001"/>
      <c r="AB49" s="2001"/>
      <c r="AC49" s="2001"/>
      <c r="AD49" s="2001"/>
      <c r="AE49" s="2001"/>
      <c r="AF49" s="2001"/>
      <c r="AG49" s="1955"/>
      <c r="AH49" s="2004">
        <f t="shared" si="77"/>
        <v>0</v>
      </c>
      <c r="AI49" s="2005" t="e">
        <f t="shared" si="72"/>
        <v>#DIV/0!</v>
      </c>
      <c r="AJ49" s="2006" t="e">
        <f t="shared" si="78"/>
        <v>#DIV/0!</v>
      </c>
      <c r="AK49" s="1955"/>
      <c r="AL49" s="2005"/>
      <c r="AM49" s="2005"/>
      <c r="AN49" s="2005"/>
      <c r="AO49" s="2005"/>
      <c r="AP49" s="2005"/>
      <c r="AQ49" s="2005"/>
      <c r="AR49" s="2005"/>
      <c r="AS49" s="2299"/>
      <c r="AT49" s="2004">
        <f t="shared" si="79"/>
        <v>0</v>
      </c>
      <c r="AU49" s="2005" t="e">
        <f t="shared" si="73"/>
        <v>#DIV/0!</v>
      </c>
      <c r="AV49" s="2006" t="e">
        <f t="shared" si="80"/>
        <v>#DIV/0!</v>
      </c>
      <c r="AW49" s="2299"/>
      <c r="AX49" s="2005"/>
      <c r="AY49" s="2005"/>
      <c r="AZ49" s="2005"/>
      <c r="BA49" s="2005"/>
      <c r="BB49" s="2005"/>
      <c r="BC49" s="2005"/>
      <c r="BD49" s="2005"/>
      <c r="BE49" s="2299"/>
      <c r="BF49" s="2004">
        <f t="shared" si="81"/>
        <v>0</v>
      </c>
      <c r="BG49" s="2005" t="e">
        <f t="shared" si="74"/>
        <v>#DIV/0!</v>
      </c>
      <c r="BH49" s="2006" t="e">
        <f t="shared" si="82"/>
        <v>#DIV/0!</v>
      </c>
      <c r="BI49" s="1951"/>
      <c r="BJ49" s="2001"/>
      <c r="BK49" s="2005"/>
      <c r="BL49" s="1951"/>
      <c r="BM49" s="2004">
        <f t="shared" si="68"/>
        <v>0</v>
      </c>
      <c r="BN49" s="2005" t="e">
        <f t="shared" si="75"/>
        <v>#DIV/0!</v>
      </c>
      <c r="BO49" s="2006" t="e">
        <f>BN49-BM49</f>
        <v>#DIV/0!</v>
      </c>
      <c r="BQ49" s="2007">
        <v>0</v>
      </c>
      <c r="BR49" s="2008">
        <f t="shared" si="69"/>
        <v>0</v>
      </c>
      <c r="BS49" s="1959"/>
      <c r="BT49" s="1901">
        <f t="shared" si="70"/>
        <v>2.5</v>
      </c>
      <c r="BU49" s="1902">
        <f t="shared" si="71"/>
        <v>3.3333333333333333E-2</v>
      </c>
      <c r="BV49" s="1962"/>
      <c r="BW49" s="1905"/>
      <c r="BY49" s="1905"/>
      <c r="BZ49" s="2840"/>
      <c r="CC49" s="1906"/>
      <c r="CD49" s="1906"/>
      <c r="CE49" s="1906"/>
      <c r="CF49" s="1906"/>
      <c r="CG49" s="1906"/>
      <c r="CH49" s="2386"/>
    </row>
    <row r="50" spans="2:86" s="1947" customFormat="1" ht="16.5" customHeight="1" x14ac:dyDescent="0.2">
      <c r="B50" s="1963">
        <v>18</v>
      </c>
      <c r="C50" s="1963" t="s">
        <v>239</v>
      </c>
      <c r="D50" s="2578"/>
      <c r="E50" s="1728">
        <v>75</v>
      </c>
      <c r="F50" s="1728"/>
      <c r="G50" s="1728"/>
      <c r="H50" s="1728"/>
      <c r="I50" s="1728"/>
      <c r="J50" s="1728">
        <f t="shared" si="66"/>
        <v>2.5</v>
      </c>
      <c r="K50" s="1729">
        <f t="shared" si="67"/>
        <v>2.9644854641396077E-2</v>
      </c>
      <c r="L50" s="1931"/>
      <c r="M50" s="1924"/>
      <c r="N50" s="1728">
        <f>$J$50</f>
        <v>2.5</v>
      </c>
      <c r="O50" s="1728"/>
      <c r="P50" s="1728"/>
      <c r="Q50" s="1728"/>
      <c r="R50" s="1728"/>
      <c r="S50" s="1728"/>
      <c r="T50" s="1728"/>
      <c r="U50" s="1814"/>
      <c r="V50" s="1982">
        <f t="shared" si="84"/>
        <v>2.5</v>
      </c>
      <c r="W50" s="2268">
        <f t="shared" si="85"/>
        <v>7.1147651139350581</v>
      </c>
      <c r="X50" s="1984">
        <f t="shared" si="76"/>
        <v>4.6147651139350581</v>
      </c>
      <c r="Y50" s="1764"/>
      <c r="Z50" s="1728"/>
      <c r="AA50" s="1728"/>
      <c r="AB50" s="1728"/>
      <c r="AC50" s="1728"/>
      <c r="AD50" s="1728"/>
      <c r="AE50" s="1728"/>
      <c r="AF50" s="1728"/>
      <c r="AG50" s="1764"/>
      <c r="AH50" s="1982">
        <f t="shared" si="77"/>
        <v>0</v>
      </c>
      <c r="AI50" s="2268" t="e">
        <f t="shared" si="72"/>
        <v>#DIV/0!</v>
      </c>
      <c r="AJ50" s="1984" t="e">
        <f t="shared" si="78"/>
        <v>#DIV/0!</v>
      </c>
      <c r="AK50" s="1764"/>
      <c r="AL50" s="2268"/>
      <c r="AM50" s="2268"/>
      <c r="AN50" s="2268"/>
      <c r="AO50" s="2268"/>
      <c r="AP50" s="2268"/>
      <c r="AQ50" s="2268"/>
      <c r="AR50" s="2268"/>
      <c r="AS50" s="2289"/>
      <c r="AT50" s="1982">
        <f t="shared" si="79"/>
        <v>0</v>
      </c>
      <c r="AU50" s="2268" t="e">
        <f t="shared" si="73"/>
        <v>#DIV/0!</v>
      </c>
      <c r="AV50" s="1984" t="e">
        <f t="shared" si="80"/>
        <v>#DIV/0!</v>
      </c>
      <c r="AW50" s="2289"/>
      <c r="AX50" s="2268"/>
      <c r="AY50" s="2268"/>
      <c r="AZ50" s="2268"/>
      <c r="BA50" s="2268"/>
      <c r="BB50" s="2268"/>
      <c r="BC50" s="2268"/>
      <c r="BD50" s="2268"/>
      <c r="BE50" s="2289"/>
      <c r="BF50" s="1982">
        <f t="shared" si="81"/>
        <v>0</v>
      </c>
      <c r="BG50" s="2268" t="e">
        <f t="shared" si="74"/>
        <v>#DIV/0!</v>
      </c>
      <c r="BH50" s="1984" t="e">
        <f t="shared" si="82"/>
        <v>#DIV/0!</v>
      </c>
      <c r="BI50" s="1814"/>
      <c r="BJ50" s="1728"/>
      <c r="BK50" s="2268"/>
      <c r="BL50" s="1814"/>
      <c r="BM50" s="1982">
        <f t="shared" si="68"/>
        <v>0</v>
      </c>
      <c r="BN50" s="2268" t="e">
        <f t="shared" si="75"/>
        <v>#DIV/0!</v>
      </c>
      <c r="BO50" s="1984" t="e">
        <f>BN50-BM50</f>
        <v>#DIV/0!</v>
      </c>
      <c r="BP50" s="1756"/>
      <c r="BQ50" s="1735">
        <v>0</v>
      </c>
      <c r="BR50" s="1768">
        <f t="shared" si="69"/>
        <v>0</v>
      </c>
      <c r="BS50" s="2868"/>
      <c r="BT50" s="1763">
        <f t="shared" si="70"/>
        <v>2.5</v>
      </c>
      <c r="BU50" s="1883">
        <f t="shared" si="71"/>
        <v>3.3333333333333333E-2</v>
      </c>
      <c r="BV50" s="1962"/>
      <c r="BW50" s="1905"/>
      <c r="BY50" s="1905"/>
      <c r="BZ50" s="2840"/>
      <c r="CC50" s="1906"/>
      <c r="CD50" s="1906"/>
      <c r="CE50" s="1906"/>
      <c r="CF50" s="1906"/>
      <c r="CG50" s="1906"/>
      <c r="CH50" s="2386"/>
    </row>
    <row r="51" spans="2:86" s="1947" customFormat="1" ht="16.5" customHeight="1" x14ac:dyDescent="0.2">
      <c r="B51" s="2000">
        <v>19</v>
      </c>
      <c r="C51" s="2000" t="s">
        <v>214</v>
      </c>
      <c r="D51" s="2579"/>
      <c r="E51" s="2001">
        <v>0</v>
      </c>
      <c r="F51" s="2001">
        <v>75.3</v>
      </c>
      <c r="G51" s="2001">
        <v>50.2</v>
      </c>
      <c r="H51" s="2001">
        <v>37.65</v>
      </c>
      <c r="I51" s="2001">
        <v>30.12</v>
      </c>
      <c r="J51" s="2001">
        <f t="shared" si="66"/>
        <v>0</v>
      </c>
      <c r="K51" s="2584">
        <f t="shared" si="67"/>
        <v>0</v>
      </c>
      <c r="L51" s="2003"/>
      <c r="M51" s="1950"/>
      <c r="N51" s="2001">
        <f>$J$51</f>
        <v>0</v>
      </c>
      <c r="O51" s="2001"/>
      <c r="P51" s="2001"/>
      <c r="Q51" s="2001"/>
      <c r="R51" s="2001"/>
      <c r="S51" s="2001"/>
      <c r="T51" s="2001"/>
      <c r="U51" s="1951"/>
      <c r="V51" s="2004">
        <f t="shared" si="84"/>
        <v>0</v>
      </c>
      <c r="W51" s="2005">
        <f t="shared" si="85"/>
        <v>0</v>
      </c>
      <c r="X51" s="2006">
        <f t="shared" si="76"/>
        <v>0</v>
      </c>
      <c r="Y51" s="1955"/>
      <c r="Z51" s="2001"/>
      <c r="AA51" s="2001"/>
      <c r="AB51" s="2001"/>
      <c r="AC51" s="2001"/>
      <c r="AD51" s="2001"/>
      <c r="AE51" s="2001"/>
      <c r="AF51" s="2001"/>
      <c r="AG51" s="1955"/>
      <c r="AH51" s="2004">
        <f t="shared" si="77"/>
        <v>0</v>
      </c>
      <c r="AI51" s="2005" t="e">
        <f t="shared" si="72"/>
        <v>#DIV/0!</v>
      </c>
      <c r="AJ51" s="2006" t="e">
        <f t="shared" si="78"/>
        <v>#DIV/0!</v>
      </c>
      <c r="AK51" s="1955"/>
      <c r="AL51" s="2005"/>
      <c r="AM51" s="2005"/>
      <c r="AN51" s="2005"/>
      <c r="AO51" s="2005"/>
      <c r="AP51" s="2005"/>
      <c r="AQ51" s="2005"/>
      <c r="AR51" s="2005"/>
      <c r="AS51" s="2299"/>
      <c r="AT51" s="2004">
        <f t="shared" si="79"/>
        <v>0</v>
      </c>
      <c r="AU51" s="2005" t="e">
        <f t="shared" si="73"/>
        <v>#DIV/0!</v>
      </c>
      <c r="AV51" s="2006" t="e">
        <f t="shared" si="80"/>
        <v>#DIV/0!</v>
      </c>
      <c r="AW51" s="2299"/>
      <c r="AX51" s="2005"/>
      <c r="AY51" s="2005"/>
      <c r="AZ51" s="2005"/>
      <c r="BA51" s="2005"/>
      <c r="BB51" s="2005"/>
      <c r="BC51" s="2005"/>
      <c r="BD51" s="2005"/>
      <c r="BE51" s="2299"/>
      <c r="BF51" s="2004">
        <f t="shared" si="81"/>
        <v>0</v>
      </c>
      <c r="BG51" s="2005" t="e">
        <f t="shared" si="74"/>
        <v>#DIV/0!</v>
      </c>
      <c r="BH51" s="2006" t="e">
        <f t="shared" si="82"/>
        <v>#DIV/0!</v>
      </c>
      <c r="BI51" s="1951"/>
      <c r="BJ51" s="2001"/>
      <c r="BK51" s="2005"/>
      <c r="BL51" s="1951"/>
      <c r="BM51" s="2004">
        <f t="shared" si="68"/>
        <v>0</v>
      </c>
      <c r="BN51" s="2005" t="e">
        <f t="shared" si="75"/>
        <v>#DIV/0!</v>
      </c>
      <c r="BO51" s="2006" t="e">
        <f>BN51-BM51</f>
        <v>#DIV/0!</v>
      </c>
      <c r="BQ51" s="2007">
        <v>0</v>
      </c>
      <c r="BR51" s="2008" t="e">
        <f t="shared" si="69"/>
        <v>#DIV/0!</v>
      </c>
      <c r="BS51" s="1959"/>
      <c r="BT51" s="1901">
        <f t="shared" si="70"/>
        <v>0</v>
      </c>
      <c r="BU51" s="1902" t="e">
        <f t="shared" si="71"/>
        <v>#DIV/0!</v>
      </c>
      <c r="BV51" s="1962"/>
      <c r="BW51" s="1905"/>
      <c r="BY51" s="1905"/>
      <c r="BZ51" s="2840"/>
      <c r="CC51" s="1906"/>
      <c r="CD51" s="1906"/>
      <c r="CE51" s="1906"/>
      <c r="CF51" s="1906"/>
      <c r="CG51" s="1906"/>
      <c r="CH51" s="2386"/>
    </row>
    <row r="52" spans="2:86" s="1947" customFormat="1" ht="16.5" customHeight="1" x14ac:dyDescent="0.2">
      <c r="B52" s="1963">
        <v>20</v>
      </c>
      <c r="C52" s="1963" t="s">
        <v>247</v>
      </c>
      <c r="D52" s="2578"/>
      <c r="E52" s="1728">
        <v>60</v>
      </c>
      <c r="F52" s="1728">
        <v>0</v>
      </c>
      <c r="G52" s="1728">
        <v>0</v>
      </c>
      <c r="H52" s="1728">
        <v>0</v>
      </c>
      <c r="I52" s="1728">
        <v>0</v>
      </c>
      <c r="J52" s="1728">
        <f t="shared" si="66"/>
        <v>2</v>
      </c>
      <c r="K52" s="1729">
        <f t="shared" si="67"/>
        <v>2.3715883713116861E-2</v>
      </c>
      <c r="L52" s="1931"/>
      <c r="M52" s="1924"/>
      <c r="N52" s="1728">
        <f>$J$52</f>
        <v>2</v>
      </c>
      <c r="O52" s="1728"/>
      <c r="P52" s="1728"/>
      <c r="Q52" s="1728"/>
      <c r="R52" s="1728"/>
      <c r="S52" s="1728"/>
      <c r="T52" s="1728"/>
      <c r="U52" s="1814"/>
      <c r="V52" s="1982">
        <f t="shared" si="84"/>
        <v>2</v>
      </c>
      <c r="W52" s="2268">
        <f t="shared" si="85"/>
        <v>5.6918120911480461</v>
      </c>
      <c r="X52" s="1984">
        <f t="shared" si="76"/>
        <v>3.6918120911480461</v>
      </c>
      <c r="Y52" s="1764"/>
      <c r="Z52" s="1728"/>
      <c r="AA52" s="1728"/>
      <c r="AB52" s="1728"/>
      <c r="AC52" s="1728"/>
      <c r="AD52" s="1728"/>
      <c r="AE52" s="1728"/>
      <c r="AF52" s="1728"/>
      <c r="AG52" s="1764"/>
      <c r="AH52" s="1982">
        <f t="shared" si="77"/>
        <v>0</v>
      </c>
      <c r="AI52" s="2268" t="e">
        <f t="shared" si="72"/>
        <v>#DIV/0!</v>
      </c>
      <c r="AJ52" s="1984" t="e">
        <f t="shared" si="78"/>
        <v>#DIV/0!</v>
      </c>
      <c r="AK52" s="1764"/>
      <c r="AL52" s="2268"/>
      <c r="AM52" s="2268"/>
      <c r="AN52" s="2268"/>
      <c r="AO52" s="2268"/>
      <c r="AP52" s="2268"/>
      <c r="AQ52" s="2268"/>
      <c r="AR52" s="2268"/>
      <c r="AS52" s="2289"/>
      <c r="AT52" s="1982">
        <f t="shared" si="79"/>
        <v>0</v>
      </c>
      <c r="AU52" s="2268" t="e">
        <f t="shared" si="73"/>
        <v>#DIV/0!</v>
      </c>
      <c r="AV52" s="1984" t="e">
        <f t="shared" si="80"/>
        <v>#DIV/0!</v>
      </c>
      <c r="AW52" s="2289"/>
      <c r="AX52" s="2268"/>
      <c r="AY52" s="2268"/>
      <c r="AZ52" s="2268"/>
      <c r="BA52" s="2268"/>
      <c r="BB52" s="2268"/>
      <c r="BC52" s="2268"/>
      <c r="BD52" s="2268"/>
      <c r="BE52" s="2289"/>
      <c r="BF52" s="1982">
        <f t="shared" si="81"/>
        <v>0</v>
      </c>
      <c r="BG52" s="2268" t="e">
        <f t="shared" si="74"/>
        <v>#DIV/0!</v>
      </c>
      <c r="BH52" s="1984" t="e">
        <f t="shared" si="82"/>
        <v>#DIV/0!</v>
      </c>
      <c r="BI52" s="1814"/>
      <c r="BJ52" s="1728"/>
      <c r="BK52" s="2268"/>
      <c r="BL52" s="1814"/>
      <c r="BM52" s="1982">
        <f t="shared" si="68"/>
        <v>0</v>
      </c>
      <c r="BN52" s="2268" t="e">
        <f t="shared" si="75"/>
        <v>#DIV/0!</v>
      </c>
      <c r="BO52" s="1984" t="e">
        <f t="shared" ref="BO52:BO68" si="86">BN52-BM52</f>
        <v>#DIV/0!</v>
      </c>
      <c r="BP52" s="1756"/>
      <c r="BQ52" s="1735">
        <v>0</v>
      </c>
      <c r="BR52" s="1768">
        <f t="shared" si="69"/>
        <v>0</v>
      </c>
      <c r="BS52" s="2868"/>
      <c r="BT52" s="1763">
        <f t="shared" si="70"/>
        <v>2</v>
      </c>
      <c r="BU52" s="1883">
        <f t="shared" si="71"/>
        <v>3.3333333333333333E-2</v>
      </c>
      <c r="BV52" s="1962"/>
      <c r="BW52" s="1905"/>
      <c r="BY52" s="1905"/>
      <c r="BZ52" s="2840"/>
      <c r="CC52" s="1906"/>
      <c r="CD52" s="1906"/>
      <c r="CE52" s="1906"/>
      <c r="CF52" s="1906"/>
      <c r="CG52" s="1906"/>
      <c r="CH52" s="2386"/>
    </row>
    <row r="53" spans="2:86" s="1947" customFormat="1" ht="16.5" customHeight="1" x14ac:dyDescent="0.2">
      <c r="B53" s="2000">
        <v>21</v>
      </c>
      <c r="C53" s="2000" t="s">
        <v>235</v>
      </c>
      <c r="D53" s="2579"/>
      <c r="E53" s="2001">
        <v>25</v>
      </c>
      <c r="F53" s="2001">
        <v>10</v>
      </c>
      <c r="G53" s="2001">
        <v>6.666666666666667</v>
      </c>
      <c r="H53" s="2001">
        <v>5</v>
      </c>
      <c r="I53" s="2001">
        <v>4</v>
      </c>
      <c r="J53" s="2001">
        <f t="shared" si="66"/>
        <v>0.83333333333333337</v>
      </c>
      <c r="K53" s="2584">
        <f t="shared" si="67"/>
        <v>9.8816182137986923E-3</v>
      </c>
      <c r="L53" s="2003"/>
      <c r="M53" s="1950"/>
      <c r="N53" s="2001">
        <f>$J$53</f>
        <v>0.83333333333333337</v>
      </c>
      <c r="O53" s="2001"/>
      <c r="P53" s="2001"/>
      <c r="Q53" s="2001"/>
      <c r="R53" s="2001"/>
      <c r="S53" s="2001"/>
      <c r="T53" s="2001"/>
      <c r="U53" s="1951"/>
      <c r="V53" s="2004">
        <f t="shared" si="84"/>
        <v>0.83333333333333337</v>
      </c>
      <c r="W53" s="2005">
        <f t="shared" si="85"/>
        <v>2.3715883713116859</v>
      </c>
      <c r="X53" s="2006">
        <f t="shared" si="76"/>
        <v>1.5382550379783524</v>
      </c>
      <c r="Y53" s="1955"/>
      <c r="Z53" s="2001"/>
      <c r="AA53" s="2001"/>
      <c r="AB53" s="2001"/>
      <c r="AC53" s="2001"/>
      <c r="AD53" s="2001"/>
      <c r="AE53" s="2001"/>
      <c r="AF53" s="2001"/>
      <c r="AG53" s="1955"/>
      <c r="AH53" s="2004">
        <f t="shared" si="77"/>
        <v>0</v>
      </c>
      <c r="AI53" s="2005" t="e">
        <f t="shared" si="72"/>
        <v>#DIV/0!</v>
      </c>
      <c r="AJ53" s="2006" t="e">
        <f t="shared" si="78"/>
        <v>#DIV/0!</v>
      </c>
      <c r="AK53" s="1955"/>
      <c r="AL53" s="2005"/>
      <c r="AM53" s="2005"/>
      <c r="AN53" s="2005"/>
      <c r="AO53" s="2005"/>
      <c r="AP53" s="2005"/>
      <c r="AQ53" s="2005"/>
      <c r="AR53" s="2005"/>
      <c r="AS53" s="2299"/>
      <c r="AT53" s="2004">
        <f t="shared" si="79"/>
        <v>0</v>
      </c>
      <c r="AU53" s="2005" t="e">
        <f t="shared" si="73"/>
        <v>#DIV/0!</v>
      </c>
      <c r="AV53" s="2006" t="e">
        <f t="shared" si="80"/>
        <v>#DIV/0!</v>
      </c>
      <c r="AW53" s="2299"/>
      <c r="AX53" s="2005"/>
      <c r="AY53" s="2005"/>
      <c r="AZ53" s="2005"/>
      <c r="BA53" s="2005"/>
      <c r="BB53" s="2005"/>
      <c r="BC53" s="2005"/>
      <c r="BD53" s="2005"/>
      <c r="BE53" s="2299"/>
      <c r="BF53" s="2004">
        <f t="shared" si="81"/>
        <v>0</v>
      </c>
      <c r="BG53" s="2005" t="e">
        <f t="shared" si="74"/>
        <v>#DIV/0!</v>
      </c>
      <c r="BH53" s="2006" t="e">
        <f t="shared" si="82"/>
        <v>#DIV/0!</v>
      </c>
      <c r="BI53" s="1951"/>
      <c r="BJ53" s="2001"/>
      <c r="BK53" s="2005"/>
      <c r="BL53" s="1951"/>
      <c r="BM53" s="2004">
        <f t="shared" si="68"/>
        <v>0</v>
      </c>
      <c r="BN53" s="2005" t="e">
        <f t="shared" si="75"/>
        <v>#DIV/0!</v>
      </c>
      <c r="BO53" s="2006" t="e">
        <f t="shared" si="86"/>
        <v>#DIV/0!</v>
      </c>
      <c r="BQ53" s="2007">
        <v>0</v>
      </c>
      <c r="BR53" s="2008">
        <f t="shared" si="69"/>
        <v>0</v>
      </c>
      <c r="BS53" s="1959"/>
      <c r="BT53" s="1901">
        <f t="shared" si="70"/>
        <v>0.83333333333333337</v>
      </c>
      <c r="BU53" s="1902">
        <f t="shared" si="71"/>
        <v>3.3333333333333333E-2</v>
      </c>
      <c r="BV53" s="1962"/>
      <c r="BW53" s="1905"/>
      <c r="BY53" s="1905"/>
      <c r="BZ53" s="2840"/>
      <c r="CC53" s="1906"/>
      <c r="CD53" s="1906"/>
      <c r="CE53" s="1906"/>
      <c r="CF53" s="1906"/>
      <c r="CG53" s="1906"/>
      <c r="CH53" s="2386"/>
    </row>
    <row r="54" spans="2:86" s="1947" customFormat="1" ht="16.5" customHeight="1" x14ac:dyDescent="0.2">
      <c r="B54" s="1963">
        <v>22</v>
      </c>
      <c r="C54" s="1963" t="s">
        <v>208</v>
      </c>
      <c r="D54" s="2578"/>
      <c r="E54" s="1728">
        <v>0</v>
      </c>
      <c r="F54" s="1728"/>
      <c r="G54" s="1728"/>
      <c r="H54" s="1728"/>
      <c r="I54" s="1728"/>
      <c r="J54" s="1728">
        <f t="shared" si="66"/>
        <v>0</v>
      </c>
      <c r="K54" s="1729">
        <f t="shared" si="67"/>
        <v>0</v>
      </c>
      <c r="L54" s="1931"/>
      <c r="M54" s="1877"/>
      <c r="N54" s="1728">
        <f>$J$54</f>
        <v>0</v>
      </c>
      <c r="O54" s="1728"/>
      <c r="P54" s="1728"/>
      <c r="Q54" s="1728"/>
      <c r="R54" s="1728"/>
      <c r="S54" s="1728"/>
      <c r="T54" s="1728"/>
      <c r="U54" s="2876"/>
      <c r="V54" s="1982">
        <f t="shared" si="84"/>
        <v>0</v>
      </c>
      <c r="W54" s="2268">
        <f t="shared" si="85"/>
        <v>0</v>
      </c>
      <c r="X54" s="1984">
        <f t="shared" si="76"/>
        <v>0</v>
      </c>
      <c r="Y54" s="1881"/>
      <c r="Z54" s="1728"/>
      <c r="AA54" s="1728"/>
      <c r="AB54" s="1728"/>
      <c r="AC54" s="1728"/>
      <c r="AD54" s="1728"/>
      <c r="AE54" s="1728"/>
      <c r="AF54" s="1728"/>
      <c r="AG54" s="1881"/>
      <c r="AH54" s="1982">
        <f t="shared" si="77"/>
        <v>0</v>
      </c>
      <c r="AI54" s="2268" t="e">
        <f t="shared" si="72"/>
        <v>#DIV/0!</v>
      </c>
      <c r="AJ54" s="1984" t="e">
        <f t="shared" si="78"/>
        <v>#DIV/0!</v>
      </c>
      <c r="AK54" s="1881"/>
      <c r="AL54" s="2268"/>
      <c r="AM54" s="2268"/>
      <c r="AN54" s="2268"/>
      <c r="AO54" s="2268"/>
      <c r="AP54" s="2268"/>
      <c r="AQ54" s="2268"/>
      <c r="AR54" s="2268"/>
      <c r="AS54" s="2293"/>
      <c r="AT54" s="1982">
        <f t="shared" si="79"/>
        <v>0</v>
      </c>
      <c r="AU54" s="2268" t="e">
        <f t="shared" si="73"/>
        <v>#DIV/0!</v>
      </c>
      <c r="AV54" s="1984" t="e">
        <f t="shared" si="80"/>
        <v>#DIV/0!</v>
      </c>
      <c r="AW54" s="2293"/>
      <c r="AX54" s="2268"/>
      <c r="AY54" s="2268"/>
      <c r="AZ54" s="2268"/>
      <c r="BA54" s="2268"/>
      <c r="BB54" s="2268"/>
      <c r="BC54" s="2268"/>
      <c r="BD54" s="2268"/>
      <c r="BE54" s="2293"/>
      <c r="BF54" s="1982">
        <f t="shared" si="81"/>
        <v>0</v>
      </c>
      <c r="BG54" s="2268" t="e">
        <f t="shared" si="74"/>
        <v>#DIV/0!</v>
      </c>
      <c r="BH54" s="1984" t="e">
        <f t="shared" si="82"/>
        <v>#DIV/0!</v>
      </c>
      <c r="BI54" s="2876"/>
      <c r="BJ54" s="1728"/>
      <c r="BK54" s="2268"/>
      <c r="BL54" s="2876"/>
      <c r="BM54" s="1982">
        <f t="shared" si="68"/>
        <v>0</v>
      </c>
      <c r="BN54" s="2268" t="e">
        <f t="shared" si="75"/>
        <v>#DIV/0!</v>
      </c>
      <c r="BO54" s="1984" t="e">
        <f t="shared" si="86"/>
        <v>#DIV/0!</v>
      </c>
      <c r="BP54" s="1726"/>
      <c r="BQ54" s="1732">
        <v>0</v>
      </c>
      <c r="BR54" s="1882" t="e">
        <f t="shared" si="69"/>
        <v>#DIV/0!</v>
      </c>
      <c r="BS54" s="1740"/>
      <c r="BT54" s="1734">
        <f t="shared" si="70"/>
        <v>0</v>
      </c>
      <c r="BU54" s="1918" t="e">
        <f t="shared" si="71"/>
        <v>#DIV/0!</v>
      </c>
      <c r="BV54" s="1962"/>
      <c r="BW54" s="1905"/>
      <c r="BY54" s="1905"/>
      <c r="BZ54" s="2840"/>
      <c r="CC54" s="1906"/>
      <c r="CD54" s="1906"/>
      <c r="CE54" s="1906"/>
      <c r="CF54" s="1906"/>
      <c r="CG54" s="1906"/>
      <c r="CH54" s="2386"/>
    </row>
    <row r="55" spans="2:86" s="1947" customFormat="1" ht="16.5" customHeight="1" x14ac:dyDescent="0.2">
      <c r="B55" s="2000">
        <v>23</v>
      </c>
      <c r="C55" s="2000" t="s">
        <v>202</v>
      </c>
      <c r="D55" s="2579"/>
      <c r="E55" s="2001">
        <v>30</v>
      </c>
      <c r="F55" s="2001"/>
      <c r="G55" s="2001"/>
      <c r="H55" s="2001"/>
      <c r="I55" s="2001"/>
      <c r="J55" s="2001">
        <f t="shared" si="66"/>
        <v>1</v>
      </c>
      <c r="K55" s="2584">
        <f t="shared" si="67"/>
        <v>1.185794185655843E-2</v>
      </c>
      <c r="L55" s="1891"/>
      <c r="M55" s="1950"/>
      <c r="N55" s="2001">
        <f>$J$55</f>
        <v>1</v>
      </c>
      <c r="O55" s="2001"/>
      <c r="P55" s="2001"/>
      <c r="Q55" s="2001"/>
      <c r="R55" s="2001"/>
      <c r="S55" s="2001"/>
      <c r="T55" s="2001"/>
      <c r="U55" s="2870"/>
      <c r="V55" s="2004">
        <f t="shared" si="84"/>
        <v>1</v>
      </c>
      <c r="W55" s="2005">
        <f t="shared" si="85"/>
        <v>2.845906045574023</v>
      </c>
      <c r="X55" s="2006">
        <f t="shared" si="76"/>
        <v>1.845906045574023</v>
      </c>
      <c r="Y55" s="1896"/>
      <c r="Z55" s="2001"/>
      <c r="AA55" s="2001"/>
      <c r="AB55" s="2001"/>
      <c r="AC55" s="2001"/>
      <c r="AD55" s="2001"/>
      <c r="AE55" s="2001"/>
      <c r="AF55" s="2001"/>
      <c r="AG55" s="1896"/>
      <c r="AH55" s="2004">
        <f t="shared" si="77"/>
        <v>0</v>
      </c>
      <c r="AI55" s="2005" t="e">
        <f t="shared" si="72"/>
        <v>#DIV/0!</v>
      </c>
      <c r="AJ55" s="2006" t="e">
        <f t="shared" si="78"/>
        <v>#DIV/0!</v>
      </c>
      <c r="AK55" s="1896"/>
      <c r="AL55" s="2005"/>
      <c r="AM55" s="2005"/>
      <c r="AN55" s="2005"/>
      <c r="AO55" s="2005"/>
      <c r="AP55" s="2005"/>
      <c r="AQ55" s="2005"/>
      <c r="AR55" s="2005"/>
      <c r="AS55" s="2295"/>
      <c r="AT55" s="2004">
        <f t="shared" si="79"/>
        <v>0</v>
      </c>
      <c r="AU55" s="2005" t="e">
        <f t="shared" si="73"/>
        <v>#DIV/0!</v>
      </c>
      <c r="AV55" s="2006" t="e">
        <f t="shared" si="80"/>
        <v>#DIV/0!</v>
      </c>
      <c r="AW55" s="2295"/>
      <c r="AX55" s="2005"/>
      <c r="AY55" s="2005"/>
      <c r="AZ55" s="2005"/>
      <c r="BA55" s="2005"/>
      <c r="BB55" s="2005"/>
      <c r="BC55" s="2005"/>
      <c r="BD55" s="2005"/>
      <c r="BE55" s="2295"/>
      <c r="BF55" s="2004">
        <f t="shared" si="81"/>
        <v>0</v>
      </c>
      <c r="BG55" s="2005" t="e">
        <f t="shared" si="74"/>
        <v>#DIV/0!</v>
      </c>
      <c r="BH55" s="2006" t="e">
        <f t="shared" si="82"/>
        <v>#DIV/0!</v>
      </c>
      <c r="BI55" s="2870"/>
      <c r="BJ55" s="2001"/>
      <c r="BK55" s="2005"/>
      <c r="BL55" s="2870"/>
      <c r="BM55" s="2004">
        <f t="shared" si="68"/>
        <v>0</v>
      </c>
      <c r="BN55" s="2005" t="e">
        <f t="shared" si="75"/>
        <v>#DIV/0!</v>
      </c>
      <c r="BO55" s="2006" t="e">
        <f t="shared" si="86"/>
        <v>#DIV/0!</v>
      </c>
      <c r="BP55" s="1885"/>
      <c r="BQ55" s="1898">
        <v>0</v>
      </c>
      <c r="BR55" s="1899">
        <f t="shared" si="69"/>
        <v>0</v>
      </c>
      <c r="BS55" s="1900"/>
      <c r="BT55" s="2244">
        <f t="shared" si="70"/>
        <v>1</v>
      </c>
      <c r="BU55" s="2387">
        <f t="shared" si="71"/>
        <v>3.3333333333333333E-2</v>
      </c>
      <c r="BV55" s="1962"/>
      <c r="BW55" s="1905"/>
      <c r="BY55" s="1905"/>
      <c r="BZ55" s="2840"/>
      <c r="CC55" s="1906"/>
      <c r="CD55" s="1906"/>
      <c r="CE55" s="1906"/>
      <c r="CF55" s="1906"/>
      <c r="CG55" s="1906"/>
      <c r="CH55" s="2386"/>
    </row>
    <row r="56" spans="2:86" s="1947" customFormat="1" ht="16.5" customHeight="1" x14ac:dyDescent="0.2">
      <c r="B56" s="1963">
        <v>24</v>
      </c>
      <c r="C56" s="1963" t="s">
        <v>254</v>
      </c>
      <c r="D56" s="2578"/>
      <c r="E56" s="1728">
        <v>26.35</v>
      </c>
      <c r="F56" s="1728">
        <v>5</v>
      </c>
      <c r="G56" s="1728">
        <v>3.3333333333333335</v>
      </c>
      <c r="H56" s="1728">
        <v>2.5</v>
      </c>
      <c r="I56" s="1728">
        <v>2</v>
      </c>
      <c r="J56" s="1728">
        <f t="shared" si="66"/>
        <v>0.87833333333333341</v>
      </c>
      <c r="K56" s="1729">
        <f t="shared" si="67"/>
        <v>1.0415225597343822E-2</v>
      </c>
      <c r="L56" s="1931"/>
      <c r="M56" s="1924"/>
      <c r="N56" s="1728">
        <f>$J$56</f>
        <v>0.87833333333333341</v>
      </c>
      <c r="O56" s="1728"/>
      <c r="P56" s="1728"/>
      <c r="Q56" s="1728"/>
      <c r="R56" s="1728"/>
      <c r="S56" s="1728"/>
      <c r="T56" s="1728"/>
      <c r="U56" s="2876"/>
      <c r="V56" s="1982">
        <f t="shared" si="84"/>
        <v>0.87833333333333341</v>
      </c>
      <c r="W56" s="2268">
        <f t="shared" si="85"/>
        <v>2.499654143362517</v>
      </c>
      <c r="X56" s="1984">
        <f>W56-V56</f>
        <v>1.6213208100291836</v>
      </c>
      <c r="Y56" s="1881"/>
      <c r="Z56" s="1728"/>
      <c r="AA56" s="1728"/>
      <c r="AB56" s="1728"/>
      <c r="AC56" s="1728"/>
      <c r="AD56" s="1728"/>
      <c r="AE56" s="1728"/>
      <c r="AF56" s="1728"/>
      <c r="AG56" s="1881"/>
      <c r="AH56" s="1982">
        <f t="shared" si="77"/>
        <v>0</v>
      </c>
      <c r="AI56" s="2268" t="e">
        <f t="shared" si="72"/>
        <v>#DIV/0!</v>
      </c>
      <c r="AJ56" s="1984" t="e">
        <f t="shared" si="78"/>
        <v>#DIV/0!</v>
      </c>
      <c r="AK56" s="1881"/>
      <c r="AL56" s="2268"/>
      <c r="AM56" s="2268"/>
      <c r="AN56" s="2268"/>
      <c r="AO56" s="2268"/>
      <c r="AP56" s="2268"/>
      <c r="AQ56" s="2268"/>
      <c r="AR56" s="2268"/>
      <c r="AS56" s="2293"/>
      <c r="AT56" s="1982">
        <f t="shared" si="79"/>
        <v>0</v>
      </c>
      <c r="AU56" s="2268" t="e">
        <f t="shared" si="73"/>
        <v>#DIV/0!</v>
      </c>
      <c r="AV56" s="1984" t="e">
        <f t="shared" si="80"/>
        <v>#DIV/0!</v>
      </c>
      <c r="AW56" s="2293"/>
      <c r="AX56" s="2268"/>
      <c r="AY56" s="2268"/>
      <c r="AZ56" s="2268"/>
      <c r="BA56" s="2268"/>
      <c r="BB56" s="2268"/>
      <c r="BC56" s="2268"/>
      <c r="BD56" s="2268"/>
      <c r="BE56" s="2293"/>
      <c r="BF56" s="1982">
        <f t="shared" si="81"/>
        <v>0</v>
      </c>
      <c r="BG56" s="2268" t="e">
        <f t="shared" si="74"/>
        <v>#DIV/0!</v>
      </c>
      <c r="BH56" s="1984" t="e">
        <f t="shared" si="82"/>
        <v>#DIV/0!</v>
      </c>
      <c r="BI56" s="2876"/>
      <c r="BJ56" s="1728"/>
      <c r="BK56" s="2268"/>
      <c r="BL56" s="2876"/>
      <c r="BM56" s="1982">
        <f t="shared" si="68"/>
        <v>0</v>
      </c>
      <c r="BN56" s="2268" t="e">
        <f t="shared" si="75"/>
        <v>#DIV/0!</v>
      </c>
      <c r="BO56" s="1984" t="e">
        <f t="shared" si="86"/>
        <v>#DIV/0!</v>
      </c>
      <c r="BP56" s="1726"/>
      <c r="BQ56" s="1732">
        <v>0</v>
      </c>
      <c r="BR56" s="1882">
        <f t="shared" si="69"/>
        <v>0</v>
      </c>
      <c r="BS56" s="1740"/>
      <c r="BT56" s="1734">
        <f t="shared" si="70"/>
        <v>0.87833333333333341</v>
      </c>
      <c r="BU56" s="1918">
        <f t="shared" si="71"/>
        <v>3.3333333333333333E-2</v>
      </c>
      <c r="BV56" s="1962"/>
      <c r="BW56" s="1905"/>
      <c r="BY56" s="1905"/>
      <c r="BZ56" s="2840"/>
      <c r="CC56" s="1906"/>
      <c r="CD56" s="1906"/>
      <c r="CE56" s="1906"/>
      <c r="CF56" s="1906"/>
      <c r="CG56" s="1906"/>
      <c r="CH56" s="2386"/>
    </row>
    <row r="57" spans="2:86" s="1947" customFormat="1" ht="16.5" customHeight="1" x14ac:dyDescent="0.2">
      <c r="B57" s="2580">
        <v>25</v>
      </c>
      <c r="C57" s="2580" t="s">
        <v>205</v>
      </c>
      <c r="D57" s="2596"/>
      <c r="E57" s="2597">
        <v>12.75</v>
      </c>
      <c r="F57" s="2597"/>
      <c r="G57" s="2597"/>
      <c r="H57" s="2597"/>
      <c r="I57" s="2597"/>
      <c r="J57" s="2597">
        <f t="shared" si="66"/>
        <v>0.42499999999999999</v>
      </c>
      <c r="K57" s="2598">
        <f t="shared" si="67"/>
        <v>5.039625289037333E-3</v>
      </c>
      <c r="L57" s="2003"/>
      <c r="M57" s="1950"/>
      <c r="N57" s="2001">
        <f>$J$57</f>
        <v>0.42499999999999999</v>
      </c>
      <c r="O57" s="2001"/>
      <c r="P57" s="2001"/>
      <c r="Q57" s="2001"/>
      <c r="R57" s="2001"/>
      <c r="S57" s="2001"/>
      <c r="T57" s="2001"/>
      <c r="U57" s="2870"/>
      <c r="V57" s="2481">
        <f t="shared" si="84"/>
        <v>0.42499999999999999</v>
      </c>
      <c r="W57" s="2482">
        <f t="shared" si="85"/>
        <v>1.2095100693689598</v>
      </c>
      <c r="X57" s="2483">
        <f t="shared" ref="X57:X67" si="87">W57-V57</f>
        <v>0.78451006936895973</v>
      </c>
      <c r="Y57" s="1896"/>
      <c r="Z57" s="2001"/>
      <c r="AA57" s="2001"/>
      <c r="AB57" s="2001"/>
      <c r="AC57" s="2001"/>
      <c r="AD57" s="2001"/>
      <c r="AE57" s="2001"/>
      <c r="AF57" s="2001"/>
      <c r="AG57" s="1896"/>
      <c r="AH57" s="2481">
        <f t="shared" si="77"/>
        <v>0</v>
      </c>
      <c r="AI57" s="2482" t="e">
        <f t="shared" si="72"/>
        <v>#DIV/0!</v>
      </c>
      <c r="AJ57" s="2483" t="e">
        <f t="shared" si="78"/>
        <v>#DIV/0!</v>
      </c>
      <c r="AK57" s="1896"/>
      <c r="AL57" s="2005"/>
      <c r="AM57" s="2005"/>
      <c r="AN57" s="2005"/>
      <c r="AO57" s="2005"/>
      <c r="AP57" s="2005"/>
      <c r="AQ57" s="2005"/>
      <c r="AR57" s="2005"/>
      <c r="AS57" s="2295"/>
      <c r="AT57" s="2481">
        <f t="shared" si="79"/>
        <v>0</v>
      </c>
      <c r="AU57" s="2482" t="e">
        <f t="shared" si="73"/>
        <v>#DIV/0!</v>
      </c>
      <c r="AV57" s="2483" t="e">
        <f t="shared" si="80"/>
        <v>#DIV/0!</v>
      </c>
      <c r="AW57" s="2295"/>
      <c r="AX57" s="2005"/>
      <c r="AY57" s="2005"/>
      <c r="AZ57" s="2005"/>
      <c r="BA57" s="2005"/>
      <c r="BB57" s="2005"/>
      <c r="BC57" s="2005"/>
      <c r="BD57" s="2005"/>
      <c r="BE57" s="2295"/>
      <c r="BF57" s="2481">
        <f t="shared" si="81"/>
        <v>0</v>
      </c>
      <c r="BG57" s="2482" t="e">
        <f t="shared" si="74"/>
        <v>#DIV/0!</v>
      </c>
      <c r="BH57" s="2483" t="e">
        <f t="shared" si="82"/>
        <v>#DIV/0!</v>
      </c>
      <c r="BI57" s="2870"/>
      <c r="BJ57" s="2001"/>
      <c r="BK57" s="2005"/>
      <c r="BL57" s="2870"/>
      <c r="BM57" s="2481">
        <f t="shared" si="68"/>
        <v>0</v>
      </c>
      <c r="BN57" s="2482" t="e">
        <f t="shared" si="75"/>
        <v>#DIV/0!</v>
      </c>
      <c r="BO57" s="2483" t="e">
        <f t="shared" si="86"/>
        <v>#DIV/0!</v>
      </c>
      <c r="BP57" s="1885"/>
      <c r="BQ57" s="1898">
        <v>0</v>
      </c>
      <c r="BR57" s="1899">
        <f t="shared" si="69"/>
        <v>0</v>
      </c>
      <c r="BS57" s="1900"/>
      <c r="BT57" s="2388">
        <f t="shared" si="70"/>
        <v>0.42499999999999999</v>
      </c>
      <c r="BU57" s="2389">
        <f t="shared" si="71"/>
        <v>3.3333333333333333E-2</v>
      </c>
      <c r="BV57" s="1962"/>
      <c r="BW57" s="1905"/>
      <c r="BY57" s="1905"/>
      <c r="BZ57" s="2840"/>
      <c r="CC57" s="1906"/>
      <c r="CD57" s="1906"/>
      <c r="CE57" s="1906"/>
      <c r="CF57" s="1906"/>
      <c r="CG57" s="1906"/>
      <c r="CH57" s="2386"/>
    </row>
    <row r="58" spans="2:86" s="1947" customFormat="1" ht="16.5" customHeight="1" x14ac:dyDescent="0.2">
      <c r="B58" s="1963">
        <v>26</v>
      </c>
      <c r="C58" s="1963" t="s">
        <v>206</v>
      </c>
      <c r="D58" s="2578"/>
      <c r="E58" s="1728">
        <v>8.3000000000000007</v>
      </c>
      <c r="F58" s="1728"/>
      <c r="G58" s="1728"/>
      <c r="H58" s="1728"/>
      <c r="I58" s="1728"/>
      <c r="J58" s="1728">
        <f t="shared" si="66"/>
        <v>0.27666666666666667</v>
      </c>
      <c r="K58" s="1729">
        <f t="shared" si="67"/>
        <v>3.2806972469811659E-3</v>
      </c>
      <c r="L58" s="1931"/>
      <c r="M58" s="1924"/>
      <c r="N58" s="1728">
        <f>$J$58</f>
        <v>0.27666666666666667</v>
      </c>
      <c r="O58" s="1728"/>
      <c r="P58" s="1728"/>
      <c r="Q58" s="1728"/>
      <c r="R58" s="1728"/>
      <c r="S58" s="1728"/>
      <c r="T58" s="1728"/>
      <c r="U58" s="2876"/>
      <c r="V58" s="2016">
        <f t="shared" si="84"/>
        <v>0.27666666666666667</v>
      </c>
      <c r="W58" s="2017">
        <f t="shared" si="85"/>
        <v>0.78736733927547986</v>
      </c>
      <c r="X58" s="2018">
        <f t="shared" si="87"/>
        <v>0.51070067260881324</v>
      </c>
      <c r="Y58" s="1881"/>
      <c r="Z58" s="1728"/>
      <c r="AA58" s="1728"/>
      <c r="AB58" s="1728"/>
      <c r="AC58" s="1728"/>
      <c r="AD58" s="1728"/>
      <c r="AE58" s="1728"/>
      <c r="AF58" s="1728"/>
      <c r="AG58" s="1881"/>
      <c r="AH58" s="2016">
        <f>SUM(Z58:AF58)</f>
        <v>0</v>
      </c>
      <c r="AI58" s="2017" t="e">
        <f t="shared" si="72"/>
        <v>#DIV/0!</v>
      </c>
      <c r="AJ58" s="2018" t="e">
        <f>AI58-AH58</f>
        <v>#DIV/0!</v>
      </c>
      <c r="AK58" s="1881"/>
      <c r="AL58" s="2268"/>
      <c r="AM58" s="2268"/>
      <c r="AN58" s="2268"/>
      <c r="AO58" s="2268"/>
      <c r="AP58" s="2268"/>
      <c r="AQ58" s="2268"/>
      <c r="AR58" s="2268"/>
      <c r="AS58" s="2293"/>
      <c r="AT58" s="2016">
        <f t="shared" si="79"/>
        <v>0</v>
      </c>
      <c r="AU58" s="2017" t="e">
        <f t="shared" si="73"/>
        <v>#DIV/0!</v>
      </c>
      <c r="AV58" s="2018" t="e">
        <f t="shared" si="80"/>
        <v>#DIV/0!</v>
      </c>
      <c r="AW58" s="2293"/>
      <c r="AX58" s="2268"/>
      <c r="AY58" s="2268"/>
      <c r="AZ58" s="2268"/>
      <c r="BA58" s="2268"/>
      <c r="BB58" s="2268"/>
      <c r="BC58" s="2268"/>
      <c r="BD58" s="2268"/>
      <c r="BE58" s="2293"/>
      <c r="BF58" s="2016">
        <f t="shared" si="81"/>
        <v>0</v>
      </c>
      <c r="BG58" s="2017" t="e">
        <f t="shared" si="74"/>
        <v>#DIV/0!</v>
      </c>
      <c r="BH58" s="2018" t="e">
        <f t="shared" si="82"/>
        <v>#DIV/0!</v>
      </c>
      <c r="BI58" s="2876"/>
      <c r="BJ58" s="1728"/>
      <c r="BK58" s="2268"/>
      <c r="BL58" s="2876"/>
      <c r="BM58" s="2016">
        <f t="shared" si="68"/>
        <v>0</v>
      </c>
      <c r="BN58" s="2017" t="e">
        <f t="shared" si="75"/>
        <v>#DIV/0!</v>
      </c>
      <c r="BO58" s="2018" t="e">
        <f t="shared" si="86"/>
        <v>#DIV/0!</v>
      </c>
      <c r="BP58" s="1726"/>
      <c r="BQ58" s="1732">
        <v>0</v>
      </c>
      <c r="BR58" s="1882">
        <f t="shared" si="69"/>
        <v>0</v>
      </c>
      <c r="BS58" s="1740"/>
      <c r="BT58" s="2019">
        <f t="shared" si="70"/>
        <v>0.27666666666666667</v>
      </c>
      <c r="BU58" s="2020">
        <f t="shared" si="71"/>
        <v>3.3333333333333333E-2</v>
      </c>
      <c r="BV58" s="1962"/>
      <c r="BW58" s="1905"/>
      <c r="BY58" s="1905"/>
      <c r="BZ58" s="2840"/>
      <c r="CC58" s="1906"/>
      <c r="CD58" s="1906"/>
      <c r="CE58" s="1906"/>
      <c r="CF58" s="1906"/>
      <c r="CG58" s="1906"/>
      <c r="CH58" s="2386"/>
    </row>
    <row r="59" spans="2:86" s="1947" customFormat="1" ht="16.5" customHeight="1" x14ac:dyDescent="0.2">
      <c r="B59" s="2000">
        <v>27</v>
      </c>
      <c r="C59" s="2000" t="s">
        <v>244</v>
      </c>
      <c r="D59" s="2579"/>
      <c r="E59" s="2001">
        <v>5</v>
      </c>
      <c r="F59" s="2001">
        <v>5</v>
      </c>
      <c r="G59" s="2001">
        <v>3.3333333333333335</v>
      </c>
      <c r="H59" s="2001">
        <v>2.5</v>
      </c>
      <c r="I59" s="2001">
        <v>2</v>
      </c>
      <c r="J59" s="2001">
        <f t="shared" si="66"/>
        <v>0.16666666666666666</v>
      </c>
      <c r="K59" s="2584">
        <f t="shared" si="67"/>
        <v>1.9763236427597385E-3</v>
      </c>
      <c r="L59" s="2003"/>
      <c r="M59" s="1950"/>
      <c r="N59" s="2001">
        <f>$J$59</f>
        <v>0.16666666666666666</v>
      </c>
      <c r="O59" s="2001"/>
      <c r="P59" s="2001"/>
      <c r="Q59" s="2001"/>
      <c r="R59" s="2001"/>
      <c r="S59" s="2001"/>
      <c r="T59" s="2001"/>
      <c r="U59" s="2870"/>
      <c r="V59" s="2481">
        <f t="shared" si="84"/>
        <v>0.16666666666666666</v>
      </c>
      <c r="W59" s="2482">
        <f t="shared" si="85"/>
        <v>0.47431767426233723</v>
      </c>
      <c r="X59" s="2483">
        <f t="shared" si="87"/>
        <v>0.30765100759567054</v>
      </c>
      <c r="Y59" s="1896"/>
      <c r="Z59" s="2001"/>
      <c r="AA59" s="2001"/>
      <c r="AB59" s="2001"/>
      <c r="AC59" s="2001"/>
      <c r="AD59" s="2001"/>
      <c r="AE59" s="2001"/>
      <c r="AF59" s="2001"/>
      <c r="AG59" s="1896"/>
      <c r="AH59" s="2481">
        <f t="shared" ref="AH59:AH68" si="88">SUM(Z59:AF59)</f>
        <v>0</v>
      </c>
      <c r="AI59" s="2482" t="e">
        <f t="shared" si="72"/>
        <v>#DIV/0!</v>
      </c>
      <c r="AJ59" s="2483" t="e">
        <f t="shared" ref="AJ59:AJ68" si="89">AI59-AH59</f>
        <v>#DIV/0!</v>
      </c>
      <c r="AK59" s="1896"/>
      <c r="AL59" s="2005"/>
      <c r="AM59" s="2005"/>
      <c r="AN59" s="2005"/>
      <c r="AO59" s="2005"/>
      <c r="AP59" s="2005"/>
      <c r="AQ59" s="2005"/>
      <c r="AR59" s="2005"/>
      <c r="AS59" s="2295"/>
      <c r="AT59" s="2481">
        <f t="shared" si="79"/>
        <v>0</v>
      </c>
      <c r="AU59" s="2482" t="e">
        <f t="shared" si="73"/>
        <v>#DIV/0!</v>
      </c>
      <c r="AV59" s="2483" t="e">
        <f t="shared" si="80"/>
        <v>#DIV/0!</v>
      </c>
      <c r="AW59" s="2295"/>
      <c r="AX59" s="2005"/>
      <c r="AY59" s="2005"/>
      <c r="AZ59" s="2005"/>
      <c r="BA59" s="2005"/>
      <c r="BB59" s="2005"/>
      <c r="BC59" s="2005"/>
      <c r="BD59" s="2005"/>
      <c r="BE59" s="2295"/>
      <c r="BF59" s="2481">
        <f t="shared" si="81"/>
        <v>0</v>
      </c>
      <c r="BG59" s="2482" t="e">
        <f t="shared" si="74"/>
        <v>#DIV/0!</v>
      </c>
      <c r="BH59" s="2483" t="e">
        <f t="shared" si="82"/>
        <v>#DIV/0!</v>
      </c>
      <c r="BI59" s="2870"/>
      <c r="BJ59" s="2001"/>
      <c r="BK59" s="2005"/>
      <c r="BL59" s="2870"/>
      <c r="BM59" s="2481">
        <f t="shared" si="68"/>
        <v>0</v>
      </c>
      <c r="BN59" s="2482" t="e">
        <f t="shared" si="75"/>
        <v>#DIV/0!</v>
      </c>
      <c r="BO59" s="2483" t="e">
        <f t="shared" si="86"/>
        <v>#DIV/0!</v>
      </c>
      <c r="BP59" s="1885"/>
      <c r="BQ59" s="1898">
        <v>0</v>
      </c>
      <c r="BR59" s="1899">
        <f t="shared" si="69"/>
        <v>0</v>
      </c>
      <c r="BS59" s="1900"/>
      <c r="BT59" s="2388">
        <f t="shared" si="70"/>
        <v>0.16666666666666666</v>
      </c>
      <c r="BU59" s="2389">
        <f t="shared" si="71"/>
        <v>3.3333333333333333E-2</v>
      </c>
      <c r="BV59" s="1962"/>
      <c r="BW59" s="1905"/>
      <c r="BY59" s="1905"/>
      <c r="BZ59" s="2840"/>
      <c r="CC59" s="1906"/>
      <c r="CD59" s="1906"/>
      <c r="CE59" s="1906"/>
      <c r="CF59" s="1906"/>
      <c r="CG59" s="1906"/>
      <c r="CH59" s="2386"/>
    </row>
    <row r="60" spans="2:86" s="1947" customFormat="1" ht="16.5" customHeight="1" x14ac:dyDescent="0.2">
      <c r="B60" s="2508">
        <v>28</v>
      </c>
      <c r="C60" s="1963" t="s">
        <v>255</v>
      </c>
      <c r="D60" s="2578"/>
      <c r="E60" s="1728">
        <v>37.5</v>
      </c>
      <c r="F60" s="1728"/>
      <c r="G60" s="1728"/>
      <c r="H60" s="1728"/>
      <c r="I60" s="1728"/>
      <c r="J60" s="1728">
        <f t="shared" si="66"/>
        <v>1.25</v>
      </c>
      <c r="K60" s="1729">
        <f t="shared" si="67"/>
        <v>1.4822427320698038E-2</v>
      </c>
      <c r="L60" s="1931"/>
      <c r="M60" s="1924"/>
      <c r="N60" s="1728">
        <f>$J$60</f>
        <v>1.25</v>
      </c>
      <c r="O60" s="1728"/>
      <c r="P60" s="1728"/>
      <c r="Q60" s="1728"/>
      <c r="R60" s="1728"/>
      <c r="S60" s="1728"/>
      <c r="T60" s="1728"/>
      <c r="U60" s="2876"/>
      <c r="V60" s="2016">
        <f t="shared" si="84"/>
        <v>1.25</v>
      </c>
      <c r="W60" s="2017">
        <f t="shared" si="85"/>
        <v>3.557382556967529</v>
      </c>
      <c r="X60" s="2018">
        <f t="shared" si="87"/>
        <v>2.307382556967529</v>
      </c>
      <c r="Y60" s="1881"/>
      <c r="Z60" s="1728"/>
      <c r="AA60" s="1728"/>
      <c r="AB60" s="1728"/>
      <c r="AC60" s="1728"/>
      <c r="AD60" s="1728"/>
      <c r="AE60" s="1728"/>
      <c r="AF60" s="1728"/>
      <c r="AG60" s="1881"/>
      <c r="AH60" s="2016">
        <f t="shared" si="88"/>
        <v>0</v>
      </c>
      <c r="AI60" s="2017" t="e">
        <f t="shared" si="72"/>
        <v>#DIV/0!</v>
      </c>
      <c r="AJ60" s="2018" t="e">
        <f t="shared" si="89"/>
        <v>#DIV/0!</v>
      </c>
      <c r="AK60" s="1881"/>
      <c r="AL60" s="2268"/>
      <c r="AM60" s="2268"/>
      <c r="AN60" s="2268"/>
      <c r="AO60" s="2268"/>
      <c r="AP60" s="2268"/>
      <c r="AQ60" s="2268"/>
      <c r="AR60" s="2268"/>
      <c r="AS60" s="2293"/>
      <c r="AT60" s="2016">
        <f t="shared" si="79"/>
        <v>0</v>
      </c>
      <c r="AU60" s="2017" t="e">
        <f t="shared" si="73"/>
        <v>#DIV/0!</v>
      </c>
      <c r="AV60" s="2018" t="e">
        <f t="shared" si="80"/>
        <v>#DIV/0!</v>
      </c>
      <c r="AW60" s="2293"/>
      <c r="AX60" s="2268"/>
      <c r="AY60" s="2268"/>
      <c r="AZ60" s="2268"/>
      <c r="BA60" s="2268"/>
      <c r="BB60" s="2268"/>
      <c r="BC60" s="2268"/>
      <c r="BD60" s="2268"/>
      <c r="BE60" s="2293"/>
      <c r="BF60" s="2016">
        <f t="shared" si="81"/>
        <v>0</v>
      </c>
      <c r="BG60" s="2017" t="e">
        <f t="shared" si="74"/>
        <v>#DIV/0!</v>
      </c>
      <c r="BH60" s="2018" t="e">
        <f t="shared" si="82"/>
        <v>#DIV/0!</v>
      </c>
      <c r="BI60" s="2876"/>
      <c r="BJ60" s="1728"/>
      <c r="BK60" s="2268"/>
      <c r="BL60" s="2876"/>
      <c r="BM60" s="2016">
        <f t="shared" si="68"/>
        <v>0</v>
      </c>
      <c r="BN60" s="2017" t="e">
        <f t="shared" si="75"/>
        <v>#DIV/0!</v>
      </c>
      <c r="BO60" s="2018" t="e">
        <f t="shared" si="86"/>
        <v>#DIV/0!</v>
      </c>
      <c r="BP60" s="1726"/>
      <c r="BQ60" s="1732">
        <v>0</v>
      </c>
      <c r="BR60" s="1882">
        <f t="shared" si="69"/>
        <v>0</v>
      </c>
      <c r="BS60" s="1740"/>
      <c r="BT60" s="2019">
        <f t="shared" si="70"/>
        <v>1.25</v>
      </c>
      <c r="BU60" s="2020">
        <f t="shared" si="71"/>
        <v>3.3333333333333333E-2</v>
      </c>
      <c r="BV60" s="1962"/>
      <c r="BW60" s="1905"/>
      <c r="BY60" s="1905"/>
      <c r="BZ60" s="2840"/>
      <c r="CC60" s="1906"/>
      <c r="CD60" s="1906"/>
      <c r="CE60" s="1906"/>
      <c r="CF60" s="1906"/>
      <c r="CG60" s="1906"/>
      <c r="CH60" s="2386"/>
    </row>
    <row r="61" spans="2:86" s="1947" customFormat="1" ht="16.5" customHeight="1" x14ac:dyDescent="0.2">
      <c r="B61" s="2000">
        <v>29</v>
      </c>
      <c r="C61" s="2000" t="s">
        <v>240</v>
      </c>
      <c r="D61" s="2579"/>
      <c r="E61" s="2001">
        <v>15</v>
      </c>
      <c r="F61" s="2001">
        <v>5</v>
      </c>
      <c r="G61" s="2001">
        <v>3.3333333333333335</v>
      </c>
      <c r="H61" s="2001">
        <v>2.5</v>
      </c>
      <c r="I61" s="2001">
        <v>2</v>
      </c>
      <c r="J61" s="2001">
        <f t="shared" si="66"/>
        <v>0.5</v>
      </c>
      <c r="K61" s="2584">
        <f t="shared" si="67"/>
        <v>5.9289709282792152E-3</v>
      </c>
      <c r="L61" s="2003"/>
      <c r="M61" s="1950"/>
      <c r="N61" s="2001">
        <f>$J$61</f>
        <v>0.5</v>
      </c>
      <c r="O61" s="2001"/>
      <c r="P61" s="2001"/>
      <c r="Q61" s="2001"/>
      <c r="R61" s="2001"/>
      <c r="S61" s="2001"/>
      <c r="T61" s="2001"/>
      <c r="U61" s="2870"/>
      <c r="V61" s="2481">
        <f t="shared" si="84"/>
        <v>0.5</v>
      </c>
      <c r="W61" s="2482">
        <f t="shared" si="85"/>
        <v>1.4229530227870115</v>
      </c>
      <c r="X61" s="2483">
        <f t="shared" si="87"/>
        <v>0.92295302278701152</v>
      </c>
      <c r="Y61" s="1896"/>
      <c r="Z61" s="2001"/>
      <c r="AA61" s="2001"/>
      <c r="AB61" s="2001"/>
      <c r="AC61" s="2001"/>
      <c r="AD61" s="2001"/>
      <c r="AE61" s="2001"/>
      <c r="AF61" s="2001"/>
      <c r="AG61" s="1896"/>
      <c r="AH61" s="2481">
        <f t="shared" si="88"/>
        <v>0</v>
      </c>
      <c r="AI61" s="2482" t="e">
        <f t="shared" si="72"/>
        <v>#DIV/0!</v>
      </c>
      <c r="AJ61" s="2483" t="e">
        <f t="shared" si="89"/>
        <v>#DIV/0!</v>
      </c>
      <c r="AK61" s="1896"/>
      <c r="AL61" s="2005"/>
      <c r="AM61" s="2005"/>
      <c r="AN61" s="2005"/>
      <c r="AO61" s="2005"/>
      <c r="AP61" s="2005"/>
      <c r="AQ61" s="2005"/>
      <c r="AR61" s="2005"/>
      <c r="AS61" s="2295"/>
      <c r="AT61" s="2481">
        <f t="shared" si="79"/>
        <v>0</v>
      </c>
      <c r="AU61" s="2482" t="e">
        <f t="shared" si="73"/>
        <v>#DIV/0!</v>
      </c>
      <c r="AV61" s="2483" t="e">
        <f t="shared" si="80"/>
        <v>#DIV/0!</v>
      </c>
      <c r="AW61" s="2295"/>
      <c r="AX61" s="2005"/>
      <c r="AY61" s="2005"/>
      <c r="AZ61" s="2005"/>
      <c r="BA61" s="2005"/>
      <c r="BB61" s="2005"/>
      <c r="BC61" s="2005"/>
      <c r="BD61" s="2005"/>
      <c r="BE61" s="2295"/>
      <c r="BF61" s="2481">
        <f t="shared" si="81"/>
        <v>0</v>
      </c>
      <c r="BG61" s="2482" t="e">
        <f t="shared" si="74"/>
        <v>#DIV/0!</v>
      </c>
      <c r="BH61" s="2483" t="e">
        <f t="shared" si="82"/>
        <v>#DIV/0!</v>
      </c>
      <c r="BI61" s="2870"/>
      <c r="BJ61" s="2001"/>
      <c r="BK61" s="2005"/>
      <c r="BL61" s="2870"/>
      <c r="BM61" s="2481">
        <f t="shared" si="68"/>
        <v>0</v>
      </c>
      <c r="BN61" s="2482" t="e">
        <f t="shared" si="75"/>
        <v>#DIV/0!</v>
      </c>
      <c r="BO61" s="2483" t="e">
        <f t="shared" si="86"/>
        <v>#DIV/0!</v>
      </c>
      <c r="BP61" s="1885"/>
      <c r="BQ61" s="1898">
        <v>0</v>
      </c>
      <c r="BR61" s="1899">
        <f t="shared" si="69"/>
        <v>0</v>
      </c>
      <c r="BS61" s="1900"/>
      <c r="BT61" s="2388">
        <f t="shared" si="70"/>
        <v>0.5</v>
      </c>
      <c r="BU61" s="2389">
        <f t="shared" si="71"/>
        <v>3.3333333333333333E-2</v>
      </c>
      <c r="BV61" s="1962"/>
      <c r="BW61" s="1905"/>
      <c r="BY61" s="1905"/>
      <c r="BZ61" s="2840"/>
      <c r="CC61" s="1906"/>
      <c r="CD61" s="1906"/>
      <c r="CE61" s="1906"/>
      <c r="CF61" s="1906"/>
      <c r="CG61" s="1906"/>
      <c r="CH61" s="2386"/>
    </row>
    <row r="62" spans="2:86" s="1947" customFormat="1" ht="16.5" customHeight="1" x14ac:dyDescent="0.2">
      <c r="B62" s="1963">
        <v>30</v>
      </c>
      <c r="C62" s="1963" t="s">
        <v>257</v>
      </c>
      <c r="D62" s="2578"/>
      <c r="E62" s="1728">
        <v>100</v>
      </c>
      <c r="F62" s="1728">
        <v>5</v>
      </c>
      <c r="G62" s="1728">
        <v>3.3333333333333335</v>
      </c>
      <c r="H62" s="1728">
        <v>2.5</v>
      </c>
      <c r="I62" s="1728">
        <v>2</v>
      </c>
      <c r="J62" s="1728">
        <f t="shared" si="66"/>
        <v>3.3333333333333335</v>
      </c>
      <c r="K62" s="1729">
        <f t="shared" si="67"/>
        <v>3.9526472855194769E-2</v>
      </c>
      <c r="L62" s="1931"/>
      <c r="M62" s="1924"/>
      <c r="N62" s="1728">
        <f>$J$62</f>
        <v>3.3333333333333335</v>
      </c>
      <c r="O62" s="1728"/>
      <c r="P62" s="1728"/>
      <c r="Q62" s="1728"/>
      <c r="R62" s="1728"/>
      <c r="S62" s="1728"/>
      <c r="T62" s="1728"/>
      <c r="U62" s="2876"/>
      <c r="V62" s="2016">
        <f t="shared" si="84"/>
        <v>3.3333333333333335</v>
      </c>
      <c r="W62" s="2017">
        <f t="shared" si="85"/>
        <v>9.4863534852467435</v>
      </c>
      <c r="X62" s="2018">
        <f t="shared" si="87"/>
        <v>6.1530201519134096</v>
      </c>
      <c r="Y62" s="1881"/>
      <c r="Z62" s="1728"/>
      <c r="AA62" s="1728"/>
      <c r="AB62" s="1728"/>
      <c r="AC62" s="1728"/>
      <c r="AD62" s="1728"/>
      <c r="AE62" s="1728"/>
      <c r="AF62" s="1728"/>
      <c r="AG62" s="1881"/>
      <c r="AH62" s="2016">
        <f t="shared" si="88"/>
        <v>0</v>
      </c>
      <c r="AI62" s="2017" t="e">
        <f t="shared" si="72"/>
        <v>#DIV/0!</v>
      </c>
      <c r="AJ62" s="2018" t="e">
        <f t="shared" si="89"/>
        <v>#DIV/0!</v>
      </c>
      <c r="AK62" s="1881"/>
      <c r="AL62" s="2268"/>
      <c r="AM62" s="2268"/>
      <c r="AN62" s="2268"/>
      <c r="AO62" s="2268"/>
      <c r="AP62" s="2268"/>
      <c r="AQ62" s="2268"/>
      <c r="AR62" s="2268"/>
      <c r="AS62" s="2293"/>
      <c r="AT62" s="2016">
        <f t="shared" si="79"/>
        <v>0</v>
      </c>
      <c r="AU62" s="2017" t="e">
        <f t="shared" si="73"/>
        <v>#DIV/0!</v>
      </c>
      <c r="AV62" s="2018" t="e">
        <f t="shared" si="80"/>
        <v>#DIV/0!</v>
      </c>
      <c r="AW62" s="2293"/>
      <c r="AX62" s="2268"/>
      <c r="AY62" s="2268"/>
      <c r="AZ62" s="2268"/>
      <c r="BA62" s="2268"/>
      <c r="BB62" s="2268"/>
      <c r="BC62" s="2268"/>
      <c r="BD62" s="2268"/>
      <c r="BE62" s="2293"/>
      <c r="BF62" s="2016">
        <f t="shared" si="81"/>
        <v>0</v>
      </c>
      <c r="BG62" s="2017" t="e">
        <f t="shared" si="74"/>
        <v>#DIV/0!</v>
      </c>
      <c r="BH62" s="2018" t="e">
        <f t="shared" si="82"/>
        <v>#DIV/0!</v>
      </c>
      <c r="BI62" s="2876"/>
      <c r="BJ62" s="1728"/>
      <c r="BK62" s="2268"/>
      <c r="BL62" s="2876"/>
      <c r="BM62" s="2016">
        <f t="shared" si="68"/>
        <v>0</v>
      </c>
      <c r="BN62" s="2017" t="e">
        <f t="shared" si="75"/>
        <v>#DIV/0!</v>
      </c>
      <c r="BO62" s="2018" t="e">
        <f t="shared" si="86"/>
        <v>#DIV/0!</v>
      </c>
      <c r="BP62" s="1726"/>
      <c r="BQ62" s="1732">
        <v>0</v>
      </c>
      <c r="BR62" s="1882">
        <f t="shared" si="69"/>
        <v>0</v>
      </c>
      <c r="BS62" s="1740"/>
      <c r="BT62" s="2019">
        <f t="shared" si="70"/>
        <v>3.3333333333333335</v>
      </c>
      <c r="BU62" s="2020">
        <f t="shared" si="71"/>
        <v>3.3333333333333333E-2</v>
      </c>
      <c r="BV62" s="1962"/>
      <c r="BW62" s="1905"/>
      <c r="BY62" s="1905"/>
      <c r="BZ62" s="2840"/>
      <c r="CC62" s="1906"/>
      <c r="CD62" s="1906"/>
      <c r="CE62" s="1906"/>
      <c r="CF62" s="1906"/>
      <c r="CG62" s="1906"/>
      <c r="CH62" s="2386"/>
    </row>
    <row r="63" spans="2:86" s="1947" customFormat="1" ht="16.5" customHeight="1" x14ac:dyDescent="0.2">
      <c r="B63" s="2580">
        <v>31</v>
      </c>
      <c r="C63" s="2000" t="s">
        <v>258</v>
      </c>
      <c r="D63" s="2579"/>
      <c r="E63" s="2001">
        <v>7.5</v>
      </c>
      <c r="F63" s="2001">
        <v>5</v>
      </c>
      <c r="G63" s="2001">
        <v>3.3333333333333335</v>
      </c>
      <c r="H63" s="2001">
        <v>2.5</v>
      </c>
      <c r="I63" s="2001">
        <v>2</v>
      </c>
      <c r="J63" s="2001">
        <f t="shared" si="66"/>
        <v>0.25</v>
      </c>
      <c r="K63" s="2584">
        <f t="shared" si="67"/>
        <v>2.9644854641396076E-3</v>
      </c>
      <c r="L63" s="2003"/>
      <c r="M63" s="1950"/>
      <c r="N63" s="2001">
        <f>$J$63</f>
        <v>0.25</v>
      </c>
      <c r="O63" s="2001"/>
      <c r="P63" s="2001"/>
      <c r="Q63" s="2001"/>
      <c r="R63" s="2001"/>
      <c r="S63" s="2001"/>
      <c r="T63" s="2001"/>
      <c r="U63" s="2870"/>
      <c r="V63" s="2481">
        <f t="shared" si="84"/>
        <v>0.25</v>
      </c>
      <c r="W63" s="2482">
        <f t="shared" si="85"/>
        <v>0.71147651139350576</v>
      </c>
      <c r="X63" s="2483">
        <f t="shared" si="87"/>
        <v>0.46147651139350576</v>
      </c>
      <c r="Y63" s="1896"/>
      <c r="Z63" s="2001"/>
      <c r="AA63" s="2001"/>
      <c r="AB63" s="2001"/>
      <c r="AC63" s="2001"/>
      <c r="AD63" s="2001"/>
      <c r="AE63" s="2001"/>
      <c r="AF63" s="2001"/>
      <c r="AG63" s="1896"/>
      <c r="AH63" s="2481">
        <f t="shared" si="88"/>
        <v>0</v>
      </c>
      <c r="AI63" s="2482" t="e">
        <f t="shared" si="72"/>
        <v>#DIV/0!</v>
      </c>
      <c r="AJ63" s="2483" t="e">
        <f t="shared" si="89"/>
        <v>#DIV/0!</v>
      </c>
      <c r="AK63" s="1896"/>
      <c r="AL63" s="2005"/>
      <c r="AM63" s="2005"/>
      <c r="AN63" s="2005"/>
      <c r="AO63" s="2005"/>
      <c r="AP63" s="2005"/>
      <c r="AQ63" s="2005"/>
      <c r="AR63" s="2005"/>
      <c r="AS63" s="2295"/>
      <c r="AT63" s="2481">
        <f t="shared" si="79"/>
        <v>0</v>
      </c>
      <c r="AU63" s="2482" t="e">
        <f t="shared" si="73"/>
        <v>#DIV/0!</v>
      </c>
      <c r="AV63" s="2483" t="e">
        <f t="shared" si="80"/>
        <v>#DIV/0!</v>
      </c>
      <c r="AW63" s="2295"/>
      <c r="AX63" s="2005"/>
      <c r="AY63" s="2005"/>
      <c r="AZ63" s="2005"/>
      <c r="BA63" s="2005"/>
      <c r="BB63" s="2005"/>
      <c r="BC63" s="2005"/>
      <c r="BD63" s="2005"/>
      <c r="BE63" s="2295"/>
      <c r="BF63" s="2481">
        <f t="shared" si="81"/>
        <v>0</v>
      </c>
      <c r="BG63" s="2482" t="e">
        <f t="shared" si="74"/>
        <v>#DIV/0!</v>
      </c>
      <c r="BH63" s="2483" t="e">
        <f t="shared" si="82"/>
        <v>#DIV/0!</v>
      </c>
      <c r="BI63" s="2870"/>
      <c r="BJ63" s="2001"/>
      <c r="BK63" s="2005"/>
      <c r="BL63" s="2870"/>
      <c r="BM63" s="2481">
        <f t="shared" si="68"/>
        <v>0</v>
      </c>
      <c r="BN63" s="2482" t="e">
        <f t="shared" si="75"/>
        <v>#DIV/0!</v>
      </c>
      <c r="BO63" s="2483" t="e">
        <f t="shared" si="86"/>
        <v>#DIV/0!</v>
      </c>
      <c r="BP63" s="1885"/>
      <c r="BQ63" s="1898">
        <v>0</v>
      </c>
      <c r="BR63" s="1899">
        <f t="shared" si="69"/>
        <v>0</v>
      </c>
      <c r="BS63" s="1900"/>
      <c r="BT63" s="2388">
        <f t="shared" si="70"/>
        <v>0.25</v>
      </c>
      <c r="BU63" s="2389">
        <f t="shared" si="71"/>
        <v>3.3333333333333333E-2</v>
      </c>
      <c r="BV63" s="1962"/>
      <c r="BW63" s="1905"/>
      <c r="BY63" s="1905"/>
      <c r="BZ63" s="2840"/>
      <c r="CC63" s="1906"/>
      <c r="CD63" s="1906"/>
      <c r="CE63" s="1906"/>
      <c r="CF63" s="1906"/>
      <c r="CG63" s="1906"/>
      <c r="CH63" s="2386"/>
    </row>
    <row r="64" spans="2:86" s="1947" customFormat="1" ht="16.5" customHeight="1" x14ac:dyDescent="0.2">
      <c r="B64" s="1963">
        <v>32</v>
      </c>
      <c r="C64" s="1963" t="s">
        <v>259</v>
      </c>
      <c r="D64" s="2578"/>
      <c r="E64" s="1728">
        <v>7.5</v>
      </c>
      <c r="F64" s="1728">
        <v>5</v>
      </c>
      <c r="G64" s="1728">
        <v>3.3333333333333335</v>
      </c>
      <c r="H64" s="1728">
        <v>2.5</v>
      </c>
      <c r="I64" s="1728">
        <v>2</v>
      </c>
      <c r="J64" s="1728">
        <f t="shared" si="66"/>
        <v>0.25</v>
      </c>
      <c r="K64" s="1729">
        <f t="shared" si="67"/>
        <v>2.9644854641396076E-3</v>
      </c>
      <c r="L64" s="1931"/>
      <c r="M64" s="1924"/>
      <c r="N64" s="1728">
        <f>$J$64</f>
        <v>0.25</v>
      </c>
      <c r="O64" s="1728"/>
      <c r="P64" s="1728"/>
      <c r="Q64" s="1728"/>
      <c r="R64" s="1728"/>
      <c r="S64" s="1728"/>
      <c r="T64" s="1728"/>
      <c r="U64" s="2876"/>
      <c r="V64" s="2016">
        <f t="shared" si="84"/>
        <v>0.25</v>
      </c>
      <c r="W64" s="2017">
        <f t="shared" si="85"/>
        <v>0.71147651139350576</v>
      </c>
      <c r="X64" s="2018">
        <f t="shared" si="87"/>
        <v>0.46147651139350576</v>
      </c>
      <c r="Y64" s="1881"/>
      <c r="Z64" s="1728"/>
      <c r="AA64" s="1728"/>
      <c r="AB64" s="1728"/>
      <c r="AC64" s="1728"/>
      <c r="AD64" s="1728"/>
      <c r="AE64" s="1728"/>
      <c r="AF64" s="1728"/>
      <c r="AG64" s="1881"/>
      <c r="AH64" s="2016">
        <f t="shared" si="88"/>
        <v>0</v>
      </c>
      <c r="AI64" s="2017" t="e">
        <f t="shared" si="72"/>
        <v>#DIV/0!</v>
      </c>
      <c r="AJ64" s="2018" t="e">
        <f t="shared" si="89"/>
        <v>#DIV/0!</v>
      </c>
      <c r="AK64" s="1881"/>
      <c r="AL64" s="2268"/>
      <c r="AM64" s="2268"/>
      <c r="AN64" s="2268"/>
      <c r="AO64" s="2268"/>
      <c r="AP64" s="2268"/>
      <c r="AQ64" s="2268"/>
      <c r="AR64" s="2268"/>
      <c r="AS64" s="2293"/>
      <c r="AT64" s="2016">
        <f t="shared" si="79"/>
        <v>0</v>
      </c>
      <c r="AU64" s="2017" t="e">
        <f t="shared" si="73"/>
        <v>#DIV/0!</v>
      </c>
      <c r="AV64" s="2018" t="e">
        <f t="shared" si="80"/>
        <v>#DIV/0!</v>
      </c>
      <c r="AW64" s="2293"/>
      <c r="AX64" s="2268"/>
      <c r="AY64" s="2268"/>
      <c r="AZ64" s="2268"/>
      <c r="BA64" s="2268"/>
      <c r="BB64" s="2268"/>
      <c r="BC64" s="2268"/>
      <c r="BD64" s="2268"/>
      <c r="BE64" s="2293"/>
      <c r="BF64" s="2016">
        <f t="shared" si="81"/>
        <v>0</v>
      </c>
      <c r="BG64" s="2017" t="e">
        <f t="shared" si="74"/>
        <v>#DIV/0!</v>
      </c>
      <c r="BH64" s="2018" t="e">
        <f t="shared" si="82"/>
        <v>#DIV/0!</v>
      </c>
      <c r="BI64" s="2876"/>
      <c r="BJ64" s="1728"/>
      <c r="BK64" s="2268"/>
      <c r="BL64" s="2876"/>
      <c r="BM64" s="2016">
        <f t="shared" si="68"/>
        <v>0</v>
      </c>
      <c r="BN64" s="2017" t="e">
        <f t="shared" si="75"/>
        <v>#DIV/0!</v>
      </c>
      <c r="BO64" s="2018" t="e">
        <f t="shared" si="86"/>
        <v>#DIV/0!</v>
      </c>
      <c r="BP64" s="1726"/>
      <c r="BQ64" s="1732">
        <v>0</v>
      </c>
      <c r="BR64" s="1882">
        <f t="shared" si="69"/>
        <v>0</v>
      </c>
      <c r="BS64" s="1740"/>
      <c r="BT64" s="2019">
        <f t="shared" si="70"/>
        <v>0.25</v>
      </c>
      <c r="BU64" s="2020">
        <f t="shared" si="71"/>
        <v>3.3333333333333333E-2</v>
      </c>
      <c r="BV64" s="1962"/>
      <c r="BW64" s="1905"/>
      <c r="BY64" s="1905"/>
      <c r="BZ64" s="2840"/>
      <c r="CC64" s="1906"/>
      <c r="CD64" s="1906"/>
      <c r="CE64" s="1906"/>
      <c r="CF64" s="1906"/>
      <c r="CG64" s="1906"/>
      <c r="CH64" s="2386"/>
    </row>
    <row r="65" spans="1:86" s="1947" customFormat="1" ht="16.5" customHeight="1" x14ac:dyDescent="0.2">
      <c r="B65" s="2000">
        <v>33</v>
      </c>
      <c r="C65" s="2000" t="s">
        <v>260</v>
      </c>
      <c r="D65" s="2579"/>
      <c r="E65" s="2001">
        <v>25</v>
      </c>
      <c r="F65" s="2001">
        <v>5</v>
      </c>
      <c r="G65" s="2001">
        <v>3.3333333333333335</v>
      </c>
      <c r="H65" s="2001">
        <v>2.5</v>
      </c>
      <c r="I65" s="2001">
        <v>2</v>
      </c>
      <c r="J65" s="2001">
        <f t="shared" si="66"/>
        <v>0.83333333333333337</v>
      </c>
      <c r="K65" s="2584">
        <f t="shared" si="67"/>
        <v>9.8816182137986923E-3</v>
      </c>
      <c r="L65" s="2003"/>
      <c r="M65" s="1950"/>
      <c r="N65" s="2001">
        <f>$J$65</f>
        <v>0.83333333333333337</v>
      </c>
      <c r="O65" s="2001"/>
      <c r="P65" s="2001"/>
      <c r="Q65" s="2001"/>
      <c r="R65" s="2001"/>
      <c r="S65" s="2001"/>
      <c r="T65" s="2001"/>
      <c r="U65" s="2870"/>
      <c r="V65" s="2481">
        <f t="shared" si="84"/>
        <v>0.83333333333333337</v>
      </c>
      <c r="W65" s="2482">
        <f t="shared" si="85"/>
        <v>2.3715883713116859</v>
      </c>
      <c r="X65" s="2483">
        <f t="shared" si="87"/>
        <v>1.5382550379783524</v>
      </c>
      <c r="Y65" s="1896"/>
      <c r="Z65" s="2001"/>
      <c r="AA65" s="2001"/>
      <c r="AB65" s="2001"/>
      <c r="AC65" s="2001"/>
      <c r="AD65" s="2001"/>
      <c r="AE65" s="2001"/>
      <c r="AF65" s="2001"/>
      <c r="AG65" s="1896"/>
      <c r="AH65" s="2481">
        <f t="shared" si="88"/>
        <v>0</v>
      </c>
      <c r="AI65" s="2482" t="e">
        <f t="shared" si="72"/>
        <v>#DIV/0!</v>
      </c>
      <c r="AJ65" s="2483" t="e">
        <f t="shared" si="89"/>
        <v>#DIV/0!</v>
      </c>
      <c r="AK65" s="1896"/>
      <c r="AL65" s="2005"/>
      <c r="AM65" s="2005"/>
      <c r="AN65" s="2005"/>
      <c r="AO65" s="2005"/>
      <c r="AP65" s="2005"/>
      <c r="AQ65" s="2005"/>
      <c r="AR65" s="2005"/>
      <c r="AS65" s="2295"/>
      <c r="AT65" s="2481">
        <f t="shared" si="79"/>
        <v>0</v>
      </c>
      <c r="AU65" s="2482" t="e">
        <f t="shared" si="73"/>
        <v>#DIV/0!</v>
      </c>
      <c r="AV65" s="2483" t="e">
        <f t="shared" si="80"/>
        <v>#DIV/0!</v>
      </c>
      <c r="AW65" s="2295"/>
      <c r="AX65" s="2005"/>
      <c r="AY65" s="2005"/>
      <c r="AZ65" s="2005"/>
      <c r="BA65" s="2005"/>
      <c r="BB65" s="2005"/>
      <c r="BC65" s="2005"/>
      <c r="BD65" s="2005"/>
      <c r="BE65" s="2295"/>
      <c r="BF65" s="2481">
        <f t="shared" si="81"/>
        <v>0</v>
      </c>
      <c r="BG65" s="2482" t="e">
        <f t="shared" si="74"/>
        <v>#DIV/0!</v>
      </c>
      <c r="BH65" s="2483" t="e">
        <f t="shared" si="82"/>
        <v>#DIV/0!</v>
      </c>
      <c r="BI65" s="2870"/>
      <c r="BJ65" s="2001"/>
      <c r="BK65" s="2005"/>
      <c r="BL65" s="2870"/>
      <c r="BM65" s="2481">
        <f t="shared" si="68"/>
        <v>0</v>
      </c>
      <c r="BN65" s="2482" t="e">
        <f t="shared" si="75"/>
        <v>#DIV/0!</v>
      </c>
      <c r="BO65" s="2483" t="e">
        <f t="shared" si="86"/>
        <v>#DIV/0!</v>
      </c>
      <c r="BP65" s="1885"/>
      <c r="BQ65" s="1898">
        <v>0</v>
      </c>
      <c r="BR65" s="1899">
        <f t="shared" si="69"/>
        <v>0</v>
      </c>
      <c r="BS65" s="1900"/>
      <c r="BT65" s="2388">
        <f t="shared" si="70"/>
        <v>0.83333333333333337</v>
      </c>
      <c r="BU65" s="2389">
        <f t="shared" si="71"/>
        <v>3.3333333333333333E-2</v>
      </c>
      <c r="BV65" s="1962"/>
      <c r="BW65" s="1905"/>
      <c r="BY65" s="1905"/>
      <c r="BZ65" s="2840"/>
      <c r="CC65" s="1906"/>
      <c r="CD65" s="1906"/>
      <c r="CE65" s="1906"/>
      <c r="CF65" s="1906"/>
      <c r="CG65" s="1906"/>
      <c r="CH65" s="2386"/>
    </row>
    <row r="66" spans="1:86" s="1947" customFormat="1" ht="16.5" customHeight="1" x14ac:dyDescent="0.2">
      <c r="B66" s="2508">
        <v>34</v>
      </c>
      <c r="C66" s="1963" t="s">
        <v>261</v>
      </c>
      <c r="D66" s="2578"/>
      <c r="E66" s="1728">
        <v>0</v>
      </c>
      <c r="F66" s="1728">
        <v>5</v>
      </c>
      <c r="G66" s="1728">
        <v>3.3333333333333335</v>
      </c>
      <c r="H66" s="1728">
        <v>2.5</v>
      </c>
      <c r="I66" s="1728">
        <v>2</v>
      </c>
      <c r="J66" s="1728">
        <f t="shared" si="66"/>
        <v>0</v>
      </c>
      <c r="K66" s="1729">
        <f t="shared" si="67"/>
        <v>0</v>
      </c>
      <c r="L66" s="1931"/>
      <c r="M66" s="1924"/>
      <c r="N66" s="1728">
        <f>$J$66</f>
        <v>0</v>
      </c>
      <c r="O66" s="1728"/>
      <c r="P66" s="1728"/>
      <c r="Q66" s="1728"/>
      <c r="R66" s="1728"/>
      <c r="S66" s="1728"/>
      <c r="T66" s="1728"/>
      <c r="U66" s="2876"/>
      <c r="V66" s="2016">
        <f t="shared" si="84"/>
        <v>0</v>
      </c>
      <c r="W66" s="2017">
        <f t="shared" si="85"/>
        <v>0</v>
      </c>
      <c r="X66" s="2018">
        <f t="shared" si="87"/>
        <v>0</v>
      </c>
      <c r="Y66" s="1881"/>
      <c r="Z66" s="1728"/>
      <c r="AA66" s="1728"/>
      <c r="AB66" s="1728"/>
      <c r="AC66" s="1728"/>
      <c r="AD66" s="1728"/>
      <c r="AE66" s="1728"/>
      <c r="AF66" s="1728"/>
      <c r="AG66" s="1881"/>
      <c r="AH66" s="2016">
        <f t="shared" si="88"/>
        <v>0</v>
      </c>
      <c r="AI66" s="2017" t="e">
        <f t="shared" si="72"/>
        <v>#DIV/0!</v>
      </c>
      <c r="AJ66" s="2018" t="e">
        <f t="shared" si="89"/>
        <v>#DIV/0!</v>
      </c>
      <c r="AK66" s="1881"/>
      <c r="AL66" s="2268"/>
      <c r="AM66" s="2268"/>
      <c r="AN66" s="2268"/>
      <c r="AO66" s="2268"/>
      <c r="AP66" s="2268"/>
      <c r="AQ66" s="2268"/>
      <c r="AR66" s="2268"/>
      <c r="AS66" s="2293"/>
      <c r="AT66" s="2016">
        <f t="shared" si="79"/>
        <v>0</v>
      </c>
      <c r="AU66" s="2017" t="e">
        <f t="shared" si="73"/>
        <v>#DIV/0!</v>
      </c>
      <c r="AV66" s="2018" t="e">
        <f t="shared" si="80"/>
        <v>#DIV/0!</v>
      </c>
      <c r="AW66" s="2293"/>
      <c r="AX66" s="2268"/>
      <c r="AY66" s="2268"/>
      <c r="AZ66" s="2268"/>
      <c r="BA66" s="2268"/>
      <c r="BB66" s="2268"/>
      <c r="BC66" s="2268"/>
      <c r="BD66" s="2268"/>
      <c r="BE66" s="2293"/>
      <c r="BF66" s="2016">
        <f t="shared" si="81"/>
        <v>0</v>
      </c>
      <c r="BG66" s="2017" t="e">
        <f t="shared" si="74"/>
        <v>#DIV/0!</v>
      </c>
      <c r="BH66" s="2018" t="e">
        <f t="shared" si="82"/>
        <v>#DIV/0!</v>
      </c>
      <c r="BI66" s="2876"/>
      <c r="BJ66" s="1728"/>
      <c r="BK66" s="2268"/>
      <c r="BL66" s="2876"/>
      <c r="BM66" s="2016">
        <f>SUM(BJ66:BK66)</f>
        <v>0</v>
      </c>
      <c r="BN66" s="2017" t="e">
        <f t="shared" si="75"/>
        <v>#DIV/0!</v>
      </c>
      <c r="BO66" s="2018" t="e">
        <f t="shared" si="86"/>
        <v>#DIV/0!</v>
      </c>
      <c r="BP66" s="1726"/>
      <c r="BQ66" s="1732">
        <v>0</v>
      </c>
      <c r="BR66" s="1882" t="e">
        <f>BQ66/E66</f>
        <v>#DIV/0!</v>
      </c>
      <c r="BS66" s="1740"/>
      <c r="BT66" s="2019">
        <f>SUM(N66:T66)+SUM(Z66:AF66)+SUM(AL66:AR66)+SUM(AX66:BD66)+SUM(BJ66:BK66)</f>
        <v>0</v>
      </c>
      <c r="BU66" s="2020" t="e">
        <f>BT66/E66</f>
        <v>#DIV/0!</v>
      </c>
      <c r="BV66" s="1962"/>
      <c r="BW66" s="1905"/>
      <c r="BY66" s="1905"/>
      <c r="BZ66" s="2840"/>
      <c r="CC66" s="1906"/>
      <c r="CD66" s="1906"/>
      <c r="CE66" s="1906"/>
      <c r="CF66" s="1906"/>
      <c r="CG66" s="1906"/>
      <c r="CH66" s="2386"/>
    </row>
    <row r="67" spans="1:86" s="1947" customFormat="1" ht="16.5" customHeight="1" x14ac:dyDescent="0.2">
      <c r="B67" s="2000">
        <v>35</v>
      </c>
      <c r="C67" s="2000" t="s">
        <v>262</v>
      </c>
      <c r="D67" s="2579"/>
      <c r="E67" s="2001">
        <v>25</v>
      </c>
      <c r="F67" s="2001">
        <v>0.5</v>
      </c>
      <c r="G67" s="2001">
        <v>0.33333333333333331</v>
      </c>
      <c r="H67" s="2001">
        <v>0.25</v>
      </c>
      <c r="I67" s="2001">
        <v>0.2</v>
      </c>
      <c r="J67" s="2001">
        <f t="shared" si="66"/>
        <v>0.83333333333333337</v>
      </c>
      <c r="K67" s="2584">
        <f t="shared" si="67"/>
        <v>9.8816182137986923E-3</v>
      </c>
      <c r="L67" s="2003"/>
      <c r="M67" s="1950"/>
      <c r="N67" s="2001">
        <f>$J$67</f>
        <v>0.83333333333333337</v>
      </c>
      <c r="O67" s="2001"/>
      <c r="P67" s="2001"/>
      <c r="Q67" s="2001"/>
      <c r="R67" s="2001"/>
      <c r="S67" s="2001"/>
      <c r="T67" s="2001"/>
      <c r="U67" s="2870"/>
      <c r="V67" s="2481">
        <f t="shared" si="84"/>
        <v>0.83333333333333337</v>
      </c>
      <c r="W67" s="2482">
        <f t="shared" si="85"/>
        <v>2.3715883713116859</v>
      </c>
      <c r="X67" s="2483">
        <f t="shared" si="87"/>
        <v>1.5382550379783524</v>
      </c>
      <c r="Y67" s="1896"/>
      <c r="Z67" s="2001"/>
      <c r="AA67" s="2001"/>
      <c r="AB67" s="2001"/>
      <c r="AC67" s="2001"/>
      <c r="AD67" s="2001"/>
      <c r="AE67" s="2001"/>
      <c r="AF67" s="2001"/>
      <c r="AG67" s="1896"/>
      <c r="AH67" s="2481">
        <f t="shared" si="88"/>
        <v>0</v>
      </c>
      <c r="AI67" s="2482" t="e">
        <f t="shared" si="72"/>
        <v>#DIV/0!</v>
      </c>
      <c r="AJ67" s="2483" t="e">
        <f t="shared" si="89"/>
        <v>#DIV/0!</v>
      </c>
      <c r="AK67" s="1896"/>
      <c r="AL67" s="2005"/>
      <c r="AM67" s="2005"/>
      <c r="AN67" s="2005"/>
      <c r="AO67" s="2005"/>
      <c r="AP67" s="2005"/>
      <c r="AQ67" s="2005"/>
      <c r="AR67" s="2005"/>
      <c r="AS67" s="2295"/>
      <c r="AT67" s="2481">
        <f t="shared" si="79"/>
        <v>0</v>
      </c>
      <c r="AU67" s="2482" t="e">
        <f t="shared" si="73"/>
        <v>#DIV/0!</v>
      </c>
      <c r="AV67" s="2483" t="e">
        <f t="shared" si="80"/>
        <v>#DIV/0!</v>
      </c>
      <c r="AW67" s="2295"/>
      <c r="AX67" s="2005"/>
      <c r="AY67" s="2005"/>
      <c r="AZ67" s="2005"/>
      <c r="BA67" s="2005"/>
      <c r="BB67" s="2005"/>
      <c r="BC67" s="2005"/>
      <c r="BD67" s="2005"/>
      <c r="BE67" s="2295"/>
      <c r="BF67" s="2481">
        <f t="shared" si="81"/>
        <v>0</v>
      </c>
      <c r="BG67" s="2482" t="e">
        <f t="shared" si="74"/>
        <v>#DIV/0!</v>
      </c>
      <c r="BH67" s="2483" t="e">
        <f t="shared" si="82"/>
        <v>#DIV/0!</v>
      </c>
      <c r="BI67" s="2870"/>
      <c r="BJ67" s="2001"/>
      <c r="BK67" s="2005"/>
      <c r="BL67" s="2870"/>
      <c r="BM67" s="2481">
        <f>SUM(BJ67:BK67)</f>
        <v>0</v>
      </c>
      <c r="BN67" s="2482" t="e">
        <f t="shared" si="75"/>
        <v>#DIV/0!</v>
      </c>
      <c r="BO67" s="2483" t="e">
        <f t="shared" si="86"/>
        <v>#DIV/0!</v>
      </c>
      <c r="BP67" s="1885"/>
      <c r="BQ67" s="1898">
        <v>0</v>
      </c>
      <c r="BR67" s="1899">
        <f>BQ67/E67</f>
        <v>0</v>
      </c>
      <c r="BS67" s="1900"/>
      <c r="BT67" s="2388">
        <f>SUM(N67:T67)+SUM(Z67:AF67)+SUM(AL67:AR67)+SUM(AX67:BD67)+SUM(BJ67:BK67)</f>
        <v>0.83333333333333337</v>
      </c>
      <c r="BU67" s="2389">
        <f>BT67/E67</f>
        <v>3.3333333333333333E-2</v>
      </c>
      <c r="BV67" s="1962"/>
      <c r="BW67" s="1905"/>
      <c r="BY67" s="1905"/>
      <c r="BZ67" s="2840"/>
      <c r="CC67" s="1906"/>
      <c r="CD67" s="1906"/>
      <c r="CE67" s="1906"/>
      <c r="CF67" s="1906"/>
      <c r="CG67" s="1906"/>
      <c r="CH67" s="2386"/>
    </row>
    <row r="68" spans="1:86" s="1947" customFormat="1" ht="16.5" customHeight="1" thickBot="1" x14ac:dyDescent="0.25">
      <c r="B68" s="1963">
        <v>36</v>
      </c>
      <c r="C68" s="1963"/>
      <c r="D68" s="2578"/>
      <c r="E68" s="1728">
        <v>0</v>
      </c>
      <c r="F68" s="1728"/>
      <c r="G68" s="1728"/>
      <c r="H68" s="1728"/>
      <c r="I68" s="1728"/>
      <c r="J68" s="1728">
        <f t="shared" si="66"/>
        <v>0</v>
      </c>
      <c r="K68" s="1729">
        <f t="shared" si="67"/>
        <v>0</v>
      </c>
      <c r="L68" s="1931"/>
      <c r="M68" s="1924"/>
      <c r="N68" s="1728">
        <f>$J$68</f>
        <v>0</v>
      </c>
      <c r="O68" s="1728"/>
      <c r="P68" s="1728"/>
      <c r="Q68" s="1728"/>
      <c r="R68" s="1728"/>
      <c r="S68" s="1728"/>
      <c r="T68" s="1728"/>
      <c r="U68" s="2876"/>
      <c r="V68" s="2799">
        <f>SUM(N68:T68)</f>
        <v>0</v>
      </c>
      <c r="W68" s="2800">
        <f t="shared" si="85"/>
        <v>0</v>
      </c>
      <c r="X68" s="2801">
        <f>W68-V68</f>
        <v>0</v>
      </c>
      <c r="Y68" s="1881"/>
      <c r="Z68" s="1728"/>
      <c r="AA68" s="1728"/>
      <c r="AB68" s="1728"/>
      <c r="AC68" s="1728"/>
      <c r="AD68" s="1728"/>
      <c r="AE68" s="1728"/>
      <c r="AF68" s="1728"/>
      <c r="AG68" s="1881"/>
      <c r="AH68" s="2799">
        <f t="shared" si="88"/>
        <v>0</v>
      </c>
      <c r="AI68" s="2800" t="e">
        <f t="shared" si="72"/>
        <v>#DIV/0!</v>
      </c>
      <c r="AJ68" s="2801" t="e">
        <f t="shared" si="89"/>
        <v>#DIV/0!</v>
      </c>
      <c r="AK68" s="1881"/>
      <c r="AL68" s="2268"/>
      <c r="AM68" s="2268"/>
      <c r="AN68" s="2268"/>
      <c r="AO68" s="2268"/>
      <c r="AP68" s="2268"/>
      <c r="AQ68" s="2268"/>
      <c r="AR68" s="2268"/>
      <c r="AS68" s="2293"/>
      <c r="AT68" s="2799">
        <f t="shared" si="79"/>
        <v>0</v>
      </c>
      <c r="AU68" s="2800" t="e">
        <f t="shared" si="73"/>
        <v>#DIV/0!</v>
      </c>
      <c r="AV68" s="2801" t="e">
        <f t="shared" si="80"/>
        <v>#DIV/0!</v>
      </c>
      <c r="AW68" s="2293"/>
      <c r="AX68" s="2268"/>
      <c r="AY68" s="2268"/>
      <c r="AZ68" s="2268"/>
      <c r="BA68" s="2268"/>
      <c r="BB68" s="2268"/>
      <c r="BC68" s="2268"/>
      <c r="BD68" s="2268"/>
      <c r="BE68" s="2293"/>
      <c r="BF68" s="2799">
        <f t="shared" si="81"/>
        <v>0</v>
      </c>
      <c r="BG68" s="2800" t="e">
        <f t="shared" si="74"/>
        <v>#DIV/0!</v>
      </c>
      <c r="BH68" s="2801" t="e">
        <f t="shared" si="82"/>
        <v>#DIV/0!</v>
      </c>
      <c r="BI68" s="2876"/>
      <c r="BJ68" s="1728"/>
      <c r="BK68" s="2268"/>
      <c r="BL68" s="2876"/>
      <c r="BM68" s="2799">
        <f>SUM(BJ68:BK68)</f>
        <v>0</v>
      </c>
      <c r="BN68" s="2800" t="e">
        <f t="shared" si="75"/>
        <v>#DIV/0!</v>
      </c>
      <c r="BO68" s="2801" t="e">
        <f t="shared" si="86"/>
        <v>#DIV/0!</v>
      </c>
      <c r="BP68" s="1726"/>
      <c r="BQ68" s="1732">
        <v>0</v>
      </c>
      <c r="BR68" s="1882" t="e">
        <f>BQ68/E68</f>
        <v>#DIV/0!</v>
      </c>
      <c r="BS68" s="1740"/>
      <c r="BT68" s="2226">
        <f>SUM(N68:T68)+SUM(Z68:AF68)+SUM(AL68:AR68)+SUM(AX68:BD68)+SUM(BJ68:BK68)</f>
        <v>0</v>
      </c>
      <c r="BU68" s="2802" t="e">
        <f>BT68/E68</f>
        <v>#DIV/0!</v>
      </c>
      <c r="BV68" s="1962"/>
      <c r="BW68" s="1905"/>
      <c r="BY68" s="1905"/>
      <c r="BZ68" s="2840"/>
      <c r="CC68" s="1906"/>
      <c r="CD68" s="1906"/>
      <c r="CE68" s="1906"/>
      <c r="CF68" s="1906"/>
      <c r="CG68" s="1906"/>
      <c r="CH68" s="2386"/>
    </row>
    <row r="69" spans="1:86" s="1947" customFormat="1" ht="4.5" customHeight="1" thickBot="1" x14ac:dyDescent="0.25">
      <c r="B69" s="2525"/>
      <c r="C69" s="2526"/>
      <c r="D69" s="1800"/>
      <c r="E69" s="2527"/>
      <c r="F69" s="2527"/>
      <c r="G69" s="2527"/>
      <c r="H69" s="2527"/>
      <c r="I69" s="2527"/>
      <c r="J69" s="2527"/>
      <c r="K69" s="2528"/>
      <c r="L69" s="1866"/>
      <c r="M69" s="1867"/>
      <c r="N69" s="2026"/>
      <c r="O69" s="2026"/>
      <c r="P69" s="2026"/>
      <c r="Q69" s="2026"/>
      <c r="R69" s="2026"/>
      <c r="S69" s="2026"/>
      <c r="T69" s="2026"/>
      <c r="U69" s="2875"/>
      <c r="V69" s="2875"/>
      <c r="W69" s="2875"/>
      <c r="X69" s="2875"/>
      <c r="Y69" s="1915"/>
      <c r="Z69" s="2026"/>
      <c r="AA69" s="2026"/>
      <c r="AB69" s="2026"/>
      <c r="AC69" s="2026"/>
      <c r="AD69" s="2026"/>
      <c r="AE69" s="2026"/>
      <c r="AF69" s="2026"/>
      <c r="AG69" s="1915"/>
      <c r="AH69" s="2875"/>
      <c r="AI69" s="2875"/>
      <c r="AJ69" s="2875"/>
      <c r="AK69" s="1915"/>
      <c r="AL69" s="2026"/>
      <c r="AM69" s="2026"/>
      <c r="AN69" s="2026"/>
      <c r="AO69" s="2026"/>
      <c r="AP69" s="2026"/>
      <c r="AQ69" s="2026"/>
      <c r="AR69" s="2026"/>
      <c r="AS69" s="2875"/>
      <c r="AT69" s="2875"/>
      <c r="AU69" s="2875"/>
      <c r="AV69" s="2875"/>
      <c r="AW69" s="2875"/>
      <c r="AX69" s="2026"/>
      <c r="AY69" s="2026"/>
      <c r="AZ69" s="2026"/>
      <c r="BA69" s="2026"/>
      <c r="BB69" s="2026"/>
      <c r="BC69" s="2026"/>
      <c r="BD69" s="2026"/>
      <c r="BE69" s="2875"/>
      <c r="BF69" s="2875"/>
      <c r="BG69" s="2875"/>
      <c r="BH69" s="2875"/>
      <c r="BI69" s="2875"/>
      <c r="BJ69" s="2026"/>
      <c r="BK69" s="2026"/>
      <c r="BL69" s="2875"/>
      <c r="BM69" s="2875"/>
      <c r="BN69" s="2875"/>
      <c r="BO69" s="2875"/>
      <c r="BP69" s="1923"/>
      <c r="BQ69" s="2875"/>
      <c r="BR69" s="1993"/>
      <c r="BS69" s="1994"/>
      <c r="BT69" s="2027"/>
      <c r="BU69" s="2028"/>
      <c r="BV69" s="1962"/>
      <c r="BW69" s="1905"/>
      <c r="BY69" s="1905"/>
      <c r="BZ69" s="2840"/>
      <c r="CC69" s="1906"/>
      <c r="CD69" s="1906"/>
      <c r="CE69" s="1906"/>
      <c r="CF69" s="1906"/>
      <c r="CG69" s="1906"/>
      <c r="CH69" s="2386"/>
    </row>
    <row r="70" spans="1:86" s="1726" customFormat="1" ht="17.25" thickBot="1" x14ac:dyDescent="0.25">
      <c r="B70" s="2000"/>
      <c r="C70" s="2803">
        <f>E70*100/50</f>
        <v>3509.8</v>
      </c>
      <c r="D70" s="1888"/>
      <c r="E70" s="2001">
        <f>SUM(E45:E68)</f>
        <v>1754.8999999999999</v>
      </c>
      <c r="F70" s="2001">
        <f t="shared" ref="F70:I70" si="90">SUM(F45:F68)</f>
        <v>279.13333333333333</v>
      </c>
      <c r="G70" s="2001">
        <f t="shared" si="90"/>
        <v>186.08888888888896</v>
      </c>
      <c r="H70" s="2001">
        <f t="shared" si="90"/>
        <v>139.56666666666666</v>
      </c>
      <c r="I70" s="2001">
        <f t="shared" si="90"/>
        <v>111.65333333333334</v>
      </c>
      <c r="J70" s="2001">
        <f>SUM(J45:J68)</f>
        <v>58.49666666666667</v>
      </c>
      <c r="K70" s="2584">
        <f t="shared" ref="K70" si="91">SUM(K45:K68)</f>
        <v>0.69365007213581342</v>
      </c>
      <c r="L70" s="1949"/>
      <c r="M70" s="1950"/>
      <c r="N70" s="2001">
        <f>SUM(N45:N68)</f>
        <v>58.49666666666667</v>
      </c>
      <c r="O70" s="2001">
        <f t="shared" ref="O70:T70" si="92">SUM(O45:O68)</f>
        <v>0</v>
      </c>
      <c r="P70" s="2001">
        <f t="shared" si="92"/>
        <v>0</v>
      </c>
      <c r="Q70" s="2001">
        <f t="shared" si="92"/>
        <v>0</v>
      </c>
      <c r="R70" s="2001">
        <f t="shared" si="92"/>
        <v>0</v>
      </c>
      <c r="S70" s="2001">
        <f t="shared" si="92"/>
        <v>0</v>
      </c>
      <c r="T70" s="2001">
        <f t="shared" si="92"/>
        <v>0</v>
      </c>
      <c r="U70" s="2870"/>
      <c r="V70" s="2804">
        <f>SUM(V45:V68)</f>
        <v>58.49666666666667</v>
      </c>
      <c r="W70" s="2805">
        <f>SUM(W45:W68)</f>
        <v>166.47601731259502</v>
      </c>
      <c r="X70" s="2806">
        <f t="shared" ref="X70" si="93">SUM(X45:X68)</f>
        <v>107.97935064592846</v>
      </c>
      <c r="Y70" s="1896"/>
      <c r="Z70" s="2001">
        <f t="shared" ref="Z70:AF70" si="94">SUM(Z45:Z68)</f>
        <v>0</v>
      </c>
      <c r="AA70" s="2001">
        <f t="shared" si="94"/>
        <v>0</v>
      </c>
      <c r="AB70" s="2001">
        <f t="shared" si="94"/>
        <v>0</v>
      </c>
      <c r="AC70" s="2001">
        <f t="shared" si="94"/>
        <v>0</v>
      </c>
      <c r="AD70" s="2001">
        <f t="shared" si="94"/>
        <v>0</v>
      </c>
      <c r="AE70" s="2001">
        <f t="shared" si="94"/>
        <v>0</v>
      </c>
      <c r="AF70" s="2001">
        <f t="shared" si="94"/>
        <v>0</v>
      </c>
      <c r="AG70" s="1896"/>
      <c r="AH70" s="2804">
        <f>SUM(AH45:AH68)</f>
        <v>0</v>
      </c>
      <c r="AI70" s="2805" t="e">
        <f>SUM(AI45:AI68)</f>
        <v>#DIV/0!</v>
      </c>
      <c r="AJ70" s="2806" t="e">
        <f>SUM(AJ45:AJ68)</f>
        <v>#DIV/0!</v>
      </c>
      <c r="AK70" s="1896"/>
      <c r="AL70" s="2005">
        <f t="shared" ref="AL70:AR70" si="95">SUM(AL45:AL68)</f>
        <v>0</v>
      </c>
      <c r="AM70" s="2005">
        <f t="shared" si="95"/>
        <v>0</v>
      </c>
      <c r="AN70" s="2005">
        <f t="shared" si="95"/>
        <v>0</v>
      </c>
      <c r="AO70" s="2005">
        <f t="shared" si="95"/>
        <v>0</v>
      </c>
      <c r="AP70" s="2005">
        <f t="shared" si="95"/>
        <v>0</v>
      </c>
      <c r="AQ70" s="2005">
        <f t="shared" si="95"/>
        <v>0</v>
      </c>
      <c r="AR70" s="2005">
        <f t="shared" si="95"/>
        <v>0</v>
      </c>
      <c r="AS70" s="2295"/>
      <c r="AT70" s="2804">
        <f>SUM(AT45:AT68)</f>
        <v>0</v>
      </c>
      <c r="AU70" s="2805" t="e">
        <f>SUM(AU45:AU68)</f>
        <v>#DIV/0!</v>
      </c>
      <c r="AV70" s="2806" t="e">
        <f>SUM(AV45:AV68)</f>
        <v>#DIV/0!</v>
      </c>
      <c r="AW70" s="2295"/>
      <c r="AX70" s="2005">
        <f t="shared" ref="AX70:BD70" si="96">SUM(AX45:AX68)</f>
        <v>0</v>
      </c>
      <c r="AY70" s="2005">
        <f t="shared" si="96"/>
        <v>0</v>
      </c>
      <c r="AZ70" s="2005">
        <f t="shared" si="96"/>
        <v>0</v>
      </c>
      <c r="BA70" s="2005">
        <f t="shared" si="96"/>
        <v>0</v>
      </c>
      <c r="BB70" s="2005">
        <f t="shared" si="96"/>
        <v>0</v>
      </c>
      <c r="BC70" s="2005">
        <f t="shared" si="96"/>
        <v>0</v>
      </c>
      <c r="BD70" s="2005">
        <f t="shared" si="96"/>
        <v>0</v>
      </c>
      <c r="BE70" s="2295"/>
      <c r="BF70" s="2804">
        <f>SUM(BF45:BF68)</f>
        <v>0</v>
      </c>
      <c r="BG70" s="2805" t="e">
        <f>SUM(BG45:BG68)</f>
        <v>#DIV/0!</v>
      </c>
      <c r="BH70" s="2806" t="e">
        <f>SUM(BH45:BH68)</f>
        <v>#DIV/0!</v>
      </c>
      <c r="BI70" s="2870"/>
      <c r="BJ70" s="2005">
        <f t="shared" ref="BJ70:BK70" si="97">SUM(BJ45:BJ68)</f>
        <v>0</v>
      </c>
      <c r="BK70" s="2005">
        <f t="shared" si="97"/>
        <v>0</v>
      </c>
      <c r="BL70" s="2870"/>
      <c r="BM70" s="2804">
        <f>SUM(BM45:BM68)</f>
        <v>0</v>
      </c>
      <c r="BN70" s="2805" t="e">
        <f>SUM(BN45:BN68)</f>
        <v>#DIV/0!</v>
      </c>
      <c r="BO70" s="2806" t="e">
        <f>SUM(BO45:BO68)</f>
        <v>#DIV/0!</v>
      </c>
      <c r="BP70" s="1885"/>
      <c r="BQ70" s="2397">
        <f>SUM(BQ45:BQ68)</f>
        <v>0</v>
      </c>
      <c r="BR70" s="2398">
        <f>BQ70/E70</f>
        <v>0</v>
      </c>
      <c r="BS70" s="1900"/>
      <c r="BT70" s="2397">
        <f>SUM(BT45:BT68)</f>
        <v>58.49666666666667</v>
      </c>
      <c r="BU70" s="2398">
        <f>BT70/E70</f>
        <v>3.333333333333334E-2</v>
      </c>
      <c r="BV70" s="1997"/>
      <c r="BW70" s="2874"/>
      <c r="BY70" s="2874"/>
      <c r="BZ70" s="2841"/>
      <c r="CC70" s="1860"/>
      <c r="CD70" s="1860"/>
      <c r="CE70" s="1860"/>
      <c r="CF70" s="1860"/>
      <c r="CG70" s="1860"/>
      <c r="CH70" s="1998"/>
    </row>
    <row r="71" spans="1:86" s="1923" customFormat="1" ht="4.5" customHeight="1" thickBot="1" x14ac:dyDescent="0.25">
      <c r="B71" s="2023"/>
      <c r="C71" s="2024"/>
      <c r="D71" s="1800"/>
      <c r="E71" s="1803"/>
      <c r="F71" s="1803"/>
      <c r="G71" s="1803"/>
      <c r="H71" s="1803"/>
      <c r="I71" s="1803"/>
      <c r="J71" s="1803"/>
      <c r="K71" s="2025"/>
      <c r="L71" s="1866"/>
      <c r="M71" s="1867"/>
      <c r="N71" s="2026"/>
      <c r="O71" s="2026"/>
      <c r="P71" s="2026"/>
      <c r="Q71" s="2026"/>
      <c r="R71" s="2026"/>
      <c r="S71" s="2026"/>
      <c r="T71" s="2026"/>
      <c r="U71" s="2875"/>
      <c r="V71" s="2875"/>
      <c r="W71" s="2875"/>
      <c r="X71" s="2875"/>
      <c r="Y71" s="1915"/>
      <c r="Z71" s="2026"/>
      <c r="AA71" s="2026"/>
      <c r="AB71" s="2026"/>
      <c r="AC71" s="2026"/>
      <c r="AD71" s="2026"/>
      <c r="AE71" s="2026"/>
      <c r="AF71" s="2026"/>
      <c r="AG71" s="1915"/>
      <c r="AH71" s="2875"/>
      <c r="AI71" s="2875"/>
      <c r="AJ71" s="2875"/>
      <c r="AK71" s="1915"/>
      <c r="AL71" s="2026"/>
      <c r="AM71" s="2026"/>
      <c r="AN71" s="2026"/>
      <c r="AO71" s="2026"/>
      <c r="AP71" s="2026"/>
      <c r="AQ71" s="2026"/>
      <c r="AR71" s="2026"/>
      <c r="AS71" s="2875"/>
      <c r="AT71" s="2875"/>
      <c r="AU71" s="2875"/>
      <c r="AV71" s="2875"/>
      <c r="AW71" s="2875"/>
      <c r="AX71" s="2026"/>
      <c r="AY71" s="2026"/>
      <c r="AZ71" s="2026"/>
      <c r="BA71" s="2026"/>
      <c r="BB71" s="2026"/>
      <c r="BC71" s="2026"/>
      <c r="BD71" s="2026"/>
      <c r="BE71" s="2875"/>
      <c r="BF71" s="2274"/>
      <c r="BG71" s="2274"/>
      <c r="BH71" s="2274"/>
      <c r="BI71" s="2875"/>
      <c r="BJ71" s="2026"/>
      <c r="BK71" s="2026"/>
      <c r="BL71" s="2875"/>
      <c r="BM71" s="2274"/>
      <c r="BN71" s="2274"/>
      <c r="BO71" s="2274"/>
      <c r="BQ71" s="2875"/>
      <c r="BR71" s="1993"/>
      <c r="BS71" s="1994"/>
      <c r="BT71" s="2875"/>
      <c r="BU71" s="1993"/>
      <c r="BV71" s="1993"/>
      <c r="BW71" s="1916"/>
      <c r="BY71" s="1916"/>
      <c r="BZ71" s="2842"/>
      <c r="CH71" s="1995"/>
    </row>
    <row r="72" spans="1:86" s="1885" customFormat="1" ht="17.25" thickBot="1" x14ac:dyDescent="0.25">
      <c r="B72" s="2117"/>
      <c r="C72" s="2212" t="s">
        <v>150</v>
      </c>
      <c r="D72" s="2119"/>
      <c r="E72" s="2123">
        <f>E42*100/24</f>
        <v>10541.458333333332</v>
      </c>
      <c r="F72" s="2121" t="e">
        <f>#REF!*100/30</f>
        <v>#REF!</v>
      </c>
      <c r="G72" s="2121" t="e">
        <f>#REF!*100/30</f>
        <v>#REF!</v>
      </c>
      <c r="H72" s="2121" t="e">
        <f>#REF!*100/30</f>
        <v>#REF!</v>
      </c>
      <c r="I72" s="2121" t="e">
        <f>#REF!*100/30</f>
        <v>#REF!</v>
      </c>
      <c r="J72" s="2121">
        <f>J42*100/24</f>
        <v>351.3819444444444</v>
      </c>
      <c r="K72" s="2130">
        <f>E72/E115</f>
        <v>0.52204820271552976</v>
      </c>
      <c r="L72" s="1949"/>
      <c r="M72" s="2214"/>
      <c r="N72" s="2120">
        <f t="shared" ref="N72:T72" si="98">N11</f>
        <v>73.585833333333341</v>
      </c>
      <c r="O72" s="2123">
        <f t="shared" si="98"/>
        <v>0</v>
      </c>
      <c r="P72" s="2123">
        <f t="shared" si="98"/>
        <v>0</v>
      </c>
      <c r="Q72" s="2123">
        <f t="shared" si="98"/>
        <v>0</v>
      </c>
      <c r="R72" s="2123">
        <f t="shared" si="98"/>
        <v>0</v>
      </c>
      <c r="S72" s="2123">
        <f t="shared" si="98"/>
        <v>0</v>
      </c>
      <c r="T72" s="2124">
        <f t="shared" si="98"/>
        <v>0</v>
      </c>
      <c r="U72" s="1951"/>
      <c r="V72" s="2120">
        <f>SUM(N72:T72)</f>
        <v>73.585833333333341</v>
      </c>
      <c r="W72" s="2123"/>
      <c r="X72" s="2124"/>
      <c r="Y72" s="1956"/>
      <c r="Z72" s="2120">
        <f t="shared" ref="Z72:AF72" si="99">Z11</f>
        <v>0</v>
      </c>
      <c r="AA72" s="2121">
        <f t="shared" si="99"/>
        <v>0</v>
      </c>
      <c r="AB72" s="2121">
        <f t="shared" si="99"/>
        <v>0</v>
      </c>
      <c r="AC72" s="2121">
        <f t="shared" si="99"/>
        <v>0</v>
      </c>
      <c r="AD72" s="2121">
        <f t="shared" si="99"/>
        <v>0</v>
      </c>
      <c r="AE72" s="2121">
        <f t="shared" si="99"/>
        <v>0</v>
      </c>
      <c r="AF72" s="2121">
        <f t="shared" si="99"/>
        <v>0</v>
      </c>
      <c r="AG72" s="1956"/>
      <c r="AH72" s="2120">
        <f>SUM(Z72:AF72)</f>
        <v>0</v>
      </c>
      <c r="AI72" s="2123"/>
      <c r="AJ72" s="2124"/>
      <c r="AK72" s="1955"/>
      <c r="AL72" s="2120">
        <f t="shared" ref="AL72:AR72" si="100">AL11</f>
        <v>0</v>
      </c>
      <c r="AM72" s="2121">
        <f t="shared" si="100"/>
        <v>0</v>
      </c>
      <c r="AN72" s="2121">
        <f t="shared" si="100"/>
        <v>0</v>
      </c>
      <c r="AO72" s="2121">
        <f t="shared" si="100"/>
        <v>0</v>
      </c>
      <c r="AP72" s="2121">
        <f t="shared" si="100"/>
        <v>0</v>
      </c>
      <c r="AQ72" s="2121">
        <f t="shared" si="100"/>
        <v>0</v>
      </c>
      <c r="AR72" s="2124">
        <f t="shared" si="100"/>
        <v>0</v>
      </c>
      <c r="AS72" s="2254"/>
      <c r="AT72" s="2120">
        <f>SUM(AL72:AR72)</f>
        <v>0</v>
      </c>
      <c r="AU72" s="2123"/>
      <c r="AV72" s="2124"/>
      <c r="AW72" s="1951"/>
      <c r="AX72" s="2120">
        <f t="shared" ref="AX72:BD72" si="101">AX11</f>
        <v>0</v>
      </c>
      <c r="AY72" s="2123">
        <f t="shared" si="101"/>
        <v>0</v>
      </c>
      <c r="AZ72" s="2123">
        <f t="shared" si="101"/>
        <v>0</v>
      </c>
      <c r="BA72" s="2123">
        <f t="shared" si="101"/>
        <v>0</v>
      </c>
      <c r="BB72" s="2123">
        <f t="shared" si="101"/>
        <v>0</v>
      </c>
      <c r="BC72" s="2123">
        <f t="shared" si="101"/>
        <v>0</v>
      </c>
      <c r="BD72" s="2124">
        <f t="shared" si="101"/>
        <v>0</v>
      </c>
      <c r="BE72" s="1951"/>
      <c r="BF72" s="2120">
        <f>SUM(AX72:BD72)</f>
        <v>0</v>
      </c>
      <c r="BG72" s="2123"/>
      <c r="BH72" s="2124"/>
      <c r="BI72" s="1900"/>
      <c r="BJ72" s="2120">
        <f t="shared" ref="BJ72:BK72" si="102">BJ11</f>
        <v>0</v>
      </c>
      <c r="BK72" s="2123">
        <f t="shared" si="102"/>
        <v>0</v>
      </c>
      <c r="BL72" s="2317"/>
      <c r="BM72" s="2215">
        <f>SUM(BJ72:BK72)</f>
        <v>0</v>
      </c>
      <c r="BN72" s="2677"/>
      <c r="BO72" s="2124"/>
      <c r="BP72" s="1897"/>
      <c r="BQ72" s="2215">
        <f>SUM(N72:T72)+SUM(Z72:AF72)+SUM(AL72:AR72)+SUM(AX72:BD72)+SUM(BJ72:BK72)</f>
        <v>73.585833333333341</v>
      </c>
      <c r="BR72" s="2130"/>
      <c r="BS72" s="1900"/>
      <c r="BT72" s="2011"/>
      <c r="BU72" s="2011"/>
      <c r="BV72" s="2011"/>
      <c r="BY72" s="2869"/>
      <c r="BZ72" s="2839"/>
      <c r="CC72" s="1946"/>
      <c r="CD72" s="1946"/>
      <c r="CE72" s="1946"/>
      <c r="CF72" s="1946"/>
      <c r="CG72" s="1946"/>
      <c r="CH72" s="2012"/>
    </row>
    <row r="73" spans="1:86" s="1860" customFormat="1" ht="15" customHeight="1" thickBot="1" x14ac:dyDescent="0.25">
      <c r="B73" s="1861"/>
      <c r="C73" s="1861" t="s">
        <v>191</v>
      </c>
      <c r="D73" s="1861"/>
      <c r="E73" s="2876"/>
      <c r="F73" s="2876"/>
      <c r="G73" s="2876"/>
      <c r="H73" s="2876"/>
      <c r="I73" s="2876"/>
      <c r="J73" s="2876"/>
      <c r="K73" s="2059"/>
      <c r="L73" s="1931"/>
      <c r="M73" s="1877"/>
      <c r="N73" s="2876"/>
      <c r="O73" s="2876"/>
      <c r="P73" s="2876"/>
      <c r="Q73" s="2876"/>
      <c r="R73" s="2876"/>
      <c r="S73" s="2876"/>
      <c r="T73" s="2876"/>
      <c r="U73" s="2876"/>
      <c r="V73" s="2876"/>
      <c r="W73" s="2876"/>
      <c r="X73" s="2876"/>
      <c r="Y73" s="1862"/>
      <c r="Z73" s="2876"/>
      <c r="AA73" s="2876"/>
      <c r="AB73" s="2876"/>
      <c r="AC73" s="2876"/>
      <c r="AD73" s="2876"/>
      <c r="AE73" s="2876"/>
      <c r="AF73" s="2876"/>
      <c r="AG73" s="1862"/>
      <c r="AH73" s="2876"/>
      <c r="AI73" s="2876"/>
      <c r="AJ73" s="2876"/>
      <c r="AK73" s="1862"/>
      <c r="AL73" s="2876"/>
      <c r="AM73" s="2876"/>
      <c r="AN73" s="2876"/>
      <c r="AO73" s="2876"/>
      <c r="AP73" s="2876"/>
      <c r="AQ73" s="2876"/>
      <c r="AR73" s="2876"/>
      <c r="AS73" s="2876"/>
      <c r="AT73" s="2876"/>
      <c r="AU73" s="2876"/>
      <c r="AV73" s="2876"/>
      <c r="AW73" s="2876"/>
      <c r="AX73" s="2876"/>
      <c r="AY73" s="2876"/>
      <c r="AZ73" s="2876"/>
      <c r="BA73" s="2876"/>
      <c r="BB73" s="2876"/>
      <c r="BC73" s="2876"/>
      <c r="BD73" s="2876"/>
      <c r="BE73" s="2876"/>
      <c r="BF73" s="2876"/>
      <c r="BG73" s="2876"/>
      <c r="BH73" s="2876"/>
      <c r="BI73" s="2876"/>
      <c r="BJ73" s="2876"/>
      <c r="BK73" s="2876"/>
      <c r="BL73" s="2876"/>
      <c r="BM73" s="2876"/>
      <c r="BN73" s="2876"/>
      <c r="BO73" s="2876"/>
      <c r="BP73" s="1862"/>
      <c r="BQ73" s="2876"/>
      <c r="BR73" s="2639"/>
      <c r="BS73" s="1861"/>
      <c r="BT73" s="4634" t="s">
        <v>99</v>
      </c>
      <c r="BU73" s="4634"/>
      <c r="BV73" s="2876"/>
      <c r="BW73" s="1862"/>
      <c r="BY73" s="2874"/>
      <c r="BZ73" s="2841"/>
      <c r="CH73" s="1998"/>
    </row>
    <row r="74" spans="1:86" s="1900" customFormat="1" ht="15.75" x14ac:dyDescent="0.2">
      <c r="A74" s="2464"/>
      <c r="B74" s="2280">
        <v>38</v>
      </c>
      <c r="C74" s="2405" t="s">
        <v>245</v>
      </c>
      <c r="D74" s="2119"/>
      <c r="E74" s="2410">
        <v>106</v>
      </c>
      <c r="F74" s="2678"/>
      <c r="G74" s="2678"/>
      <c r="H74" s="2678"/>
      <c r="I74" s="2678"/>
      <c r="J74" s="2406">
        <f t="shared" ref="J74:J82" si="103">E74/30</f>
        <v>3.5333333333333332</v>
      </c>
      <c r="K74" s="2407">
        <f>E74/$E$83</f>
        <v>0.32893716058960437</v>
      </c>
      <c r="L74" s="2468"/>
      <c r="M74" s="2339"/>
      <c r="N74" s="2679">
        <f t="shared" ref="N74:T74" si="104">IF(N72&gt;$J$83,$J$74,IF(N72&lt;$J$83,(IF(N72&lt;0,0,N72*$K$74))))</f>
        <v>3.5333333333333332</v>
      </c>
      <c r="O74" s="2406">
        <f t="shared" si="104"/>
        <v>0</v>
      </c>
      <c r="P74" s="2406">
        <f t="shared" si="104"/>
        <v>0</v>
      </c>
      <c r="Q74" s="2406">
        <f t="shared" si="104"/>
        <v>0</v>
      </c>
      <c r="R74" s="2406">
        <f t="shared" si="104"/>
        <v>0</v>
      </c>
      <c r="S74" s="2406">
        <f t="shared" si="104"/>
        <v>0</v>
      </c>
      <c r="T74" s="2409">
        <f t="shared" si="104"/>
        <v>0</v>
      </c>
      <c r="U74" s="1951"/>
      <c r="V74" s="2410">
        <f t="shared" si="34"/>
        <v>3.5333333333333332</v>
      </c>
      <c r="W74" s="2408">
        <f>$J$74*0</f>
        <v>0</v>
      </c>
      <c r="X74" s="2411">
        <f>V74-W74</f>
        <v>3.5333333333333332</v>
      </c>
      <c r="Y74" s="1951"/>
      <c r="Z74" s="2410">
        <f t="shared" ref="Z74:AF74" si="105">IF(Z72&gt;$J$83,$J$74,IF(Z72&lt;$J$83,(IF(Z72&lt;0,0,Z72*$K$74))))</f>
        <v>0</v>
      </c>
      <c r="AA74" s="2408">
        <f t="shared" si="105"/>
        <v>0</v>
      </c>
      <c r="AB74" s="2408">
        <f t="shared" si="105"/>
        <v>0</v>
      </c>
      <c r="AC74" s="2408">
        <f t="shared" si="105"/>
        <v>0</v>
      </c>
      <c r="AD74" s="2408">
        <f t="shared" si="105"/>
        <v>0</v>
      </c>
      <c r="AE74" s="2408">
        <f t="shared" si="105"/>
        <v>0</v>
      </c>
      <c r="AF74" s="2409">
        <f t="shared" si="105"/>
        <v>0</v>
      </c>
      <c r="AG74" s="1951"/>
      <c r="AH74" s="2410">
        <f>SUM(Z74:AF74)</f>
        <v>0</v>
      </c>
      <c r="AI74" s="2408">
        <f>$J$74*0</f>
        <v>0</v>
      </c>
      <c r="AJ74" s="2411">
        <f>AH74-AI74</f>
        <v>0</v>
      </c>
      <c r="AK74" s="1951"/>
      <c r="AL74" s="2410">
        <f t="shared" ref="AL74:AR74" si="106">IF(AL72&gt;$J$83,$J$74,IF(AL72&lt;$J$83,(IF(AL72&lt;0,0,AL72*$K$74))))</f>
        <v>0</v>
      </c>
      <c r="AM74" s="2406">
        <f t="shared" si="106"/>
        <v>0</v>
      </c>
      <c r="AN74" s="2406">
        <f t="shared" si="106"/>
        <v>0</v>
      </c>
      <c r="AO74" s="2406">
        <f t="shared" si="106"/>
        <v>0</v>
      </c>
      <c r="AP74" s="2406">
        <f t="shared" si="106"/>
        <v>0</v>
      </c>
      <c r="AQ74" s="2406">
        <f t="shared" si="106"/>
        <v>0</v>
      </c>
      <c r="AR74" s="2409">
        <f t="shared" si="106"/>
        <v>0</v>
      </c>
      <c r="AS74" s="1951"/>
      <c r="AT74" s="2410">
        <f>SUM(AL74:AR74)</f>
        <v>0</v>
      </c>
      <c r="AU74" s="2408">
        <f>$J$74*0</f>
        <v>0</v>
      </c>
      <c r="AV74" s="2411">
        <f>AT74-AU74</f>
        <v>0</v>
      </c>
      <c r="AW74" s="1951"/>
      <c r="AX74" s="2410">
        <f t="shared" ref="AX74:BD74" si="107">IF(AX72&gt;$J$83,$J$74,IF(AX72&lt;$J$83,(IF(AX72&lt;0,0,AX72*$K$74))))</f>
        <v>0</v>
      </c>
      <c r="AY74" s="2408">
        <f t="shared" si="107"/>
        <v>0</v>
      </c>
      <c r="AZ74" s="2408">
        <f t="shared" si="107"/>
        <v>0</v>
      </c>
      <c r="BA74" s="2408">
        <f t="shared" si="107"/>
        <v>0</v>
      </c>
      <c r="BB74" s="2408">
        <f t="shared" si="107"/>
        <v>0</v>
      </c>
      <c r="BC74" s="2408">
        <f t="shared" si="107"/>
        <v>0</v>
      </c>
      <c r="BD74" s="2409">
        <f t="shared" si="107"/>
        <v>0</v>
      </c>
      <c r="BE74" s="1951"/>
      <c r="BF74" s="2410">
        <f>SUM(AX74:BD74)</f>
        <v>0</v>
      </c>
      <c r="BG74" s="2408">
        <f>$J$74*0</f>
        <v>0</v>
      </c>
      <c r="BH74" s="2411">
        <f>BF74-BG74</f>
        <v>0</v>
      </c>
      <c r="BI74" s="1951"/>
      <c r="BJ74" s="2410">
        <f>IF(BJ72&gt;$J$83,$J$74,IF(BJ72&lt;$J$83,(IF(BJ72&lt;0,0,BJ72*$K$74))))</f>
        <v>0</v>
      </c>
      <c r="BK74" s="2409">
        <f>IF(BK72&gt;$J$83,$J$74,IF(BK72&lt;$J$83,(IF(BK72&lt;0,0,BK72*$K$74))))</f>
        <v>0</v>
      </c>
      <c r="BL74" s="1951"/>
      <c r="BM74" s="2410">
        <f t="shared" ref="BM74:BM82" si="108">SUM(BJ74:BK74)</f>
        <v>0</v>
      </c>
      <c r="BN74" s="2408">
        <f>$J$74*0</f>
        <v>0</v>
      </c>
      <c r="BO74" s="2411">
        <f>BM74-BN74</f>
        <v>0</v>
      </c>
      <c r="BQ74" s="2410"/>
      <c r="BR74" s="2412"/>
      <c r="BT74" s="2410">
        <f t="shared" ref="BT74:BT82" si="109">SUM(N74:T74)+SUM(Z74:AF74)+SUM(AL74:AR74)+SUM(AX74:BD74)+SUM(BJ74:BK74)</f>
        <v>3.5333333333333332</v>
      </c>
      <c r="BU74" s="2413">
        <f t="shared" ref="BU74:BU83" si="110">BT74/E74</f>
        <v>3.3333333333333333E-2</v>
      </c>
      <c r="BV74" s="2353"/>
      <c r="BW74" s="4635">
        <f>BU83-BT1</f>
        <v>-0.74086021505376343</v>
      </c>
      <c r="BY74" s="4627"/>
      <c r="BZ74" s="2416"/>
      <c r="CC74" s="2011"/>
      <c r="CD74" s="2011"/>
      <c r="CE74" s="2011"/>
      <c r="CF74" s="2011"/>
      <c r="CG74" s="2011"/>
      <c r="CH74" s="2621"/>
    </row>
    <row r="75" spans="1:86" s="1740" customFormat="1" ht="15.75" x14ac:dyDescent="0.2">
      <c r="A75" s="2466"/>
      <c r="B75" s="2151">
        <v>39</v>
      </c>
      <c r="C75" s="2152" t="s">
        <v>241</v>
      </c>
      <c r="D75" s="2051"/>
      <c r="E75" s="2090">
        <v>65</v>
      </c>
      <c r="F75" s="2154"/>
      <c r="G75" s="2154"/>
      <c r="H75" s="2154"/>
      <c r="I75" s="2154"/>
      <c r="J75" s="2154">
        <f t="shared" si="103"/>
        <v>2.1666666666666665</v>
      </c>
      <c r="K75" s="2155">
        <f>E75/$E$83</f>
        <v>0.20170674941815361</v>
      </c>
      <c r="L75" s="2465"/>
      <c r="M75" s="2131"/>
      <c r="N75" s="2615">
        <f t="shared" ref="N75:T75" si="111">IF(N72&gt;$J$83,$J$75,IF(N72&lt;$J$83,(IF(N72&lt;0,0,N72*$K$75))))</f>
        <v>2.1666666666666665</v>
      </c>
      <c r="O75" s="2154">
        <f t="shared" si="111"/>
        <v>0</v>
      </c>
      <c r="P75" s="2154">
        <f t="shared" si="111"/>
        <v>0</v>
      </c>
      <c r="Q75" s="2154">
        <f t="shared" si="111"/>
        <v>0</v>
      </c>
      <c r="R75" s="2154">
        <f t="shared" si="111"/>
        <v>0</v>
      </c>
      <c r="S75" s="2154">
        <f t="shared" si="111"/>
        <v>0</v>
      </c>
      <c r="T75" s="2154">
        <f t="shared" si="111"/>
        <v>0</v>
      </c>
      <c r="U75" s="1814"/>
      <c r="V75" s="2153">
        <f>SUM(N75:T75)</f>
        <v>2.1666666666666665</v>
      </c>
      <c r="W75" s="2157">
        <f>$J$75*0</f>
        <v>0</v>
      </c>
      <c r="X75" s="2158">
        <f>V75-W75</f>
        <v>2.1666666666666665</v>
      </c>
      <c r="Y75" s="1814"/>
      <c r="Z75" s="2153">
        <f t="shared" ref="Z75:AF75" si="112">IF(Z72&gt;$J$83,$J$75,IF(Z72&lt;$J$83,(IF(Z72&lt;0,0,Z72*$K$75))))</f>
        <v>0</v>
      </c>
      <c r="AA75" s="2157">
        <f t="shared" si="112"/>
        <v>0</v>
      </c>
      <c r="AB75" s="2157">
        <f t="shared" si="112"/>
        <v>0</v>
      </c>
      <c r="AC75" s="2157">
        <f t="shared" si="112"/>
        <v>0</v>
      </c>
      <c r="AD75" s="2157">
        <f t="shared" si="112"/>
        <v>0</v>
      </c>
      <c r="AE75" s="2157">
        <f t="shared" si="112"/>
        <v>0</v>
      </c>
      <c r="AF75" s="2156">
        <f t="shared" si="112"/>
        <v>0</v>
      </c>
      <c r="AG75" s="1814"/>
      <c r="AH75" s="2153">
        <f t="shared" ref="AH75:AH95" si="113">SUM(Z75:AF75)</f>
        <v>0</v>
      </c>
      <c r="AI75" s="2157">
        <f>$J$75*0</f>
        <v>0</v>
      </c>
      <c r="AJ75" s="2158">
        <f t="shared" ref="AJ75:AJ95" si="114">AH75-AI75</f>
        <v>0</v>
      </c>
      <c r="AK75" s="1814"/>
      <c r="AL75" s="2153">
        <f t="shared" ref="AL75:AR75" si="115">IF(AL72&gt;$J$83,$J$75,IF(AL72&lt;$J$83,(IF(AL72&lt;0,0,AL72*$K$75))))</f>
        <v>0</v>
      </c>
      <c r="AM75" s="2154">
        <f t="shared" si="115"/>
        <v>0</v>
      </c>
      <c r="AN75" s="2154">
        <f t="shared" si="115"/>
        <v>0</v>
      </c>
      <c r="AO75" s="2154">
        <f t="shared" si="115"/>
        <v>0</v>
      </c>
      <c r="AP75" s="2154">
        <f t="shared" si="115"/>
        <v>0</v>
      </c>
      <c r="AQ75" s="2154">
        <f t="shared" si="115"/>
        <v>0</v>
      </c>
      <c r="AR75" s="2154">
        <f t="shared" si="115"/>
        <v>0</v>
      </c>
      <c r="AS75" s="1814"/>
      <c r="AT75" s="2153">
        <f t="shared" ref="AT75:AT82" si="116">SUM(AL75:AR75)</f>
        <v>0</v>
      </c>
      <c r="AU75" s="2157">
        <f>$J$75*0</f>
        <v>0</v>
      </c>
      <c r="AV75" s="2158">
        <f t="shared" ref="AV75:AV82" si="117">AT75-AU75</f>
        <v>0</v>
      </c>
      <c r="AW75" s="1814"/>
      <c r="AX75" s="2153">
        <f t="shared" ref="AX75:AY75" si="118">IF(AX72&gt;$J$83,$J$75,IF(AX72&lt;$J$83,(IF(AX72&lt;0,0,AX72*$K$75))))</f>
        <v>0</v>
      </c>
      <c r="AY75" s="2157">
        <f t="shared" si="118"/>
        <v>0</v>
      </c>
      <c r="AZ75" s="2157">
        <f>IF(AZ72&gt;$J$83,$J$75,IF(AZ72&lt;$J$83,(IF(AZ72&lt;0,0,AZ72*$K$75))))</f>
        <v>0</v>
      </c>
      <c r="BA75" s="2157">
        <f>IF(BA72&gt;$J$83,$J$75,IF(BA72&lt;$J$83,(IF(BA72&lt;0,0,BA72*$K$75))))</f>
        <v>0</v>
      </c>
      <c r="BB75" s="2157">
        <f>IF(BB72&gt;$J$83,$J$75,IF(BB72&lt;$J$83,(IF(BB72&lt;0,0,BB72*$K$75))))</f>
        <v>0</v>
      </c>
      <c r="BC75" s="2157">
        <f>IF(BC72&gt;$J$83,$J$75,IF(BC72&lt;$J$83,(IF(BC72&lt;0,0,BC72*$K$75))))</f>
        <v>0</v>
      </c>
      <c r="BD75" s="2156">
        <f t="shared" ref="BD75" si="119">IF(BD72&gt;$J$83,$J$75,IF(BD72&lt;$J$83,(IF(BD72&lt;0,0,BD72*$K$75))))</f>
        <v>0</v>
      </c>
      <c r="BE75" s="1814"/>
      <c r="BF75" s="2153">
        <f t="shared" ref="BF75:BF82" si="120">SUM(AX75:BD75)</f>
        <v>0</v>
      </c>
      <c r="BG75" s="2157">
        <f>$J$75*0</f>
        <v>0</v>
      </c>
      <c r="BH75" s="2158">
        <f t="shared" ref="BH75:BH82" si="121">BF75-BG75</f>
        <v>0</v>
      </c>
      <c r="BI75" s="1814"/>
      <c r="BJ75" s="2153">
        <f>IF(BJ72&gt;$J$83,$J$75,IF(BJ72&lt;$J$83,(IF(BJ72&lt;0,0,BJ72*$K$75))))</f>
        <v>0</v>
      </c>
      <c r="BK75" s="2156">
        <f>IF(BK72&gt;$J$83,$J$75,IF(BK72&lt;$J$83,(IF(BK72&lt;0,0,BK72*$K$75))))</f>
        <v>0</v>
      </c>
      <c r="BL75" s="1814"/>
      <c r="BM75" s="2153">
        <f t="shared" si="108"/>
        <v>0</v>
      </c>
      <c r="BN75" s="2157">
        <f>$J$75*0</f>
        <v>0</v>
      </c>
      <c r="BO75" s="2158">
        <f t="shared" ref="BO75:BO82" si="122">BM75-BN75</f>
        <v>0</v>
      </c>
      <c r="BQ75" s="2153"/>
      <c r="BR75" s="2616"/>
      <c r="BT75" s="2153">
        <f t="shared" si="109"/>
        <v>2.1666666666666665</v>
      </c>
      <c r="BU75" s="2617">
        <f t="shared" si="110"/>
        <v>3.3333333333333333E-2</v>
      </c>
      <c r="BV75" s="2351"/>
      <c r="BW75" s="4636"/>
      <c r="BY75" s="4627"/>
      <c r="BZ75" s="1996"/>
      <c r="CC75" s="1861"/>
      <c r="CD75" s="1861"/>
      <c r="CE75" s="1861"/>
      <c r="CF75" s="1861"/>
      <c r="CG75" s="1861"/>
      <c r="CH75" s="2467"/>
    </row>
    <row r="76" spans="1:86" s="1900" customFormat="1" ht="15.75" x14ac:dyDescent="0.2">
      <c r="A76" s="2464"/>
      <c r="B76" s="2161">
        <v>40</v>
      </c>
      <c r="C76" s="2162" t="s">
        <v>117</v>
      </c>
      <c r="D76" s="2119"/>
      <c r="E76" s="2169">
        <v>37</v>
      </c>
      <c r="F76" s="2176">
        <f t="shared" ref="F76:F82" si="123">E76/10</f>
        <v>3.7</v>
      </c>
      <c r="G76" s="2176">
        <f t="shared" ref="G76:G82" si="124">E76/15</f>
        <v>2.4666666666666668</v>
      </c>
      <c r="H76" s="2176">
        <f t="shared" ref="H76:H82" si="125">E76/20</f>
        <v>1.85</v>
      </c>
      <c r="I76" s="2176">
        <f t="shared" ref="I76:I82" si="126">E76/25</f>
        <v>1.48</v>
      </c>
      <c r="J76" s="2176">
        <f t="shared" si="103"/>
        <v>1.2333333333333334</v>
      </c>
      <c r="K76" s="2177">
        <f t="shared" ref="K76:K82" si="127">E76/$E$83</f>
        <v>0.11481768813033359</v>
      </c>
      <c r="L76" s="2468"/>
      <c r="M76" s="2339"/>
      <c r="N76" s="2618">
        <f t="shared" ref="N76:T76" si="128">IF(N72&gt;$J$83,$J$76,IF(N72&lt;$J$83,(IF(N72&lt;0,0,N72*$K$76))))</f>
        <v>1.2333333333333334</v>
      </c>
      <c r="O76" s="2164">
        <f t="shared" si="128"/>
        <v>0</v>
      </c>
      <c r="P76" s="2164">
        <f t="shared" si="128"/>
        <v>0</v>
      </c>
      <c r="Q76" s="2164">
        <f t="shared" si="128"/>
        <v>0</v>
      </c>
      <c r="R76" s="2164">
        <f t="shared" si="128"/>
        <v>0</v>
      </c>
      <c r="S76" s="2164">
        <f t="shared" si="128"/>
        <v>0</v>
      </c>
      <c r="T76" s="2164">
        <f t="shared" si="128"/>
        <v>0</v>
      </c>
      <c r="U76" s="1951"/>
      <c r="V76" s="2163">
        <f t="shared" ref="V76" si="129">SUM(N76:T76)</f>
        <v>1.2333333333333334</v>
      </c>
      <c r="W76" s="2167">
        <f>$J$76*0</f>
        <v>0</v>
      </c>
      <c r="X76" s="2168">
        <f>V76-W76</f>
        <v>1.2333333333333334</v>
      </c>
      <c r="Y76" s="1951"/>
      <c r="Z76" s="2163">
        <f t="shared" ref="Z76:AF76" si="130">IF(Z72&gt;$J$83,$J$76,IF(Z72&lt;$J$83,(IF(Z72&lt;0,0,Z72*$K$76))))</f>
        <v>0</v>
      </c>
      <c r="AA76" s="2167">
        <f t="shared" si="130"/>
        <v>0</v>
      </c>
      <c r="AB76" s="2167">
        <f t="shared" si="130"/>
        <v>0</v>
      </c>
      <c r="AC76" s="2167">
        <f t="shared" si="130"/>
        <v>0</v>
      </c>
      <c r="AD76" s="2167">
        <f t="shared" si="130"/>
        <v>0</v>
      </c>
      <c r="AE76" s="2167">
        <f t="shared" si="130"/>
        <v>0</v>
      </c>
      <c r="AF76" s="2166">
        <f t="shared" si="130"/>
        <v>0</v>
      </c>
      <c r="AG76" s="1951"/>
      <c r="AH76" s="2163">
        <f t="shared" si="113"/>
        <v>0</v>
      </c>
      <c r="AI76" s="2167">
        <f>$J$76*0</f>
        <v>0</v>
      </c>
      <c r="AJ76" s="2168">
        <f t="shared" si="114"/>
        <v>0</v>
      </c>
      <c r="AK76" s="1951"/>
      <c r="AL76" s="2163">
        <f>IF(AL72&gt;$J$83,$J$76,IF(AL72&lt;$J$83,(IF(AL72&lt;0,0,AL72*$K$76))))</f>
        <v>0</v>
      </c>
      <c r="AM76" s="2164">
        <f>IF(AM72&gt;$J$83,$J$76,IF(AM72&lt;$J$83,(IF(AM72&lt;0,0,AM72*$K$76))))</f>
        <v>0</v>
      </c>
      <c r="AN76" s="2164">
        <f>IF(AN72&gt;$J$83,$J$76,IF(AN72&lt;$J$83,(IF(AN72&lt;0,0,AN72*$K$76))))</f>
        <v>0</v>
      </c>
      <c r="AO76" s="2164">
        <f t="shared" ref="AO76:AR76" si="131">IF(AO72&gt;$J$83,$J$76,IF(AO72&lt;$J$83,(IF(AO72&lt;0,0,AO72*$K$76))))</f>
        <v>0</v>
      </c>
      <c r="AP76" s="2164">
        <f t="shared" si="131"/>
        <v>0</v>
      </c>
      <c r="AQ76" s="2164">
        <f t="shared" si="131"/>
        <v>0</v>
      </c>
      <c r="AR76" s="2164">
        <f t="shared" si="131"/>
        <v>0</v>
      </c>
      <c r="AS76" s="1951"/>
      <c r="AT76" s="2163">
        <f t="shared" si="116"/>
        <v>0</v>
      </c>
      <c r="AU76" s="2167">
        <f>$J$76*0</f>
        <v>0</v>
      </c>
      <c r="AV76" s="2168">
        <f t="shared" si="117"/>
        <v>0</v>
      </c>
      <c r="AW76" s="1951"/>
      <c r="AX76" s="2163">
        <f t="shared" ref="AX76:BD76" si="132">IF(AX72&gt;$J$83,$J$76,IF(AX72&lt;$J$83,(IF(AX72&lt;0,0,AX72*$K$76))))</f>
        <v>0</v>
      </c>
      <c r="AY76" s="2167">
        <f t="shared" si="132"/>
        <v>0</v>
      </c>
      <c r="AZ76" s="2167">
        <f t="shared" si="132"/>
        <v>0</v>
      </c>
      <c r="BA76" s="2167">
        <f t="shared" si="132"/>
        <v>0</v>
      </c>
      <c r="BB76" s="2167">
        <f t="shared" si="132"/>
        <v>0</v>
      </c>
      <c r="BC76" s="2167">
        <f t="shared" si="132"/>
        <v>0</v>
      </c>
      <c r="BD76" s="2166">
        <f t="shared" si="132"/>
        <v>0</v>
      </c>
      <c r="BE76" s="1951"/>
      <c r="BF76" s="2163">
        <f t="shared" si="120"/>
        <v>0</v>
      </c>
      <c r="BG76" s="2167">
        <f>$J$76*0</f>
        <v>0</v>
      </c>
      <c r="BH76" s="2168">
        <f t="shared" si="121"/>
        <v>0</v>
      </c>
      <c r="BI76" s="1951"/>
      <c r="BJ76" s="2163">
        <f>IF(BJ72&gt;$J$83,$J$76,IF(BJ72&lt;$J$83,(IF(BJ72&lt;0,0,BJ72*$K$76))))</f>
        <v>0</v>
      </c>
      <c r="BK76" s="2166">
        <f>IF(BK72&gt;$J$83,$J$76,IF(BK72&lt;$J$83,(IF(BK72&lt;0,0,BK72*$K$76))))</f>
        <v>0</v>
      </c>
      <c r="BL76" s="1951"/>
      <c r="BM76" s="2163">
        <f t="shared" si="108"/>
        <v>0</v>
      </c>
      <c r="BN76" s="2167">
        <f>$J$76*0</f>
        <v>0</v>
      </c>
      <c r="BO76" s="2168">
        <f t="shared" si="122"/>
        <v>0</v>
      </c>
      <c r="BQ76" s="2163"/>
      <c r="BR76" s="2619"/>
      <c r="BT76" s="2163">
        <f t="shared" si="109"/>
        <v>1.2333333333333334</v>
      </c>
      <c r="BU76" s="2620">
        <f t="shared" si="110"/>
        <v>3.3333333333333333E-2</v>
      </c>
      <c r="BV76" s="2353"/>
      <c r="BW76" s="4636"/>
      <c r="BY76" s="4626"/>
      <c r="CC76" s="2011"/>
      <c r="CD76" s="2011"/>
      <c r="CE76" s="2011"/>
      <c r="CF76" s="2011"/>
      <c r="CG76" s="2011"/>
      <c r="CH76" s="2621"/>
    </row>
    <row r="77" spans="1:86" s="1726" customFormat="1" x14ac:dyDescent="0.2">
      <c r="B77" s="2085">
        <v>41</v>
      </c>
      <c r="C77" s="2086" t="s">
        <v>246</v>
      </c>
      <c r="D77" s="2051"/>
      <c r="E77" s="2087">
        <v>37</v>
      </c>
      <c r="F77" s="2088">
        <f t="shared" si="123"/>
        <v>3.7</v>
      </c>
      <c r="G77" s="2088">
        <f t="shared" si="124"/>
        <v>2.4666666666666668</v>
      </c>
      <c r="H77" s="2088">
        <f t="shared" si="125"/>
        <v>1.85</v>
      </c>
      <c r="I77" s="2088">
        <f t="shared" si="126"/>
        <v>1.48</v>
      </c>
      <c r="J77" s="2088">
        <f t="shared" si="103"/>
        <v>1.2333333333333334</v>
      </c>
      <c r="K77" s="2089">
        <f t="shared" si="127"/>
        <v>0.11481768813033359</v>
      </c>
      <c r="L77" s="1931"/>
      <c r="M77" s="1924"/>
      <c r="N77" s="2284">
        <f t="shared" ref="N77:T77" si="133">IF(N72&gt;$J$83,$J$77,IF(N72&lt;$J$83,(IF(N72&lt;0,0,N72*$K$77))))</f>
        <v>1.2333333333333334</v>
      </c>
      <c r="O77" s="2088">
        <f t="shared" si="133"/>
        <v>0</v>
      </c>
      <c r="P77" s="2088">
        <f t="shared" si="133"/>
        <v>0</v>
      </c>
      <c r="Q77" s="2088">
        <f t="shared" si="133"/>
        <v>0</v>
      </c>
      <c r="R77" s="2088">
        <f t="shared" si="133"/>
        <v>0</v>
      </c>
      <c r="S77" s="2088">
        <f t="shared" si="133"/>
        <v>0</v>
      </c>
      <c r="T77" s="2091">
        <f t="shared" si="133"/>
        <v>0</v>
      </c>
      <c r="U77" s="1814"/>
      <c r="V77" s="2090">
        <f t="shared" si="34"/>
        <v>1.2333333333333334</v>
      </c>
      <c r="W77" s="2087">
        <f>$J$77*0</f>
        <v>0</v>
      </c>
      <c r="X77" s="2174">
        <f>V77-W77</f>
        <v>1.2333333333333334</v>
      </c>
      <c r="Y77" s="1766"/>
      <c r="Z77" s="2090">
        <f t="shared" ref="Z77:AF77" si="134">IF(Z72&gt;$J$83,$J$77,IF(Z72&lt;$J$83,(IF(Z72&lt;0,0,Z72*$K$77))))</f>
        <v>0</v>
      </c>
      <c r="AA77" s="2087">
        <f t="shared" si="134"/>
        <v>0</v>
      </c>
      <c r="AB77" s="2087">
        <f t="shared" si="134"/>
        <v>0</v>
      </c>
      <c r="AC77" s="2087">
        <f t="shared" si="134"/>
        <v>0</v>
      </c>
      <c r="AD77" s="2087">
        <f t="shared" si="134"/>
        <v>0</v>
      </c>
      <c r="AE77" s="2087">
        <f t="shared" si="134"/>
        <v>0</v>
      </c>
      <c r="AF77" s="2091">
        <f t="shared" si="134"/>
        <v>0</v>
      </c>
      <c r="AG77" s="1766"/>
      <c r="AH77" s="2090">
        <f t="shared" si="113"/>
        <v>0</v>
      </c>
      <c r="AI77" s="2087">
        <f>$J$77*0</f>
        <v>0</v>
      </c>
      <c r="AJ77" s="2174">
        <f t="shared" si="114"/>
        <v>0</v>
      </c>
      <c r="AK77" s="1766"/>
      <c r="AL77" s="2090">
        <f t="shared" ref="AL77:AR77" si="135">IF(AL72&gt;$J$83,$J$77,IF(AL72&lt;$J$83,(IF(AL72&lt;0,0,AL72*$K$77))))</f>
        <v>0</v>
      </c>
      <c r="AM77" s="2088">
        <f t="shared" si="135"/>
        <v>0</v>
      </c>
      <c r="AN77" s="2088">
        <f t="shared" si="135"/>
        <v>0</v>
      </c>
      <c r="AO77" s="2088">
        <f t="shared" si="135"/>
        <v>0</v>
      </c>
      <c r="AP77" s="2088">
        <f t="shared" si="135"/>
        <v>0</v>
      </c>
      <c r="AQ77" s="2088">
        <f t="shared" si="135"/>
        <v>0</v>
      </c>
      <c r="AR77" s="2091">
        <f t="shared" si="135"/>
        <v>0</v>
      </c>
      <c r="AS77" s="1814"/>
      <c r="AT77" s="2090">
        <f t="shared" si="116"/>
        <v>0</v>
      </c>
      <c r="AU77" s="2087">
        <f>$J$77*0</f>
        <v>0</v>
      </c>
      <c r="AV77" s="2174">
        <f t="shared" si="117"/>
        <v>0</v>
      </c>
      <c r="AW77" s="1814"/>
      <c r="AX77" s="2090">
        <f t="shared" ref="AX77:BD77" si="136">IF(AX72&gt;$J$83,$J$77,IF(AX72&lt;$J$83,(IF(AX72&lt;0,0,AX72*$K$77))))</f>
        <v>0</v>
      </c>
      <c r="AY77" s="2087">
        <f t="shared" si="136"/>
        <v>0</v>
      </c>
      <c r="AZ77" s="2087">
        <f t="shared" si="136"/>
        <v>0</v>
      </c>
      <c r="BA77" s="2087">
        <f t="shared" si="136"/>
        <v>0</v>
      </c>
      <c r="BB77" s="2087">
        <f t="shared" si="136"/>
        <v>0</v>
      </c>
      <c r="BC77" s="2087">
        <f t="shared" si="136"/>
        <v>0</v>
      </c>
      <c r="BD77" s="2091">
        <f t="shared" si="136"/>
        <v>0</v>
      </c>
      <c r="BE77" s="1814"/>
      <c r="BF77" s="2090">
        <f t="shared" si="120"/>
        <v>0</v>
      </c>
      <c r="BG77" s="2087">
        <f>$J$77*0</f>
        <v>0</v>
      </c>
      <c r="BH77" s="2174">
        <f t="shared" si="121"/>
        <v>0</v>
      </c>
      <c r="BI77" s="1814"/>
      <c r="BJ77" s="2090">
        <f>IF(BJ72&gt;$J$83,$J$77,IF(BJ72&lt;$J$83,(IF(BJ72&lt;0,0,BJ72*$K$77))))</f>
        <v>0</v>
      </c>
      <c r="BK77" s="2091">
        <f>IF(BK72&gt;$J$83,$J$77,IF(BK72&lt;$J$83,(IF(BK72&lt;0,0,BK72*$K$77))))</f>
        <v>0</v>
      </c>
      <c r="BL77" s="1814"/>
      <c r="BM77" s="2090">
        <f t="shared" si="108"/>
        <v>0</v>
      </c>
      <c r="BN77" s="2087">
        <f>$J$77*0</f>
        <v>0</v>
      </c>
      <c r="BO77" s="2174">
        <f t="shared" si="122"/>
        <v>0</v>
      </c>
      <c r="BQ77" s="2090"/>
      <c r="BR77" s="2159"/>
      <c r="BS77" s="1740"/>
      <c r="BT77" s="2090">
        <f t="shared" si="109"/>
        <v>1.2333333333333334</v>
      </c>
      <c r="BU77" s="2160">
        <f t="shared" si="110"/>
        <v>3.3333333333333333E-2</v>
      </c>
      <c r="BV77" s="2351"/>
      <c r="BW77" s="4636"/>
      <c r="BY77" s="4626"/>
      <c r="BZ77" s="1830"/>
      <c r="CA77" s="2131"/>
      <c r="CB77" s="1830"/>
      <c r="CC77" s="1860"/>
      <c r="CD77" s="1860"/>
      <c r="CE77" s="1860"/>
      <c r="CF77" s="1860"/>
      <c r="CG77" s="1860"/>
      <c r="CH77" s="1998"/>
    </row>
    <row r="78" spans="1:86" s="1885" customFormat="1" x14ac:dyDescent="0.2">
      <c r="B78" s="2182">
        <v>42</v>
      </c>
      <c r="C78" s="2175" t="s">
        <v>243</v>
      </c>
      <c r="D78" s="2119"/>
      <c r="E78" s="2170">
        <v>29.5</v>
      </c>
      <c r="F78" s="2176">
        <f t="shared" si="123"/>
        <v>2.95</v>
      </c>
      <c r="G78" s="2176">
        <f t="shared" si="124"/>
        <v>1.9666666666666666</v>
      </c>
      <c r="H78" s="2176">
        <f t="shared" si="125"/>
        <v>1.4750000000000001</v>
      </c>
      <c r="I78" s="2176">
        <f t="shared" si="126"/>
        <v>1.18</v>
      </c>
      <c r="J78" s="2176">
        <f t="shared" si="103"/>
        <v>0.98333333333333328</v>
      </c>
      <c r="K78" s="2177">
        <f t="shared" si="127"/>
        <v>9.154383242823895E-2</v>
      </c>
      <c r="L78" s="2003"/>
      <c r="M78" s="1950"/>
      <c r="N78" s="2415">
        <f t="shared" ref="N78:T78" si="137">IF(N72&gt;$J$83,$J$78,IF(N72&lt;$J$83,(IF(N72&lt;0,0,N72*$K$78))))</f>
        <v>0.98333333333333328</v>
      </c>
      <c r="O78" s="2176">
        <f t="shared" si="137"/>
        <v>0</v>
      </c>
      <c r="P78" s="2176">
        <f t="shared" si="137"/>
        <v>0</v>
      </c>
      <c r="Q78" s="2176">
        <f t="shared" si="137"/>
        <v>0</v>
      </c>
      <c r="R78" s="2176">
        <f t="shared" si="137"/>
        <v>0</v>
      </c>
      <c r="S78" s="2176">
        <f t="shared" si="137"/>
        <v>0</v>
      </c>
      <c r="T78" s="2171">
        <f t="shared" si="137"/>
        <v>0</v>
      </c>
      <c r="U78" s="1951"/>
      <c r="V78" s="2169">
        <f t="shared" si="34"/>
        <v>0.98333333333333328</v>
      </c>
      <c r="W78" s="2176">
        <f>$J$78*0</f>
        <v>0</v>
      </c>
      <c r="X78" s="2171">
        <f t="shared" ref="X78:X95" si="138">V78-W78</f>
        <v>0.98333333333333328</v>
      </c>
      <c r="Y78" s="1956"/>
      <c r="Z78" s="2169">
        <f t="shared" ref="Z78:AF78" si="139">IF(Z72&gt;$J$83,$J$78,IF(Z72&lt;$J$83,(IF(Z72&lt;0,0,Z72*$K$78))))</f>
        <v>0</v>
      </c>
      <c r="AA78" s="2176">
        <f t="shared" si="139"/>
        <v>0</v>
      </c>
      <c r="AB78" s="2176">
        <f t="shared" si="139"/>
        <v>0</v>
      </c>
      <c r="AC78" s="2176">
        <f t="shared" si="139"/>
        <v>0</v>
      </c>
      <c r="AD78" s="2176">
        <f t="shared" si="139"/>
        <v>0</v>
      </c>
      <c r="AE78" s="2176">
        <f t="shared" si="139"/>
        <v>0</v>
      </c>
      <c r="AF78" s="2171">
        <f t="shared" si="139"/>
        <v>0</v>
      </c>
      <c r="AG78" s="1956"/>
      <c r="AH78" s="2169">
        <f t="shared" si="113"/>
        <v>0</v>
      </c>
      <c r="AI78" s="2176">
        <f>$J$78*0</f>
        <v>0</v>
      </c>
      <c r="AJ78" s="2171">
        <f t="shared" si="114"/>
        <v>0</v>
      </c>
      <c r="AK78" s="1956"/>
      <c r="AL78" s="2169">
        <f t="shared" ref="AL78:AR78" si="140">IF(AL72&gt;$J$83,$J$78,IF(AL72&lt;$J$83,(IF(AL72&lt;0,0,AL72*$K$78))))</f>
        <v>0</v>
      </c>
      <c r="AM78" s="2176">
        <f t="shared" si="140"/>
        <v>0</v>
      </c>
      <c r="AN78" s="2176">
        <f t="shared" si="140"/>
        <v>0</v>
      </c>
      <c r="AO78" s="2176">
        <f t="shared" si="140"/>
        <v>0</v>
      </c>
      <c r="AP78" s="2176">
        <f t="shared" si="140"/>
        <v>0</v>
      </c>
      <c r="AQ78" s="2176">
        <f t="shared" si="140"/>
        <v>0</v>
      </c>
      <c r="AR78" s="2171">
        <f t="shared" si="140"/>
        <v>0</v>
      </c>
      <c r="AS78" s="1951"/>
      <c r="AT78" s="2169">
        <f t="shared" si="116"/>
        <v>0</v>
      </c>
      <c r="AU78" s="2176">
        <f>$J$78*0</f>
        <v>0</v>
      </c>
      <c r="AV78" s="2171">
        <f t="shared" si="117"/>
        <v>0</v>
      </c>
      <c r="AW78" s="1951"/>
      <c r="AX78" s="2169">
        <f t="shared" ref="AX78:BD78" si="141">IF(AX72&gt;$J$83,$J$78,IF(AX72&lt;$J$83,(IF(AX72&lt;0,0,AX72*$K$78))))</f>
        <v>0</v>
      </c>
      <c r="AY78" s="2170">
        <f t="shared" si="141"/>
        <v>0</v>
      </c>
      <c r="AZ78" s="2170">
        <f t="shared" si="141"/>
        <v>0</v>
      </c>
      <c r="BA78" s="2170">
        <f t="shared" si="141"/>
        <v>0</v>
      </c>
      <c r="BB78" s="2170">
        <f t="shared" si="141"/>
        <v>0</v>
      </c>
      <c r="BC78" s="2170">
        <f t="shared" si="141"/>
        <v>0</v>
      </c>
      <c r="BD78" s="2171">
        <f t="shared" si="141"/>
        <v>0</v>
      </c>
      <c r="BE78" s="1951"/>
      <c r="BF78" s="2169">
        <f t="shared" si="120"/>
        <v>0</v>
      </c>
      <c r="BG78" s="2176">
        <f>$J$78*0</f>
        <v>0</v>
      </c>
      <c r="BH78" s="2171">
        <f t="shared" si="121"/>
        <v>0</v>
      </c>
      <c r="BI78" s="1951"/>
      <c r="BJ78" s="2169">
        <f>IF(BJ72&gt;$J$83,$J$78,IF(BJ72&lt;$J$83,(IF(BJ72&lt;0,0,BJ72*$K$78))))</f>
        <v>0</v>
      </c>
      <c r="BK78" s="2171">
        <f>IF(BK72&gt;$J$83,$J$78,IF(BK72&lt;$J$83,(IF(BK72&lt;0,0,BK72*$K$78))))</f>
        <v>0</v>
      </c>
      <c r="BL78" s="1951"/>
      <c r="BM78" s="2169">
        <f t="shared" si="108"/>
        <v>0</v>
      </c>
      <c r="BN78" s="2176">
        <f>$J$78*0</f>
        <v>0</v>
      </c>
      <c r="BO78" s="2171">
        <f t="shared" si="122"/>
        <v>0</v>
      </c>
      <c r="BQ78" s="2179"/>
      <c r="BR78" s="2180"/>
      <c r="BS78" s="1900"/>
      <c r="BT78" s="2179">
        <f t="shared" si="109"/>
        <v>0.98333333333333328</v>
      </c>
      <c r="BU78" s="2181">
        <f t="shared" si="110"/>
        <v>3.3333333333333333E-2</v>
      </c>
      <c r="BV78" s="2353"/>
      <c r="BW78" s="4636"/>
      <c r="BY78" s="4626"/>
      <c r="BZ78" s="1962"/>
      <c r="CA78" s="2339"/>
      <c r="CB78" s="1962"/>
      <c r="CC78" s="1946"/>
      <c r="CD78" s="1946"/>
      <c r="CE78" s="1946"/>
      <c r="CF78" s="1946"/>
      <c r="CG78" s="1946"/>
      <c r="CH78" s="2012"/>
    </row>
    <row r="79" spans="1:86" s="1726" customFormat="1" x14ac:dyDescent="0.2">
      <c r="A79" s="1756"/>
      <c r="B79" s="2085">
        <v>43</v>
      </c>
      <c r="C79" s="2086" t="s">
        <v>118</v>
      </c>
      <c r="D79" s="2051"/>
      <c r="E79" s="2087">
        <v>18.75</v>
      </c>
      <c r="F79" s="2088">
        <f t="shared" si="123"/>
        <v>1.875</v>
      </c>
      <c r="G79" s="2088">
        <f t="shared" si="124"/>
        <v>1.25</v>
      </c>
      <c r="H79" s="2088">
        <f t="shared" si="125"/>
        <v>0.9375</v>
      </c>
      <c r="I79" s="2088">
        <f t="shared" si="126"/>
        <v>0.75</v>
      </c>
      <c r="J79" s="2088">
        <f t="shared" si="103"/>
        <v>0.625</v>
      </c>
      <c r="K79" s="2089">
        <f t="shared" si="127"/>
        <v>5.818463925523662E-2</v>
      </c>
      <c r="L79" s="1931"/>
      <c r="M79" s="1924"/>
      <c r="N79" s="2284">
        <f t="shared" ref="N79:T79" si="142">IF(N72&gt;$J$83,$J$79,IF(N72&lt;$J$83,(IF(N72&lt;0,0,N72*$K$79))))</f>
        <v>0.625</v>
      </c>
      <c r="O79" s="2088">
        <f t="shared" si="142"/>
        <v>0</v>
      </c>
      <c r="P79" s="2088">
        <f t="shared" si="142"/>
        <v>0</v>
      </c>
      <c r="Q79" s="2088">
        <f t="shared" si="142"/>
        <v>0</v>
      </c>
      <c r="R79" s="2088">
        <f t="shared" si="142"/>
        <v>0</v>
      </c>
      <c r="S79" s="2088">
        <f t="shared" si="142"/>
        <v>0</v>
      </c>
      <c r="T79" s="2091">
        <f t="shared" si="142"/>
        <v>0</v>
      </c>
      <c r="U79" s="1814"/>
      <c r="V79" s="2090">
        <f t="shared" si="34"/>
        <v>0.625</v>
      </c>
      <c r="W79" s="2088">
        <f>$J$79*0</f>
        <v>0</v>
      </c>
      <c r="X79" s="2091">
        <f t="shared" si="138"/>
        <v>0.625</v>
      </c>
      <c r="Y79" s="1766"/>
      <c r="Z79" s="2090">
        <f t="shared" ref="Z79:AF79" si="143">IF(Z72&gt;$J$83,$J$79,IF(Z72&lt;$J$83,(IF(Z72&lt;0,0,Z72*$K$79))))</f>
        <v>0</v>
      </c>
      <c r="AA79" s="2088">
        <f t="shared" si="143"/>
        <v>0</v>
      </c>
      <c r="AB79" s="2088">
        <f t="shared" si="143"/>
        <v>0</v>
      </c>
      <c r="AC79" s="2088">
        <f t="shared" si="143"/>
        <v>0</v>
      </c>
      <c r="AD79" s="2088">
        <f t="shared" si="143"/>
        <v>0</v>
      </c>
      <c r="AE79" s="2088">
        <f t="shared" si="143"/>
        <v>0</v>
      </c>
      <c r="AF79" s="2091">
        <f t="shared" si="143"/>
        <v>0</v>
      </c>
      <c r="AG79" s="1766"/>
      <c r="AH79" s="2090">
        <f t="shared" si="113"/>
        <v>0</v>
      </c>
      <c r="AI79" s="2088">
        <f>$J$79*0</f>
        <v>0</v>
      </c>
      <c r="AJ79" s="2091">
        <f t="shared" si="114"/>
        <v>0</v>
      </c>
      <c r="AK79" s="1766"/>
      <c r="AL79" s="2090">
        <f t="shared" ref="AL79:AR79" si="144">IF(AL72&gt;$J$83,$J$79,IF(AL72&lt;$J$83,(IF(AL72&lt;0,0,AL72*$K$79))))</f>
        <v>0</v>
      </c>
      <c r="AM79" s="2088">
        <f t="shared" si="144"/>
        <v>0</v>
      </c>
      <c r="AN79" s="2088">
        <f t="shared" si="144"/>
        <v>0</v>
      </c>
      <c r="AO79" s="2088">
        <f t="shared" si="144"/>
        <v>0</v>
      </c>
      <c r="AP79" s="2088">
        <f t="shared" si="144"/>
        <v>0</v>
      </c>
      <c r="AQ79" s="2088">
        <f t="shared" si="144"/>
        <v>0</v>
      </c>
      <c r="AR79" s="2091">
        <f t="shared" si="144"/>
        <v>0</v>
      </c>
      <c r="AS79" s="1814"/>
      <c r="AT79" s="2090">
        <f t="shared" si="116"/>
        <v>0</v>
      </c>
      <c r="AU79" s="2088">
        <f>$J$79*0</f>
        <v>0</v>
      </c>
      <c r="AV79" s="2091">
        <f t="shared" si="117"/>
        <v>0</v>
      </c>
      <c r="AW79" s="1814"/>
      <c r="AX79" s="2090">
        <f t="shared" ref="AX79:BD79" si="145">IF(AX72&gt;$J$83,$J$79,IF(AX72&lt;$J$83,(IF(AX72&lt;0,0,AX72*$K$79))))</f>
        <v>0</v>
      </c>
      <c r="AY79" s="2087">
        <f t="shared" si="145"/>
        <v>0</v>
      </c>
      <c r="AZ79" s="2087">
        <f t="shared" si="145"/>
        <v>0</v>
      </c>
      <c r="BA79" s="2087">
        <f t="shared" si="145"/>
        <v>0</v>
      </c>
      <c r="BB79" s="2087">
        <f t="shared" si="145"/>
        <v>0</v>
      </c>
      <c r="BC79" s="2087">
        <f t="shared" si="145"/>
        <v>0</v>
      </c>
      <c r="BD79" s="2091">
        <f t="shared" si="145"/>
        <v>0</v>
      </c>
      <c r="BE79" s="1814"/>
      <c r="BF79" s="2090">
        <f t="shared" si="120"/>
        <v>0</v>
      </c>
      <c r="BG79" s="2088">
        <f>$J$79*0</f>
        <v>0</v>
      </c>
      <c r="BH79" s="2091">
        <f t="shared" si="121"/>
        <v>0</v>
      </c>
      <c r="BI79" s="1814"/>
      <c r="BJ79" s="2090">
        <f>IF(BJ72&gt;$J$83,$J$79,IF(BJ72&lt;$J$83,(IF(BJ72&lt;0,0,BJ72*$K$79))))</f>
        <v>0</v>
      </c>
      <c r="BK79" s="2091">
        <f>IF(BK72&gt;$J$83,$J$79,IF(BK72&lt;$J$83,(IF(BK72&lt;0,0,BK72*$K$79))))</f>
        <v>0</v>
      </c>
      <c r="BL79" s="1814"/>
      <c r="BM79" s="2090">
        <f t="shared" si="108"/>
        <v>0</v>
      </c>
      <c r="BN79" s="2088">
        <f>$J$79*0</f>
        <v>0</v>
      </c>
      <c r="BO79" s="2091">
        <f t="shared" si="122"/>
        <v>0</v>
      </c>
      <c r="BQ79" s="2092"/>
      <c r="BR79" s="2093"/>
      <c r="BS79" s="1740"/>
      <c r="BT79" s="2092">
        <f t="shared" si="109"/>
        <v>0.625</v>
      </c>
      <c r="BU79" s="2094">
        <f t="shared" si="110"/>
        <v>3.3333333333333333E-2</v>
      </c>
      <c r="BV79" s="2351"/>
      <c r="BW79" s="4636"/>
      <c r="BY79" s="4626"/>
      <c r="BZ79" s="2874"/>
      <c r="CA79" s="2874"/>
      <c r="CB79" s="1860"/>
      <c r="CC79" s="1860"/>
      <c r="CD79" s="1860"/>
      <c r="CE79" s="1860"/>
      <c r="CF79" s="1860"/>
      <c r="CG79" s="1860"/>
      <c r="CH79" s="1998"/>
    </row>
    <row r="80" spans="1:86" s="1885" customFormat="1" x14ac:dyDescent="0.2">
      <c r="B80" s="2182">
        <v>44</v>
      </c>
      <c r="C80" s="2175" t="s">
        <v>123</v>
      </c>
      <c r="D80" s="2119"/>
      <c r="E80" s="2170">
        <v>25</v>
      </c>
      <c r="F80" s="2176">
        <f t="shared" si="123"/>
        <v>2.5</v>
      </c>
      <c r="G80" s="2176">
        <f t="shared" si="124"/>
        <v>1.6666666666666667</v>
      </c>
      <c r="H80" s="2176">
        <f t="shared" si="125"/>
        <v>1.25</v>
      </c>
      <c r="I80" s="2176">
        <f t="shared" si="126"/>
        <v>1</v>
      </c>
      <c r="J80" s="2176">
        <f t="shared" si="103"/>
        <v>0.83333333333333337</v>
      </c>
      <c r="K80" s="2177">
        <f t="shared" si="127"/>
        <v>7.7579519006982151E-2</v>
      </c>
      <c r="L80" s="2003"/>
      <c r="M80" s="1950"/>
      <c r="N80" s="2415">
        <f t="shared" ref="N80:T80" si="146">IF(N72&gt;$J$83,$J$80,IF(N72&lt;$J$83,(IF(N72&lt;0,0,N72*$K$80))))</f>
        <v>0.83333333333333337</v>
      </c>
      <c r="O80" s="2176">
        <f t="shared" si="146"/>
        <v>0</v>
      </c>
      <c r="P80" s="2176">
        <f t="shared" si="146"/>
        <v>0</v>
      </c>
      <c r="Q80" s="2176">
        <f t="shared" si="146"/>
        <v>0</v>
      </c>
      <c r="R80" s="2176">
        <f t="shared" si="146"/>
        <v>0</v>
      </c>
      <c r="S80" s="2176">
        <f t="shared" si="146"/>
        <v>0</v>
      </c>
      <c r="T80" s="2171">
        <f t="shared" si="146"/>
        <v>0</v>
      </c>
      <c r="U80" s="1951"/>
      <c r="V80" s="2169">
        <f t="shared" si="34"/>
        <v>0.83333333333333337</v>
      </c>
      <c r="W80" s="2176">
        <f>$J$80*0</f>
        <v>0</v>
      </c>
      <c r="X80" s="2171">
        <f t="shared" si="138"/>
        <v>0.83333333333333337</v>
      </c>
      <c r="Y80" s="1956"/>
      <c r="Z80" s="2169">
        <f t="shared" ref="Z80:AF80" si="147">IF(Z72&gt;$J$83,$J$80,IF(Z72&lt;$J$83,(IF(Z72&lt;0,0,Z72*$K$80))))</f>
        <v>0</v>
      </c>
      <c r="AA80" s="2176">
        <f t="shared" si="147"/>
        <v>0</v>
      </c>
      <c r="AB80" s="2176">
        <f t="shared" si="147"/>
        <v>0</v>
      </c>
      <c r="AC80" s="2176">
        <f t="shared" si="147"/>
        <v>0</v>
      </c>
      <c r="AD80" s="2176">
        <f t="shared" si="147"/>
        <v>0</v>
      </c>
      <c r="AE80" s="2176">
        <f t="shared" si="147"/>
        <v>0</v>
      </c>
      <c r="AF80" s="2171">
        <f t="shared" si="147"/>
        <v>0</v>
      </c>
      <c r="AG80" s="1956"/>
      <c r="AH80" s="2169">
        <f t="shared" si="113"/>
        <v>0</v>
      </c>
      <c r="AI80" s="2176">
        <f>$J$80*0</f>
        <v>0</v>
      </c>
      <c r="AJ80" s="2171">
        <f t="shared" si="114"/>
        <v>0</v>
      </c>
      <c r="AK80" s="1956"/>
      <c r="AL80" s="2169">
        <f t="shared" ref="AL80:AR80" si="148">IF(AL72&gt;$J$83,$J$80,IF(AL72&lt;$J$83,(IF(AL72&lt;0,0,AL72*$K$80))))</f>
        <v>0</v>
      </c>
      <c r="AM80" s="2176">
        <f t="shared" si="148"/>
        <v>0</v>
      </c>
      <c r="AN80" s="2176">
        <f t="shared" si="148"/>
        <v>0</v>
      </c>
      <c r="AO80" s="2176">
        <f t="shared" si="148"/>
        <v>0</v>
      </c>
      <c r="AP80" s="2176">
        <f t="shared" si="148"/>
        <v>0</v>
      </c>
      <c r="AQ80" s="2176">
        <f t="shared" si="148"/>
        <v>0</v>
      </c>
      <c r="AR80" s="2171">
        <f t="shared" si="148"/>
        <v>0</v>
      </c>
      <c r="AS80" s="1951"/>
      <c r="AT80" s="2169">
        <f t="shared" si="116"/>
        <v>0</v>
      </c>
      <c r="AU80" s="2176">
        <f>$J$80*0</f>
        <v>0</v>
      </c>
      <c r="AV80" s="2171">
        <f t="shared" si="117"/>
        <v>0</v>
      </c>
      <c r="AW80" s="1951"/>
      <c r="AX80" s="2169">
        <f t="shared" ref="AX80:BD80" si="149">IF(AX72&gt;$J$83,$J$80,IF(AX72&lt;$J$83,(IF(AX72&lt;0,0,AX72*$K$80))))</f>
        <v>0</v>
      </c>
      <c r="AY80" s="2170">
        <f t="shared" si="149"/>
        <v>0</v>
      </c>
      <c r="AZ80" s="2170">
        <f t="shared" si="149"/>
        <v>0</v>
      </c>
      <c r="BA80" s="2170">
        <f t="shared" si="149"/>
        <v>0</v>
      </c>
      <c r="BB80" s="2170">
        <f t="shared" si="149"/>
        <v>0</v>
      </c>
      <c r="BC80" s="2170">
        <f t="shared" si="149"/>
        <v>0</v>
      </c>
      <c r="BD80" s="2171">
        <f t="shared" si="149"/>
        <v>0</v>
      </c>
      <c r="BE80" s="1951"/>
      <c r="BF80" s="2169">
        <f t="shared" si="120"/>
        <v>0</v>
      </c>
      <c r="BG80" s="2176">
        <f>$J$80*0</f>
        <v>0</v>
      </c>
      <c r="BH80" s="2171">
        <f t="shared" si="121"/>
        <v>0</v>
      </c>
      <c r="BI80" s="1951"/>
      <c r="BJ80" s="2169">
        <f>IF(BJ72&gt;$J$83,$J$80,IF(BJ72&lt;$J$83,(IF(BJ72&lt;0,0,BJ72*$K$80))))</f>
        <v>0</v>
      </c>
      <c r="BK80" s="2171">
        <f>IF(BK72&gt;$J$83,$J$80,IF(BK72&lt;$J$83,(IF(BK72&lt;0,0,BK72*$K$80))))</f>
        <v>0</v>
      </c>
      <c r="BL80" s="1951"/>
      <c r="BM80" s="2169">
        <f t="shared" si="108"/>
        <v>0</v>
      </c>
      <c r="BN80" s="2176">
        <f>$J$80*0</f>
        <v>0</v>
      </c>
      <c r="BO80" s="2171">
        <f t="shared" si="122"/>
        <v>0</v>
      </c>
      <c r="BQ80" s="2179"/>
      <c r="BR80" s="2180"/>
      <c r="BS80" s="1900"/>
      <c r="BT80" s="2179">
        <f t="shared" si="109"/>
        <v>0.83333333333333337</v>
      </c>
      <c r="BU80" s="2181">
        <f t="shared" si="110"/>
        <v>3.3333333333333333E-2</v>
      </c>
      <c r="BV80" s="2353"/>
      <c r="BW80" s="4636"/>
      <c r="BY80" s="4626"/>
      <c r="BZ80" s="2869"/>
      <c r="CA80" s="2869"/>
      <c r="CB80" s="1946"/>
      <c r="CC80" s="1946"/>
      <c r="CD80" s="1946"/>
      <c r="CE80" s="1946"/>
      <c r="CF80" s="1946"/>
      <c r="CG80" s="1946"/>
      <c r="CH80" s="2012"/>
    </row>
    <row r="81" spans="1:86" s="1726" customFormat="1" ht="17.25" thickBot="1" x14ac:dyDescent="0.25">
      <c r="B81" s="2085">
        <v>45</v>
      </c>
      <c r="C81" s="2108" t="s">
        <v>119</v>
      </c>
      <c r="D81" s="2051"/>
      <c r="E81" s="2110">
        <v>4</v>
      </c>
      <c r="F81" s="2111">
        <f t="shared" si="123"/>
        <v>0.4</v>
      </c>
      <c r="G81" s="2111">
        <f t="shared" si="124"/>
        <v>0.26666666666666666</v>
      </c>
      <c r="H81" s="2111">
        <f t="shared" si="125"/>
        <v>0.2</v>
      </c>
      <c r="I81" s="2111">
        <f t="shared" si="126"/>
        <v>0.16</v>
      </c>
      <c r="J81" s="2111">
        <f t="shared" si="103"/>
        <v>0.13333333333333333</v>
      </c>
      <c r="K81" s="2112">
        <f t="shared" si="127"/>
        <v>1.2412723041117145E-2</v>
      </c>
      <c r="L81" s="1931"/>
      <c r="M81" s="1924"/>
      <c r="N81" s="2284">
        <f t="shared" ref="N81:T81" si="150">IF(N72&gt;$J$83,$J$81,IF(N72&lt;$J$83,(IF(N72&lt;0,0,N72*$K$81))))</f>
        <v>0.13333333333333333</v>
      </c>
      <c r="O81" s="2088">
        <f t="shared" si="150"/>
        <v>0</v>
      </c>
      <c r="P81" s="2088">
        <f t="shared" si="150"/>
        <v>0</v>
      </c>
      <c r="Q81" s="2088">
        <f t="shared" si="150"/>
        <v>0</v>
      </c>
      <c r="R81" s="2088">
        <f t="shared" si="150"/>
        <v>0</v>
      </c>
      <c r="S81" s="2088">
        <f t="shared" si="150"/>
        <v>0</v>
      </c>
      <c r="T81" s="2091">
        <f t="shared" si="150"/>
        <v>0</v>
      </c>
      <c r="U81" s="1814"/>
      <c r="V81" s="2090">
        <f>SUM(N81:T81)</f>
        <v>0.13333333333333333</v>
      </c>
      <c r="W81" s="2087">
        <f>$J$81*0</f>
        <v>0</v>
      </c>
      <c r="X81" s="2174">
        <f t="shared" si="138"/>
        <v>0.13333333333333333</v>
      </c>
      <c r="Y81" s="1766"/>
      <c r="Z81" s="2090">
        <f t="shared" ref="Z81:AF81" si="151">IF(Z72&gt;$J$83,$J$81,IF(Z72&lt;$J$83,(IF(Z72&lt;0,0,Z72*$K$81))))</f>
        <v>0</v>
      </c>
      <c r="AA81" s="2087">
        <f t="shared" si="151"/>
        <v>0</v>
      </c>
      <c r="AB81" s="2087">
        <f t="shared" si="151"/>
        <v>0</v>
      </c>
      <c r="AC81" s="2087">
        <f t="shared" si="151"/>
        <v>0</v>
      </c>
      <c r="AD81" s="2087">
        <f t="shared" si="151"/>
        <v>0</v>
      </c>
      <c r="AE81" s="2087">
        <f t="shared" si="151"/>
        <v>0</v>
      </c>
      <c r="AF81" s="2091">
        <f t="shared" si="151"/>
        <v>0</v>
      </c>
      <c r="AG81" s="1766"/>
      <c r="AH81" s="2090">
        <f t="shared" si="113"/>
        <v>0</v>
      </c>
      <c r="AI81" s="2087">
        <f>$J$81*0</f>
        <v>0</v>
      </c>
      <c r="AJ81" s="2174">
        <f t="shared" si="114"/>
        <v>0</v>
      </c>
      <c r="AK81" s="1766"/>
      <c r="AL81" s="2090">
        <f t="shared" ref="AL81:AR81" si="152">IF(AL72&gt;$J$83,$J$81,IF(AL72&lt;$J$83,(IF(AL72&lt;0,0,AL72*$K$81))))</f>
        <v>0</v>
      </c>
      <c r="AM81" s="2088">
        <f t="shared" si="152"/>
        <v>0</v>
      </c>
      <c r="AN81" s="2088">
        <f t="shared" si="152"/>
        <v>0</v>
      </c>
      <c r="AO81" s="2088">
        <f t="shared" si="152"/>
        <v>0</v>
      </c>
      <c r="AP81" s="2088">
        <f t="shared" si="152"/>
        <v>0</v>
      </c>
      <c r="AQ81" s="2088">
        <f t="shared" si="152"/>
        <v>0</v>
      </c>
      <c r="AR81" s="2091">
        <f t="shared" si="152"/>
        <v>0</v>
      </c>
      <c r="AS81" s="1814"/>
      <c r="AT81" s="2090">
        <f t="shared" si="116"/>
        <v>0</v>
      </c>
      <c r="AU81" s="2087">
        <f>$J$81*0</f>
        <v>0</v>
      </c>
      <c r="AV81" s="2174">
        <f t="shared" si="117"/>
        <v>0</v>
      </c>
      <c r="AW81" s="1814"/>
      <c r="AX81" s="2090">
        <f t="shared" ref="AX81:BD81" si="153">IF(AX72&gt;$J$83,$J$81,IF(AX72&lt;$J$83,(IF(AX72&lt;0,0,AX72*$K$81))))</f>
        <v>0</v>
      </c>
      <c r="AY81" s="2087">
        <f t="shared" si="153"/>
        <v>0</v>
      </c>
      <c r="AZ81" s="2087">
        <f t="shared" si="153"/>
        <v>0</v>
      </c>
      <c r="BA81" s="2087">
        <f t="shared" si="153"/>
        <v>0</v>
      </c>
      <c r="BB81" s="2087">
        <f t="shared" si="153"/>
        <v>0</v>
      </c>
      <c r="BC81" s="2087">
        <f t="shared" si="153"/>
        <v>0</v>
      </c>
      <c r="BD81" s="2091">
        <f t="shared" si="153"/>
        <v>0</v>
      </c>
      <c r="BE81" s="1814"/>
      <c r="BF81" s="2090">
        <f t="shared" si="120"/>
        <v>0</v>
      </c>
      <c r="BG81" s="2087">
        <f>$J$81*0</f>
        <v>0</v>
      </c>
      <c r="BH81" s="2174">
        <f t="shared" si="121"/>
        <v>0</v>
      </c>
      <c r="BI81" s="1814"/>
      <c r="BJ81" s="2090">
        <f>IF(BJ72&gt;$J$83,$J$81,IF(BJ72&lt;$J$83,(IF(BJ72&lt;0,0,BJ72*$K$81))))</f>
        <v>0</v>
      </c>
      <c r="BK81" s="2091">
        <f>IF(BK72&gt;$J$83,$J$81,IF(BK72&lt;$J$83,(IF(BK72&lt;0,0,BK72*$K$81))))</f>
        <v>0</v>
      </c>
      <c r="BL81" s="1814"/>
      <c r="BM81" s="2090">
        <f t="shared" si="108"/>
        <v>0</v>
      </c>
      <c r="BN81" s="2087">
        <f>$J$81*0</f>
        <v>0</v>
      </c>
      <c r="BO81" s="2174">
        <f t="shared" si="122"/>
        <v>0</v>
      </c>
      <c r="BQ81" s="2092"/>
      <c r="BR81" s="2093"/>
      <c r="BS81" s="1740"/>
      <c r="BT81" s="2092">
        <f t="shared" si="109"/>
        <v>0.13333333333333333</v>
      </c>
      <c r="BU81" s="2094">
        <f t="shared" si="110"/>
        <v>3.3333333333333333E-2</v>
      </c>
      <c r="BV81" s="2351"/>
      <c r="BW81" s="4636"/>
      <c r="BY81" s="4626"/>
      <c r="BZ81" s="2640"/>
      <c r="CA81" s="2871"/>
      <c r="CB81" s="2871"/>
      <c r="CC81" s="2871"/>
      <c r="CD81" s="2871"/>
      <c r="CE81" s="2871"/>
      <c r="CF81" s="2871"/>
      <c r="CG81" s="2871"/>
      <c r="CH81" s="2641"/>
    </row>
    <row r="82" spans="1:86" s="1885" customFormat="1" ht="17.25" thickBot="1" x14ac:dyDescent="0.25">
      <c r="B82" s="2420">
        <v>46</v>
      </c>
      <c r="C82" s="2417" t="s">
        <v>237</v>
      </c>
      <c r="D82" s="2680"/>
      <c r="E82" s="2681">
        <v>0</v>
      </c>
      <c r="F82" s="2418">
        <f t="shared" si="123"/>
        <v>0</v>
      </c>
      <c r="G82" s="2418">
        <f t="shared" si="124"/>
        <v>0</v>
      </c>
      <c r="H82" s="2418">
        <f t="shared" si="125"/>
        <v>0</v>
      </c>
      <c r="I82" s="2418">
        <f t="shared" si="126"/>
        <v>0</v>
      </c>
      <c r="J82" s="2418">
        <f t="shared" si="103"/>
        <v>0</v>
      </c>
      <c r="K82" s="2419">
        <f t="shared" si="127"/>
        <v>0</v>
      </c>
      <c r="L82" s="2003"/>
      <c r="M82" s="1950"/>
      <c r="N82" s="2682">
        <f t="shared" ref="N82:T82" si="154">IF(N72&gt;$J$83,$J$82,IF(N72&lt;$J$83,(IF(N72&lt;0,0,N72*$K$82))))</f>
        <v>0</v>
      </c>
      <c r="O82" s="2418">
        <f t="shared" si="154"/>
        <v>0</v>
      </c>
      <c r="P82" s="2418">
        <f t="shared" si="154"/>
        <v>0</v>
      </c>
      <c r="Q82" s="2418">
        <f t="shared" si="154"/>
        <v>0</v>
      </c>
      <c r="R82" s="2418">
        <f t="shared" si="154"/>
        <v>0</v>
      </c>
      <c r="S82" s="2418">
        <f t="shared" si="154"/>
        <v>0</v>
      </c>
      <c r="T82" s="2683">
        <f t="shared" si="154"/>
        <v>0</v>
      </c>
      <c r="U82" s="1951"/>
      <c r="V82" s="2179">
        <f t="shared" ref="V82:V94" si="155">SUM(N82:T82)</f>
        <v>0</v>
      </c>
      <c r="W82" s="2681">
        <f>$J$82*0</f>
        <v>0</v>
      </c>
      <c r="X82" s="2684">
        <f t="shared" si="138"/>
        <v>0</v>
      </c>
      <c r="Y82" s="1956"/>
      <c r="Z82" s="2179">
        <f t="shared" ref="Z82:AF82" si="156">IF(Z72&gt;$J$83,$J$82,IF(Z72&lt;$J$83,(IF(Z72&lt;0,0,Z72*$K$82))))</f>
        <v>0</v>
      </c>
      <c r="AA82" s="2681">
        <f t="shared" si="156"/>
        <v>0</v>
      </c>
      <c r="AB82" s="2681">
        <f t="shared" si="156"/>
        <v>0</v>
      </c>
      <c r="AC82" s="2681">
        <f t="shared" si="156"/>
        <v>0</v>
      </c>
      <c r="AD82" s="2681">
        <f t="shared" si="156"/>
        <v>0</v>
      </c>
      <c r="AE82" s="2681">
        <f t="shared" si="156"/>
        <v>0</v>
      </c>
      <c r="AF82" s="2683">
        <f t="shared" si="156"/>
        <v>0</v>
      </c>
      <c r="AG82" s="1956"/>
      <c r="AH82" s="2179">
        <f t="shared" si="113"/>
        <v>0</v>
      </c>
      <c r="AI82" s="2681">
        <f>$J$82*0</f>
        <v>0</v>
      </c>
      <c r="AJ82" s="2684">
        <f t="shared" si="114"/>
        <v>0</v>
      </c>
      <c r="AK82" s="1956"/>
      <c r="AL82" s="2179">
        <f t="shared" ref="AL82:AR82" si="157">IF(AL72&gt;$J$83,$J$82,IF(AL72&lt;$J$83,(IF(AL72&lt;0,0,AL72*$K$82))))</f>
        <v>0</v>
      </c>
      <c r="AM82" s="2418">
        <f t="shared" si="157"/>
        <v>0</v>
      </c>
      <c r="AN82" s="2418">
        <f t="shared" si="157"/>
        <v>0</v>
      </c>
      <c r="AO82" s="2418">
        <f t="shared" si="157"/>
        <v>0</v>
      </c>
      <c r="AP82" s="2418">
        <f t="shared" si="157"/>
        <v>0</v>
      </c>
      <c r="AQ82" s="2418">
        <f t="shared" si="157"/>
        <v>0</v>
      </c>
      <c r="AR82" s="2683">
        <f t="shared" si="157"/>
        <v>0</v>
      </c>
      <c r="AS82" s="1951"/>
      <c r="AT82" s="2169">
        <f t="shared" si="116"/>
        <v>0</v>
      </c>
      <c r="AU82" s="2170">
        <f>$J$82*0</f>
        <v>0</v>
      </c>
      <c r="AV82" s="2178">
        <f t="shared" si="117"/>
        <v>0</v>
      </c>
      <c r="AW82" s="1951"/>
      <c r="AX82" s="2187">
        <f t="shared" ref="AX82:BD82" si="158">IF(AX72&gt;$J$83,$J$82,IF(AX72&lt;$J$83,(IF(AX72&lt;0,0,AX72*$K$82))))</f>
        <v>0</v>
      </c>
      <c r="AY82" s="2681">
        <f t="shared" si="158"/>
        <v>0</v>
      </c>
      <c r="AZ82" s="2681">
        <f t="shared" si="158"/>
        <v>0</v>
      </c>
      <c r="BA82" s="2681">
        <f t="shared" si="158"/>
        <v>0</v>
      </c>
      <c r="BB82" s="2681">
        <f t="shared" si="158"/>
        <v>0</v>
      </c>
      <c r="BC82" s="2681">
        <f t="shared" si="158"/>
        <v>0</v>
      </c>
      <c r="BD82" s="2683">
        <f t="shared" si="158"/>
        <v>0</v>
      </c>
      <c r="BE82" s="1951"/>
      <c r="BF82" s="2169">
        <f t="shared" si="120"/>
        <v>0</v>
      </c>
      <c r="BG82" s="2170">
        <f>$J$82*0</f>
        <v>0</v>
      </c>
      <c r="BH82" s="2178">
        <f t="shared" si="121"/>
        <v>0</v>
      </c>
      <c r="BI82" s="1951"/>
      <c r="BJ82" s="2179">
        <f>IF(BJ72&gt;$J$83,$J$82,IF(BJ72&lt;$J$83,(IF(BJ72&lt;0,0,BJ72*$K$82))))</f>
        <v>0</v>
      </c>
      <c r="BK82" s="2683">
        <f>IF(BK72&gt;$J$83,$J$82,IF(BK72&lt;$J$83,(IF(BK72&lt;0,0,BK72*$K$82))))</f>
        <v>0</v>
      </c>
      <c r="BL82" s="1951"/>
      <c r="BM82" s="2179">
        <f t="shared" si="108"/>
        <v>0</v>
      </c>
      <c r="BN82" s="2681">
        <f>$J$82*0</f>
        <v>0</v>
      </c>
      <c r="BO82" s="2684">
        <f t="shared" si="122"/>
        <v>0</v>
      </c>
      <c r="BQ82" s="2179"/>
      <c r="BR82" s="2180"/>
      <c r="BS82" s="1900"/>
      <c r="BT82" s="2179">
        <f t="shared" si="109"/>
        <v>0</v>
      </c>
      <c r="BU82" s="2181" t="e">
        <f t="shared" si="110"/>
        <v>#DIV/0!</v>
      </c>
      <c r="BV82" s="2353"/>
      <c r="BW82" s="4636"/>
      <c r="BY82" s="4627"/>
      <c r="BZ82" s="2685"/>
      <c r="CA82" s="2686"/>
      <c r="CB82" s="2686"/>
      <c r="CC82" s="2686"/>
      <c r="CD82" s="2686"/>
      <c r="CE82" s="2686"/>
      <c r="CF82" s="2686"/>
      <c r="CG82" s="2686"/>
      <c r="CH82" s="2686"/>
    </row>
    <row r="83" spans="1:86" s="1726" customFormat="1" ht="17.25" thickBot="1" x14ac:dyDescent="0.25">
      <c r="B83" s="2049"/>
      <c r="C83" s="2190" t="s">
        <v>192</v>
      </c>
      <c r="D83" s="2051"/>
      <c r="E83" s="2056">
        <f>SUM(E74:E82)</f>
        <v>322.25</v>
      </c>
      <c r="F83" s="2053"/>
      <c r="G83" s="2053"/>
      <c r="H83" s="2053"/>
      <c r="I83" s="2053"/>
      <c r="J83" s="2053">
        <f t="shared" ref="J83:K83" si="159">SUM(J74:J82)</f>
        <v>10.741666666666665</v>
      </c>
      <c r="K83" s="2191">
        <f t="shared" si="159"/>
        <v>1</v>
      </c>
      <c r="L83" s="1931"/>
      <c r="M83" s="1924"/>
      <c r="N83" s="2642">
        <f t="shared" ref="N83:T83" si="160">SUM(N74:N82)</f>
        <v>10.741666666666665</v>
      </c>
      <c r="O83" s="2053">
        <f t="shared" si="160"/>
        <v>0</v>
      </c>
      <c r="P83" s="2053">
        <f t="shared" si="160"/>
        <v>0</v>
      </c>
      <c r="Q83" s="2053">
        <f t="shared" si="160"/>
        <v>0</v>
      </c>
      <c r="R83" s="2053">
        <f t="shared" si="160"/>
        <v>0</v>
      </c>
      <c r="S83" s="2053">
        <f t="shared" si="160"/>
        <v>0</v>
      </c>
      <c r="T83" s="2057">
        <f t="shared" si="160"/>
        <v>0</v>
      </c>
      <c r="U83" s="1814"/>
      <c r="V83" s="2056">
        <f>SUM(V74:V82)</f>
        <v>10.741666666666665</v>
      </c>
      <c r="W83" s="2052">
        <f t="shared" ref="W83" si="161">SUM(W74:W82)</f>
        <v>0</v>
      </c>
      <c r="X83" s="2192">
        <f>SUM(X74:X82)</f>
        <v>10.741666666666665</v>
      </c>
      <c r="Y83" s="1766"/>
      <c r="Z83" s="2056">
        <f t="shared" ref="Z83:AF83" si="162">SUM(Z74:Z82)</f>
        <v>0</v>
      </c>
      <c r="AA83" s="2052">
        <f t="shared" si="162"/>
        <v>0</v>
      </c>
      <c r="AB83" s="2052">
        <f t="shared" si="162"/>
        <v>0</v>
      </c>
      <c r="AC83" s="2052">
        <f t="shared" si="162"/>
        <v>0</v>
      </c>
      <c r="AD83" s="2052">
        <f t="shared" si="162"/>
        <v>0</v>
      </c>
      <c r="AE83" s="2052">
        <f t="shared" si="162"/>
        <v>0</v>
      </c>
      <c r="AF83" s="2057">
        <f t="shared" si="162"/>
        <v>0</v>
      </c>
      <c r="AG83" s="1766"/>
      <c r="AH83" s="2056">
        <f>SUM(AH74:AH82)</f>
        <v>0</v>
      </c>
      <c r="AI83" s="2052">
        <f>SUM(AI74:AI82)</f>
        <v>0</v>
      </c>
      <c r="AJ83" s="2192">
        <f>SUM(AJ74:AJ82)</f>
        <v>0</v>
      </c>
      <c r="AK83" s="1766"/>
      <c r="AL83" s="2056">
        <f t="shared" ref="AL83:AR83" si="163">SUM(AL74:AL82)</f>
        <v>0</v>
      </c>
      <c r="AM83" s="2053">
        <f t="shared" si="163"/>
        <v>0</v>
      </c>
      <c r="AN83" s="2053">
        <f t="shared" si="163"/>
        <v>0</v>
      </c>
      <c r="AO83" s="2053">
        <f t="shared" si="163"/>
        <v>0</v>
      </c>
      <c r="AP83" s="2053">
        <f t="shared" si="163"/>
        <v>0</v>
      </c>
      <c r="AQ83" s="2053">
        <f t="shared" si="163"/>
        <v>0</v>
      </c>
      <c r="AR83" s="2057">
        <f t="shared" si="163"/>
        <v>0</v>
      </c>
      <c r="AS83" s="1814"/>
      <c r="AT83" s="2056">
        <f>SUM(AT74:AT82)</f>
        <v>0</v>
      </c>
      <c r="AU83" s="2052">
        <f>SUM(AU74:AU82)</f>
        <v>0</v>
      </c>
      <c r="AV83" s="2192">
        <f>SUM(AV74:AV82)</f>
        <v>0</v>
      </c>
      <c r="AW83" s="1814"/>
      <c r="AX83" s="2056">
        <f t="shared" ref="AX83:BD83" si="164">SUM(AX74:AX82)</f>
        <v>0</v>
      </c>
      <c r="AY83" s="2052">
        <f t="shared" si="164"/>
        <v>0</v>
      </c>
      <c r="AZ83" s="2052">
        <f t="shared" si="164"/>
        <v>0</v>
      </c>
      <c r="BA83" s="2052">
        <f t="shared" si="164"/>
        <v>0</v>
      </c>
      <c r="BB83" s="2052">
        <f t="shared" si="164"/>
        <v>0</v>
      </c>
      <c r="BC83" s="2052">
        <f t="shared" si="164"/>
        <v>0</v>
      </c>
      <c r="BD83" s="2057">
        <f t="shared" si="164"/>
        <v>0</v>
      </c>
      <c r="BE83" s="1814"/>
      <c r="BF83" s="2056">
        <f>SUM(BF74:BF82)</f>
        <v>0</v>
      </c>
      <c r="BG83" s="2052">
        <f>SUM(BG74:BG82)</f>
        <v>0</v>
      </c>
      <c r="BH83" s="2192">
        <f>SUM(BH74:BH82)</f>
        <v>0</v>
      </c>
      <c r="BI83" s="1814"/>
      <c r="BJ83" s="2056">
        <f t="shared" ref="BJ83:BK83" si="165">SUM(BJ74:BJ82)</f>
        <v>0</v>
      </c>
      <c r="BK83" s="2057">
        <f t="shared" si="165"/>
        <v>0</v>
      </c>
      <c r="BL83" s="1814"/>
      <c r="BM83" s="2056">
        <f>SUM(BM74:BM82)</f>
        <v>0</v>
      </c>
      <c r="BN83" s="2052">
        <f>SUM(BN74:BN82)</f>
        <v>0</v>
      </c>
      <c r="BO83" s="2192">
        <f>SUM(BO74:BO82)</f>
        <v>0</v>
      </c>
      <c r="BQ83" s="2056">
        <f>X83+AJ83+AV83</f>
        <v>10.741666666666665</v>
      </c>
      <c r="BR83" s="2253"/>
      <c r="BS83" s="1740"/>
      <c r="BT83" s="2056">
        <f>SUM(BT74:BT82)</f>
        <v>10.741666666666665</v>
      </c>
      <c r="BU83" s="2054">
        <f t="shared" si="110"/>
        <v>3.3333333333333326E-2</v>
      </c>
      <c r="BV83" s="2351"/>
      <c r="BW83" s="4637"/>
      <c r="BY83" s="4627"/>
      <c r="BZ83" s="2874"/>
      <c r="CA83" s="1860"/>
      <c r="CB83" s="1860"/>
      <c r="CC83" s="1860"/>
      <c r="CD83" s="1860"/>
      <c r="CE83" s="1860"/>
      <c r="CF83" s="1860"/>
      <c r="CG83" s="1860"/>
      <c r="CH83" s="1860"/>
    </row>
    <row r="84" spans="1:86" s="1810" customFormat="1" ht="4.5" customHeight="1" thickBot="1" x14ac:dyDescent="0.25">
      <c r="B84" s="1817"/>
      <c r="C84" s="1817"/>
      <c r="D84" s="1817"/>
      <c r="E84" s="1814"/>
      <c r="F84" s="1814"/>
      <c r="G84" s="1814"/>
      <c r="H84" s="1814"/>
      <c r="I84" s="1814"/>
      <c r="J84" s="1814"/>
      <c r="K84" s="2131"/>
      <c r="L84" s="1924"/>
      <c r="M84" s="1924"/>
      <c r="N84" s="2872"/>
      <c r="O84" s="2872"/>
      <c r="P84" s="2872"/>
      <c r="Q84" s="2872"/>
      <c r="R84" s="2872"/>
      <c r="S84" s="2872"/>
      <c r="T84" s="2872"/>
      <c r="U84" s="1814"/>
      <c r="V84" s="1814"/>
      <c r="W84" s="1814"/>
      <c r="X84" s="1814"/>
      <c r="Y84" s="1766"/>
      <c r="Z84" s="2872"/>
      <c r="AA84" s="2872"/>
      <c r="AB84" s="2872"/>
      <c r="AC84" s="2872"/>
      <c r="AD84" s="2872"/>
      <c r="AE84" s="2872"/>
      <c r="AF84" s="2872"/>
      <c r="AG84" s="1766"/>
      <c r="AH84" s="1814"/>
      <c r="AI84" s="1814"/>
      <c r="AJ84" s="1814"/>
      <c r="AK84" s="1766"/>
      <c r="AL84" s="2872"/>
      <c r="AM84" s="2872"/>
      <c r="AN84" s="2872"/>
      <c r="AO84" s="2872"/>
      <c r="AP84" s="2872"/>
      <c r="AQ84" s="2872"/>
      <c r="AR84" s="2872"/>
      <c r="AS84" s="1814"/>
      <c r="AT84" s="2137"/>
      <c r="AU84" s="2137"/>
      <c r="AV84" s="2137"/>
      <c r="AW84" s="1814"/>
      <c r="AX84" s="2877"/>
      <c r="AY84" s="2877"/>
      <c r="AZ84" s="2877"/>
      <c r="BA84" s="2877"/>
      <c r="BB84" s="2877"/>
      <c r="BC84" s="2877"/>
      <c r="BD84" s="2877"/>
      <c r="BE84" s="1814"/>
      <c r="BF84" s="2137"/>
      <c r="BG84" s="2137"/>
      <c r="BH84" s="2137"/>
      <c r="BI84" s="1814"/>
      <c r="BJ84" s="2872"/>
      <c r="BK84" s="2872"/>
      <c r="BL84" s="1814"/>
      <c r="BM84" s="1814"/>
      <c r="BN84" s="1814"/>
      <c r="BO84" s="1814"/>
      <c r="BQ84" s="1814"/>
      <c r="BR84" s="2132"/>
      <c r="BS84" s="1817"/>
      <c r="BT84" s="1814"/>
      <c r="BU84" s="1830"/>
      <c r="BV84" s="1830"/>
      <c r="BW84" s="2643"/>
      <c r="BZ84" s="1761"/>
    </row>
    <row r="85" spans="1:86" s="1906" customFormat="1" ht="17.25" thickBot="1" x14ac:dyDescent="0.25">
      <c r="B85" s="1960"/>
      <c r="C85" s="1960" t="s">
        <v>193</v>
      </c>
      <c r="D85" s="1960"/>
      <c r="E85" s="2687"/>
      <c r="F85" s="1951"/>
      <c r="G85" s="1951"/>
      <c r="H85" s="1951"/>
      <c r="I85" s="1951"/>
      <c r="J85" s="1951"/>
      <c r="K85" s="2339"/>
      <c r="L85" s="2003"/>
      <c r="M85" s="1950"/>
      <c r="N85" s="2120">
        <f t="shared" ref="N85:T85" si="166">N72-N83</f>
        <v>62.844166666666673</v>
      </c>
      <c r="O85" s="2123">
        <f t="shared" si="166"/>
        <v>0</v>
      </c>
      <c r="P85" s="2123">
        <f t="shared" si="166"/>
        <v>0</v>
      </c>
      <c r="Q85" s="2123">
        <f t="shared" si="166"/>
        <v>0</v>
      </c>
      <c r="R85" s="2123">
        <f t="shared" si="166"/>
        <v>0</v>
      </c>
      <c r="S85" s="2123">
        <f t="shared" si="166"/>
        <v>0</v>
      </c>
      <c r="T85" s="2124">
        <f t="shared" si="166"/>
        <v>0</v>
      </c>
      <c r="U85" s="1951"/>
      <c r="V85" s="1951"/>
      <c r="W85" s="1951"/>
      <c r="X85" s="1951"/>
      <c r="Y85" s="1956"/>
      <c r="Z85" s="2120">
        <f t="shared" ref="Z85:AF85" si="167">Z72-Z83</f>
        <v>0</v>
      </c>
      <c r="AA85" s="2123">
        <f t="shared" si="167"/>
        <v>0</v>
      </c>
      <c r="AB85" s="2123">
        <f t="shared" si="167"/>
        <v>0</v>
      </c>
      <c r="AC85" s="2123">
        <f t="shared" si="167"/>
        <v>0</v>
      </c>
      <c r="AD85" s="2123">
        <f t="shared" si="167"/>
        <v>0</v>
      </c>
      <c r="AE85" s="2123">
        <f t="shared" si="167"/>
        <v>0</v>
      </c>
      <c r="AF85" s="2124">
        <f t="shared" si="167"/>
        <v>0</v>
      </c>
      <c r="AG85" s="1956"/>
      <c r="AH85" s="1951"/>
      <c r="AI85" s="1951"/>
      <c r="AJ85" s="1951"/>
      <c r="AK85" s="1956"/>
      <c r="AL85" s="2120">
        <f t="shared" ref="AL85:AR85" si="168">AL72-AL83</f>
        <v>0</v>
      </c>
      <c r="AM85" s="2123">
        <f t="shared" si="168"/>
        <v>0</v>
      </c>
      <c r="AN85" s="2123">
        <f t="shared" si="168"/>
        <v>0</v>
      </c>
      <c r="AO85" s="2123">
        <f t="shared" si="168"/>
        <v>0</v>
      </c>
      <c r="AP85" s="2123">
        <f t="shared" si="168"/>
        <v>0</v>
      </c>
      <c r="AQ85" s="2123">
        <f t="shared" si="168"/>
        <v>0</v>
      </c>
      <c r="AR85" s="2124">
        <f t="shared" si="168"/>
        <v>0</v>
      </c>
      <c r="AS85" s="1951"/>
      <c r="AT85" s="1951"/>
      <c r="AU85" s="1951"/>
      <c r="AV85" s="1951"/>
      <c r="AW85" s="1951"/>
      <c r="AX85" s="2120">
        <f t="shared" ref="AX85:BD85" si="169">AX72-AX83</f>
        <v>0</v>
      </c>
      <c r="AY85" s="2123">
        <f t="shared" si="169"/>
        <v>0</v>
      </c>
      <c r="AZ85" s="2123">
        <f t="shared" si="169"/>
        <v>0</v>
      </c>
      <c r="BA85" s="2123">
        <f t="shared" si="169"/>
        <v>0</v>
      </c>
      <c r="BB85" s="2123">
        <f t="shared" si="169"/>
        <v>0</v>
      </c>
      <c r="BC85" s="2123">
        <f t="shared" si="169"/>
        <v>0</v>
      </c>
      <c r="BD85" s="2124">
        <f t="shared" si="169"/>
        <v>0</v>
      </c>
      <c r="BE85" s="1951"/>
      <c r="BF85" s="1951"/>
      <c r="BG85" s="1951"/>
      <c r="BH85" s="1951"/>
      <c r="BI85" s="1951"/>
      <c r="BJ85" s="2120">
        <f t="shared" ref="BJ85:BK85" si="170">BJ72-BJ83</f>
        <v>0</v>
      </c>
      <c r="BK85" s="2123">
        <f t="shared" si="170"/>
        <v>0</v>
      </c>
      <c r="BL85" s="1951"/>
      <c r="BM85" s="1951"/>
      <c r="BN85" s="1951"/>
      <c r="BO85" s="1951"/>
      <c r="BQ85" s="2007"/>
      <c r="BR85" s="2688"/>
      <c r="BS85" s="1960"/>
      <c r="BT85" s="2007"/>
      <c r="BU85" s="2008"/>
      <c r="BV85" s="1962"/>
      <c r="BW85" s="2689"/>
      <c r="BZ85" s="1905"/>
    </row>
    <row r="86" spans="1:86" s="1810" customFormat="1" ht="4.5" customHeight="1" thickBot="1" x14ac:dyDescent="0.25">
      <c r="B86" s="1817"/>
      <c r="C86" s="1817"/>
      <c r="D86" s="1817"/>
      <c r="E86" s="1814"/>
      <c r="F86" s="1814"/>
      <c r="G86" s="1814"/>
      <c r="H86" s="1814"/>
      <c r="I86" s="1814"/>
      <c r="J86" s="1814"/>
      <c r="K86" s="2131"/>
      <c r="L86" s="1924"/>
      <c r="M86" s="1924"/>
      <c r="N86" s="2137"/>
      <c r="O86" s="2137"/>
      <c r="P86" s="2137"/>
      <c r="Q86" s="2137"/>
      <c r="R86" s="2137"/>
      <c r="S86" s="2137"/>
      <c r="T86" s="2137"/>
      <c r="U86" s="1814"/>
      <c r="V86" s="1814"/>
      <c r="W86" s="1814"/>
      <c r="X86" s="1814"/>
      <c r="Y86" s="1766"/>
      <c r="Z86" s="2877"/>
      <c r="AA86" s="2877"/>
      <c r="AB86" s="2877"/>
      <c r="AC86" s="2877"/>
      <c r="AD86" s="2877"/>
      <c r="AE86" s="2877"/>
      <c r="AF86" s="2877"/>
      <c r="AG86" s="1766"/>
      <c r="AH86" s="1814"/>
      <c r="AI86" s="1814"/>
      <c r="AJ86" s="1814"/>
      <c r="AK86" s="1766"/>
      <c r="AL86" s="2137"/>
      <c r="AM86" s="2137"/>
      <c r="AN86" s="2137"/>
      <c r="AO86" s="2137"/>
      <c r="AP86" s="2137"/>
      <c r="AQ86" s="2137"/>
      <c r="AR86" s="2137"/>
      <c r="AS86" s="1814"/>
      <c r="AT86" s="1814"/>
      <c r="AU86" s="1814"/>
      <c r="AV86" s="1814"/>
      <c r="AW86" s="1814"/>
      <c r="AX86" s="2137"/>
      <c r="AY86" s="2137"/>
      <c r="AZ86" s="2137"/>
      <c r="BA86" s="2137"/>
      <c r="BB86" s="2137"/>
      <c r="BC86" s="2137"/>
      <c r="BD86" s="2137"/>
      <c r="BE86" s="1814"/>
      <c r="BF86" s="1814"/>
      <c r="BG86" s="1814"/>
      <c r="BH86" s="1814"/>
      <c r="BI86" s="1814"/>
      <c r="BJ86" s="2137"/>
      <c r="BK86" s="2137"/>
      <c r="BL86" s="1814"/>
      <c r="BM86" s="1814"/>
      <c r="BN86" s="1814"/>
      <c r="BO86" s="1814"/>
      <c r="BQ86" s="2137"/>
      <c r="BR86" s="2138"/>
      <c r="BS86" s="1817"/>
      <c r="BT86" s="2137"/>
      <c r="BU86" s="2139"/>
      <c r="BV86" s="1830"/>
      <c r="BW86" s="2644"/>
      <c r="BZ86" s="1761"/>
    </row>
    <row r="87" spans="1:86" s="1740" customFormat="1" ht="15.75" x14ac:dyDescent="0.2">
      <c r="A87" s="2466"/>
      <c r="B87" s="2444">
        <v>47</v>
      </c>
      <c r="C87" s="2281" t="s">
        <v>132</v>
      </c>
      <c r="D87" s="1817"/>
      <c r="E87" s="2067">
        <v>465</v>
      </c>
      <c r="F87" s="2065">
        <f>E87/10</f>
        <v>46.5</v>
      </c>
      <c r="G87" s="2065">
        <f>E87/15</f>
        <v>31</v>
      </c>
      <c r="H87" s="2065">
        <f>E87/20</f>
        <v>23.25</v>
      </c>
      <c r="I87" s="2065">
        <f>E87/25</f>
        <v>18.600000000000001</v>
      </c>
      <c r="J87" s="2065">
        <f t="shared" ref="J87:J95" si="171">E87/30</f>
        <v>15.5</v>
      </c>
      <c r="K87" s="2066">
        <f t="shared" ref="K87:K95" si="172">E87/$E$96</f>
        <v>0.28284671532846717</v>
      </c>
      <c r="L87" s="2465"/>
      <c r="M87" s="2131"/>
      <c r="N87" s="2067">
        <f t="shared" ref="N87:T87" si="173">IF(N85&gt;$J$96,$J$87,IF(N85&lt;$J$96,(IF(N85&lt;0,0,N85*$K$87))))</f>
        <v>15.5</v>
      </c>
      <c r="O87" s="2065">
        <f t="shared" si="173"/>
        <v>0</v>
      </c>
      <c r="P87" s="2065">
        <f t="shared" si="173"/>
        <v>0</v>
      </c>
      <c r="Q87" s="2065">
        <f t="shared" si="173"/>
        <v>0</v>
      </c>
      <c r="R87" s="2065">
        <f t="shared" si="173"/>
        <v>0</v>
      </c>
      <c r="S87" s="2065">
        <f t="shared" si="173"/>
        <v>0</v>
      </c>
      <c r="T87" s="2069">
        <f t="shared" si="173"/>
        <v>0</v>
      </c>
      <c r="U87" s="1814"/>
      <c r="V87" s="2067">
        <f t="shared" si="155"/>
        <v>15.5</v>
      </c>
      <c r="W87" s="2068">
        <f>$J$87*0</f>
        <v>0</v>
      </c>
      <c r="X87" s="2070">
        <f t="shared" si="138"/>
        <v>15.5</v>
      </c>
      <c r="Y87" s="1814"/>
      <c r="Z87" s="2090">
        <f t="shared" ref="Z87:AF87" si="174">IF(Z85&gt;$J$96,$J$87,IF(Z85&lt;$J$96,(IF(Z85&lt;0,0,Z85*$K$87))))</f>
        <v>0</v>
      </c>
      <c r="AA87" s="2087">
        <f t="shared" si="174"/>
        <v>0</v>
      </c>
      <c r="AB87" s="2087">
        <f t="shared" si="174"/>
        <v>0</v>
      </c>
      <c r="AC87" s="2087">
        <f t="shared" si="174"/>
        <v>0</v>
      </c>
      <c r="AD87" s="2087">
        <f t="shared" si="174"/>
        <v>0</v>
      </c>
      <c r="AE87" s="2087">
        <f t="shared" si="174"/>
        <v>0</v>
      </c>
      <c r="AF87" s="2091">
        <f t="shared" si="174"/>
        <v>0</v>
      </c>
      <c r="AG87" s="1814"/>
      <c r="AH87" s="2067">
        <f t="shared" si="113"/>
        <v>0</v>
      </c>
      <c r="AI87" s="2068">
        <f>$J$87*0</f>
        <v>0</v>
      </c>
      <c r="AJ87" s="2070">
        <f>AH87-AI87</f>
        <v>0</v>
      </c>
      <c r="AK87" s="1814"/>
      <c r="AL87" s="2067">
        <f t="shared" ref="AL87:AR87" si="175">IF(AL85&gt;$J$96,$J$87,IF(AL85&lt;$J$96,(IF(AL85&lt;0,0,AL85*$K$87))))</f>
        <v>0</v>
      </c>
      <c r="AM87" s="2065">
        <f t="shared" si="175"/>
        <v>0</v>
      </c>
      <c r="AN87" s="2065">
        <f t="shared" si="175"/>
        <v>0</v>
      </c>
      <c r="AO87" s="2065">
        <f t="shared" si="175"/>
        <v>0</v>
      </c>
      <c r="AP87" s="2065">
        <f t="shared" si="175"/>
        <v>0</v>
      </c>
      <c r="AQ87" s="2065">
        <f t="shared" si="175"/>
        <v>0</v>
      </c>
      <c r="AR87" s="2069">
        <f t="shared" si="175"/>
        <v>0</v>
      </c>
      <c r="AS87" s="1814"/>
      <c r="AT87" s="2067">
        <f>SUM(AL87:AR87)</f>
        <v>0</v>
      </c>
      <c r="AU87" s="2068">
        <f>$J$87*0</f>
        <v>0</v>
      </c>
      <c r="AV87" s="2070">
        <f>AT87-AU87</f>
        <v>0</v>
      </c>
      <c r="AW87" s="1814"/>
      <c r="AX87" s="2067">
        <f t="shared" ref="AX87:BC87" si="176">IF(AX85&gt;$J$96,$J$87,IF(AX85&lt;$J$96,(IF(AX85&lt;0,0,AX85*$K$87))))</f>
        <v>0</v>
      </c>
      <c r="AY87" s="2645">
        <f t="shared" si="176"/>
        <v>0</v>
      </c>
      <c r="AZ87" s="2645">
        <f t="shared" si="176"/>
        <v>0</v>
      </c>
      <c r="BA87" s="2645">
        <f t="shared" si="176"/>
        <v>0</v>
      </c>
      <c r="BB87" s="2645">
        <f t="shared" si="176"/>
        <v>0</v>
      </c>
      <c r="BC87" s="2645">
        <f t="shared" si="176"/>
        <v>0</v>
      </c>
      <c r="BD87" s="2069">
        <f>IF(BD85&gt;$J$96,$J$87,IF(BD85&lt;$J$96,(IF(BD85&lt;0,0,BD85*$K$87))))</f>
        <v>0</v>
      </c>
      <c r="BE87" s="1814"/>
      <c r="BF87" s="2067">
        <f t="shared" ref="BF87:BF95" si="177">SUM(AX87:BD87)</f>
        <v>0</v>
      </c>
      <c r="BG87" s="2068">
        <f>$J$87*0</f>
        <v>0</v>
      </c>
      <c r="BH87" s="2070">
        <f t="shared" ref="BH87:BH95" si="178">BF87-BG87</f>
        <v>0</v>
      </c>
      <c r="BI87" s="1814"/>
      <c r="BJ87" s="2067">
        <f>IF(BJ85&gt;$J$96,$J$87,IF(BJ85&lt;$J$96,(IF(BJ85&lt;0,0,BJ85*$K$87))))</f>
        <v>0</v>
      </c>
      <c r="BK87" s="2070">
        <f>IF(BK85&gt;$J$96,$J$87,IF(BK85&lt;$J$96,(IF(BK85&lt;0,0,BK85*$K$87))))</f>
        <v>0</v>
      </c>
      <c r="BL87" s="1814"/>
      <c r="BM87" s="2067">
        <f t="shared" ref="BM87:BM96" si="179">SUM(BJ87:BK87)</f>
        <v>0</v>
      </c>
      <c r="BN87" s="2068">
        <f>$J$87*0</f>
        <v>0</v>
      </c>
      <c r="BO87" s="2070">
        <f t="shared" ref="BO87:BO95" si="180">BM87-BN87</f>
        <v>0</v>
      </c>
      <c r="BQ87" s="2067"/>
      <c r="BR87" s="2071"/>
      <c r="BT87" s="2067">
        <f t="shared" ref="BT87:BT95" si="181">SUM(N87:T87)+SUM(Z87:AF87)+SUM(AL87:AR87)+SUM(AX87:BD87)+SUM(BJ87:BK87)</f>
        <v>15.5</v>
      </c>
      <c r="BU87" s="2072">
        <f t="shared" ref="BU87:BU96" si="182">BT87/E87</f>
        <v>3.3333333333333333E-2</v>
      </c>
      <c r="BV87" s="2351"/>
      <c r="BW87" s="4635">
        <f>BU96-BT1</f>
        <v>-0.74086021505376343</v>
      </c>
      <c r="BZ87" s="1997"/>
      <c r="CA87" s="1861"/>
      <c r="CB87" s="1861"/>
      <c r="CC87" s="1861"/>
      <c r="CD87" s="1861"/>
      <c r="CE87" s="1861"/>
      <c r="CF87" s="1861"/>
      <c r="CG87" s="1861"/>
      <c r="CH87" s="1861"/>
    </row>
    <row r="88" spans="1:86" s="1900" customFormat="1" ht="15.75" x14ac:dyDescent="0.2">
      <c r="A88" s="2464"/>
      <c r="B88" s="2161">
        <v>48</v>
      </c>
      <c r="C88" s="2162" t="s">
        <v>232</v>
      </c>
      <c r="D88" s="1960"/>
      <c r="E88" s="2163">
        <v>345</v>
      </c>
      <c r="F88" s="2164">
        <f>E88/10</f>
        <v>34.5</v>
      </c>
      <c r="G88" s="2164">
        <f>E88/15</f>
        <v>23</v>
      </c>
      <c r="H88" s="2164">
        <f>E88/20</f>
        <v>17.25</v>
      </c>
      <c r="I88" s="2164">
        <f>E88/25</f>
        <v>13.8</v>
      </c>
      <c r="J88" s="2164">
        <f t="shared" si="171"/>
        <v>11.5</v>
      </c>
      <c r="K88" s="2165">
        <f t="shared" si="172"/>
        <v>0.20985401459854014</v>
      </c>
      <c r="L88" s="2468"/>
      <c r="M88" s="2339"/>
      <c r="N88" s="2163">
        <f t="shared" ref="N88:T88" si="183">IF(N85&gt;$J$96,$J$88,IF(N85&lt;$J$96,(IF(N85&lt;0,0,N85*$K$88))))</f>
        <v>11.5</v>
      </c>
      <c r="O88" s="2164">
        <f t="shared" si="183"/>
        <v>0</v>
      </c>
      <c r="P88" s="2164">
        <f t="shared" si="183"/>
        <v>0</v>
      </c>
      <c r="Q88" s="2164">
        <f t="shared" si="183"/>
        <v>0</v>
      </c>
      <c r="R88" s="2164">
        <f t="shared" si="183"/>
        <v>0</v>
      </c>
      <c r="S88" s="2164">
        <f t="shared" si="183"/>
        <v>0</v>
      </c>
      <c r="T88" s="2166">
        <f t="shared" si="183"/>
        <v>0</v>
      </c>
      <c r="U88" s="1951"/>
      <c r="V88" s="2163">
        <f t="shared" si="155"/>
        <v>11.5</v>
      </c>
      <c r="W88" s="2167">
        <f>$J$88*0</f>
        <v>0</v>
      </c>
      <c r="X88" s="2168">
        <f t="shared" si="138"/>
        <v>11.5</v>
      </c>
      <c r="Y88" s="1951"/>
      <c r="Z88" s="2169">
        <f t="shared" ref="Z88:AF88" si="184">IF(Z85&gt;$J$96,$J$88,IF(Z85&lt;$J$96,(IF(Z85&lt;0,0,Z85*$K$88))))</f>
        <v>0</v>
      </c>
      <c r="AA88" s="2170">
        <f t="shared" si="184"/>
        <v>0</v>
      </c>
      <c r="AB88" s="2170">
        <f t="shared" si="184"/>
        <v>0</v>
      </c>
      <c r="AC88" s="2170">
        <f t="shared" si="184"/>
        <v>0</v>
      </c>
      <c r="AD88" s="2170">
        <f t="shared" si="184"/>
        <v>0</v>
      </c>
      <c r="AE88" s="2170">
        <f t="shared" si="184"/>
        <v>0</v>
      </c>
      <c r="AF88" s="2171">
        <f t="shared" si="184"/>
        <v>0</v>
      </c>
      <c r="AG88" s="1951"/>
      <c r="AH88" s="2163">
        <f>SUM(Z88:AF88)</f>
        <v>0</v>
      </c>
      <c r="AI88" s="2167">
        <f>$J$88*0</f>
        <v>0</v>
      </c>
      <c r="AJ88" s="2168">
        <f t="shared" ref="AJ88:AJ89" si="185">AH88-AI88</f>
        <v>0</v>
      </c>
      <c r="AK88" s="1951"/>
      <c r="AL88" s="2163">
        <f t="shared" ref="AL88:AR88" si="186">IF(AL85&gt;$J$96,$J$88,IF(AL85&lt;$J$96,(IF(AL85&lt;0,0,AL85*$K$88))))</f>
        <v>0</v>
      </c>
      <c r="AM88" s="2164">
        <f t="shared" si="186"/>
        <v>0</v>
      </c>
      <c r="AN88" s="2164">
        <f t="shared" si="186"/>
        <v>0</v>
      </c>
      <c r="AO88" s="2164">
        <f t="shared" si="186"/>
        <v>0</v>
      </c>
      <c r="AP88" s="2164">
        <f t="shared" si="186"/>
        <v>0</v>
      </c>
      <c r="AQ88" s="2164">
        <f t="shared" si="186"/>
        <v>0</v>
      </c>
      <c r="AR88" s="2166">
        <f t="shared" si="186"/>
        <v>0</v>
      </c>
      <c r="AS88" s="1951"/>
      <c r="AT88" s="2163">
        <f t="shared" ref="AT88:AT95" si="187">SUM(AL88:AR88)</f>
        <v>0</v>
      </c>
      <c r="AU88" s="2167">
        <f>$J$88*0</f>
        <v>0</v>
      </c>
      <c r="AV88" s="2168">
        <f t="shared" ref="AV88:AV95" si="188">AT88-AU88</f>
        <v>0</v>
      </c>
      <c r="AW88" s="1951"/>
      <c r="AX88" s="2163">
        <f t="shared" ref="AX88:AY88" si="189">IF(AX85&gt;$J$96,$J$88,IF(AX85&lt;$J$96,(IF(AX85&lt;0,0,AX85*$K$88))))</f>
        <v>0</v>
      </c>
      <c r="AY88" s="2306">
        <f t="shared" si="189"/>
        <v>0</v>
      </c>
      <c r="AZ88" s="2306">
        <f>IF(AZ85&gt;$J$96,$J$88,IF(AZ85&lt;$J$96,(IF(AZ85&lt;0,0,AZ85*$K$88))))</f>
        <v>0</v>
      </c>
      <c r="BA88" s="2306">
        <f t="shared" ref="BA88:BD88" si="190">IF(BA85&gt;$J$96,$J$88,IF(BA85&lt;$J$96,(IF(BA85&lt;0,0,BA85*$K$88))))</f>
        <v>0</v>
      </c>
      <c r="BB88" s="2306">
        <f t="shared" si="190"/>
        <v>0</v>
      </c>
      <c r="BC88" s="2306">
        <f t="shared" si="190"/>
        <v>0</v>
      </c>
      <c r="BD88" s="2166">
        <f t="shared" si="190"/>
        <v>0</v>
      </c>
      <c r="BE88" s="1951"/>
      <c r="BF88" s="2163">
        <f t="shared" si="177"/>
        <v>0</v>
      </c>
      <c r="BG88" s="2167">
        <f>$J$88*0</f>
        <v>0</v>
      </c>
      <c r="BH88" s="2168">
        <f t="shared" si="178"/>
        <v>0</v>
      </c>
      <c r="BI88" s="1951"/>
      <c r="BJ88" s="2169">
        <f>IF(BJ85&gt;$J$96,$J$88,IF(BJ85&lt;$J$96,(IF(BJ85&lt;0,0,BJ85*$K$88))))</f>
        <v>0</v>
      </c>
      <c r="BK88" s="2178">
        <f>IF(BK85&gt;$J$96,$J$88,IF(BK85&lt;$J$96,(IF(BK85&lt;0,0,BK85*$K$88))))</f>
        <v>0</v>
      </c>
      <c r="BL88" s="1951"/>
      <c r="BM88" s="2169">
        <f t="shared" si="179"/>
        <v>0</v>
      </c>
      <c r="BN88" s="2170">
        <f>$J$88*0</f>
        <v>0</v>
      </c>
      <c r="BO88" s="2178">
        <f t="shared" si="180"/>
        <v>0</v>
      </c>
      <c r="BQ88" s="2169"/>
      <c r="BR88" s="2172"/>
      <c r="BT88" s="2169">
        <f t="shared" si="181"/>
        <v>11.5</v>
      </c>
      <c r="BU88" s="2173">
        <f t="shared" si="182"/>
        <v>3.3333333333333333E-2</v>
      </c>
      <c r="BV88" s="2353"/>
      <c r="BW88" s="4636"/>
      <c r="BZ88" s="2010"/>
      <c r="CA88" s="2011"/>
      <c r="CB88" s="2011"/>
      <c r="CC88" s="2011"/>
      <c r="CD88" s="2011"/>
      <c r="CE88" s="2011"/>
      <c r="CF88" s="2011"/>
      <c r="CG88" s="2011"/>
      <c r="CH88" s="2011"/>
    </row>
    <row r="89" spans="1:86" s="1726" customFormat="1" x14ac:dyDescent="0.2">
      <c r="A89" s="1756"/>
      <c r="B89" s="2151">
        <v>49</v>
      </c>
      <c r="C89" s="2152" t="s">
        <v>4</v>
      </c>
      <c r="D89" s="1817"/>
      <c r="E89" s="2153">
        <v>300</v>
      </c>
      <c r="F89" s="2154"/>
      <c r="G89" s="2154"/>
      <c r="H89" s="2154"/>
      <c r="I89" s="2154"/>
      <c r="J89" s="2154">
        <f t="shared" si="171"/>
        <v>10</v>
      </c>
      <c r="K89" s="2155">
        <f t="shared" si="172"/>
        <v>0.18248175182481752</v>
      </c>
      <c r="L89" s="1931"/>
      <c r="M89" s="1924"/>
      <c r="N89" s="2153">
        <f t="shared" ref="N89:T89" si="191">IF(N85&gt;$J$96,$J$89,IF(N85&lt;$J$96,(IF(N85&lt;0,0,N85*$K$89))))</f>
        <v>10</v>
      </c>
      <c r="O89" s="2154">
        <f t="shared" si="191"/>
        <v>0</v>
      </c>
      <c r="P89" s="2154">
        <f t="shared" si="191"/>
        <v>0</v>
      </c>
      <c r="Q89" s="2154">
        <f t="shared" si="191"/>
        <v>0</v>
      </c>
      <c r="R89" s="2154">
        <f t="shared" si="191"/>
        <v>0</v>
      </c>
      <c r="S89" s="2154">
        <f t="shared" si="191"/>
        <v>0</v>
      </c>
      <c r="T89" s="2156">
        <f t="shared" si="191"/>
        <v>0</v>
      </c>
      <c r="U89" s="1814"/>
      <c r="V89" s="2153">
        <f t="shared" si="155"/>
        <v>10</v>
      </c>
      <c r="W89" s="2157">
        <f>$J$89*0</f>
        <v>0</v>
      </c>
      <c r="X89" s="2158">
        <f t="shared" si="138"/>
        <v>10</v>
      </c>
      <c r="Y89" s="1766"/>
      <c r="Z89" s="2090">
        <f t="shared" ref="Z89:AF89" si="192">IF(Z85&gt;$J$96,$J$89,IF(Z85&lt;$J$96,(IF(Z85&lt;0,0,Z85*$K$89))))</f>
        <v>0</v>
      </c>
      <c r="AA89" s="2087">
        <f t="shared" si="192"/>
        <v>0</v>
      </c>
      <c r="AB89" s="2087">
        <f t="shared" si="192"/>
        <v>0</v>
      </c>
      <c r="AC89" s="2087">
        <f t="shared" si="192"/>
        <v>0</v>
      </c>
      <c r="AD89" s="2087">
        <f t="shared" si="192"/>
        <v>0</v>
      </c>
      <c r="AE89" s="2087">
        <f t="shared" si="192"/>
        <v>0</v>
      </c>
      <c r="AF89" s="2091">
        <f t="shared" si="192"/>
        <v>0</v>
      </c>
      <c r="AG89" s="1766"/>
      <c r="AH89" s="2153">
        <f t="shared" ref="AH89" si="193">SUM(Z89:AF89)</f>
        <v>0</v>
      </c>
      <c r="AI89" s="2157">
        <f>$J$89*0</f>
        <v>0</v>
      </c>
      <c r="AJ89" s="2158">
        <f t="shared" si="185"/>
        <v>0</v>
      </c>
      <c r="AK89" s="1766"/>
      <c r="AL89" s="2153">
        <f t="shared" ref="AL89:AR89" si="194">IF(AL85&gt;$J$96,$J$89,IF(AL85&lt;$J$96,(IF(AL85&lt;0,0,AL85*$K$89))))</f>
        <v>0</v>
      </c>
      <c r="AM89" s="2154">
        <f t="shared" si="194"/>
        <v>0</v>
      </c>
      <c r="AN89" s="2154">
        <f t="shared" si="194"/>
        <v>0</v>
      </c>
      <c r="AO89" s="2154">
        <f t="shared" si="194"/>
        <v>0</v>
      </c>
      <c r="AP89" s="2154">
        <f t="shared" si="194"/>
        <v>0</v>
      </c>
      <c r="AQ89" s="2154">
        <f t="shared" si="194"/>
        <v>0</v>
      </c>
      <c r="AR89" s="2156">
        <f t="shared" si="194"/>
        <v>0</v>
      </c>
      <c r="AS89" s="1814"/>
      <c r="AT89" s="2153">
        <f t="shared" si="187"/>
        <v>0</v>
      </c>
      <c r="AU89" s="2157">
        <f>$J$89*0</f>
        <v>0</v>
      </c>
      <c r="AV89" s="2158">
        <f t="shared" si="188"/>
        <v>0</v>
      </c>
      <c r="AW89" s="1814"/>
      <c r="AX89" s="2153">
        <f t="shared" ref="AX89:BD89" si="195">IF(AX85&gt;$J$96,$J$89,IF(AX85&lt;$J$96,(IF(AX85&lt;0,0,AX85*$K$89))))</f>
        <v>0</v>
      </c>
      <c r="AY89" s="2304">
        <f t="shared" si="195"/>
        <v>0</v>
      </c>
      <c r="AZ89" s="2304">
        <f t="shared" si="195"/>
        <v>0</v>
      </c>
      <c r="BA89" s="2304">
        <f t="shared" si="195"/>
        <v>0</v>
      </c>
      <c r="BB89" s="2304">
        <f t="shared" si="195"/>
        <v>0</v>
      </c>
      <c r="BC89" s="2304">
        <f t="shared" si="195"/>
        <v>0</v>
      </c>
      <c r="BD89" s="2156">
        <f t="shared" si="195"/>
        <v>0</v>
      </c>
      <c r="BE89" s="1814"/>
      <c r="BF89" s="2153">
        <f t="shared" si="177"/>
        <v>0</v>
      </c>
      <c r="BG89" s="2157">
        <f>$J$89*0</f>
        <v>0</v>
      </c>
      <c r="BH89" s="2158">
        <f t="shared" si="178"/>
        <v>0</v>
      </c>
      <c r="BI89" s="1814"/>
      <c r="BJ89" s="2090">
        <f>IF(BJ85&gt;$J$96,$J$89,IF(BJ85&lt;$J$96,(IF(BJ85&lt;0,0,BJ85*$K$89))))</f>
        <v>0</v>
      </c>
      <c r="BK89" s="2174">
        <f>IF(BK85&gt;$J$96,$J$89,IF(BK85&lt;$J$96,(IF(BK85&lt;0,0,BK85*$K$89))))</f>
        <v>0</v>
      </c>
      <c r="BL89" s="1814"/>
      <c r="BM89" s="2090">
        <f t="shared" si="179"/>
        <v>0</v>
      </c>
      <c r="BN89" s="2087">
        <f>$J$89*0</f>
        <v>0</v>
      </c>
      <c r="BO89" s="2174">
        <f t="shared" si="180"/>
        <v>0</v>
      </c>
      <c r="BQ89" s="2090"/>
      <c r="BR89" s="2159"/>
      <c r="BS89" s="1740"/>
      <c r="BT89" s="2090">
        <f t="shared" si="181"/>
        <v>10</v>
      </c>
      <c r="BU89" s="2160">
        <f t="shared" si="182"/>
        <v>3.3333333333333333E-2</v>
      </c>
      <c r="BV89" s="2351"/>
      <c r="BW89" s="4636"/>
      <c r="BZ89" s="2874"/>
      <c r="CA89" s="1860"/>
      <c r="CB89" s="1860"/>
      <c r="CC89" s="1860"/>
      <c r="CD89" s="1860"/>
      <c r="CE89" s="1860"/>
      <c r="CF89" s="1860"/>
      <c r="CG89" s="1860"/>
      <c r="CH89" s="1860"/>
    </row>
    <row r="90" spans="1:86" s="1900" customFormat="1" ht="15.75" x14ac:dyDescent="0.2">
      <c r="A90" s="2464"/>
      <c r="B90" s="2161">
        <v>50</v>
      </c>
      <c r="C90" s="2175" t="s">
        <v>121</v>
      </c>
      <c r="D90" s="1960"/>
      <c r="E90" s="2169">
        <v>250</v>
      </c>
      <c r="F90" s="2176">
        <f>E90/10</f>
        <v>25</v>
      </c>
      <c r="G90" s="2176">
        <f>E90/15</f>
        <v>16.666666666666668</v>
      </c>
      <c r="H90" s="2176">
        <f>E90/20</f>
        <v>12.5</v>
      </c>
      <c r="I90" s="2176">
        <f>E90/25</f>
        <v>10</v>
      </c>
      <c r="J90" s="2176">
        <f t="shared" si="171"/>
        <v>8.3333333333333339</v>
      </c>
      <c r="K90" s="2177">
        <f t="shared" si="172"/>
        <v>0.15206812652068127</v>
      </c>
      <c r="L90" s="2468"/>
      <c r="M90" s="2339"/>
      <c r="N90" s="2169">
        <f t="shared" ref="N90:T90" si="196">IF(N85&gt;$J$96,$J$90,IF(N85&lt;$J$96,(IF(N85&lt;0,0,N85*$K$90))))</f>
        <v>8.3333333333333339</v>
      </c>
      <c r="O90" s="2176">
        <f t="shared" si="196"/>
        <v>0</v>
      </c>
      <c r="P90" s="2176">
        <f t="shared" si="196"/>
        <v>0</v>
      </c>
      <c r="Q90" s="2176">
        <f t="shared" si="196"/>
        <v>0</v>
      </c>
      <c r="R90" s="2176">
        <f t="shared" si="196"/>
        <v>0</v>
      </c>
      <c r="S90" s="2176">
        <f t="shared" si="196"/>
        <v>0</v>
      </c>
      <c r="T90" s="2171">
        <f t="shared" si="196"/>
        <v>0</v>
      </c>
      <c r="U90" s="1951"/>
      <c r="V90" s="2169">
        <f t="shared" si="155"/>
        <v>8.3333333333333339</v>
      </c>
      <c r="W90" s="2170">
        <f>$J$90*0</f>
        <v>0</v>
      </c>
      <c r="X90" s="2178">
        <f t="shared" si="138"/>
        <v>8.3333333333333339</v>
      </c>
      <c r="Y90" s="1951"/>
      <c r="Z90" s="2169">
        <f t="shared" ref="Z90:AF90" si="197">IF(Z85&gt;$J$96,$J$90,IF(Z85&lt;$J$96,(IF(Z85&lt;0,0,Z85*$K$90))))</f>
        <v>0</v>
      </c>
      <c r="AA90" s="2170">
        <f t="shared" si="197"/>
        <v>0</v>
      </c>
      <c r="AB90" s="2170">
        <f t="shared" si="197"/>
        <v>0</v>
      </c>
      <c r="AC90" s="2170">
        <f t="shared" si="197"/>
        <v>0</v>
      </c>
      <c r="AD90" s="2170">
        <f t="shared" si="197"/>
        <v>0</v>
      </c>
      <c r="AE90" s="2170">
        <f t="shared" si="197"/>
        <v>0</v>
      </c>
      <c r="AF90" s="2171">
        <f t="shared" si="197"/>
        <v>0</v>
      </c>
      <c r="AG90" s="1951"/>
      <c r="AH90" s="2169">
        <f t="shared" si="113"/>
        <v>0</v>
      </c>
      <c r="AI90" s="2170">
        <f>$J$90*0</f>
        <v>0</v>
      </c>
      <c r="AJ90" s="2178">
        <f t="shared" si="114"/>
        <v>0</v>
      </c>
      <c r="AK90" s="1951"/>
      <c r="AL90" s="2169">
        <f t="shared" ref="AL90:AR90" si="198">IF(AL85&gt;$J$96,$J$90,IF(AL85&lt;$J$96,(IF(AL85&lt;0,0,AL85*$K$90))))</f>
        <v>0</v>
      </c>
      <c r="AM90" s="2176">
        <f t="shared" si="198"/>
        <v>0</v>
      </c>
      <c r="AN90" s="2176">
        <f t="shared" si="198"/>
        <v>0</v>
      </c>
      <c r="AO90" s="2176">
        <f t="shared" si="198"/>
        <v>0</v>
      </c>
      <c r="AP90" s="2176">
        <f t="shared" si="198"/>
        <v>0</v>
      </c>
      <c r="AQ90" s="2176">
        <f t="shared" si="198"/>
        <v>0</v>
      </c>
      <c r="AR90" s="2171">
        <f t="shared" si="198"/>
        <v>0</v>
      </c>
      <c r="AS90" s="1951"/>
      <c r="AT90" s="2169">
        <f t="shared" si="187"/>
        <v>0</v>
      </c>
      <c r="AU90" s="2170">
        <f>$J$90*0</f>
        <v>0</v>
      </c>
      <c r="AV90" s="2178">
        <f t="shared" si="188"/>
        <v>0</v>
      </c>
      <c r="AW90" s="1951"/>
      <c r="AX90" s="2169">
        <f t="shared" ref="AX90:BD90" si="199">IF(AX85&gt;$J$96,$J$90,IF(AX85&lt;$J$96,(IF(AX85&lt;0,0,AX85*$K$90))))</f>
        <v>0</v>
      </c>
      <c r="AY90" s="2307">
        <f t="shared" si="199"/>
        <v>0</v>
      </c>
      <c r="AZ90" s="2307">
        <f t="shared" si="199"/>
        <v>0</v>
      </c>
      <c r="BA90" s="2307">
        <f t="shared" si="199"/>
        <v>0</v>
      </c>
      <c r="BB90" s="2307">
        <f t="shared" si="199"/>
        <v>0</v>
      </c>
      <c r="BC90" s="2307">
        <f t="shared" si="199"/>
        <v>0</v>
      </c>
      <c r="BD90" s="2171">
        <f t="shared" si="199"/>
        <v>0</v>
      </c>
      <c r="BE90" s="1951"/>
      <c r="BF90" s="2169">
        <f t="shared" si="177"/>
        <v>0</v>
      </c>
      <c r="BG90" s="2170">
        <f>$J$90*0</f>
        <v>0</v>
      </c>
      <c r="BH90" s="2178">
        <f t="shared" si="178"/>
        <v>0</v>
      </c>
      <c r="BI90" s="1951"/>
      <c r="BJ90" s="2169">
        <f>IF(BJ85&gt;$J$96,$J$90,IF(BJ85&lt;$J$96,(IF(BJ85&lt;0,0,BJ85*$K$90))))</f>
        <v>0</v>
      </c>
      <c r="BK90" s="2178">
        <f>IF(BK85&gt;$J$96,$J$90,IF(BK85&lt;$J$96,(IF(BK85&lt;0,0,BK85*$K$90))))</f>
        <v>0</v>
      </c>
      <c r="BL90" s="1951"/>
      <c r="BM90" s="2169">
        <f t="shared" si="179"/>
        <v>0</v>
      </c>
      <c r="BN90" s="2170">
        <f>$J$90*0</f>
        <v>0</v>
      </c>
      <c r="BO90" s="2178">
        <f t="shared" si="180"/>
        <v>0</v>
      </c>
      <c r="BQ90" s="2179"/>
      <c r="BR90" s="2180"/>
      <c r="BT90" s="2179">
        <f t="shared" si="181"/>
        <v>8.3333333333333339</v>
      </c>
      <c r="BU90" s="2181">
        <f t="shared" si="182"/>
        <v>3.3333333333333333E-2</v>
      </c>
      <c r="BV90" s="2353"/>
      <c r="BW90" s="4636"/>
      <c r="BZ90" s="2010"/>
      <c r="CA90" s="2011"/>
      <c r="CB90" s="2011"/>
      <c r="CC90" s="2011"/>
      <c r="CD90" s="2011"/>
      <c r="CE90" s="2011"/>
      <c r="CF90" s="2011"/>
      <c r="CG90" s="2011"/>
      <c r="CH90" s="2011"/>
    </row>
    <row r="91" spans="1:86" s="1740" customFormat="1" ht="15.75" x14ac:dyDescent="0.2">
      <c r="A91" s="2466"/>
      <c r="B91" s="2151">
        <v>51</v>
      </c>
      <c r="C91" s="2086" t="s">
        <v>229</v>
      </c>
      <c r="D91" s="1817"/>
      <c r="E91" s="2090">
        <v>209</v>
      </c>
      <c r="F91" s="2088">
        <f>E91/10</f>
        <v>20.9</v>
      </c>
      <c r="G91" s="2088">
        <f>E91/15</f>
        <v>13.933333333333334</v>
      </c>
      <c r="H91" s="2088">
        <f>E91/20</f>
        <v>10.45</v>
      </c>
      <c r="I91" s="2088">
        <f>E91/25</f>
        <v>8.36</v>
      </c>
      <c r="J91" s="2088">
        <f t="shared" si="171"/>
        <v>6.9666666666666668</v>
      </c>
      <c r="K91" s="2089">
        <f t="shared" si="172"/>
        <v>0.12712895377128955</v>
      </c>
      <c r="L91" s="2465"/>
      <c r="M91" s="2131"/>
      <c r="N91" s="2090">
        <f t="shared" ref="N91:T91" si="200">IF(N85&gt;$J$96,$J$91,IF(N85&lt;$J$96,(IF(N85&lt;0,0,N85*$K$91))))</f>
        <v>6.9666666666666668</v>
      </c>
      <c r="O91" s="2088">
        <f t="shared" si="200"/>
        <v>0</v>
      </c>
      <c r="P91" s="2088">
        <f t="shared" si="200"/>
        <v>0</v>
      </c>
      <c r="Q91" s="2088">
        <f t="shared" si="200"/>
        <v>0</v>
      </c>
      <c r="R91" s="2088">
        <f t="shared" si="200"/>
        <v>0</v>
      </c>
      <c r="S91" s="2088">
        <f t="shared" si="200"/>
        <v>0</v>
      </c>
      <c r="T91" s="2091">
        <f t="shared" si="200"/>
        <v>0</v>
      </c>
      <c r="U91" s="1814"/>
      <c r="V91" s="2090">
        <f t="shared" si="155"/>
        <v>6.9666666666666668</v>
      </c>
      <c r="W91" s="2087">
        <f>$J$91*0</f>
        <v>0</v>
      </c>
      <c r="X91" s="2174">
        <f t="shared" si="138"/>
        <v>6.9666666666666668</v>
      </c>
      <c r="Y91" s="1814"/>
      <c r="Z91" s="2090">
        <f t="shared" ref="Z91:AF91" si="201">IF(Z85&gt;$J$96,$J$91,IF(Z85&lt;$J$96,(IF(Z85&lt;0,0,Z85*$K$91))))</f>
        <v>0</v>
      </c>
      <c r="AA91" s="2087">
        <f t="shared" si="201"/>
        <v>0</v>
      </c>
      <c r="AB91" s="2087">
        <f t="shared" si="201"/>
        <v>0</v>
      </c>
      <c r="AC91" s="2087">
        <f t="shared" si="201"/>
        <v>0</v>
      </c>
      <c r="AD91" s="2087">
        <f t="shared" si="201"/>
        <v>0</v>
      </c>
      <c r="AE91" s="2087">
        <f t="shared" si="201"/>
        <v>0</v>
      </c>
      <c r="AF91" s="2091">
        <f t="shared" si="201"/>
        <v>0</v>
      </c>
      <c r="AG91" s="1814"/>
      <c r="AH91" s="2090">
        <f t="shared" si="113"/>
        <v>0</v>
      </c>
      <c r="AI91" s="2087">
        <f>$J$91*0</f>
        <v>0</v>
      </c>
      <c r="AJ91" s="2174">
        <f t="shared" si="114"/>
        <v>0</v>
      </c>
      <c r="AK91" s="1814"/>
      <c r="AL91" s="2090">
        <f t="shared" ref="AL91:AR91" si="202">IF(AL85&gt;$J$96,$J$91,IF(AL85&lt;$J$96,(IF(AL85&lt;0,0,AL85*$K$91))))</f>
        <v>0</v>
      </c>
      <c r="AM91" s="2088">
        <f t="shared" si="202"/>
        <v>0</v>
      </c>
      <c r="AN91" s="2088">
        <f t="shared" si="202"/>
        <v>0</v>
      </c>
      <c r="AO91" s="2088">
        <f t="shared" si="202"/>
        <v>0</v>
      </c>
      <c r="AP91" s="2088">
        <f t="shared" si="202"/>
        <v>0</v>
      </c>
      <c r="AQ91" s="2088">
        <f t="shared" si="202"/>
        <v>0</v>
      </c>
      <c r="AR91" s="2091">
        <f t="shared" si="202"/>
        <v>0</v>
      </c>
      <c r="AS91" s="1814"/>
      <c r="AT91" s="2090">
        <f t="shared" si="187"/>
        <v>0</v>
      </c>
      <c r="AU91" s="2087">
        <f>$J$91*0</f>
        <v>0</v>
      </c>
      <c r="AV91" s="2174">
        <f t="shared" si="188"/>
        <v>0</v>
      </c>
      <c r="AW91" s="1814"/>
      <c r="AX91" s="2090">
        <f t="shared" ref="AX91:BD91" si="203">IF(AX85&gt;$J$96,$J$91,IF(AX85&lt;$J$96,(IF(AX85&lt;0,0,AX85*$K$91))))</f>
        <v>0</v>
      </c>
      <c r="AY91" s="2305">
        <f t="shared" si="203"/>
        <v>0</v>
      </c>
      <c r="AZ91" s="2305">
        <f t="shared" si="203"/>
        <v>0</v>
      </c>
      <c r="BA91" s="2305">
        <f t="shared" si="203"/>
        <v>0</v>
      </c>
      <c r="BB91" s="2305">
        <f t="shared" si="203"/>
        <v>0</v>
      </c>
      <c r="BC91" s="2305">
        <f t="shared" si="203"/>
        <v>0</v>
      </c>
      <c r="BD91" s="2091">
        <f t="shared" si="203"/>
        <v>0</v>
      </c>
      <c r="BE91" s="1814"/>
      <c r="BF91" s="2090">
        <f t="shared" si="177"/>
        <v>0</v>
      </c>
      <c r="BG91" s="2087">
        <f>$J$91*0</f>
        <v>0</v>
      </c>
      <c r="BH91" s="2174">
        <f t="shared" si="178"/>
        <v>0</v>
      </c>
      <c r="BI91" s="1814"/>
      <c r="BJ91" s="2090">
        <f>IF(BJ85&gt;$J$96,$J$91,IF(BJ85&lt;$J$96,(IF(BJ85&lt;0,0,BJ85*$K$91))))</f>
        <v>0</v>
      </c>
      <c r="BK91" s="2174">
        <f>IF(BK85&gt;$J$96,$J$91,IF(BK85&lt;$J$96,(IF(BK85&lt;0,0,BK85*$K$91))))</f>
        <v>0</v>
      </c>
      <c r="BL91" s="1814"/>
      <c r="BM91" s="2090">
        <f t="shared" si="179"/>
        <v>0</v>
      </c>
      <c r="BN91" s="2087">
        <f>$J$91*0</f>
        <v>0</v>
      </c>
      <c r="BO91" s="2174">
        <f t="shared" si="180"/>
        <v>0</v>
      </c>
      <c r="BQ91" s="2092"/>
      <c r="BR91" s="2093"/>
      <c r="BT91" s="2092">
        <f t="shared" si="181"/>
        <v>6.9666666666666668</v>
      </c>
      <c r="BU91" s="2094">
        <f t="shared" si="182"/>
        <v>3.3333333333333333E-2</v>
      </c>
      <c r="BV91" s="2351"/>
      <c r="BW91" s="4636"/>
      <c r="BZ91" s="1997"/>
      <c r="CA91" s="1861"/>
      <c r="CB91" s="1861"/>
      <c r="CC91" s="1861"/>
      <c r="CD91" s="1861"/>
      <c r="CE91" s="1861"/>
      <c r="CF91" s="1861"/>
      <c r="CG91" s="1861"/>
      <c r="CH91" s="1861"/>
    </row>
    <row r="92" spans="1:86" s="1885" customFormat="1" x14ac:dyDescent="0.2">
      <c r="A92" s="1947"/>
      <c r="B92" s="2690">
        <v>52</v>
      </c>
      <c r="C92" s="2417" t="s">
        <v>122</v>
      </c>
      <c r="D92" s="1960"/>
      <c r="E92" s="2179">
        <v>75</v>
      </c>
      <c r="F92" s="2418">
        <f>E92/10</f>
        <v>7.5</v>
      </c>
      <c r="G92" s="2418">
        <f>E92/15</f>
        <v>5</v>
      </c>
      <c r="H92" s="2418">
        <f>E92/20</f>
        <v>3.75</v>
      </c>
      <c r="I92" s="2418">
        <f>E92/25</f>
        <v>3</v>
      </c>
      <c r="J92" s="2418">
        <f t="shared" si="171"/>
        <v>2.5</v>
      </c>
      <c r="K92" s="2419">
        <f t="shared" si="172"/>
        <v>4.5620437956204379E-2</v>
      </c>
      <c r="L92" s="2003"/>
      <c r="M92" s="1950"/>
      <c r="N92" s="2169">
        <f t="shared" ref="N92:T92" si="204">IF(N85&gt;$J$96,$J$92,IF(N85&lt;$J$96,(IF(N85&lt;0,0,N85*$K$92))))</f>
        <v>2.5</v>
      </c>
      <c r="O92" s="2176">
        <f t="shared" si="204"/>
        <v>0</v>
      </c>
      <c r="P92" s="2176">
        <f t="shared" si="204"/>
        <v>0</v>
      </c>
      <c r="Q92" s="2176">
        <f t="shared" si="204"/>
        <v>0</v>
      </c>
      <c r="R92" s="2176">
        <f t="shared" si="204"/>
        <v>0</v>
      </c>
      <c r="S92" s="2176">
        <f t="shared" si="204"/>
        <v>0</v>
      </c>
      <c r="T92" s="2171">
        <f t="shared" si="204"/>
        <v>0</v>
      </c>
      <c r="U92" s="1951"/>
      <c r="V92" s="2169">
        <f t="shared" si="155"/>
        <v>2.5</v>
      </c>
      <c r="W92" s="2170">
        <f>$J$92*0</f>
        <v>0</v>
      </c>
      <c r="X92" s="2178">
        <f t="shared" si="138"/>
        <v>2.5</v>
      </c>
      <c r="Y92" s="1956"/>
      <c r="Z92" s="2169">
        <f t="shared" ref="Z92:AF92" si="205">IF(Z85&gt;$J$96,$J$92,IF(Z85&lt;$J$96,(IF(Z85&lt;0,0,Z85*$K$92))))</f>
        <v>0</v>
      </c>
      <c r="AA92" s="2170">
        <f t="shared" si="205"/>
        <v>0</v>
      </c>
      <c r="AB92" s="2170">
        <f t="shared" si="205"/>
        <v>0</v>
      </c>
      <c r="AC92" s="2170">
        <f t="shared" si="205"/>
        <v>0</v>
      </c>
      <c r="AD92" s="2170">
        <f t="shared" si="205"/>
        <v>0</v>
      </c>
      <c r="AE92" s="2170">
        <f t="shared" si="205"/>
        <v>0</v>
      </c>
      <c r="AF92" s="2171">
        <f t="shared" si="205"/>
        <v>0</v>
      </c>
      <c r="AG92" s="1956"/>
      <c r="AH92" s="2169">
        <f t="shared" si="113"/>
        <v>0</v>
      </c>
      <c r="AI92" s="2170">
        <f>$J$92*0</f>
        <v>0</v>
      </c>
      <c r="AJ92" s="2178">
        <f t="shared" si="114"/>
        <v>0</v>
      </c>
      <c r="AK92" s="1956"/>
      <c r="AL92" s="2169">
        <f t="shared" ref="AL92:AR92" si="206">IF(AL85&gt;$J$96,$J$92,IF(AL85&lt;$J$96,(IF(AL85&lt;0,0,AL85*$K$92))))</f>
        <v>0</v>
      </c>
      <c r="AM92" s="2176">
        <f t="shared" si="206"/>
        <v>0</v>
      </c>
      <c r="AN92" s="2176">
        <f t="shared" si="206"/>
        <v>0</v>
      </c>
      <c r="AO92" s="2176">
        <f t="shared" si="206"/>
        <v>0</v>
      </c>
      <c r="AP92" s="2176">
        <f t="shared" si="206"/>
        <v>0</v>
      </c>
      <c r="AQ92" s="2176">
        <f t="shared" si="206"/>
        <v>0</v>
      </c>
      <c r="AR92" s="2171">
        <f t="shared" si="206"/>
        <v>0</v>
      </c>
      <c r="AS92" s="1951"/>
      <c r="AT92" s="2169">
        <f t="shared" si="187"/>
        <v>0</v>
      </c>
      <c r="AU92" s="2170">
        <f>$J$92*0</f>
        <v>0</v>
      </c>
      <c r="AV92" s="2178">
        <f t="shared" si="188"/>
        <v>0</v>
      </c>
      <c r="AW92" s="1951"/>
      <c r="AX92" s="2169">
        <f t="shared" ref="AX92:BD92" si="207">IF(AX85&gt;$J$96,$J$92,IF(AX85&lt;$J$96,(IF(AX85&lt;0,0,AX85*$K$92))))</f>
        <v>0</v>
      </c>
      <c r="AY92" s="2307">
        <f t="shared" si="207"/>
        <v>0</v>
      </c>
      <c r="AZ92" s="2307">
        <f t="shared" si="207"/>
        <v>0</v>
      </c>
      <c r="BA92" s="2307">
        <f t="shared" si="207"/>
        <v>0</v>
      </c>
      <c r="BB92" s="2307">
        <f t="shared" si="207"/>
        <v>0</v>
      </c>
      <c r="BC92" s="2307">
        <f t="shared" si="207"/>
        <v>0</v>
      </c>
      <c r="BD92" s="2171">
        <f t="shared" si="207"/>
        <v>0</v>
      </c>
      <c r="BE92" s="1951"/>
      <c r="BF92" s="2169">
        <f t="shared" si="177"/>
        <v>0</v>
      </c>
      <c r="BG92" s="2170">
        <f>$J$92*0</f>
        <v>0</v>
      </c>
      <c r="BH92" s="2178">
        <f t="shared" si="178"/>
        <v>0</v>
      </c>
      <c r="BI92" s="1951"/>
      <c r="BJ92" s="2169">
        <f>IF(BJ85&gt;$J$96,$J$92,IF(BJ85&lt;$J$96,(IF(BJ85&lt;0,0,BJ85*$K$92))))</f>
        <v>0</v>
      </c>
      <c r="BK92" s="2178">
        <f>IF(BK85&gt;$J$96,$J$92,IF(BK85&lt;$J$96,(IF(BK85&lt;0,0,BK85*$K$92))))</f>
        <v>0</v>
      </c>
      <c r="BL92" s="1951"/>
      <c r="BM92" s="2169">
        <f t="shared" si="179"/>
        <v>0</v>
      </c>
      <c r="BN92" s="2170">
        <f>$J$92*0</f>
        <v>0</v>
      </c>
      <c r="BO92" s="2178">
        <f t="shared" si="180"/>
        <v>0</v>
      </c>
      <c r="BQ92" s="2179"/>
      <c r="BR92" s="2180"/>
      <c r="BS92" s="1900"/>
      <c r="BT92" s="2179">
        <f t="shared" si="181"/>
        <v>2.5</v>
      </c>
      <c r="BU92" s="2181">
        <f t="shared" si="182"/>
        <v>3.3333333333333333E-2</v>
      </c>
      <c r="BV92" s="2353"/>
      <c r="BW92" s="4636"/>
      <c r="BZ92" s="2869"/>
      <c r="CA92" s="1946"/>
      <c r="CB92" s="1946"/>
      <c r="CC92" s="1946"/>
      <c r="CD92" s="1946"/>
      <c r="CE92" s="1946"/>
      <c r="CF92" s="1946"/>
      <c r="CG92" s="1946"/>
      <c r="CH92" s="1946"/>
    </row>
    <row r="93" spans="1:86" s="1726" customFormat="1" ht="17.25" thickBot="1" x14ac:dyDescent="0.25">
      <c r="A93" s="1756"/>
      <c r="B93" s="2107">
        <v>53</v>
      </c>
      <c r="C93" s="2108" t="s">
        <v>242</v>
      </c>
      <c r="D93" s="2646"/>
      <c r="E93" s="2092">
        <v>0</v>
      </c>
      <c r="F93" s="2111">
        <f>E93/10</f>
        <v>0</v>
      </c>
      <c r="G93" s="2111">
        <f>E93/15</f>
        <v>0</v>
      </c>
      <c r="H93" s="2111">
        <f>E93/20</f>
        <v>0</v>
      </c>
      <c r="I93" s="2111">
        <f>E93/25</f>
        <v>0</v>
      </c>
      <c r="J93" s="2111">
        <f t="shared" si="171"/>
        <v>0</v>
      </c>
      <c r="K93" s="2112">
        <f t="shared" si="172"/>
        <v>0</v>
      </c>
      <c r="L93" s="1931"/>
      <c r="M93" s="1924"/>
      <c r="N93" s="2090">
        <f t="shared" ref="N93:T93" si="208">IF(N85&gt;$J$96,$J$93,IF(N85&lt;$J$96,(IF(N85&lt;0,0,N85*$K$93))))</f>
        <v>0</v>
      </c>
      <c r="O93" s="2088">
        <f t="shared" si="208"/>
        <v>0</v>
      </c>
      <c r="P93" s="2088">
        <f t="shared" si="208"/>
        <v>0</v>
      </c>
      <c r="Q93" s="2088">
        <f t="shared" si="208"/>
        <v>0</v>
      </c>
      <c r="R93" s="2088">
        <f t="shared" si="208"/>
        <v>0</v>
      </c>
      <c r="S93" s="2088">
        <f t="shared" si="208"/>
        <v>0</v>
      </c>
      <c r="T93" s="2091">
        <f t="shared" si="208"/>
        <v>0</v>
      </c>
      <c r="U93" s="1814"/>
      <c r="V93" s="2090">
        <f t="shared" si="155"/>
        <v>0</v>
      </c>
      <c r="W93" s="2087">
        <f>$J$93*0</f>
        <v>0</v>
      </c>
      <c r="X93" s="2174">
        <f t="shared" si="138"/>
        <v>0</v>
      </c>
      <c r="Y93" s="1766"/>
      <c r="Z93" s="2090">
        <f t="shared" ref="Z93:AF93" si="209">IF(Z85&gt;$J$96,$J$93,IF(Z85&lt;$J$96,(IF(Z85&lt;0,0,Z85*$K$93))))</f>
        <v>0</v>
      </c>
      <c r="AA93" s="2087">
        <f t="shared" si="209"/>
        <v>0</v>
      </c>
      <c r="AB93" s="2087">
        <f t="shared" si="209"/>
        <v>0</v>
      </c>
      <c r="AC93" s="2087">
        <f t="shared" si="209"/>
        <v>0</v>
      </c>
      <c r="AD93" s="2087">
        <f t="shared" si="209"/>
        <v>0</v>
      </c>
      <c r="AE93" s="2087">
        <f t="shared" si="209"/>
        <v>0</v>
      </c>
      <c r="AF93" s="2091">
        <f t="shared" si="209"/>
        <v>0</v>
      </c>
      <c r="AG93" s="1766"/>
      <c r="AH93" s="2090">
        <f t="shared" si="113"/>
        <v>0</v>
      </c>
      <c r="AI93" s="2087">
        <f>$J$93*0</f>
        <v>0</v>
      </c>
      <c r="AJ93" s="2174">
        <f t="shared" si="114"/>
        <v>0</v>
      </c>
      <c r="AK93" s="1766"/>
      <c r="AL93" s="2090">
        <f t="shared" ref="AL93:AR93" si="210">IF(AL85&gt;$J$96,$J$93,IF(AL85&lt;$J$96,(IF(AL85&lt;0,0,AL85*$K$93))))</f>
        <v>0</v>
      </c>
      <c r="AM93" s="2088">
        <f t="shared" si="210"/>
        <v>0</v>
      </c>
      <c r="AN93" s="2088">
        <f t="shared" si="210"/>
        <v>0</v>
      </c>
      <c r="AO93" s="2088">
        <f t="shared" si="210"/>
        <v>0</v>
      </c>
      <c r="AP93" s="2088">
        <f t="shared" si="210"/>
        <v>0</v>
      </c>
      <c r="AQ93" s="2088">
        <f t="shared" si="210"/>
        <v>0</v>
      </c>
      <c r="AR93" s="2091">
        <f t="shared" si="210"/>
        <v>0</v>
      </c>
      <c r="AS93" s="1814"/>
      <c r="AT93" s="2090">
        <f t="shared" si="187"/>
        <v>0</v>
      </c>
      <c r="AU93" s="2087">
        <f>$J$93*0</f>
        <v>0</v>
      </c>
      <c r="AV93" s="2174">
        <f t="shared" si="188"/>
        <v>0</v>
      </c>
      <c r="AW93" s="1814"/>
      <c r="AX93" s="2090">
        <f t="shared" ref="AX93:BD93" si="211">IF(AX85&gt;$J$96,$J$93,IF(AX85&lt;$J$96,(IF(AX85&lt;0,0,AX85*$K$93))))</f>
        <v>0</v>
      </c>
      <c r="AY93" s="2305">
        <f t="shared" si="211"/>
        <v>0</v>
      </c>
      <c r="AZ93" s="2305">
        <f t="shared" si="211"/>
        <v>0</v>
      </c>
      <c r="BA93" s="2305">
        <f t="shared" si="211"/>
        <v>0</v>
      </c>
      <c r="BB93" s="2305">
        <f t="shared" si="211"/>
        <v>0</v>
      </c>
      <c r="BC93" s="2305">
        <f t="shared" si="211"/>
        <v>0</v>
      </c>
      <c r="BD93" s="2091">
        <f t="shared" si="211"/>
        <v>0</v>
      </c>
      <c r="BE93" s="1814"/>
      <c r="BF93" s="2090">
        <f t="shared" si="177"/>
        <v>0</v>
      </c>
      <c r="BG93" s="2087">
        <f>$J$93*0</f>
        <v>0</v>
      </c>
      <c r="BH93" s="2174">
        <f t="shared" si="178"/>
        <v>0</v>
      </c>
      <c r="BI93" s="1814"/>
      <c r="BJ93" s="2090">
        <f>IF(BJ85&gt;$J$96,$J$93,IF(BJ85&lt;$J$96,(IF(BJ85&lt;0,0,BJ85*$K$93))))</f>
        <v>0</v>
      </c>
      <c r="BK93" s="2174">
        <f>IF(BK85&gt;$J$96,$J$93,IF(BK85&lt;$J$96,(IF(BK85&lt;0,0,BK85*$K$93))))</f>
        <v>0</v>
      </c>
      <c r="BL93" s="1814"/>
      <c r="BM93" s="2090">
        <f t="shared" si="179"/>
        <v>0</v>
      </c>
      <c r="BN93" s="2087">
        <f>$J$93*0</f>
        <v>0</v>
      </c>
      <c r="BO93" s="2174">
        <f t="shared" si="180"/>
        <v>0</v>
      </c>
      <c r="BQ93" s="2092"/>
      <c r="BR93" s="2093"/>
      <c r="BS93" s="1740"/>
      <c r="BT93" s="2092">
        <f t="shared" si="181"/>
        <v>0</v>
      </c>
      <c r="BU93" s="2094" t="e">
        <f t="shared" si="182"/>
        <v>#DIV/0!</v>
      </c>
      <c r="BV93" s="2351"/>
      <c r="BW93" s="4636"/>
      <c r="BZ93" s="2874"/>
      <c r="CA93" s="1860"/>
      <c r="CB93" s="1860"/>
      <c r="CC93" s="1860"/>
      <c r="CD93" s="1860"/>
      <c r="CE93" s="1860"/>
      <c r="CF93" s="1860"/>
      <c r="CG93" s="1860"/>
      <c r="CH93" s="1860"/>
    </row>
    <row r="94" spans="1:86" s="1885" customFormat="1" x14ac:dyDescent="0.2">
      <c r="B94" s="2691">
        <v>54</v>
      </c>
      <c r="C94" s="2692" t="s">
        <v>227</v>
      </c>
      <c r="D94" s="2693"/>
      <c r="E94" s="2694">
        <v>0</v>
      </c>
      <c r="F94" s="2695"/>
      <c r="G94" s="2695"/>
      <c r="H94" s="2695"/>
      <c r="I94" s="2695"/>
      <c r="J94" s="2695">
        <f t="shared" si="171"/>
        <v>0</v>
      </c>
      <c r="K94" s="2696">
        <f t="shared" si="172"/>
        <v>0</v>
      </c>
      <c r="L94" s="2003"/>
      <c r="M94" s="1950"/>
      <c r="N94" s="2169">
        <f t="shared" ref="N94:T94" si="212">IF(N85&gt;$J$96,$J$94,IF(N85&lt;$J$96,(IF(N85&lt;0,0,N85*$K$94))))</f>
        <v>0</v>
      </c>
      <c r="O94" s="2176">
        <f t="shared" si="212"/>
        <v>0</v>
      </c>
      <c r="P94" s="2176">
        <f t="shared" si="212"/>
        <v>0</v>
      </c>
      <c r="Q94" s="2176">
        <f t="shared" si="212"/>
        <v>0</v>
      </c>
      <c r="R94" s="2176">
        <f t="shared" si="212"/>
        <v>0</v>
      </c>
      <c r="S94" s="2176">
        <f t="shared" si="212"/>
        <v>0</v>
      </c>
      <c r="T94" s="2171">
        <f t="shared" si="212"/>
        <v>0</v>
      </c>
      <c r="U94" s="1951"/>
      <c r="V94" s="2169">
        <f t="shared" si="155"/>
        <v>0</v>
      </c>
      <c r="W94" s="2170">
        <f>$J$94*0</f>
        <v>0</v>
      </c>
      <c r="X94" s="2178">
        <f t="shared" si="138"/>
        <v>0</v>
      </c>
      <c r="Y94" s="1956"/>
      <c r="Z94" s="2169">
        <f t="shared" ref="Z94:AF94" si="213">IF(Z85&gt;$J$96,$J$94,IF(Z85&lt;$J$96,(IF(Z85&lt;0,0,Z85*$K$94))))</f>
        <v>0</v>
      </c>
      <c r="AA94" s="2170">
        <f t="shared" si="213"/>
        <v>0</v>
      </c>
      <c r="AB94" s="2170">
        <f t="shared" si="213"/>
        <v>0</v>
      </c>
      <c r="AC94" s="2170">
        <f t="shared" si="213"/>
        <v>0</v>
      </c>
      <c r="AD94" s="2170">
        <f t="shared" si="213"/>
        <v>0</v>
      </c>
      <c r="AE94" s="2170">
        <f t="shared" si="213"/>
        <v>0</v>
      </c>
      <c r="AF94" s="2171">
        <f t="shared" si="213"/>
        <v>0</v>
      </c>
      <c r="AG94" s="1956"/>
      <c r="AH94" s="2169">
        <f t="shared" si="113"/>
        <v>0</v>
      </c>
      <c r="AI94" s="2170">
        <f>$J$94*0</f>
        <v>0</v>
      </c>
      <c r="AJ94" s="2178">
        <f t="shared" si="114"/>
        <v>0</v>
      </c>
      <c r="AK94" s="1956"/>
      <c r="AL94" s="2169">
        <f t="shared" ref="AL94:AR94" si="214">IF(AL85&gt;$J$96,$J$94,IF(AL85&lt;$J$96,(IF(AL85&lt;0,0,AL85*$K$94))))</f>
        <v>0</v>
      </c>
      <c r="AM94" s="2176">
        <f t="shared" si="214"/>
        <v>0</v>
      </c>
      <c r="AN94" s="2176">
        <f t="shared" si="214"/>
        <v>0</v>
      </c>
      <c r="AO94" s="2176">
        <f t="shared" si="214"/>
        <v>0</v>
      </c>
      <c r="AP94" s="2176">
        <f t="shared" si="214"/>
        <v>0</v>
      </c>
      <c r="AQ94" s="2176">
        <f t="shared" si="214"/>
        <v>0</v>
      </c>
      <c r="AR94" s="2171">
        <f t="shared" si="214"/>
        <v>0</v>
      </c>
      <c r="AS94" s="1951"/>
      <c r="AT94" s="2169">
        <f t="shared" si="187"/>
        <v>0</v>
      </c>
      <c r="AU94" s="2170">
        <f>$J$94*0</f>
        <v>0</v>
      </c>
      <c r="AV94" s="2178">
        <f t="shared" si="188"/>
        <v>0</v>
      </c>
      <c r="AW94" s="1951"/>
      <c r="AX94" s="2169">
        <f t="shared" ref="AX94:BD94" si="215">IF(AX85&gt;$J$96,$J$94,IF(AX85&lt;$J$96,(IF(AX85&lt;0,0,AX85*$K$94))))</f>
        <v>0</v>
      </c>
      <c r="AY94" s="2307">
        <f t="shared" si="215"/>
        <v>0</v>
      </c>
      <c r="AZ94" s="2307">
        <f t="shared" si="215"/>
        <v>0</v>
      </c>
      <c r="BA94" s="2307">
        <f t="shared" si="215"/>
        <v>0</v>
      </c>
      <c r="BB94" s="2307">
        <f t="shared" si="215"/>
        <v>0</v>
      </c>
      <c r="BC94" s="2307">
        <f t="shared" si="215"/>
        <v>0</v>
      </c>
      <c r="BD94" s="2171">
        <f t="shared" si="215"/>
        <v>0</v>
      </c>
      <c r="BE94" s="1951"/>
      <c r="BF94" s="2169">
        <f t="shared" si="177"/>
        <v>0</v>
      </c>
      <c r="BG94" s="2170">
        <f>$J$94*0</f>
        <v>0</v>
      </c>
      <c r="BH94" s="2178">
        <f t="shared" si="178"/>
        <v>0</v>
      </c>
      <c r="BI94" s="1951"/>
      <c r="BJ94" s="2169">
        <f>IF(BJ85&gt;$J$96,$J$94,IF(BJ85&lt;$J$96,(IF(BJ85&lt;0,0,BJ85*$K$94))))</f>
        <v>0</v>
      </c>
      <c r="BK94" s="2178">
        <f>IF(BK85&gt;$J$96,$J$94,IF(BK85&lt;$J$96,(IF(BK85&lt;0,0,BK85*$K$94))))</f>
        <v>0</v>
      </c>
      <c r="BL94" s="1951"/>
      <c r="BM94" s="2169">
        <f t="shared" si="179"/>
        <v>0</v>
      </c>
      <c r="BN94" s="2170">
        <f>$J$94*0</f>
        <v>0</v>
      </c>
      <c r="BO94" s="2178">
        <f t="shared" si="180"/>
        <v>0</v>
      </c>
      <c r="BQ94" s="2179"/>
      <c r="BR94" s="2180"/>
      <c r="BS94" s="1900"/>
      <c r="BT94" s="2179">
        <f t="shared" si="181"/>
        <v>0</v>
      </c>
      <c r="BU94" s="2181" t="e">
        <f t="shared" si="182"/>
        <v>#DIV/0!</v>
      </c>
      <c r="BV94" s="2353"/>
      <c r="BW94" s="4636"/>
      <c r="BZ94" s="2869"/>
      <c r="CA94" s="1946"/>
      <c r="CB94" s="1946"/>
      <c r="CC94" s="1946"/>
      <c r="CD94" s="1946"/>
      <c r="CE94" s="1946"/>
      <c r="CF94" s="1946"/>
      <c r="CG94" s="1946"/>
      <c r="CH94" s="1946"/>
    </row>
    <row r="95" spans="1:86" s="1726" customFormat="1" ht="17.25" thickBot="1" x14ac:dyDescent="0.25">
      <c r="B95" s="2647">
        <v>55</v>
      </c>
      <c r="C95" s="2648" t="s">
        <v>228</v>
      </c>
      <c r="D95" s="2649"/>
      <c r="E95" s="2193">
        <v>0</v>
      </c>
      <c r="F95" s="2313">
        <f>E95/10</f>
        <v>0</v>
      </c>
      <c r="G95" s="2313">
        <f>E95/15</f>
        <v>0</v>
      </c>
      <c r="H95" s="2313">
        <f>E95/20</f>
        <v>0</v>
      </c>
      <c r="I95" s="2313">
        <f>E95/25</f>
        <v>0</v>
      </c>
      <c r="J95" s="2313">
        <f t="shared" si="171"/>
        <v>0</v>
      </c>
      <c r="K95" s="2194">
        <f t="shared" si="172"/>
        <v>0</v>
      </c>
      <c r="L95" s="1931"/>
      <c r="M95" s="1924"/>
      <c r="N95" s="2090">
        <f t="shared" ref="N95:T95" si="216">IF(N85&gt;$J$96,$J$95,IF(N85&lt;$J$96,(IF(N85&lt;0,0,N85*$K$95))))</f>
        <v>0</v>
      </c>
      <c r="O95" s="2088">
        <f t="shared" si="216"/>
        <v>0</v>
      </c>
      <c r="P95" s="2088">
        <f t="shared" si="216"/>
        <v>0</v>
      </c>
      <c r="Q95" s="2088">
        <f t="shared" si="216"/>
        <v>0</v>
      </c>
      <c r="R95" s="2088">
        <f t="shared" si="216"/>
        <v>0</v>
      </c>
      <c r="S95" s="2088">
        <f t="shared" si="216"/>
        <v>0</v>
      </c>
      <c r="T95" s="2091">
        <f t="shared" si="216"/>
        <v>0</v>
      </c>
      <c r="U95" s="1814"/>
      <c r="V95" s="2445">
        <f t="shared" si="34"/>
        <v>0</v>
      </c>
      <c r="W95" s="2650">
        <f>$J$95*0</f>
        <v>0</v>
      </c>
      <c r="X95" s="2651">
        <f t="shared" si="138"/>
        <v>0</v>
      </c>
      <c r="Y95" s="1766"/>
      <c r="Z95" s="2445">
        <f t="shared" ref="Z95:AF95" si="217">IF(Z85&gt;$J$96,$J$95,IF(Z85&lt;$J$96,(IF(Z85&lt;0,0,Z85*$K$95))))</f>
        <v>0</v>
      </c>
      <c r="AA95" s="2650">
        <f t="shared" si="217"/>
        <v>0</v>
      </c>
      <c r="AB95" s="2650">
        <f t="shared" si="217"/>
        <v>0</v>
      </c>
      <c r="AC95" s="2650">
        <f t="shared" si="217"/>
        <v>0</v>
      </c>
      <c r="AD95" s="2650">
        <f t="shared" si="217"/>
        <v>0</v>
      </c>
      <c r="AE95" s="2650">
        <f t="shared" si="217"/>
        <v>0</v>
      </c>
      <c r="AF95" s="2652">
        <f t="shared" si="217"/>
        <v>0</v>
      </c>
      <c r="AG95" s="1766"/>
      <c r="AH95" s="2445">
        <f t="shared" si="113"/>
        <v>0</v>
      </c>
      <c r="AI95" s="2650">
        <f>$J$95*0</f>
        <v>0</v>
      </c>
      <c r="AJ95" s="2651">
        <f t="shared" si="114"/>
        <v>0</v>
      </c>
      <c r="AK95" s="1766"/>
      <c r="AL95" s="2193">
        <f t="shared" ref="AL95:AR95" si="218">IF(AL85&gt;$J$96,$J$95,IF(AL85&lt;$J$96,(IF(AL85&lt;0,0,AL85*$K$95))))</f>
        <v>0</v>
      </c>
      <c r="AM95" s="2313">
        <f t="shared" si="218"/>
        <v>0</v>
      </c>
      <c r="AN95" s="2313">
        <f t="shared" si="218"/>
        <v>0</v>
      </c>
      <c r="AO95" s="2313">
        <f t="shared" si="218"/>
        <v>0</v>
      </c>
      <c r="AP95" s="2313">
        <f t="shared" si="218"/>
        <v>0</v>
      </c>
      <c r="AQ95" s="2313">
        <f t="shared" si="218"/>
        <v>0</v>
      </c>
      <c r="AR95" s="2314">
        <f t="shared" si="218"/>
        <v>0</v>
      </c>
      <c r="AS95" s="1814"/>
      <c r="AT95" s="2445">
        <f t="shared" si="187"/>
        <v>0</v>
      </c>
      <c r="AU95" s="2650">
        <f>$J$95*0</f>
        <v>0</v>
      </c>
      <c r="AV95" s="2651">
        <f t="shared" si="188"/>
        <v>0</v>
      </c>
      <c r="AW95" s="1814"/>
      <c r="AX95" s="2445">
        <f t="shared" ref="AX95:BD95" si="219">IF(AX85&gt;$J$96,$J$95,IF(AX85&lt;$J$96,(IF(AX85&lt;0,0,AX85*$K$95))))</f>
        <v>0</v>
      </c>
      <c r="AY95" s="2653">
        <f t="shared" si="219"/>
        <v>0</v>
      </c>
      <c r="AZ95" s="2653">
        <f t="shared" si="219"/>
        <v>0</v>
      </c>
      <c r="BA95" s="2653">
        <f t="shared" si="219"/>
        <v>0</v>
      </c>
      <c r="BB95" s="2653">
        <f t="shared" si="219"/>
        <v>0</v>
      </c>
      <c r="BC95" s="2653">
        <f t="shared" si="219"/>
        <v>0</v>
      </c>
      <c r="BD95" s="2652">
        <f t="shared" si="219"/>
        <v>0</v>
      </c>
      <c r="BE95" s="1814"/>
      <c r="BF95" s="2445">
        <f t="shared" si="177"/>
        <v>0</v>
      </c>
      <c r="BG95" s="2650">
        <f>$J$95*0</f>
        <v>0</v>
      </c>
      <c r="BH95" s="2651">
        <f t="shared" si="178"/>
        <v>0</v>
      </c>
      <c r="BI95" s="1814"/>
      <c r="BJ95" s="2445">
        <f>IF(BJ85&gt;$J$96,$J$95,IF(BJ85&lt;$J$96,(IF(BJ85&lt;0,0,BJ85*$K$95))))</f>
        <v>0</v>
      </c>
      <c r="BK95" s="2651">
        <f>IF(BK85&gt;$J$96,$J$95,IF(BK85&lt;$J$96,(IF(BK85&lt;0,0,BK85*$K$95))))</f>
        <v>0</v>
      </c>
      <c r="BL95" s="1814"/>
      <c r="BM95" s="2445">
        <f t="shared" si="179"/>
        <v>0</v>
      </c>
      <c r="BN95" s="2650">
        <f>$J$95*0</f>
        <v>0</v>
      </c>
      <c r="BO95" s="2651">
        <f t="shared" si="180"/>
        <v>0</v>
      </c>
      <c r="BQ95" s="2193"/>
      <c r="BR95" s="2654"/>
      <c r="BS95" s="1740"/>
      <c r="BT95" s="2193">
        <f t="shared" si="181"/>
        <v>0</v>
      </c>
      <c r="BU95" s="2195" t="e">
        <f t="shared" si="182"/>
        <v>#DIV/0!</v>
      </c>
      <c r="BV95" s="2351"/>
      <c r="BW95" s="4636"/>
      <c r="BZ95" s="2874"/>
      <c r="CA95" s="2874"/>
      <c r="CB95" s="1860"/>
      <c r="CC95" s="1860"/>
      <c r="CD95" s="1860"/>
      <c r="CE95" s="1860"/>
      <c r="CF95" s="1860"/>
      <c r="CG95" s="1860"/>
      <c r="CH95" s="1860"/>
    </row>
    <row r="96" spans="1:86" s="1885" customFormat="1" ht="17.25" thickBot="1" x14ac:dyDescent="0.25">
      <c r="B96" s="2697"/>
      <c r="C96" s="2698" t="s">
        <v>194</v>
      </c>
      <c r="D96" s="2119"/>
      <c r="E96" s="2183">
        <f>SUM(E87:E95)</f>
        <v>1644</v>
      </c>
      <c r="F96" s="2311">
        <f>SUM(F74:F95)</f>
        <v>149.52500000000001</v>
      </c>
      <c r="G96" s="2311">
        <f>SUM(G74:G95)</f>
        <v>99.683333333333351</v>
      </c>
      <c r="H96" s="2311">
        <f>SUM(H74:H95)</f>
        <v>74.762500000000003</v>
      </c>
      <c r="I96" s="2311">
        <f>SUM(I74:I95)</f>
        <v>59.81</v>
      </c>
      <c r="J96" s="2311">
        <f>SUM(J87:J95)</f>
        <v>54.800000000000004</v>
      </c>
      <c r="K96" s="2699">
        <f>SUM(K87:K95)</f>
        <v>1</v>
      </c>
      <c r="L96" s="2003"/>
      <c r="M96" s="1950"/>
      <c r="N96" s="2120">
        <f t="shared" ref="N96:T96" si="220">SUM(N87:N95)</f>
        <v>54.800000000000004</v>
      </c>
      <c r="O96" s="2123">
        <f t="shared" si="220"/>
        <v>0</v>
      </c>
      <c r="P96" s="2123">
        <f t="shared" si="220"/>
        <v>0</v>
      </c>
      <c r="Q96" s="2123">
        <f t="shared" si="220"/>
        <v>0</v>
      </c>
      <c r="R96" s="2123">
        <f t="shared" si="220"/>
        <v>0</v>
      </c>
      <c r="S96" s="2123">
        <f t="shared" si="220"/>
        <v>0</v>
      </c>
      <c r="T96" s="2124">
        <f t="shared" si="220"/>
        <v>0</v>
      </c>
      <c r="U96" s="1951"/>
      <c r="V96" s="2120">
        <f>SUM(V87:V95)</f>
        <v>54.800000000000004</v>
      </c>
      <c r="W96" s="2123">
        <f>SUM(W87:W95)</f>
        <v>0</v>
      </c>
      <c r="X96" s="2125">
        <f>SUM(X87:X95)</f>
        <v>54.800000000000004</v>
      </c>
      <c r="Y96" s="1956"/>
      <c r="Z96" s="2120">
        <f t="shared" ref="Z96:AF96" si="221">SUM(Z87:Z95)</f>
        <v>0</v>
      </c>
      <c r="AA96" s="2123">
        <f t="shared" si="221"/>
        <v>0</v>
      </c>
      <c r="AB96" s="2123">
        <f t="shared" si="221"/>
        <v>0</v>
      </c>
      <c r="AC96" s="2123">
        <f t="shared" si="221"/>
        <v>0</v>
      </c>
      <c r="AD96" s="2123">
        <f t="shared" si="221"/>
        <v>0</v>
      </c>
      <c r="AE96" s="2123">
        <f t="shared" si="221"/>
        <v>0</v>
      </c>
      <c r="AF96" s="2124">
        <f t="shared" si="221"/>
        <v>0</v>
      </c>
      <c r="AG96" s="1956"/>
      <c r="AH96" s="2120">
        <f>SUM(Z96:AF96)</f>
        <v>0</v>
      </c>
      <c r="AI96" s="2123">
        <f>SUM(AI87:AI95)</f>
        <v>0</v>
      </c>
      <c r="AJ96" s="2125">
        <f>SUM(AJ74:AJ95)</f>
        <v>0</v>
      </c>
      <c r="AK96" s="1956"/>
      <c r="AL96" s="2120">
        <f t="shared" ref="AL96:AR96" si="222">SUM(AL87:AL95)</f>
        <v>0</v>
      </c>
      <c r="AM96" s="2121">
        <f t="shared" si="222"/>
        <v>0</v>
      </c>
      <c r="AN96" s="2121">
        <f t="shared" si="222"/>
        <v>0</v>
      </c>
      <c r="AO96" s="2121">
        <f t="shared" si="222"/>
        <v>0</v>
      </c>
      <c r="AP96" s="2121">
        <f t="shared" si="222"/>
        <v>0</v>
      </c>
      <c r="AQ96" s="2121">
        <f t="shared" si="222"/>
        <v>0</v>
      </c>
      <c r="AR96" s="2124">
        <f t="shared" si="222"/>
        <v>0</v>
      </c>
      <c r="AS96" s="1951"/>
      <c r="AT96" s="2120">
        <f>SUM(AL96:AR96)</f>
        <v>0</v>
      </c>
      <c r="AU96" s="2123">
        <f>SUM(AU87:AU95)</f>
        <v>0</v>
      </c>
      <c r="AV96" s="2125">
        <f>SUM(AV74:AV95)</f>
        <v>0</v>
      </c>
      <c r="AW96" s="1951"/>
      <c r="AX96" s="2187">
        <f t="shared" ref="AX96:BD96" si="223">SUM(AX87:AX95)</f>
        <v>0</v>
      </c>
      <c r="AY96" s="2700">
        <f t="shared" si="223"/>
        <v>0</v>
      </c>
      <c r="AZ96" s="2700">
        <f t="shared" si="223"/>
        <v>0</v>
      </c>
      <c r="BA96" s="2700">
        <f t="shared" si="223"/>
        <v>0</v>
      </c>
      <c r="BB96" s="2700">
        <f t="shared" si="223"/>
        <v>0</v>
      </c>
      <c r="BC96" s="2700">
        <f t="shared" si="223"/>
        <v>0</v>
      </c>
      <c r="BD96" s="2309">
        <f t="shared" si="223"/>
        <v>0</v>
      </c>
      <c r="BE96" s="1951"/>
      <c r="BF96" s="2187">
        <f>SUM(AX96:BD96)</f>
        <v>0</v>
      </c>
      <c r="BG96" s="2701">
        <f>SUM(BG87:BG95)</f>
        <v>0</v>
      </c>
      <c r="BH96" s="2702">
        <f>SUM(BH74:BH95)</f>
        <v>0</v>
      </c>
      <c r="BI96" s="1951"/>
      <c r="BJ96" s="2187">
        <f t="shared" ref="BJ96:BK96" si="224">SUM(BJ87:BJ95)</f>
        <v>0</v>
      </c>
      <c r="BK96" s="2702">
        <f t="shared" si="224"/>
        <v>0</v>
      </c>
      <c r="BL96" s="1951"/>
      <c r="BM96" s="2187">
        <f t="shared" si="179"/>
        <v>0</v>
      </c>
      <c r="BN96" s="2701">
        <f>SUM(BN74:BN95)</f>
        <v>0</v>
      </c>
      <c r="BO96" s="2702">
        <f>SUM(BO74:BO95)</f>
        <v>0</v>
      </c>
      <c r="BQ96" s="2187">
        <f>X96+AJ96+AV96</f>
        <v>54.800000000000004</v>
      </c>
      <c r="BR96" s="2427"/>
      <c r="BS96" s="1900"/>
      <c r="BT96" s="2187">
        <f>SUM(BT87:BT95)</f>
        <v>54.800000000000004</v>
      </c>
      <c r="BU96" s="2189">
        <f t="shared" si="182"/>
        <v>3.3333333333333333E-2</v>
      </c>
      <c r="BV96" s="2353"/>
      <c r="BW96" s="4637"/>
      <c r="BZ96" s="2869"/>
      <c r="CA96" s="1946"/>
      <c r="CB96" s="1946"/>
      <c r="CC96" s="1946"/>
      <c r="CD96" s="1946"/>
      <c r="CE96" s="1946"/>
      <c r="CF96" s="1946"/>
      <c r="CG96" s="1946"/>
      <c r="CH96" s="1946"/>
    </row>
    <row r="97" spans="1:76" s="1860" customFormat="1" ht="4.5" customHeight="1" x14ac:dyDescent="0.2">
      <c r="B97" s="2196"/>
      <c r="C97" s="2196"/>
      <c r="D97" s="1861"/>
      <c r="E97" s="2197"/>
      <c r="F97" s="2197"/>
      <c r="G97" s="2197"/>
      <c r="H97" s="2197"/>
      <c r="I97" s="2197"/>
      <c r="J97" s="2197"/>
      <c r="K97" s="2198"/>
      <c r="L97" s="1760"/>
      <c r="M97" s="2874"/>
      <c r="N97" s="2197"/>
      <c r="O97" s="2197"/>
      <c r="P97" s="2197"/>
      <c r="Q97" s="2197"/>
      <c r="R97" s="2197"/>
      <c r="S97" s="2197"/>
      <c r="T97" s="2197"/>
      <c r="U97" s="2876"/>
      <c r="V97" s="2876"/>
      <c r="W97" s="2876"/>
      <c r="X97" s="2876"/>
      <c r="Y97" s="1862"/>
      <c r="Z97" s="2199"/>
      <c r="AA97" s="2199"/>
      <c r="AB97" s="2199"/>
      <c r="AC97" s="2199"/>
      <c r="AD97" s="2199"/>
      <c r="AE97" s="2199"/>
      <c r="AF97" s="2199"/>
      <c r="AG97" s="1862"/>
      <c r="AH97" s="2876"/>
      <c r="AI97" s="2876"/>
      <c r="AJ97" s="2876"/>
      <c r="AK97" s="1862"/>
      <c r="AL97" s="2197"/>
      <c r="AM97" s="2197"/>
      <c r="AN97" s="2197"/>
      <c r="AO97" s="2197"/>
      <c r="AP97" s="2197"/>
      <c r="AQ97" s="2197"/>
      <c r="AR97" s="2197"/>
      <c r="AS97" s="2876"/>
      <c r="AT97" s="2876"/>
      <c r="AU97" s="2876"/>
      <c r="AV97" s="2876"/>
      <c r="AW97" s="2876"/>
      <c r="AX97" s="2197"/>
      <c r="AY97" s="2197"/>
      <c r="AZ97" s="2197"/>
      <c r="BA97" s="2197"/>
      <c r="BB97" s="2197"/>
      <c r="BC97" s="2197"/>
      <c r="BD97" s="2197"/>
      <c r="BE97" s="2876"/>
      <c r="BF97" s="2876"/>
      <c r="BG97" s="2876"/>
      <c r="BH97" s="2876"/>
      <c r="BI97" s="2876"/>
      <c r="BJ97" s="2197"/>
      <c r="BK97" s="2197"/>
      <c r="BL97" s="2876"/>
      <c r="BM97" s="2876"/>
      <c r="BN97" s="2876"/>
      <c r="BO97" s="2876"/>
      <c r="BQ97" s="2197"/>
      <c r="BR97" s="2200"/>
      <c r="BS97" s="1861"/>
      <c r="BT97" s="2197"/>
      <c r="BU97" s="2198"/>
      <c r="BV97" s="1997"/>
      <c r="BW97" s="2874"/>
    </row>
    <row r="98" spans="1:76" s="1860" customFormat="1" ht="15.75" customHeight="1" x14ac:dyDescent="0.2">
      <c r="B98" s="2196"/>
      <c r="C98" s="2197"/>
      <c r="D98" s="1861"/>
      <c r="E98" s="1732">
        <f t="shared" ref="E98:I98" si="225">E83+E96</f>
        <v>1966.25</v>
      </c>
      <c r="F98" s="1732">
        <f t="shared" si="225"/>
        <v>149.52500000000001</v>
      </c>
      <c r="G98" s="1732">
        <f t="shared" si="225"/>
        <v>99.683333333333351</v>
      </c>
      <c r="H98" s="1732">
        <f t="shared" si="225"/>
        <v>74.762500000000003</v>
      </c>
      <c r="I98" s="1732">
        <f t="shared" si="225"/>
        <v>59.81</v>
      </c>
      <c r="J98" s="1732">
        <f>J83+J96</f>
        <v>65.541666666666671</v>
      </c>
      <c r="K98" s="1882">
        <f>E98/E117</f>
        <v>0.40573026288638531</v>
      </c>
      <c r="L98" s="1760"/>
      <c r="M98" s="2874"/>
      <c r="N98" s="1732">
        <f t="shared" ref="N98:T98" si="226">N85-N96</f>
        <v>8.0441666666666691</v>
      </c>
      <c r="O98" s="1732">
        <f t="shared" si="226"/>
        <v>0</v>
      </c>
      <c r="P98" s="1732">
        <f t="shared" si="226"/>
        <v>0</v>
      </c>
      <c r="Q98" s="1732">
        <f t="shared" si="226"/>
        <v>0</v>
      </c>
      <c r="R98" s="1732">
        <f t="shared" si="226"/>
        <v>0</v>
      </c>
      <c r="S98" s="1732">
        <f t="shared" si="226"/>
        <v>0</v>
      </c>
      <c r="T98" s="1732">
        <f t="shared" si="226"/>
        <v>0</v>
      </c>
      <c r="U98" s="2876"/>
      <c r="V98" s="2876"/>
      <c r="W98" s="2876"/>
      <c r="X98" s="2876"/>
      <c r="Y98" s="1862"/>
      <c r="Z98" s="1732">
        <f t="shared" ref="Z98:AF98" si="227">Z85-Z96</f>
        <v>0</v>
      </c>
      <c r="AA98" s="1732">
        <f t="shared" si="227"/>
        <v>0</v>
      </c>
      <c r="AB98" s="1732">
        <f t="shared" si="227"/>
        <v>0</v>
      </c>
      <c r="AC98" s="1732">
        <f t="shared" si="227"/>
        <v>0</v>
      </c>
      <c r="AD98" s="1732">
        <f t="shared" si="227"/>
        <v>0</v>
      </c>
      <c r="AE98" s="1732">
        <f t="shared" si="227"/>
        <v>0</v>
      </c>
      <c r="AF98" s="1732">
        <f t="shared" si="227"/>
        <v>0</v>
      </c>
      <c r="AG98" s="1862"/>
      <c r="AH98" s="2876"/>
      <c r="AI98" s="2876"/>
      <c r="AJ98" s="2876"/>
      <c r="AK98" s="1862"/>
      <c r="AL98" s="1732">
        <f t="shared" ref="AL98:AR98" si="228">AL85-AL96</f>
        <v>0</v>
      </c>
      <c r="AM98" s="1732">
        <f t="shared" si="228"/>
        <v>0</v>
      </c>
      <c r="AN98" s="1732">
        <f t="shared" si="228"/>
        <v>0</v>
      </c>
      <c r="AO98" s="1732">
        <f t="shared" si="228"/>
        <v>0</v>
      </c>
      <c r="AP98" s="1732">
        <f t="shared" si="228"/>
        <v>0</v>
      </c>
      <c r="AQ98" s="1732">
        <f t="shared" si="228"/>
        <v>0</v>
      </c>
      <c r="AR98" s="1732">
        <f t="shared" si="228"/>
        <v>0</v>
      </c>
      <c r="AS98" s="2876"/>
      <c r="AT98" s="2876"/>
      <c r="AU98" s="2876"/>
      <c r="AV98" s="2876"/>
      <c r="AW98" s="2876"/>
      <c r="AX98" s="1732">
        <f t="shared" ref="AX98:BD98" si="229">AX85-AX96</f>
        <v>0</v>
      </c>
      <c r="AY98" s="1732">
        <f t="shared" si="229"/>
        <v>0</v>
      </c>
      <c r="AZ98" s="1732">
        <f t="shared" si="229"/>
        <v>0</v>
      </c>
      <c r="BA98" s="1732">
        <f t="shared" si="229"/>
        <v>0</v>
      </c>
      <c r="BB98" s="1732">
        <f t="shared" si="229"/>
        <v>0</v>
      </c>
      <c r="BC98" s="1732">
        <f t="shared" si="229"/>
        <v>0</v>
      </c>
      <c r="BD98" s="1732">
        <f t="shared" si="229"/>
        <v>0</v>
      </c>
      <c r="BE98" s="2876"/>
      <c r="BF98" s="2876"/>
      <c r="BG98" s="2876"/>
      <c r="BH98" s="2876"/>
      <c r="BI98" s="2876"/>
      <c r="BJ98" s="1732">
        <f t="shared" ref="BJ98:BK98" si="230">BJ85-BJ96</f>
        <v>0</v>
      </c>
      <c r="BK98" s="1732">
        <f t="shared" si="230"/>
        <v>0</v>
      </c>
      <c r="BL98" s="2876"/>
      <c r="BM98" s="2876"/>
      <c r="BN98" s="2876"/>
      <c r="BO98" s="2876"/>
      <c r="BQ98" s="1732"/>
      <c r="BR98" s="2211"/>
      <c r="BS98" s="1861"/>
      <c r="BT98" s="1732"/>
      <c r="BU98" s="1882"/>
      <c r="BV98" s="1997"/>
      <c r="BW98" s="2874"/>
    </row>
    <row r="99" spans="1:76" s="1860" customFormat="1" ht="4.5" customHeight="1" thickBot="1" x14ac:dyDescent="0.25">
      <c r="B99" s="2196"/>
      <c r="C99" s="2196"/>
      <c r="D99" s="1861"/>
      <c r="E99" s="2197"/>
      <c r="F99" s="2197"/>
      <c r="G99" s="2197"/>
      <c r="H99" s="2197"/>
      <c r="I99" s="2197"/>
      <c r="J99" s="2197"/>
      <c r="K99" s="2198"/>
      <c r="L99" s="1760"/>
      <c r="M99" s="2874"/>
      <c r="N99" s="2876"/>
      <c r="O99" s="2876"/>
      <c r="P99" s="2876"/>
      <c r="Q99" s="2876"/>
      <c r="R99" s="2876"/>
      <c r="S99" s="2876"/>
      <c r="T99" s="2876"/>
      <c r="U99" s="2876"/>
      <c r="V99" s="2876"/>
      <c r="W99" s="2876"/>
      <c r="X99" s="2876"/>
      <c r="Y99" s="1862"/>
      <c r="Z99" s="2232"/>
      <c r="AA99" s="2232"/>
      <c r="AB99" s="2232"/>
      <c r="AC99" s="2232"/>
      <c r="AD99" s="2232"/>
      <c r="AE99" s="2232"/>
      <c r="AF99" s="2232"/>
      <c r="AG99" s="1862"/>
      <c r="AH99" s="2876"/>
      <c r="AI99" s="2876"/>
      <c r="AJ99" s="2876"/>
      <c r="AK99" s="1862"/>
      <c r="AL99" s="2232"/>
      <c r="AM99" s="2232"/>
      <c r="AN99" s="2232"/>
      <c r="AO99" s="2232"/>
      <c r="AP99" s="2232"/>
      <c r="AQ99" s="2232"/>
      <c r="AR99" s="2232"/>
      <c r="AS99" s="2876"/>
      <c r="AT99" s="2876"/>
      <c r="AU99" s="2876"/>
      <c r="AV99" s="2876"/>
      <c r="AW99" s="2876"/>
      <c r="AX99" s="2232"/>
      <c r="AY99" s="2232"/>
      <c r="AZ99" s="2232"/>
      <c r="BA99" s="2232"/>
      <c r="BB99" s="2232"/>
      <c r="BC99" s="2232"/>
      <c r="BD99" s="2232"/>
      <c r="BE99" s="2876"/>
      <c r="BF99" s="2876"/>
      <c r="BG99" s="2876"/>
      <c r="BH99" s="2876"/>
      <c r="BI99" s="2876"/>
      <c r="BJ99" s="2199"/>
      <c r="BK99" s="2199"/>
      <c r="BL99" s="2876"/>
      <c r="BM99" s="2876"/>
      <c r="BN99" s="2876"/>
      <c r="BO99" s="2876"/>
      <c r="BQ99" s="2199"/>
      <c r="BR99" s="2203"/>
      <c r="BS99" s="1861"/>
      <c r="BT99" s="2199"/>
      <c r="BU99" s="2204"/>
      <c r="BV99" s="1997"/>
      <c r="BW99" s="2874"/>
    </row>
    <row r="100" spans="1:76" s="1885" customFormat="1" ht="17.25" thickBot="1" x14ac:dyDescent="0.25">
      <c r="B100" s="2401"/>
      <c r="C100" s="2401" t="s">
        <v>151</v>
      </c>
      <c r="D100" s="2402"/>
      <c r="E100" s="1898">
        <f>(E96+E83)*100/24</f>
        <v>8192.7083333333339</v>
      </c>
      <c r="F100" s="1898" t="e">
        <f>#REF!+F96</f>
        <v>#REF!</v>
      </c>
      <c r="G100" s="1898" t="e">
        <f>#REF!+G96</f>
        <v>#REF!</v>
      </c>
      <c r="H100" s="1898" t="e">
        <f>#REF!+H96</f>
        <v>#REF!</v>
      </c>
      <c r="I100" s="1898" t="e">
        <f>#REF!+I96</f>
        <v>#REF!</v>
      </c>
      <c r="J100" s="1898">
        <f>(J96+J83)*100/30</f>
        <v>218.47222222222223</v>
      </c>
      <c r="K100" s="1899">
        <f>E100/E115</f>
        <v>0.40573026288638531</v>
      </c>
      <c r="L100" s="1949"/>
      <c r="M100" s="2869"/>
      <c r="N100" s="2873"/>
      <c r="O100" s="2873"/>
      <c r="P100" s="2873"/>
      <c r="Q100" s="2873"/>
      <c r="R100" s="2873"/>
      <c r="S100" s="2873"/>
      <c r="T100" s="2873"/>
      <c r="U100" s="2870"/>
      <c r="V100" s="2319"/>
      <c r="W100" s="2321"/>
      <c r="X100" s="2433"/>
      <c r="Y100" s="1897"/>
      <c r="Z100" s="2873"/>
      <c r="AA100" s="2873"/>
      <c r="AB100" s="2873"/>
      <c r="AC100" s="2873"/>
      <c r="AD100" s="2873"/>
      <c r="AE100" s="2873"/>
      <c r="AF100" s="2873"/>
      <c r="AG100" s="1896"/>
      <c r="AH100" s="2319"/>
      <c r="AI100" s="2321"/>
      <c r="AJ100" s="2433"/>
      <c r="AK100" s="1897"/>
      <c r="AL100" s="2873"/>
      <c r="AM100" s="2873"/>
      <c r="AN100" s="2873"/>
      <c r="AO100" s="2873"/>
      <c r="AP100" s="2873"/>
      <c r="AQ100" s="2873"/>
      <c r="AR100" s="2873"/>
      <c r="AS100" s="2295"/>
      <c r="AT100" s="2319"/>
      <c r="AU100" s="2321"/>
      <c r="AV100" s="2433"/>
      <c r="AW100" s="2870"/>
      <c r="AX100" s="2873"/>
      <c r="AY100" s="2873"/>
      <c r="AZ100" s="2873"/>
      <c r="BA100" s="2873"/>
      <c r="BB100" s="2873"/>
      <c r="BC100" s="2873"/>
      <c r="BD100" s="2873"/>
      <c r="BE100" s="2295"/>
      <c r="BF100" s="2319">
        <f t="shared" ref="BF100:BF101" si="231">SUM(AX100:BD100)</f>
        <v>0</v>
      </c>
      <c r="BG100" s="2321"/>
      <c r="BH100" s="2433"/>
      <c r="BI100" s="2870"/>
      <c r="BJ100" s="1898"/>
      <c r="BK100" s="1898"/>
      <c r="BL100" s="2870"/>
      <c r="BM100" s="2319">
        <f>SUM(BJ100:BK100)</f>
        <v>0</v>
      </c>
      <c r="BN100" s="2321"/>
      <c r="BO100" s="2433"/>
      <c r="BQ100" s="1898"/>
      <c r="BR100" s="2202"/>
      <c r="BS100" s="1900"/>
      <c r="BT100" s="1898"/>
      <c r="BU100" s="1899"/>
      <c r="BV100" s="2010"/>
      <c r="BW100" s="2869"/>
    </row>
    <row r="101" spans="1:76" s="1726" customFormat="1" ht="17.25" thickBot="1" x14ac:dyDescent="0.25">
      <c r="B101" s="2049"/>
      <c r="C101" s="2050" t="s">
        <v>149</v>
      </c>
      <c r="D101" s="2051"/>
      <c r="E101" s="2052"/>
      <c r="F101" s="2053"/>
      <c r="G101" s="2053"/>
      <c r="H101" s="2053"/>
      <c r="I101" s="2053"/>
      <c r="J101" s="2053"/>
      <c r="K101" s="2253"/>
      <c r="L101" s="2216"/>
      <c r="M101" s="2055"/>
      <c r="N101" s="2056">
        <f t="shared" ref="N101:T101" si="232">IF(N98&gt;$J$98,N98,IF(N98&lt;$J$98,(IF(N98&lt;0,-65.542,N85-$J$96))))</f>
        <v>8.0441666666666691</v>
      </c>
      <c r="O101" s="2053">
        <f t="shared" si="232"/>
        <v>-54.800000000000004</v>
      </c>
      <c r="P101" s="2053">
        <f t="shared" si="232"/>
        <v>-54.800000000000004</v>
      </c>
      <c r="Q101" s="2053">
        <f t="shared" si="232"/>
        <v>-54.800000000000004</v>
      </c>
      <c r="R101" s="2053">
        <f t="shared" si="232"/>
        <v>-54.800000000000004</v>
      </c>
      <c r="S101" s="2053">
        <f t="shared" si="232"/>
        <v>-54.800000000000004</v>
      </c>
      <c r="T101" s="2057">
        <f t="shared" si="232"/>
        <v>-54.800000000000004</v>
      </c>
      <c r="U101" s="1814"/>
      <c r="V101" s="2056">
        <f>SUM(N101:T101)</f>
        <v>-320.75583333333338</v>
      </c>
      <c r="W101" s="2052"/>
      <c r="X101" s="2057"/>
      <c r="Y101" s="1766"/>
      <c r="Z101" s="2056">
        <f t="shared" ref="Z101:AF101" si="233">IF(Z98&gt;$J$98,Z98,IF(Z98&lt;$J$98,(IF(Z98&lt;0,-65.542,Z85-$J$96))))</f>
        <v>-54.800000000000004</v>
      </c>
      <c r="AA101" s="2053">
        <f t="shared" si="233"/>
        <v>-54.800000000000004</v>
      </c>
      <c r="AB101" s="2053">
        <f t="shared" si="233"/>
        <v>-54.800000000000004</v>
      </c>
      <c r="AC101" s="2053">
        <f t="shared" si="233"/>
        <v>-54.800000000000004</v>
      </c>
      <c r="AD101" s="2053">
        <f t="shared" si="233"/>
        <v>-54.800000000000004</v>
      </c>
      <c r="AE101" s="2053">
        <f t="shared" si="233"/>
        <v>-54.800000000000004</v>
      </c>
      <c r="AF101" s="2053">
        <f t="shared" si="233"/>
        <v>-54.800000000000004</v>
      </c>
      <c r="AG101" s="1766"/>
      <c r="AH101" s="2056">
        <f>SUM(Z101:AF101)</f>
        <v>-383.6</v>
      </c>
      <c r="AI101" s="2052"/>
      <c r="AJ101" s="2057"/>
      <c r="AK101" s="1764"/>
      <c r="AL101" s="2056">
        <f t="shared" ref="AL101:AR101" si="234">IF(AL98&gt;$J$98,AL98,IF(AL98&lt;$J$98,(IF(AL98&lt;0,-65.542,AL85-$J$96))))</f>
        <v>-54.800000000000004</v>
      </c>
      <c r="AM101" s="2053">
        <f t="shared" si="234"/>
        <v>-54.800000000000004</v>
      </c>
      <c r="AN101" s="2053">
        <f t="shared" si="234"/>
        <v>-54.800000000000004</v>
      </c>
      <c r="AO101" s="2053">
        <f t="shared" si="234"/>
        <v>-54.800000000000004</v>
      </c>
      <c r="AP101" s="2053">
        <f t="shared" si="234"/>
        <v>-54.800000000000004</v>
      </c>
      <c r="AQ101" s="2053">
        <f t="shared" si="234"/>
        <v>-54.800000000000004</v>
      </c>
      <c r="AR101" s="2057">
        <f t="shared" si="234"/>
        <v>-54.800000000000004</v>
      </c>
      <c r="AS101" s="2300"/>
      <c r="AT101" s="2056">
        <f t="shared" ref="AT101" si="235">SUM(AL101:AR101)</f>
        <v>-383.6</v>
      </c>
      <c r="AU101" s="2052"/>
      <c r="AV101" s="2057"/>
      <c r="AW101" s="1814"/>
      <c r="AX101" s="2056">
        <f t="shared" ref="AX101:AY101" si="236">IF(AX98&gt;$J$98,AX98,IF(AX98&lt;$J$98,(IF(AX98&lt;0,-65.542,AX85-$J$96))))</f>
        <v>-54.800000000000004</v>
      </c>
      <c r="AY101" s="2052">
        <f t="shared" si="236"/>
        <v>-54.800000000000004</v>
      </c>
      <c r="AZ101" s="2052"/>
      <c r="BA101" s="2052"/>
      <c r="BB101" s="2052"/>
      <c r="BC101" s="2052"/>
      <c r="BD101" s="2057"/>
      <c r="BE101" s="1814"/>
      <c r="BF101" s="2056">
        <f t="shared" si="231"/>
        <v>-109.60000000000001</v>
      </c>
      <c r="BG101" s="2052"/>
      <c r="BH101" s="2057"/>
      <c r="BI101" s="1740"/>
      <c r="BJ101" s="2056"/>
      <c r="BK101" s="2052"/>
      <c r="BL101" s="2301"/>
      <c r="BM101" s="2058">
        <f>SUM(BJ101:BK101)</f>
        <v>0</v>
      </c>
      <c r="BN101" s="2324"/>
      <c r="BO101" s="2190"/>
      <c r="BP101" s="1862"/>
      <c r="BQ101" s="2058">
        <f>SUM(N101:T101)+SUM(Z101:AF101)+SUM(AL101:AR101)+SUM(AX101:BD101)+SUM(BJ101:BK101)</f>
        <v>-1197.5558333333333</v>
      </c>
      <c r="BR101" s="2054"/>
      <c r="BS101" s="1740"/>
      <c r="BT101" s="1740"/>
      <c r="BU101" s="1740"/>
      <c r="BV101" s="1861"/>
    </row>
    <row r="102" spans="1:76" s="1756" customFormat="1" ht="17.25" thickBot="1" x14ac:dyDescent="0.25">
      <c r="B102" s="1817"/>
      <c r="C102" s="1817"/>
      <c r="D102" s="1817"/>
      <c r="E102" s="1814"/>
      <c r="F102" s="1814"/>
      <c r="G102" s="1814"/>
      <c r="H102" s="1814"/>
      <c r="I102" s="1814"/>
      <c r="J102" s="1814"/>
      <c r="K102" s="1818"/>
      <c r="L102" s="2216"/>
      <c r="M102" s="2055"/>
      <c r="N102" s="1814"/>
      <c r="O102" s="1814"/>
      <c r="P102" s="1814"/>
      <c r="Q102" s="1814"/>
      <c r="R102" s="1814"/>
      <c r="S102" s="1814"/>
      <c r="T102" s="1814"/>
      <c r="U102" s="1814"/>
      <c r="V102" s="1814"/>
      <c r="W102" s="1814"/>
      <c r="X102" s="1814"/>
      <c r="Y102" s="1766"/>
      <c r="Z102" s="1814"/>
      <c r="AA102" s="1814"/>
      <c r="AB102" s="1814"/>
      <c r="AC102" s="1814"/>
      <c r="AD102" s="1814"/>
      <c r="AE102" s="1814"/>
      <c r="AF102" s="1814"/>
      <c r="AG102" s="1766"/>
      <c r="AH102" s="1814"/>
      <c r="AI102" s="1814"/>
      <c r="AJ102" s="1814"/>
      <c r="AK102" s="1766"/>
      <c r="AL102" s="1814"/>
      <c r="AM102" s="1814"/>
      <c r="AN102" s="1814"/>
      <c r="AO102" s="1814"/>
      <c r="AP102" s="1814"/>
      <c r="AQ102" s="1814"/>
      <c r="AR102" s="1814"/>
      <c r="AS102" s="1814"/>
      <c r="AT102" s="1814"/>
      <c r="AU102" s="1814"/>
      <c r="AV102" s="1814"/>
      <c r="AW102" s="1814"/>
      <c r="AX102" s="1814"/>
      <c r="AY102" s="1814"/>
      <c r="AZ102" s="1814"/>
      <c r="BA102" s="1814"/>
      <c r="BB102" s="1814"/>
      <c r="BC102" s="1814"/>
      <c r="BD102" s="1814"/>
      <c r="BE102" s="1814"/>
      <c r="BF102" s="1814"/>
      <c r="BG102" s="1814"/>
      <c r="BH102" s="1814"/>
      <c r="BI102" s="1814"/>
      <c r="BJ102" s="1814"/>
      <c r="BK102" s="1814"/>
      <c r="BL102" s="1814"/>
      <c r="BM102" s="1814"/>
      <c r="BN102" s="1814"/>
      <c r="BO102" s="1814"/>
      <c r="BP102" s="1766"/>
      <c r="BQ102" s="1814"/>
      <c r="BR102" s="1830"/>
      <c r="BS102" s="2868"/>
      <c r="BT102" s="2868"/>
      <c r="BU102" s="2868"/>
      <c r="BV102" s="1817"/>
    </row>
    <row r="103" spans="1:76" s="1947" customFormat="1" x14ac:dyDescent="0.2">
      <c r="A103" s="2217"/>
      <c r="B103" s="2218">
        <v>56</v>
      </c>
      <c r="C103" s="2218" t="s">
        <v>74</v>
      </c>
      <c r="D103" s="2219"/>
      <c r="E103" s="2007">
        <v>350</v>
      </c>
      <c r="F103" s="2007">
        <f t="shared" ref="F103:F112" si="237">E103/10</f>
        <v>35</v>
      </c>
      <c r="G103" s="2007">
        <f t="shared" ref="G103:G104" si="238">E103/15</f>
        <v>23.333333333333332</v>
      </c>
      <c r="H103" s="2007">
        <f t="shared" ref="H103:H104" si="239">E103/20</f>
        <v>17.5</v>
      </c>
      <c r="I103" s="2007">
        <f t="shared" ref="I103:I104" si="240">E103/25</f>
        <v>14</v>
      </c>
      <c r="J103" s="2007">
        <f>E103/30</f>
        <v>11.666666666666666</v>
      </c>
      <c r="K103" s="2008">
        <f>E103/E117</f>
        <v>7.222153439808511E-2</v>
      </c>
      <c r="L103" s="1949"/>
      <c r="M103" s="1905"/>
      <c r="N103" s="2007">
        <f t="shared" ref="N103:T103" si="241">$J$103</f>
        <v>11.666666666666666</v>
      </c>
      <c r="O103" s="2007">
        <f t="shared" si="241"/>
        <v>11.666666666666666</v>
      </c>
      <c r="P103" s="2007">
        <f t="shared" si="241"/>
        <v>11.666666666666666</v>
      </c>
      <c r="Q103" s="2007">
        <f t="shared" si="241"/>
        <v>11.666666666666666</v>
      </c>
      <c r="R103" s="2007">
        <f t="shared" si="241"/>
        <v>11.666666666666666</v>
      </c>
      <c r="S103" s="2007">
        <f t="shared" si="241"/>
        <v>11.666666666666666</v>
      </c>
      <c r="T103" s="2007">
        <f t="shared" si="241"/>
        <v>11.666666666666666</v>
      </c>
      <c r="U103" s="1951"/>
      <c r="V103" s="2220">
        <f t="shared" si="34"/>
        <v>81.666666666666671</v>
      </c>
      <c r="W103" s="2221"/>
      <c r="X103" s="2222"/>
      <c r="Y103" s="1955"/>
      <c r="Z103" s="2223">
        <f t="shared" ref="Z103:AF103" si="242">$J$103</f>
        <v>11.666666666666666</v>
      </c>
      <c r="AA103" s="2223">
        <f t="shared" si="242"/>
        <v>11.666666666666666</v>
      </c>
      <c r="AB103" s="2223">
        <f t="shared" si="242"/>
        <v>11.666666666666666</v>
      </c>
      <c r="AC103" s="2223">
        <f t="shared" si="242"/>
        <v>11.666666666666666</v>
      </c>
      <c r="AD103" s="2223">
        <f t="shared" si="242"/>
        <v>11.666666666666666</v>
      </c>
      <c r="AE103" s="2223">
        <f t="shared" si="242"/>
        <v>11.666666666666666</v>
      </c>
      <c r="AF103" s="2223">
        <f t="shared" si="242"/>
        <v>11.666666666666666</v>
      </c>
      <c r="AG103" s="1955"/>
      <c r="AH103" s="2220">
        <f t="shared" ref="AH103:AH104" si="243">SUM(Z103:AF103)</f>
        <v>81.666666666666671</v>
      </c>
      <c r="AI103" s="2221"/>
      <c r="AJ103" s="2222"/>
      <c r="AK103" s="1955"/>
      <c r="AL103" s="2223">
        <f t="shared" ref="AL103:AR103" si="244">$J$103</f>
        <v>11.666666666666666</v>
      </c>
      <c r="AM103" s="2223">
        <f t="shared" si="244"/>
        <v>11.666666666666666</v>
      </c>
      <c r="AN103" s="2223">
        <f t="shared" si="244"/>
        <v>11.666666666666666</v>
      </c>
      <c r="AO103" s="2223">
        <f t="shared" si="244"/>
        <v>11.666666666666666</v>
      </c>
      <c r="AP103" s="2223">
        <f t="shared" si="244"/>
        <v>11.666666666666666</v>
      </c>
      <c r="AQ103" s="2223">
        <f t="shared" si="244"/>
        <v>11.666666666666666</v>
      </c>
      <c r="AR103" s="2223">
        <f t="shared" si="244"/>
        <v>11.666666666666666</v>
      </c>
      <c r="AS103" s="2299"/>
      <c r="AT103" s="2220">
        <f t="shared" ref="AT103:AT106" si="245">SUM(AL103:AR103)</f>
        <v>81.666666666666671</v>
      </c>
      <c r="AU103" s="2221"/>
      <c r="AV103" s="2222"/>
      <c r="AW103" s="2299"/>
      <c r="AX103" s="2223">
        <f t="shared" ref="AX103:AY103" si="246">$J$103</f>
        <v>11.666666666666666</v>
      </c>
      <c r="AY103" s="2223">
        <f t="shared" si="246"/>
        <v>11.666666666666666</v>
      </c>
      <c r="AZ103" s="2223"/>
      <c r="BA103" s="2223"/>
      <c r="BB103" s="2223"/>
      <c r="BC103" s="2223"/>
      <c r="BD103" s="2223"/>
      <c r="BE103" s="2299"/>
      <c r="BF103" s="2220">
        <f t="shared" ref="BF103:BF104" si="247">SUM(AX103:BD103)</f>
        <v>23.333333333333332</v>
      </c>
      <c r="BG103" s="2221"/>
      <c r="BH103" s="2222"/>
      <c r="BI103" s="1951"/>
      <c r="BJ103" s="2007"/>
      <c r="BK103" s="2223"/>
      <c r="BL103" s="1951"/>
      <c r="BM103" s="2220">
        <f>SUM(BJ103:BK103)</f>
        <v>0</v>
      </c>
      <c r="BN103" s="2221"/>
      <c r="BO103" s="2222"/>
      <c r="BQ103" s="2007">
        <f>SUM(N103:T103)+SUM(Z103:AF103)+SUM(AL103:AR103)+SUM(AX103:BD103)+SUM(BJ103:BK103)</f>
        <v>268.33333333333331</v>
      </c>
      <c r="BR103" s="2008">
        <f>BQ103/E103</f>
        <v>0.76666666666666661</v>
      </c>
      <c r="BS103" s="1959"/>
      <c r="BT103" s="2224"/>
      <c r="BU103" s="2225"/>
      <c r="BV103" s="2339"/>
      <c r="BW103" s="1950"/>
    </row>
    <row r="104" spans="1:76" s="1860" customFormat="1" ht="17.25" thickBot="1" x14ac:dyDescent="0.25">
      <c r="B104" s="1739"/>
      <c r="C104" s="1739" t="s">
        <v>153</v>
      </c>
      <c r="D104" s="2205"/>
      <c r="E104" s="1732">
        <f>E103*100/24</f>
        <v>1458.3333333333333</v>
      </c>
      <c r="F104" s="1732">
        <f t="shared" si="237"/>
        <v>145.83333333333331</v>
      </c>
      <c r="G104" s="1732">
        <f t="shared" si="238"/>
        <v>97.222222222222214</v>
      </c>
      <c r="H104" s="1732">
        <f t="shared" si="239"/>
        <v>72.916666666666657</v>
      </c>
      <c r="I104" s="1732">
        <f t="shared" si="240"/>
        <v>58.333333333333329</v>
      </c>
      <c r="J104" s="1732">
        <f>J103*100/30</f>
        <v>38.888888888888886</v>
      </c>
      <c r="K104" s="1882">
        <f>E104/E115</f>
        <v>7.222153439808511E-2</v>
      </c>
      <c r="L104" s="1760"/>
      <c r="M104" s="2874"/>
      <c r="N104" s="1732">
        <f t="shared" ref="N104:T104" si="248">$J$104</f>
        <v>38.888888888888886</v>
      </c>
      <c r="O104" s="1732">
        <f t="shared" si="248"/>
        <v>38.888888888888886</v>
      </c>
      <c r="P104" s="1732">
        <f t="shared" si="248"/>
        <v>38.888888888888886</v>
      </c>
      <c r="Q104" s="1732">
        <f t="shared" si="248"/>
        <v>38.888888888888886</v>
      </c>
      <c r="R104" s="1732">
        <f t="shared" si="248"/>
        <v>38.888888888888886</v>
      </c>
      <c r="S104" s="1732">
        <f t="shared" si="248"/>
        <v>38.888888888888886</v>
      </c>
      <c r="T104" s="1732">
        <f t="shared" si="248"/>
        <v>38.888888888888886</v>
      </c>
      <c r="U104" s="2876"/>
      <c r="V104" s="2226">
        <f t="shared" si="34"/>
        <v>272.22222222222217</v>
      </c>
      <c r="W104" s="2227"/>
      <c r="X104" s="2228"/>
      <c r="Y104" s="1881"/>
      <c r="Z104" s="2210">
        <f t="shared" ref="Z104:AF104" si="249">$J$104</f>
        <v>38.888888888888886</v>
      </c>
      <c r="AA104" s="2210">
        <f t="shared" si="249"/>
        <v>38.888888888888886</v>
      </c>
      <c r="AB104" s="2210">
        <f t="shared" si="249"/>
        <v>38.888888888888886</v>
      </c>
      <c r="AC104" s="2210">
        <f t="shared" si="249"/>
        <v>38.888888888888886</v>
      </c>
      <c r="AD104" s="2210">
        <f t="shared" si="249"/>
        <v>38.888888888888886</v>
      </c>
      <c r="AE104" s="2210">
        <f t="shared" si="249"/>
        <v>38.888888888888886</v>
      </c>
      <c r="AF104" s="2210">
        <f t="shared" si="249"/>
        <v>38.888888888888886</v>
      </c>
      <c r="AG104" s="1881"/>
      <c r="AH104" s="2226">
        <f t="shared" si="243"/>
        <v>272.22222222222217</v>
      </c>
      <c r="AI104" s="2227"/>
      <c r="AJ104" s="2228"/>
      <c r="AK104" s="1881"/>
      <c r="AL104" s="2210">
        <f t="shared" ref="AL104:AR104" si="250">$J$104</f>
        <v>38.888888888888886</v>
      </c>
      <c r="AM104" s="2210">
        <f t="shared" si="250"/>
        <v>38.888888888888886</v>
      </c>
      <c r="AN104" s="2210">
        <f t="shared" si="250"/>
        <v>38.888888888888886</v>
      </c>
      <c r="AO104" s="2210">
        <f t="shared" si="250"/>
        <v>38.888888888888886</v>
      </c>
      <c r="AP104" s="2210">
        <f t="shared" si="250"/>
        <v>38.888888888888886</v>
      </c>
      <c r="AQ104" s="2210">
        <f t="shared" si="250"/>
        <v>38.888888888888886</v>
      </c>
      <c r="AR104" s="2210">
        <f t="shared" si="250"/>
        <v>38.888888888888886</v>
      </c>
      <c r="AS104" s="2293"/>
      <c r="AT104" s="2226">
        <f t="shared" si="245"/>
        <v>272.22222222222217</v>
      </c>
      <c r="AU104" s="2227"/>
      <c r="AV104" s="2228"/>
      <c r="AW104" s="2293"/>
      <c r="AX104" s="2210">
        <f t="shared" ref="AX104:AY104" si="251">$J$104</f>
        <v>38.888888888888886</v>
      </c>
      <c r="AY104" s="2210">
        <f t="shared" si="251"/>
        <v>38.888888888888886</v>
      </c>
      <c r="AZ104" s="2210"/>
      <c r="BA104" s="2210"/>
      <c r="BB104" s="2210"/>
      <c r="BC104" s="2210"/>
      <c r="BD104" s="2210"/>
      <c r="BE104" s="2293"/>
      <c r="BF104" s="2226">
        <f t="shared" si="247"/>
        <v>77.777777777777771</v>
      </c>
      <c r="BG104" s="2227"/>
      <c r="BH104" s="2228"/>
      <c r="BI104" s="2876"/>
      <c r="BJ104" s="1732"/>
      <c r="BK104" s="2210"/>
      <c r="BL104" s="2876"/>
      <c r="BM104" s="2226">
        <f>SUM(BJ104:BK104)</f>
        <v>0</v>
      </c>
      <c r="BN104" s="2227"/>
      <c r="BO104" s="2228"/>
      <c r="BP104" s="1726"/>
      <c r="BQ104" s="1732">
        <f>SUM(N104:T104)+SUM(Z104:AF104)+SUM(AL104:AR104)+SUM(AX104:BD104)+SUM(BJ104:BK104)</f>
        <v>894.44444444444434</v>
      </c>
      <c r="BR104" s="1882">
        <f>BQ104/E104</f>
        <v>0.61333333333333329</v>
      </c>
      <c r="BS104" s="1740"/>
      <c r="BT104" s="2229"/>
      <c r="BU104" s="2230"/>
      <c r="BV104" s="2059"/>
      <c r="BW104" s="1877"/>
      <c r="BX104" s="1726"/>
    </row>
    <row r="105" spans="1:76" s="1860" customFormat="1" ht="4.5" customHeight="1" thickBot="1" x14ac:dyDescent="0.25">
      <c r="B105" s="2231"/>
      <c r="C105" s="2231"/>
      <c r="D105" s="1861"/>
      <c r="E105" s="2232"/>
      <c r="F105" s="2232"/>
      <c r="G105" s="2232"/>
      <c r="H105" s="2232"/>
      <c r="I105" s="2232"/>
      <c r="J105" s="2232"/>
      <c r="K105" s="2233"/>
      <c r="L105" s="1760"/>
      <c r="M105" s="2874"/>
      <c r="N105" s="2232"/>
      <c r="O105" s="2232"/>
      <c r="P105" s="2232"/>
      <c r="Q105" s="2232"/>
      <c r="R105" s="2232"/>
      <c r="S105" s="2232"/>
      <c r="T105" s="2232"/>
      <c r="U105" s="2876"/>
      <c r="V105" s="2876"/>
      <c r="W105" s="2876"/>
      <c r="X105" s="2876"/>
      <c r="Y105" s="1862"/>
      <c r="Z105" s="2232"/>
      <c r="AA105" s="2232"/>
      <c r="AB105" s="2232"/>
      <c r="AC105" s="2232"/>
      <c r="AD105" s="2232"/>
      <c r="AE105" s="2232"/>
      <c r="AF105" s="2232"/>
      <c r="AG105" s="1862"/>
      <c r="AH105" s="2876"/>
      <c r="AI105" s="2876"/>
      <c r="AJ105" s="2876"/>
      <c r="AK105" s="1862"/>
      <c r="AL105" s="2232"/>
      <c r="AM105" s="2232"/>
      <c r="AN105" s="2232"/>
      <c r="AO105" s="2232"/>
      <c r="AP105" s="2232"/>
      <c r="AQ105" s="2232"/>
      <c r="AR105" s="2232"/>
      <c r="AS105" s="2876"/>
      <c r="AT105" s="2876"/>
      <c r="AU105" s="2876"/>
      <c r="AV105" s="2876"/>
      <c r="AW105" s="2876"/>
      <c r="AX105" s="2232"/>
      <c r="AY105" s="2232"/>
      <c r="AZ105" s="2232"/>
      <c r="BA105" s="2232"/>
      <c r="BB105" s="2232"/>
      <c r="BC105" s="2232"/>
      <c r="BD105" s="2232"/>
      <c r="BE105" s="2876"/>
      <c r="BF105" s="2876"/>
      <c r="BG105" s="2876"/>
      <c r="BH105" s="2876"/>
      <c r="BI105" s="2876"/>
      <c r="BJ105" s="2232"/>
      <c r="BK105" s="2232"/>
      <c r="BL105" s="2876"/>
      <c r="BM105" s="2876"/>
      <c r="BN105" s="2876"/>
      <c r="BO105" s="2876"/>
      <c r="BP105" s="1726"/>
      <c r="BQ105" s="2232"/>
      <c r="BR105" s="2233"/>
      <c r="BS105" s="1740"/>
      <c r="BT105" s="2876"/>
      <c r="BU105" s="2059"/>
      <c r="BV105" s="2059"/>
      <c r="BW105" s="1877"/>
      <c r="BX105" s="1726"/>
    </row>
    <row r="106" spans="1:76" s="1885" customFormat="1" ht="17.25" thickBot="1" x14ac:dyDescent="0.25">
      <c r="B106" s="2117"/>
      <c r="C106" s="2212" t="s">
        <v>154</v>
      </c>
      <c r="D106" s="2119"/>
      <c r="E106" s="2123"/>
      <c r="F106" s="2121"/>
      <c r="G106" s="2121"/>
      <c r="H106" s="2121"/>
      <c r="I106" s="2121"/>
      <c r="J106" s="2121"/>
      <c r="K106" s="2129"/>
      <c r="L106" s="2213"/>
      <c r="M106" s="2214"/>
      <c r="N106" s="2120">
        <f t="shared" ref="N106:T106" si="252">IF(N101&gt;$J$103,N101-N103,IF(N101&lt;$J$103,(IF(N101&lt;0,-11.667,N101-N103))))</f>
        <v>-3.6224999999999969</v>
      </c>
      <c r="O106" s="2121">
        <f t="shared" si="252"/>
        <v>-11.667</v>
      </c>
      <c r="P106" s="2121">
        <f t="shared" si="252"/>
        <v>-11.667</v>
      </c>
      <c r="Q106" s="2121">
        <f t="shared" si="252"/>
        <v>-11.667</v>
      </c>
      <c r="R106" s="2121">
        <f t="shared" si="252"/>
        <v>-11.667</v>
      </c>
      <c r="S106" s="2121">
        <f t="shared" si="252"/>
        <v>-11.667</v>
      </c>
      <c r="T106" s="2124">
        <f t="shared" si="252"/>
        <v>-11.667</v>
      </c>
      <c r="U106" s="1951"/>
      <c r="V106" s="2120">
        <f>SUM(N106:T106)</f>
        <v>-73.624499999999998</v>
      </c>
      <c r="W106" s="2123"/>
      <c r="X106" s="2124"/>
      <c r="Y106" s="1956"/>
      <c r="Z106" s="2120">
        <f t="shared" ref="Z106:AF106" si="253">IF(Z101&gt;$J$103,Z101-Z103,IF(Z101&lt;$J$103,(IF(Z101&lt;0,-11.667,Z101-Z103))))</f>
        <v>-11.667</v>
      </c>
      <c r="AA106" s="2121">
        <f t="shared" si="253"/>
        <v>-11.667</v>
      </c>
      <c r="AB106" s="2121">
        <f t="shared" si="253"/>
        <v>-11.667</v>
      </c>
      <c r="AC106" s="2121">
        <f t="shared" si="253"/>
        <v>-11.667</v>
      </c>
      <c r="AD106" s="2121">
        <f t="shared" si="253"/>
        <v>-11.667</v>
      </c>
      <c r="AE106" s="2121">
        <f t="shared" si="253"/>
        <v>-11.667</v>
      </c>
      <c r="AF106" s="2121">
        <f t="shared" si="253"/>
        <v>-11.667</v>
      </c>
      <c r="AG106" s="1956"/>
      <c r="AH106" s="2120">
        <f>SUM(Z106:AF106)</f>
        <v>-81.668999999999997</v>
      </c>
      <c r="AI106" s="2123"/>
      <c r="AJ106" s="2124"/>
      <c r="AK106" s="1955"/>
      <c r="AL106" s="2120">
        <f t="shared" ref="AL106:AR106" si="254">IF(AL101&gt;$J$103,AL101-AL103,IF(AL101&lt;$J$103,(IF(AL101&lt;0,-11.667,AL101-AL103))))</f>
        <v>-11.667</v>
      </c>
      <c r="AM106" s="2121">
        <f t="shared" si="254"/>
        <v>-11.667</v>
      </c>
      <c r="AN106" s="2121">
        <f t="shared" si="254"/>
        <v>-11.667</v>
      </c>
      <c r="AO106" s="2121">
        <f t="shared" si="254"/>
        <v>-11.667</v>
      </c>
      <c r="AP106" s="2121">
        <f t="shared" si="254"/>
        <v>-11.667</v>
      </c>
      <c r="AQ106" s="2121">
        <f t="shared" si="254"/>
        <v>-11.667</v>
      </c>
      <c r="AR106" s="2124">
        <f t="shared" si="254"/>
        <v>-11.667</v>
      </c>
      <c r="AS106" s="2254"/>
      <c r="AT106" s="2120">
        <f t="shared" si="245"/>
        <v>-81.668999999999997</v>
      </c>
      <c r="AU106" s="2123"/>
      <c r="AV106" s="2124"/>
      <c r="AW106" s="1951"/>
      <c r="AX106" s="2120">
        <f t="shared" ref="AX106:AY106" si="255">IF(AX101&gt;$J$103,AX101-AX103,IF(AX101&lt;$J$103,(IF(AX101&lt;0,-11.667,AX101-AX103))))</f>
        <v>-11.667</v>
      </c>
      <c r="AY106" s="2123">
        <f t="shared" si="255"/>
        <v>-11.667</v>
      </c>
      <c r="AZ106" s="2123"/>
      <c r="BA106" s="2123"/>
      <c r="BB106" s="2123"/>
      <c r="BC106" s="2123"/>
      <c r="BD106" s="2124"/>
      <c r="BE106" s="1951"/>
      <c r="BF106" s="2120">
        <f t="shared" ref="BF106" si="256">SUM(AX106:BD106)</f>
        <v>-23.334</v>
      </c>
      <c r="BG106" s="2123"/>
      <c r="BH106" s="2124"/>
      <c r="BI106" s="1900"/>
      <c r="BJ106" s="2120"/>
      <c r="BK106" s="2123"/>
      <c r="BL106" s="2317"/>
      <c r="BM106" s="2215">
        <f>SUM(BJ106:BK106)</f>
        <v>0</v>
      </c>
      <c r="BN106" s="2318"/>
      <c r="BO106" s="2118"/>
      <c r="BP106" s="1897"/>
      <c r="BQ106" s="2215">
        <f>SUM(N106:T106)+SUM(Z106:AF106)+SUM(AL106:AR106)+SUM(AX106:BD106)+SUM(BJ106:BK106)</f>
        <v>-260.29649999999998</v>
      </c>
      <c r="BR106" s="2130">
        <f>BQ106/E103</f>
        <v>-0.74370428571428571</v>
      </c>
      <c r="BS106" s="1900"/>
      <c r="BT106" s="1900"/>
      <c r="BU106" s="1900"/>
      <c r="BV106" s="2011"/>
    </row>
    <row r="107" spans="1:76" s="1756" customFormat="1" ht="17.25" thickBot="1" x14ac:dyDescent="0.25">
      <c r="B107" s="1817"/>
      <c r="C107" s="1817"/>
      <c r="D107" s="1817"/>
      <c r="E107" s="1814"/>
      <c r="F107" s="1814"/>
      <c r="G107" s="1814"/>
      <c r="H107" s="1814"/>
      <c r="I107" s="1814"/>
      <c r="J107" s="1814"/>
      <c r="K107" s="1818"/>
      <c r="L107" s="2216"/>
      <c r="M107" s="2055"/>
      <c r="N107" s="1814"/>
      <c r="O107" s="1814"/>
      <c r="P107" s="1814"/>
      <c r="Q107" s="1814"/>
      <c r="R107" s="1814"/>
      <c r="S107" s="1814"/>
      <c r="T107" s="1814"/>
      <c r="U107" s="1814"/>
      <c r="V107" s="1814"/>
      <c r="W107" s="1814"/>
      <c r="X107" s="1814"/>
      <c r="Y107" s="1766"/>
      <c r="Z107" s="1814"/>
      <c r="AA107" s="1814"/>
      <c r="AB107" s="1814"/>
      <c r="AC107" s="1814"/>
      <c r="AD107" s="1814"/>
      <c r="AE107" s="1814"/>
      <c r="AF107" s="1814"/>
      <c r="AG107" s="1766"/>
      <c r="AH107" s="1814"/>
      <c r="AI107" s="1814"/>
      <c r="AJ107" s="1814"/>
      <c r="AK107" s="1766"/>
      <c r="AL107" s="1814"/>
      <c r="AM107" s="1814"/>
      <c r="AN107" s="1814"/>
      <c r="AO107" s="1814"/>
      <c r="AP107" s="1814"/>
      <c r="AQ107" s="1814"/>
      <c r="AR107" s="1814"/>
      <c r="AS107" s="1814"/>
      <c r="AT107" s="1814"/>
      <c r="AU107" s="1814"/>
      <c r="AV107" s="1814"/>
      <c r="AW107" s="1814"/>
      <c r="AX107" s="1814"/>
      <c r="AY107" s="1814"/>
      <c r="AZ107" s="1814"/>
      <c r="BA107" s="1814"/>
      <c r="BB107" s="1814"/>
      <c r="BC107" s="1814"/>
      <c r="BD107" s="1814"/>
      <c r="BE107" s="1814"/>
      <c r="BF107" s="1814"/>
      <c r="BG107" s="1814"/>
      <c r="BH107" s="1814"/>
      <c r="BI107" s="1814"/>
      <c r="BJ107" s="1814"/>
      <c r="BK107" s="1814"/>
      <c r="BL107" s="1814"/>
      <c r="BM107" s="1814"/>
      <c r="BN107" s="1814"/>
      <c r="BO107" s="1814"/>
      <c r="BP107" s="1766"/>
      <c r="BQ107" s="1814"/>
      <c r="BR107" s="1830"/>
      <c r="BS107" s="2868"/>
      <c r="BT107" s="2868"/>
      <c r="BU107" s="2868"/>
      <c r="BV107" s="1817"/>
    </row>
    <row r="108" spans="1:76" s="1860" customFormat="1" x14ac:dyDescent="0.2">
      <c r="B108" s="4649"/>
      <c r="C108" s="4647" t="s">
        <v>213</v>
      </c>
      <c r="D108" s="1861"/>
      <c r="E108" s="4645">
        <f>C42</f>
        <v>10541.458333333332</v>
      </c>
      <c r="F108" s="2657"/>
      <c r="G108" s="2658"/>
      <c r="H108" s="2659"/>
      <c r="I108" s="2660"/>
      <c r="J108" s="4643">
        <f>E108/30</f>
        <v>351.3819444444444</v>
      </c>
      <c r="K108" s="4641">
        <f>J108*24%</f>
        <v>84.331666666666649</v>
      </c>
      <c r="L108" s="2216"/>
      <c r="M108" s="2055"/>
      <c r="N108" s="4628" t="str">
        <f>IF(N72&gt;0,"0.000",N72)</f>
        <v>0.000</v>
      </c>
      <c r="O108" s="4630">
        <f t="shared" ref="O108:T108" si="257">IF(O72&gt;0,"0.000",O72)</f>
        <v>0</v>
      </c>
      <c r="P108" s="4630">
        <f t="shared" si="257"/>
        <v>0</v>
      </c>
      <c r="Q108" s="4630">
        <f t="shared" si="257"/>
        <v>0</v>
      </c>
      <c r="R108" s="4630">
        <f t="shared" si="257"/>
        <v>0</v>
      </c>
      <c r="S108" s="4630">
        <f t="shared" si="257"/>
        <v>0</v>
      </c>
      <c r="T108" s="4632">
        <f t="shared" si="257"/>
        <v>0</v>
      </c>
      <c r="U108" s="2876"/>
      <c r="V108" s="4628">
        <f t="shared" si="34"/>
        <v>0</v>
      </c>
      <c r="W108" s="4630"/>
      <c r="X108" s="4632"/>
      <c r="Y108" s="1862"/>
      <c r="Z108" s="4628">
        <f t="shared" ref="Z108:AF108" si="258">IF(Z72&gt;0,"0.000",Z72)</f>
        <v>0</v>
      </c>
      <c r="AA108" s="4630">
        <f t="shared" si="258"/>
        <v>0</v>
      </c>
      <c r="AB108" s="4630">
        <f t="shared" si="258"/>
        <v>0</v>
      </c>
      <c r="AC108" s="4630">
        <f t="shared" si="258"/>
        <v>0</v>
      </c>
      <c r="AD108" s="4630">
        <f t="shared" si="258"/>
        <v>0</v>
      </c>
      <c r="AE108" s="4630">
        <f t="shared" si="258"/>
        <v>0</v>
      </c>
      <c r="AF108" s="4632">
        <f t="shared" si="258"/>
        <v>0</v>
      </c>
      <c r="AG108" s="1862"/>
      <c r="AH108" s="4628">
        <f t="shared" ref="AH108:AH113" si="259">SUM(Z108:AF108)</f>
        <v>0</v>
      </c>
      <c r="AI108" s="4630"/>
      <c r="AJ108" s="4632"/>
      <c r="AK108" s="1862"/>
      <c r="AL108" s="4628">
        <f t="shared" ref="AL108:AR108" si="260">IF(AL72&gt;0,"0.000",AL72)</f>
        <v>0</v>
      </c>
      <c r="AM108" s="4630">
        <f t="shared" si="260"/>
        <v>0</v>
      </c>
      <c r="AN108" s="4630">
        <f t="shared" si="260"/>
        <v>0</v>
      </c>
      <c r="AO108" s="4630">
        <f t="shared" si="260"/>
        <v>0</v>
      </c>
      <c r="AP108" s="4630">
        <f t="shared" si="260"/>
        <v>0</v>
      </c>
      <c r="AQ108" s="4630">
        <f t="shared" si="260"/>
        <v>0</v>
      </c>
      <c r="AR108" s="4632">
        <f t="shared" si="260"/>
        <v>0</v>
      </c>
      <c r="AS108" s="2876"/>
      <c r="AT108" s="4628">
        <f t="shared" ref="AT108:AT113" si="261">SUM(AL108:AR108)</f>
        <v>0</v>
      </c>
      <c r="AU108" s="4630"/>
      <c r="AV108" s="4632"/>
      <c r="AW108" s="2876"/>
      <c r="AX108" s="4628">
        <f t="shared" ref="AX108:BD108" si="262">IF(AX72&gt;0,"0.000",AX72)</f>
        <v>0</v>
      </c>
      <c r="AY108" s="4630">
        <f t="shared" si="262"/>
        <v>0</v>
      </c>
      <c r="AZ108" s="4630">
        <f t="shared" si="262"/>
        <v>0</v>
      </c>
      <c r="BA108" s="4630">
        <f t="shared" si="262"/>
        <v>0</v>
      </c>
      <c r="BB108" s="4630">
        <f t="shared" si="262"/>
        <v>0</v>
      </c>
      <c r="BC108" s="4630">
        <f t="shared" si="262"/>
        <v>0</v>
      </c>
      <c r="BD108" s="4632">
        <f t="shared" si="262"/>
        <v>0</v>
      </c>
      <c r="BE108" s="2876"/>
      <c r="BF108" s="4628">
        <f t="shared" ref="BF108:BF113" si="263">SUM(AX108:BD108)</f>
        <v>0</v>
      </c>
      <c r="BG108" s="4630"/>
      <c r="BH108" s="4632"/>
      <c r="BI108" s="2876"/>
      <c r="BJ108" s="4628">
        <f>IF(BJ72&gt;0,"0.000",BJ72)</f>
        <v>0</v>
      </c>
      <c r="BK108" s="4632">
        <f>IF(BK72&gt;0,"0.000",BK72)</f>
        <v>0</v>
      </c>
      <c r="BL108" s="2876"/>
      <c r="BM108" s="4628">
        <f>SUM(BJ108:BK108)</f>
        <v>0</v>
      </c>
      <c r="BN108" s="4630"/>
      <c r="BO108" s="4632"/>
      <c r="BP108" s="1726"/>
      <c r="BQ108" s="4628">
        <f>SUM(N108:T108)+SUM(Z108:AF108)+SUM(AL108:AR108)+SUM(AX108:BD108)+SUM(BJ108:BK108)</f>
        <v>0</v>
      </c>
      <c r="BR108" s="4632"/>
      <c r="BS108" s="1740"/>
      <c r="BT108" s="2876"/>
      <c r="BU108" s="1997"/>
      <c r="BV108" s="1997"/>
      <c r="BW108" s="2874"/>
    </row>
    <row r="109" spans="1:76" s="1946" customFormat="1" ht="17.25" thickBot="1" x14ac:dyDescent="0.25">
      <c r="B109" s="4650"/>
      <c r="C109" s="4648"/>
      <c r="D109" s="2011"/>
      <c r="E109" s="4646"/>
      <c r="F109" s="2375"/>
      <c r="G109" s="2376"/>
      <c r="H109" s="2377"/>
      <c r="I109" s="2378"/>
      <c r="J109" s="4644"/>
      <c r="K109" s="4642"/>
      <c r="L109" s="2213"/>
      <c r="M109" s="2214"/>
      <c r="N109" s="4629"/>
      <c r="O109" s="4631"/>
      <c r="P109" s="4631"/>
      <c r="Q109" s="4631"/>
      <c r="R109" s="4631"/>
      <c r="S109" s="4631"/>
      <c r="T109" s="4633"/>
      <c r="U109" s="2870"/>
      <c r="V109" s="4629"/>
      <c r="W109" s="4631"/>
      <c r="X109" s="4633"/>
      <c r="Y109" s="1897"/>
      <c r="Z109" s="4629"/>
      <c r="AA109" s="4631"/>
      <c r="AB109" s="4631"/>
      <c r="AC109" s="4631"/>
      <c r="AD109" s="4631"/>
      <c r="AE109" s="4631"/>
      <c r="AF109" s="4633"/>
      <c r="AG109" s="1897"/>
      <c r="AH109" s="4629"/>
      <c r="AI109" s="4631"/>
      <c r="AJ109" s="4633"/>
      <c r="AK109" s="1897"/>
      <c r="AL109" s="4629"/>
      <c r="AM109" s="4631"/>
      <c r="AN109" s="4631"/>
      <c r="AO109" s="4631"/>
      <c r="AP109" s="4631"/>
      <c r="AQ109" s="4631"/>
      <c r="AR109" s="4633"/>
      <c r="AS109" s="2870"/>
      <c r="AT109" s="4629"/>
      <c r="AU109" s="4631"/>
      <c r="AV109" s="4633"/>
      <c r="AW109" s="2870"/>
      <c r="AX109" s="4629"/>
      <c r="AY109" s="4631"/>
      <c r="AZ109" s="4631"/>
      <c r="BA109" s="4631"/>
      <c r="BB109" s="4631"/>
      <c r="BC109" s="4631"/>
      <c r="BD109" s="4633"/>
      <c r="BE109" s="2870"/>
      <c r="BF109" s="4629"/>
      <c r="BG109" s="4631"/>
      <c r="BH109" s="4633"/>
      <c r="BI109" s="2870"/>
      <c r="BJ109" s="4629"/>
      <c r="BK109" s="4633"/>
      <c r="BL109" s="2870"/>
      <c r="BM109" s="4629"/>
      <c r="BN109" s="4631"/>
      <c r="BO109" s="4633"/>
      <c r="BP109" s="1885"/>
      <c r="BQ109" s="4629"/>
      <c r="BR109" s="4633"/>
      <c r="BS109" s="1900"/>
      <c r="BT109" s="2870"/>
      <c r="BU109" s="2010"/>
      <c r="BV109" s="2010"/>
      <c r="BW109" s="2869"/>
    </row>
    <row r="110" spans="1:76" s="1860" customFormat="1" ht="5.25" customHeight="1" thickBot="1" x14ac:dyDescent="0.25">
      <c r="B110" s="1861"/>
      <c r="C110" s="1861"/>
      <c r="D110" s="1861"/>
      <c r="E110" s="1814"/>
      <c r="F110" s="2367"/>
      <c r="G110" s="2368"/>
      <c r="H110" s="2369"/>
      <c r="I110" s="2370"/>
      <c r="J110" s="1814"/>
      <c r="K110" s="1818"/>
      <c r="L110" s="2055"/>
      <c r="M110" s="2055"/>
      <c r="N110" s="2876"/>
      <c r="O110" s="2876"/>
      <c r="P110" s="2876"/>
      <c r="Q110" s="2876"/>
      <c r="R110" s="2876"/>
      <c r="S110" s="2876"/>
      <c r="T110" s="2876"/>
      <c r="U110" s="2876"/>
      <c r="V110" s="2876"/>
      <c r="W110" s="2876"/>
      <c r="X110" s="2876"/>
      <c r="Y110" s="1862"/>
      <c r="Z110" s="2876"/>
      <c r="AA110" s="2876"/>
      <c r="AB110" s="2876"/>
      <c r="AC110" s="2876"/>
      <c r="AD110" s="2876"/>
      <c r="AE110" s="2876"/>
      <c r="AF110" s="2876"/>
      <c r="AG110" s="1862"/>
      <c r="AH110" s="2876"/>
      <c r="AI110" s="2876"/>
      <c r="AJ110" s="2876"/>
      <c r="AK110" s="1862"/>
      <c r="AL110" s="2876"/>
      <c r="AM110" s="2876"/>
      <c r="AN110" s="2876"/>
      <c r="AO110" s="2876"/>
      <c r="AP110" s="2876"/>
      <c r="AQ110" s="2876"/>
      <c r="AR110" s="2876"/>
      <c r="AS110" s="2876"/>
      <c r="AT110" s="2876"/>
      <c r="AU110" s="2876"/>
      <c r="AV110" s="2876"/>
      <c r="AW110" s="2876"/>
      <c r="AX110" s="2876"/>
      <c r="AY110" s="2876"/>
      <c r="AZ110" s="2876"/>
      <c r="BA110" s="2876"/>
      <c r="BB110" s="2876"/>
      <c r="BC110" s="2876"/>
      <c r="BD110" s="2876"/>
      <c r="BE110" s="2876"/>
      <c r="BF110" s="2876"/>
      <c r="BG110" s="2876"/>
      <c r="BH110" s="2876"/>
      <c r="BI110" s="2876"/>
      <c r="BJ110" s="2876"/>
      <c r="BK110" s="2876"/>
      <c r="BL110" s="2876"/>
      <c r="BM110" s="2876"/>
      <c r="BN110" s="2876"/>
      <c r="BO110" s="2876"/>
      <c r="BQ110" s="2876"/>
      <c r="BR110" s="2876"/>
      <c r="BS110" s="1861"/>
      <c r="BT110" s="2876"/>
      <c r="BU110" s="1997"/>
      <c r="BV110" s="1997"/>
      <c r="BW110" s="2874"/>
    </row>
    <row r="111" spans="1:76" s="1726" customFormat="1" x14ac:dyDescent="0.2">
      <c r="B111" s="2655"/>
      <c r="C111" s="2656" t="s">
        <v>143</v>
      </c>
      <c r="D111" s="1861"/>
      <c r="E111" s="1771">
        <f>E100</f>
        <v>8192.7083333333339</v>
      </c>
      <c r="F111" s="2657">
        <f t="shared" si="237"/>
        <v>819.27083333333337</v>
      </c>
      <c r="G111" s="2658">
        <f t="shared" ref="G111:G112" si="264">E111/15</f>
        <v>546.18055555555554</v>
      </c>
      <c r="H111" s="2659">
        <f t="shared" ref="H111:H112" si="265">E111/20</f>
        <v>409.63541666666669</v>
      </c>
      <c r="I111" s="2660">
        <f t="shared" ref="I111:I112" si="266">E111/25</f>
        <v>327.70833333333337</v>
      </c>
      <c r="J111" s="2661">
        <f>E111/30</f>
        <v>273.09027777777777</v>
      </c>
      <c r="K111" s="1773">
        <f>J111*24%</f>
        <v>65.541666666666657</v>
      </c>
      <c r="L111" s="2216"/>
      <c r="M111" s="2055"/>
      <c r="N111" s="2207" t="str">
        <f>IF(N101&gt;0,"0.000",N101)</f>
        <v>0.000</v>
      </c>
      <c r="O111" s="2662">
        <f>IF(O101&gt;0,"0.000",O101)</f>
        <v>-54.800000000000004</v>
      </c>
      <c r="P111" s="2662">
        <f t="shared" ref="P111:T111" si="267">IF(P101&gt;0,"0.000",P101)</f>
        <v>-54.800000000000004</v>
      </c>
      <c r="Q111" s="2662">
        <f t="shared" si="267"/>
        <v>-54.800000000000004</v>
      </c>
      <c r="R111" s="2662">
        <f t="shared" si="267"/>
        <v>-54.800000000000004</v>
      </c>
      <c r="S111" s="2662">
        <f t="shared" si="267"/>
        <v>-54.800000000000004</v>
      </c>
      <c r="T111" s="2277">
        <f t="shared" si="267"/>
        <v>-54.800000000000004</v>
      </c>
      <c r="U111" s="2876"/>
      <c r="V111" s="2207">
        <f t="shared" ref="V111:V113" si="268">SUM(N111:T111)</f>
        <v>-328.8</v>
      </c>
      <c r="W111" s="2662"/>
      <c r="X111" s="2277"/>
      <c r="Y111" s="1862"/>
      <c r="Z111" s="2207">
        <f t="shared" ref="Z111:AF111" si="269">IF(Z101&gt;0,"0.000",Z101)</f>
        <v>-54.800000000000004</v>
      </c>
      <c r="AA111" s="2662">
        <f t="shared" si="269"/>
        <v>-54.800000000000004</v>
      </c>
      <c r="AB111" s="2662">
        <f t="shared" si="269"/>
        <v>-54.800000000000004</v>
      </c>
      <c r="AC111" s="2662">
        <f t="shared" si="269"/>
        <v>-54.800000000000004</v>
      </c>
      <c r="AD111" s="2662">
        <f t="shared" si="269"/>
        <v>-54.800000000000004</v>
      </c>
      <c r="AE111" s="2662">
        <f t="shared" si="269"/>
        <v>-54.800000000000004</v>
      </c>
      <c r="AF111" s="2277">
        <f t="shared" si="269"/>
        <v>-54.800000000000004</v>
      </c>
      <c r="AG111" s="1862"/>
      <c r="AH111" s="2207">
        <f>SUM(Z111:AF111)</f>
        <v>-383.6</v>
      </c>
      <c r="AI111" s="2662"/>
      <c r="AJ111" s="2277"/>
      <c r="AK111" s="1862"/>
      <c r="AL111" s="2207">
        <f t="shared" ref="AL111:AR111" si="270">IF(AL101&gt;0,"0.000",AL101)</f>
        <v>-54.800000000000004</v>
      </c>
      <c r="AM111" s="2662">
        <f t="shared" si="270"/>
        <v>-54.800000000000004</v>
      </c>
      <c r="AN111" s="2662">
        <f t="shared" si="270"/>
        <v>-54.800000000000004</v>
      </c>
      <c r="AO111" s="2662">
        <f t="shared" si="270"/>
        <v>-54.800000000000004</v>
      </c>
      <c r="AP111" s="2662">
        <f t="shared" si="270"/>
        <v>-54.800000000000004</v>
      </c>
      <c r="AQ111" s="2662">
        <f t="shared" si="270"/>
        <v>-54.800000000000004</v>
      </c>
      <c r="AR111" s="2277">
        <f t="shared" si="270"/>
        <v>-54.800000000000004</v>
      </c>
      <c r="AS111" s="2876"/>
      <c r="AT111" s="2207">
        <f t="shared" si="261"/>
        <v>-383.6</v>
      </c>
      <c r="AU111" s="2662"/>
      <c r="AV111" s="2277"/>
      <c r="AW111" s="2876"/>
      <c r="AX111" s="2207">
        <f t="shared" ref="AX111:BD111" si="271">IF(AX101&gt;0,"0.000",AX101)</f>
        <v>-54.800000000000004</v>
      </c>
      <c r="AY111" s="2662">
        <f t="shared" si="271"/>
        <v>-54.800000000000004</v>
      </c>
      <c r="AZ111" s="2662">
        <f t="shared" si="271"/>
        <v>0</v>
      </c>
      <c r="BA111" s="2662">
        <f t="shared" si="271"/>
        <v>0</v>
      </c>
      <c r="BB111" s="2662">
        <f t="shared" si="271"/>
        <v>0</v>
      </c>
      <c r="BC111" s="2662">
        <f t="shared" si="271"/>
        <v>0</v>
      </c>
      <c r="BD111" s="2277">
        <f t="shared" si="271"/>
        <v>0</v>
      </c>
      <c r="BE111" s="2876"/>
      <c r="BF111" s="2207">
        <f t="shared" si="263"/>
        <v>-109.60000000000001</v>
      </c>
      <c r="BG111" s="2662"/>
      <c r="BH111" s="2277"/>
      <c r="BI111" s="2876"/>
      <c r="BJ111" s="2207">
        <f>IF(BJ101&gt;0,"0.000",BJ101)</f>
        <v>0</v>
      </c>
      <c r="BK111" s="2209">
        <f>IF(BK101&gt;0,"0.000",BK101)</f>
        <v>0</v>
      </c>
      <c r="BL111" s="2876"/>
      <c r="BM111" s="2207">
        <f>SUM(BJ111:BK111)</f>
        <v>0</v>
      </c>
      <c r="BN111" s="2662"/>
      <c r="BO111" s="2277"/>
      <c r="BQ111" s="2663">
        <f>SUM(N111:T111)+SUM(Z111:AF111)+SUM(AL111:AR111)+SUM(AX111:BD111)+SUM(BJ111:BK111)</f>
        <v>-1205.5999999999999</v>
      </c>
      <c r="BR111" s="2277"/>
      <c r="BS111" s="1740"/>
      <c r="BT111" s="2876"/>
      <c r="BU111" s="2246"/>
      <c r="BV111" s="2246"/>
      <c r="BW111" s="2247"/>
    </row>
    <row r="112" spans="1:76" s="1885" customFormat="1" ht="17.25" thickBot="1" x14ac:dyDescent="0.25">
      <c r="B112" s="2703"/>
      <c r="C112" s="2704" t="s">
        <v>178</v>
      </c>
      <c r="D112" s="2011"/>
      <c r="E112" s="2705">
        <f>E104</f>
        <v>1458.3333333333333</v>
      </c>
      <c r="F112" s="2706">
        <f t="shared" si="237"/>
        <v>145.83333333333331</v>
      </c>
      <c r="G112" s="2707">
        <f t="shared" si="264"/>
        <v>97.222222222222214</v>
      </c>
      <c r="H112" s="2708">
        <f t="shared" si="265"/>
        <v>72.916666666666657</v>
      </c>
      <c r="I112" s="2709">
        <f t="shared" si="266"/>
        <v>58.333333333333329</v>
      </c>
      <c r="J112" s="2710">
        <f>E112/30</f>
        <v>48.611111111111107</v>
      </c>
      <c r="K112" s="2711">
        <f>J112*24%</f>
        <v>11.666666666666666</v>
      </c>
      <c r="L112" s="2213"/>
      <c r="M112" s="2214"/>
      <c r="N112" s="2244">
        <f>IF(N106&gt;0,"0.000",N106)</f>
        <v>-3.6224999999999969</v>
      </c>
      <c r="O112" s="1898">
        <f t="shared" ref="O112:T112" si="272">IF(O106&gt;0,"0.000",O106)</f>
        <v>-11.667</v>
      </c>
      <c r="P112" s="1898">
        <f t="shared" si="272"/>
        <v>-11.667</v>
      </c>
      <c r="Q112" s="1898">
        <f t="shared" si="272"/>
        <v>-11.667</v>
      </c>
      <c r="R112" s="1898">
        <f t="shared" si="272"/>
        <v>-11.667</v>
      </c>
      <c r="S112" s="1898">
        <f t="shared" si="272"/>
        <v>-11.667</v>
      </c>
      <c r="T112" s="2245">
        <f t="shared" si="272"/>
        <v>-11.667</v>
      </c>
      <c r="U112" s="2870"/>
      <c r="V112" s="2244">
        <f t="shared" si="268"/>
        <v>-73.624499999999998</v>
      </c>
      <c r="W112" s="1898"/>
      <c r="X112" s="2245"/>
      <c r="Y112" s="1897"/>
      <c r="Z112" s="2244">
        <f t="shared" ref="Z112:AF112" si="273">IF(Z106&gt;0,"0.000",Z106)</f>
        <v>-11.667</v>
      </c>
      <c r="AA112" s="1898">
        <f t="shared" si="273"/>
        <v>-11.667</v>
      </c>
      <c r="AB112" s="1898">
        <f t="shared" si="273"/>
        <v>-11.667</v>
      </c>
      <c r="AC112" s="1898">
        <f t="shared" si="273"/>
        <v>-11.667</v>
      </c>
      <c r="AD112" s="1898">
        <f t="shared" si="273"/>
        <v>-11.667</v>
      </c>
      <c r="AE112" s="1898">
        <f t="shared" si="273"/>
        <v>-11.667</v>
      </c>
      <c r="AF112" s="2245">
        <f t="shared" si="273"/>
        <v>-11.667</v>
      </c>
      <c r="AG112" s="1897"/>
      <c r="AH112" s="2244">
        <f t="shared" si="259"/>
        <v>-81.668999999999997</v>
      </c>
      <c r="AI112" s="1898"/>
      <c r="AJ112" s="2245"/>
      <c r="AK112" s="1897"/>
      <c r="AL112" s="2244">
        <f t="shared" ref="AL112:AR112" si="274">IF(AL106&gt;0,"0.000",AL106)</f>
        <v>-11.667</v>
      </c>
      <c r="AM112" s="1898">
        <f t="shared" si="274"/>
        <v>-11.667</v>
      </c>
      <c r="AN112" s="1898">
        <f t="shared" si="274"/>
        <v>-11.667</v>
      </c>
      <c r="AO112" s="1898">
        <f t="shared" si="274"/>
        <v>-11.667</v>
      </c>
      <c r="AP112" s="1898">
        <f t="shared" si="274"/>
        <v>-11.667</v>
      </c>
      <c r="AQ112" s="1898">
        <f t="shared" si="274"/>
        <v>-11.667</v>
      </c>
      <c r="AR112" s="2245">
        <f t="shared" si="274"/>
        <v>-11.667</v>
      </c>
      <c r="AS112" s="2870"/>
      <c r="AT112" s="2244">
        <f t="shared" si="261"/>
        <v>-81.668999999999997</v>
      </c>
      <c r="AU112" s="1898"/>
      <c r="AV112" s="2245"/>
      <c r="AW112" s="2870"/>
      <c r="AX112" s="2244">
        <f t="shared" ref="AX112:BD112" si="275">IF(AX106&gt;0,"0.000",AX106)</f>
        <v>-11.667</v>
      </c>
      <c r="AY112" s="1898">
        <f t="shared" si="275"/>
        <v>-11.667</v>
      </c>
      <c r="AZ112" s="1898">
        <f t="shared" si="275"/>
        <v>0</v>
      </c>
      <c r="BA112" s="1898">
        <f t="shared" si="275"/>
        <v>0</v>
      </c>
      <c r="BB112" s="1898">
        <f t="shared" si="275"/>
        <v>0</v>
      </c>
      <c r="BC112" s="1898">
        <f t="shared" si="275"/>
        <v>0</v>
      </c>
      <c r="BD112" s="2245">
        <f t="shared" si="275"/>
        <v>0</v>
      </c>
      <c r="BE112" s="2870"/>
      <c r="BF112" s="2244">
        <f t="shared" si="263"/>
        <v>-23.334</v>
      </c>
      <c r="BG112" s="1898"/>
      <c r="BH112" s="2245"/>
      <c r="BI112" s="2870"/>
      <c r="BJ112" s="2244">
        <f>IF(BJ106&gt;0,"0.000",BJ106)</f>
        <v>0</v>
      </c>
      <c r="BK112" s="2738">
        <f>IF(BK106&gt;0,"0.000",BK106)</f>
        <v>0</v>
      </c>
      <c r="BL112" s="2870"/>
      <c r="BM112" s="2244">
        <f>SUM(BJ112:BK112)</f>
        <v>0</v>
      </c>
      <c r="BN112" s="1898"/>
      <c r="BO112" s="2245"/>
      <c r="BQ112" s="2244">
        <f>SUM(N112:T112)+SUM(Z112:AF112)+SUM(AL112:AR112)+SUM(AX112:BD112)+SUM(BJ112:BK112)</f>
        <v>-260.29649999999998</v>
      </c>
      <c r="BR112" s="2245"/>
      <c r="BS112" s="1900"/>
      <c r="BT112" s="2870"/>
      <c r="BU112" s="2251"/>
      <c r="BV112" s="2251"/>
      <c r="BW112" s="2252"/>
    </row>
    <row r="113" spans="2:75" s="1726" customFormat="1" ht="17.25" thickBot="1" x14ac:dyDescent="0.25">
      <c r="B113" s="2355"/>
      <c r="C113" s="2356" t="s">
        <v>215</v>
      </c>
      <c r="D113" s="1861"/>
      <c r="E113" s="2664">
        <f>E111+E112</f>
        <v>9651.0416666666679</v>
      </c>
      <c r="F113" s="2665"/>
      <c r="G113" s="2666"/>
      <c r="H113" s="2667"/>
      <c r="I113" s="2668"/>
      <c r="J113" s="2669">
        <f>J111+J112</f>
        <v>321.70138888888886</v>
      </c>
      <c r="K113" s="2670">
        <f>K111+K112</f>
        <v>77.208333333333329</v>
      </c>
      <c r="L113" s="2216"/>
      <c r="M113" s="2055"/>
      <c r="N113" s="2226" t="str">
        <f>IF(N106&lt;0,"0.000",N106)</f>
        <v>0.000</v>
      </c>
      <c r="O113" s="2671" t="str">
        <f t="shared" ref="O113:T113" si="276">IF(O106&lt;0,"0.000",O106)</f>
        <v>0.000</v>
      </c>
      <c r="P113" s="2671" t="str">
        <f t="shared" si="276"/>
        <v>0.000</v>
      </c>
      <c r="Q113" s="2671" t="str">
        <f t="shared" si="276"/>
        <v>0.000</v>
      </c>
      <c r="R113" s="2671" t="str">
        <f t="shared" si="276"/>
        <v>0.000</v>
      </c>
      <c r="S113" s="2671" t="str">
        <f t="shared" si="276"/>
        <v>0.000</v>
      </c>
      <c r="T113" s="2672" t="str">
        <f t="shared" si="276"/>
        <v>0.000</v>
      </c>
      <c r="U113" s="2876"/>
      <c r="V113" s="2226">
        <f t="shared" si="268"/>
        <v>0</v>
      </c>
      <c r="W113" s="2671"/>
      <c r="X113" s="2672"/>
      <c r="Y113" s="1862"/>
      <c r="Z113" s="2226" t="str">
        <f t="shared" ref="Z113:AF113" si="277">IF(Z106&lt;0,"0.000",Z106)</f>
        <v>0.000</v>
      </c>
      <c r="AA113" s="2671" t="str">
        <f t="shared" si="277"/>
        <v>0.000</v>
      </c>
      <c r="AB113" s="2671" t="str">
        <f t="shared" si="277"/>
        <v>0.000</v>
      </c>
      <c r="AC113" s="2671" t="str">
        <f t="shared" si="277"/>
        <v>0.000</v>
      </c>
      <c r="AD113" s="2671" t="str">
        <f t="shared" si="277"/>
        <v>0.000</v>
      </c>
      <c r="AE113" s="2671" t="str">
        <f t="shared" si="277"/>
        <v>0.000</v>
      </c>
      <c r="AF113" s="2672" t="str">
        <f t="shared" si="277"/>
        <v>0.000</v>
      </c>
      <c r="AG113" s="1862"/>
      <c r="AH113" s="2226">
        <f t="shared" si="259"/>
        <v>0</v>
      </c>
      <c r="AI113" s="2671"/>
      <c r="AJ113" s="2672"/>
      <c r="AK113" s="1862"/>
      <c r="AL113" s="2226" t="str">
        <f t="shared" ref="AL113:AR113" si="278">IF(AL106&lt;0,"0.000",AL106)</f>
        <v>0.000</v>
      </c>
      <c r="AM113" s="2671" t="str">
        <f t="shared" si="278"/>
        <v>0.000</v>
      </c>
      <c r="AN113" s="2671" t="str">
        <f t="shared" si="278"/>
        <v>0.000</v>
      </c>
      <c r="AO113" s="2671" t="str">
        <f t="shared" si="278"/>
        <v>0.000</v>
      </c>
      <c r="AP113" s="2671" t="str">
        <f t="shared" si="278"/>
        <v>0.000</v>
      </c>
      <c r="AQ113" s="2671" t="str">
        <f t="shared" si="278"/>
        <v>0.000</v>
      </c>
      <c r="AR113" s="2672" t="str">
        <f t="shared" si="278"/>
        <v>0.000</v>
      </c>
      <c r="AS113" s="2876"/>
      <c r="AT113" s="2226">
        <f t="shared" si="261"/>
        <v>0</v>
      </c>
      <c r="AU113" s="2671"/>
      <c r="AV113" s="2672"/>
      <c r="AW113" s="2876"/>
      <c r="AX113" s="2226" t="str">
        <f t="shared" ref="AX113:BD113" si="279">IF(AX106&lt;0,"0.000",AX106)</f>
        <v>0.000</v>
      </c>
      <c r="AY113" s="2671" t="str">
        <f t="shared" si="279"/>
        <v>0.000</v>
      </c>
      <c r="AZ113" s="2671">
        <f t="shared" si="279"/>
        <v>0</v>
      </c>
      <c r="BA113" s="2671">
        <f t="shared" si="279"/>
        <v>0</v>
      </c>
      <c r="BB113" s="2671">
        <f t="shared" si="279"/>
        <v>0</v>
      </c>
      <c r="BC113" s="2671">
        <f t="shared" si="279"/>
        <v>0</v>
      </c>
      <c r="BD113" s="2672">
        <f t="shared" si="279"/>
        <v>0</v>
      </c>
      <c r="BE113" s="2876"/>
      <c r="BF113" s="2226">
        <f t="shared" si="263"/>
        <v>0</v>
      </c>
      <c r="BG113" s="2671"/>
      <c r="BH113" s="2672"/>
      <c r="BI113" s="2876"/>
      <c r="BJ113" s="2226">
        <f>IF(BJ106&lt;0,"0.000",BJ106)</f>
        <v>0</v>
      </c>
      <c r="BK113" s="2228">
        <f>IF(BK106&lt;0,"0.000",BK106)</f>
        <v>0</v>
      </c>
      <c r="BL113" s="2876"/>
      <c r="BM113" s="2226">
        <f>SUM(BJ113:BK113)</f>
        <v>0</v>
      </c>
      <c r="BN113" s="2671"/>
      <c r="BO113" s="2672"/>
      <c r="BQ113" s="2226">
        <f>SUM(N113:T113)+SUM(Z113:AF113)+SUM(AL113:AR113)+SUM(AX113:BD113)+SUM(BJ113:BK113)</f>
        <v>0</v>
      </c>
      <c r="BR113" s="2672"/>
      <c r="BS113" s="1740"/>
      <c r="BT113" s="2876"/>
      <c r="BU113" s="2246"/>
      <c r="BV113" s="2246"/>
      <c r="BW113" s="2247"/>
    </row>
    <row r="114" spans="2:75" s="1726" customFormat="1" ht="4.5" customHeight="1" thickBot="1" x14ac:dyDescent="0.25">
      <c r="B114" s="1740"/>
      <c r="C114" s="1740"/>
      <c r="D114" s="1861"/>
      <c r="E114" s="1740"/>
      <c r="F114" s="1740"/>
      <c r="G114" s="1740"/>
      <c r="H114" s="1740"/>
      <c r="I114" s="1740"/>
      <c r="J114" s="1740"/>
      <c r="K114" s="1997"/>
      <c r="L114" s="1760"/>
      <c r="M114" s="2874"/>
      <c r="N114" s="1740"/>
      <c r="O114" s="1740"/>
      <c r="P114" s="1740"/>
      <c r="Q114" s="1740"/>
      <c r="R114" s="1740"/>
      <c r="S114" s="1740"/>
      <c r="T114" s="1740"/>
      <c r="U114" s="1861"/>
      <c r="V114" s="1740"/>
      <c r="W114" s="1740"/>
      <c r="X114" s="1740"/>
      <c r="Y114" s="1860"/>
      <c r="Z114" s="1740"/>
      <c r="AA114" s="1740"/>
      <c r="AB114" s="1740"/>
      <c r="AC114" s="1740"/>
      <c r="AD114" s="1740"/>
      <c r="AE114" s="1740"/>
      <c r="AF114" s="1740"/>
      <c r="AG114" s="1860"/>
      <c r="AH114" s="1740"/>
      <c r="AI114" s="1740"/>
      <c r="AJ114" s="1740"/>
      <c r="AK114" s="1860"/>
      <c r="AL114" s="1740"/>
      <c r="AM114" s="1740"/>
      <c r="AN114" s="1740"/>
      <c r="AO114" s="1740"/>
      <c r="AP114" s="1740"/>
      <c r="AQ114" s="1740"/>
      <c r="AR114" s="1740"/>
      <c r="AS114" s="1861"/>
      <c r="AT114" s="1740"/>
      <c r="AU114" s="1740"/>
      <c r="AV114" s="1740"/>
      <c r="AW114" s="1861"/>
      <c r="AX114" s="1740"/>
      <c r="AY114" s="1740"/>
      <c r="AZ114" s="1740"/>
      <c r="BA114" s="1740"/>
      <c r="BB114" s="1740"/>
      <c r="BC114" s="1740"/>
      <c r="BD114" s="1740"/>
      <c r="BE114" s="1861"/>
      <c r="BF114" s="1740"/>
      <c r="BG114" s="1740"/>
      <c r="BH114" s="1740"/>
      <c r="BI114" s="1740"/>
      <c r="BJ114" s="1740"/>
      <c r="BK114" s="1740"/>
      <c r="BL114" s="1740"/>
      <c r="BM114" s="1740"/>
      <c r="BN114" s="1740"/>
      <c r="BO114" s="1740"/>
      <c r="BQ114" s="1740"/>
      <c r="BR114" s="1740"/>
      <c r="BS114" s="1740"/>
      <c r="BT114" s="1740"/>
      <c r="BU114" s="1740"/>
      <c r="BV114" s="1861"/>
    </row>
    <row r="115" spans="2:75" s="1885" customFormat="1" ht="17.25" thickBot="1" x14ac:dyDescent="0.25">
      <c r="B115" s="2117"/>
      <c r="C115" s="2212"/>
      <c r="D115" s="2119"/>
      <c r="E115" s="2123">
        <f>SUM(E108:E112)</f>
        <v>20192.499999999996</v>
      </c>
      <c r="F115" s="2121"/>
      <c r="G115" s="2121"/>
      <c r="H115" s="2121"/>
      <c r="I115" s="2121"/>
      <c r="J115" s="2121">
        <f>E115/30</f>
        <v>673.08333333333326</v>
      </c>
      <c r="K115" s="2129">
        <f>J115*24%</f>
        <v>161.53999999999996</v>
      </c>
      <c r="L115" s="2213"/>
      <c r="M115" s="2214"/>
      <c r="N115" s="2120">
        <f>SUM(N108:N113)</f>
        <v>-3.6224999999999969</v>
      </c>
      <c r="O115" s="2123">
        <f t="shared" ref="O115:T115" si="280">SUM(O108:O113)</f>
        <v>-66.466999999999999</v>
      </c>
      <c r="P115" s="2123">
        <f t="shared" si="280"/>
        <v>-66.466999999999999</v>
      </c>
      <c r="Q115" s="2123">
        <f t="shared" si="280"/>
        <v>-66.466999999999999</v>
      </c>
      <c r="R115" s="2123">
        <f t="shared" si="280"/>
        <v>-66.466999999999999</v>
      </c>
      <c r="S115" s="2123">
        <f t="shared" si="280"/>
        <v>-66.466999999999999</v>
      </c>
      <c r="T115" s="2124">
        <f t="shared" si="280"/>
        <v>-66.466999999999999</v>
      </c>
      <c r="U115" s="1951"/>
      <c r="V115" s="2120">
        <f>SUM(N115:T115)</f>
        <v>-402.42449999999997</v>
      </c>
      <c r="W115" s="2123"/>
      <c r="X115" s="2124"/>
      <c r="Y115" s="1956"/>
      <c r="Z115" s="2120">
        <f t="shared" ref="Z115:AF115" si="281">SUM(Z108:Z113)</f>
        <v>-66.466999999999999</v>
      </c>
      <c r="AA115" s="2123">
        <f t="shared" si="281"/>
        <v>-66.466999999999999</v>
      </c>
      <c r="AB115" s="2123">
        <f t="shared" si="281"/>
        <v>-66.466999999999999</v>
      </c>
      <c r="AC115" s="2123">
        <f t="shared" si="281"/>
        <v>-66.466999999999999</v>
      </c>
      <c r="AD115" s="2123">
        <f t="shared" si="281"/>
        <v>-66.466999999999999</v>
      </c>
      <c r="AE115" s="2123">
        <f t="shared" si="281"/>
        <v>-66.466999999999999</v>
      </c>
      <c r="AF115" s="2124">
        <f t="shared" si="281"/>
        <v>-66.466999999999999</v>
      </c>
      <c r="AG115" s="1956"/>
      <c r="AH115" s="2120">
        <f>SUM(Z115:AF115)</f>
        <v>-465.26899999999995</v>
      </c>
      <c r="AI115" s="2123"/>
      <c r="AJ115" s="2124"/>
      <c r="AK115" s="1955"/>
      <c r="AL115" s="2120">
        <f t="shared" ref="AL115:AR115" si="282">SUM(AL108:AL113)</f>
        <v>-66.466999999999999</v>
      </c>
      <c r="AM115" s="2121">
        <f t="shared" si="282"/>
        <v>-66.466999999999999</v>
      </c>
      <c r="AN115" s="2121">
        <f t="shared" si="282"/>
        <v>-66.466999999999999</v>
      </c>
      <c r="AO115" s="2121">
        <f t="shared" si="282"/>
        <v>-66.466999999999999</v>
      </c>
      <c r="AP115" s="2121">
        <f t="shared" si="282"/>
        <v>-66.466999999999999</v>
      </c>
      <c r="AQ115" s="2121">
        <f t="shared" si="282"/>
        <v>-66.466999999999999</v>
      </c>
      <c r="AR115" s="2124">
        <f t="shared" si="282"/>
        <v>-66.466999999999999</v>
      </c>
      <c r="AS115" s="2254"/>
      <c r="AT115" s="2120">
        <f>SUM(AL115:AR115)</f>
        <v>-465.26899999999995</v>
      </c>
      <c r="AU115" s="2123"/>
      <c r="AV115" s="2124"/>
      <c r="AW115" s="1951"/>
      <c r="AX115" s="2120">
        <f t="shared" ref="AX115:BD115" si="283">SUM(AX108:AX113)</f>
        <v>-66.466999999999999</v>
      </c>
      <c r="AY115" s="2121">
        <f t="shared" si="283"/>
        <v>-66.466999999999999</v>
      </c>
      <c r="AZ115" s="2121">
        <f t="shared" si="283"/>
        <v>0</v>
      </c>
      <c r="BA115" s="2121">
        <f t="shared" si="283"/>
        <v>0</v>
      </c>
      <c r="BB115" s="2121">
        <f t="shared" si="283"/>
        <v>0</v>
      </c>
      <c r="BC115" s="2121">
        <f t="shared" si="283"/>
        <v>0</v>
      </c>
      <c r="BD115" s="2124">
        <f t="shared" si="283"/>
        <v>0</v>
      </c>
      <c r="BE115" s="1951"/>
      <c r="BF115" s="2120">
        <f>SUM(AX115:BD115)</f>
        <v>-132.934</v>
      </c>
      <c r="BG115" s="2123"/>
      <c r="BH115" s="2124"/>
      <c r="BI115" s="1900"/>
      <c r="BJ115" s="2120">
        <f t="shared" ref="BJ115:BK115" si="284">SUM(BJ108:BJ113)</f>
        <v>0</v>
      </c>
      <c r="BK115" s="2123">
        <f t="shared" si="284"/>
        <v>0</v>
      </c>
      <c r="BL115" s="2317"/>
      <c r="BM115" s="2215">
        <f>SUM(BJ115:BK115)</f>
        <v>0</v>
      </c>
      <c r="BN115" s="2318"/>
      <c r="BO115" s="2118"/>
      <c r="BP115" s="1897"/>
      <c r="BQ115" s="2215">
        <f>SUM(N115:T115)+SUM(Z115:AF115)+SUM(AL115:AR115)+SUM(AX115:BD115)+SUM(BJ115:BK115)</f>
        <v>-1465.8964999999998</v>
      </c>
      <c r="BR115" s="2130"/>
      <c r="BS115" s="1900"/>
      <c r="BT115" s="1900"/>
      <c r="BU115" s="1900"/>
      <c r="BV115" s="2011"/>
    </row>
    <row r="116" spans="2:75" s="1726" customFormat="1" ht="4.5" customHeight="1" thickBot="1" x14ac:dyDescent="0.25">
      <c r="B116" s="1740"/>
      <c r="C116" s="1740"/>
      <c r="D116" s="1861"/>
      <c r="E116" s="1740"/>
      <c r="F116" s="1740"/>
      <c r="G116" s="1740"/>
      <c r="H116" s="1740"/>
      <c r="I116" s="1740"/>
      <c r="J116" s="1740"/>
      <c r="K116" s="1861"/>
      <c r="L116" s="1827"/>
      <c r="M116" s="1810"/>
      <c r="N116" s="1740"/>
      <c r="O116" s="1740"/>
      <c r="P116" s="1740"/>
      <c r="Q116" s="1740"/>
      <c r="R116" s="1740"/>
      <c r="S116" s="1740"/>
      <c r="T116" s="1740"/>
      <c r="U116" s="1861"/>
      <c r="V116" s="1740"/>
      <c r="W116" s="1740"/>
      <c r="X116" s="1740"/>
      <c r="Y116" s="1860"/>
      <c r="AG116" s="1860"/>
      <c r="AH116" s="1740"/>
      <c r="AI116" s="1740"/>
      <c r="AJ116" s="1740"/>
      <c r="AK116" s="1860"/>
      <c r="AL116" s="1740"/>
      <c r="AM116" s="1740"/>
      <c r="AN116" s="1740"/>
      <c r="AO116" s="1740"/>
      <c r="AP116" s="1740"/>
      <c r="AQ116" s="1740"/>
      <c r="AR116" s="1740"/>
      <c r="AS116" s="1861"/>
      <c r="AT116" s="1740"/>
      <c r="AU116" s="1740"/>
      <c r="AV116" s="1740"/>
      <c r="AW116" s="1861"/>
      <c r="AX116" s="1740"/>
      <c r="AY116" s="1740"/>
      <c r="AZ116" s="1740"/>
      <c r="BA116" s="1740"/>
      <c r="BB116" s="1740"/>
      <c r="BC116" s="1740"/>
      <c r="BD116" s="1740"/>
      <c r="BE116" s="1861"/>
      <c r="BF116" s="1740"/>
      <c r="BG116" s="1740"/>
      <c r="BH116" s="1740"/>
      <c r="BI116" s="1740"/>
      <c r="BJ116" s="1740"/>
      <c r="BK116" s="1740"/>
      <c r="BL116" s="1740"/>
      <c r="BM116" s="1740"/>
      <c r="BN116" s="1740"/>
      <c r="BO116" s="1740"/>
      <c r="BQ116" s="1740"/>
      <c r="BR116" s="1740"/>
      <c r="BS116" s="1740"/>
      <c r="BT116" s="1740"/>
      <c r="BU116" s="1740"/>
      <c r="BV116" s="1861"/>
    </row>
    <row r="117" spans="2:75" s="1726" customFormat="1" ht="17.25" thickBot="1" x14ac:dyDescent="0.25">
      <c r="B117" s="2049"/>
      <c r="C117" s="2050"/>
      <c r="D117" s="2051"/>
      <c r="E117" s="2052">
        <f>E115*24%</f>
        <v>4846.1999999999989</v>
      </c>
      <c r="F117" s="2053"/>
      <c r="G117" s="2053"/>
      <c r="H117" s="2053"/>
      <c r="I117" s="2053"/>
      <c r="J117" s="2053"/>
      <c r="K117" s="2253"/>
      <c r="L117" s="2216"/>
      <c r="M117" s="2055"/>
      <c r="N117" s="2056">
        <f>N115*100/30</f>
        <v>-12.07499999999999</v>
      </c>
      <c r="O117" s="2052">
        <f t="shared" ref="O117:T117" si="285">O115*100/30</f>
        <v>-221.55666666666667</v>
      </c>
      <c r="P117" s="2052">
        <f t="shared" si="285"/>
        <v>-221.55666666666667</v>
      </c>
      <c r="Q117" s="2052">
        <f t="shared" si="285"/>
        <v>-221.55666666666667</v>
      </c>
      <c r="R117" s="2052">
        <f t="shared" si="285"/>
        <v>-221.55666666666667</v>
      </c>
      <c r="S117" s="2052">
        <f t="shared" si="285"/>
        <v>-221.55666666666667</v>
      </c>
      <c r="T117" s="2192">
        <f t="shared" si="285"/>
        <v>-221.55666666666667</v>
      </c>
      <c r="U117" s="2300"/>
      <c r="V117" s="2056">
        <f>SUM(N117:T117)</f>
        <v>-1341.415</v>
      </c>
      <c r="W117" s="2052"/>
      <c r="X117" s="2057"/>
      <c r="Y117" s="1766"/>
      <c r="Z117" s="2673">
        <f t="shared" ref="Z117:AF117" si="286">Z115*100/30</f>
        <v>-221.55666666666667</v>
      </c>
      <c r="AA117" s="2674">
        <f t="shared" si="286"/>
        <v>-221.55666666666667</v>
      </c>
      <c r="AB117" s="2674">
        <f t="shared" si="286"/>
        <v>-221.55666666666667</v>
      </c>
      <c r="AC117" s="2052">
        <f t="shared" si="286"/>
        <v>-221.55666666666667</v>
      </c>
      <c r="AD117" s="2674">
        <f t="shared" si="286"/>
        <v>-221.55666666666667</v>
      </c>
      <c r="AE117" s="2674">
        <f t="shared" si="286"/>
        <v>-221.55666666666667</v>
      </c>
      <c r="AF117" s="2675">
        <f t="shared" si="286"/>
        <v>-221.55666666666667</v>
      </c>
      <c r="AG117" s="1766"/>
      <c r="AH117" s="2056">
        <f>SUM(Z117:AF117)</f>
        <v>-1550.8966666666665</v>
      </c>
      <c r="AI117" s="2052"/>
      <c r="AJ117" s="2057"/>
      <c r="AK117" s="1764"/>
      <c r="AL117" s="2056">
        <f t="shared" ref="AL117:AR117" si="287">AL115*100/30</f>
        <v>-221.55666666666667</v>
      </c>
      <c r="AM117" s="2053">
        <f t="shared" si="287"/>
        <v>-221.55666666666667</v>
      </c>
      <c r="AN117" s="2053">
        <f t="shared" si="287"/>
        <v>-221.55666666666667</v>
      </c>
      <c r="AO117" s="2053">
        <f t="shared" si="287"/>
        <v>-221.55666666666667</v>
      </c>
      <c r="AP117" s="2053">
        <f t="shared" si="287"/>
        <v>-221.55666666666667</v>
      </c>
      <c r="AQ117" s="2053">
        <f t="shared" si="287"/>
        <v>-221.55666666666667</v>
      </c>
      <c r="AR117" s="2057">
        <f t="shared" si="287"/>
        <v>-221.55666666666667</v>
      </c>
      <c r="AS117" s="2300"/>
      <c r="AT117" s="2056">
        <f>SUM(AL117:AR117)</f>
        <v>-1550.8966666666665</v>
      </c>
      <c r="AU117" s="2052"/>
      <c r="AV117" s="2057"/>
      <c r="AW117" s="1814"/>
      <c r="AX117" s="2056">
        <f t="shared" ref="AX117:BD117" si="288">AX115*100/30</f>
        <v>-221.55666666666667</v>
      </c>
      <c r="AY117" s="2053">
        <f t="shared" si="288"/>
        <v>-221.55666666666667</v>
      </c>
      <c r="AZ117" s="2053">
        <f t="shared" si="288"/>
        <v>0</v>
      </c>
      <c r="BA117" s="2053">
        <f t="shared" si="288"/>
        <v>0</v>
      </c>
      <c r="BB117" s="2053">
        <f t="shared" si="288"/>
        <v>0</v>
      </c>
      <c r="BC117" s="2053">
        <f t="shared" si="288"/>
        <v>0</v>
      </c>
      <c r="BD117" s="2057">
        <f t="shared" si="288"/>
        <v>0</v>
      </c>
      <c r="BE117" s="1814"/>
      <c r="BF117" s="2056">
        <f>SUM(AX117:BD117)</f>
        <v>-443.11333333333334</v>
      </c>
      <c r="BG117" s="2052"/>
      <c r="BH117" s="2057"/>
      <c r="BI117" s="1740"/>
      <c r="BJ117" s="2056">
        <f t="shared" ref="BJ117:BK117" si="289">BJ115*100/30</f>
        <v>0</v>
      </c>
      <c r="BK117" s="2052">
        <f t="shared" si="289"/>
        <v>0</v>
      </c>
      <c r="BL117" s="2301"/>
      <c r="BM117" s="2058">
        <f>SUM(BJ117:BK117)</f>
        <v>0</v>
      </c>
      <c r="BN117" s="2324"/>
      <c r="BO117" s="2190"/>
      <c r="BP117" s="1862"/>
      <c r="BQ117" s="2058">
        <f>SUM(N117:T117)+SUM(Z117:AF117)+SUM(AL117:AR117)+SUM(AX117:BD117)+SUM(BJ117:BK117)</f>
        <v>-4886.3216666666667</v>
      </c>
      <c r="BR117" s="2676">
        <f>BQ117/BZ20</f>
        <v>-203.59673611111111</v>
      </c>
      <c r="BS117" s="1740"/>
      <c r="BT117" s="1740"/>
      <c r="BU117" s="1740"/>
      <c r="BV117" s="1861"/>
    </row>
    <row r="119" spans="2:75" ht="18" x14ac:dyDescent="0.2">
      <c r="C119" s="2448"/>
      <c r="D119" s="2450"/>
      <c r="E119" s="2449"/>
      <c r="F119" s="2449"/>
      <c r="G119" s="2449"/>
      <c r="H119" s="2449"/>
      <c r="I119" s="2449"/>
      <c r="J119" s="2449"/>
    </row>
    <row r="120" spans="2:75" ht="18" x14ac:dyDescent="0.2">
      <c r="C120" s="2448">
        <f>E120*23%</f>
        <v>6864.0145833333336</v>
      </c>
      <c r="D120" s="2450"/>
      <c r="E120" s="2449">
        <f>(E113*2)+E108</f>
        <v>29843.541666666668</v>
      </c>
      <c r="F120" s="2449"/>
      <c r="G120" s="2449"/>
      <c r="H120" s="2449"/>
      <c r="I120" s="2449"/>
      <c r="J120" s="2449">
        <v>30000</v>
      </c>
      <c r="K120" s="2771">
        <f>J120*23%</f>
        <v>6900</v>
      </c>
      <c r="P120" s="2255"/>
      <c r="Q120" s="2256"/>
      <c r="R120" s="2256"/>
      <c r="S120" s="2257"/>
      <c r="T120" s="2257"/>
      <c r="U120" s="1915"/>
      <c r="V120" s="2257"/>
    </row>
    <row r="121" spans="2:75" ht="18" x14ac:dyDescent="0.2">
      <c r="C121" s="2451">
        <f>C120-E42</f>
        <v>4334.0645833333338</v>
      </c>
      <c r="D121" s="1721"/>
      <c r="E121" s="2771"/>
      <c r="F121" s="2771"/>
      <c r="G121" s="2771"/>
      <c r="H121" s="2771"/>
      <c r="I121" s="2771"/>
      <c r="J121" s="2449"/>
      <c r="K121" s="2449">
        <f>K120-E42</f>
        <v>4370.05</v>
      </c>
      <c r="AM121" s="2257"/>
    </row>
    <row r="122" spans="2:75" ht="18" x14ac:dyDescent="0.2">
      <c r="C122" s="2452">
        <f>C121/2</f>
        <v>2167.0322916666669</v>
      </c>
      <c r="D122" s="1721"/>
      <c r="E122" s="2771"/>
      <c r="F122" s="2771"/>
      <c r="G122" s="2771"/>
      <c r="H122" s="2771"/>
      <c r="I122" s="2771"/>
      <c r="J122" s="2450"/>
      <c r="K122" s="2771">
        <f>K121/2</f>
        <v>2185.0250000000001</v>
      </c>
    </row>
    <row r="123" spans="2:75" ht="18" x14ac:dyDescent="0.2">
      <c r="K123" s="2449"/>
    </row>
  </sheetData>
  <mergeCells count="96">
    <mergeCell ref="V44:X44"/>
    <mergeCell ref="AH44:AJ44"/>
    <mergeCell ref="AT44:AV44"/>
    <mergeCell ref="AZ44:BD44"/>
    <mergeCell ref="BF44:BH44"/>
    <mergeCell ref="BJ44:BK44"/>
    <mergeCell ref="BM44:BO44"/>
    <mergeCell ref="BM108:BM109"/>
    <mergeCell ref="BN108:BN109"/>
    <mergeCell ref="BO108:BO109"/>
    <mergeCell ref="BC108:BC109"/>
    <mergeCell ref="BQ108:BQ109"/>
    <mergeCell ref="BR108:BR109"/>
    <mergeCell ref="BD108:BD109"/>
    <mergeCell ref="BF108:BF109"/>
    <mergeCell ref="BG108:BG109"/>
    <mergeCell ref="BH108:BH109"/>
    <mergeCell ref="BJ108:BJ109"/>
    <mergeCell ref="BK108:BK109"/>
    <mergeCell ref="AX108:AX109"/>
    <mergeCell ref="AY108:AY109"/>
    <mergeCell ref="AZ108:AZ109"/>
    <mergeCell ref="BA108:BA109"/>
    <mergeCell ref="BB108:BB109"/>
    <mergeCell ref="AD108:AD109"/>
    <mergeCell ref="AE108:AE109"/>
    <mergeCell ref="AF108:AF109"/>
    <mergeCell ref="AV108:AV109"/>
    <mergeCell ref="AI108:AI109"/>
    <mergeCell ref="AJ108:AJ109"/>
    <mergeCell ref="AL108:AL109"/>
    <mergeCell ref="AM108:AM109"/>
    <mergeCell ref="AN108:AN109"/>
    <mergeCell ref="AO108:AO109"/>
    <mergeCell ref="AP108:AP109"/>
    <mergeCell ref="AQ108:AQ109"/>
    <mergeCell ref="AR108:AR109"/>
    <mergeCell ref="AT108:AT109"/>
    <mergeCell ref="AU108:AU109"/>
    <mergeCell ref="X108:X109"/>
    <mergeCell ref="Z108:Z109"/>
    <mergeCell ref="AA108:AA109"/>
    <mergeCell ref="AB108:AB109"/>
    <mergeCell ref="AC108:AC109"/>
    <mergeCell ref="N108:N109"/>
    <mergeCell ref="O108:O109"/>
    <mergeCell ref="P108:P109"/>
    <mergeCell ref="Q108:Q109"/>
    <mergeCell ref="R108:R109"/>
    <mergeCell ref="S108:S109"/>
    <mergeCell ref="BM16:BO16"/>
    <mergeCell ref="BT73:BU73"/>
    <mergeCell ref="BW74:BW83"/>
    <mergeCell ref="BY74:BY83"/>
    <mergeCell ref="BW87:BW96"/>
    <mergeCell ref="V16:X16"/>
    <mergeCell ref="AH16:AJ16"/>
    <mergeCell ref="AT16:AV16"/>
    <mergeCell ref="AZ16:BD16"/>
    <mergeCell ref="BF16:BH16"/>
    <mergeCell ref="BJ16:BK16"/>
    <mergeCell ref="AH108:AH109"/>
    <mergeCell ref="T108:T109"/>
    <mergeCell ref="V108:V109"/>
    <mergeCell ref="W108:W109"/>
    <mergeCell ref="B108:B109"/>
    <mergeCell ref="C108:C109"/>
    <mergeCell ref="E108:E109"/>
    <mergeCell ref="J108:J109"/>
    <mergeCell ref="K108:K109"/>
    <mergeCell ref="CH1:CH2"/>
    <mergeCell ref="CI1:CI2"/>
    <mergeCell ref="K10:K11"/>
    <mergeCell ref="BY10:BZ11"/>
    <mergeCell ref="BZ13:BZ14"/>
    <mergeCell ref="CA13:CA14"/>
    <mergeCell ref="BR1:BR14"/>
    <mergeCell ref="BT1:BW2"/>
    <mergeCell ref="CC1:CC2"/>
    <mergeCell ref="CD1:CD2"/>
    <mergeCell ref="CE1:CE2"/>
    <mergeCell ref="CG1:CG2"/>
    <mergeCell ref="AT1:AV2"/>
    <mergeCell ref="AX1:BD2"/>
    <mergeCell ref="BF1:BH2"/>
    <mergeCell ref="BJ1:BK2"/>
    <mergeCell ref="BM1:BO2"/>
    <mergeCell ref="BQ1:BQ14"/>
    <mergeCell ref="C1:K2"/>
    <mergeCell ref="N1:T2"/>
    <mergeCell ref="V1:X2"/>
    <mergeCell ref="Z1:AF2"/>
    <mergeCell ref="AH1:AJ2"/>
    <mergeCell ref="AL1:AR2"/>
    <mergeCell ref="C3:C5"/>
    <mergeCell ref="C6:C8"/>
  </mergeCells>
  <conditionalFormatting sqref="BR111">
    <cfRule type="cellIs" dxfId="354" priority="7" operator="greaterThan">
      <formula>0</formula>
    </cfRule>
    <cfRule type="cellIs" dxfId="353" priority="8" operator="lessThan">
      <formula>0</formula>
    </cfRule>
  </conditionalFormatting>
  <conditionalFormatting sqref="J122">
    <cfRule type="cellIs" dxfId="352" priority="5" operator="lessThan">
      <formula>0</formula>
    </cfRule>
    <cfRule type="cellIs" dxfId="351" priority="6" operator="greaterThan">
      <formula>0</formula>
    </cfRule>
  </conditionalFormatting>
  <conditionalFormatting sqref="N3:T3">
    <cfRule type="cellIs" dxfId="350" priority="4" operator="greaterThan">
      <formula>433</formula>
    </cfRule>
  </conditionalFormatting>
  <conditionalFormatting sqref="N4:T4">
    <cfRule type="cellIs" dxfId="349" priority="1" operator="lessThan">
      <formula>260</formula>
    </cfRule>
    <cfRule type="cellIs" dxfId="348" priority="2" operator="greaterThan">
      <formula>260</formula>
    </cfRule>
    <cfRule type="cellIs" dxfId="347" priority="3" operator="greaterThan">
      <formula>260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700-0000B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EXPERAMENTAL!BQ112:BQ112</xm:f>
              <xm:sqref>BR112</xm:sqref>
            </x14:sparkline>
          </x14:sparklines>
        </x14:sparklineGroup>
        <x14:sparklineGroup type="stacked" displayEmptyCellsAs="gap" negative="1" xr2:uid="{00000000-0003-0000-1700-0000B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EXPERAMENTAL!AH72:AH72</xm:f>
              <xm:sqref>AH73</xm:sqref>
            </x14:sparkline>
          </x14:sparklines>
        </x14:sparklineGroup>
        <x14:sparklineGroup type="stacked" displayEmptyCellsAs="gap" negative="1" xr2:uid="{00000000-0003-0000-1700-0000B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EXPERAMENTAL!V72:V72</xm:f>
              <xm:sqref>V73</xm:sqref>
            </x14:sparkline>
            <x14:sparkline>
              <xm:f>EXPERAMENTAL!W72:W72</xm:f>
              <xm:sqref>W73</xm:sqref>
            </x14:sparkline>
            <x14:sparkline>
              <xm:f>EXPERAMENTAL!X72:X72</xm:f>
              <xm:sqref>X73</xm:sqref>
            </x14:sparkline>
          </x14:sparklines>
        </x14:sparklineGroup>
        <x14:sparklineGroup type="stacked" displayEmptyCellsAs="gap" negative="1" xr2:uid="{00000000-0003-0000-1700-0000B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EXPERAMENTAL!N101:N101</xm:f>
              <xm:sqref>N102</xm:sqref>
            </x14:sparkline>
            <x14:sparkline>
              <xm:f>EXPERAMENTAL!V101:V101</xm:f>
              <xm:sqref>V102</xm:sqref>
            </x14:sparkline>
            <x14:sparkline>
              <xm:f>EXPERAMENTAL!W101:W101</xm:f>
              <xm:sqref>W102</xm:sqref>
            </x14:sparkline>
            <x14:sparkline>
              <xm:f>EXPERAMENTAL!X101:X101</xm:f>
              <xm:sqref>X102</xm:sqref>
            </x14:sparkline>
            <x14:sparkline>
              <xm:f>EXPERAMENTAL!Y101:Y101</xm:f>
              <xm:sqref>Y102</xm:sqref>
            </x14:sparkline>
            <x14:sparkline>
              <xm:f>EXPERAMENTAL!Z101:Z101</xm:f>
              <xm:sqref>Z102</xm:sqref>
            </x14:sparkline>
            <x14:sparkline>
              <xm:f>EXPERAMENTAL!AG101:AG101</xm:f>
              <xm:sqref>AG102</xm:sqref>
            </x14:sparkline>
            <x14:sparkline>
              <xm:f>EXPERAMENTAL!AH101:AH101</xm:f>
              <xm:sqref>AH102</xm:sqref>
            </x14:sparkline>
            <x14:sparkline>
              <xm:f>EXPERAMENTAL!AI101:AI101</xm:f>
              <xm:sqref>AI102</xm:sqref>
            </x14:sparkline>
            <x14:sparkline>
              <xm:f>EXPERAMENTAL!AJ101:AJ101</xm:f>
              <xm:sqref>AJ102</xm:sqref>
            </x14:sparkline>
            <x14:sparkline>
              <xm:f>EXPERAMENTAL!AK101:AK101</xm:f>
              <xm:sqref>AK102</xm:sqref>
            </x14:sparkline>
            <x14:sparkline>
              <xm:f>EXPERAMENTAL!AL101:AL101</xm:f>
              <xm:sqref>AL102</xm:sqref>
            </x14:sparkline>
            <x14:sparkline>
              <xm:f>EXPERAMENTAL!AS101:AS101</xm:f>
              <xm:sqref>AS102</xm:sqref>
            </x14:sparkline>
            <x14:sparkline>
              <xm:f>EXPERAMENTAL!AT101:AT101</xm:f>
              <xm:sqref>AT102</xm:sqref>
            </x14:sparkline>
            <x14:sparkline>
              <xm:f>EXPERAMENTAL!AU101:AU101</xm:f>
              <xm:sqref>AU102</xm:sqref>
            </x14:sparkline>
            <x14:sparkline>
              <xm:f>EXPERAMENTAL!AV101:AV101</xm:f>
              <xm:sqref>AV102</xm:sqref>
            </x14:sparkline>
            <x14:sparkline>
              <xm:f>EXPERAMENTAL!AW101:AW101</xm:f>
              <xm:sqref>AW102</xm:sqref>
            </x14:sparkline>
            <x14:sparkline>
              <xm:f>EXPERAMENTAL!AX101:AX101</xm:f>
              <xm:sqref>AX102</xm:sqref>
            </x14:sparkline>
            <x14:sparkline>
              <xm:f>EXPERAMENTAL!BE101:BE101</xm:f>
              <xm:sqref>BE102</xm:sqref>
            </x14:sparkline>
            <x14:sparkline>
              <xm:f>EXPERAMENTAL!BF101:BF101</xm:f>
              <xm:sqref>BF102</xm:sqref>
            </x14:sparkline>
            <x14:sparkline>
              <xm:f>EXPERAMENTAL!BG101:BG101</xm:f>
              <xm:sqref>BG102</xm:sqref>
            </x14:sparkline>
            <x14:sparkline>
              <xm:f>EXPERAMENTAL!BH101:BH101</xm:f>
              <xm:sqref>BH102</xm:sqref>
            </x14:sparkline>
            <x14:sparkline>
              <xm:f>EXPERAMENTAL!BI101:BI101</xm:f>
              <xm:sqref>BI102</xm:sqref>
            </x14:sparkline>
            <x14:sparkline>
              <xm:f>EXPERAMENTAL!BJ101:BJ101</xm:f>
              <xm:sqref>BJ102</xm:sqref>
            </x14:sparkline>
            <x14:sparkline>
              <xm:f>EXPERAMENTAL!BK101:BK101</xm:f>
              <xm:sqref>BK102</xm:sqref>
            </x14:sparkline>
            <x14:sparkline>
              <xm:f>EXPERAMENTAL!BL101:BL101</xm:f>
              <xm:sqref>BL102</xm:sqref>
            </x14:sparkline>
            <x14:sparkline>
              <xm:f>EXPERAMENTAL!BM101:BM101</xm:f>
              <xm:sqref>BM102</xm:sqref>
            </x14:sparkline>
            <x14:sparkline>
              <xm:f>EXPERAMENTAL!BN101:BN101</xm:f>
              <xm:sqref>BN102</xm:sqref>
            </x14:sparkline>
            <x14:sparkline>
              <xm:f>EXPERAMENTAL!BO101:BO101</xm:f>
              <xm:sqref>BO102</xm:sqref>
            </x14:sparkline>
            <x14:sparkline>
              <xm:f>EXPERAMENTAL!BQ101:BQ101</xm:f>
              <xm:sqref>BQ102</xm:sqref>
            </x14:sparkline>
            <x14:sparkline>
              <xm:f>EXPERAMENTAL!AR101:AR101</xm:f>
              <xm:sqref>AR102</xm:sqref>
            </x14:sparkline>
            <x14:sparkline>
              <xm:f>EXPERAMENTAL!BD101:BD101</xm:f>
              <xm:sqref>BD102</xm:sqref>
            </x14:sparkline>
            <x14:sparkline>
              <xm:f>EXPERAMENTAL!T101:T101</xm:f>
              <xm:sqref>T102</xm:sqref>
            </x14:sparkline>
            <x14:sparkline>
              <xm:f>EXPERAMENTAL!AY101:AY101</xm:f>
              <xm:sqref>AY102</xm:sqref>
            </x14:sparkline>
            <x14:sparkline>
              <xm:f>EXPERAMENTAL!O101:O101</xm:f>
              <xm:sqref>O102</xm:sqref>
            </x14:sparkline>
            <x14:sparkline>
              <xm:f>EXPERAMENTAL!AA101:AA101</xm:f>
              <xm:sqref>AA102</xm:sqref>
            </x14:sparkline>
            <x14:sparkline>
              <xm:f>EXPERAMENTAL!AF101:AF101</xm:f>
              <xm:sqref>AF102</xm:sqref>
            </x14:sparkline>
            <x14:sparkline>
              <xm:f>EXPERAMENTAL!AM101:AM101</xm:f>
              <xm:sqref>AM102</xm:sqref>
            </x14:sparkline>
            <x14:sparkline>
              <xm:f>EXPERAMENTAL!AN101:AN101</xm:f>
              <xm:sqref>AN102</xm:sqref>
            </x14:sparkline>
            <x14:sparkline>
              <xm:f>EXPERAMENTAL!AO101:AO101</xm:f>
              <xm:sqref>AO102</xm:sqref>
            </x14:sparkline>
            <x14:sparkline>
              <xm:f>EXPERAMENTAL!AP101:AP101</xm:f>
              <xm:sqref>AP102</xm:sqref>
            </x14:sparkline>
            <x14:sparkline>
              <xm:f>EXPERAMENTAL!AQ101:AQ101</xm:f>
              <xm:sqref>AQ102</xm:sqref>
            </x14:sparkline>
            <x14:sparkline>
              <xm:f>EXPERAMENTAL!AZ101:AZ101</xm:f>
              <xm:sqref>AZ102</xm:sqref>
            </x14:sparkline>
            <x14:sparkline>
              <xm:f>EXPERAMENTAL!BA101:BA101</xm:f>
              <xm:sqref>BA102</xm:sqref>
            </x14:sparkline>
            <x14:sparkline>
              <xm:f>EXPERAMENTAL!BB101:BB101</xm:f>
              <xm:sqref>BB102</xm:sqref>
            </x14:sparkline>
            <x14:sparkline>
              <xm:f>EXPERAMENTAL!BC101:BC101</xm:f>
              <xm:sqref>BC102</xm:sqref>
            </x14:sparkline>
            <x14:sparkline>
              <xm:f>EXPERAMENTAL!P101:P101</xm:f>
              <xm:sqref>P102</xm:sqref>
            </x14:sparkline>
            <x14:sparkline>
              <xm:f>EXPERAMENTAL!Q101:Q101</xm:f>
              <xm:sqref>Q102</xm:sqref>
            </x14:sparkline>
            <x14:sparkline>
              <xm:f>EXPERAMENTAL!R101:R101</xm:f>
              <xm:sqref>R102</xm:sqref>
            </x14:sparkline>
            <x14:sparkline>
              <xm:f>EXPERAMENTAL!S101:S101</xm:f>
              <xm:sqref>S102</xm:sqref>
            </x14:sparkline>
            <x14:sparkline>
              <xm:f>EXPERAMENTAL!AB101:AB101</xm:f>
              <xm:sqref>AB102</xm:sqref>
            </x14:sparkline>
            <x14:sparkline>
              <xm:f>EXPERAMENTAL!AC101:AC101</xm:f>
              <xm:sqref>AC102</xm:sqref>
            </x14:sparkline>
            <x14:sparkline>
              <xm:f>EXPERAMENTAL!AD101:AD101</xm:f>
              <xm:sqref>AD102</xm:sqref>
            </x14:sparkline>
            <x14:sparkline>
              <xm:f>EXPERAMENTAL!AE101:AE101</xm:f>
              <xm:sqref>AE102</xm:sqref>
            </x14:sparkline>
          </x14:sparklines>
        </x14:sparklineGroup>
        <x14:sparklineGroup type="stacked" displayEmptyCellsAs="gap" negative="1" xr2:uid="{00000000-0003-0000-1700-0000B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EXPERAMENTAL!BQ72:BQ72</xm:f>
              <xm:sqref>BR72</xm:sqref>
            </x14:sparkline>
          </x14:sparklines>
        </x14:sparklineGroup>
        <x14:sparklineGroup type="stacked" displayEmptyCellsAs="gap" negative="1" xr2:uid="{00000000-0003-0000-1700-0000B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EXPERAMENTAL!BQ72:BQ72</xm:f>
              <xm:sqref>BQ73</xm:sqref>
            </x14:sparkline>
          </x14:sparklines>
        </x14:sparklineGroup>
        <x14:sparklineGroup type="stacked" displayEmptyCellsAs="gap" negative="1" xr2:uid="{00000000-0003-0000-1700-0000B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EXPERAMENTAL!Z72:Z72</xm:f>
              <xm:sqref>Z73</xm:sqref>
            </x14:sparkline>
            <x14:sparkline>
              <xm:f>EXPERAMENTAL!AA72:AA72</xm:f>
              <xm:sqref>AA73</xm:sqref>
            </x14:sparkline>
            <x14:sparkline>
              <xm:f>EXPERAMENTAL!AB72:AB72</xm:f>
              <xm:sqref>AB73</xm:sqref>
            </x14:sparkline>
            <x14:sparkline>
              <xm:f>EXPERAMENTAL!AC72:AC72</xm:f>
              <xm:sqref>AC73</xm:sqref>
            </x14:sparkline>
            <x14:sparkline>
              <xm:f>EXPERAMENTAL!AD72:AD72</xm:f>
              <xm:sqref>AD73</xm:sqref>
            </x14:sparkline>
            <x14:sparkline>
              <xm:f>EXPERAMENTAL!AE72:AE72</xm:f>
              <xm:sqref>AE73</xm:sqref>
            </x14:sparkline>
            <x14:sparkline>
              <xm:f>EXPERAMENTAL!AF72:AF72</xm:f>
              <xm:sqref>AF73</xm:sqref>
            </x14:sparkline>
          </x14:sparklines>
        </x14:sparklineGroup>
        <x14:sparklineGroup type="stacked" displayEmptyCellsAs="gap" negative="1" xr2:uid="{00000000-0003-0000-1700-0000B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EXPERAMENTAL!U106:U106</xm:f>
              <xm:sqref>U107</xm:sqref>
            </x14:sparkline>
          </x14:sparklines>
        </x14:sparklineGroup>
        <x14:sparklineGroup type="stacked" displayEmptyCellsAs="gap" negative="1" xr2:uid="{00000000-0003-0000-1700-0000B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EXPERAMENTAL!Y72:Y72</xm:f>
              <xm:sqref>Y73</xm:sqref>
            </x14:sparkline>
            <x14:sparkline>
              <xm:f>EXPERAMENTAL!AG72:AG72</xm:f>
              <xm:sqref>AG73</xm:sqref>
            </x14:sparkline>
            <x14:sparkline>
              <xm:f>EXPERAMENTAL!AI72:AI72</xm:f>
              <xm:sqref>AI73</xm:sqref>
            </x14:sparkline>
            <x14:sparkline>
              <xm:f>EXPERAMENTAL!AJ72:AJ72</xm:f>
              <xm:sqref>AJ73</xm:sqref>
            </x14:sparkline>
            <x14:sparkline>
              <xm:f>EXPERAMENTAL!AK72:AK72</xm:f>
              <xm:sqref>AK73</xm:sqref>
            </x14:sparkline>
            <x14:sparkline>
              <xm:f>EXPERAMENTAL!AL72:AL72</xm:f>
              <xm:sqref>AL73</xm:sqref>
            </x14:sparkline>
            <x14:sparkline>
              <xm:f>EXPERAMENTAL!AM72:AM72</xm:f>
              <xm:sqref>AM73</xm:sqref>
            </x14:sparkline>
            <x14:sparkline>
              <xm:f>EXPERAMENTAL!AN72:AN72</xm:f>
              <xm:sqref>AN73</xm:sqref>
            </x14:sparkline>
            <x14:sparkline>
              <xm:f>EXPERAMENTAL!AO72:AO72</xm:f>
              <xm:sqref>AO73</xm:sqref>
            </x14:sparkline>
            <x14:sparkline>
              <xm:f>EXPERAMENTAL!AR72:AR72</xm:f>
              <xm:sqref>AR73</xm:sqref>
            </x14:sparkline>
            <x14:sparkline>
              <xm:f>EXPERAMENTAL!AS72:AS72</xm:f>
              <xm:sqref>AS73</xm:sqref>
            </x14:sparkline>
            <x14:sparkline>
              <xm:f>EXPERAMENTAL!AT72:AT72</xm:f>
              <xm:sqref>AT73</xm:sqref>
            </x14:sparkline>
            <x14:sparkline>
              <xm:f>EXPERAMENTAL!AU72:AU72</xm:f>
              <xm:sqref>AU73</xm:sqref>
            </x14:sparkline>
            <x14:sparkline>
              <xm:f>EXPERAMENTAL!AV72:AV72</xm:f>
              <xm:sqref>AV73</xm:sqref>
            </x14:sparkline>
            <x14:sparkline>
              <xm:f>EXPERAMENTAL!AW72:AW72</xm:f>
              <xm:sqref>AW73</xm:sqref>
            </x14:sparkline>
            <x14:sparkline>
              <xm:f>EXPERAMENTAL!AX72:AX72</xm:f>
              <xm:sqref>AX73</xm:sqref>
            </x14:sparkline>
            <x14:sparkline>
              <xm:f>EXPERAMENTAL!BD72:BD72</xm:f>
              <xm:sqref>BD73</xm:sqref>
            </x14:sparkline>
            <x14:sparkline>
              <xm:f>EXPERAMENTAL!BE72:BE72</xm:f>
              <xm:sqref>BE73</xm:sqref>
            </x14:sparkline>
            <x14:sparkline>
              <xm:f>EXPERAMENTAL!BF72:BF72</xm:f>
              <xm:sqref>BF73</xm:sqref>
            </x14:sparkline>
            <x14:sparkline>
              <xm:f>EXPERAMENTAL!BG72:BG72</xm:f>
              <xm:sqref>BG73</xm:sqref>
            </x14:sparkline>
            <x14:sparkline>
              <xm:f>EXPERAMENTAL!BH72:BH72</xm:f>
              <xm:sqref>BH73</xm:sqref>
            </x14:sparkline>
            <x14:sparkline>
              <xm:f>EXPERAMENTAL!BI72:BI72</xm:f>
              <xm:sqref>BI73</xm:sqref>
            </x14:sparkline>
            <x14:sparkline>
              <xm:f>EXPERAMENTAL!BJ72:BJ72</xm:f>
              <xm:sqref>BJ73</xm:sqref>
            </x14:sparkline>
            <x14:sparkline>
              <xm:f>EXPERAMENTAL!BK72:BK72</xm:f>
              <xm:sqref>BK73</xm:sqref>
            </x14:sparkline>
            <x14:sparkline>
              <xm:f>EXPERAMENTAL!BL72:BL72</xm:f>
              <xm:sqref>BL73</xm:sqref>
            </x14:sparkline>
            <x14:sparkline>
              <xm:f>EXPERAMENTAL!BM72:BM72</xm:f>
              <xm:sqref>BM73</xm:sqref>
            </x14:sparkline>
            <x14:sparkline>
              <xm:f>EXPERAMENTAL!BN72:BN72</xm:f>
              <xm:sqref>BN73</xm:sqref>
            </x14:sparkline>
            <x14:sparkline>
              <xm:f>EXPERAMENTAL!BO72:BO72</xm:f>
              <xm:sqref>BO73</xm:sqref>
            </x14:sparkline>
            <x14:sparkline>
              <xm:f>EXPERAMENTAL!AY72:AY72</xm:f>
              <xm:sqref>AY73</xm:sqref>
            </x14:sparkline>
            <x14:sparkline>
              <xm:f>EXPERAMENTAL!AP72:AP72</xm:f>
              <xm:sqref>AP73</xm:sqref>
            </x14:sparkline>
            <x14:sparkline>
              <xm:f>EXPERAMENTAL!AQ72:AQ72</xm:f>
              <xm:sqref>AQ73</xm:sqref>
            </x14:sparkline>
            <x14:sparkline>
              <xm:f>EXPERAMENTAL!AZ72:AZ72</xm:f>
              <xm:sqref>AZ73</xm:sqref>
            </x14:sparkline>
            <x14:sparkline>
              <xm:f>EXPERAMENTAL!BA72:BA72</xm:f>
              <xm:sqref>BA73</xm:sqref>
            </x14:sparkline>
            <x14:sparkline>
              <xm:f>EXPERAMENTAL!BB72:BB72</xm:f>
              <xm:sqref>BB73</xm:sqref>
            </x14:sparkline>
            <x14:sparkline>
              <xm:f>EXPERAMENTAL!BC72:BC72</xm:f>
              <xm:sqref>BC73</xm:sqref>
            </x14:sparkline>
          </x14:sparklines>
        </x14:sparklineGroup>
        <x14:sparklineGroup type="stacked" displayEmptyCellsAs="gap" negative="1" xr2:uid="{00000000-0003-0000-1700-0000A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EXPERAMENTAL!BP101:BP101</xm:f>
              <xm:sqref>BP102</xm:sqref>
            </x14:sparkline>
          </x14:sparklines>
        </x14:sparklineGroup>
        <x14:sparklineGroup type="stacked" displayEmptyCellsAs="gap" negative="1" xr2:uid="{00000000-0003-0000-1700-0000A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EXPERAMENTAL!BQ108:BQ108</xm:f>
              <xm:sqref>BR108</xm:sqref>
            </x14:sparkline>
            <x14:sparkline>
              <xm:f>EXPERAMENTAL!BQ110:BQ110</xm:f>
              <xm:sqref>BR110</xm:sqref>
            </x14:sparkline>
          </x14:sparklines>
        </x14:sparklineGroup>
        <x14:sparklineGroup type="stacked" displayEmptyCellsAs="gap" negative="1" xr2:uid="{00000000-0003-0000-1700-0000A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EXPERAMENTAL!U72:U72</xm:f>
              <xm:sqref>U73</xm:sqref>
            </x14:sparkline>
          </x14:sparklines>
        </x14:sparklineGroup>
        <x14:sparklineGroup type="stacked" displayEmptyCellsAs="gap" negative="1" xr2:uid="{00000000-0003-0000-1700-0000A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EXPERAMENTAL!N72:N72</xm:f>
              <xm:sqref>N73</xm:sqref>
            </x14:sparkline>
            <x14:sparkline>
              <xm:f>EXPERAMENTAL!O72:O72</xm:f>
              <xm:sqref>O73</xm:sqref>
            </x14:sparkline>
            <x14:sparkline>
              <xm:f>EXPERAMENTAL!P72:P72</xm:f>
              <xm:sqref>P73</xm:sqref>
            </x14:sparkline>
            <x14:sparkline>
              <xm:f>EXPERAMENTAL!Q72:Q72</xm:f>
              <xm:sqref>Q73</xm:sqref>
            </x14:sparkline>
            <x14:sparkline>
              <xm:f>EXPERAMENTAL!R72:R72</xm:f>
              <xm:sqref>R73</xm:sqref>
            </x14:sparkline>
            <x14:sparkline>
              <xm:f>EXPERAMENTAL!S72:S72</xm:f>
              <xm:sqref>S73</xm:sqref>
            </x14:sparkline>
            <x14:sparkline>
              <xm:f>EXPERAMENTAL!T72:T72</xm:f>
              <xm:sqref>T73</xm:sqref>
            </x14:sparkline>
          </x14:sparklines>
        </x14:sparklineGroup>
        <x14:sparklineGroup type="stacked" displayEmptyCellsAs="gap" negative="1" xr2:uid="{00000000-0003-0000-1700-0000A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EXPERAMENTAL!BP106:BP106</xm:f>
              <xm:sqref>BP107</xm:sqref>
            </x14:sparkline>
          </x14:sparklines>
        </x14:sparklineGroup>
        <x14:sparklineGroup type="stacked" displayEmptyCellsAs="gap" negative="1" xr2:uid="{00000000-0003-0000-1700-0000A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EXPERAMENTAL!BQ111:BQ111</xm:f>
              <xm:sqref>BR111</xm:sqref>
            </x14:sparkline>
          </x14:sparklines>
        </x14:sparklineGroup>
        <x14:sparklineGroup type="stacked" displayEmptyCellsAs="gap" negative="1" xr2:uid="{00000000-0003-0000-1700-0000A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EXPERAMENTAL!U101:U101</xm:f>
              <xm:sqref>U102</xm:sqref>
            </x14:sparkline>
          </x14:sparklines>
        </x14:sparklineGroup>
        <x14:sparklineGroup type="stacked" displayEmptyCellsAs="gap" negative="1" xr2:uid="{00000000-0003-0000-1700-0000A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EXPERAMENTAL!BQ113:BQ113</xm:f>
              <xm:sqref>BR113</xm:sqref>
            </x14:sparkline>
          </x14:sparklines>
        </x14:sparklineGroup>
        <x14:sparklineGroup type="stacked" displayEmptyCellsAs="gap" negative="1" xr2:uid="{00000000-0003-0000-1700-0000A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EXPERAMENTAL!BP72:BP72</xm:f>
              <xm:sqref>BP73</xm:sqref>
            </x14:sparkline>
          </x14:sparklines>
        </x14:sparklineGroup>
        <x14:sparklineGroup type="stacked" displayEmptyCellsAs="gap" negative="1" xr2:uid="{00000000-0003-0000-1700-0000A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EXPERAMENTAL!N106:N106</xm:f>
              <xm:sqref>N107</xm:sqref>
            </x14:sparkline>
            <x14:sparkline>
              <xm:f>EXPERAMENTAL!O106:O106</xm:f>
              <xm:sqref>O107</xm:sqref>
            </x14:sparkline>
            <x14:sparkline>
              <xm:f>EXPERAMENTAL!P106:P106</xm:f>
              <xm:sqref>P107</xm:sqref>
            </x14:sparkline>
            <x14:sparkline>
              <xm:f>EXPERAMENTAL!Q106:Q106</xm:f>
              <xm:sqref>Q107</xm:sqref>
            </x14:sparkline>
            <x14:sparkline>
              <xm:f>EXPERAMENTAL!R106:R106</xm:f>
              <xm:sqref>R107</xm:sqref>
            </x14:sparkline>
            <x14:sparkline>
              <xm:f>EXPERAMENTAL!S106:S106</xm:f>
              <xm:sqref>S107</xm:sqref>
            </x14:sparkline>
            <x14:sparkline>
              <xm:f>EXPERAMENTAL!T106:T106</xm:f>
              <xm:sqref>T107</xm:sqref>
            </x14:sparkline>
            <x14:sparkline>
              <xm:f>EXPERAMENTAL!V106:V106</xm:f>
              <xm:sqref>V107</xm:sqref>
            </x14:sparkline>
            <x14:sparkline>
              <xm:f>EXPERAMENTAL!W106:W106</xm:f>
              <xm:sqref>W107</xm:sqref>
            </x14:sparkline>
            <x14:sparkline>
              <xm:f>EXPERAMENTAL!X106:X106</xm:f>
              <xm:sqref>X107</xm:sqref>
            </x14:sparkline>
            <x14:sparkline>
              <xm:f>EXPERAMENTAL!Y106:Y106</xm:f>
              <xm:sqref>Y107</xm:sqref>
            </x14:sparkline>
            <x14:sparkline>
              <xm:f>EXPERAMENTAL!Z106:Z106</xm:f>
              <xm:sqref>Z107</xm:sqref>
            </x14:sparkline>
            <x14:sparkline>
              <xm:f>EXPERAMENTAL!AA106:AA106</xm:f>
              <xm:sqref>AA107</xm:sqref>
            </x14:sparkline>
            <x14:sparkline>
              <xm:f>EXPERAMENTAL!AB106:AB106</xm:f>
              <xm:sqref>AB107</xm:sqref>
            </x14:sparkline>
            <x14:sparkline>
              <xm:f>EXPERAMENTAL!AC106:AC106</xm:f>
              <xm:sqref>AC107</xm:sqref>
            </x14:sparkline>
            <x14:sparkline>
              <xm:f>EXPERAMENTAL!AD106:AD106</xm:f>
              <xm:sqref>AD107</xm:sqref>
            </x14:sparkline>
            <x14:sparkline>
              <xm:f>EXPERAMENTAL!AE106:AE106</xm:f>
              <xm:sqref>AE107</xm:sqref>
            </x14:sparkline>
            <x14:sparkline>
              <xm:f>EXPERAMENTAL!AF106:AF106</xm:f>
              <xm:sqref>AF107</xm:sqref>
            </x14:sparkline>
            <x14:sparkline>
              <xm:f>EXPERAMENTAL!AG106:AG106</xm:f>
              <xm:sqref>AG107</xm:sqref>
            </x14:sparkline>
            <x14:sparkline>
              <xm:f>EXPERAMENTAL!AH106:AH106</xm:f>
              <xm:sqref>AH107</xm:sqref>
            </x14:sparkline>
            <x14:sparkline>
              <xm:f>EXPERAMENTAL!AI106:AI106</xm:f>
              <xm:sqref>AI107</xm:sqref>
            </x14:sparkline>
            <x14:sparkline>
              <xm:f>EXPERAMENTAL!AJ106:AJ106</xm:f>
              <xm:sqref>AJ107</xm:sqref>
            </x14:sparkline>
            <x14:sparkline>
              <xm:f>EXPERAMENTAL!AK106:AK106</xm:f>
              <xm:sqref>AK107</xm:sqref>
            </x14:sparkline>
            <x14:sparkline>
              <xm:f>EXPERAMENTAL!AL106:AL106</xm:f>
              <xm:sqref>AL107</xm:sqref>
            </x14:sparkline>
            <x14:sparkline>
              <xm:f>EXPERAMENTAL!AM106:AM106</xm:f>
              <xm:sqref>AM107</xm:sqref>
            </x14:sparkline>
            <x14:sparkline>
              <xm:f>EXPERAMENTAL!AN106:AN106</xm:f>
              <xm:sqref>AN107</xm:sqref>
            </x14:sparkline>
            <x14:sparkline>
              <xm:f>EXPERAMENTAL!AO106:AO106</xm:f>
              <xm:sqref>AO107</xm:sqref>
            </x14:sparkline>
            <x14:sparkline>
              <xm:f>EXPERAMENTAL!AP106:AP106</xm:f>
              <xm:sqref>AP107</xm:sqref>
            </x14:sparkline>
            <x14:sparkline>
              <xm:f>EXPERAMENTAL!AQ106:AQ106</xm:f>
              <xm:sqref>AQ107</xm:sqref>
            </x14:sparkline>
            <x14:sparkline>
              <xm:f>EXPERAMENTAL!AR106:AR106</xm:f>
              <xm:sqref>AR107</xm:sqref>
            </x14:sparkline>
            <x14:sparkline>
              <xm:f>EXPERAMENTAL!AS106:AS106</xm:f>
              <xm:sqref>AS107</xm:sqref>
            </x14:sparkline>
            <x14:sparkline>
              <xm:f>EXPERAMENTAL!AT106:AT106</xm:f>
              <xm:sqref>AT107</xm:sqref>
            </x14:sparkline>
            <x14:sparkline>
              <xm:f>EXPERAMENTAL!AU106:AU106</xm:f>
              <xm:sqref>AU107</xm:sqref>
            </x14:sparkline>
            <x14:sparkline>
              <xm:f>EXPERAMENTAL!AV106:AV106</xm:f>
              <xm:sqref>AV107</xm:sqref>
            </x14:sparkline>
            <x14:sparkline>
              <xm:f>EXPERAMENTAL!AW106:AW106</xm:f>
              <xm:sqref>AW107</xm:sqref>
            </x14:sparkline>
            <x14:sparkline>
              <xm:f>EXPERAMENTAL!AX106:AX106</xm:f>
              <xm:sqref>AX107</xm:sqref>
            </x14:sparkline>
            <x14:sparkline>
              <xm:f>EXPERAMENTAL!AY106:AY106</xm:f>
              <xm:sqref>AY107</xm:sqref>
            </x14:sparkline>
            <x14:sparkline>
              <xm:f>EXPERAMENTAL!AZ106:AZ106</xm:f>
              <xm:sqref>AZ107</xm:sqref>
            </x14:sparkline>
            <x14:sparkline>
              <xm:f>EXPERAMENTAL!BA106:BA106</xm:f>
              <xm:sqref>BA107</xm:sqref>
            </x14:sparkline>
            <x14:sparkline>
              <xm:f>EXPERAMENTAL!BB106:BB106</xm:f>
              <xm:sqref>BB107</xm:sqref>
            </x14:sparkline>
            <x14:sparkline>
              <xm:f>EXPERAMENTAL!BC106:BC106</xm:f>
              <xm:sqref>BC107</xm:sqref>
            </x14:sparkline>
            <x14:sparkline>
              <xm:f>EXPERAMENTAL!BD106:BD106</xm:f>
              <xm:sqref>BD107</xm:sqref>
            </x14:sparkline>
            <x14:sparkline>
              <xm:f>EXPERAMENTAL!BE106:BE106</xm:f>
              <xm:sqref>BE107</xm:sqref>
            </x14:sparkline>
            <x14:sparkline>
              <xm:f>EXPERAMENTAL!BF106:BF106</xm:f>
              <xm:sqref>BF107</xm:sqref>
            </x14:sparkline>
            <x14:sparkline>
              <xm:f>EXPERAMENTAL!BG106:BG106</xm:f>
              <xm:sqref>BG107</xm:sqref>
            </x14:sparkline>
            <x14:sparkline>
              <xm:f>EXPERAMENTAL!BH106:BH106</xm:f>
              <xm:sqref>BH107</xm:sqref>
            </x14:sparkline>
            <x14:sparkline>
              <xm:f>EXPERAMENTAL!BI106:BI106</xm:f>
              <xm:sqref>BI107</xm:sqref>
            </x14:sparkline>
            <x14:sparkline>
              <xm:f>EXPERAMENTAL!BJ106:BJ106</xm:f>
              <xm:sqref>BJ107</xm:sqref>
            </x14:sparkline>
            <x14:sparkline>
              <xm:f>EXPERAMENTAL!BK106:BK106</xm:f>
              <xm:sqref>BK107</xm:sqref>
            </x14:sparkline>
            <x14:sparkline>
              <xm:f>EXPERAMENTAL!BL106:BL106</xm:f>
              <xm:sqref>BL107</xm:sqref>
            </x14:sparkline>
            <x14:sparkline>
              <xm:f>EXPERAMENTAL!BM106:BM106</xm:f>
              <xm:sqref>BM107</xm:sqref>
            </x14:sparkline>
            <x14:sparkline>
              <xm:f>EXPERAMENTAL!BN106:BN106</xm:f>
              <xm:sqref>BN107</xm:sqref>
            </x14:sparkline>
            <x14:sparkline>
              <xm:f>EXPERAMENTAL!BO106:BO106</xm:f>
              <xm:sqref>BO107</xm:sqref>
            </x14:sparkline>
            <x14:sparkline>
              <xm:f>EXPERAMENTAL!BQ106:BQ106</xm:f>
              <xm:sqref>BQ107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FR95"/>
  <sheetViews>
    <sheetView topLeftCell="AU1" zoomScale="80" zoomScaleNormal="80" zoomScaleSheetLayoutView="80" workbookViewId="0">
      <selection activeCell="CB1" sqref="CB1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59.625" style="1719" bestFit="1" customWidth="1"/>
    <col min="4" max="4" width="0.875" style="1923" customWidth="1"/>
    <col min="5" max="5" width="12.125" style="1719" bestFit="1" customWidth="1"/>
    <col min="6" max="9" width="10.875" style="1719" hidden="1" customWidth="1"/>
    <col min="10" max="10" width="12.125" style="1719" bestFit="1" customWidth="1"/>
    <col min="11" max="11" width="11.625" style="1719" bestFit="1" customWidth="1"/>
    <col min="12" max="12" width="0.875" style="1719" customWidth="1"/>
    <col min="13" max="13" width="0.875" style="1923" customWidth="1"/>
    <col min="14" max="18" width="8" style="1719" hidden="1" customWidth="1"/>
    <col min="19" max="19" width="8.875" style="1719" hidden="1" customWidth="1"/>
    <col min="20" max="20" width="8" style="1719" hidden="1" customWidth="1"/>
    <col min="21" max="21" width="0.875" style="1923" customWidth="1"/>
    <col min="22" max="22" width="10" style="1719" bestFit="1" customWidth="1"/>
    <col min="23" max="23" width="9.25" style="1719" bestFit="1" customWidth="1"/>
    <col min="24" max="24" width="10" style="1719" bestFit="1" customWidth="1"/>
    <col min="25" max="25" width="0.875" style="1923" customWidth="1"/>
    <col min="26" max="28" width="8" style="1719" hidden="1" customWidth="1"/>
    <col min="29" max="31" width="8.875" style="1719" hidden="1" customWidth="1"/>
    <col min="32" max="32" width="8.75" style="1719" hidden="1" customWidth="1"/>
    <col min="33" max="33" width="0.875" style="1923" customWidth="1"/>
    <col min="34" max="34" width="10" style="1719" bestFit="1" customWidth="1"/>
    <col min="35" max="35" width="10.25" style="1719" bestFit="1" customWidth="1"/>
    <col min="36" max="36" width="11" style="1719" bestFit="1" customWidth="1"/>
    <col min="37" max="37" width="0.875" style="1923" customWidth="1"/>
    <col min="38" max="44" width="8.875" style="1719" hidden="1" customWidth="1"/>
    <col min="45" max="45" width="0.875" style="1923" customWidth="1"/>
    <col min="46" max="46" width="10" style="1719" bestFit="1" customWidth="1"/>
    <col min="47" max="47" width="10.25" style="1719" bestFit="1" customWidth="1"/>
    <col min="48" max="48" width="11" style="1719" bestFit="1" customWidth="1"/>
    <col min="49" max="49" width="0.875" style="1923" customWidth="1"/>
    <col min="50" max="52" width="8.875" style="1719" hidden="1" customWidth="1"/>
    <col min="53" max="53" width="9.25" style="1719" hidden="1" customWidth="1"/>
    <col min="54" max="56" width="8.875" style="1719" hidden="1" customWidth="1"/>
    <col min="57" max="57" width="0.875" style="1923" customWidth="1"/>
    <col min="58" max="58" width="10" style="1719" bestFit="1" customWidth="1"/>
    <col min="59" max="59" width="10.25" style="1719" bestFit="1" customWidth="1"/>
    <col min="60" max="60" width="11" style="1719" bestFit="1" customWidth="1"/>
    <col min="61" max="61" width="0.875" style="1719" customWidth="1"/>
    <col min="62" max="64" width="8.875" style="1719" hidden="1" customWidth="1"/>
    <col min="65" max="65" width="0.875" style="1719" customWidth="1"/>
    <col min="66" max="66" width="10" style="1719" bestFit="1" customWidth="1"/>
    <col min="67" max="67" width="9.25" style="1719" bestFit="1" customWidth="1"/>
    <col min="68" max="68" width="9.25" style="1719" customWidth="1"/>
    <col min="69" max="69" width="0.875" style="1719" customWidth="1"/>
    <col min="70" max="70" width="10" style="1719" bestFit="1" customWidth="1"/>
    <col min="71" max="71" width="9.375" style="1719" bestFit="1" customWidth="1"/>
    <col min="72" max="72" width="0.875" style="1719" customWidth="1"/>
    <col min="73" max="73" width="11" style="1719" bestFit="1" customWidth="1"/>
    <col min="74" max="74" width="10.875" style="1719" bestFit="1" customWidth="1"/>
    <col min="75" max="75" width="0.875" style="1923" customWidth="1"/>
    <col min="76" max="76" width="10" style="1719" bestFit="1" customWidth="1"/>
    <col min="77" max="77" width="1.875" style="1719" customWidth="1"/>
    <col min="78" max="78" width="12.25" style="1719" bestFit="1" customWidth="1"/>
    <col min="79" max="79" width="11.25" style="1719" bestFit="1" customWidth="1"/>
    <col min="80" max="80" width="13" style="1719" bestFit="1" customWidth="1"/>
    <col min="81" max="81" width="16.25" style="1719" bestFit="1" customWidth="1"/>
    <col min="82" max="82" width="12.125" style="1719" customWidth="1"/>
    <col min="83" max="83" width="12" style="1719" customWidth="1"/>
    <col min="84" max="84" width="10.875" style="1719" customWidth="1"/>
    <col min="85" max="85" width="10" style="1719" bestFit="1" customWidth="1"/>
    <col min="86" max="86" width="13" style="1719" bestFit="1" customWidth="1"/>
    <col min="87" max="87" width="12" style="1719" bestFit="1" customWidth="1"/>
    <col min="88" max="88" width="12.125" style="1719" bestFit="1" customWidth="1"/>
    <col min="89" max="89" width="11" style="1719" bestFit="1" customWidth="1"/>
    <col min="90" max="91" width="9.125" style="1719" customWidth="1"/>
    <col min="92" max="16384" width="9.125" style="1719"/>
  </cols>
  <sheetData>
    <row r="1" spans="1:174" s="1726" customFormat="1" ht="18" customHeight="1" x14ac:dyDescent="0.2">
      <c r="C1" s="4558" t="s">
        <v>270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663" t="s">
        <v>145</v>
      </c>
      <c r="BK1" s="4663"/>
      <c r="BL1" s="4663"/>
      <c r="BN1" s="4541" t="s">
        <v>146</v>
      </c>
      <c r="BO1" s="4542"/>
      <c r="BP1" s="4543"/>
      <c r="BR1" s="4613" t="s">
        <v>54</v>
      </c>
      <c r="BS1" s="4579" t="s">
        <v>61</v>
      </c>
      <c r="BU1" s="4582">
        <f>CA18/31</f>
        <v>0.70967741935483875</v>
      </c>
      <c r="BV1" s="4583"/>
      <c r="BW1" s="4583"/>
      <c r="BX1" s="4584"/>
      <c r="BZ1" s="2454">
        <f>BU3/CA18*22</f>
        <v>8244.32</v>
      </c>
      <c r="CA1" s="2995">
        <f>BZ1*BU5</f>
        <v>1745.5790000000002</v>
      </c>
      <c r="CB1" s="2456">
        <f>CA1-E40</f>
        <v>-292.29519354838681</v>
      </c>
      <c r="CC1" s="2762">
        <f>CB1/2</f>
        <v>-146.1475967741934</v>
      </c>
      <c r="CD1" s="4570"/>
      <c r="CE1" s="4566"/>
      <c r="CF1" s="4568"/>
      <c r="CH1" s="4570"/>
      <c r="CI1" s="4566"/>
      <c r="CJ1" s="4568"/>
    </row>
    <row r="2" spans="1:174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2937"/>
      <c r="N2" s="4575"/>
      <c r="O2" s="4576"/>
      <c r="P2" s="4576"/>
      <c r="Q2" s="4576"/>
      <c r="R2" s="4576"/>
      <c r="S2" s="4576"/>
      <c r="T2" s="4577"/>
      <c r="U2" s="2938"/>
      <c r="V2" s="4544"/>
      <c r="W2" s="4545"/>
      <c r="X2" s="4546"/>
      <c r="Y2" s="2938"/>
      <c r="Z2" s="4575"/>
      <c r="AA2" s="4576"/>
      <c r="AB2" s="4576"/>
      <c r="AC2" s="4576"/>
      <c r="AD2" s="4576"/>
      <c r="AE2" s="4576"/>
      <c r="AF2" s="4577"/>
      <c r="AG2" s="2938"/>
      <c r="AH2" s="4544"/>
      <c r="AI2" s="4545"/>
      <c r="AJ2" s="4546"/>
      <c r="AK2" s="2938"/>
      <c r="AL2" s="4575"/>
      <c r="AM2" s="4576"/>
      <c r="AN2" s="4576"/>
      <c r="AO2" s="4576"/>
      <c r="AP2" s="4576"/>
      <c r="AQ2" s="4576"/>
      <c r="AR2" s="4577"/>
      <c r="AS2" s="2938"/>
      <c r="AT2" s="4544"/>
      <c r="AU2" s="4545"/>
      <c r="AV2" s="4546"/>
      <c r="AW2" s="2938"/>
      <c r="AX2" s="4575"/>
      <c r="AY2" s="4576"/>
      <c r="AZ2" s="4576"/>
      <c r="BA2" s="4576"/>
      <c r="BB2" s="4576"/>
      <c r="BC2" s="4576"/>
      <c r="BD2" s="4577"/>
      <c r="BE2" s="2938"/>
      <c r="BF2" s="4544"/>
      <c r="BG2" s="4545"/>
      <c r="BH2" s="4546"/>
      <c r="BI2" s="1724"/>
      <c r="BJ2" s="4663"/>
      <c r="BK2" s="4663"/>
      <c r="BL2" s="4663"/>
      <c r="BM2" s="1724"/>
      <c r="BN2" s="4544"/>
      <c r="BO2" s="4545"/>
      <c r="BP2" s="4546"/>
      <c r="BR2" s="4614"/>
      <c r="BS2" s="4580"/>
      <c r="BU2" s="4585"/>
      <c r="BV2" s="4586"/>
      <c r="BW2" s="4586"/>
      <c r="BX2" s="4587"/>
      <c r="BZ2" s="2744"/>
      <c r="CA2" s="2833">
        <f>CA1/BZ1</f>
        <v>0.2117311069924506</v>
      </c>
      <c r="CB2" s="2745"/>
      <c r="CC2" s="2746"/>
      <c r="CD2" s="4571"/>
      <c r="CE2" s="4567"/>
      <c r="CF2" s="4569"/>
      <c r="CG2" s="1725"/>
      <c r="CH2" s="4571"/>
      <c r="CI2" s="4567"/>
      <c r="CJ2" s="4569"/>
      <c r="CK2" s="1725"/>
    </row>
    <row r="3" spans="1:174" s="1726" customFormat="1" ht="23.25" x14ac:dyDescent="0.2">
      <c r="C3" s="2259" t="s">
        <v>189</v>
      </c>
      <c r="D3" s="1727"/>
      <c r="E3" s="2260"/>
      <c r="F3" s="2260"/>
      <c r="G3" s="2260"/>
      <c r="H3" s="2260"/>
      <c r="I3" s="2260"/>
      <c r="J3" s="2261">
        <f>BU3</f>
        <v>8244.32</v>
      </c>
      <c r="K3" s="2469">
        <f>BU3/CA18</f>
        <v>374.74181818181819</v>
      </c>
      <c r="L3" s="1730"/>
      <c r="M3" s="1731"/>
      <c r="N3" s="1732"/>
      <c r="O3" s="1732"/>
      <c r="P3" s="1732"/>
      <c r="Q3" s="1732"/>
      <c r="R3" s="1732"/>
      <c r="S3" s="1732">
        <v>120</v>
      </c>
      <c r="T3" s="1732"/>
      <c r="U3" s="1733"/>
      <c r="V3" s="2207">
        <f>SUM(N3:T3)</f>
        <v>120</v>
      </c>
      <c r="W3" s="2275">
        <f>($J$40*100/20)*1</f>
        <v>463.15322580645159</v>
      </c>
      <c r="X3" s="2277">
        <f>V3-W3</f>
        <v>-343.15322580645159</v>
      </c>
      <c r="Y3" s="1737"/>
      <c r="Z3" s="1732"/>
      <c r="AA3" s="1732"/>
      <c r="AB3" s="1732"/>
      <c r="AC3" s="1732">
        <v>103.752</v>
      </c>
      <c r="AD3" s="1732">
        <v>191.54900000000001</v>
      </c>
      <c r="AE3" s="1732">
        <v>136.952</v>
      </c>
      <c r="AF3" s="1732">
        <v>399.04899999999998</v>
      </c>
      <c r="AG3" s="1738"/>
      <c r="AH3" s="2207">
        <f>SUM(Z3:AF3)</f>
        <v>831.30199999999991</v>
      </c>
      <c r="AI3" s="2275">
        <f>($J$40*100/20)*4</f>
        <v>1852.6129032258063</v>
      </c>
      <c r="AJ3" s="2277">
        <f>AH3-AI3</f>
        <v>-1021.3109032258064</v>
      </c>
      <c r="AK3" s="1738"/>
      <c r="AL3" s="1732">
        <v>320.89999999999998</v>
      </c>
      <c r="AM3" s="1732">
        <v>384.85199999999998</v>
      </c>
      <c r="AN3" s="1732">
        <v>243.9</v>
      </c>
      <c r="AO3" s="1732">
        <v>342.9</v>
      </c>
      <c r="AP3" s="1732">
        <v>297.35000000000002</v>
      </c>
      <c r="AQ3" s="1732">
        <v>263.10000000000002</v>
      </c>
      <c r="AR3" s="1732">
        <v>77.3</v>
      </c>
      <c r="AS3" s="2205"/>
      <c r="AT3" s="2207">
        <f>SUM(AL3:AR3)</f>
        <v>1930.3019999999999</v>
      </c>
      <c r="AU3" s="2275">
        <f>($J$40*100/24)*7</f>
        <v>2701.7271505376343</v>
      </c>
      <c r="AV3" s="2277">
        <f>AT3-AU3</f>
        <v>-771.42515053763441</v>
      </c>
      <c r="AW3" s="2205"/>
      <c r="AX3" s="1732">
        <v>208.9</v>
      </c>
      <c r="AY3" s="1732">
        <v>461.80399999999997</v>
      </c>
      <c r="AZ3" s="1732">
        <v>754.3</v>
      </c>
      <c r="BA3" s="1732">
        <v>1044.5050000000001</v>
      </c>
      <c r="BB3" s="1732">
        <v>529.90099999999995</v>
      </c>
      <c r="BC3" s="1732">
        <v>276.75299999999999</v>
      </c>
      <c r="BD3" s="1732">
        <v>341.65199999999999</v>
      </c>
      <c r="BE3" s="2205"/>
      <c r="BF3" s="2207">
        <f>SUM(AX3:BD3)</f>
        <v>3617.8150000000001</v>
      </c>
      <c r="BG3" s="2275">
        <f>($J$40*100/24)*7</f>
        <v>2701.7271505376343</v>
      </c>
      <c r="BH3" s="2277">
        <f>BF3-BG3</f>
        <v>916.08784946236574</v>
      </c>
      <c r="BI3" s="1861"/>
      <c r="BJ3" s="1732">
        <v>288.3</v>
      </c>
      <c r="BK3" s="1732">
        <v>1027.1510000000001</v>
      </c>
      <c r="BL3" s="1732">
        <v>429.45</v>
      </c>
      <c r="BM3" s="1861"/>
      <c r="BN3" s="2207">
        <f>SUM(BJ3:BL3)</f>
        <v>1744.9010000000001</v>
      </c>
      <c r="BO3" s="2275">
        <f>($J$40*BN5)*3</f>
        <v>56.986367849393289</v>
      </c>
      <c r="BP3" s="2277">
        <f>BN3-BO3</f>
        <v>1687.9146321506068</v>
      </c>
      <c r="BR3" s="4614"/>
      <c r="BS3" s="4580"/>
      <c r="BU3" s="2345">
        <f>SUM(N3:T3)+SUM(Z3:AF3)+SUM(AL3:AR3)+SUM(AX3:BD3)+SUM(BJ3:BL3)</f>
        <v>8244.32</v>
      </c>
      <c r="BV3" s="2346">
        <f>BU3/BZ3</f>
        <v>0.80910980924144538</v>
      </c>
      <c r="BW3" s="1997"/>
      <c r="BX3" s="2797">
        <f>BU3/CA18*22</f>
        <v>8244.32</v>
      </c>
      <c r="BY3" s="1740"/>
      <c r="BZ3" s="2747">
        <f>C40</f>
        <v>10189.370967741936</v>
      </c>
      <c r="CA3" s="2748">
        <f>BZ3-BU3</f>
        <v>1945.0509677419359</v>
      </c>
      <c r="CB3" s="2749" t="e">
        <f>CA3/CA21</f>
        <v>#DIV/0!</v>
      </c>
      <c r="CC3" s="2582" t="e">
        <f>BZ1/'[1]RAWABI INCOME (11-19) '!BZ1-1</f>
        <v>#REF!</v>
      </c>
      <c r="CD3" s="2333"/>
      <c r="CE3" s="2334"/>
      <c r="CF3" s="2335"/>
      <c r="CG3" s="1742"/>
      <c r="CH3" s="2333"/>
      <c r="CI3" s="2334"/>
      <c r="CJ3" s="2335"/>
      <c r="CK3" s="1742"/>
    </row>
    <row r="4" spans="1:174" s="2713" customFormat="1" ht="23.25" x14ac:dyDescent="0.2">
      <c r="C4" s="2714"/>
      <c r="D4" s="2715"/>
      <c r="E4" s="2716"/>
      <c r="F4" s="2716"/>
      <c r="G4" s="2716"/>
      <c r="H4" s="2716"/>
      <c r="I4" s="2716"/>
      <c r="J4" s="2717">
        <f>BU4</f>
        <v>1745.5790000000002</v>
      </c>
      <c r="K4" s="2718">
        <f>C40/K3</f>
        <v>27.190376075931379</v>
      </c>
      <c r="L4" s="2719"/>
      <c r="M4" s="2720"/>
      <c r="N4" s="2721"/>
      <c r="O4" s="2721"/>
      <c r="P4" s="2721"/>
      <c r="Q4" s="2721"/>
      <c r="R4" s="2721"/>
      <c r="S4" s="2721">
        <v>34</v>
      </c>
      <c r="T4" s="2721"/>
      <c r="U4" s="2722"/>
      <c r="V4" s="2781">
        <f>SUM(N4:T4)</f>
        <v>34</v>
      </c>
      <c r="W4" s="2782">
        <f>W3*V5</f>
        <v>131.22674731182795</v>
      </c>
      <c r="X4" s="2783">
        <f>X3*V5</f>
        <v>-97.22674731182795</v>
      </c>
      <c r="Y4" s="2723"/>
      <c r="Z4" s="2721"/>
      <c r="AA4" s="2721"/>
      <c r="AB4" s="2721"/>
      <c r="AC4" s="2721">
        <v>23.742000000000001</v>
      </c>
      <c r="AD4" s="2721">
        <v>42.326000000000001</v>
      </c>
      <c r="AE4" s="2721">
        <v>33.134</v>
      </c>
      <c r="AF4" s="2721">
        <v>83.405000000000001</v>
      </c>
      <c r="AG4" s="2724"/>
      <c r="AH4" s="2781">
        <f>SUM(Z4:AF4)</f>
        <v>182.607</v>
      </c>
      <c r="AI4" s="2782">
        <f>AI3*AH5</f>
        <v>406.95208771223315</v>
      </c>
      <c r="AJ4" s="2783">
        <f>AJ3*25%</f>
        <v>-255.32772580645161</v>
      </c>
      <c r="AK4" s="2724"/>
      <c r="AL4" s="2721">
        <v>73.47</v>
      </c>
      <c r="AM4" s="2721">
        <v>84.789000000000001</v>
      </c>
      <c r="AN4" s="2721">
        <v>60.512</v>
      </c>
      <c r="AO4" s="2721">
        <v>79.286000000000001</v>
      </c>
      <c r="AP4" s="2721">
        <v>57.357999999999997</v>
      </c>
      <c r="AQ4" s="2721">
        <v>61.854999999999997</v>
      </c>
      <c r="AR4" s="2721">
        <v>15.567</v>
      </c>
      <c r="AS4" s="2725"/>
      <c r="AT4" s="2781">
        <f>SUM(AL4:AR4)</f>
        <v>432.83700000000005</v>
      </c>
      <c r="AU4" s="2782">
        <f>AU3*AT5</f>
        <v>605.81581258127392</v>
      </c>
      <c r="AV4" s="2783">
        <f>AV3*25%</f>
        <v>-192.8562876344086</v>
      </c>
      <c r="AW4" s="2725"/>
      <c r="AX4" s="2721">
        <v>48.447000000000003</v>
      </c>
      <c r="AY4" s="2721">
        <v>119.274</v>
      </c>
      <c r="AZ4" s="2721">
        <v>133.59800000000001</v>
      </c>
      <c r="BA4" s="2721">
        <v>212.21700000000001</v>
      </c>
      <c r="BB4" s="2721">
        <v>97.805000000000007</v>
      </c>
      <c r="BC4" s="2721">
        <v>58.07</v>
      </c>
      <c r="BD4" s="2721">
        <v>68.903000000000006</v>
      </c>
      <c r="BE4" s="2725"/>
      <c r="BF4" s="2781">
        <f>SUM(AX4:BD4)</f>
        <v>738.31400000000019</v>
      </c>
      <c r="BG4" s="2782">
        <f>BG3*BF5</f>
        <v>551.36124412719926</v>
      </c>
      <c r="BH4" s="2783">
        <f>BH3*25%</f>
        <v>229.02196236559143</v>
      </c>
      <c r="BI4" s="2726"/>
      <c r="BJ4" s="2721">
        <v>53.963000000000001</v>
      </c>
      <c r="BK4" s="2721">
        <v>203.64699999999999</v>
      </c>
      <c r="BL4" s="2721">
        <v>100.211</v>
      </c>
      <c r="BM4" s="2726"/>
      <c r="BN4" s="2781">
        <f>SUM(BJ4:BL4)</f>
        <v>357.82100000000003</v>
      </c>
      <c r="BO4" s="2782">
        <f>BO3*BN5</f>
        <v>11.686003463943088</v>
      </c>
      <c r="BP4" s="2783">
        <f>BP3*25%</f>
        <v>421.97865803765171</v>
      </c>
      <c r="BR4" s="4614"/>
      <c r="BS4" s="4580"/>
      <c r="BU4" s="2727">
        <f>SUM(N4:T4)+SUM(Z4:AF4)+SUM(AL4:AR4)+SUM(AX4:BD4)+SUM(BJ4:BL4)</f>
        <v>1745.5790000000002</v>
      </c>
      <c r="BV4" s="2728">
        <f>BU4/E40</f>
        <v>0.85656857794570895</v>
      </c>
      <c r="BW4" s="2729"/>
      <c r="BX4" s="2798"/>
      <c r="BY4" s="2730"/>
      <c r="BZ4" s="2750"/>
      <c r="CA4" s="2751">
        <f>CA3/K3</f>
        <v>5.1903760759313791</v>
      </c>
      <c r="CB4" s="2752" t="s">
        <v>251</v>
      </c>
      <c r="CC4" s="2772" t="s">
        <v>253</v>
      </c>
      <c r="CD4" s="2731"/>
      <c r="CE4" s="2732"/>
      <c r="CF4" s="2733"/>
      <c r="CG4" s="2734"/>
      <c r="CH4" s="2731"/>
      <c r="CI4" s="2732"/>
      <c r="CJ4" s="2733"/>
      <c r="CK4" s="2734"/>
    </row>
    <row r="5" spans="1:174" s="1885" customFormat="1" ht="23.25" x14ac:dyDescent="0.2">
      <c r="C5" s="2812"/>
      <c r="D5" s="1888"/>
      <c r="E5" s="2813"/>
      <c r="F5" s="2813"/>
      <c r="G5" s="2813"/>
      <c r="H5" s="2813"/>
      <c r="I5" s="2813"/>
      <c r="J5" s="2814"/>
      <c r="K5" s="2815"/>
      <c r="L5" s="2816"/>
      <c r="M5" s="2817"/>
      <c r="N5" s="2818" t="e">
        <f t="shared" ref="N5:T5" si="0">N4/N3</f>
        <v>#DIV/0!</v>
      </c>
      <c r="O5" s="2818" t="e">
        <f t="shared" si="0"/>
        <v>#DIV/0!</v>
      </c>
      <c r="P5" s="2818" t="e">
        <f t="shared" si="0"/>
        <v>#DIV/0!</v>
      </c>
      <c r="Q5" s="2818" t="e">
        <f t="shared" si="0"/>
        <v>#DIV/0!</v>
      </c>
      <c r="R5" s="2818" t="e">
        <f t="shared" si="0"/>
        <v>#DIV/0!</v>
      </c>
      <c r="S5" s="2818">
        <f t="shared" si="0"/>
        <v>0.28333333333333333</v>
      </c>
      <c r="T5" s="2818" t="e">
        <f t="shared" si="0"/>
        <v>#DIV/0!</v>
      </c>
      <c r="U5" s="2819"/>
      <c r="V5" s="2820">
        <f>V4/V3</f>
        <v>0.28333333333333333</v>
      </c>
      <c r="W5" s="2821">
        <v>120</v>
      </c>
      <c r="X5" s="2245">
        <f>W5-V4</f>
        <v>86</v>
      </c>
      <c r="Y5" s="2822"/>
      <c r="Z5" s="2818" t="e">
        <f t="shared" ref="Z5:AF5" si="1">Z4/Z3</f>
        <v>#DIV/0!</v>
      </c>
      <c r="AA5" s="2818" t="e">
        <f t="shared" si="1"/>
        <v>#DIV/0!</v>
      </c>
      <c r="AB5" s="2818" t="e">
        <f t="shared" si="1"/>
        <v>#DIV/0!</v>
      </c>
      <c r="AC5" s="2818">
        <f t="shared" si="1"/>
        <v>0.22883414295628038</v>
      </c>
      <c r="AD5" s="2818">
        <f t="shared" si="1"/>
        <v>0.2209669588460394</v>
      </c>
      <c r="AE5" s="2818">
        <f t="shared" si="1"/>
        <v>0.24193878147088033</v>
      </c>
      <c r="AF5" s="2818">
        <f t="shared" si="1"/>
        <v>0.2090094198958023</v>
      </c>
      <c r="AG5" s="2823"/>
      <c r="AH5" s="2820">
        <f>AH4/AH3</f>
        <v>0.21966385260711513</v>
      </c>
      <c r="AI5" s="2821">
        <v>180.02600000000001</v>
      </c>
      <c r="AJ5" s="2245">
        <f>AI5-AH4</f>
        <v>-2.5809999999999889</v>
      </c>
      <c r="AK5" s="2823"/>
      <c r="AL5" s="2818">
        <f t="shared" ref="AL5:AR5" si="2">AL4/AL3</f>
        <v>0.22894982860704272</v>
      </c>
      <c r="AM5" s="2818">
        <f t="shared" si="2"/>
        <v>0.22031586168189332</v>
      </c>
      <c r="AN5" s="2818">
        <f t="shared" si="2"/>
        <v>0.24810168101681015</v>
      </c>
      <c r="AO5" s="2818">
        <f t="shared" si="2"/>
        <v>0.23122193059200935</v>
      </c>
      <c r="AP5" s="2818">
        <f t="shared" si="2"/>
        <v>0.19289725912224648</v>
      </c>
      <c r="AQ5" s="2818">
        <f t="shared" si="2"/>
        <v>0.23510072215887493</v>
      </c>
      <c r="AR5" s="2818">
        <f t="shared" si="2"/>
        <v>0.20138421733505824</v>
      </c>
      <c r="AS5" s="2823"/>
      <c r="AT5" s="2820">
        <f>AT4/AT3</f>
        <v>0.22423278844450251</v>
      </c>
      <c r="AU5" s="2821">
        <v>431.46</v>
      </c>
      <c r="AV5" s="2245">
        <f>AU5-AT4</f>
        <v>-1.3770000000000664</v>
      </c>
      <c r="AW5" s="2402"/>
      <c r="AX5" s="2818">
        <f t="shared" ref="AX5:BD5" si="3">AX4/AX3</f>
        <v>0.2319147917663954</v>
      </c>
      <c r="AY5" s="2818">
        <f t="shared" si="3"/>
        <v>0.25827840382499939</v>
      </c>
      <c r="AZ5" s="2818">
        <f t="shared" si="3"/>
        <v>0.17711520615139867</v>
      </c>
      <c r="BA5" s="2818">
        <f t="shared" si="3"/>
        <v>0.20317470955141428</v>
      </c>
      <c r="BB5" s="2818">
        <f t="shared" si="3"/>
        <v>0.18457221254536227</v>
      </c>
      <c r="BC5" s="2818">
        <f t="shared" si="3"/>
        <v>0.20982609041275074</v>
      </c>
      <c r="BD5" s="2818">
        <f t="shared" si="3"/>
        <v>0.20167597438329063</v>
      </c>
      <c r="BE5" s="2823"/>
      <c r="BF5" s="2820">
        <f>BF4/BF3</f>
        <v>0.20407732291452166</v>
      </c>
      <c r="BG5" s="2821">
        <v>733.84699999999998</v>
      </c>
      <c r="BH5" s="2245">
        <f>BG5-BF4</f>
        <v>-4.4670000000002119</v>
      </c>
      <c r="BI5" s="2011"/>
      <c r="BJ5" s="2818">
        <f t="shared" ref="BJ5:BL5" si="4">BJ4/BJ3</f>
        <v>0.18717655220256676</v>
      </c>
      <c r="BK5" s="2818">
        <f t="shared" si="4"/>
        <v>0.19826393587700344</v>
      </c>
      <c r="BL5" s="2818">
        <f t="shared" si="4"/>
        <v>0.23334730469204798</v>
      </c>
      <c r="BM5" s="2822"/>
      <c r="BN5" s="2820">
        <f>BN4/BN3</f>
        <v>0.20506664848034359</v>
      </c>
      <c r="BO5" s="2821">
        <v>356.61</v>
      </c>
      <c r="BP5" s="2245">
        <f>BO5-BN4</f>
        <v>-1.2110000000000127</v>
      </c>
      <c r="BR5" s="4614"/>
      <c r="BS5" s="4580"/>
      <c r="BU5" s="2820">
        <f>BU4/BU3</f>
        <v>0.2117311069924506</v>
      </c>
      <c r="BV5" s="2821">
        <v>1737.009</v>
      </c>
      <c r="BW5" s="2010"/>
      <c r="BX5" s="2824">
        <f>BV5-BU4</f>
        <v>-8.5700000000001637</v>
      </c>
      <c r="BY5" s="1900"/>
      <c r="BZ5" s="2825"/>
      <c r="CA5" s="2826"/>
      <c r="CB5" s="2827"/>
      <c r="CC5" s="2828"/>
      <c r="CD5" s="2829"/>
      <c r="CE5" s="2830"/>
      <c r="CF5" s="2831"/>
      <c r="CG5" s="2832"/>
      <c r="CH5" s="2829"/>
      <c r="CI5" s="2830"/>
      <c r="CJ5" s="2831"/>
      <c r="CK5" s="2832"/>
    </row>
    <row r="6" spans="1:174" ht="24" thickBot="1" x14ac:dyDescent="0.25">
      <c r="C6" s="1743"/>
      <c r="D6" s="1744"/>
      <c r="E6" s="1745"/>
      <c r="F6" s="1745"/>
      <c r="G6" s="1745"/>
      <c r="H6" s="1745"/>
      <c r="I6" s="1745"/>
      <c r="J6" s="1746"/>
      <c r="K6" s="2382"/>
      <c r="L6" s="1720"/>
      <c r="M6" s="2937"/>
      <c r="N6" s="1747"/>
      <c r="O6" s="1747"/>
      <c r="P6" s="1747"/>
      <c r="Q6" s="1747"/>
      <c r="R6" s="1747"/>
      <c r="S6" s="1747"/>
      <c r="T6" s="1747"/>
      <c r="U6" s="1748"/>
      <c r="V6" s="2021"/>
      <c r="W6" s="1786"/>
      <c r="X6" s="2278"/>
      <c r="Y6" s="2939"/>
      <c r="Z6" s="1747"/>
      <c r="AA6" s="1747"/>
      <c r="AB6" s="1747"/>
      <c r="AC6" s="1747"/>
      <c r="AD6" s="1747"/>
      <c r="AE6" s="1747"/>
      <c r="AF6" s="1747"/>
      <c r="AG6" s="1723"/>
      <c r="AH6" s="2021"/>
      <c r="AI6" s="1786"/>
      <c r="AJ6" s="2278"/>
      <c r="AK6" s="1723"/>
      <c r="AL6" s="1747"/>
      <c r="AM6" s="1747"/>
      <c r="AN6" s="1747"/>
      <c r="AO6" s="1747"/>
      <c r="AP6" s="1747"/>
      <c r="AQ6" s="1747"/>
      <c r="AR6" s="1747"/>
      <c r="AS6" s="2039"/>
      <c r="AT6" s="2021"/>
      <c r="AU6" s="1786"/>
      <c r="AV6" s="2278"/>
      <c r="AW6" s="2039"/>
      <c r="AX6" s="1747"/>
      <c r="AY6" s="1747"/>
      <c r="AZ6" s="1747"/>
      <c r="BA6" s="1747"/>
      <c r="BB6" s="1747"/>
      <c r="BC6" s="1747"/>
      <c r="BD6" s="1747"/>
      <c r="BE6" s="2039"/>
      <c r="BF6" s="2021"/>
      <c r="BG6" s="1786"/>
      <c r="BH6" s="2278"/>
      <c r="BI6" s="1994"/>
      <c r="BJ6" s="1747"/>
      <c r="BK6" s="1747"/>
      <c r="BL6" s="1747"/>
      <c r="BM6" s="1994"/>
      <c r="BN6" s="2021"/>
      <c r="BO6" s="1786"/>
      <c r="BP6" s="2278"/>
      <c r="BR6" s="4614"/>
      <c r="BS6" s="4580"/>
      <c r="BU6" s="2326">
        <f>SUM(N6:T6)+SUM(Z6:AF6)+SUM(AL6:AR6)+SUM(AX6:BD6)+SUM(BJ6:BL6)</f>
        <v>0</v>
      </c>
      <c r="BV6" s="2022">
        <f>BU6/E40</f>
        <v>0</v>
      </c>
      <c r="BW6" s="1993"/>
      <c r="BX6" s="2342"/>
      <c r="BY6" s="1754"/>
      <c r="BZ6" s="2753"/>
      <c r="CA6" s="2754"/>
      <c r="CB6" s="2755"/>
      <c r="CC6" s="1755"/>
      <c r="CD6" s="2336"/>
      <c r="CE6" s="2337"/>
      <c r="CF6" s="2338"/>
      <c r="CG6" s="1725"/>
      <c r="CH6" s="2336"/>
      <c r="CI6" s="2337"/>
      <c r="CJ6" s="2338"/>
      <c r="CK6" s="1725"/>
    </row>
    <row r="7" spans="1:174" s="1923" customFormat="1" ht="5.25" customHeight="1" thickBot="1" x14ac:dyDescent="0.25">
      <c r="C7" s="2273"/>
      <c r="D7" s="1800"/>
      <c r="E7" s="1804"/>
      <c r="F7" s="1804"/>
      <c r="G7" s="1804"/>
      <c r="H7" s="1804"/>
      <c r="I7" s="1804"/>
      <c r="J7" s="1803"/>
      <c r="K7" s="2272"/>
      <c r="L7" s="2937"/>
      <c r="M7" s="2937"/>
      <c r="N7" s="2026"/>
      <c r="O7" s="2026"/>
      <c r="P7" s="2026"/>
      <c r="Q7" s="2026"/>
      <c r="R7" s="2026"/>
      <c r="S7" s="2026"/>
      <c r="T7" s="2026"/>
      <c r="U7" s="1994"/>
      <c r="V7" s="2934"/>
      <c r="W7" s="1801"/>
      <c r="X7" s="2934"/>
      <c r="Y7" s="2938"/>
      <c r="Z7" s="2026"/>
      <c r="AA7" s="2026"/>
      <c r="AB7" s="2026"/>
      <c r="AC7" s="2026"/>
      <c r="AD7" s="2026"/>
      <c r="AE7" s="2026"/>
      <c r="AF7" s="2026"/>
      <c r="AG7" s="2938"/>
      <c r="AH7" s="2934"/>
      <c r="AI7" s="1801"/>
      <c r="AJ7" s="2934"/>
      <c r="AK7" s="2938"/>
      <c r="AL7" s="2026"/>
      <c r="AM7" s="2026"/>
      <c r="AN7" s="2026"/>
      <c r="AO7" s="2026"/>
      <c r="AP7" s="2026"/>
      <c r="AQ7" s="2026"/>
      <c r="AR7" s="2026"/>
      <c r="AS7" s="1994"/>
      <c r="AT7" s="2934"/>
      <c r="AU7" s="1801"/>
      <c r="AV7" s="2934"/>
      <c r="AW7" s="1994"/>
      <c r="AX7" s="2026"/>
      <c r="AY7" s="2026"/>
      <c r="AZ7" s="2026"/>
      <c r="BA7" s="2026"/>
      <c r="BB7" s="2026"/>
      <c r="BC7" s="2026"/>
      <c r="BD7" s="2026"/>
      <c r="BE7" s="1994"/>
      <c r="BF7" s="2934"/>
      <c r="BG7" s="1801"/>
      <c r="BH7" s="2934"/>
      <c r="BI7" s="1994"/>
      <c r="BJ7" s="1994"/>
      <c r="BK7" s="1994"/>
      <c r="BL7" s="1994"/>
      <c r="BM7" s="1994"/>
      <c r="BN7" s="2934"/>
      <c r="BO7" s="1801"/>
      <c r="BP7" s="2934"/>
      <c r="BR7" s="4614"/>
      <c r="BS7" s="4580"/>
      <c r="BU7" s="1805"/>
      <c r="BV7" s="1993"/>
      <c r="BW7" s="1993"/>
      <c r="BX7" s="2325"/>
      <c r="BY7" s="1994"/>
      <c r="BZ7" s="2270"/>
      <c r="CA7" s="2270"/>
      <c r="CB7" s="2270"/>
      <c r="CC7" s="1755"/>
      <c r="CD7" s="2271"/>
      <c r="CE7" s="2271"/>
      <c r="CF7" s="2271"/>
      <c r="CG7" s="1725"/>
      <c r="CH7" s="2271"/>
      <c r="CI7" s="2271"/>
      <c r="CJ7" s="2271"/>
      <c r="CK7" s="1725"/>
    </row>
    <row r="8" spans="1:174" s="1810" customFormat="1" ht="17.25" customHeight="1" x14ac:dyDescent="0.2">
      <c r="C8" s="1811" t="s">
        <v>190</v>
      </c>
      <c r="D8" s="1727"/>
      <c r="E8" s="1812"/>
      <c r="F8" s="1812"/>
      <c r="G8" s="1812"/>
      <c r="H8" s="1812"/>
      <c r="I8" s="1812"/>
      <c r="J8" s="1813">
        <f>BU8</f>
        <v>-146.14759677419352</v>
      </c>
      <c r="K8" s="4564">
        <f>CC1-J8</f>
        <v>0</v>
      </c>
      <c r="L8" s="1760"/>
      <c r="M8" s="1761"/>
      <c r="N8" s="1735">
        <f t="shared" ref="N8:T8" si="5">(N4-N40)/2</f>
        <v>0</v>
      </c>
      <c r="O8" s="1735">
        <f t="shared" si="5"/>
        <v>0</v>
      </c>
      <c r="P8" s="1735">
        <f t="shared" si="5"/>
        <v>0</v>
      </c>
      <c r="Q8" s="1735">
        <f t="shared" si="5"/>
        <v>0</v>
      </c>
      <c r="R8" s="1735">
        <f t="shared" si="5"/>
        <v>0</v>
      </c>
      <c r="S8" s="1735">
        <f t="shared" si="5"/>
        <v>-29.315322580645159</v>
      </c>
      <c r="T8" s="1735">
        <f t="shared" si="5"/>
        <v>0</v>
      </c>
      <c r="U8" s="1814"/>
      <c r="V8" s="1771">
        <f>SUM(N8:T8)</f>
        <v>-29.315322580645159</v>
      </c>
      <c r="W8" s="1815"/>
      <c r="X8" s="1816"/>
      <c r="Y8" s="1764"/>
      <c r="Z8" s="1735">
        <f t="shared" ref="Z8:AF8" si="6">(Z4-Z40)/2</f>
        <v>0</v>
      </c>
      <c r="AA8" s="1735">
        <f t="shared" si="6"/>
        <v>0</v>
      </c>
      <c r="AB8" s="1735">
        <f t="shared" si="6"/>
        <v>0</v>
      </c>
      <c r="AC8" s="1735">
        <f t="shared" si="6"/>
        <v>-34.444322580645157</v>
      </c>
      <c r="AD8" s="1735">
        <f t="shared" si="6"/>
        <v>-25.152322580645158</v>
      </c>
      <c r="AE8" s="1735">
        <f t="shared" si="6"/>
        <v>-29.748322580645159</v>
      </c>
      <c r="AF8" s="1735">
        <f t="shared" si="6"/>
        <v>-4.6128225806451582</v>
      </c>
      <c r="AG8" s="1764"/>
      <c r="AH8" s="1771">
        <f>SUM(Z8:AF8)</f>
        <v>-93.957790322580635</v>
      </c>
      <c r="AI8" s="1815"/>
      <c r="AJ8" s="1816"/>
      <c r="AK8" s="1764"/>
      <c r="AL8" s="1735">
        <f>(AL4-AL40)/2</f>
        <v>-9.5803225806451593</v>
      </c>
      <c r="AM8" s="1735">
        <f t="shared" ref="AM8:AR8" si="7">(AM4-AM40)/2</f>
        <v>-3.920822580645158</v>
      </c>
      <c r="AN8" s="1735">
        <f t="shared" si="7"/>
        <v>-16.059322580645158</v>
      </c>
      <c r="AO8" s="1735">
        <f t="shared" si="7"/>
        <v>-6.672322580645158</v>
      </c>
      <c r="AP8" s="1735">
        <f t="shared" si="7"/>
        <v>-17.63632258064516</v>
      </c>
      <c r="AQ8" s="1735">
        <f t="shared" si="7"/>
        <v>-15.38782258064516</v>
      </c>
      <c r="AR8" s="1735">
        <f t="shared" si="7"/>
        <v>-38.531822580645155</v>
      </c>
      <c r="AS8" s="2289"/>
      <c r="AT8" s="1771">
        <f>SUM(AL8:AR8)</f>
        <v>-107.78875806451612</v>
      </c>
      <c r="AU8" s="1815"/>
      <c r="AV8" s="1816"/>
      <c r="AW8" s="2289"/>
      <c r="AX8" s="1735">
        <f t="shared" ref="AX8" si="8">(AX4-AX40)/2</f>
        <v>-22.091822580645157</v>
      </c>
      <c r="AY8" s="1735">
        <f t="shared" ref="AY8:BD8" si="9">(AY4-AY40)/2</f>
        <v>13.321677419354842</v>
      </c>
      <c r="AZ8" s="1735">
        <f t="shared" si="9"/>
        <v>20.483677419354848</v>
      </c>
      <c r="BA8" s="1735">
        <f t="shared" si="9"/>
        <v>59.793177419354848</v>
      </c>
      <c r="BB8" s="1735">
        <f t="shared" si="9"/>
        <v>2.5871774193548447</v>
      </c>
      <c r="BC8" s="1735">
        <f t="shared" si="9"/>
        <v>-17.280322580645159</v>
      </c>
      <c r="BD8" s="1735">
        <f t="shared" si="9"/>
        <v>-11.863822580645156</v>
      </c>
      <c r="BE8" s="2289"/>
      <c r="BF8" s="1771">
        <f>SUM(AX8:BD8)</f>
        <v>44.949741935483907</v>
      </c>
      <c r="BG8" s="1815"/>
      <c r="BH8" s="1816"/>
      <c r="BI8" s="1814"/>
      <c r="BJ8" s="1735">
        <f t="shared" ref="BJ8:BL8" si="10">(BJ4-BJ40)/2</f>
        <v>-19.333822580645158</v>
      </c>
      <c r="BK8" s="1735">
        <f t="shared" si="10"/>
        <v>55.508177419354837</v>
      </c>
      <c r="BL8" s="1735">
        <f t="shared" si="10"/>
        <v>3.7901774193548405</v>
      </c>
      <c r="BM8" s="1814"/>
      <c r="BN8" s="1771">
        <f>SUM(BJ8:BL8)</f>
        <v>39.964532258064516</v>
      </c>
      <c r="BO8" s="1815"/>
      <c r="BP8" s="1816"/>
      <c r="BQ8" s="1766"/>
      <c r="BR8" s="4614"/>
      <c r="BS8" s="4580"/>
      <c r="BT8" s="1766"/>
      <c r="BU8" s="1771">
        <f>SUM(N8:T8)+SUM(Z8:AF8)+SUM(AL8:AR8)+SUM(AX8:BD8)+SUM(BJ8:BL8)</f>
        <v>-146.14759677419352</v>
      </c>
      <c r="BV8" s="2340"/>
      <c r="BW8" s="1830"/>
      <c r="BX8" s="2348">
        <v>0</v>
      </c>
      <c r="BY8" s="1817"/>
      <c r="BZ8" s="4578" t="s">
        <v>226</v>
      </c>
      <c r="CA8" s="4578"/>
      <c r="CB8" s="1818"/>
      <c r="CC8" s="1774"/>
      <c r="CD8" s="1766"/>
      <c r="CE8" s="1766"/>
      <c r="CF8" s="1819"/>
      <c r="CG8" s="1820"/>
      <c r="CH8" s="1766"/>
      <c r="CI8" s="1766"/>
      <c r="CJ8" s="1819"/>
      <c r="CK8" s="1820"/>
      <c r="CL8" s="1821"/>
      <c r="CM8" s="1821"/>
      <c r="CN8" s="1821"/>
      <c r="CO8" s="1821"/>
      <c r="CP8" s="1821"/>
      <c r="CQ8" s="1821"/>
      <c r="CR8" s="1821"/>
      <c r="CS8" s="1821"/>
      <c r="CT8" s="1821"/>
      <c r="CU8" s="1821"/>
      <c r="CV8" s="1821"/>
      <c r="CW8" s="1821"/>
      <c r="CX8" s="1821"/>
      <c r="CY8" s="1821"/>
      <c r="CZ8" s="1821"/>
      <c r="DA8" s="1821"/>
      <c r="DB8" s="1821"/>
      <c r="DC8" s="1821"/>
      <c r="DD8" s="1821"/>
      <c r="DE8" s="1821"/>
      <c r="DF8" s="1821"/>
      <c r="DG8" s="1821"/>
      <c r="DH8" s="1821"/>
      <c r="DI8" s="1821"/>
      <c r="DJ8" s="1821"/>
      <c r="DK8" s="1821"/>
      <c r="DL8" s="1821"/>
      <c r="DM8" s="1821"/>
      <c r="DN8" s="1821"/>
      <c r="DO8" s="1821"/>
      <c r="DP8" s="1821"/>
      <c r="DQ8" s="1821"/>
      <c r="DR8" s="1821"/>
      <c r="DS8" s="1821"/>
      <c r="DT8" s="1821"/>
      <c r="DU8" s="1821"/>
      <c r="DV8" s="1821"/>
      <c r="DW8" s="1821"/>
      <c r="DX8" s="1821"/>
      <c r="DY8" s="1821"/>
      <c r="DZ8" s="1821"/>
      <c r="EA8" s="1821"/>
      <c r="EB8" s="1821"/>
      <c r="EC8" s="1821"/>
      <c r="ED8" s="1821"/>
      <c r="EE8" s="1821"/>
      <c r="EF8" s="1821"/>
      <c r="EG8" s="1821"/>
      <c r="EH8" s="1821"/>
      <c r="EI8" s="1821"/>
      <c r="EJ8" s="1821"/>
      <c r="EK8" s="1821"/>
      <c r="EL8" s="1821"/>
      <c r="EM8" s="1821"/>
      <c r="EN8" s="1821"/>
      <c r="EO8" s="1821"/>
      <c r="EP8" s="1821"/>
      <c r="EQ8" s="1821"/>
      <c r="ER8" s="1821"/>
      <c r="ES8" s="1821"/>
      <c r="ET8" s="1821"/>
      <c r="EU8" s="1821"/>
      <c r="EV8" s="1821"/>
      <c r="EW8" s="1821"/>
      <c r="EX8" s="1821"/>
      <c r="EY8" s="1821"/>
      <c r="EZ8" s="1821"/>
      <c r="FA8" s="1821"/>
      <c r="FB8" s="1821"/>
      <c r="FC8" s="1821"/>
      <c r="FD8" s="1821"/>
      <c r="FE8" s="1821"/>
      <c r="FF8" s="1821"/>
      <c r="FG8" s="1821"/>
      <c r="FH8" s="1821"/>
      <c r="FI8" s="1821"/>
      <c r="FJ8" s="1821"/>
      <c r="FK8" s="1821"/>
      <c r="FL8" s="1821"/>
      <c r="FM8" s="1821"/>
      <c r="FN8" s="1821"/>
      <c r="FO8" s="1821"/>
      <c r="FP8" s="1821"/>
      <c r="FQ8" s="1821"/>
      <c r="FR8" s="1821"/>
    </row>
    <row r="9" spans="1:174" s="1777" customFormat="1" ht="17.25" customHeight="1" thickBot="1" x14ac:dyDescent="0.25">
      <c r="C9" s="1822" t="s">
        <v>169</v>
      </c>
      <c r="D9" s="1744"/>
      <c r="E9" s="1823"/>
      <c r="F9" s="1823"/>
      <c r="G9" s="1823"/>
      <c r="H9" s="1823"/>
      <c r="I9" s="1823"/>
      <c r="J9" s="1824"/>
      <c r="K9" s="4565">
        <f t="shared" ref="K9" si="11">BR49</f>
        <v>0</v>
      </c>
      <c r="L9" s="1782"/>
      <c r="M9" s="1783"/>
      <c r="N9" s="1750">
        <f t="shared" ref="N9:T9" si="12">N8</f>
        <v>0</v>
      </c>
      <c r="O9" s="1750">
        <f t="shared" si="12"/>
        <v>0</v>
      </c>
      <c r="P9" s="1750">
        <f t="shared" si="12"/>
        <v>0</v>
      </c>
      <c r="Q9" s="1750">
        <f t="shared" si="12"/>
        <v>0</v>
      </c>
      <c r="R9" s="1750">
        <f t="shared" si="12"/>
        <v>0</v>
      </c>
      <c r="S9" s="1750">
        <f t="shared" si="12"/>
        <v>-29.315322580645159</v>
      </c>
      <c r="T9" s="1750">
        <f t="shared" si="12"/>
        <v>0</v>
      </c>
      <c r="U9" s="1801"/>
      <c r="V9" s="1785">
        <f>SUM(N9:T9)</f>
        <v>-29.315322580645159</v>
      </c>
      <c r="W9" s="1825"/>
      <c r="X9" s="1826"/>
      <c r="Y9" s="1788"/>
      <c r="Z9" s="1750">
        <f t="shared" ref="Z9:AF9" si="13">Z8</f>
        <v>0</v>
      </c>
      <c r="AA9" s="1750">
        <f t="shared" si="13"/>
        <v>0</v>
      </c>
      <c r="AB9" s="1750">
        <f t="shared" si="13"/>
        <v>0</v>
      </c>
      <c r="AC9" s="1750">
        <f t="shared" si="13"/>
        <v>-34.444322580645157</v>
      </c>
      <c r="AD9" s="1750">
        <f t="shared" si="13"/>
        <v>-25.152322580645158</v>
      </c>
      <c r="AE9" s="1750">
        <f t="shared" si="13"/>
        <v>-29.748322580645159</v>
      </c>
      <c r="AF9" s="1750">
        <f t="shared" si="13"/>
        <v>-4.6128225806451582</v>
      </c>
      <c r="AG9" s="1788"/>
      <c r="AH9" s="1785">
        <f>SUM(Z9:AF9)</f>
        <v>-93.957790322580635</v>
      </c>
      <c r="AI9" s="1825"/>
      <c r="AJ9" s="1826"/>
      <c r="AK9" s="1788"/>
      <c r="AL9" s="1750">
        <f t="shared" ref="AL9:AR9" si="14">AL8</f>
        <v>-9.5803225806451593</v>
      </c>
      <c r="AM9" s="1750">
        <f t="shared" si="14"/>
        <v>-3.920822580645158</v>
      </c>
      <c r="AN9" s="1750">
        <f t="shared" si="14"/>
        <v>-16.059322580645158</v>
      </c>
      <c r="AO9" s="1750">
        <f t="shared" si="14"/>
        <v>-6.672322580645158</v>
      </c>
      <c r="AP9" s="1750">
        <f t="shared" si="14"/>
        <v>-17.63632258064516</v>
      </c>
      <c r="AQ9" s="1750">
        <f t="shared" si="14"/>
        <v>-15.38782258064516</v>
      </c>
      <c r="AR9" s="1750">
        <f t="shared" si="14"/>
        <v>-38.531822580645155</v>
      </c>
      <c r="AS9" s="2290"/>
      <c r="AT9" s="1785">
        <f>SUM(AL9:AR9)</f>
        <v>-107.78875806451612</v>
      </c>
      <c r="AU9" s="1825"/>
      <c r="AV9" s="1826"/>
      <c r="AW9" s="2290"/>
      <c r="AX9" s="1750">
        <f t="shared" ref="AX9" si="15">AX8</f>
        <v>-22.091822580645157</v>
      </c>
      <c r="AY9" s="1750">
        <f t="shared" ref="AY9:BD9" si="16">AY8</f>
        <v>13.321677419354842</v>
      </c>
      <c r="AZ9" s="1750">
        <f t="shared" si="16"/>
        <v>20.483677419354848</v>
      </c>
      <c r="BA9" s="1750">
        <f t="shared" si="16"/>
        <v>59.793177419354848</v>
      </c>
      <c r="BB9" s="1750">
        <f t="shared" si="16"/>
        <v>2.5871774193548447</v>
      </c>
      <c r="BC9" s="1750">
        <f t="shared" si="16"/>
        <v>-17.280322580645159</v>
      </c>
      <c r="BD9" s="1750">
        <f t="shared" si="16"/>
        <v>-11.863822580645156</v>
      </c>
      <c r="BE9" s="2290"/>
      <c r="BF9" s="1785">
        <f>SUM(AX9:BD9)</f>
        <v>44.949741935483907</v>
      </c>
      <c r="BG9" s="1825"/>
      <c r="BH9" s="1826"/>
      <c r="BI9" s="1801"/>
      <c r="BJ9" s="1750">
        <f t="shared" ref="BJ9:BL9" si="17">BJ8</f>
        <v>-19.333822580645158</v>
      </c>
      <c r="BK9" s="1750">
        <f t="shared" si="17"/>
        <v>55.508177419354837</v>
      </c>
      <c r="BL9" s="1750">
        <f t="shared" si="17"/>
        <v>3.7901774193548405</v>
      </c>
      <c r="BM9" s="1801"/>
      <c r="BN9" s="1785">
        <f>SUM(BJ9:BL9)</f>
        <v>39.964532258064516</v>
      </c>
      <c r="BO9" s="1825"/>
      <c r="BP9" s="1826"/>
      <c r="BQ9" s="1792"/>
      <c r="BR9" s="4614"/>
      <c r="BS9" s="4580"/>
      <c r="BT9" s="1792"/>
      <c r="BU9" s="1793"/>
      <c r="BV9" s="2341"/>
      <c r="BW9" s="1802"/>
      <c r="BX9" s="2349"/>
      <c r="BY9" s="1795"/>
      <c r="BZ9" s="4578"/>
      <c r="CA9" s="4578"/>
      <c r="CB9" s="1805"/>
      <c r="CC9" s="1797"/>
      <c r="CD9" s="1791"/>
      <c r="CE9" s="1791"/>
      <c r="CF9" s="1807"/>
      <c r="CG9" s="1798"/>
      <c r="CH9" s="1791"/>
      <c r="CI9" s="1791"/>
      <c r="CJ9" s="1807"/>
      <c r="CK9" s="1798"/>
      <c r="CL9" s="1799"/>
      <c r="CM9" s="1799"/>
      <c r="CN9" s="1799"/>
      <c r="CO9" s="1799"/>
      <c r="CP9" s="1799"/>
      <c r="CQ9" s="1799"/>
      <c r="CR9" s="1799"/>
      <c r="CS9" s="1799"/>
      <c r="CT9" s="1799"/>
      <c r="CU9" s="1799"/>
      <c r="CV9" s="1799"/>
      <c r="CW9" s="1799"/>
      <c r="CX9" s="1799"/>
      <c r="CY9" s="1799"/>
      <c r="CZ9" s="1799"/>
      <c r="DA9" s="1799"/>
      <c r="DB9" s="1799"/>
      <c r="DC9" s="1799"/>
      <c r="DD9" s="1799"/>
      <c r="DE9" s="1799"/>
      <c r="DF9" s="1799"/>
      <c r="DG9" s="1799"/>
      <c r="DH9" s="1799"/>
      <c r="DI9" s="1799"/>
      <c r="DJ9" s="1799"/>
      <c r="DK9" s="1799"/>
      <c r="DL9" s="1799"/>
      <c r="DM9" s="1799"/>
      <c r="DN9" s="1799"/>
      <c r="DO9" s="1799"/>
      <c r="DP9" s="1799"/>
      <c r="DQ9" s="1799"/>
      <c r="DR9" s="1799"/>
      <c r="DS9" s="1799"/>
      <c r="DT9" s="1799"/>
      <c r="DU9" s="1799"/>
      <c r="DV9" s="1799"/>
      <c r="DW9" s="1799"/>
      <c r="DX9" s="1799"/>
      <c r="DY9" s="1799"/>
      <c r="DZ9" s="1799"/>
      <c r="EA9" s="1799"/>
      <c r="EB9" s="1799"/>
      <c r="EC9" s="1799"/>
      <c r="ED9" s="1799"/>
      <c r="EE9" s="1799"/>
      <c r="EF9" s="1799"/>
      <c r="EG9" s="1799"/>
      <c r="EH9" s="1799"/>
      <c r="EI9" s="1799"/>
      <c r="EJ9" s="1799"/>
      <c r="EK9" s="1799"/>
      <c r="EL9" s="1799"/>
      <c r="EM9" s="1799"/>
      <c r="EN9" s="1799"/>
      <c r="EO9" s="1799"/>
      <c r="EP9" s="1799"/>
      <c r="EQ9" s="1799"/>
      <c r="ER9" s="1799"/>
      <c r="ES9" s="1799"/>
      <c r="ET9" s="1799"/>
      <c r="EU9" s="1799"/>
      <c r="EV9" s="1799"/>
      <c r="EW9" s="1799"/>
      <c r="EX9" s="1799"/>
      <c r="EY9" s="1799"/>
      <c r="EZ9" s="1799"/>
      <c r="FA9" s="1799"/>
      <c r="FB9" s="1799"/>
      <c r="FC9" s="1799"/>
      <c r="FD9" s="1799"/>
      <c r="FE9" s="1799"/>
      <c r="FF9" s="1799"/>
      <c r="FG9" s="1799"/>
      <c r="FH9" s="1799"/>
      <c r="FI9" s="1799"/>
      <c r="FJ9" s="1799"/>
      <c r="FK9" s="1799"/>
      <c r="FL9" s="1799"/>
      <c r="FM9" s="1799"/>
      <c r="FN9" s="1799"/>
      <c r="FO9" s="1799"/>
      <c r="FP9" s="1799"/>
      <c r="FQ9" s="1799"/>
      <c r="FR9" s="1799"/>
    </row>
    <row r="10" spans="1:174" s="1800" customFormat="1" ht="4.5" customHeight="1" thickBot="1" x14ac:dyDescent="0.25">
      <c r="E10" s="1791"/>
      <c r="F10" s="1791"/>
      <c r="G10" s="1791"/>
      <c r="H10" s="1791"/>
      <c r="I10" s="1791"/>
      <c r="J10" s="1791"/>
      <c r="K10" s="1783"/>
      <c r="L10" s="1782"/>
      <c r="M10" s="1783"/>
      <c r="N10" s="1803"/>
      <c r="O10" s="1803"/>
      <c r="P10" s="1803"/>
      <c r="Q10" s="1803"/>
      <c r="R10" s="1803"/>
      <c r="S10" s="1803"/>
      <c r="T10" s="1803"/>
      <c r="U10" s="1801"/>
      <c r="V10" s="1801"/>
      <c r="W10" s="1801"/>
      <c r="X10" s="1801"/>
      <c r="Y10" s="1791"/>
      <c r="Z10" s="1803"/>
      <c r="AA10" s="1803"/>
      <c r="AB10" s="1803"/>
      <c r="AC10" s="1803"/>
      <c r="AD10" s="1803"/>
      <c r="AE10" s="1803"/>
      <c r="AF10" s="1803"/>
      <c r="AG10" s="1791"/>
      <c r="AH10" s="1801"/>
      <c r="AI10" s="1801"/>
      <c r="AJ10" s="1801"/>
      <c r="AK10" s="1791"/>
      <c r="AL10" s="1803"/>
      <c r="AM10" s="1803"/>
      <c r="AN10" s="1803"/>
      <c r="AO10" s="1803"/>
      <c r="AP10" s="1803"/>
      <c r="AQ10" s="1803"/>
      <c r="AR10" s="1803"/>
      <c r="AS10" s="1801"/>
      <c r="AT10" s="1801"/>
      <c r="AU10" s="1801"/>
      <c r="AV10" s="1801"/>
      <c r="AW10" s="1801"/>
      <c r="AX10" s="1803"/>
      <c r="AY10" s="1803"/>
      <c r="AZ10" s="1803"/>
      <c r="BA10" s="1803"/>
      <c r="BB10" s="1803"/>
      <c r="BC10" s="1803"/>
      <c r="BD10" s="1803"/>
      <c r="BE10" s="1801"/>
      <c r="BF10" s="1801"/>
      <c r="BG10" s="1801"/>
      <c r="BH10" s="1801"/>
      <c r="BI10" s="1801"/>
      <c r="BJ10" s="1801"/>
      <c r="BK10" s="1801"/>
      <c r="BL10" s="1801"/>
      <c r="BM10" s="1801"/>
      <c r="BN10" s="1801"/>
      <c r="BO10" s="1801"/>
      <c r="BP10" s="1801"/>
      <c r="BQ10" s="1791"/>
      <c r="BR10" s="4614"/>
      <c r="BS10" s="4580"/>
      <c r="BT10" s="1791"/>
      <c r="BU10" s="1801"/>
      <c r="BV10" s="1802"/>
      <c r="BW10" s="1802"/>
      <c r="BX10" s="1805"/>
      <c r="BY10" s="1806"/>
      <c r="BZ10" s="1801"/>
      <c r="CA10" s="1805"/>
      <c r="CB10" s="1805"/>
      <c r="CC10" s="1797"/>
      <c r="CD10" s="1791"/>
      <c r="CE10" s="1791"/>
      <c r="CF10" s="1807"/>
      <c r="CG10" s="1808"/>
      <c r="CH10" s="1791"/>
      <c r="CI10" s="1791"/>
      <c r="CJ10" s="1807"/>
      <c r="CK10" s="1808"/>
      <c r="CL10" s="1809"/>
      <c r="CM10" s="1809"/>
      <c r="CN10" s="1809"/>
      <c r="CO10" s="1809"/>
      <c r="CP10" s="1809"/>
      <c r="CQ10" s="1809"/>
      <c r="CR10" s="1809"/>
      <c r="CS10" s="1809"/>
      <c r="CT10" s="1809"/>
      <c r="CU10" s="1809"/>
      <c r="CV10" s="1809"/>
      <c r="CW10" s="1809"/>
      <c r="CX10" s="1809"/>
      <c r="CY10" s="1809"/>
      <c r="CZ10" s="1809"/>
      <c r="DA10" s="1809"/>
      <c r="DB10" s="1809"/>
      <c r="DC10" s="1809"/>
      <c r="DD10" s="1809"/>
      <c r="DE10" s="1809"/>
      <c r="DF10" s="1809"/>
      <c r="DG10" s="1809"/>
      <c r="DH10" s="1809"/>
      <c r="DI10" s="1809"/>
      <c r="DJ10" s="1809"/>
      <c r="DK10" s="1809"/>
      <c r="DL10" s="1809"/>
      <c r="DM10" s="1809"/>
      <c r="DN10" s="1809"/>
      <c r="DO10" s="1809"/>
      <c r="DP10" s="1809"/>
      <c r="DQ10" s="1809"/>
      <c r="DR10" s="1809"/>
      <c r="DS10" s="1809"/>
      <c r="DT10" s="1809"/>
      <c r="DU10" s="1809"/>
      <c r="DV10" s="1809"/>
      <c r="DW10" s="1809"/>
      <c r="DX10" s="1809"/>
      <c r="DY10" s="1809"/>
      <c r="DZ10" s="1809"/>
      <c r="EA10" s="1809"/>
      <c r="EB10" s="1809"/>
      <c r="EC10" s="1809"/>
      <c r="ED10" s="1809"/>
      <c r="EE10" s="1809"/>
      <c r="EF10" s="1809"/>
      <c r="EG10" s="1809"/>
      <c r="EH10" s="1809"/>
      <c r="EI10" s="1809"/>
      <c r="EJ10" s="1809"/>
      <c r="EK10" s="1809"/>
      <c r="EL10" s="1809"/>
      <c r="EM10" s="1809"/>
      <c r="EN10" s="1809"/>
      <c r="EO10" s="1809"/>
      <c r="EP10" s="1809"/>
      <c r="EQ10" s="1809"/>
      <c r="ER10" s="1809"/>
      <c r="ES10" s="1809"/>
      <c r="ET10" s="1809"/>
      <c r="EU10" s="1809"/>
      <c r="EV10" s="1809"/>
      <c r="EW10" s="1809"/>
      <c r="EX10" s="1809"/>
      <c r="EY10" s="1809"/>
      <c r="EZ10" s="1809"/>
      <c r="FA10" s="1809"/>
      <c r="FB10" s="1809"/>
      <c r="FC10" s="1809"/>
      <c r="FD10" s="1809"/>
      <c r="FE10" s="1809"/>
      <c r="FF10" s="1809"/>
      <c r="FG10" s="1809"/>
      <c r="FH10" s="1809"/>
      <c r="FI10" s="1809"/>
      <c r="FJ10" s="1809"/>
      <c r="FK10" s="1809"/>
      <c r="FL10" s="1809"/>
      <c r="FM10" s="1809"/>
      <c r="FN10" s="1809"/>
      <c r="FO10" s="1809"/>
      <c r="FP10" s="1809"/>
      <c r="FQ10" s="1809"/>
      <c r="FR10" s="1809"/>
    </row>
    <row r="11" spans="1:174" s="1756" customFormat="1" ht="15" customHeight="1" x14ac:dyDescent="0.2">
      <c r="C11" s="1810"/>
      <c r="D11" s="1810"/>
      <c r="K11" s="1810"/>
      <c r="L11" s="1827"/>
      <c r="M11" s="1810"/>
      <c r="N11" s="1735" t="s">
        <v>50</v>
      </c>
      <c r="O11" s="1735" t="s">
        <v>51</v>
      </c>
      <c r="P11" s="1728" t="s">
        <v>45</v>
      </c>
      <c r="Q11" s="1735" t="s">
        <v>46</v>
      </c>
      <c r="R11" s="1735" t="s">
        <v>47</v>
      </c>
      <c r="S11" s="1735" t="s">
        <v>48</v>
      </c>
      <c r="T11" s="1735" t="s">
        <v>49</v>
      </c>
      <c r="U11" s="1814"/>
      <c r="V11" s="1771"/>
      <c r="W11" s="1815"/>
      <c r="X11" s="1816"/>
      <c r="Y11" s="1764"/>
      <c r="Z11" s="1735" t="s">
        <v>50</v>
      </c>
      <c r="AA11" s="1735" t="s">
        <v>51</v>
      </c>
      <c r="AB11" s="1728" t="s">
        <v>45</v>
      </c>
      <c r="AC11" s="1735" t="s">
        <v>46</v>
      </c>
      <c r="AD11" s="1735" t="s">
        <v>47</v>
      </c>
      <c r="AE11" s="1735" t="s">
        <v>48</v>
      </c>
      <c r="AF11" s="1735" t="s">
        <v>49</v>
      </c>
      <c r="AG11" s="1764"/>
      <c r="AH11" s="1771"/>
      <c r="AI11" s="1815"/>
      <c r="AJ11" s="1829"/>
      <c r="AK11" s="1764"/>
      <c r="AL11" s="1735" t="s">
        <v>50</v>
      </c>
      <c r="AM11" s="1735" t="s">
        <v>51</v>
      </c>
      <c r="AN11" s="1728" t="s">
        <v>45</v>
      </c>
      <c r="AO11" s="1735" t="s">
        <v>46</v>
      </c>
      <c r="AP11" s="1735" t="s">
        <v>47</v>
      </c>
      <c r="AQ11" s="1735" t="s">
        <v>48</v>
      </c>
      <c r="AR11" s="1735" t="s">
        <v>49</v>
      </c>
      <c r="AS11" s="2289"/>
      <c r="AT11" s="1771"/>
      <c r="AU11" s="1815"/>
      <c r="AV11" s="1816"/>
      <c r="AW11" s="2289"/>
      <c r="AX11" s="1735" t="s">
        <v>50</v>
      </c>
      <c r="AY11" s="1735" t="s">
        <v>51</v>
      </c>
      <c r="AZ11" s="1728" t="s">
        <v>45</v>
      </c>
      <c r="BA11" s="1735" t="s">
        <v>46</v>
      </c>
      <c r="BB11" s="1735" t="s">
        <v>47</v>
      </c>
      <c r="BC11" s="1735" t="s">
        <v>48</v>
      </c>
      <c r="BD11" s="1735" t="s">
        <v>49</v>
      </c>
      <c r="BE11" s="2289"/>
      <c r="BF11" s="1771"/>
      <c r="BG11" s="1815"/>
      <c r="BH11" s="1816"/>
      <c r="BI11" s="1814"/>
      <c r="BJ11" s="1735" t="s">
        <v>50</v>
      </c>
      <c r="BK11" s="1735" t="s">
        <v>51</v>
      </c>
      <c r="BL11" s="1728" t="s">
        <v>45</v>
      </c>
      <c r="BM11" s="1814"/>
      <c r="BN11" s="1771"/>
      <c r="BO11" s="1815"/>
      <c r="BP11" s="1816"/>
      <c r="BR11" s="4614"/>
      <c r="BS11" s="4580"/>
      <c r="BU11" s="1814"/>
      <c r="BV11" s="1830"/>
      <c r="BW11" s="1830"/>
      <c r="BX11" s="1818"/>
      <c r="BY11" s="2928"/>
      <c r="BZ11" s="2742">
        <f>BV4-BU1</f>
        <v>0.14689115859087021</v>
      </c>
      <c r="CA11" s="4607"/>
      <c r="CB11" s="4608" t="s">
        <v>101</v>
      </c>
      <c r="CC11" s="1831"/>
      <c r="CD11" s="1832"/>
      <c r="CE11" s="1832" t="s">
        <v>252</v>
      </c>
      <c r="CF11" s="1833"/>
      <c r="CG11" s="1776"/>
      <c r="CH11" s="1776"/>
      <c r="CI11" s="1776"/>
      <c r="CJ11" s="1834"/>
      <c r="CK11" s="1776"/>
      <c r="CL11" s="1776"/>
      <c r="CM11" s="1776"/>
      <c r="CN11" s="1776"/>
      <c r="CO11" s="1776"/>
      <c r="CP11" s="1776"/>
      <c r="CQ11" s="1776"/>
      <c r="CR11" s="1776"/>
      <c r="CS11" s="1776"/>
      <c r="CT11" s="1776"/>
      <c r="CU11" s="1776"/>
      <c r="CV11" s="1776"/>
      <c r="CW11" s="1776"/>
      <c r="CX11" s="1776"/>
      <c r="CY11" s="1776"/>
      <c r="CZ11" s="1776"/>
      <c r="DA11" s="1776"/>
      <c r="DB11" s="1776"/>
      <c r="DC11" s="1776"/>
      <c r="DD11" s="1776"/>
      <c r="DE11" s="1776"/>
      <c r="DF11" s="1776"/>
      <c r="DG11" s="1776"/>
      <c r="DH11" s="1776"/>
      <c r="DI11" s="1776"/>
      <c r="DJ11" s="1776"/>
      <c r="DK11" s="1776"/>
      <c r="DL11" s="1776"/>
      <c r="DM11" s="1776"/>
      <c r="DN11" s="1776"/>
      <c r="DO11" s="1776"/>
      <c r="DP11" s="1776"/>
      <c r="DQ11" s="1776"/>
      <c r="DR11" s="1776"/>
      <c r="DS11" s="1776"/>
      <c r="DT11" s="1776"/>
      <c r="DU11" s="1776"/>
      <c r="DV11" s="1776"/>
      <c r="DW11" s="1776"/>
      <c r="DX11" s="1776"/>
      <c r="DY11" s="1776"/>
      <c r="DZ11" s="1776"/>
      <c r="EA11" s="1776"/>
      <c r="EB11" s="1776"/>
      <c r="EC11" s="1776"/>
      <c r="ED11" s="1776"/>
      <c r="EE11" s="1776"/>
      <c r="EF11" s="1776"/>
      <c r="EG11" s="1776"/>
      <c r="EH11" s="1776"/>
      <c r="EI11" s="1776"/>
      <c r="EJ11" s="1776"/>
      <c r="EK11" s="1776"/>
      <c r="EL11" s="1776"/>
      <c r="EM11" s="1776"/>
      <c r="EN11" s="1776"/>
      <c r="EO11" s="1776"/>
      <c r="EP11" s="1776"/>
      <c r="EQ11" s="1776"/>
      <c r="ER11" s="1776"/>
      <c r="ES11" s="1776"/>
      <c r="ET11" s="1776"/>
      <c r="EU11" s="1776"/>
      <c r="EV11" s="1776"/>
      <c r="EW11" s="1776"/>
      <c r="EX11" s="1776"/>
      <c r="EY11" s="1776"/>
      <c r="EZ11" s="1776"/>
      <c r="FA11" s="1776"/>
      <c r="FB11" s="1776"/>
      <c r="FC11" s="1776"/>
      <c r="FD11" s="1776"/>
      <c r="FE11" s="1776"/>
      <c r="FF11" s="1776"/>
      <c r="FG11" s="1776"/>
      <c r="FH11" s="1776"/>
      <c r="FI11" s="1776"/>
      <c r="FJ11" s="1776"/>
      <c r="FK11" s="1776"/>
      <c r="FL11" s="1776"/>
      <c r="FM11" s="1776"/>
      <c r="FN11" s="1776"/>
      <c r="FO11" s="1776"/>
      <c r="FP11" s="1776"/>
      <c r="FQ11" s="1776"/>
      <c r="FR11" s="1776"/>
    </row>
    <row r="12" spans="1:174" s="1777" customFormat="1" ht="18.75" thickBot="1" x14ac:dyDescent="0.25">
      <c r="B12" s="1835" t="s">
        <v>0</v>
      </c>
      <c r="C12" s="1836" t="s">
        <v>1</v>
      </c>
      <c r="D12" s="1744"/>
      <c r="E12" s="1836" t="s">
        <v>24</v>
      </c>
      <c r="F12" s="1837" t="s">
        <v>108</v>
      </c>
      <c r="G12" s="1838" t="s">
        <v>109</v>
      </c>
      <c r="H12" s="1839" t="s">
        <v>110</v>
      </c>
      <c r="I12" s="1840" t="s">
        <v>111</v>
      </c>
      <c r="J12" s="1841" t="s">
        <v>107</v>
      </c>
      <c r="K12" s="1836" t="s">
        <v>2</v>
      </c>
      <c r="L12" s="1842"/>
      <c r="M12" s="1800"/>
      <c r="N12" s="1835">
        <v>1</v>
      </c>
      <c r="O12" s="1835">
        <v>2</v>
      </c>
      <c r="P12" s="1835">
        <v>3</v>
      </c>
      <c r="Q12" s="1835">
        <v>4</v>
      </c>
      <c r="R12" s="1835">
        <v>5</v>
      </c>
      <c r="S12" s="1835">
        <v>6</v>
      </c>
      <c r="T12" s="1835">
        <v>7</v>
      </c>
      <c r="U12" s="1843"/>
      <c r="V12" s="1844"/>
      <c r="W12" s="1845"/>
      <c r="X12" s="1846"/>
      <c r="Y12" s="1847"/>
      <c r="Z12" s="1835">
        <v>8</v>
      </c>
      <c r="AA12" s="1835">
        <v>9</v>
      </c>
      <c r="AB12" s="1835">
        <v>10</v>
      </c>
      <c r="AC12" s="1835">
        <v>11</v>
      </c>
      <c r="AD12" s="1835">
        <v>12</v>
      </c>
      <c r="AE12" s="1835">
        <v>13</v>
      </c>
      <c r="AF12" s="1835">
        <v>14</v>
      </c>
      <c r="AG12" s="1744"/>
      <c r="AH12" s="1844"/>
      <c r="AI12" s="1845"/>
      <c r="AJ12" s="1846"/>
      <c r="AK12" s="1744"/>
      <c r="AL12" s="1835">
        <v>15</v>
      </c>
      <c r="AM12" s="1835">
        <v>16</v>
      </c>
      <c r="AN12" s="1835">
        <v>17</v>
      </c>
      <c r="AO12" s="1835">
        <v>18</v>
      </c>
      <c r="AP12" s="1835">
        <v>19</v>
      </c>
      <c r="AQ12" s="1835">
        <v>20</v>
      </c>
      <c r="AR12" s="1835">
        <v>21</v>
      </c>
      <c r="AS12" s="2291"/>
      <c r="AT12" s="1844"/>
      <c r="AU12" s="1845"/>
      <c r="AV12" s="1846"/>
      <c r="AW12" s="2291"/>
      <c r="AX12" s="1835">
        <v>22</v>
      </c>
      <c r="AY12" s="1835">
        <v>23</v>
      </c>
      <c r="AZ12" s="1835">
        <v>24</v>
      </c>
      <c r="BA12" s="1835">
        <v>25</v>
      </c>
      <c r="BB12" s="1835">
        <v>26</v>
      </c>
      <c r="BC12" s="1835">
        <v>27</v>
      </c>
      <c r="BD12" s="1835">
        <v>28</v>
      </c>
      <c r="BE12" s="2291"/>
      <c r="BF12" s="1844"/>
      <c r="BG12" s="1845"/>
      <c r="BH12" s="1846"/>
      <c r="BI12" s="1806"/>
      <c r="BJ12" s="1835">
        <v>29</v>
      </c>
      <c r="BK12" s="1835">
        <v>30</v>
      </c>
      <c r="BL12" s="1835">
        <v>31</v>
      </c>
      <c r="BM12" s="1806"/>
      <c r="BN12" s="1844"/>
      <c r="BO12" s="1845"/>
      <c r="BP12" s="1846"/>
      <c r="BR12" s="4615"/>
      <c r="BS12" s="4581"/>
      <c r="BU12" s="1835" t="s">
        <v>7</v>
      </c>
      <c r="BV12" s="1835" t="s">
        <v>2</v>
      </c>
      <c r="BW12" s="1806"/>
      <c r="BX12" s="1806"/>
      <c r="BY12" s="1795"/>
      <c r="BZ12" s="2743"/>
      <c r="CA12" s="4607"/>
      <c r="CB12" s="4608"/>
      <c r="CC12" s="1848"/>
      <c r="CD12" s="1799"/>
      <c r="CE12" s="1799"/>
      <c r="CF12" s="1799"/>
      <c r="CG12" s="1799"/>
      <c r="CH12" s="1799"/>
      <c r="CI12" s="1799"/>
      <c r="CJ12" s="1799"/>
      <c r="CK12" s="1799"/>
      <c r="CL12" s="1799"/>
      <c r="CM12" s="1799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799"/>
      <c r="DR12" s="1799"/>
      <c r="DS12" s="1799"/>
      <c r="DT12" s="1799"/>
      <c r="DU12" s="1799"/>
      <c r="DV12" s="1799"/>
      <c r="DW12" s="1799"/>
      <c r="DX12" s="1799"/>
      <c r="DY12" s="1799"/>
      <c r="DZ12" s="1799"/>
      <c r="EA12" s="1799"/>
      <c r="EB12" s="1799"/>
      <c r="EC12" s="1799"/>
      <c r="ED12" s="1799"/>
      <c r="EE12" s="1799"/>
      <c r="EF12" s="1799"/>
      <c r="EG12" s="1799"/>
      <c r="EH12" s="1799"/>
      <c r="EI12" s="1799"/>
      <c r="EJ12" s="1799"/>
      <c r="EK12" s="1799"/>
      <c r="EL12" s="1799"/>
      <c r="EM12" s="1799"/>
      <c r="EN12" s="1799"/>
      <c r="EO12" s="1799"/>
      <c r="EP12" s="1799"/>
      <c r="EQ12" s="1799"/>
      <c r="ER12" s="1799"/>
      <c r="ES12" s="1799"/>
      <c r="ET12" s="1799"/>
      <c r="EU12" s="1799"/>
      <c r="EV12" s="1799"/>
      <c r="EW12" s="1799"/>
      <c r="EX12" s="1799"/>
      <c r="EY12" s="1799"/>
      <c r="EZ12" s="1799"/>
      <c r="FA12" s="1799"/>
      <c r="FB12" s="1799"/>
      <c r="FC12" s="1799"/>
      <c r="FD12" s="1799"/>
      <c r="FE12" s="1799"/>
      <c r="FF12" s="1799"/>
      <c r="FG12" s="1799"/>
      <c r="FH12" s="1799"/>
      <c r="FI12" s="1799"/>
      <c r="FJ12" s="1799"/>
      <c r="FK12" s="1799"/>
      <c r="FL12" s="1799"/>
      <c r="FM12" s="1799"/>
      <c r="FN12" s="1799"/>
      <c r="FO12" s="1799"/>
      <c r="FP12" s="1799"/>
      <c r="FQ12" s="1799"/>
      <c r="FR12" s="1799"/>
    </row>
    <row r="13" spans="1:174" s="1777" customFormat="1" ht="4.5" customHeight="1" x14ac:dyDescent="0.2">
      <c r="B13" s="1806"/>
      <c r="C13" s="1800"/>
      <c r="D13" s="1800"/>
      <c r="E13" s="1800"/>
      <c r="F13" s="1849"/>
      <c r="G13" s="1850"/>
      <c r="H13" s="1851"/>
      <c r="I13" s="1852"/>
      <c r="J13" s="1800"/>
      <c r="K13" s="1800"/>
      <c r="L13" s="1842"/>
      <c r="M13" s="1800"/>
      <c r="N13" s="1806"/>
      <c r="O13" s="1806"/>
      <c r="P13" s="1806"/>
      <c r="Q13" s="1806"/>
      <c r="R13" s="1806"/>
      <c r="S13" s="1806"/>
      <c r="T13" s="1806"/>
      <c r="U13" s="1806"/>
      <c r="V13" s="1806"/>
      <c r="W13" s="1806"/>
      <c r="X13" s="1806"/>
      <c r="Y13" s="1800"/>
      <c r="Z13" s="1806"/>
      <c r="AA13" s="1806"/>
      <c r="AB13" s="1806"/>
      <c r="AC13" s="1806"/>
      <c r="AD13" s="1806"/>
      <c r="AE13" s="1806"/>
      <c r="AF13" s="1806"/>
      <c r="AG13" s="1800"/>
      <c r="AH13" s="1806"/>
      <c r="AI13" s="1806"/>
      <c r="AJ13" s="1806"/>
      <c r="AK13" s="1800"/>
      <c r="AL13" s="1806"/>
      <c r="AM13" s="1806"/>
      <c r="AN13" s="1806"/>
      <c r="AO13" s="1806"/>
      <c r="AP13" s="1806"/>
      <c r="AQ13" s="1806"/>
      <c r="AR13" s="1806"/>
      <c r="AS13" s="1806"/>
      <c r="AT13" s="1806"/>
      <c r="AU13" s="1806"/>
      <c r="AV13" s="1806"/>
      <c r="AW13" s="1806"/>
      <c r="AX13" s="1806"/>
      <c r="AY13" s="1806"/>
      <c r="AZ13" s="1806"/>
      <c r="BA13" s="1806"/>
      <c r="BB13" s="1806"/>
      <c r="BC13" s="1806"/>
      <c r="BD13" s="1806"/>
      <c r="BE13" s="1806"/>
      <c r="BF13" s="1806"/>
      <c r="BG13" s="1806"/>
      <c r="BH13" s="1806"/>
      <c r="BI13" s="1806"/>
      <c r="BJ13" s="1806"/>
      <c r="BK13" s="1806"/>
      <c r="BL13" s="1806"/>
      <c r="BM13" s="1806"/>
      <c r="BN13" s="1806"/>
      <c r="BO13" s="1806"/>
      <c r="BP13" s="1806"/>
      <c r="BR13" s="1853"/>
      <c r="BS13" s="1854"/>
      <c r="BU13" s="1800"/>
      <c r="BV13" s="1800"/>
      <c r="BW13" s="1800"/>
      <c r="BX13" s="1800"/>
      <c r="BZ13" s="1855"/>
      <c r="CA13" s="1800"/>
      <c r="CB13" s="1800"/>
      <c r="CC13" s="1856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  <c r="CY13" s="1800"/>
      <c r="CZ13" s="1800"/>
      <c r="DA13" s="1800"/>
      <c r="DB13" s="1800"/>
      <c r="DC13" s="1800"/>
      <c r="DD13" s="1800"/>
      <c r="DE13" s="1800"/>
      <c r="DF13" s="1800"/>
      <c r="DG13" s="1800"/>
      <c r="DH13" s="1800"/>
      <c r="DI13" s="1800"/>
      <c r="DJ13" s="1800"/>
      <c r="DK13" s="1800"/>
      <c r="DL13" s="1800"/>
      <c r="DM13" s="1800"/>
      <c r="DN13" s="1800"/>
      <c r="DO13" s="1800"/>
      <c r="DP13" s="1800"/>
      <c r="DQ13" s="1800"/>
      <c r="DR13" s="1800"/>
      <c r="DS13" s="1800"/>
      <c r="DT13" s="1800"/>
      <c r="DU13" s="1800"/>
      <c r="DV13" s="1800"/>
      <c r="DW13" s="1800"/>
      <c r="DX13" s="1800"/>
      <c r="DY13" s="1800"/>
      <c r="DZ13" s="1800"/>
      <c r="EA13" s="1800"/>
      <c r="EB13" s="1800"/>
      <c r="EC13" s="1800"/>
      <c r="ED13" s="1800"/>
      <c r="EE13" s="1800"/>
      <c r="EF13" s="1800"/>
      <c r="EG13" s="1800"/>
      <c r="EH13" s="1800"/>
      <c r="EI13" s="1800"/>
      <c r="EJ13" s="1800"/>
      <c r="EK13" s="1800"/>
      <c r="EL13" s="1800"/>
      <c r="EM13" s="1800"/>
      <c r="EN13" s="1800"/>
      <c r="EO13" s="1800"/>
      <c r="EP13" s="1800"/>
      <c r="EQ13" s="1800"/>
      <c r="ER13" s="1800"/>
      <c r="ES13" s="1800"/>
      <c r="ET13" s="1800"/>
      <c r="EU13" s="1800"/>
      <c r="EV13" s="1800"/>
      <c r="EW13" s="1800"/>
      <c r="EX13" s="1800"/>
      <c r="EY13" s="1800"/>
      <c r="EZ13" s="1800"/>
      <c r="FA13" s="1800"/>
      <c r="FB13" s="1800"/>
      <c r="FC13" s="1800"/>
      <c r="FD13" s="1800"/>
      <c r="FE13" s="1800"/>
      <c r="FF13" s="1800"/>
      <c r="FG13" s="1800"/>
      <c r="FH13" s="1800"/>
      <c r="FI13" s="1800"/>
      <c r="FJ13" s="1800"/>
      <c r="FK13" s="1800"/>
      <c r="FL13" s="1800"/>
      <c r="FM13" s="1800"/>
      <c r="FN13" s="1800"/>
      <c r="FO13" s="1800"/>
      <c r="FP13" s="1800"/>
      <c r="FQ13" s="1800"/>
      <c r="FR13" s="1800"/>
    </row>
    <row r="14" spans="1:174" s="1810" customFormat="1" ht="21" thickBot="1" x14ac:dyDescent="0.25">
      <c r="B14" s="1963"/>
      <c r="C14" s="1964" t="s">
        <v>188</v>
      </c>
      <c r="D14" s="2578"/>
      <c r="E14" s="1728"/>
      <c r="F14" s="1728"/>
      <c r="G14" s="1728"/>
      <c r="H14" s="1728"/>
      <c r="I14" s="1728"/>
      <c r="J14" s="1728">
        <f>J40*100/20</f>
        <v>463.15322580645159</v>
      </c>
      <c r="K14" s="2383">
        <f>J14*CA18</f>
        <v>10189.370967741936</v>
      </c>
      <c r="L14" s="1924"/>
      <c r="M14" s="1966"/>
      <c r="N14" s="2266"/>
      <c r="O14" s="2266"/>
      <c r="P14" s="2266"/>
      <c r="Q14" s="2266"/>
      <c r="R14" s="2266"/>
      <c r="S14" s="2266"/>
      <c r="T14" s="2266"/>
      <c r="U14" s="1814"/>
      <c r="V14" s="4588"/>
      <c r="W14" s="4588"/>
      <c r="X14" s="4588"/>
      <c r="Y14" s="1766"/>
      <c r="Z14" s="2266"/>
      <c r="AA14" s="2266"/>
      <c r="AB14" s="2266"/>
      <c r="AC14" s="2266"/>
      <c r="AD14" s="2266"/>
      <c r="AE14" s="2266"/>
      <c r="AF14" s="2266"/>
      <c r="AG14" s="1766"/>
      <c r="AH14" s="4588"/>
      <c r="AI14" s="4588"/>
      <c r="AJ14" s="4588"/>
      <c r="AK14" s="1766"/>
      <c r="AL14" s="2266"/>
      <c r="AM14" s="2266"/>
      <c r="AN14" s="2266"/>
      <c r="AO14" s="2266"/>
      <c r="AP14" s="2266"/>
      <c r="AQ14" s="2266"/>
      <c r="AR14" s="2266"/>
      <c r="AS14" s="1814"/>
      <c r="AT14" s="4588"/>
      <c r="AU14" s="4588"/>
      <c r="AV14" s="4588"/>
      <c r="AW14" s="1814"/>
      <c r="AX14" s="2266"/>
      <c r="AY14" s="2266"/>
      <c r="AZ14" s="4589"/>
      <c r="BA14" s="4589"/>
      <c r="BB14" s="4589"/>
      <c r="BC14" s="4589"/>
      <c r="BD14" s="4589"/>
      <c r="BE14" s="1814"/>
      <c r="BF14" s="4588"/>
      <c r="BG14" s="4588"/>
      <c r="BH14" s="4588"/>
      <c r="BI14" s="1814"/>
      <c r="BJ14" s="4589"/>
      <c r="BK14" s="4589"/>
      <c r="BL14" s="4589"/>
      <c r="BM14" s="1814"/>
      <c r="BN14" s="4588"/>
      <c r="BO14" s="4588"/>
      <c r="BP14" s="4588"/>
      <c r="BR14" s="2931"/>
      <c r="BS14" s="1968"/>
      <c r="BT14" s="1817"/>
      <c r="BU14" s="1814"/>
      <c r="BV14" s="1830"/>
      <c r="BW14" s="1830"/>
      <c r="BX14" s="1761"/>
      <c r="BZ14" s="1860"/>
      <c r="CA14" s="2933"/>
      <c r="CB14" s="1860"/>
      <c r="CC14" s="1860"/>
      <c r="CD14" s="1860"/>
      <c r="CE14" s="1860"/>
      <c r="CF14" s="1860"/>
      <c r="CG14" s="1860"/>
      <c r="CH14" s="1860"/>
    </row>
    <row r="15" spans="1:174" x14ac:dyDescent="0.2">
      <c r="A15" s="1777"/>
      <c r="B15" s="1987">
        <v>13</v>
      </c>
      <c r="C15" s="1987" t="s">
        <v>197</v>
      </c>
      <c r="D15" s="1836"/>
      <c r="E15" s="1746">
        <v>1500</v>
      </c>
      <c r="F15" s="1746">
        <v>108.33333333333333</v>
      </c>
      <c r="G15" s="1746">
        <v>72.222222222222214</v>
      </c>
      <c r="H15" s="1746">
        <v>54.166666666666664</v>
      </c>
      <c r="I15" s="1746">
        <v>43.333333333333329</v>
      </c>
      <c r="J15" s="1746">
        <f>E15/31*1</f>
        <v>48.387096774193552</v>
      </c>
      <c r="K15" s="2583">
        <f t="shared" ref="K15:K38" si="18">E15/$E$40</f>
        <v>0.7360611389794236</v>
      </c>
      <c r="L15" s="1909"/>
      <c r="M15" s="1910"/>
      <c r="N15" s="1746"/>
      <c r="O15" s="1746"/>
      <c r="P15" s="1746"/>
      <c r="Q15" s="1746"/>
      <c r="R15" s="1746"/>
      <c r="S15" s="1746">
        <f t="shared" ref="S15" si="19">$J$15</f>
        <v>48.387096774193552</v>
      </c>
      <c r="T15" s="1746"/>
      <c r="U15" s="2934"/>
      <c r="V15" s="1972">
        <f>SUM(N15:T15)</f>
        <v>48.387096774193552</v>
      </c>
      <c r="W15" s="1973">
        <f>($V$3*K15)*$V$5</f>
        <v>25.026078725300405</v>
      </c>
      <c r="X15" s="1974">
        <f>W15-V15</f>
        <v>-23.361018048893147</v>
      </c>
      <c r="Y15" s="1914"/>
      <c r="Z15" s="1746"/>
      <c r="AA15" s="1746"/>
      <c r="AB15" s="1746"/>
      <c r="AC15" s="1746">
        <f t="shared" ref="AC15:AF15" si="20">$J$15</f>
        <v>48.387096774193552</v>
      </c>
      <c r="AD15" s="1746">
        <f t="shared" si="20"/>
        <v>48.387096774193552</v>
      </c>
      <c r="AE15" s="1746">
        <f t="shared" si="20"/>
        <v>48.387096774193552</v>
      </c>
      <c r="AF15" s="1746">
        <f t="shared" si="20"/>
        <v>48.387096774193552</v>
      </c>
      <c r="AG15" s="1914"/>
      <c r="AH15" s="1972">
        <f>SUM(Z15:AF15)</f>
        <v>193.54838709677421</v>
      </c>
      <c r="AI15" s="1973">
        <f>($AH$3*K15)*$AH$5</f>
        <v>134.4099164056156</v>
      </c>
      <c r="AJ15" s="1974">
        <f>AI15-AH15</f>
        <v>-59.138470691158602</v>
      </c>
      <c r="AK15" s="1914"/>
      <c r="AL15" s="1990">
        <f t="shared" ref="AL15:AR15" si="21">$J$15</f>
        <v>48.387096774193552</v>
      </c>
      <c r="AM15" s="1990">
        <f t="shared" si="21"/>
        <v>48.387096774193552</v>
      </c>
      <c r="AN15" s="1990">
        <f t="shared" si="21"/>
        <v>48.387096774193552</v>
      </c>
      <c r="AO15" s="1990">
        <f t="shared" si="21"/>
        <v>48.387096774193552</v>
      </c>
      <c r="AP15" s="1990">
        <f t="shared" si="21"/>
        <v>48.387096774193552</v>
      </c>
      <c r="AQ15" s="1990">
        <f t="shared" si="21"/>
        <v>48.387096774193552</v>
      </c>
      <c r="AR15" s="1990">
        <f t="shared" si="21"/>
        <v>48.387096774193552</v>
      </c>
      <c r="AS15" s="2297"/>
      <c r="AT15" s="1972">
        <f>SUM(AL15:AR15)</f>
        <v>338.70967741935482</v>
      </c>
      <c r="AU15" s="1973">
        <f>($AT$3*K15)*$AT$5</f>
        <v>318.59449521243681</v>
      </c>
      <c r="AV15" s="1974">
        <f>AU15-AT15</f>
        <v>-20.115182206918007</v>
      </c>
      <c r="AW15" s="2297"/>
      <c r="AX15" s="1990">
        <f t="shared" ref="AX15:BD15" si="22">$J$15</f>
        <v>48.387096774193552</v>
      </c>
      <c r="AY15" s="1990">
        <f t="shared" si="22"/>
        <v>48.387096774193552</v>
      </c>
      <c r="AZ15" s="1990">
        <f t="shared" si="22"/>
        <v>48.387096774193552</v>
      </c>
      <c r="BA15" s="1990">
        <f t="shared" si="22"/>
        <v>48.387096774193552</v>
      </c>
      <c r="BB15" s="1990">
        <f t="shared" si="22"/>
        <v>48.387096774193552</v>
      </c>
      <c r="BC15" s="1990">
        <f t="shared" si="22"/>
        <v>48.387096774193552</v>
      </c>
      <c r="BD15" s="1990">
        <f t="shared" si="22"/>
        <v>48.387096774193552</v>
      </c>
      <c r="BE15" s="2297"/>
      <c r="BF15" s="1972">
        <f>SUM(AX15:BD15)</f>
        <v>338.70967741935482</v>
      </c>
      <c r="BG15" s="1973">
        <f>($BF$3*K15)*$BF$5</f>
        <v>543.44424376445431</v>
      </c>
      <c r="BH15" s="1974">
        <f>BG15-BF15</f>
        <v>204.73456634509949</v>
      </c>
      <c r="BI15" s="2934"/>
      <c r="BJ15" s="1746">
        <f t="shared" ref="BJ15:BL15" si="23">$J$15</f>
        <v>48.387096774193552</v>
      </c>
      <c r="BK15" s="1990">
        <f t="shared" si="23"/>
        <v>48.387096774193552</v>
      </c>
      <c r="BL15" s="1990">
        <f t="shared" si="23"/>
        <v>48.387096774193552</v>
      </c>
      <c r="BM15" s="2934"/>
      <c r="BN15" s="1972">
        <f t="shared" ref="BN15:BN35" si="24">SUM(BJ15:BL15)</f>
        <v>145.16129032258067</v>
      </c>
      <c r="BO15" s="1973">
        <f t="shared" ref="BO15:BO38" si="25">($BN$3*K15)*$BN$5</f>
        <v>263.37813281075631</v>
      </c>
      <c r="BP15" s="1974">
        <f>BO15-BN15</f>
        <v>118.21684248817564</v>
      </c>
      <c r="BR15" s="1747">
        <v>0</v>
      </c>
      <c r="BS15" s="1752">
        <f t="shared" ref="BS15:BS38" si="26">BR15/E15</f>
        <v>0</v>
      </c>
      <c r="BT15" s="1754"/>
      <c r="BU15" s="1975">
        <f t="shared" ref="BU15:BU38" si="27">SUM(N15:T15)+SUM(Z15:AF15)+SUM(AL15:AR15)+SUM(AX15:BD15)+SUM(BJ15:BL15)</f>
        <v>1064.516129032258</v>
      </c>
      <c r="BV15" s="1976">
        <f t="shared" ref="BV15:BV38" si="28">BU15/E15</f>
        <v>0.70967741935483875</v>
      </c>
      <c r="BW15" s="1993"/>
      <c r="BX15" s="1977"/>
      <c r="BZ15" s="1923"/>
      <c r="CA15" s="1978"/>
      <c r="CB15" s="1979"/>
      <c r="CC15" s="1980"/>
      <c r="CD15" s="1980"/>
      <c r="CE15" s="1980"/>
      <c r="CF15" s="1980"/>
      <c r="CG15" s="1980"/>
      <c r="CH15" s="1980"/>
      <c r="CI15" s="1981"/>
    </row>
    <row r="16" spans="1:174" s="1726" customFormat="1" x14ac:dyDescent="0.2">
      <c r="B16" s="1963">
        <v>14</v>
      </c>
      <c r="C16" s="1963" t="s">
        <v>198</v>
      </c>
      <c r="D16" s="2578"/>
      <c r="E16" s="1728">
        <v>450</v>
      </c>
      <c r="F16" s="1728">
        <v>45</v>
      </c>
      <c r="G16" s="1728">
        <v>30</v>
      </c>
      <c r="H16" s="1728">
        <v>22.5</v>
      </c>
      <c r="I16" s="1728">
        <v>18</v>
      </c>
      <c r="J16" s="1728">
        <f t="shared" ref="J16:J38" si="29">E16/31*1</f>
        <v>14.516129032258064</v>
      </c>
      <c r="K16" s="1729">
        <f t="shared" si="18"/>
        <v>0.22081834169382708</v>
      </c>
      <c r="L16" s="1876"/>
      <c r="M16" s="1877"/>
      <c r="N16" s="1728"/>
      <c r="O16" s="1728"/>
      <c r="P16" s="1728"/>
      <c r="Q16" s="1728"/>
      <c r="R16" s="1728"/>
      <c r="S16" s="1728">
        <f t="shared" ref="S16" si="30">$J$16</f>
        <v>14.516129032258064</v>
      </c>
      <c r="T16" s="1728"/>
      <c r="U16" s="2935"/>
      <c r="V16" s="1982">
        <f>SUM(N16:T16)</f>
        <v>14.516129032258064</v>
      </c>
      <c r="W16" s="2268">
        <f>($V$3*K16)*$V$5</f>
        <v>7.5078236175901205</v>
      </c>
      <c r="X16" s="1984">
        <f>W16-V16</f>
        <v>-7.0083054146679435</v>
      </c>
      <c r="Y16" s="1881"/>
      <c r="Z16" s="1728"/>
      <c r="AA16" s="1728"/>
      <c r="AB16" s="1728"/>
      <c r="AC16" s="1728">
        <f t="shared" ref="AC16:AF16" si="31">$J$16</f>
        <v>14.516129032258064</v>
      </c>
      <c r="AD16" s="1728">
        <f t="shared" si="31"/>
        <v>14.516129032258064</v>
      </c>
      <c r="AE16" s="1728">
        <f t="shared" si="31"/>
        <v>14.516129032258064</v>
      </c>
      <c r="AF16" s="1728">
        <f t="shared" si="31"/>
        <v>14.516129032258064</v>
      </c>
      <c r="AG16" s="1881"/>
      <c r="AH16" s="1982">
        <f>SUM(Z16:AF16)</f>
        <v>58.064516129032256</v>
      </c>
      <c r="AI16" s="2268">
        <f t="shared" ref="AI16:AI38" si="32">($AH$3*K16)*$AH$5</f>
        <v>40.322974921684683</v>
      </c>
      <c r="AJ16" s="1984">
        <f>AI16-AH16</f>
        <v>-17.741541207347574</v>
      </c>
      <c r="AK16" s="1881"/>
      <c r="AL16" s="2268">
        <f t="shared" ref="AL16:AR16" si="33">$J$16</f>
        <v>14.516129032258064</v>
      </c>
      <c r="AM16" s="2268">
        <f t="shared" si="33"/>
        <v>14.516129032258064</v>
      </c>
      <c r="AN16" s="2268">
        <f t="shared" si="33"/>
        <v>14.516129032258064</v>
      </c>
      <c r="AO16" s="2268">
        <f t="shared" si="33"/>
        <v>14.516129032258064</v>
      </c>
      <c r="AP16" s="2268">
        <f t="shared" si="33"/>
        <v>14.516129032258064</v>
      </c>
      <c r="AQ16" s="2268">
        <f t="shared" si="33"/>
        <v>14.516129032258064</v>
      </c>
      <c r="AR16" s="2268">
        <f t="shared" si="33"/>
        <v>14.516129032258064</v>
      </c>
      <c r="AS16" s="2293"/>
      <c r="AT16" s="1982">
        <f>SUM(AL16:AR16)</f>
        <v>101.61290322580645</v>
      </c>
      <c r="AU16" s="2268">
        <f t="shared" ref="AU16:AU38" si="34">($AT$3*K16)*$AT$5</f>
        <v>95.578348563731041</v>
      </c>
      <c r="AV16" s="1984">
        <f>AU16-AT16</f>
        <v>-6.0345546620754078</v>
      </c>
      <c r="AW16" s="2293"/>
      <c r="AX16" s="2268">
        <f t="shared" ref="AX16:BD16" si="35">$J$16</f>
        <v>14.516129032258064</v>
      </c>
      <c r="AY16" s="2268">
        <f t="shared" si="35"/>
        <v>14.516129032258064</v>
      </c>
      <c r="AZ16" s="2268">
        <f t="shared" si="35"/>
        <v>14.516129032258064</v>
      </c>
      <c r="BA16" s="2268">
        <f t="shared" si="35"/>
        <v>14.516129032258064</v>
      </c>
      <c r="BB16" s="2268">
        <f t="shared" si="35"/>
        <v>14.516129032258064</v>
      </c>
      <c r="BC16" s="2268">
        <f t="shared" si="35"/>
        <v>14.516129032258064</v>
      </c>
      <c r="BD16" s="2268">
        <f t="shared" si="35"/>
        <v>14.516129032258064</v>
      </c>
      <c r="BE16" s="2293"/>
      <c r="BF16" s="1982">
        <f>SUM(AX16:BD16)</f>
        <v>101.61290322580645</v>
      </c>
      <c r="BG16" s="2268">
        <f t="shared" ref="BG16:BG38" si="36">($BF$3*K16)*$BF$5</f>
        <v>163.03327312933629</v>
      </c>
      <c r="BH16" s="1984">
        <f>BG16-BF16</f>
        <v>61.420369903529846</v>
      </c>
      <c r="BI16" s="2935"/>
      <c r="BJ16" s="1728">
        <f t="shared" ref="BJ16:BL16" si="37">$J$16</f>
        <v>14.516129032258064</v>
      </c>
      <c r="BK16" s="2268">
        <f t="shared" si="37"/>
        <v>14.516129032258064</v>
      </c>
      <c r="BL16" s="2268">
        <f t="shared" si="37"/>
        <v>14.516129032258064</v>
      </c>
      <c r="BM16" s="2935"/>
      <c r="BN16" s="1982">
        <f t="shared" si="24"/>
        <v>43.548387096774192</v>
      </c>
      <c r="BO16" s="2268">
        <f t="shared" si="25"/>
        <v>79.013439843226905</v>
      </c>
      <c r="BP16" s="1984">
        <f>BO16-BN16</f>
        <v>35.465052746452713</v>
      </c>
      <c r="BR16" s="1732">
        <v>0</v>
      </c>
      <c r="BS16" s="1882">
        <f t="shared" si="26"/>
        <v>0</v>
      </c>
      <c r="BT16" s="1740"/>
      <c r="BU16" s="1734">
        <f t="shared" si="27"/>
        <v>319.35483870967744</v>
      </c>
      <c r="BV16" s="1918">
        <f t="shared" si="28"/>
        <v>0.70967741935483875</v>
      </c>
      <c r="BW16" s="1997"/>
      <c r="BX16" s="2933"/>
      <c r="BZ16" s="1860"/>
      <c r="CA16" s="1985">
        <v>43861</v>
      </c>
      <c r="CB16" s="1830"/>
      <c r="CC16" s="1817"/>
      <c r="CD16" s="1810"/>
      <c r="CE16" s="1810"/>
      <c r="CF16" s="1810"/>
      <c r="CG16" s="1810"/>
      <c r="CH16" s="1810"/>
      <c r="CI16" s="1986"/>
    </row>
    <row r="17" spans="1:87" s="1777" customFormat="1" x14ac:dyDescent="0.2">
      <c r="B17" s="1987">
        <v>15</v>
      </c>
      <c r="C17" s="1987" t="s">
        <v>257</v>
      </c>
      <c r="D17" s="1836"/>
      <c r="E17" s="1746">
        <v>200</v>
      </c>
      <c r="F17" s="1746">
        <v>5</v>
      </c>
      <c r="G17" s="1746">
        <v>3.3333333333333335</v>
      </c>
      <c r="H17" s="1746">
        <v>2.5</v>
      </c>
      <c r="I17" s="1746">
        <v>2</v>
      </c>
      <c r="J17" s="1746">
        <f t="shared" si="29"/>
        <v>6.4516129032258061</v>
      </c>
      <c r="K17" s="2583">
        <f t="shared" si="18"/>
        <v>9.8141485197256476E-2</v>
      </c>
      <c r="L17" s="1866"/>
      <c r="M17" s="1867"/>
      <c r="N17" s="1746"/>
      <c r="O17" s="1746"/>
      <c r="P17" s="1746"/>
      <c r="Q17" s="1746"/>
      <c r="R17" s="1746"/>
      <c r="S17" s="1746">
        <f t="shared" ref="S17" si="38">$J$17</f>
        <v>6.4516129032258061</v>
      </c>
      <c r="T17" s="1746"/>
      <c r="U17" s="1801"/>
      <c r="V17" s="1989">
        <f>SUM(N17:T17)</f>
        <v>6.4516129032258061</v>
      </c>
      <c r="W17" s="1990">
        <f>($V$3*K17)*$V$5</f>
        <v>3.33681049670672</v>
      </c>
      <c r="X17" s="1991">
        <f t="shared" ref="X17:X37" si="39">W17-V17</f>
        <v>-3.114802406519086</v>
      </c>
      <c r="Y17" s="1788"/>
      <c r="Z17" s="1746"/>
      <c r="AA17" s="1746"/>
      <c r="AB17" s="1746"/>
      <c r="AC17" s="1746">
        <f t="shared" ref="AC17:AF17" si="40">$J$17</f>
        <v>6.4516129032258061</v>
      </c>
      <c r="AD17" s="1746">
        <f t="shared" si="40"/>
        <v>6.4516129032258061</v>
      </c>
      <c r="AE17" s="1746">
        <f t="shared" si="40"/>
        <v>6.4516129032258061</v>
      </c>
      <c r="AF17" s="1746">
        <f t="shared" si="40"/>
        <v>6.4516129032258061</v>
      </c>
      <c r="AG17" s="1788"/>
      <c r="AH17" s="1989">
        <f t="shared" ref="AH17:AH38" si="41">SUM(Z17:AF17)</f>
        <v>25.806451612903224</v>
      </c>
      <c r="AI17" s="1990">
        <f t="shared" si="32"/>
        <v>17.921322187415413</v>
      </c>
      <c r="AJ17" s="1991">
        <f t="shared" ref="AJ17:AJ38" si="42">AI17-AH17</f>
        <v>-7.8851294254878113</v>
      </c>
      <c r="AK17" s="1788"/>
      <c r="AL17" s="1990">
        <f t="shared" ref="AL17:AR17" si="43">$J$17</f>
        <v>6.4516129032258061</v>
      </c>
      <c r="AM17" s="1990">
        <f t="shared" si="43"/>
        <v>6.4516129032258061</v>
      </c>
      <c r="AN17" s="1990">
        <f t="shared" si="43"/>
        <v>6.4516129032258061</v>
      </c>
      <c r="AO17" s="1990">
        <f t="shared" si="43"/>
        <v>6.4516129032258061</v>
      </c>
      <c r="AP17" s="1990">
        <f t="shared" si="43"/>
        <v>6.4516129032258061</v>
      </c>
      <c r="AQ17" s="1990">
        <f t="shared" si="43"/>
        <v>6.4516129032258061</v>
      </c>
      <c r="AR17" s="1990">
        <f t="shared" si="43"/>
        <v>6.4516129032258061</v>
      </c>
      <c r="AS17" s="2290"/>
      <c r="AT17" s="1989">
        <f t="shared" ref="AT17:AT38" si="44">SUM(AL17:AR17)</f>
        <v>45.161290322580648</v>
      </c>
      <c r="AU17" s="1990">
        <f t="shared" si="34"/>
        <v>42.479266028324908</v>
      </c>
      <c r="AV17" s="1991">
        <f t="shared" ref="AV17:AV38" si="45">AU17-AT17</f>
        <v>-2.68202429425574</v>
      </c>
      <c r="AW17" s="2290"/>
      <c r="AX17" s="1990">
        <f t="shared" ref="AX17:BD17" si="46">$J$17</f>
        <v>6.4516129032258061</v>
      </c>
      <c r="AY17" s="1990">
        <f t="shared" si="46"/>
        <v>6.4516129032258061</v>
      </c>
      <c r="AZ17" s="1990">
        <f t="shared" si="46"/>
        <v>6.4516129032258061</v>
      </c>
      <c r="BA17" s="1990">
        <f t="shared" si="46"/>
        <v>6.4516129032258061</v>
      </c>
      <c r="BB17" s="1990">
        <f t="shared" si="46"/>
        <v>6.4516129032258061</v>
      </c>
      <c r="BC17" s="1990">
        <f t="shared" si="46"/>
        <v>6.4516129032258061</v>
      </c>
      <c r="BD17" s="1990">
        <f t="shared" si="46"/>
        <v>6.4516129032258061</v>
      </c>
      <c r="BE17" s="2290"/>
      <c r="BF17" s="1989">
        <f t="shared" ref="BF17:BF38" si="47">SUM(AX17:BD17)</f>
        <v>45.161290322580648</v>
      </c>
      <c r="BG17" s="1990">
        <f t="shared" si="36"/>
        <v>72.459232501927232</v>
      </c>
      <c r="BH17" s="1991">
        <f t="shared" ref="BH17:BH38" si="48">BG17-BF17</f>
        <v>27.297942179346585</v>
      </c>
      <c r="BI17" s="1801"/>
      <c r="BJ17" s="1746">
        <f t="shared" ref="BJ17:BL17" si="49">$J$17</f>
        <v>6.4516129032258061</v>
      </c>
      <c r="BK17" s="1990">
        <f t="shared" si="49"/>
        <v>6.4516129032258061</v>
      </c>
      <c r="BL17" s="1990">
        <f t="shared" si="49"/>
        <v>6.4516129032258061</v>
      </c>
      <c r="BM17" s="1801"/>
      <c r="BN17" s="1989">
        <f t="shared" si="24"/>
        <v>19.354838709677416</v>
      </c>
      <c r="BO17" s="1990">
        <f t="shared" si="25"/>
        <v>35.117084374767508</v>
      </c>
      <c r="BP17" s="1991">
        <f t="shared" ref="BP17" si="50">BO17-BN17</f>
        <v>15.762245665090092</v>
      </c>
      <c r="BR17" s="1750">
        <v>0</v>
      </c>
      <c r="BS17" s="1871">
        <f t="shared" si="26"/>
        <v>0</v>
      </c>
      <c r="BT17" s="1795"/>
      <c r="BU17" s="1935">
        <f t="shared" si="27"/>
        <v>141.93548387096774</v>
      </c>
      <c r="BV17" s="1930">
        <f t="shared" si="28"/>
        <v>0.70967741935483875</v>
      </c>
      <c r="BW17" s="1802"/>
      <c r="BX17" s="1783"/>
      <c r="BZ17" s="1916"/>
      <c r="CA17" s="1992">
        <v>43830</v>
      </c>
      <c r="CB17" s="1993"/>
      <c r="CC17" s="1994"/>
      <c r="CD17" s="1923"/>
      <c r="CE17" s="1923"/>
      <c r="CF17" s="1923"/>
      <c r="CG17" s="1923"/>
      <c r="CH17" s="1923"/>
      <c r="CI17" s="1995"/>
    </row>
    <row r="18" spans="1:87" s="1756" customFormat="1" x14ac:dyDescent="0.2">
      <c r="B18" s="1963">
        <v>16</v>
      </c>
      <c r="C18" s="1963" t="s">
        <v>230</v>
      </c>
      <c r="D18" s="2578"/>
      <c r="E18" s="1728">
        <v>0</v>
      </c>
      <c r="F18" s="1728"/>
      <c r="G18" s="1728"/>
      <c r="H18" s="1728"/>
      <c r="I18" s="1728"/>
      <c r="J18" s="1728">
        <f t="shared" si="29"/>
        <v>0</v>
      </c>
      <c r="K18" s="1729">
        <f t="shared" si="18"/>
        <v>0</v>
      </c>
      <c r="L18" s="1931"/>
      <c r="M18" s="1924"/>
      <c r="N18" s="1728"/>
      <c r="O18" s="1728"/>
      <c r="P18" s="1728"/>
      <c r="Q18" s="1728"/>
      <c r="R18" s="1728"/>
      <c r="S18" s="1728">
        <f t="shared" ref="S18" si="51">$J$18</f>
        <v>0</v>
      </c>
      <c r="T18" s="1728"/>
      <c r="U18" s="1814"/>
      <c r="V18" s="1982">
        <f t="shared" ref="V18:V80" si="52">SUM(N18:T18)</f>
        <v>0</v>
      </c>
      <c r="W18" s="2268">
        <f>($V$3*K18)*$V$5</f>
        <v>0</v>
      </c>
      <c r="X18" s="1984">
        <f t="shared" si="39"/>
        <v>0</v>
      </c>
      <c r="Y18" s="1764"/>
      <c r="Z18" s="1728"/>
      <c r="AA18" s="1728"/>
      <c r="AB18" s="1728"/>
      <c r="AC18" s="1728">
        <f t="shared" ref="AC18:AF18" si="53">$J$18</f>
        <v>0</v>
      </c>
      <c r="AD18" s="1728">
        <f t="shared" si="53"/>
        <v>0</v>
      </c>
      <c r="AE18" s="1728">
        <f t="shared" si="53"/>
        <v>0</v>
      </c>
      <c r="AF18" s="1728">
        <f t="shared" si="53"/>
        <v>0</v>
      </c>
      <c r="AG18" s="1764"/>
      <c r="AH18" s="1982">
        <f t="shared" si="41"/>
        <v>0</v>
      </c>
      <c r="AI18" s="2268">
        <f t="shared" si="32"/>
        <v>0</v>
      </c>
      <c r="AJ18" s="1984">
        <f t="shared" si="42"/>
        <v>0</v>
      </c>
      <c r="AK18" s="1764"/>
      <c r="AL18" s="2268">
        <f t="shared" ref="AL18:AR18" si="54">$J$18</f>
        <v>0</v>
      </c>
      <c r="AM18" s="2268">
        <f t="shared" si="54"/>
        <v>0</v>
      </c>
      <c r="AN18" s="2268">
        <f t="shared" si="54"/>
        <v>0</v>
      </c>
      <c r="AO18" s="2268">
        <f t="shared" si="54"/>
        <v>0</v>
      </c>
      <c r="AP18" s="2268">
        <f t="shared" si="54"/>
        <v>0</v>
      </c>
      <c r="AQ18" s="2268">
        <f t="shared" si="54"/>
        <v>0</v>
      </c>
      <c r="AR18" s="2268">
        <f t="shared" si="54"/>
        <v>0</v>
      </c>
      <c r="AS18" s="2289"/>
      <c r="AT18" s="1982">
        <f t="shared" si="44"/>
        <v>0</v>
      </c>
      <c r="AU18" s="2268">
        <f t="shared" si="34"/>
        <v>0</v>
      </c>
      <c r="AV18" s="1984">
        <f t="shared" si="45"/>
        <v>0</v>
      </c>
      <c r="AW18" s="2289"/>
      <c r="AX18" s="2268">
        <f t="shared" ref="AX18:BD18" si="55">$J$18</f>
        <v>0</v>
      </c>
      <c r="AY18" s="2268">
        <f t="shared" si="55"/>
        <v>0</v>
      </c>
      <c r="AZ18" s="2268">
        <f t="shared" si="55"/>
        <v>0</v>
      </c>
      <c r="BA18" s="2268">
        <f t="shared" si="55"/>
        <v>0</v>
      </c>
      <c r="BB18" s="2268">
        <f t="shared" si="55"/>
        <v>0</v>
      </c>
      <c r="BC18" s="2268">
        <f t="shared" si="55"/>
        <v>0</v>
      </c>
      <c r="BD18" s="2268">
        <f t="shared" si="55"/>
        <v>0</v>
      </c>
      <c r="BE18" s="2289"/>
      <c r="BF18" s="1982">
        <f t="shared" si="47"/>
        <v>0</v>
      </c>
      <c r="BG18" s="2268">
        <f t="shared" si="36"/>
        <v>0</v>
      </c>
      <c r="BH18" s="1984">
        <f t="shared" si="48"/>
        <v>0</v>
      </c>
      <c r="BI18" s="1814"/>
      <c r="BJ18" s="1728">
        <f t="shared" ref="BJ18:BL18" si="56">$J$18</f>
        <v>0</v>
      </c>
      <c r="BK18" s="2268">
        <f t="shared" si="56"/>
        <v>0</v>
      </c>
      <c r="BL18" s="2268">
        <f t="shared" si="56"/>
        <v>0</v>
      </c>
      <c r="BM18" s="1814"/>
      <c r="BN18" s="1982">
        <f t="shared" si="24"/>
        <v>0</v>
      </c>
      <c r="BO18" s="2268">
        <f t="shared" si="25"/>
        <v>0</v>
      </c>
      <c r="BP18" s="1984">
        <f>BO18-BN18</f>
        <v>0</v>
      </c>
      <c r="BR18" s="1735">
        <v>0</v>
      </c>
      <c r="BS18" s="1768" t="e">
        <f t="shared" si="26"/>
        <v>#DIV/0!</v>
      </c>
      <c r="BT18" s="2928"/>
      <c r="BU18" s="1763">
        <f t="shared" si="27"/>
        <v>0</v>
      </c>
      <c r="BV18" s="1883" t="e">
        <f t="shared" si="28"/>
        <v>#DIV/0!</v>
      </c>
      <c r="BW18" s="1830"/>
      <c r="BX18" s="1761"/>
      <c r="BZ18" s="2933"/>
      <c r="CA18" s="1996">
        <v>22</v>
      </c>
      <c r="CB18" s="1997"/>
      <c r="CC18" s="1861"/>
      <c r="CD18" s="1860"/>
      <c r="CE18" s="1860"/>
      <c r="CF18" s="1860"/>
      <c r="CG18" s="1860"/>
      <c r="CH18" s="1860"/>
      <c r="CI18" s="1998"/>
    </row>
    <row r="19" spans="1:87" s="1777" customFormat="1" x14ac:dyDescent="0.2">
      <c r="B19" s="1987">
        <v>17</v>
      </c>
      <c r="C19" s="1987" t="s">
        <v>268</v>
      </c>
      <c r="D19" s="1836"/>
      <c r="E19" s="1746">
        <v>0</v>
      </c>
      <c r="F19" s="1746"/>
      <c r="G19" s="1746"/>
      <c r="H19" s="1746"/>
      <c r="I19" s="1746"/>
      <c r="J19" s="1746">
        <f t="shared" si="29"/>
        <v>0</v>
      </c>
      <c r="K19" s="2583">
        <f t="shared" si="18"/>
        <v>0</v>
      </c>
      <c r="L19" s="1866"/>
      <c r="M19" s="1867"/>
      <c r="N19" s="1746"/>
      <c r="O19" s="1746"/>
      <c r="P19" s="1746"/>
      <c r="Q19" s="1746"/>
      <c r="R19" s="1746"/>
      <c r="S19" s="1746">
        <f t="shared" ref="S19" si="57">$J$19</f>
        <v>0</v>
      </c>
      <c r="T19" s="1746"/>
      <c r="U19" s="1801"/>
      <c r="V19" s="1989">
        <f t="shared" si="52"/>
        <v>0</v>
      </c>
      <c r="W19" s="1990">
        <f t="shared" ref="W19:W38" si="58">($V$3*K19)*$V$5</f>
        <v>0</v>
      </c>
      <c r="X19" s="1991">
        <f t="shared" si="39"/>
        <v>0</v>
      </c>
      <c r="Y19" s="1788"/>
      <c r="Z19" s="1746"/>
      <c r="AA19" s="1746"/>
      <c r="AB19" s="1746"/>
      <c r="AC19" s="1746">
        <f t="shared" ref="AC19:AF19" si="59">$J$19</f>
        <v>0</v>
      </c>
      <c r="AD19" s="1746">
        <f t="shared" si="59"/>
        <v>0</v>
      </c>
      <c r="AE19" s="1746">
        <f t="shared" si="59"/>
        <v>0</v>
      </c>
      <c r="AF19" s="1746">
        <f t="shared" si="59"/>
        <v>0</v>
      </c>
      <c r="AG19" s="1788"/>
      <c r="AH19" s="1989">
        <f t="shared" si="41"/>
        <v>0</v>
      </c>
      <c r="AI19" s="1990">
        <f t="shared" si="32"/>
        <v>0</v>
      </c>
      <c r="AJ19" s="1991">
        <f t="shared" si="42"/>
        <v>0</v>
      </c>
      <c r="AK19" s="1788"/>
      <c r="AL19" s="1990">
        <f t="shared" ref="AL19:AR19" si="60">$J$19</f>
        <v>0</v>
      </c>
      <c r="AM19" s="1990">
        <f t="shared" si="60"/>
        <v>0</v>
      </c>
      <c r="AN19" s="1990">
        <f t="shared" si="60"/>
        <v>0</v>
      </c>
      <c r="AO19" s="1990">
        <f t="shared" si="60"/>
        <v>0</v>
      </c>
      <c r="AP19" s="1990">
        <f t="shared" si="60"/>
        <v>0</v>
      </c>
      <c r="AQ19" s="1990">
        <f t="shared" si="60"/>
        <v>0</v>
      </c>
      <c r="AR19" s="1990">
        <f t="shared" si="60"/>
        <v>0</v>
      </c>
      <c r="AS19" s="2290"/>
      <c r="AT19" s="1989">
        <f t="shared" si="44"/>
        <v>0</v>
      </c>
      <c r="AU19" s="1990">
        <f t="shared" si="34"/>
        <v>0</v>
      </c>
      <c r="AV19" s="1991">
        <f t="shared" si="45"/>
        <v>0</v>
      </c>
      <c r="AW19" s="2290"/>
      <c r="AX19" s="1990">
        <f t="shared" ref="AX19:BD19" si="61">$J$19</f>
        <v>0</v>
      </c>
      <c r="AY19" s="1990">
        <f t="shared" si="61"/>
        <v>0</v>
      </c>
      <c r="AZ19" s="1990">
        <f t="shared" si="61"/>
        <v>0</v>
      </c>
      <c r="BA19" s="1990">
        <f t="shared" si="61"/>
        <v>0</v>
      </c>
      <c r="BB19" s="1990">
        <f t="shared" si="61"/>
        <v>0</v>
      </c>
      <c r="BC19" s="1990">
        <f t="shared" si="61"/>
        <v>0</v>
      </c>
      <c r="BD19" s="1990">
        <f t="shared" si="61"/>
        <v>0</v>
      </c>
      <c r="BE19" s="2290"/>
      <c r="BF19" s="1989">
        <f t="shared" si="47"/>
        <v>0</v>
      </c>
      <c r="BG19" s="1990">
        <f t="shared" si="36"/>
        <v>0</v>
      </c>
      <c r="BH19" s="1991">
        <f t="shared" si="48"/>
        <v>0</v>
      </c>
      <c r="BI19" s="1801"/>
      <c r="BJ19" s="1746">
        <f t="shared" ref="BJ19:BL19" si="62">$J$19</f>
        <v>0</v>
      </c>
      <c r="BK19" s="1990">
        <f t="shared" si="62"/>
        <v>0</v>
      </c>
      <c r="BL19" s="1990">
        <f t="shared" si="62"/>
        <v>0</v>
      </c>
      <c r="BM19" s="1801"/>
      <c r="BN19" s="1989">
        <f t="shared" si="24"/>
        <v>0</v>
      </c>
      <c r="BO19" s="1990">
        <f t="shared" si="25"/>
        <v>0</v>
      </c>
      <c r="BP19" s="1991">
        <f>BO19-BN19</f>
        <v>0</v>
      </c>
      <c r="BR19" s="1750">
        <v>0</v>
      </c>
      <c r="BS19" s="1871" t="e">
        <f t="shared" si="26"/>
        <v>#DIV/0!</v>
      </c>
      <c r="BT19" s="1795"/>
      <c r="BU19" s="1935">
        <f t="shared" si="27"/>
        <v>0</v>
      </c>
      <c r="BV19" s="1930" t="e">
        <f t="shared" si="28"/>
        <v>#DIV/0!</v>
      </c>
      <c r="BW19" s="1802"/>
      <c r="BX19" s="1783"/>
      <c r="BZ19" s="1916"/>
      <c r="CA19" s="1992">
        <v>43861</v>
      </c>
      <c r="CB19" s="1993"/>
      <c r="CC19" s="1994"/>
      <c r="CD19" s="1923"/>
      <c r="CE19" s="1923"/>
      <c r="CF19" s="1923"/>
      <c r="CG19" s="1923"/>
      <c r="CH19" s="1923"/>
      <c r="CI19" s="1995"/>
    </row>
    <row r="20" spans="1:87" s="1756" customFormat="1" x14ac:dyDescent="0.2">
      <c r="B20" s="1963">
        <v>18</v>
      </c>
      <c r="C20" s="1963" t="s">
        <v>211</v>
      </c>
      <c r="D20" s="2578"/>
      <c r="E20" s="1728">
        <v>150</v>
      </c>
      <c r="F20" s="1728"/>
      <c r="G20" s="1728"/>
      <c r="H20" s="1728"/>
      <c r="I20" s="1728"/>
      <c r="J20" s="1728">
        <f t="shared" si="29"/>
        <v>4.838709677419355</v>
      </c>
      <c r="K20" s="1729">
        <f t="shared" si="18"/>
        <v>7.360611389794236E-2</v>
      </c>
      <c r="L20" s="1931"/>
      <c r="M20" s="1924"/>
      <c r="N20" s="1728"/>
      <c r="O20" s="1728"/>
      <c r="P20" s="1728"/>
      <c r="Q20" s="1728"/>
      <c r="R20" s="1728"/>
      <c r="S20" s="1728">
        <f t="shared" ref="S20" si="63">$J$20</f>
        <v>4.838709677419355</v>
      </c>
      <c r="T20" s="1728"/>
      <c r="U20" s="1814"/>
      <c r="V20" s="1982">
        <f t="shared" si="52"/>
        <v>4.838709677419355</v>
      </c>
      <c r="W20" s="2268">
        <f t="shared" si="58"/>
        <v>2.50260787253004</v>
      </c>
      <c r="X20" s="1984">
        <f t="shared" si="39"/>
        <v>-2.336101804889315</v>
      </c>
      <c r="Y20" s="1764"/>
      <c r="Z20" s="1728"/>
      <c r="AA20" s="1728"/>
      <c r="AB20" s="1728"/>
      <c r="AC20" s="1728">
        <f t="shared" ref="AC20:AF20" si="64">$J$20</f>
        <v>4.838709677419355</v>
      </c>
      <c r="AD20" s="1728">
        <f t="shared" si="64"/>
        <v>4.838709677419355</v>
      </c>
      <c r="AE20" s="1728">
        <f t="shared" si="64"/>
        <v>4.838709677419355</v>
      </c>
      <c r="AF20" s="1728">
        <f t="shared" si="64"/>
        <v>4.838709677419355</v>
      </c>
      <c r="AG20" s="1764"/>
      <c r="AH20" s="1982">
        <f t="shared" si="41"/>
        <v>19.35483870967742</v>
      </c>
      <c r="AI20" s="2268">
        <f t="shared" si="32"/>
        <v>13.44099164056156</v>
      </c>
      <c r="AJ20" s="1984">
        <f t="shared" si="42"/>
        <v>-5.9138470691158602</v>
      </c>
      <c r="AK20" s="1764"/>
      <c r="AL20" s="2268">
        <f t="shared" ref="AL20:AR20" si="65">$J$20</f>
        <v>4.838709677419355</v>
      </c>
      <c r="AM20" s="2268">
        <f t="shared" si="65"/>
        <v>4.838709677419355</v>
      </c>
      <c r="AN20" s="2268">
        <f t="shared" si="65"/>
        <v>4.838709677419355</v>
      </c>
      <c r="AO20" s="2268">
        <f t="shared" si="65"/>
        <v>4.838709677419355</v>
      </c>
      <c r="AP20" s="2268">
        <f t="shared" si="65"/>
        <v>4.838709677419355</v>
      </c>
      <c r="AQ20" s="2268">
        <f t="shared" si="65"/>
        <v>4.838709677419355</v>
      </c>
      <c r="AR20" s="2268">
        <f t="shared" si="65"/>
        <v>4.838709677419355</v>
      </c>
      <c r="AS20" s="2289"/>
      <c r="AT20" s="1982">
        <f t="shared" si="44"/>
        <v>33.870967741935488</v>
      </c>
      <c r="AU20" s="2268">
        <f t="shared" si="34"/>
        <v>31.859449521243683</v>
      </c>
      <c r="AV20" s="1984">
        <f t="shared" si="45"/>
        <v>-2.011518220691805</v>
      </c>
      <c r="AW20" s="2289"/>
      <c r="AX20" s="2268">
        <f t="shared" ref="AX20:BD20" si="66">$J$20</f>
        <v>4.838709677419355</v>
      </c>
      <c r="AY20" s="2268">
        <f t="shared" si="66"/>
        <v>4.838709677419355</v>
      </c>
      <c r="AZ20" s="2268">
        <f t="shared" si="66"/>
        <v>4.838709677419355</v>
      </c>
      <c r="BA20" s="2268">
        <f t="shared" si="66"/>
        <v>4.838709677419355</v>
      </c>
      <c r="BB20" s="2268">
        <f t="shared" si="66"/>
        <v>4.838709677419355</v>
      </c>
      <c r="BC20" s="2268">
        <f t="shared" si="66"/>
        <v>4.838709677419355</v>
      </c>
      <c r="BD20" s="2268">
        <f t="shared" si="66"/>
        <v>4.838709677419355</v>
      </c>
      <c r="BE20" s="2289"/>
      <c r="BF20" s="1982">
        <f t="shared" si="47"/>
        <v>33.870967741935488</v>
      </c>
      <c r="BG20" s="2268">
        <f t="shared" si="36"/>
        <v>54.344424376445424</v>
      </c>
      <c r="BH20" s="1984">
        <f t="shared" si="48"/>
        <v>20.473456634509937</v>
      </c>
      <c r="BI20" s="1814"/>
      <c r="BJ20" s="1728">
        <f t="shared" ref="BJ20:BL20" si="67">$J$20</f>
        <v>4.838709677419355</v>
      </c>
      <c r="BK20" s="2268">
        <f t="shared" si="67"/>
        <v>4.838709677419355</v>
      </c>
      <c r="BL20" s="2268">
        <f t="shared" si="67"/>
        <v>4.838709677419355</v>
      </c>
      <c r="BM20" s="1814"/>
      <c r="BN20" s="1982">
        <f t="shared" si="24"/>
        <v>14.516129032258064</v>
      </c>
      <c r="BO20" s="2268">
        <f t="shared" si="25"/>
        <v>26.337813281075636</v>
      </c>
      <c r="BP20" s="1984">
        <f>BO20-BN20</f>
        <v>11.821684248817572</v>
      </c>
      <c r="BR20" s="1735">
        <v>0</v>
      </c>
      <c r="BS20" s="1768">
        <f t="shared" si="26"/>
        <v>0</v>
      </c>
      <c r="BT20" s="2928"/>
      <c r="BU20" s="1763">
        <f t="shared" si="27"/>
        <v>106.45161290322581</v>
      </c>
      <c r="BV20" s="1883">
        <f t="shared" si="28"/>
        <v>0.70967741935483875</v>
      </c>
      <c r="BW20" s="1830"/>
      <c r="BX20" s="1761"/>
      <c r="BZ20" s="2933"/>
      <c r="CA20" s="2015">
        <v>43861</v>
      </c>
      <c r="CB20" s="1997"/>
      <c r="CC20" s="1861"/>
      <c r="CD20" s="1860"/>
      <c r="CE20" s="1860"/>
      <c r="CF20" s="1860"/>
      <c r="CG20" s="1860"/>
      <c r="CH20" s="1860"/>
      <c r="CI20" s="1998"/>
    </row>
    <row r="21" spans="1:87" s="1947" customFormat="1" x14ac:dyDescent="0.2">
      <c r="B21" s="2000">
        <v>19</v>
      </c>
      <c r="C21" s="2000" t="s">
        <v>199</v>
      </c>
      <c r="D21" s="2579"/>
      <c r="E21" s="2001">
        <v>0</v>
      </c>
      <c r="F21" s="2001">
        <v>0</v>
      </c>
      <c r="G21" s="2001">
        <v>0</v>
      </c>
      <c r="H21" s="2001">
        <v>0</v>
      </c>
      <c r="I21" s="2001">
        <v>0</v>
      </c>
      <c r="J21" s="2001">
        <f t="shared" si="29"/>
        <v>0</v>
      </c>
      <c r="K21" s="2584">
        <f t="shared" si="18"/>
        <v>0</v>
      </c>
      <c r="L21" s="2003"/>
      <c r="M21" s="1950"/>
      <c r="N21" s="2001"/>
      <c r="O21" s="2001"/>
      <c r="P21" s="2001"/>
      <c r="Q21" s="2001"/>
      <c r="R21" s="2001"/>
      <c r="S21" s="2001">
        <f t="shared" ref="S21" si="68">$J$21</f>
        <v>0</v>
      </c>
      <c r="T21" s="2001"/>
      <c r="U21" s="1951"/>
      <c r="V21" s="2004">
        <f t="shared" si="52"/>
        <v>0</v>
      </c>
      <c r="W21" s="2005">
        <f t="shared" si="58"/>
        <v>0</v>
      </c>
      <c r="X21" s="2006">
        <f t="shared" si="39"/>
        <v>0</v>
      </c>
      <c r="Y21" s="1955"/>
      <c r="Z21" s="2001"/>
      <c r="AA21" s="2001"/>
      <c r="AB21" s="2001"/>
      <c r="AC21" s="2001">
        <f t="shared" ref="AC21:AF21" si="69">$J$21</f>
        <v>0</v>
      </c>
      <c r="AD21" s="2001">
        <f t="shared" si="69"/>
        <v>0</v>
      </c>
      <c r="AE21" s="2001">
        <f t="shared" si="69"/>
        <v>0</v>
      </c>
      <c r="AF21" s="2001">
        <f t="shared" si="69"/>
        <v>0</v>
      </c>
      <c r="AG21" s="1955"/>
      <c r="AH21" s="2004">
        <f t="shared" si="41"/>
        <v>0</v>
      </c>
      <c r="AI21" s="2005">
        <f t="shared" si="32"/>
        <v>0</v>
      </c>
      <c r="AJ21" s="2006">
        <f t="shared" si="42"/>
        <v>0</v>
      </c>
      <c r="AK21" s="1955"/>
      <c r="AL21" s="2005">
        <f t="shared" ref="AL21:AR21" si="70">$J$21</f>
        <v>0</v>
      </c>
      <c r="AM21" s="2005">
        <f t="shared" si="70"/>
        <v>0</v>
      </c>
      <c r="AN21" s="2005">
        <f t="shared" si="70"/>
        <v>0</v>
      </c>
      <c r="AO21" s="2005">
        <f t="shared" si="70"/>
        <v>0</v>
      </c>
      <c r="AP21" s="2005">
        <f t="shared" si="70"/>
        <v>0</v>
      </c>
      <c r="AQ21" s="2005">
        <f t="shared" si="70"/>
        <v>0</v>
      </c>
      <c r="AR21" s="2005">
        <f t="shared" si="70"/>
        <v>0</v>
      </c>
      <c r="AS21" s="2299"/>
      <c r="AT21" s="2004">
        <f t="shared" si="44"/>
        <v>0</v>
      </c>
      <c r="AU21" s="2005">
        <f t="shared" si="34"/>
        <v>0</v>
      </c>
      <c r="AV21" s="2006">
        <f t="shared" si="45"/>
        <v>0</v>
      </c>
      <c r="AW21" s="2299"/>
      <c r="AX21" s="2005">
        <f t="shared" ref="AX21:BD21" si="71">$J$21</f>
        <v>0</v>
      </c>
      <c r="AY21" s="2005">
        <f t="shared" si="71"/>
        <v>0</v>
      </c>
      <c r="AZ21" s="2005">
        <f t="shared" si="71"/>
        <v>0</v>
      </c>
      <c r="BA21" s="2005">
        <f t="shared" si="71"/>
        <v>0</v>
      </c>
      <c r="BB21" s="2005">
        <f t="shared" si="71"/>
        <v>0</v>
      </c>
      <c r="BC21" s="2005">
        <f t="shared" si="71"/>
        <v>0</v>
      </c>
      <c r="BD21" s="2005">
        <f t="shared" si="71"/>
        <v>0</v>
      </c>
      <c r="BE21" s="2299"/>
      <c r="BF21" s="2004">
        <f t="shared" si="47"/>
        <v>0</v>
      </c>
      <c r="BG21" s="2005">
        <f t="shared" si="36"/>
        <v>0</v>
      </c>
      <c r="BH21" s="2006">
        <f t="shared" si="48"/>
        <v>0</v>
      </c>
      <c r="BI21" s="1951"/>
      <c r="BJ21" s="2001">
        <f t="shared" ref="BJ21:BL21" si="72">$J$21</f>
        <v>0</v>
      </c>
      <c r="BK21" s="2005">
        <f t="shared" si="72"/>
        <v>0</v>
      </c>
      <c r="BL21" s="2005">
        <f t="shared" si="72"/>
        <v>0</v>
      </c>
      <c r="BM21" s="1951"/>
      <c r="BN21" s="2004">
        <f t="shared" si="24"/>
        <v>0</v>
      </c>
      <c r="BO21" s="2005">
        <f t="shared" si="25"/>
        <v>0</v>
      </c>
      <c r="BP21" s="2006">
        <f>BO21-BN21</f>
        <v>0</v>
      </c>
      <c r="BR21" s="2007">
        <v>0</v>
      </c>
      <c r="BS21" s="2008" t="e">
        <f t="shared" si="26"/>
        <v>#DIV/0!</v>
      </c>
      <c r="BT21" s="1959"/>
      <c r="BU21" s="1901">
        <f t="shared" si="27"/>
        <v>0</v>
      </c>
      <c r="BV21" s="1902" t="e">
        <f t="shared" si="28"/>
        <v>#DIV/0!</v>
      </c>
      <c r="BW21" s="1962"/>
      <c r="BX21" s="1905"/>
      <c r="BZ21" s="2929"/>
      <c r="CA21" s="2479">
        <f>CA20-CA19</f>
        <v>0</v>
      </c>
      <c r="CB21" s="2010"/>
      <c r="CC21" s="2011"/>
      <c r="CD21" s="1946"/>
      <c r="CE21" s="1946"/>
      <c r="CF21" s="1946"/>
      <c r="CG21" s="1946"/>
      <c r="CH21" s="1946"/>
      <c r="CI21" s="2012"/>
    </row>
    <row r="22" spans="1:87" s="1756" customFormat="1" x14ac:dyDescent="0.2">
      <c r="B22" s="1963">
        <v>20</v>
      </c>
      <c r="C22" s="1963" t="s">
        <v>239</v>
      </c>
      <c r="D22" s="2578"/>
      <c r="E22" s="1728">
        <v>150</v>
      </c>
      <c r="F22" s="1728"/>
      <c r="G22" s="1728"/>
      <c r="H22" s="1728"/>
      <c r="I22" s="1728"/>
      <c r="J22" s="1728">
        <f t="shared" si="29"/>
        <v>4.838709677419355</v>
      </c>
      <c r="K22" s="1729">
        <f t="shared" si="18"/>
        <v>7.360611389794236E-2</v>
      </c>
      <c r="L22" s="1931"/>
      <c r="M22" s="1924"/>
      <c r="N22" s="1728"/>
      <c r="O22" s="1728"/>
      <c r="P22" s="1728"/>
      <c r="Q22" s="1728"/>
      <c r="R22" s="1728"/>
      <c r="S22" s="1728">
        <f t="shared" ref="S22" si="73">$J$22</f>
        <v>4.838709677419355</v>
      </c>
      <c r="T22" s="1728"/>
      <c r="U22" s="1814"/>
      <c r="V22" s="1982">
        <f t="shared" si="52"/>
        <v>4.838709677419355</v>
      </c>
      <c r="W22" s="2268">
        <f t="shared" si="58"/>
        <v>2.50260787253004</v>
      </c>
      <c r="X22" s="1984">
        <f t="shared" si="39"/>
        <v>-2.336101804889315</v>
      </c>
      <c r="Y22" s="1764"/>
      <c r="Z22" s="1728"/>
      <c r="AA22" s="1728"/>
      <c r="AB22" s="1728"/>
      <c r="AC22" s="1728">
        <f t="shared" ref="AC22:AF22" si="74">$J$22</f>
        <v>4.838709677419355</v>
      </c>
      <c r="AD22" s="1728">
        <f t="shared" si="74"/>
        <v>4.838709677419355</v>
      </c>
      <c r="AE22" s="1728">
        <f t="shared" si="74"/>
        <v>4.838709677419355</v>
      </c>
      <c r="AF22" s="1728">
        <f t="shared" si="74"/>
        <v>4.838709677419355</v>
      </c>
      <c r="AG22" s="1764"/>
      <c r="AH22" s="1982">
        <f t="shared" si="41"/>
        <v>19.35483870967742</v>
      </c>
      <c r="AI22" s="2268">
        <f t="shared" si="32"/>
        <v>13.44099164056156</v>
      </c>
      <c r="AJ22" s="1984">
        <f t="shared" si="42"/>
        <v>-5.9138470691158602</v>
      </c>
      <c r="AK22" s="1764"/>
      <c r="AL22" s="2268">
        <f t="shared" ref="AL22:AR22" si="75">$J$22</f>
        <v>4.838709677419355</v>
      </c>
      <c r="AM22" s="2268">
        <f t="shared" si="75"/>
        <v>4.838709677419355</v>
      </c>
      <c r="AN22" s="2268">
        <f t="shared" si="75"/>
        <v>4.838709677419355</v>
      </c>
      <c r="AO22" s="2268">
        <f t="shared" si="75"/>
        <v>4.838709677419355</v>
      </c>
      <c r="AP22" s="2268">
        <f t="shared" si="75"/>
        <v>4.838709677419355</v>
      </c>
      <c r="AQ22" s="2268">
        <f t="shared" si="75"/>
        <v>4.838709677419355</v>
      </c>
      <c r="AR22" s="2268">
        <f t="shared" si="75"/>
        <v>4.838709677419355</v>
      </c>
      <c r="AS22" s="2289"/>
      <c r="AT22" s="1982">
        <f t="shared" si="44"/>
        <v>33.870967741935488</v>
      </c>
      <c r="AU22" s="2268">
        <f t="shared" si="34"/>
        <v>31.859449521243683</v>
      </c>
      <c r="AV22" s="1984">
        <f t="shared" si="45"/>
        <v>-2.011518220691805</v>
      </c>
      <c r="AW22" s="2289"/>
      <c r="AX22" s="2268">
        <f t="shared" ref="AX22:BD22" si="76">$J$22</f>
        <v>4.838709677419355</v>
      </c>
      <c r="AY22" s="2268">
        <f t="shared" si="76"/>
        <v>4.838709677419355</v>
      </c>
      <c r="AZ22" s="2268">
        <f t="shared" si="76"/>
        <v>4.838709677419355</v>
      </c>
      <c r="BA22" s="2268">
        <f t="shared" si="76"/>
        <v>4.838709677419355</v>
      </c>
      <c r="BB22" s="2268">
        <f t="shared" si="76"/>
        <v>4.838709677419355</v>
      </c>
      <c r="BC22" s="2268">
        <f t="shared" si="76"/>
        <v>4.838709677419355</v>
      </c>
      <c r="BD22" s="2268">
        <f t="shared" si="76"/>
        <v>4.838709677419355</v>
      </c>
      <c r="BE22" s="2289"/>
      <c r="BF22" s="1982">
        <f t="shared" si="47"/>
        <v>33.870967741935488</v>
      </c>
      <c r="BG22" s="2268">
        <f t="shared" si="36"/>
        <v>54.344424376445424</v>
      </c>
      <c r="BH22" s="1984">
        <f t="shared" si="48"/>
        <v>20.473456634509937</v>
      </c>
      <c r="BI22" s="1814"/>
      <c r="BJ22" s="1728">
        <f t="shared" ref="BJ22:BL22" si="77">$J$22</f>
        <v>4.838709677419355</v>
      </c>
      <c r="BK22" s="2268">
        <f t="shared" si="77"/>
        <v>4.838709677419355</v>
      </c>
      <c r="BL22" s="2268">
        <f t="shared" si="77"/>
        <v>4.838709677419355</v>
      </c>
      <c r="BM22" s="1814"/>
      <c r="BN22" s="1982">
        <f t="shared" si="24"/>
        <v>14.516129032258064</v>
      </c>
      <c r="BO22" s="2268">
        <f t="shared" si="25"/>
        <v>26.337813281075636</v>
      </c>
      <c r="BP22" s="1984">
        <f t="shared" ref="BP22:BP38" si="78">BO22-BN22</f>
        <v>11.821684248817572</v>
      </c>
      <c r="BR22" s="1735">
        <v>0</v>
      </c>
      <c r="BS22" s="1768">
        <f t="shared" si="26"/>
        <v>0</v>
      </c>
      <c r="BT22" s="2928"/>
      <c r="BU22" s="1763">
        <f t="shared" si="27"/>
        <v>106.45161290322581</v>
      </c>
      <c r="BV22" s="1883">
        <f t="shared" si="28"/>
        <v>0.70967741935483875</v>
      </c>
      <c r="BW22" s="1830"/>
      <c r="BX22" s="1761"/>
      <c r="BZ22" s="2933"/>
      <c r="CA22" s="1985"/>
      <c r="CB22" s="1997"/>
      <c r="CC22" s="1861"/>
      <c r="CD22" s="1860"/>
      <c r="CE22" s="1860"/>
      <c r="CF22" s="1860"/>
      <c r="CG22" s="1860"/>
      <c r="CH22" s="1860"/>
      <c r="CI22" s="1998"/>
    </row>
    <row r="23" spans="1:87" s="1777" customFormat="1" x14ac:dyDescent="0.2">
      <c r="B23" s="1987">
        <v>21</v>
      </c>
      <c r="C23" s="1987" t="s">
        <v>255</v>
      </c>
      <c r="D23" s="1836"/>
      <c r="E23" s="1746">
        <v>50</v>
      </c>
      <c r="F23" s="1746"/>
      <c r="G23" s="1746"/>
      <c r="H23" s="1746"/>
      <c r="I23" s="1746"/>
      <c r="J23" s="1746">
        <f t="shared" si="29"/>
        <v>1.6129032258064515</v>
      </c>
      <c r="K23" s="2583">
        <f t="shared" si="18"/>
        <v>2.4535371299314119E-2</v>
      </c>
      <c r="L23" s="1866"/>
      <c r="M23" s="1867"/>
      <c r="N23" s="1746"/>
      <c r="O23" s="1746"/>
      <c r="P23" s="1746"/>
      <c r="Q23" s="1746"/>
      <c r="R23" s="1746"/>
      <c r="S23" s="1746">
        <f t="shared" ref="S23" si="79">$J$23</f>
        <v>1.6129032258064515</v>
      </c>
      <c r="T23" s="1746"/>
      <c r="U23" s="1801"/>
      <c r="V23" s="1989">
        <f t="shared" si="52"/>
        <v>1.6129032258064515</v>
      </c>
      <c r="W23" s="1990">
        <f t="shared" si="58"/>
        <v>0.83420262417668001</v>
      </c>
      <c r="X23" s="1991">
        <f t="shared" si="39"/>
        <v>-0.7787006016297715</v>
      </c>
      <c r="Y23" s="1788"/>
      <c r="Z23" s="1746"/>
      <c r="AA23" s="1746"/>
      <c r="AB23" s="1746"/>
      <c r="AC23" s="1746">
        <f t="shared" ref="AC23:AF23" si="80">$J$23</f>
        <v>1.6129032258064515</v>
      </c>
      <c r="AD23" s="1746">
        <f t="shared" si="80"/>
        <v>1.6129032258064515</v>
      </c>
      <c r="AE23" s="1746">
        <f t="shared" si="80"/>
        <v>1.6129032258064515</v>
      </c>
      <c r="AF23" s="1746">
        <f t="shared" si="80"/>
        <v>1.6129032258064515</v>
      </c>
      <c r="AG23" s="1788"/>
      <c r="AH23" s="1989">
        <f t="shared" si="41"/>
        <v>6.4516129032258061</v>
      </c>
      <c r="AI23" s="1990">
        <f t="shared" si="32"/>
        <v>4.4803305468538532</v>
      </c>
      <c r="AJ23" s="1991">
        <f t="shared" si="42"/>
        <v>-1.9712823563719528</v>
      </c>
      <c r="AK23" s="1788"/>
      <c r="AL23" s="1990">
        <f t="shared" ref="AL23:AR23" si="81">$J$23</f>
        <v>1.6129032258064515</v>
      </c>
      <c r="AM23" s="1990">
        <f t="shared" si="81"/>
        <v>1.6129032258064515</v>
      </c>
      <c r="AN23" s="1990">
        <f t="shared" si="81"/>
        <v>1.6129032258064515</v>
      </c>
      <c r="AO23" s="1990">
        <f t="shared" si="81"/>
        <v>1.6129032258064515</v>
      </c>
      <c r="AP23" s="1990">
        <f t="shared" si="81"/>
        <v>1.6129032258064515</v>
      </c>
      <c r="AQ23" s="1990">
        <f t="shared" si="81"/>
        <v>1.6129032258064515</v>
      </c>
      <c r="AR23" s="1990">
        <f t="shared" si="81"/>
        <v>1.6129032258064515</v>
      </c>
      <c r="AS23" s="2290"/>
      <c r="AT23" s="1989">
        <f t="shared" si="44"/>
        <v>11.290322580645162</v>
      </c>
      <c r="AU23" s="1990">
        <f t="shared" si="34"/>
        <v>10.619816507081227</v>
      </c>
      <c r="AV23" s="1991">
        <f t="shared" si="45"/>
        <v>-0.67050607356393499</v>
      </c>
      <c r="AW23" s="2290"/>
      <c r="AX23" s="1990">
        <f t="shared" ref="AX23:BD23" si="82">$J$23</f>
        <v>1.6129032258064515</v>
      </c>
      <c r="AY23" s="1990">
        <f t="shared" si="82"/>
        <v>1.6129032258064515</v>
      </c>
      <c r="AZ23" s="1990">
        <f t="shared" si="82"/>
        <v>1.6129032258064515</v>
      </c>
      <c r="BA23" s="1990">
        <f t="shared" si="82"/>
        <v>1.6129032258064515</v>
      </c>
      <c r="BB23" s="1990">
        <f t="shared" si="82"/>
        <v>1.6129032258064515</v>
      </c>
      <c r="BC23" s="1990">
        <f t="shared" si="82"/>
        <v>1.6129032258064515</v>
      </c>
      <c r="BD23" s="1990">
        <f t="shared" si="82"/>
        <v>1.6129032258064515</v>
      </c>
      <c r="BE23" s="2290"/>
      <c r="BF23" s="1989">
        <f t="shared" si="47"/>
        <v>11.290322580645162</v>
      </c>
      <c r="BG23" s="1990">
        <f t="shared" si="36"/>
        <v>18.114808125481808</v>
      </c>
      <c r="BH23" s="1991">
        <f t="shared" si="48"/>
        <v>6.8244855448366462</v>
      </c>
      <c r="BI23" s="1801"/>
      <c r="BJ23" s="1746">
        <f t="shared" ref="BJ23:BL23" si="83">$J$23</f>
        <v>1.6129032258064515</v>
      </c>
      <c r="BK23" s="1990">
        <f t="shared" si="83"/>
        <v>1.6129032258064515</v>
      </c>
      <c r="BL23" s="1990">
        <f t="shared" si="83"/>
        <v>1.6129032258064515</v>
      </c>
      <c r="BM23" s="1801"/>
      <c r="BN23" s="1989">
        <f t="shared" si="24"/>
        <v>4.8387096774193541</v>
      </c>
      <c r="BO23" s="1990">
        <f t="shared" si="25"/>
        <v>8.779271093691877</v>
      </c>
      <c r="BP23" s="1991">
        <f t="shared" si="78"/>
        <v>3.9405614162725229</v>
      </c>
      <c r="BR23" s="1750">
        <v>0</v>
      </c>
      <c r="BS23" s="1871">
        <f t="shared" si="26"/>
        <v>0</v>
      </c>
      <c r="BT23" s="1795"/>
      <c r="BU23" s="1935">
        <f t="shared" si="27"/>
        <v>35.483870967741936</v>
      </c>
      <c r="BV23" s="1930">
        <f t="shared" si="28"/>
        <v>0.70967741935483875</v>
      </c>
      <c r="BW23" s="1802"/>
      <c r="BX23" s="1783"/>
      <c r="BZ23" s="1916"/>
      <c r="CA23" s="2029"/>
      <c r="CB23" s="1993" t="s">
        <v>157</v>
      </c>
      <c r="CC23" s="2952">
        <f>BU1</f>
        <v>0.70967741935483875</v>
      </c>
      <c r="CD23" s="1923"/>
      <c r="CE23" s="1923"/>
      <c r="CF23" s="1923"/>
      <c r="CG23" s="1923"/>
      <c r="CH23" s="1923"/>
      <c r="CI23" s="1995"/>
    </row>
    <row r="24" spans="1:87" s="1726" customFormat="1" x14ac:dyDescent="0.2">
      <c r="A24" s="1756"/>
      <c r="B24" s="1963">
        <v>22</v>
      </c>
      <c r="C24" s="1963" t="s">
        <v>247</v>
      </c>
      <c r="D24" s="2578"/>
      <c r="E24" s="1728">
        <v>0</v>
      </c>
      <c r="F24" s="1728">
        <v>0</v>
      </c>
      <c r="G24" s="1728">
        <v>0</v>
      </c>
      <c r="H24" s="1728">
        <v>0</v>
      </c>
      <c r="I24" s="1728">
        <v>0</v>
      </c>
      <c r="J24" s="1728">
        <f t="shared" si="29"/>
        <v>0</v>
      </c>
      <c r="K24" s="1729">
        <f t="shared" si="18"/>
        <v>0</v>
      </c>
      <c r="L24" s="1931"/>
      <c r="M24" s="1877"/>
      <c r="N24" s="1728"/>
      <c r="O24" s="1728"/>
      <c r="P24" s="1728"/>
      <c r="Q24" s="1728"/>
      <c r="R24" s="1728"/>
      <c r="S24" s="1728">
        <f t="shared" ref="S24" si="84">$J$24</f>
        <v>0</v>
      </c>
      <c r="T24" s="1728"/>
      <c r="U24" s="2935"/>
      <c r="V24" s="1982">
        <f t="shared" si="52"/>
        <v>0</v>
      </c>
      <c r="W24" s="2268">
        <f t="shared" si="58"/>
        <v>0</v>
      </c>
      <c r="X24" s="1984">
        <f t="shared" si="39"/>
        <v>0</v>
      </c>
      <c r="Y24" s="1881"/>
      <c r="Z24" s="1728"/>
      <c r="AA24" s="1728"/>
      <c r="AB24" s="1728"/>
      <c r="AC24" s="1728">
        <f t="shared" ref="AC24:AF24" si="85">$J$24</f>
        <v>0</v>
      </c>
      <c r="AD24" s="1728">
        <f t="shared" si="85"/>
        <v>0</v>
      </c>
      <c r="AE24" s="1728">
        <f t="shared" si="85"/>
        <v>0</v>
      </c>
      <c r="AF24" s="1728">
        <f t="shared" si="85"/>
        <v>0</v>
      </c>
      <c r="AG24" s="1881"/>
      <c r="AH24" s="1982">
        <f t="shared" si="41"/>
        <v>0</v>
      </c>
      <c r="AI24" s="2268">
        <f t="shared" si="32"/>
        <v>0</v>
      </c>
      <c r="AJ24" s="1984">
        <f t="shared" si="42"/>
        <v>0</v>
      </c>
      <c r="AK24" s="1881"/>
      <c r="AL24" s="2268">
        <f t="shared" ref="AL24:AR24" si="86">$J$24</f>
        <v>0</v>
      </c>
      <c r="AM24" s="2268">
        <f t="shared" si="86"/>
        <v>0</v>
      </c>
      <c r="AN24" s="2268">
        <f t="shared" si="86"/>
        <v>0</v>
      </c>
      <c r="AO24" s="2268">
        <f t="shared" si="86"/>
        <v>0</v>
      </c>
      <c r="AP24" s="2268">
        <f t="shared" si="86"/>
        <v>0</v>
      </c>
      <c r="AQ24" s="2268">
        <f t="shared" si="86"/>
        <v>0</v>
      </c>
      <c r="AR24" s="2268">
        <f t="shared" si="86"/>
        <v>0</v>
      </c>
      <c r="AS24" s="2293"/>
      <c r="AT24" s="1982">
        <f t="shared" si="44"/>
        <v>0</v>
      </c>
      <c r="AU24" s="2268">
        <f t="shared" si="34"/>
        <v>0</v>
      </c>
      <c r="AV24" s="1984">
        <f t="shared" si="45"/>
        <v>0</v>
      </c>
      <c r="AW24" s="2293"/>
      <c r="AX24" s="2268">
        <f t="shared" ref="AX24:BD24" si="87">$J$24</f>
        <v>0</v>
      </c>
      <c r="AY24" s="2268">
        <f t="shared" si="87"/>
        <v>0</v>
      </c>
      <c r="AZ24" s="2268">
        <f t="shared" si="87"/>
        <v>0</v>
      </c>
      <c r="BA24" s="2268">
        <f t="shared" si="87"/>
        <v>0</v>
      </c>
      <c r="BB24" s="2268">
        <f t="shared" si="87"/>
        <v>0</v>
      </c>
      <c r="BC24" s="2268">
        <f t="shared" si="87"/>
        <v>0</v>
      </c>
      <c r="BD24" s="2268">
        <f t="shared" si="87"/>
        <v>0</v>
      </c>
      <c r="BE24" s="2293"/>
      <c r="BF24" s="1982">
        <f t="shared" si="47"/>
        <v>0</v>
      </c>
      <c r="BG24" s="2268">
        <f t="shared" si="36"/>
        <v>0</v>
      </c>
      <c r="BH24" s="1984">
        <f t="shared" si="48"/>
        <v>0</v>
      </c>
      <c r="BI24" s="2935"/>
      <c r="BJ24" s="1728">
        <f t="shared" ref="BJ24:BL24" si="88">$J$24</f>
        <v>0</v>
      </c>
      <c r="BK24" s="2268">
        <f t="shared" si="88"/>
        <v>0</v>
      </c>
      <c r="BL24" s="2268">
        <f t="shared" si="88"/>
        <v>0</v>
      </c>
      <c r="BM24" s="2935"/>
      <c r="BN24" s="1982">
        <f t="shared" si="24"/>
        <v>0</v>
      </c>
      <c r="BO24" s="2268">
        <f t="shared" si="25"/>
        <v>0</v>
      </c>
      <c r="BP24" s="1984">
        <f t="shared" si="78"/>
        <v>0</v>
      </c>
      <c r="BR24" s="1732">
        <v>0</v>
      </c>
      <c r="BS24" s="1882" t="e">
        <f t="shared" si="26"/>
        <v>#DIV/0!</v>
      </c>
      <c r="BT24" s="1740"/>
      <c r="BU24" s="1734">
        <f t="shared" si="27"/>
        <v>0</v>
      </c>
      <c r="BV24" s="1918" t="e">
        <f t="shared" si="28"/>
        <v>#DIV/0!</v>
      </c>
      <c r="BW24" s="1997"/>
      <c r="BX24" s="2933"/>
      <c r="BZ24" s="2014"/>
      <c r="CA24" s="2637"/>
      <c r="CB24" s="1962"/>
      <c r="CC24" s="2638"/>
      <c r="CD24" s="1810"/>
      <c r="CE24" s="1810"/>
      <c r="CF24" s="1810"/>
      <c r="CG24" s="1810"/>
      <c r="CH24" s="1810"/>
      <c r="CI24" s="1986"/>
    </row>
    <row r="25" spans="1:87" s="1885" customFormat="1" x14ac:dyDescent="0.2">
      <c r="A25" s="1947"/>
      <c r="B25" s="2000">
        <v>23</v>
      </c>
      <c r="C25" s="2000" t="s">
        <v>235</v>
      </c>
      <c r="D25" s="2579"/>
      <c r="E25" s="2001">
        <v>50</v>
      </c>
      <c r="F25" s="2001">
        <v>10</v>
      </c>
      <c r="G25" s="2001">
        <v>6.666666666666667</v>
      </c>
      <c r="H25" s="2001">
        <v>5</v>
      </c>
      <c r="I25" s="2001">
        <v>4</v>
      </c>
      <c r="J25" s="2001">
        <f t="shared" si="29"/>
        <v>1.6129032258064515</v>
      </c>
      <c r="K25" s="2584">
        <f t="shared" si="18"/>
        <v>2.4535371299314119E-2</v>
      </c>
      <c r="L25" s="1891"/>
      <c r="M25" s="1950"/>
      <c r="N25" s="2001"/>
      <c r="O25" s="2001"/>
      <c r="P25" s="2001"/>
      <c r="Q25" s="2001"/>
      <c r="R25" s="2001"/>
      <c r="S25" s="2001">
        <f t="shared" ref="S25" si="89">$J$25</f>
        <v>1.6129032258064515</v>
      </c>
      <c r="T25" s="2001"/>
      <c r="U25" s="2930"/>
      <c r="V25" s="2004">
        <f t="shared" si="52"/>
        <v>1.6129032258064515</v>
      </c>
      <c r="W25" s="2005">
        <f t="shared" si="58"/>
        <v>0.83420262417668001</v>
      </c>
      <c r="X25" s="2006">
        <f t="shared" si="39"/>
        <v>-0.7787006016297715</v>
      </c>
      <c r="Y25" s="1896"/>
      <c r="Z25" s="2001"/>
      <c r="AA25" s="2001"/>
      <c r="AB25" s="2001"/>
      <c r="AC25" s="2001">
        <f t="shared" ref="AC25:AF25" si="90">$J$25</f>
        <v>1.6129032258064515</v>
      </c>
      <c r="AD25" s="2001">
        <f t="shared" si="90"/>
        <v>1.6129032258064515</v>
      </c>
      <c r="AE25" s="2001">
        <f t="shared" si="90"/>
        <v>1.6129032258064515</v>
      </c>
      <c r="AF25" s="2001">
        <f t="shared" si="90"/>
        <v>1.6129032258064515</v>
      </c>
      <c r="AG25" s="1896"/>
      <c r="AH25" s="2004">
        <f t="shared" si="41"/>
        <v>6.4516129032258061</v>
      </c>
      <c r="AI25" s="2005">
        <f t="shared" si="32"/>
        <v>4.4803305468538532</v>
      </c>
      <c r="AJ25" s="2006">
        <f t="shared" si="42"/>
        <v>-1.9712823563719528</v>
      </c>
      <c r="AK25" s="1896"/>
      <c r="AL25" s="2005">
        <f t="shared" ref="AL25:AR25" si="91">$J$25</f>
        <v>1.6129032258064515</v>
      </c>
      <c r="AM25" s="2005">
        <f t="shared" si="91"/>
        <v>1.6129032258064515</v>
      </c>
      <c r="AN25" s="2005">
        <f t="shared" si="91"/>
        <v>1.6129032258064515</v>
      </c>
      <c r="AO25" s="2005">
        <f t="shared" si="91"/>
        <v>1.6129032258064515</v>
      </c>
      <c r="AP25" s="2005">
        <f t="shared" si="91"/>
        <v>1.6129032258064515</v>
      </c>
      <c r="AQ25" s="2005">
        <f t="shared" si="91"/>
        <v>1.6129032258064515</v>
      </c>
      <c r="AR25" s="2005">
        <f t="shared" si="91"/>
        <v>1.6129032258064515</v>
      </c>
      <c r="AS25" s="2295"/>
      <c r="AT25" s="2004">
        <f t="shared" si="44"/>
        <v>11.290322580645162</v>
      </c>
      <c r="AU25" s="2005">
        <f t="shared" si="34"/>
        <v>10.619816507081227</v>
      </c>
      <c r="AV25" s="2006">
        <f t="shared" si="45"/>
        <v>-0.67050607356393499</v>
      </c>
      <c r="AW25" s="2295"/>
      <c r="AX25" s="2005">
        <f t="shared" ref="AX25:BD25" si="92">$J$25</f>
        <v>1.6129032258064515</v>
      </c>
      <c r="AY25" s="2005">
        <f t="shared" si="92"/>
        <v>1.6129032258064515</v>
      </c>
      <c r="AZ25" s="2005">
        <f t="shared" si="92"/>
        <v>1.6129032258064515</v>
      </c>
      <c r="BA25" s="2005">
        <f t="shared" si="92"/>
        <v>1.6129032258064515</v>
      </c>
      <c r="BB25" s="2005">
        <f t="shared" si="92"/>
        <v>1.6129032258064515</v>
      </c>
      <c r="BC25" s="2005">
        <f t="shared" si="92"/>
        <v>1.6129032258064515</v>
      </c>
      <c r="BD25" s="2005">
        <f t="shared" si="92"/>
        <v>1.6129032258064515</v>
      </c>
      <c r="BE25" s="2295"/>
      <c r="BF25" s="2004">
        <f t="shared" si="47"/>
        <v>11.290322580645162</v>
      </c>
      <c r="BG25" s="2005">
        <f t="shared" si="36"/>
        <v>18.114808125481808</v>
      </c>
      <c r="BH25" s="2006">
        <f t="shared" si="48"/>
        <v>6.8244855448366462</v>
      </c>
      <c r="BI25" s="2930"/>
      <c r="BJ25" s="2001">
        <f t="shared" ref="BJ25:BL25" si="93">$J$25</f>
        <v>1.6129032258064515</v>
      </c>
      <c r="BK25" s="2005">
        <f t="shared" si="93"/>
        <v>1.6129032258064515</v>
      </c>
      <c r="BL25" s="2005">
        <f t="shared" si="93"/>
        <v>1.6129032258064515</v>
      </c>
      <c r="BM25" s="2930"/>
      <c r="BN25" s="2004">
        <f t="shared" si="24"/>
        <v>4.8387096774193541</v>
      </c>
      <c r="BO25" s="2005">
        <f t="shared" si="25"/>
        <v>8.779271093691877</v>
      </c>
      <c r="BP25" s="2006">
        <f t="shared" si="78"/>
        <v>3.9405614162725229</v>
      </c>
      <c r="BR25" s="1898">
        <v>0</v>
      </c>
      <c r="BS25" s="1899">
        <f t="shared" si="26"/>
        <v>0</v>
      </c>
      <c r="BT25" s="1900"/>
      <c r="BU25" s="2244">
        <f t="shared" si="27"/>
        <v>35.483870967741936</v>
      </c>
      <c r="BV25" s="2387">
        <f t="shared" si="28"/>
        <v>0.70967741935483875</v>
      </c>
      <c r="BW25" s="2010"/>
      <c r="BX25" s="2929"/>
      <c r="BZ25" s="2929"/>
      <c r="CA25" s="2036"/>
      <c r="CB25" s="1997"/>
      <c r="CC25" s="2037"/>
      <c r="CD25" s="1906"/>
      <c r="CE25" s="1906"/>
      <c r="CF25" s="1906"/>
      <c r="CG25" s="1906"/>
      <c r="CH25" s="1906"/>
      <c r="CI25" s="2386"/>
    </row>
    <row r="26" spans="1:87" s="1726" customFormat="1" x14ac:dyDescent="0.2">
      <c r="B26" s="1963">
        <v>24</v>
      </c>
      <c r="C26" s="1963" t="s">
        <v>202</v>
      </c>
      <c r="D26" s="2578"/>
      <c r="E26" s="1728">
        <v>50</v>
      </c>
      <c r="F26" s="1728"/>
      <c r="G26" s="1728"/>
      <c r="H26" s="1728"/>
      <c r="I26" s="1728"/>
      <c r="J26" s="1728">
        <f t="shared" si="29"/>
        <v>1.6129032258064515</v>
      </c>
      <c r="K26" s="1729">
        <f t="shared" si="18"/>
        <v>2.4535371299314119E-2</v>
      </c>
      <c r="L26" s="1931"/>
      <c r="M26" s="1924"/>
      <c r="N26" s="1728"/>
      <c r="O26" s="1728"/>
      <c r="P26" s="1728"/>
      <c r="Q26" s="1728"/>
      <c r="R26" s="1728"/>
      <c r="S26" s="1728">
        <f t="shared" ref="S26" si="94">$J$26</f>
        <v>1.6129032258064515</v>
      </c>
      <c r="T26" s="1728"/>
      <c r="U26" s="2935"/>
      <c r="V26" s="1982">
        <f t="shared" si="52"/>
        <v>1.6129032258064515</v>
      </c>
      <c r="W26" s="2268">
        <f t="shared" si="58"/>
        <v>0.83420262417668001</v>
      </c>
      <c r="X26" s="1984">
        <f>W26-V26</f>
        <v>-0.7787006016297715</v>
      </c>
      <c r="Y26" s="1881"/>
      <c r="Z26" s="1728"/>
      <c r="AA26" s="1728"/>
      <c r="AB26" s="1728"/>
      <c r="AC26" s="1728">
        <f t="shared" ref="AC26:AF26" si="95">$J$26</f>
        <v>1.6129032258064515</v>
      </c>
      <c r="AD26" s="1728">
        <f t="shared" si="95"/>
        <v>1.6129032258064515</v>
      </c>
      <c r="AE26" s="1728">
        <f t="shared" si="95"/>
        <v>1.6129032258064515</v>
      </c>
      <c r="AF26" s="1728">
        <f t="shared" si="95"/>
        <v>1.6129032258064515</v>
      </c>
      <c r="AG26" s="1881"/>
      <c r="AH26" s="1982">
        <f t="shared" si="41"/>
        <v>6.4516129032258061</v>
      </c>
      <c r="AI26" s="2268">
        <f t="shared" si="32"/>
        <v>4.4803305468538532</v>
      </c>
      <c r="AJ26" s="1984">
        <f t="shared" si="42"/>
        <v>-1.9712823563719528</v>
      </c>
      <c r="AK26" s="1881"/>
      <c r="AL26" s="2268">
        <f t="shared" ref="AL26:AR26" si="96">$J$26</f>
        <v>1.6129032258064515</v>
      </c>
      <c r="AM26" s="2268">
        <f t="shared" si="96"/>
        <v>1.6129032258064515</v>
      </c>
      <c r="AN26" s="2268">
        <f t="shared" si="96"/>
        <v>1.6129032258064515</v>
      </c>
      <c r="AO26" s="2268">
        <f t="shared" si="96"/>
        <v>1.6129032258064515</v>
      </c>
      <c r="AP26" s="2268">
        <f t="shared" si="96"/>
        <v>1.6129032258064515</v>
      </c>
      <c r="AQ26" s="2268">
        <f t="shared" si="96"/>
        <v>1.6129032258064515</v>
      </c>
      <c r="AR26" s="2268">
        <f t="shared" si="96"/>
        <v>1.6129032258064515</v>
      </c>
      <c r="AS26" s="2293"/>
      <c r="AT26" s="1982">
        <f t="shared" si="44"/>
        <v>11.290322580645162</v>
      </c>
      <c r="AU26" s="2268">
        <f t="shared" si="34"/>
        <v>10.619816507081227</v>
      </c>
      <c r="AV26" s="1984">
        <f t="shared" si="45"/>
        <v>-0.67050607356393499</v>
      </c>
      <c r="AW26" s="2293"/>
      <c r="AX26" s="2268">
        <f t="shared" ref="AX26:BD26" si="97">$J$26</f>
        <v>1.6129032258064515</v>
      </c>
      <c r="AY26" s="2268">
        <f t="shared" si="97"/>
        <v>1.6129032258064515</v>
      </c>
      <c r="AZ26" s="2268">
        <f t="shared" si="97"/>
        <v>1.6129032258064515</v>
      </c>
      <c r="BA26" s="2268">
        <f t="shared" si="97"/>
        <v>1.6129032258064515</v>
      </c>
      <c r="BB26" s="2268">
        <f t="shared" si="97"/>
        <v>1.6129032258064515</v>
      </c>
      <c r="BC26" s="2268">
        <f t="shared" si="97"/>
        <v>1.6129032258064515</v>
      </c>
      <c r="BD26" s="2268">
        <f t="shared" si="97"/>
        <v>1.6129032258064515</v>
      </c>
      <c r="BE26" s="2293"/>
      <c r="BF26" s="1982">
        <f t="shared" si="47"/>
        <v>11.290322580645162</v>
      </c>
      <c r="BG26" s="2268">
        <f t="shared" si="36"/>
        <v>18.114808125481808</v>
      </c>
      <c r="BH26" s="1984">
        <f t="shared" si="48"/>
        <v>6.8244855448366462</v>
      </c>
      <c r="BI26" s="2935"/>
      <c r="BJ26" s="1728">
        <f t="shared" ref="BJ26:BL26" si="98">$J$26</f>
        <v>1.6129032258064515</v>
      </c>
      <c r="BK26" s="2268">
        <f t="shared" si="98"/>
        <v>1.6129032258064515</v>
      </c>
      <c r="BL26" s="2268">
        <f t="shared" si="98"/>
        <v>1.6129032258064515</v>
      </c>
      <c r="BM26" s="2935"/>
      <c r="BN26" s="1982">
        <f t="shared" si="24"/>
        <v>4.8387096774193541</v>
      </c>
      <c r="BO26" s="2268">
        <f t="shared" si="25"/>
        <v>8.779271093691877</v>
      </c>
      <c r="BP26" s="1984">
        <f t="shared" si="78"/>
        <v>3.9405614162725229</v>
      </c>
      <c r="BR26" s="1732">
        <v>0</v>
      </c>
      <c r="BS26" s="1882">
        <f t="shared" si="26"/>
        <v>0</v>
      </c>
      <c r="BT26" s="1740"/>
      <c r="BU26" s="1734">
        <f t="shared" si="27"/>
        <v>35.483870967741936</v>
      </c>
      <c r="BV26" s="1918">
        <f t="shared" si="28"/>
        <v>0.70967741935483875</v>
      </c>
      <c r="BW26" s="1997"/>
      <c r="BX26" s="2933"/>
      <c r="BZ26" s="2933"/>
      <c r="CA26" s="2961"/>
      <c r="CB26" s="1861"/>
      <c r="CC26" s="1861"/>
      <c r="CD26" s="1810"/>
      <c r="CE26" s="1810"/>
      <c r="CF26" s="1810"/>
      <c r="CG26" s="1810"/>
      <c r="CH26" s="1810"/>
      <c r="CI26" s="1986"/>
    </row>
    <row r="27" spans="1:87" s="1885" customFormat="1" x14ac:dyDescent="0.2">
      <c r="B27" s="2580">
        <v>25</v>
      </c>
      <c r="C27" s="2580" t="s">
        <v>262</v>
      </c>
      <c r="D27" s="2596"/>
      <c r="E27" s="2597">
        <v>50</v>
      </c>
      <c r="F27" s="2597">
        <v>0.5</v>
      </c>
      <c r="G27" s="2597">
        <v>0.33333333333333331</v>
      </c>
      <c r="H27" s="2597">
        <v>0.25</v>
      </c>
      <c r="I27" s="2597">
        <v>0.2</v>
      </c>
      <c r="J27" s="2597">
        <f t="shared" si="29"/>
        <v>1.6129032258064515</v>
      </c>
      <c r="K27" s="2598">
        <f t="shared" si="18"/>
        <v>2.4535371299314119E-2</v>
      </c>
      <c r="L27" s="2003"/>
      <c r="M27" s="1950"/>
      <c r="N27" s="2001"/>
      <c r="O27" s="2001"/>
      <c r="P27" s="2001"/>
      <c r="Q27" s="2001"/>
      <c r="R27" s="2001"/>
      <c r="S27" s="2001">
        <f t="shared" ref="S27" si="99">$J$27</f>
        <v>1.6129032258064515</v>
      </c>
      <c r="T27" s="2001"/>
      <c r="U27" s="2930"/>
      <c r="V27" s="2481">
        <f t="shared" si="52"/>
        <v>1.6129032258064515</v>
      </c>
      <c r="W27" s="2482">
        <f t="shared" si="58"/>
        <v>0.83420262417668001</v>
      </c>
      <c r="X27" s="2483">
        <f t="shared" si="39"/>
        <v>-0.7787006016297715</v>
      </c>
      <c r="Y27" s="1896"/>
      <c r="Z27" s="2001"/>
      <c r="AA27" s="2001"/>
      <c r="AB27" s="2001"/>
      <c r="AC27" s="2001">
        <f t="shared" ref="AC27:AF27" si="100">$J$27</f>
        <v>1.6129032258064515</v>
      </c>
      <c r="AD27" s="2001">
        <f t="shared" si="100"/>
        <v>1.6129032258064515</v>
      </c>
      <c r="AE27" s="2001">
        <f t="shared" si="100"/>
        <v>1.6129032258064515</v>
      </c>
      <c r="AF27" s="2001">
        <f t="shared" si="100"/>
        <v>1.6129032258064515</v>
      </c>
      <c r="AG27" s="1896"/>
      <c r="AH27" s="2481">
        <f t="shared" si="41"/>
        <v>6.4516129032258061</v>
      </c>
      <c r="AI27" s="2482">
        <f t="shared" si="32"/>
        <v>4.4803305468538532</v>
      </c>
      <c r="AJ27" s="2483">
        <f t="shared" si="42"/>
        <v>-1.9712823563719528</v>
      </c>
      <c r="AK27" s="1896"/>
      <c r="AL27" s="2005">
        <f t="shared" ref="AL27:AR27" si="101">$J$27</f>
        <v>1.6129032258064515</v>
      </c>
      <c r="AM27" s="2005">
        <f t="shared" si="101"/>
        <v>1.6129032258064515</v>
      </c>
      <c r="AN27" s="2005">
        <f t="shared" si="101"/>
        <v>1.6129032258064515</v>
      </c>
      <c r="AO27" s="2005">
        <f t="shared" si="101"/>
        <v>1.6129032258064515</v>
      </c>
      <c r="AP27" s="2005">
        <f t="shared" si="101"/>
        <v>1.6129032258064515</v>
      </c>
      <c r="AQ27" s="2005">
        <f t="shared" si="101"/>
        <v>1.6129032258064515</v>
      </c>
      <c r="AR27" s="2005">
        <f t="shared" si="101"/>
        <v>1.6129032258064515</v>
      </c>
      <c r="AS27" s="2295"/>
      <c r="AT27" s="2481">
        <f t="shared" si="44"/>
        <v>11.290322580645162</v>
      </c>
      <c r="AU27" s="2482">
        <f t="shared" si="34"/>
        <v>10.619816507081227</v>
      </c>
      <c r="AV27" s="2483">
        <f t="shared" si="45"/>
        <v>-0.67050607356393499</v>
      </c>
      <c r="AW27" s="2295"/>
      <c r="AX27" s="2005">
        <f t="shared" ref="AX27:BD27" si="102">$J$27</f>
        <v>1.6129032258064515</v>
      </c>
      <c r="AY27" s="2005">
        <f t="shared" si="102"/>
        <v>1.6129032258064515</v>
      </c>
      <c r="AZ27" s="2005">
        <f t="shared" si="102"/>
        <v>1.6129032258064515</v>
      </c>
      <c r="BA27" s="2005">
        <f t="shared" si="102"/>
        <v>1.6129032258064515</v>
      </c>
      <c r="BB27" s="2005">
        <f t="shared" si="102"/>
        <v>1.6129032258064515</v>
      </c>
      <c r="BC27" s="2005">
        <f t="shared" si="102"/>
        <v>1.6129032258064515</v>
      </c>
      <c r="BD27" s="2005">
        <f t="shared" si="102"/>
        <v>1.6129032258064515</v>
      </c>
      <c r="BE27" s="2295"/>
      <c r="BF27" s="2481">
        <f t="shared" si="47"/>
        <v>11.290322580645162</v>
      </c>
      <c r="BG27" s="2482">
        <f t="shared" si="36"/>
        <v>18.114808125481808</v>
      </c>
      <c r="BH27" s="2483">
        <f t="shared" si="48"/>
        <v>6.8244855448366462</v>
      </c>
      <c r="BI27" s="2930"/>
      <c r="BJ27" s="2001">
        <f t="shared" ref="BJ27:BL27" si="103">$J$27</f>
        <v>1.6129032258064515</v>
      </c>
      <c r="BK27" s="2005">
        <f t="shared" si="103"/>
        <v>1.6129032258064515</v>
      </c>
      <c r="BL27" s="2005">
        <f t="shared" si="103"/>
        <v>1.6129032258064515</v>
      </c>
      <c r="BM27" s="2930"/>
      <c r="BN27" s="2481">
        <f t="shared" si="24"/>
        <v>4.8387096774193541</v>
      </c>
      <c r="BO27" s="2482">
        <f t="shared" si="25"/>
        <v>8.779271093691877</v>
      </c>
      <c r="BP27" s="2483">
        <f t="shared" si="78"/>
        <v>3.9405614162725229</v>
      </c>
      <c r="BR27" s="1898">
        <v>0</v>
      </c>
      <c r="BS27" s="1899">
        <f t="shared" si="26"/>
        <v>0</v>
      </c>
      <c r="BT27" s="1900"/>
      <c r="BU27" s="2388">
        <f t="shared" si="27"/>
        <v>35.483870967741936</v>
      </c>
      <c r="BV27" s="2389">
        <f t="shared" si="28"/>
        <v>0.70967741935483875</v>
      </c>
      <c r="BW27" s="2010"/>
      <c r="BX27" s="2929"/>
      <c r="BZ27" s="2929"/>
      <c r="CA27" s="2488"/>
      <c r="CB27" s="2404" t="s">
        <v>155</v>
      </c>
      <c r="CC27" s="2010" t="s">
        <v>156</v>
      </c>
      <c r="CD27" s="1906"/>
      <c r="CE27" s="1906"/>
      <c r="CF27" s="1906"/>
      <c r="CG27" s="1906"/>
      <c r="CH27" s="1906"/>
      <c r="CI27" s="2386"/>
    </row>
    <row r="28" spans="1:87" s="1726" customFormat="1" x14ac:dyDescent="0.2">
      <c r="B28" s="1963">
        <v>26</v>
      </c>
      <c r="C28" s="1963" t="s">
        <v>240</v>
      </c>
      <c r="D28" s="2578"/>
      <c r="E28" s="1728">
        <v>30</v>
      </c>
      <c r="F28" s="1728">
        <v>5</v>
      </c>
      <c r="G28" s="1728">
        <v>3.3333333333333335</v>
      </c>
      <c r="H28" s="1728">
        <v>2.5</v>
      </c>
      <c r="I28" s="1728">
        <v>2</v>
      </c>
      <c r="J28" s="1728">
        <f t="shared" si="29"/>
        <v>0.967741935483871</v>
      </c>
      <c r="K28" s="1729">
        <f t="shared" si="18"/>
        <v>1.4721222779588471E-2</v>
      </c>
      <c r="L28" s="1931"/>
      <c r="M28" s="1924"/>
      <c r="N28" s="1728"/>
      <c r="O28" s="1728"/>
      <c r="P28" s="1728"/>
      <c r="Q28" s="1728"/>
      <c r="R28" s="1728"/>
      <c r="S28" s="1728">
        <f t="shared" ref="S28" si="104">$J$28</f>
        <v>0.967741935483871</v>
      </c>
      <c r="T28" s="1728"/>
      <c r="U28" s="2935"/>
      <c r="V28" s="2016">
        <f t="shared" si="52"/>
        <v>0.967741935483871</v>
      </c>
      <c r="W28" s="2017">
        <f t="shared" si="58"/>
        <v>0.50052157450600798</v>
      </c>
      <c r="X28" s="2018">
        <f t="shared" si="39"/>
        <v>-0.46722036097786301</v>
      </c>
      <c r="Y28" s="1881"/>
      <c r="Z28" s="1728"/>
      <c r="AA28" s="1728"/>
      <c r="AB28" s="1728"/>
      <c r="AC28" s="1728">
        <f t="shared" ref="AC28:AF28" si="105">$J$28</f>
        <v>0.967741935483871</v>
      </c>
      <c r="AD28" s="1728">
        <f t="shared" si="105"/>
        <v>0.967741935483871</v>
      </c>
      <c r="AE28" s="1728">
        <f t="shared" si="105"/>
        <v>0.967741935483871</v>
      </c>
      <c r="AF28" s="1728">
        <f t="shared" si="105"/>
        <v>0.967741935483871</v>
      </c>
      <c r="AG28" s="1881"/>
      <c r="AH28" s="2016">
        <f>SUM(Z28:AF28)</f>
        <v>3.870967741935484</v>
      </c>
      <c r="AI28" s="2017">
        <f t="shared" si="32"/>
        <v>2.6881983281123119</v>
      </c>
      <c r="AJ28" s="2018">
        <f>AI28-AH28</f>
        <v>-1.1827694138231721</v>
      </c>
      <c r="AK28" s="1881"/>
      <c r="AL28" s="2268">
        <f t="shared" ref="AL28:AR28" si="106">$J$28</f>
        <v>0.967741935483871</v>
      </c>
      <c r="AM28" s="2268">
        <f t="shared" si="106"/>
        <v>0.967741935483871</v>
      </c>
      <c r="AN28" s="2268">
        <f t="shared" si="106"/>
        <v>0.967741935483871</v>
      </c>
      <c r="AO28" s="2268">
        <f t="shared" si="106"/>
        <v>0.967741935483871</v>
      </c>
      <c r="AP28" s="2268">
        <f t="shared" si="106"/>
        <v>0.967741935483871</v>
      </c>
      <c r="AQ28" s="2268">
        <f t="shared" si="106"/>
        <v>0.967741935483871</v>
      </c>
      <c r="AR28" s="2268">
        <f t="shared" si="106"/>
        <v>0.967741935483871</v>
      </c>
      <c r="AS28" s="2293"/>
      <c r="AT28" s="2016">
        <f t="shared" si="44"/>
        <v>6.774193548387097</v>
      </c>
      <c r="AU28" s="2017">
        <f t="shared" si="34"/>
        <v>6.3718899042487358</v>
      </c>
      <c r="AV28" s="2018">
        <f t="shared" si="45"/>
        <v>-0.40230364413836117</v>
      </c>
      <c r="AW28" s="2293"/>
      <c r="AX28" s="2268">
        <f t="shared" ref="AX28:BD28" si="107">$J$28</f>
        <v>0.967741935483871</v>
      </c>
      <c r="AY28" s="2268">
        <f t="shared" si="107"/>
        <v>0.967741935483871</v>
      </c>
      <c r="AZ28" s="2268">
        <f t="shared" si="107"/>
        <v>0.967741935483871</v>
      </c>
      <c r="BA28" s="2268">
        <f t="shared" si="107"/>
        <v>0.967741935483871</v>
      </c>
      <c r="BB28" s="2268">
        <f t="shared" si="107"/>
        <v>0.967741935483871</v>
      </c>
      <c r="BC28" s="2268">
        <f t="shared" si="107"/>
        <v>0.967741935483871</v>
      </c>
      <c r="BD28" s="2268">
        <f t="shared" si="107"/>
        <v>0.967741935483871</v>
      </c>
      <c r="BE28" s="2293"/>
      <c r="BF28" s="2016">
        <f t="shared" si="47"/>
        <v>6.774193548387097</v>
      </c>
      <c r="BG28" s="2017">
        <f t="shared" si="36"/>
        <v>10.868884875289085</v>
      </c>
      <c r="BH28" s="2018">
        <f t="shared" si="48"/>
        <v>4.0946913269019882</v>
      </c>
      <c r="BI28" s="2935"/>
      <c r="BJ28" s="1728">
        <f t="shared" ref="BJ28:BL28" si="108">$J$28</f>
        <v>0.967741935483871</v>
      </c>
      <c r="BK28" s="2268">
        <f t="shared" si="108"/>
        <v>0.967741935483871</v>
      </c>
      <c r="BL28" s="2268">
        <f t="shared" si="108"/>
        <v>0.967741935483871</v>
      </c>
      <c r="BM28" s="2935"/>
      <c r="BN28" s="2016">
        <f t="shared" si="24"/>
        <v>2.903225806451613</v>
      </c>
      <c r="BO28" s="2017">
        <f t="shared" si="25"/>
        <v>5.2675626562151265</v>
      </c>
      <c r="BP28" s="2018">
        <f t="shared" si="78"/>
        <v>2.3643368497635135</v>
      </c>
      <c r="BR28" s="1732">
        <v>0</v>
      </c>
      <c r="BS28" s="1882">
        <f t="shared" si="26"/>
        <v>0</v>
      </c>
      <c r="BT28" s="1740"/>
      <c r="BU28" s="2019">
        <f t="shared" si="27"/>
        <v>21.29032258064516</v>
      </c>
      <c r="BV28" s="2020">
        <f t="shared" si="28"/>
        <v>0.70967741935483863</v>
      </c>
      <c r="BW28" s="1997"/>
      <c r="BX28" s="2933"/>
      <c r="BZ28" s="2933"/>
      <c r="CA28" s="2036" t="s">
        <v>159</v>
      </c>
      <c r="CB28" s="2059">
        <v>0.5</v>
      </c>
      <c r="CC28" s="1997" t="str">
        <f>IF(CC23&lt;=CB28,CC23," ")</f>
        <v xml:space="preserve"> </v>
      </c>
      <c r="CD28" s="1810"/>
      <c r="CE28" s="1810"/>
      <c r="CF28" s="1810"/>
      <c r="CG28" s="1810"/>
      <c r="CH28" s="1810"/>
      <c r="CI28" s="1986"/>
    </row>
    <row r="29" spans="1:87" x14ac:dyDescent="0.2">
      <c r="B29" s="1987">
        <v>27</v>
      </c>
      <c r="C29" s="1987" t="s">
        <v>254</v>
      </c>
      <c r="D29" s="1836"/>
      <c r="E29" s="1746">
        <v>26.35</v>
      </c>
      <c r="F29" s="1746">
        <v>5</v>
      </c>
      <c r="G29" s="1746">
        <v>3.3333333333333335</v>
      </c>
      <c r="H29" s="1746">
        <v>2.5</v>
      </c>
      <c r="I29" s="1746">
        <v>2</v>
      </c>
      <c r="J29" s="1746">
        <f t="shared" si="29"/>
        <v>0.85000000000000009</v>
      </c>
      <c r="K29" s="2583">
        <f t="shared" si="18"/>
        <v>1.2930140674738541E-2</v>
      </c>
      <c r="L29" s="1866"/>
      <c r="M29" s="1867"/>
      <c r="N29" s="1746"/>
      <c r="O29" s="1746"/>
      <c r="P29" s="1746"/>
      <c r="Q29" s="1746"/>
      <c r="R29" s="1746"/>
      <c r="S29" s="1746">
        <f t="shared" ref="S29" si="109">$J$29</f>
        <v>0.85000000000000009</v>
      </c>
      <c r="T29" s="1746"/>
      <c r="U29" s="2934"/>
      <c r="V29" s="2953">
        <f t="shared" si="52"/>
        <v>0.85000000000000009</v>
      </c>
      <c r="W29" s="2954">
        <f t="shared" si="58"/>
        <v>0.43962478294111035</v>
      </c>
      <c r="X29" s="2955">
        <f t="shared" si="39"/>
        <v>-0.41037521705888974</v>
      </c>
      <c r="Y29" s="1914"/>
      <c r="Z29" s="1746"/>
      <c r="AA29" s="1746"/>
      <c r="AB29" s="1746"/>
      <c r="AC29" s="1746">
        <f t="shared" ref="AC29:AF29" si="110">$J$29</f>
        <v>0.85000000000000009</v>
      </c>
      <c r="AD29" s="1746">
        <f t="shared" si="110"/>
        <v>0.85000000000000009</v>
      </c>
      <c r="AE29" s="1746">
        <f t="shared" si="110"/>
        <v>0.85000000000000009</v>
      </c>
      <c r="AF29" s="1746">
        <f t="shared" si="110"/>
        <v>0.85000000000000009</v>
      </c>
      <c r="AG29" s="1914"/>
      <c r="AH29" s="2953">
        <f t="shared" ref="AH29:AH35" si="111">SUM(Z29:AF29)</f>
        <v>3.4000000000000004</v>
      </c>
      <c r="AI29" s="2954">
        <f t="shared" si="32"/>
        <v>2.3611341981919809</v>
      </c>
      <c r="AJ29" s="2955">
        <f t="shared" ref="AJ29:AJ35" si="112">AI29-AH29</f>
        <v>-1.0388658018080195</v>
      </c>
      <c r="AK29" s="1914"/>
      <c r="AL29" s="1990">
        <f t="shared" ref="AL29:AR29" si="113">$J$29</f>
        <v>0.85000000000000009</v>
      </c>
      <c r="AM29" s="1990">
        <f t="shared" si="113"/>
        <v>0.85000000000000009</v>
      </c>
      <c r="AN29" s="1990">
        <f t="shared" si="113"/>
        <v>0.85000000000000009</v>
      </c>
      <c r="AO29" s="1990">
        <f t="shared" si="113"/>
        <v>0.85000000000000009</v>
      </c>
      <c r="AP29" s="1990">
        <f t="shared" si="113"/>
        <v>0.85000000000000009</v>
      </c>
      <c r="AQ29" s="1990">
        <f t="shared" si="113"/>
        <v>0.85000000000000009</v>
      </c>
      <c r="AR29" s="1990">
        <f t="shared" si="113"/>
        <v>0.85000000000000009</v>
      </c>
      <c r="AS29" s="2297"/>
      <c r="AT29" s="2953">
        <f t="shared" si="44"/>
        <v>5.9499999999999993</v>
      </c>
      <c r="AU29" s="2954">
        <f t="shared" si="34"/>
        <v>5.5966432992318067</v>
      </c>
      <c r="AV29" s="2955">
        <f t="shared" si="45"/>
        <v>-0.35335670076819259</v>
      </c>
      <c r="AW29" s="2297"/>
      <c r="AX29" s="1990">
        <f t="shared" ref="AX29:BD29" si="114">$J$29</f>
        <v>0.85000000000000009</v>
      </c>
      <c r="AY29" s="1990">
        <f t="shared" si="114"/>
        <v>0.85000000000000009</v>
      </c>
      <c r="AZ29" s="1990">
        <f t="shared" si="114"/>
        <v>0.85000000000000009</v>
      </c>
      <c r="BA29" s="1990">
        <f t="shared" si="114"/>
        <v>0.85000000000000009</v>
      </c>
      <c r="BB29" s="1990">
        <f t="shared" si="114"/>
        <v>0.85000000000000009</v>
      </c>
      <c r="BC29" s="1990">
        <f t="shared" si="114"/>
        <v>0.85000000000000009</v>
      </c>
      <c r="BD29" s="1990">
        <f t="shared" si="114"/>
        <v>0.85000000000000009</v>
      </c>
      <c r="BE29" s="2297"/>
      <c r="BF29" s="2953">
        <f t="shared" si="47"/>
        <v>5.9499999999999993</v>
      </c>
      <c r="BG29" s="2954">
        <f t="shared" si="36"/>
        <v>9.5465038821289134</v>
      </c>
      <c r="BH29" s="2955">
        <f t="shared" si="48"/>
        <v>3.5965038821289141</v>
      </c>
      <c r="BI29" s="2934"/>
      <c r="BJ29" s="1746">
        <f t="shared" ref="BJ29:BL29" si="115">$J$29</f>
        <v>0.85000000000000009</v>
      </c>
      <c r="BK29" s="1990">
        <f t="shared" si="115"/>
        <v>0.85000000000000009</v>
      </c>
      <c r="BL29" s="1990">
        <f t="shared" si="115"/>
        <v>0.85000000000000009</v>
      </c>
      <c r="BM29" s="2934"/>
      <c r="BN29" s="2953">
        <f t="shared" si="24"/>
        <v>2.5500000000000003</v>
      </c>
      <c r="BO29" s="2954">
        <f t="shared" si="25"/>
        <v>4.6266758663756198</v>
      </c>
      <c r="BP29" s="2955">
        <f t="shared" si="78"/>
        <v>2.0766758663756195</v>
      </c>
      <c r="BR29" s="1747">
        <v>0</v>
      </c>
      <c r="BS29" s="1752">
        <f t="shared" si="26"/>
        <v>0</v>
      </c>
      <c r="BT29" s="1754"/>
      <c r="BU29" s="2956">
        <f t="shared" si="27"/>
        <v>18.7</v>
      </c>
      <c r="BV29" s="2957">
        <f t="shared" si="28"/>
        <v>0.70967741935483863</v>
      </c>
      <c r="BW29" s="1993"/>
      <c r="BX29" s="1916"/>
      <c r="BZ29" s="1916"/>
      <c r="CA29" s="2958" t="s">
        <v>160</v>
      </c>
      <c r="CB29" s="2463">
        <v>0.75</v>
      </c>
      <c r="CC29" s="1802">
        <f>IF(AND(CC23&gt;CB28,CC23&lt;=CB29),CC23," ")</f>
        <v>0.70967741935483875</v>
      </c>
      <c r="CD29" s="1800"/>
      <c r="CE29" s="1800"/>
      <c r="CF29" s="1800"/>
      <c r="CG29" s="1800"/>
      <c r="CH29" s="1800"/>
      <c r="CI29" s="2959"/>
    </row>
    <row r="30" spans="1:87" s="1726" customFormat="1" x14ac:dyDescent="0.2">
      <c r="B30" s="2508">
        <v>28</v>
      </c>
      <c r="C30" s="1963" t="s">
        <v>205</v>
      </c>
      <c r="D30" s="2578"/>
      <c r="E30" s="1728">
        <v>25.5</v>
      </c>
      <c r="F30" s="1728"/>
      <c r="G30" s="1728"/>
      <c r="H30" s="1728"/>
      <c r="I30" s="1728"/>
      <c r="J30" s="1728">
        <f t="shared" si="29"/>
        <v>0.82258064516129037</v>
      </c>
      <c r="K30" s="1729">
        <f t="shared" si="18"/>
        <v>1.25130393626502E-2</v>
      </c>
      <c r="L30" s="1931"/>
      <c r="M30" s="1924"/>
      <c r="N30" s="1728"/>
      <c r="O30" s="1728"/>
      <c r="P30" s="1728"/>
      <c r="Q30" s="1728"/>
      <c r="R30" s="1728"/>
      <c r="S30" s="1728">
        <f t="shared" ref="S30" si="116">$J$30</f>
        <v>0.82258064516129037</v>
      </c>
      <c r="T30" s="1728"/>
      <c r="U30" s="2935"/>
      <c r="V30" s="2016">
        <f t="shared" si="52"/>
        <v>0.82258064516129037</v>
      </c>
      <c r="W30" s="2017">
        <f t="shared" si="58"/>
        <v>0.42544333833010678</v>
      </c>
      <c r="X30" s="2018">
        <f t="shared" si="39"/>
        <v>-0.39713730683118359</v>
      </c>
      <c r="Y30" s="1881"/>
      <c r="Z30" s="1728"/>
      <c r="AA30" s="1728"/>
      <c r="AB30" s="1728"/>
      <c r="AC30" s="1728">
        <f t="shared" ref="AC30:AF30" si="117">$J$30</f>
        <v>0.82258064516129037</v>
      </c>
      <c r="AD30" s="1728">
        <f t="shared" si="117"/>
        <v>0.82258064516129037</v>
      </c>
      <c r="AE30" s="1728">
        <f t="shared" si="117"/>
        <v>0.82258064516129037</v>
      </c>
      <c r="AF30" s="1728">
        <f t="shared" si="117"/>
        <v>0.82258064516129037</v>
      </c>
      <c r="AG30" s="1881"/>
      <c r="AH30" s="2016">
        <f t="shared" si="111"/>
        <v>3.2903225806451615</v>
      </c>
      <c r="AI30" s="2017">
        <f t="shared" si="32"/>
        <v>2.284968578895465</v>
      </c>
      <c r="AJ30" s="2018">
        <f t="shared" si="112"/>
        <v>-1.0053540017496965</v>
      </c>
      <c r="AK30" s="1881"/>
      <c r="AL30" s="2268">
        <f t="shared" ref="AL30:AR30" si="118">$J$30</f>
        <v>0.82258064516129037</v>
      </c>
      <c r="AM30" s="2268">
        <f t="shared" si="118"/>
        <v>0.82258064516129037</v>
      </c>
      <c r="AN30" s="2268">
        <f t="shared" si="118"/>
        <v>0.82258064516129037</v>
      </c>
      <c r="AO30" s="2268">
        <f t="shared" si="118"/>
        <v>0.82258064516129037</v>
      </c>
      <c r="AP30" s="2268">
        <f t="shared" si="118"/>
        <v>0.82258064516129037</v>
      </c>
      <c r="AQ30" s="2268">
        <f t="shared" si="118"/>
        <v>0.82258064516129037</v>
      </c>
      <c r="AR30" s="2268">
        <f t="shared" si="118"/>
        <v>0.82258064516129037</v>
      </c>
      <c r="AS30" s="2293"/>
      <c r="AT30" s="2016">
        <f t="shared" si="44"/>
        <v>5.758064516129032</v>
      </c>
      <c r="AU30" s="2017">
        <f t="shared" si="34"/>
        <v>5.4161064186114256</v>
      </c>
      <c r="AV30" s="2018">
        <f t="shared" si="45"/>
        <v>-0.34195809751760642</v>
      </c>
      <c r="AW30" s="2293"/>
      <c r="AX30" s="2268">
        <f t="shared" ref="AX30:BD30" si="119">$J$30</f>
        <v>0.82258064516129037</v>
      </c>
      <c r="AY30" s="2268">
        <f t="shared" si="119"/>
        <v>0.82258064516129037</v>
      </c>
      <c r="AZ30" s="2268">
        <f t="shared" si="119"/>
        <v>0.82258064516129037</v>
      </c>
      <c r="BA30" s="2268">
        <f t="shared" si="119"/>
        <v>0.82258064516129037</v>
      </c>
      <c r="BB30" s="2268">
        <f t="shared" si="119"/>
        <v>0.82258064516129037</v>
      </c>
      <c r="BC30" s="2268">
        <f t="shared" si="119"/>
        <v>0.82258064516129037</v>
      </c>
      <c r="BD30" s="2268">
        <f t="shared" si="119"/>
        <v>0.82258064516129037</v>
      </c>
      <c r="BE30" s="2293"/>
      <c r="BF30" s="2016">
        <f t="shared" si="47"/>
        <v>5.758064516129032</v>
      </c>
      <c r="BG30" s="2017">
        <f t="shared" si="36"/>
        <v>9.2385521439957206</v>
      </c>
      <c r="BH30" s="2018">
        <f t="shared" si="48"/>
        <v>3.4804876278666885</v>
      </c>
      <c r="BI30" s="2935"/>
      <c r="BJ30" s="1728">
        <f t="shared" ref="BJ30:BL30" si="120">$J$30</f>
        <v>0.82258064516129037</v>
      </c>
      <c r="BK30" s="2268">
        <f t="shared" si="120"/>
        <v>0.82258064516129037</v>
      </c>
      <c r="BL30" s="2268">
        <f t="shared" si="120"/>
        <v>0.82258064516129037</v>
      </c>
      <c r="BM30" s="2935"/>
      <c r="BN30" s="2016">
        <f t="shared" si="24"/>
        <v>2.467741935483871</v>
      </c>
      <c r="BO30" s="2017">
        <f t="shared" si="25"/>
        <v>4.4774282577828579</v>
      </c>
      <c r="BP30" s="2018">
        <f t="shared" si="78"/>
        <v>2.0096863222989869</v>
      </c>
      <c r="BR30" s="1732">
        <v>0</v>
      </c>
      <c r="BS30" s="1882">
        <f t="shared" si="26"/>
        <v>0</v>
      </c>
      <c r="BT30" s="1740"/>
      <c r="BU30" s="2019">
        <f t="shared" si="27"/>
        <v>18.096774193548388</v>
      </c>
      <c r="BV30" s="2020">
        <f t="shared" si="28"/>
        <v>0.70967741935483875</v>
      </c>
      <c r="BW30" s="1997"/>
      <c r="BX30" s="2933"/>
      <c r="BZ30" s="2933"/>
      <c r="CA30" s="2036" t="s">
        <v>161</v>
      </c>
      <c r="CB30" s="2059">
        <v>1</v>
      </c>
      <c r="CC30" s="2037" t="str">
        <f>IF(CC23&gt;CB29,CC23," ")</f>
        <v xml:space="preserve"> </v>
      </c>
      <c r="CD30" s="1810"/>
      <c r="CE30" s="1810"/>
      <c r="CF30" s="1810"/>
      <c r="CG30" s="1810"/>
      <c r="CH30" s="1810"/>
      <c r="CI30" s="1986"/>
    </row>
    <row r="31" spans="1:87" x14ac:dyDescent="0.2">
      <c r="B31" s="1987">
        <v>29</v>
      </c>
      <c r="C31" s="1987" t="s">
        <v>260</v>
      </c>
      <c r="D31" s="1836"/>
      <c r="E31" s="1746">
        <v>25</v>
      </c>
      <c r="F31" s="1746">
        <v>5</v>
      </c>
      <c r="G31" s="1746">
        <v>3.3333333333333335</v>
      </c>
      <c r="H31" s="1746">
        <v>2.5</v>
      </c>
      <c r="I31" s="1746">
        <v>2</v>
      </c>
      <c r="J31" s="1746">
        <f t="shared" si="29"/>
        <v>0.80645161290322576</v>
      </c>
      <c r="K31" s="2583">
        <f t="shared" si="18"/>
        <v>1.2267685649657059E-2</v>
      </c>
      <c r="L31" s="1866"/>
      <c r="M31" s="1867"/>
      <c r="N31" s="1746"/>
      <c r="O31" s="1746"/>
      <c r="P31" s="1746"/>
      <c r="Q31" s="1746"/>
      <c r="R31" s="1746"/>
      <c r="S31" s="1746">
        <f t="shared" ref="S31" si="121">$J$31</f>
        <v>0.80645161290322576</v>
      </c>
      <c r="T31" s="1746"/>
      <c r="U31" s="2934"/>
      <c r="V31" s="2953">
        <f t="shared" si="52"/>
        <v>0.80645161290322576</v>
      </c>
      <c r="W31" s="2954">
        <f t="shared" si="58"/>
        <v>0.41710131208834</v>
      </c>
      <c r="X31" s="2955">
        <f t="shared" si="39"/>
        <v>-0.38935030081488575</v>
      </c>
      <c r="Y31" s="1914"/>
      <c r="Z31" s="1746"/>
      <c r="AA31" s="1746"/>
      <c r="AB31" s="1746"/>
      <c r="AC31" s="1746">
        <f t="shared" ref="AC31:AF31" si="122">$J$31</f>
        <v>0.80645161290322576</v>
      </c>
      <c r="AD31" s="1746">
        <f t="shared" si="122"/>
        <v>0.80645161290322576</v>
      </c>
      <c r="AE31" s="1746">
        <f t="shared" si="122"/>
        <v>0.80645161290322576</v>
      </c>
      <c r="AF31" s="1746">
        <f t="shared" si="122"/>
        <v>0.80645161290322576</v>
      </c>
      <c r="AG31" s="1914"/>
      <c r="AH31" s="2953">
        <f t="shared" si="111"/>
        <v>3.225806451612903</v>
      </c>
      <c r="AI31" s="2954">
        <f t="shared" si="32"/>
        <v>2.2401652734269266</v>
      </c>
      <c r="AJ31" s="2955">
        <f t="shared" si="112"/>
        <v>-0.98564117818597641</v>
      </c>
      <c r="AK31" s="1914"/>
      <c r="AL31" s="1990">
        <f t="shared" ref="AL31:AR31" si="123">$J$31</f>
        <v>0.80645161290322576</v>
      </c>
      <c r="AM31" s="1990">
        <f t="shared" si="123"/>
        <v>0.80645161290322576</v>
      </c>
      <c r="AN31" s="1990">
        <f t="shared" si="123"/>
        <v>0.80645161290322576</v>
      </c>
      <c r="AO31" s="1990">
        <f t="shared" si="123"/>
        <v>0.80645161290322576</v>
      </c>
      <c r="AP31" s="1990">
        <f t="shared" si="123"/>
        <v>0.80645161290322576</v>
      </c>
      <c r="AQ31" s="1990">
        <f t="shared" si="123"/>
        <v>0.80645161290322576</v>
      </c>
      <c r="AR31" s="1990">
        <f t="shared" si="123"/>
        <v>0.80645161290322576</v>
      </c>
      <c r="AS31" s="2297"/>
      <c r="AT31" s="2953">
        <f t="shared" si="44"/>
        <v>5.645161290322581</v>
      </c>
      <c r="AU31" s="2954">
        <f t="shared" si="34"/>
        <v>5.3099082535406135</v>
      </c>
      <c r="AV31" s="2955">
        <f t="shared" si="45"/>
        <v>-0.3352530367819675</v>
      </c>
      <c r="AW31" s="2297"/>
      <c r="AX31" s="1990">
        <f t="shared" ref="AX31:BD31" si="124">$J$31</f>
        <v>0.80645161290322576</v>
      </c>
      <c r="AY31" s="1990">
        <f t="shared" si="124"/>
        <v>0.80645161290322576</v>
      </c>
      <c r="AZ31" s="1990">
        <f t="shared" si="124"/>
        <v>0.80645161290322576</v>
      </c>
      <c r="BA31" s="1990">
        <f t="shared" si="124"/>
        <v>0.80645161290322576</v>
      </c>
      <c r="BB31" s="1990">
        <f t="shared" si="124"/>
        <v>0.80645161290322576</v>
      </c>
      <c r="BC31" s="1990">
        <f t="shared" si="124"/>
        <v>0.80645161290322576</v>
      </c>
      <c r="BD31" s="1990">
        <f t="shared" si="124"/>
        <v>0.80645161290322576</v>
      </c>
      <c r="BE31" s="2297"/>
      <c r="BF31" s="2953">
        <f t="shared" si="47"/>
        <v>5.645161290322581</v>
      </c>
      <c r="BG31" s="2954">
        <f t="shared" si="36"/>
        <v>9.057404062740904</v>
      </c>
      <c r="BH31" s="2955">
        <f t="shared" si="48"/>
        <v>3.4122427724183231</v>
      </c>
      <c r="BI31" s="2934"/>
      <c r="BJ31" s="1746">
        <f t="shared" ref="BJ31:BL31" si="125">$J$31</f>
        <v>0.80645161290322576</v>
      </c>
      <c r="BK31" s="1990">
        <f t="shared" si="125"/>
        <v>0.80645161290322576</v>
      </c>
      <c r="BL31" s="1990">
        <f t="shared" si="125"/>
        <v>0.80645161290322576</v>
      </c>
      <c r="BM31" s="2934"/>
      <c r="BN31" s="2953">
        <f t="shared" si="24"/>
        <v>2.419354838709677</v>
      </c>
      <c r="BO31" s="2954">
        <f t="shared" si="25"/>
        <v>4.3896355468459385</v>
      </c>
      <c r="BP31" s="2955">
        <f t="shared" si="78"/>
        <v>1.9702807081362614</v>
      </c>
      <c r="BR31" s="1747">
        <v>0</v>
      </c>
      <c r="BS31" s="1752">
        <f t="shared" si="26"/>
        <v>0</v>
      </c>
      <c r="BT31" s="1754"/>
      <c r="BU31" s="2956">
        <f t="shared" si="27"/>
        <v>17.741935483870968</v>
      </c>
      <c r="BV31" s="2957">
        <f t="shared" si="28"/>
        <v>0.70967741935483875</v>
      </c>
      <c r="BW31" s="1993"/>
      <c r="BX31" s="1916"/>
      <c r="BZ31" s="1916"/>
      <c r="CA31" s="2029"/>
      <c r="CB31" s="2047" t="s">
        <v>158</v>
      </c>
      <c r="CC31" s="2952">
        <f>MAX(100%,CC23)-CC23</f>
        <v>0.29032258064516125</v>
      </c>
      <c r="CD31" s="1800"/>
      <c r="CE31" s="1800"/>
      <c r="CF31" s="1800"/>
      <c r="CG31" s="1800"/>
      <c r="CH31" s="1800"/>
      <c r="CI31" s="2959"/>
    </row>
    <row r="32" spans="1:87" s="1726" customFormat="1" x14ac:dyDescent="0.2">
      <c r="B32" s="1963">
        <v>30</v>
      </c>
      <c r="C32" s="1963" t="s">
        <v>206</v>
      </c>
      <c r="D32" s="2578"/>
      <c r="E32" s="1728">
        <v>16.7</v>
      </c>
      <c r="F32" s="1728"/>
      <c r="G32" s="1728"/>
      <c r="H32" s="1728"/>
      <c r="I32" s="1728"/>
      <c r="J32" s="1728">
        <f t="shared" si="29"/>
        <v>0.53870967741935483</v>
      </c>
      <c r="K32" s="1729">
        <f t="shared" si="18"/>
        <v>8.1948140139709146E-3</v>
      </c>
      <c r="L32" s="1931"/>
      <c r="M32" s="1924"/>
      <c r="N32" s="1728"/>
      <c r="O32" s="1728"/>
      <c r="P32" s="1728"/>
      <c r="Q32" s="1728"/>
      <c r="R32" s="1728"/>
      <c r="S32" s="1728">
        <f t="shared" ref="S32" si="126">$J$32</f>
        <v>0.53870967741935483</v>
      </c>
      <c r="T32" s="1728"/>
      <c r="U32" s="2935"/>
      <c r="V32" s="2016">
        <f t="shared" si="52"/>
        <v>0.53870967741935483</v>
      </c>
      <c r="W32" s="2017">
        <f t="shared" si="58"/>
        <v>0.27862367647501107</v>
      </c>
      <c r="X32" s="2018">
        <f t="shared" si="39"/>
        <v>-0.26008600094434375</v>
      </c>
      <c r="Y32" s="1881"/>
      <c r="Z32" s="1728"/>
      <c r="AA32" s="1728"/>
      <c r="AB32" s="1728"/>
      <c r="AC32" s="1728">
        <f t="shared" ref="AC32:AF32" si="127">$J$32</f>
        <v>0.53870967741935483</v>
      </c>
      <c r="AD32" s="1728">
        <f t="shared" si="127"/>
        <v>0.53870967741935483</v>
      </c>
      <c r="AE32" s="1728">
        <f t="shared" si="127"/>
        <v>0.53870967741935483</v>
      </c>
      <c r="AF32" s="1728">
        <f t="shared" si="127"/>
        <v>0.53870967741935483</v>
      </c>
      <c r="AG32" s="1881"/>
      <c r="AH32" s="2016">
        <f t="shared" si="111"/>
        <v>2.1548387096774193</v>
      </c>
      <c r="AI32" s="2017">
        <f t="shared" si="32"/>
        <v>1.4964304026491868</v>
      </c>
      <c r="AJ32" s="2018">
        <f t="shared" si="112"/>
        <v>-0.6584083070282325</v>
      </c>
      <c r="AK32" s="1881"/>
      <c r="AL32" s="2268">
        <f t="shared" ref="AL32:AR32" si="128">$J$32</f>
        <v>0.53870967741935483</v>
      </c>
      <c r="AM32" s="2268">
        <f t="shared" si="128"/>
        <v>0.53870967741935483</v>
      </c>
      <c r="AN32" s="2268">
        <f t="shared" si="128"/>
        <v>0.53870967741935483</v>
      </c>
      <c r="AO32" s="2268">
        <f t="shared" si="128"/>
        <v>0.53870967741935483</v>
      </c>
      <c r="AP32" s="2268">
        <f t="shared" si="128"/>
        <v>0.53870967741935483</v>
      </c>
      <c r="AQ32" s="2268">
        <f t="shared" si="128"/>
        <v>0.53870967741935483</v>
      </c>
      <c r="AR32" s="2268">
        <f t="shared" si="128"/>
        <v>0.53870967741935483</v>
      </c>
      <c r="AS32" s="2293"/>
      <c r="AT32" s="2016">
        <f t="shared" si="44"/>
        <v>3.7709677419354835</v>
      </c>
      <c r="AU32" s="2017">
        <f t="shared" si="34"/>
        <v>3.5470187133651292</v>
      </c>
      <c r="AV32" s="2018">
        <f t="shared" si="45"/>
        <v>-0.22394902857035426</v>
      </c>
      <c r="AW32" s="2293"/>
      <c r="AX32" s="2268">
        <f t="shared" ref="AX32:BD32" si="129">$J$32</f>
        <v>0.53870967741935483</v>
      </c>
      <c r="AY32" s="2268">
        <f t="shared" si="129"/>
        <v>0.53870967741935483</v>
      </c>
      <c r="AZ32" s="2268">
        <f t="shared" si="129"/>
        <v>0.53870967741935483</v>
      </c>
      <c r="BA32" s="2268">
        <f t="shared" si="129"/>
        <v>0.53870967741935483</v>
      </c>
      <c r="BB32" s="2268">
        <f t="shared" si="129"/>
        <v>0.53870967741935483</v>
      </c>
      <c r="BC32" s="2268">
        <f t="shared" si="129"/>
        <v>0.53870967741935483</v>
      </c>
      <c r="BD32" s="2268">
        <f t="shared" si="129"/>
        <v>0.53870967741935483</v>
      </c>
      <c r="BE32" s="2293"/>
      <c r="BF32" s="2016">
        <f t="shared" si="47"/>
        <v>3.7709677419354835</v>
      </c>
      <c r="BG32" s="2017">
        <f t="shared" si="36"/>
        <v>6.050345913910923</v>
      </c>
      <c r="BH32" s="2018">
        <f t="shared" si="48"/>
        <v>2.2793781719754396</v>
      </c>
      <c r="BI32" s="2935"/>
      <c r="BJ32" s="1728">
        <f t="shared" ref="BJ32:BL32" si="130">$J$32</f>
        <v>0.53870967741935483</v>
      </c>
      <c r="BK32" s="2268">
        <f t="shared" si="130"/>
        <v>0.53870967741935483</v>
      </c>
      <c r="BL32" s="2268">
        <f t="shared" si="130"/>
        <v>0.53870967741935483</v>
      </c>
      <c r="BM32" s="2935"/>
      <c r="BN32" s="2016">
        <f t="shared" si="24"/>
        <v>1.6161290322580646</v>
      </c>
      <c r="BO32" s="2017">
        <f t="shared" si="25"/>
        <v>2.932276545293087</v>
      </c>
      <c r="BP32" s="2018">
        <f t="shared" si="78"/>
        <v>1.3161475130350224</v>
      </c>
      <c r="BR32" s="1732">
        <v>0</v>
      </c>
      <c r="BS32" s="1882">
        <f t="shared" si="26"/>
        <v>0</v>
      </c>
      <c r="BT32" s="1740"/>
      <c r="BU32" s="2019">
        <f t="shared" si="27"/>
        <v>11.851612903225806</v>
      </c>
      <c r="BV32" s="2020">
        <f t="shared" si="28"/>
        <v>0.70967741935483875</v>
      </c>
      <c r="BW32" s="1997"/>
      <c r="BX32" s="2933"/>
      <c r="BZ32" s="2933"/>
      <c r="CA32" s="2015"/>
      <c r="CB32" s="1830"/>
      <c r="CC32" s="1817"/>
      <c r="CD32" s="1810"/>
      <c r="CE32" s="1810"/>
      <c r="CF32" s="1810"/>
      <c r="CG32" s="1810"/>
      <c r="CH32" s="1810"/>
      <c r="CI32" s="1986"/>
    </row>
    <row r="33" spans="1:87" s="1885" customFormat="1" x14ac:dyDescent="0.2">
      <c r="B33" s="2580">
        <v>31</v>
      </c>
      <c r="C33" s="2000" t="s">
        <v>258</v>
      </c>
      <c r="D33" s="2579"/>
      <c r="E33" s="2001">
        <v>15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29"/>
        <v>0.4838709677419355</v>
      </c>
      <c r="K33" s="2584">
        <f t="shared" si="18"/>
        <v>7.3606113897942355E-3</v>
      </c>
      <c r="L33" s="2003"/>
      <c r="M33" s="1950"/>
      <c r="N33" s="2001"/>
      <c r="O33" s="2001"/>
      <c r="P33" s="2001"/>
      <c r="Q33" s="2001"/>
      <c r="R33" s="2001"/>
      <c r="S33" s="2001">
        <f t="shared" ref="S33" si="131">$J$33</f>
        <v>0.4838709677419355</v>
      </c>
      <c r="T33" s="2001"/>
      <c r="U33" s="2930"/>
      <c r="V33" s="2481">
        <f t="shared" si="52"/>
        <v>0.4838709677419355</v>
      </c>
      <c r="W33" s="2482">
        <f t="shared" si="58"/>
        <v>0.25026078725300399</v>
      </c>
      <c r="X33" s="2483">
        <f t="shared" si="39"/>
        <v>-0.23361018048893151</v>
      </c>
      <c r="Y33" s="1896"/>
      <c r="Z33" s="2001"/>
      <c r="AA33" s="2001"/>
      <c r="AB33" s="2001"/>
      <c r="AC33" s="2001">
        <f t="shared" ref="AC33:AF33" si="132">$J$33</f>
        <v>0.4838709677419355</v>
      </c>
      <c r="AD33" s="2001">
        <f t="shared" si="132"/>
        <v>0.4838709677419355</v>
      </c>
      <c r="AE33" s="2001">
        <f t="shared" si="132"/>
        <v>0.4838709677419355</v>
      </c>
      <c r="AF33" s="2001">
        <f t="shared" si="132"/>
        <v>0.4838709677419355</v>
      </c>
      <c r="AG33" s="1896"/>
      <c r="AH33" s="2481">
        <f t="shared" si="111"/>
        <v>1.935483870967742</v>
      </c>
      <c r="AI33" s="2482">
        <f t="shared" si="32"/>
        <v>1.3440991640561559</v>
      </c>
      <c r="AJ33" s="2483">
        <f t="shared" si="112"/>
        <v>-0.59138470691158607</v>
      </c>
      <c r="AK33" s="1896"/>
      <c r="AL33" s="2005">
        <f t="shared" ref="AL33:AR33" si="133">$J$33</f>
        <v>0.4838709677419355</v>
      </c>
      <c r="AM33" s="2005">
        <f t="shared" si="133"/>
        <v>0.4838709677419355</v>
      </c>
      <c r="AN33" s="2005">
        <f t="shared" si="133"/>
        <v>0.4838709677419355</v>
      </c>
      <c r="AO33" s="2005">
        <f t="shared" si="133"/>
        <v>0.4838709677419355</v>
      </c>
      <c r="AP33" s="2005">
        <f t="shared" si="133"/>
        <v>0.4838709677419355</v>
      </c>
      <c r="AQ33" s="2005">
        <f t="shared" si="133"/>
        <v>0.4838709677419355</v>
      </c>
      <c r="AR33" s="2005">
        <f t="shared" si="133"/>
        <v>0.4838709677419355</v>
      </c>
      <c r="AS33" s="2295"/>
      <c r="AT33" s="2481">
        <f t="shared" si="44"/>
        <v>3.3870967741935485</v>
      </c>
      <c r="AU33" s="2482">
        <f t="shared" si="34"/>
        <v>3.1859449521243679</v>
      </c>
      <c r="AV33" s="2483">
        <f t="shared" si="45"/>
        <v>-0.20115182206918059</v>
      </c>
      <c r="AW33" s="2295"/>
      <c r="AX33" s="2005">
        <f t="shared" ref="AX33:BD33" si="134">$J$33</f>
        <v>0.4838709677419355</v>
      </c>
      <c r="AY33" s="2005">
        <f t="shared" si="134"/>
        <v>0.4838709677419355</v>
      </c>
      <c r="AZ33" s="2005">
        <f t="shared" si="134"/>
        <v>0.4838709677419355</v>
      </c>
      <c r="BA33" s="2005">
        <f t="shared" si="134"/>
        <v>0.4838709677419355</v>
      </c>
      <c r="BB33" s="2005">
        <f t="shared" si="134"/>
        <v>0.4838709677419355</v>
      </c>
      <c r="BC33" s="2005">
        <f t="shared" si="134"/>
        <v>0.4838709677419355</v>
      </c>
      <c r="BD33" s="2005">
        <f t="shared" si="134"/>
        <v>0.4838709677419355</v>
      </c>
      <c r="BE33" s="2295"/>
      <c r="BF33" s="2481">
        <f t="shared" si="47"/>
        <v>3.3870967741935485</v>
      </c>
      <c r="BG33" s="2482">
        <f t="shared" si="36"/>
        <v>5.4344424376445426</v>
      </c>
      <c r="BH33" s="2483">
        <f t="shared" si="48"/>
        <v>2.0473456634509941</v>
      </c>
      <c r="BI33" s="2930"/>
      <c r="BJ33" s="2001">
        <f t="shared" ref="BJ33:BL33" si="135">$J$33</f>
        <v>0.4838709677419355</v>
      </c>
      <c r="BK33" s="2005">
        <f t="shared" si="135"/>
        <v>0.4838709677419355</v>
      </c>
      <c r="BL33" s="2005">
        <f t="shared" si="135"/>
        <v>0.4838709677419355</v>
      </c>
      <c r="BM33" s="2930"/>
      <c r="BN33" s="2481">
        <f t="shared" si="24"/>
        <v>1.4516129032258065</v>
      </c>
      <c r="BO33" s="2482">
        <f t="shared" si="25"/>
        <v>2.6337813281075633</v>
      </c>
      <c r="BP33" s="2483">
        <f t="shared" si="78"/>
        <v>1.1821684248817568</v>
      </c>
      <c r="BR33" s="1898">
        <v>0</v>
      </c>
      <c r="BS33" s="1899">
        <f t="shared" si="26"/>
        <v>0</v>
      </c>
      <c r="BT33" s="1900"/>
      <c r="BU33" s="2388">
        <f t="shared" si="27"/>
        <v>10.64516129032258</v>
      </c>
      <c r="BV33" s="2389">
        <f t="shared" si="28"/>
        <v>0.70967741935483863</v>
      </c>
      <c r="BW33" s="2010"/>
      <c r="BX33" s="2929"/>
      <c r="BZ33" s="2929"/>
      <c r="CA33" s="2480"/>
      <c r="CB33" s="1962"/>
      <c r="CC33" s="1960"/>
      <c r="CD33" s="1906"/>
      <c r="CE33" s="1906"/>
      <c r="CF33" s="1906"/>
      <c r="CG33" s="1906"/>
      <c r="CH33" s="1906"/>
      <c r="CI33" s="2386"/>
    </row>
    <row r="34" spans="1:87" s="1726" customFormat="1" x14ac:dyDescent="0.2">
      <c r="B34" s="1963">
        <v>32</v>
      </c>
      <c r="C34" s="1963" t="s">
        <v>259</v>
      </c>
      <c r="D34" s="2578"/>
      <c r="E34" s="1728">
        <v>15</v>
      </c>
      <c r="F34" s="1728">
        <v>5</v>
      </c>
      <c r="G34" s="1728">
        <v>3.3333333333333335</v>
      </c>
      <c r="H34" s="1728">
        <v>2.5</v>
      </c>
      <c r="I34" s="1728">
        <v>2</v>
      </c>
      <c r="J34" s="1728">
        <f t="shared" si="29"/>
        <v>0.4838709677419355</v>
      </c>
      <c r="K34" s="1729">
        <f t="shared" si="18"/>
        <v>7.3606113897942355E-3</v>
      </c>
      <c r="L34" s="1931"/>
      <c r="M34" s="1924"/>
      <c r="N34" s="1728"/>
      <c r="O34" s="1728"/>
      <c r="P34" s="1728"/>
      <c r="Q34" s="1728"/>
      <c r="R34" s="1728"/>
      <c r="S34" s="1728">
        <f t="shared" ref="S34" si="136">$J$34</f>
        <v>0.4838709677419355</v>
      </c>
      <c r="T34" s="1728"/>
      <c r="U34" s="2935"/>
      <c r="V34" s="2016">
        <f t="shared" si="52"/>
        <v>0.4838709677419355</v>
      </c>
      <c r="W34" s="2017">
        <f t="shared" si="58"/>
        <v>0.25026078725300399</v>
      </c>
      <c r="X34" s="2018">
        <f t="shared" si="39"/>
        <v>-0.23361018048893151</v>
      </c>
      <c r="Y34" s="1881"/>
      <c r="Z34" s="1728"/>
      <c r="AA34" s="1728"/>
      <c r="AB34" s="1728"/>
      <c r="AC34" s="1728">
        <f t="shared" ref="AC34:AF34" si="137">$J$34</f>
        <v>0.4838709677419355</v>
      </c>
      <c r="AD34" s="1728">
        <f t="shared" si="137"/>
        <v>0.4838709677419355</v>
      </c>
      <c r="AE34" s="1728">
        <f t="shared" si="137"/>
        <v>0.4838709677419355</v>
      </c>
      <c r="AF34" s="1728">
        <f t="shared" si="137"/>
        <v>0.4838709677419355</v>
      </c>
      <c r="AG34" s="1881"/>
      <c r="AH34" s="2016">
        <f t="shared" si="111"/>
        <v>1.935483870967742</v>
      </c>
      <c r="AI34" s="2017">
        <f t="shared" si="32"/>
        <v>1.3440991640561559</v>
      </c>
      <c r="AJ34" s="2018">
        <f t="shared" si="112"/>
        <v>-0.59138470691158607</v>
      </c>
      <c r="AK34" s="1881"/>
      <c r="AL34" s="2268">
        <f t="shared" ref="AL34:AR34" si="138">$J$34</f>
        <v>0.4838709677419355</v>
      </c>
      <c r="AM34" s="2268">
        <f t="shared" si="138"/>
        <v>0.4838709677419355</v>
      </c>
      <c r="AN34" s="2268">
        <f t="shared" si="138"/>
        <v>0.4838709677419355</v>
      </c>
      <c r="AO34" s="2268">
        <f t="shared" si="138"/>
        <v>0.4838709677419355</v>
      </c>
      <c r="AP34" s="2268">
        <f t="shared" si="138"/>
        <v>0.4838709677419355</v>
      </c>
      <c r="AQ34" s="2268">
        <f t="shared" si="138"/>
        <v>0.4838709677419355</v>
      </c>
      <c r="AR34" s="2268">
        <f t="shared" si="138"/>
        <v>0.4838709677419355</v>
      </c>
      <c r="AS34" s="2293"/>
      <c r="AT34" s="2016">
        <f t="shared" si="44"/>
        <v>3.3870967741935485</v>
      </c>
      <c r="AU34" s="2017">
        <f t="shared" si="34"/>
        <v>3.1859449521243679</v>
      </c>
      <c r="AV34" s="2018">
        <f t="shared" si="45"/>
        <v>-0.20115182206918059</v>
      </c>
      <c r="AW34" s="2293"/>
      <c r="AX34" s="2268">
        <f t="shared" ref="AX34:BD34" si="139">$J$34</f>
        <v>0.4838709677419355</v>
      </c>
      <c r="AY34" s="2268">
        <f t="shared" si="139"/>
        <v>0.4838709677419355</v>
      </c>
      <c r="AZ34" s="2268">
        <f t="shared" si="139"/>
        <v>0.4838709677419355</v>
      </c>
      <c r="BA34" s="2268">
        <f t="shared" si="139"/>
        <v>0.4838709677419355</v>
      </c>
      <c r="BB34" s="2268">
        <f t="shared" si="139"/>
        <v>0.4838709677419355</v>
      </c>
      <c r="BC34" s="2268">
        <f t="shared" si="139"/>
        <v>0.4838709677419355</v>
      </c>
      <c r="BD34" s="2268">
        <f t="shared" si="139"/>
        <v>0.4838709677419355</v>
      </c>
      <c r="BE34" s="2293"/>
      <c r="BF34" s="2016">
        <f t="shared" si="47"/>
        <v>3.3870967741935485</v>
      </c>
      <c r="BG34" s="2017">
        <f t="shared" si="36"/>
        <v>5.4344424376445426</v>
      </c>
      <c r="BH34" s="2018">
        <f t="shared" si="48"/>
        <v>2.0473456634509941</v>
      </c>
      <c r="BI34" s="2935"/>
      <c r="BJ34" s="1728">
        <f t="shared" ref="BJ34:BL34" si="140">$J$34</f>
        <v>0.4838709677419355</v>
      </c>
      <c r="BK34" s="2268">
        <f t="shared" si="140"/>
        <v>0.4838709677419355</v>
      </c>
      <c r="BL34" s="2268">
        <f t="shared" si="140"/>
        <v>0.4838709677419355</v>
      </c>
      <c r="BM34" s="2935"/>
      <c r="BN34" s="2016">
        <f t="shared" si="24"/>
        <v>1.4516129032258065</v>
      </c>
      <c r="BO34" s="2017">
        <f t="shared" si="25"/>
        <v>2.6337813281075633</v>
      </c>
      <c r="BP34" s="2018">
        <f t="shared" si="78"/>
        <v>1.1821684248817568</v>
      </c>
      <c r="BR34" s="1732">
        <v>0</v>
      </c>
      <c r="BS34" s="1882">
        <f t="shared" si="26"/>
        <v>0</v>
      </c>
      <c r="BT34" s="1740"/>
      <c r="BU34" s="2019">
        <f t="shared" si="27"/>
        <v>10.64516129032258</v>
      </c>
      <c r="BV34" s="2020">
        <f t="shared" si="28"/>
        <v>0.70967741935483863</v>
      </c>
      <c r="BW34" s="1997"/>
      <c r="BX34" s="2933"/>
      <c r="BZ34" s="2933"/>
      <c r="CA34" s="2015"/>
      <c r="CB34" s="1830"/>
      <c r="CC34" s="1817"/>
      <c r="CD34" s="1810"/>
      <c r="CE34" s="1810"/>
      <c r="CF34" s="1810"/>
      <c r="CG34" s="1810"/>
      <c r="CH34" s="1810"/>
      <c r="CI34" s="1986"/>
    </row>
    <row r="35" spans="1:87" s="1885" customFormat="1" x14ac:dyDescent="0.2">
      <c r="B35" s="2000">
        <v>33</v>
      </c>
      <c r="C35" s="2000" t="s">
        <v>244</v>
      </c>
      <c r="D35" s="2579"/>
      <c r="E35" s="2001">
        <v>5</v>
      </c>
      <c r="F35" s="2001">
        <v>5</v>
      </c>
      <c r="G35" s="2001">
        <v>3.3333333333333335</v>
      </c>
      <c r="H35" s="2001">
        <v>2.5</v>
      </c>
      <c r="I35" s="2001">
        <v>2</v>
      </c>
      <c r="J35" s="2001">
        <f t="shared" si="29"/>
        <v>0.16129032258064516</v>
      </c>
      <c r="K35" s="2584">
        <f t="shared" si="18"/>
        <v>2.453537129931412E-3</v>
      </c>
      <c r="L35" s="2003"/>
      <c r="M35" s="1950"/>
      <c r="N35" s="2001"/>
      <c r="O35" s="2001"/>
      <c r="P35" s="2001"/>
      <c r="Q35" s="2001"/>
      <c r="R35" s="2001"/>
      <c r="S35" s="2001">
        <f t="shared" ref="S35" si="141">$J$35</f>
        <v>0.16129032258064516</v>
      </c>
      <c r="T35" s="2001"/>
      <c r="U35" s="2930"/>
      <c r="V35" s="2481">
        <f t="shared" si="52"/>
        <v>0.16129032258064516</v>
      </c>
      <c r="W35" s="2482">
        <f t="shared" si="58"/>
        <v>8.3420262417668006E-2</v>
      </c>
      <c r="X35" s="2483">
        <f t="shared" si="39"/>
        <v>-7.787006016297715E-2</v>
      </c>
      <c r="Y35" s="1896"/>
      <c r="Z35" s="2001"/>
      <c r="AA35" s="2001"/>
      <c r="AB35" s="2001"/>
      <c r="AC35" s="2001">
        <f t="shared" ref="AC35:AF35" si="142">$J$35</f>
        <v>0.16129032258064516</v>
      </c>
      <c r="AD35" s="2001">
        <f t="shared" si="142"/>
        <v>0.16129032258064516</v>
      </c>
      <c r="AE35" s="2001">
        <f t="shared" si="142"/>
        <v>0.16129032258064516</v>
      </c>
      <c r="AF35" s="2001">
        <f t="shared" si="142"/>
        <v>0.16129032258064516</v>
      </c>
      <c r="AG35" s="1896"/>
      <c r="AH35" s="2481">
        <f t="shared" si="111"/>
        <v>0.64516129032258063</v>
      </c>
      <c r="AI35" s="2482">
        <f t="shared" si="32"/>
        <v>0.44803305468538535</v>
      </c>
      <c r="AJ35" s="2483">
        <f t="shared" si="112"/>
        <v>-0.19712823563719528</v>
      </c>
      <c r="AK35" s="1896"/>
      <c r="AL35" s="2005">
        <f t="shared" ref="AL35:AR35" si="143">$J$35</f>
        <v>0.16129032258064516</v>
      </c>
      <c r="AM35" s="2005">
        <f t="shared" si="143"/>
        <v>0.16129032258064516</v>
      </c>
      <c r="AN35" s="2005">
        <f t="shared" si="143"/>
        <v>0.16129032258064516</v>
      </c>
      <c r="AO35" s="2005">
        <f t="shared" si="143"/>
        <v>0.16129032258064516</v>
      </c>
      <c r="AP35" s="2005">
        <f t="shared" si="143"/>
        <v>0.16129032258064516</v>
      </c>
      <c r="AQ35" s="2005">
        <f t="shared" si="143"/>
        <v>0.16129032258064516</v>
      </c>
      <c r="AR35" s="2005">
        <f t="shared" si="143"/>
        <v>0.16129032258064516</v>
      </c>
      <c r="AS35" s="2295"/>
      <c r="AT35" s="2481">
        <f t="shared" si="44"/>
        <v>1.129032258064516</v>
      </c>
      <c r="AU35" s="2482">
        <f t="shared" si="34"/>
        <v>1.0619816507081228</v>
      </c>
      <c r="AV35" s="2483">
        <f t="shared" si="45"/>
        <v>-6.7050607356393233E-2</v>
      </c>
      <c r="AW35" s="2295"/>
      <c r="AX35" s="2005">
        <f t="shared" ref="AX35:BD35" si="144">$J$35</f>
        <v>0.16129032258064516</v>
      </c>
      <c r="AY35" s="2005">
        <f t="shared" si="144"/>
        <v>0.16129032258064516</v>
      </c>
      <c r="AZ35" s="2005">
        <f t="shared" si="144"/>
        <v>0.16129032258064516</v>
      </c>
      <c r="BA35" s="2005">
        <f t="shared" si="144"/>
        <v>0.16129032258064516</v>
      </c>
      <c r="BB35" s="2005">
        <f t="shared" si="144"/>
        <v>0.16129032258064516</v>
      </c>
      <c r="BC35" s="2005">
        <f t="shared" si="144"/>
        <v>0.16129032258064516</v>
      </c>
      <c r="BD35" s="2005">
        <f t="shared" si="144"/>
        <v>0.16129032258064516</v>
      </c>
      <c r="BE35" s="2295"/>
      <c r="BF35" s="2481">
        <f t="shared" si="47"/>
        <v>1.129032258064516</v>
      </c>
      <c r="BG35" s="2482">
        <f t="shared" si="36"/>
        <v>1.8114808125481807</v>
      </c>
      <c r="BH35" s="2483">
        <f t="shared" si="48"/>
        <v>0.6824485544836647</v>
      </c>
      <c r="BI35" s="2930"/>
      <c r="BJ35" s="2001">
        <f t="shared" ref="BJ35:BL35" si="145">$J$35</f>
        <v>0.16129032258064516</v>
      </c>
      <c r="BK35" s="2005">
        <f t="shared" si="145"/>
        <v>0.16129032258064516</v>
      </c>
      <c r="BL35" s="2005">
        <f t="shared" si="145"/>
        <v>0.16129032258064516</v>
      </c>
      <c r="BM35" s="2930"/>
      <c r="BN35" s="2481">
        <f t="shared" si="24"/>
        <v>0.4838709677419355</v>
      </c>
      <c r="BO35" s="2482">
        <f t="shared" si="25"/>
        <v>0.87792710936918783</v>
      </c>
      <c r="BP35" s="2483">
        <f t="shared" si="78"/>
        <v>0.39405614162725233</v>
      </c>
      <c r="BR35" s="1898">
        <v>0</v>
      </c>
      <c r="BS35" s="1899">
        <f t="shared" si="26"/>
        <v>0</v>
      </c>
      <c r="BT35" s="1900"/>
      <c r="BU35" s="2388">
        <f t="shared" si="27"/>
        <v>3.5483870967741935</v>
      </c>
      <c r="BV35" s="2389">
        <f t="shared" si="28"/>
        <v>0.70967741935483875</v>
      </c>
      <c r="BW35" s="2010"/>
      <c r="BX35" s="2929"/>
      <c r="BZ35" s="2929"/>
      <c r="CA35" s="2480"/>
      <c r="CB35" s="1962"/>
      <c r="CC35" s="1960"/>
      <c r="CD35" s="1906"/>
      <c r="CE35" s="1906"/>
      <c r="CF35" s="1906"/>
      <c r="CG35" s="1906"/>
      <c r="CH35" s="1906"/>
      <c r="CI35" s="2386"/>
    </row>
    <row r="36" spans="1:87" s="1726" customFormat="1" x14ac:dyDescent="0.2">
      <c r="B36" s="2508">
        <v>34</v>
      </c>
      <c r="C36" s="1963" t="s">
        <v>214</v>
      </c>
      <c r="D36" s="2578"/>
      <c r="E36" s="1728">
        <v>63</v>
      </c>
      <c r="F36" s="1728">
        <v>75.3</v>
      </c>
      <c r="G36" s="1728">
        <v>50.2</v>
      </c>
      <c r="H36" s="1728">
        <v>37.65</v>
      </c>
      <c r="I36" s="1728">
        <v>30.12</v>
      </c>
      <c r="J36" s="1728">
        <f t="shared" si="29"/>
        <v>2.032258064516129</v>
      </c>
      <c r="K36" s="1729">
        <f t="shared" si="18"/>
        <v>3.0914567837135792E-2</v>
      </c>
      <c r="L36" s="1931"/>
      <c r="M36" s="1924"/>
      <c r="N36" s="1728"/>
      <c r="O36" s="1728"/>
      <c r="P36" s="1728"/>
      <c r="Q36" s="1728"/>
      <c r="R36" s="1728"/>
      <c r="S36" s="1728">
        <f t="shared" ref="S36" si="146">$J$36</f>
        <v>2.032258064516129</v>
      </c>
      <c r="T36" s="1728"/>
      <c r="U36" s="2935"/>
      <c r="V36" s="2016">
        <f t="shared" si="52"/>
        <v>2.032258064516129</v>
      </c>
      <c r="W36" s="2017">
        <f t="shared" si="58"/>
        <v>1.051095306462617</v>
      </c>
      <c r="X36" s="2018">
        <f t="shared" si="39"/>
        <v>-0.98116275805351205</v>
      </c>
      <c r="Y36" s="1881"/>
      <c r="Z36" s="1728"/>
      <c r="AA36" s="1728"/>
      <c r="AB36" s="1728"/>
      <c r="AC36" s="1728">
        <f t="shared" ref="AC36:AF36" si="147">$J$36</f>
        <v>2.032258064516129</v>
      </c>
      <c r="AD36" s="1728">
        <f t="shared" si="147"/>
        <v>2.032258064516129</v>
      </c>
      <c r="AE36" s="1728">
        <f t="shared" si="147"/>
        <v>2.032258064516129</v>
      </c>
      <c r="AF36" s="1728">
        <f t="shared" si="147"/>
        <v>2.032258064516129</v>
      </c>
      <c r="AG36" s="1881"/>
      <c r="AH36" s="2016">
        <f t="shared" si="41"/>
        <v>8.129032258064516</v>
      </c>
      <c r="AI36" s="2017">
        <f t="shared" si="32"/>
        <v>5.6452164890358558</v>
      </c>
      <c r="AJ36" s="2018">
        <f t="shared" si="42"/>
        <v>-2.4838157690286602</v>
      </c>
      <c r="AK36" s="1881"/>
      <c r="AL36" s="2268">
        <f t="shared" ref="AL36:AR36" si="148">$J$36</f>
        <v>2.032258064516129</v>
      </c>
      <c r="AM36" s="2268">
        <f t="shared" si="148"/>
        <v>2.032258064516129</v>
      </c>
      <c r="AN36" s="2268">
        <f t="shared" si="148"/>
        <v>2.032258064516129</v>
      </c>
      <c r="AO36" s="2268">
        <f t="shared" si="148"/>
        <v>2.032258064516129</v>
      </c>
      <c r="AP36" s="2268">
        <f t="shared" si="148"/>
        <v>2.032258064516129</v>
      </c>
      <c r="AQ36" s="2268">
        <f t="shared" si="148"/>
        <v>2.032258064516129</v>
      </c>
      <c r="AR36" s="2268">
        <f t="shared" si="148"/>
        <v>2.032258064516129</v>
      </c>
      <c r="AS36" s="2293"/>
      <c r="AT36" s="2016">
        <f t="shared" si="44"/>
        <v>14.2258064516129</v>
      </c>
      <c r="AU36" s="2017">
        <f t="shared" si="34"/>
        <v>13.380968798922348</v>
      </c>
      <c r="AV36" s="2018">
        <f t="shared" si="45"/>
        <v>-0.84483765269055233</v>
      </c>
      <c r="AW36" s="2293"/>
      <c r="AX36" s="2268">
        <f t="shared" ref="AX36:BD36" si="149">$J$36</f>
        <v>2.032258064516129</v>
      </c>
      <c r="AY36" s="2268">
        <f t="shared" si="149"/>
        <v>2.032258064516129</v>
      </c>
      <c r="AZ36" s="2268">
        <f t="shared" si="149"/>
        <v>2.032258064516129</v>
      </c>
      <c r="BA36" s="2268">
        <f t="shared" si="149"/>
        <v>2.032258064516129</v>
      </c>
      <c r="BB36" s="2268">
        <f t="shared" si="149"/>
        <v>2.032258064516129</v>
      </c>
      <c r="BC36" s="2268">
        <f t="shared" si="149"/>
        <v>2.032258064516129</v>
      </c>
      <c r="BD36" s="2268">
        <f t="shared" si="149"/>
        <v>2.032258064516129</v>
      </c>
      <c r="BE36" s="2293"/>
      <c r="BF36" s="2016">
        <f t="shared" si="47"/>
        <v>14.2258064516129</v>
      </c>
      <c r="BG36" s="2017">
        <f t="shared" si="36"/>
        <v>22.824658238107084</v>
      </c>
      <c r="BH36" s="2018">
        <f t="shared" si="48"/>
        <v>8.5988517864941834</v>
      </c>
      <c r="BI36" s="2935"/>
      <c r="BJ36" s="1728">
        <f t="shared" ref="BJ36:BL36" si="150">$J$36</f>
        <v>2.032258064516129</v>
      </c>
      <c r="BK36" s="2268">
        <f t="shared" si="150"/>
        <v>2.032258064516129</v>
      </c>
      <c r="BL36" s="2268">
        <f t="shared" si="150"/>
        <v>2.032258064516129</v>
      </c>
      <c r="BM36" s="2935"/>
      <c r="BN36" s="2016">
        <f>SUM(BJ36:BL36)</f>
        <v>6.096774193548387</v>
      </c>
      <c r="BO36" s="2017">
        <f t="shared" si="25"/>
        <v>11.061881578051766</v>
      </c>
      <c r="BP36" s="2018">
        <f t="shared" si="78"/>
        <v>4.9651073845033791</v>
      </c>
      <c r="BR36" s="1732">
        <v>0</v>
      </c>
      <c r="BS36" s="1882">
        <f t="shared" si="26"/>
        <v>0</v>
      </c>
      <c r="BT36" s="1740"/>
      <c r="BU36" s="2019">
        <f t="shared" si="27"/>
        <v>44.709677419354833</v>
      </c>
      <c r="BV36" s="2020">
        <f t="shared" si="28"/>
        <v>0.70967741935483863</v>
      </c>
      <c r="BW36" s="1997"/>
      <c r="BX36" s="2933"/>
      <c r="BZ36" s="2933"/>
      <c r="CA36" s="2015"/>
      <c r="CB36" s="1830"/>
      <c r="CC36" s="1817"/>
      <c r="CD36" s="1810"/>
      <c r="CE36" s="1810"/>
      <c r="CF36" s="1810"/>
      <c r="CG36" s="1810"/>
      <c r="CH36" s="1810"/>
      <c r="CI36" s="1986"/>
    </row>
    <row r="37" spans="1:87" x14ac:dyDescent="0.2">
      <c r="B37" s="1987">
        <v>35</v>
      </c>
      <c r="C37" s="1987" t="s">
        <v>208</v>
      </c>
      <c r="D37" s="1836"/>
      <c r="E37" s="1746">
        <v>0</v>
      </c>
      <c r="F37" s="1746"/>
      <c r="G37" s="1746"/>
      <c r="H37" s="1746"/>
      <c r="I37" s="1746"/>
      <c r="J37" s="1746">
        <f t="shared" si="29"/>
        <v>0</v>
      </c>
      <c r="K37" s="2583">
        <f t="shared" si="18"/>
        <v>0</v>
      </c>
      <c r="L37" s="1866"/>
      <c r="M37" s="1867"/>
      <c r="N37" s="1746"/>
      <c r="O37" s="1746"/>
      <c r="P37" s="1746"/>
      <c r="Q37" s="1746"/>
      <c r="R37" s="1746"/>
      <c r="S37" s="1746">
        <f t="shared" ref="S37" si="151">$J$37</f>
        <v>0</v>
      </c>
      <c r="T37" s="1746"/>
      <c r="U37" s="2934"/>
      <c r="V37" s="2953">
        <f t="shared" si="52"/>
        <v>0</v>
      </c>
      <c r="W37" s="2954">
        <f t="shared" si="58"/>
        <v>0</v>
      </c>
      <c r="X37" s="2955">
        <f t="shared" si="39"/>
        <v>0</v>
      </c>
      <c r="Y37" s="1914"/>
      <c r="Z37" s="1746"/>
      <c r="AA37" s="1746"/>
      <c r="AB37" s="1746"/>
      <c r="AC37" s="1746">
        <f t="shared" ref="AC37:AF37" si="152">$J$37</f>
        <v>0</v>
      </c>
      <c r="AD37" s="1746">
        <f t="shared" si="152"/>
        <v>0</v>
      </c>
      <c r="AE37" s="1746">
        <f t="shared" si="152"/>
        <v>0</v>
      </c>
      <c r="AF37" s="1746">
        <f t="shared" si="152"/>
        <v>0</v>
      </c>
      <c r="AG37" s="1914"/>
      <c r="AH37" s="2953">
        <f t="shared" si="41"/>
        <v>0</v>
      </c>
      <c r="AI37" s="2954">
        <f t="shared" si="32"/>
        <v>0</v>
      </c>
      <c r="AJ37" s="2955">
        <f t="shared" si="42"/>
        <v>0</v>
      </c>
      <c r="AK37" s="1914"/>
      <c r="AL37" s="1990">
        <f t="shared" ref="AL37:AR37" si="153">$J$37</f>
        <v>0</v>
      </c>
      <c r="AM37" s="1990">
        <f t="shared" si="153"/>
        <v>0</v>
      </c>
      <c r="AN37" s="1990">
        <f t="shared" si="153"/>
        <v>0</v>
      </c>
      <c r="AO37" s="1990">
        <f t="shared" si="153"/>
        <v>0</v>
      </c>
      <c r="AP37" s="1990">
        <f t="shared" si="153"/>
        <v>0</v>
      </c>
      <c r="AQ37" s="1990">
        <f t="shared" si="153"/>
        <v>0</v>
      </c>
      <c r="AR37" s="1990">
        <f t="shared" si="153"/>
        <v>0</v>
      </c>
      <c r="AS37" s="2297"/>
      <c r="AT37" s="2953">
        <f t="shared" si="44"/>
        <v>0</v>
      </c>
      <c r="AU37" s="2954">
        <f t="shared" si="34"/>
        <v>0</v>
      </c>
      <c r="AV37" s="2955">
        <f t="shared" si="45"/>
        <v>0</v>
      </c>
      <c r="AW37" s="2297"/>
      <c r="AX37" s="1990">
        <f t="shared" ref="AX37:BD37" si="154">$J$37</f>
        <v>0</v>
      </c>
      <c r="AY37" s="1990">
        <f t="shared" si="154"/>
        <v>0</v>
      </c>
      <c r="AZ37" s="1990">
        <f t="shared" si="154"/>
        <v>0</v>
      </c>
      <c r="BA37" s="1990">
        <f t="shared" si="154"/>
        <v>0</v>
      </c>
      <c r="BB37" s="1990">
        <f t="shared" si="154"/>
        <v>0</v>
      </c>
      <c r="BC37" s="1990">
        <f t="shared" si="154"/>
        <v>0</v>
      </c>
      <c r="BD37" s="1990">
        <f t="shared" si="154"/>
        <v>0</v>
      </c>
      <c r="BE37" s="2297"/>
      <c r="BF37" s="2953">
        <f t="shared" si="47"/>
        <v>0</v>
      </c>
      <c r="BG37" s="2954">
        <f t="shared" si="36"/>
        <v>0</v>
      </c>
      <c r="BH37" s="2955">
        <f t="shared" si="48"/>
        <v>0</v>
      </c>
      <c r="BI37" s="2934"/>
      <c r="BJ37" s="1746">
        <f t="shared" ref="BJ37:BL37" si="155">$J$37</f>
        <v>0</v>
      </c>
      <c r="BK37" s="1990">
        <f t="shared" si="155"/>
        <v>0</v>
      </c>
      <c r="BL37" s="1990">
        <f t="shared" si="155"/>
        <v>0</v>
      </c>
      <c r="BM37" s="2934"/>
      <c r="BN37" s="2953">
        <f>SUM(BJ37:BL37)</f>
        <v>0</v>
      </c>
      <c r="BO37" s="2954">
        <f t="shared" si="25"/>
        <v>0</v>
      </c>
      <c r="BP37" s="2955">
        <f t="shared" si="78"/>
        <v>0</v>
      </c>
      <c r="BR37" s="1747">
        <v>0</v>
      </c>
      <c r="BS37" s="1752" t="e">
        <f t="shared" si="26"/>
        <v>#DIV/0!</v>
      </c>
      <c r="BT37" s="1754"/>
      <c r="BU37" s="2956">
        <f t="shared" si="27"/>
        <v>0</v>
      </c>
      <c r="BV37" s="2957" t="e">
        <f t="shared" si="28"/>
        <v>#DIV/0!</v>
      </c>
      <c r="BW37" s="1993"/>
      <c r="BX37" s="1916"/>
      <c r="BZ37" s="1916"/>
      <c r="CA37" s="2960"/>
      <c r="CB37" s="1802"/>
      <c r="CC37" s="1806"/>
      <c r="CD37" s="1800"/>
      <c r="CE37" s="1800"/>
      <c r="CF37" s="1800"/>
      <c r="CG37" s="1800"/>
      <c r="CH37" s="1800"/>
      <c r="CI37" s="2959"/>
    </row>
    <row r="38" spans="1:87" s="1726" customFormat="1" ht="17.25" thickBot="1" x14ac:dyDescent="0.25">
      <c r="B38" s="1963">
        <v>36</v>
      </c>
      <c r="C38" s="1963" t="s">
        <v>261</v>
      </c>
      <c r="D38" s="2578"/>
      <c r="E38" s="1728">
        <v>0</v>
      </c>
      <c r="F38" s="1728">
        <v>5</v>
      </c>
      <c r="G38" s="1728">
        <v>3.3333333333333335</v>
      </c>
      <c r="H38" s="1728">
        <v>2.5</v>
      </c>
      <c r="I38" s="1728">
        <v>2</v>
      </c>
      <c r="J38" s="1728">
        <f t="shared" si="29"/>
        <v>0</v>
      </c>
      <c r="K38" s="1729">
        <f t="shared" si="18"/>
        <v>0</v>
      </c>
      <c r="L38" s="1931"/>
      <c r="M38" s="1924"/>
      <c r="N38" s="1728"/>
      <c r="O38" s="1728"/>
      <c r="P38" s="1728"/>
      <c r="Q38" s="1728"/>
      <c r="R38" s="1728"/>
      <c r="S38" s="1728">
        <f t="shared" ref="S38" si="156">$J$38</f>
        <v>0</v>
      </c>
      <c r="T38" s="1728"/>
      <c r="U38" s="2935"/>
      <c r="V38" s="2799">
        <f>SUM(N38:T38)</f>
        <v>0</v>
      </c>
      <c r="W38" s="2800">
        <f t="shared" si="58"/>
        <v>0</v>
      </c>
      <c r="X38" s="2801">
        <f>W38-V38</f>
        <v>0</v>
      </c>
      <c r="Y38" s="1881"/>
      <c r="Z38" s="1728"/>
      <c r="AA38" s="1728"/>
      <c r="AB38" s="1728"/>
      <c r="AC38" s="1728">
        <f t="shared" ref="AC38:AF38" si="157">$J$38</f>
        <v>0</v>
      </c>
      <c r="AD38" s="1728">
        <f t="shared" si="157"/>
        <v>0</v>
      </c>
      <c r="AE38" s="1728">
        <f t="shared" si="157"/>
        <v>0</v>
      </c>
      <c r="AF38" s="1728">
        <f t="shared" si="157"/>
        <v>0</v>
      </c>
      <c r="AG38" s="1881"/>
      <c r="AH38" s="2799">
        <f t="shared" si="41"/>
        <v>0</v>
      </c>
      <c r="AI38" s="2800">
        <f t="shared" si="32"/>
        <v>0</v>
      </c>
      <c r="AJ38" s="2801">
        <f t="shared" si="42"/>
        <v>0</v>
      </c>
      <c r="AK38" s="1881"/>
      <c r="AL38" s="2268">
        <f t="shared" ref="AL38:AR38" si="158">$J$38</f>
        <v>0</v>
      </c>
      <c r="AM38" s="2268">
        <f t="shared" si="158"/>
        <v>0</v>
      </c>
      <c r="AN38" s="2268">
        <f t="shared" si="158"/>
        <v>0</v>
      </c>
      <c r="AO38" s="2268">
        <f t="shared" si="158"/>
        <v>0</v>
      </c>
      <c r="AP38" s="2268">
        <f t="shared" si="158"/>
        <v>0</v>
      </c>
      <c r="AQ38" s="2268">
        <f t="shared" si="158"/>
        <v>0</v>
      </c>
      <c r="AR38" s="2268">
        <f t="shared" si="158"/>
        <v>0</v>
      </c>
      <c r="AS38" s="2293"/>
      <c r="AT38" s="2799">
        <f t="shared" si="44"/>
        <v>0</v>
      </c>
      <c r="AU38" s="2800">
        <f t="shared" si="34"/>
        <v>0</v>
      </c>
      <c r="AV38" s="2801">
        <f t="shared" si="45"/>
        <v>0</v>
      </c>
      <c r="AW38" s="2293"/>
      <c r="AX38" s="2268">
        <f t="shared" ref="AX38:BD38" si="159">$J$38</f>
        <v>0</v>
      </c>
      <c r="AY38" s="2268">
        <f t="shared" si="159"/>
        <v>0</v>
      </c>
      <c r="AZ38" s="2268">
        <f t="shared" si="159"/>
        <v>0</v>
      </c>
      <c r="BA38" s="2268">
        <f t="shared" si="159"/>
        <v>0</v>
      </c>
      <c r="BB38" s="2268">
        <f t="shared" si="159"/>
        <v>0</v>
      </c>
      <c r="BC38" s="2268">
        <f t="shared" si="159"/>
        <v>0</v>
      </c>
      <c r="BD38" s="2268">
        <f t="shared" si="159"/>
        <v>0</v>
      </c>
      <c r="BE38" s="2293"/>
      <c r="BF38" s="2799">
        <f t="shared" si="47"/>
        <v>0</v>
      </c>
      <c r="BG38" s="2800">
        <f t="shared" si="36"/>
        <v>0</v>
      </c>
      <c r="BH38" s="2801">
        <f t="shared" si="48"/>
        <v>0</v>
      </c>
      <c r="BI38" s="2935"/>
      <c r="BJ38" s="1728">
        <f t="shared" ref="BJ38:BL38" si="160">$J$38</f>
        <v>0</v>
      </c>
      <c r="BK38" s="2268">
        <f t="shared" si="160"/>
        <v>0</v>
      </c>
      <c r="BL38" s="2268">
        <f t="shared" si="160"/>
        <v>0</v>
      </c>
      <c r="BM38" s="2935"/>
      <c r="BN38" s="2799">
        <f>SUM(BJ38:BL38)</f>
        <v>0</v>
      </c>
      <c r="BO38" s="2800">
        <f t="shared" si="25"/>
        <v>0</v>
      </c>
      <c r="BP38" s="2801">
        <f t="shared" si="78"/>
        <v>0</v>
      </c>
      <c r="BR38" s="1732">
        <v>0</v>
      </c>
      <c r="BS38" s="1882" t="e">
        <f t="shared" si="26"/>
        <v>#DIV/0!</v>
      </c>
      <c r="BT38" s="1740"/>
      <c r="BU38" s="2226">
        <f t="shared" si="27"/>
        <v>0</v>
      </c>
      <c r="BV38" s="2802" t="e">
        <f t="shared" si="28"/>
        <v>#DIV/0!</v>
      </c>
      <c r="BW38" s="1997"/>
      <c r="BX38" s="2933"/>
      <c r="BZ38" s="2933"/>
      <c r="CA38" s="2015"/>
      <c r="CB38" s="1997"/>
      <c r="CC38" s="1861"/>
      <c r="CD38" s="1860"/>
      <c r="CE38" s="1860"/>
      <c r="CF38" s="1860"/>
      <c r="CG38" s="1860"/>
      <c r="CH38" s="1860"/>
      <c r="CI38" s="1998"/>
    </row>
    <row r="39" spans="1:87" s="1923" customFormat="1" ht="4.5" customHeight="1" thickBot="1" x14ac:dyDescent="0.25">
      <c r="B39" s="2525"/>
      <c r="C39" s="2526"/>
      <c r="D39" s="1800"/>
      <c r="E39" s="2527"/>
      <c r="F39" s="2527"/>
      <c r="G39" s="2527"/>
      <c r="H39" s="2527"/>
      <c r="I39" s="2527"/>
      <c r="J39" s="2527"/>
      <c r="K39" s="2528"/>
      <c r="L39" s="1866"/>
      <c r="M39" s="1867"/>
      <c r="N39" s="2026"/>
      <c r="O39" s="2026"/>
      <c r="P39" s="2026"/>
      <c r="Q39" s="2026"/>
      <c r="R39" s="2026"/>
      <c r="S39" s="2026"/>
      <c r="T39" s="2026"/>
      <c r="U39" s="2934"/>
      <c r="V39" s="2934"/>
      <c r="W39" s="2934"/>
      <c r="X39" s="2934"/>
      <c r="Y39" s="1915"/>
      <c r="Z39" s="2026"/>
      <c r="AA39" s="2026"/>
      <c r="AB39" s="2026"/>
      <c r="AC39" s="2026"/>
      <c r="AD39" s="2026"/>
      <c r="AE39" s="2026"/>
      <c r="AF39" s="2026"/>
      <c r="AG39" s="1915"/>
      <c r="AH39" s="2934"/>
      <c r="AI39" s="2934"/>
      <c r="AJ39" s="2934"/>
      <c r="AK39" s="1915"/>
      <c r="AL39" s="2026"/>
      <c r="AM39" s="2026"/>
      <c r="AN39" s="2026"/>
      <c r="AO39" s="2026"/>
      <c r="AP39" s="2026"/>
      <c r="AQ39" s="2026"/>
      <c r="AR39" s="2026"/>
      <c r="AS39" s="2934"/>
      <c r="AT39" s="2934"/>
      <c r="AU39" s="2934"/>
      <c r="AV39" s="2934"/>
      <c r="AW39" s="2934"/>
      <c r="AX39" s="2026"/>
      <c r="AY39" s="2026"/>
      <c r="AZ39" s="2026"/>
      <c r="BA39" s="2026"/>
      <c r="BB39" s="2026"/>
      <c r="BC39" s="2026"/>
      <c r="BD39" s="2026"/>
      <c r="BE39" s="2934"/>
      <c r="BF39" s="2934"/>
      <c r="BG39" s="2934"/>
      <c r="BH39" s="2934"/>
      <c r="BI39" s="2934"/>
      <c r="BJ39" s="2026"/>
      <c r="BK39" s="2026"/>
      <c r="BL39" s="2026"/>
      <c r="BM39" s="2934"/>
      <c r="BN39" s="2934"/>
      <c r="BO39" s="2934"/>
      <c r="BP39" s="2934"/>
      <c r="BR39" s="2934"/>
      <c r="BS39" s="1993"/>
      <c r="BT39" s="1994"/>
      <c r="BU39" s="2027"/>
      <c r="BV39" s="2028"/>
      <c r="BW39" s="1993"/>
      <c r="BX39" s="1916"/>
      <c r="BZ39" s="1916"/>
      <c r="CA39" s="2966"/>
      <c r="CB39" s="2967"/>
      <c r="CC39" s="2968"/>
      <c r="CD39" s="1980"/>
      <c r="CE39" s="1980"/>
      <c r="CF39" s="1980"/>
      <c r="CG39" s="1980"/>
      <c r="CH39" s="1980"/>
      <c r="CI39" s="1980"/>
    </row>
    <row r="40" spans="1:87" s="1885" customFormat="1" ht="17.25" thickBot="1" x14ac:dyDescent="0.25">
      <c r="B40" s="2000"/>
      <c r="C40" s="2803">
        <f>E40*100/20</f>
        <v>10189.370967741936</v>
      </c>
      <c r="D40" s="1888"/>
      <c r="E40" s="2001">
        <f>SUM(E15:E38)/31*22</f>
        <v>2037.874193548387</v>
      </c>
      <c r="F40" s="2001">
        <f t="shared" ref="F40:K40" si="161">SUM(F15:F38)</f>
        <v>279.13333333333333</v>
      </c>
      <c r="G40" s="2001">
        <f t="shared" si="161"/>
        <v>186.08888888888887</v>
      </c>
      <c r="H40" s="2001">
        <f t="shared" si="161"/>
        <v>139.56666666666666</v>
      </c>
      <c r="I40" s="2001">
        <f t="shared" si="161"/>
        <v>111.65333333333334</v>
      </c>
      <c r="J40" s="2001">
        <f>SUM(J15:J38)</f>
        <v>92.630645161290317</v>
      </c>
      <c r="K40" s="2584">
        <f t="shared" si="161"/>
        <v>1.4090909090909096</v>
      </c>
      <c r="L40" s="1949"/>
      <c r="M40" s="1950"/>
      <c r="N40" s="2001">
        <f t="shared" ref="N40:T40" si="162">SUM(N15:N38)</f>
        <v>0</v>
      </c>
      <c r="O40" s="2001">
        <f t="shared" si="162"/>
        <v>0</v>
      </c>
      <c r="P40" s="2001">
        <f t="shared" si="162"/>
        <v>0</v>
      </c>
      <c r="Q40" s="2001">
        <f t="shared" si="162"/>
        <v>0</v>
      </c>
      <c r="R40" s="2001">
        <f t="shared" si="162"/>
        <v>0</v>
      </c>
      <c r="S40" s="2001">
        <f t="shared" si="162"/>
        <v>92.630645161290317</v>
      </c>
      <c r="T40" s="2001">
        <f t="shared" si="162"/>
        <v>0</v>
      </c>
      <c r="U40" s="2930"/>
      <c r="V40" s="2804">
        <f>SUM(V15:V38)</f>
        <v>92.630645161290317</v>
      </c>
      <c r="W40" s="2805">
        <f>SUM(W15:W38)</f>
        <v>47.909090909090935</v>
      </c>
      <c r="X40" s="2806">
        <f t="shared" ref="X40" si="163">SUM(X15:X38)</f>
        <v>-44.721554252199418</v>
      </c>
      <c r="Y40" s="1896"/>
      <c r="Z40" s="2001">
        <f t="shared" ref="Z40:AC40" si="164">SUM(Z15:Z38)</f>
        <v>0</v>
      </c>
      <c r="AA40" s="2001">
        <f t="shared" si="164"/>
        <v>0</v>
      </c>
      <c r="AB40" s="2001">
        <f t="shared" si="164"/>
        <v>0</v>
      </c>
      <c r="AC40" s="2001">
        <f t="shared" si="164"/>
        <v>92.630645161290317</v>
      </c>
      <c r="AD40" s="2001">
        <f t="shared" ref="AD40:AE40" si="165">SUM(AD15:AD38)</f>
        <v>92.630645161290317</v>
      </c>
      <c r="AE40" s="2001">
        <f t="shared" si="165"/>
        <v>92.630645161290317</v>
      </c>
      <c r="AF40" s="2001">
        <f t="shared" ref="AF40" si="166">SUM(AF15:AF38)</f>
        <v>92.630645161290317</v>
      </c>
      <c r="AG40" s="1896"/>
      <c r="AH40" s="2804">
        <f>SUM(AH15:AH38)</f>
        <v>370.52258064516127</v>
      </c>
      <c r="AI40" s="2805">
        <f>SUM(AI15:AI38)</f>
        <v>257.30986363636367</v>
      </c>
      <c r="AJ40" s="2806">
        <f>SUM(AJ15:AJ38)</f>
        <v>-113.21271700879765</v>
      </c>
      <c r="AK40" s="1896"/>
      <c r="AL40" s="2005">
        <f t="shared" ref="AL40:AM40" si="167">SUM(AL15:AL38)</f>
        <v>92.630645161290317</v>
      </c>
      <c r="AM40" s="2005">
        <f t="shared" si="167"/>
        <v>92.630645161290317</v>
      </c>
      <c r="AN40" s="2005">
        <f t="shared" ref="AN40:AQ40" si="168">SUM(AN15:AN38)</f>
        <v>92.630645161290317</v>
      </c>
      <c r="AO40" s="2005">
        <f t="shared" si="168"/>
        <v>92.630645161290317</v>
      </c>
      <c r="AP40" s="2005">
        <f t="shared" si="168"/>
        <v>92.630645161290317</v>
      </c>
      <c r="AQ40" s="2005">
        <f t="shared" si="168"/>
        <v>92.630645161290317</v>
      </c>
      <c r="AR40" s="2005">
        <f t="shared" ref="AR40" si="169">SUM(AR15:AR38)</f>
        <v>92.630645161290317</v>
      </c>
      <c r="AS40" s="2295"/>
      <c r="AT40" s="2804">
        <f>SUM(AT15:AT38)</f>
        <v>648.41451612903211</v>
      </c>
      <c r="AU40" s="2805">
        <f>SUM(AU15:AU38)</f>
        <v>609.90668181818216</v>
      </c>
      <c r="AV40" s="2806">
        <f>SUM(AV15:AV38)</f>
        <v>-38.507834310850285</v>
      </c>
      <c r="AW40" s="2295"/>
      <c r="AX40" s="2005">
        <f t="shared" ref="AX40" si="170">SUM(AX15:AX38)</f>
        <v>92.630645161290317</v>
      </c>
      <c r="AY40" s="2005">
        <f t="shared" ref="AY40:BC40" si="171">SUM(AY15:AY38)</f>
        <v>92.630645161290317</v>
      </c>
      <c r="AZ40" s="2005">
        <f t="shared" si="171"/>
        <v>92.630645161290317</v>
      </c>
      <c r="BA40" s="2005">
        <f t="shared" si="171"/>
        <v>92.630645161290317</v>
      </c>
      <c r="BB40" s="2005">
        <f t="shared" si="171"/>
        <v>92.630645161290317</v>
      </c>
      <c r="BC40" s="2005">
        <f t="shared" si="171"/>
        <v>92.630645161290317</v>
      </c>
      <c r="BD40" s="2005">
        <f t="shared" ref="BD40" si="172">SUM(BD15:BD38)</f>
        <v>92.630645161290317</v>
      </c>
      <c r="BE40" s="2295"/>
      <c r="BF40" s="2804">
        <f>SUM(BF15:BF38)</f>
        <v>648.41451612903211</v>
      </c>
      <c r="BG40" s="2805">
        <f>SUM(BG15:BG38)</f>
        <v>1040.3515454545459</v>
      </c>
      <c r="BH40" s="2806">
        <f>SUM(BH15:BH38)</f>
        <v>391.93702932551355</v>
      </c>
      <c r="BI40" s="2930"/>
      <c r="BJ40" s="2005">
        <f t="shared" ref="BJ40:BL40" si="173">SUM(BJ15:BJ38)</f>
        <v>92.630645161290317</v>
      </c>
      <c r="BK40" s="2005">
        <f t="shared" si="173"/>
        <v>92.630645161290317</v>
      </c>
      <c r="BL40" s="2005">
        <f t="shared" si="173"/>
        <v>92.630645161290317</v>
      </c>
      <c r="BM40" s="2930"/>
      <c r="BN40" s="2804">
        <f>SUM(BN15:BN38)</f>
        <v>277.89193548387101</v>
      </c>
      <c r="BO40" s="2805">
        <f>SUM(BO15:BO38)</f>
        <v>504.2023181818181</v>
      </c>
      <c r="BP40" s="2806">
        <f>SUM(BP15:BP38)</f>
        <v>226.3103826979472</v>
      </c>
      <c r="BR40" s="2397">
        <f>SUM(BR15:BR38)</f>
        <v>0</v>
      </c>
      <c r="BS40" s="2398">
        <f>BR40/E40</f>
        <v>0</v>
      </c>
      <c r="BT40" s="1900"/>
      <c r="BU40" s="2397">
        <f>SUM(BU15:BU38)</f>
        <v>2037.8741935483874</v>
      </c>
      <c r="BV40" s="2398">
        <f>BU40/E40</f>
        <v>1.0000000000000002</v>
      </c>
      <c r="BW40" s="2010"/>
      <c r="BX40" s="2929"/>
      <c r="BZ40" s="2929"/>
      <c r="CA40" s="1946"/>
      <c r="CB40" s="1946"/>
      <c r="CC40" s="1946"/>
      <c r="CD40" s="1946"/>
      <c r="CE40" s="1946"/>
      <c r="CF40" s="1946"/>
      <c r="CG40" s="1946"/>
      <c r="CH40" s="1946"/>
      <c r="CI40" s="1946"/>
    </row>
    <row r="41" spans="1:87" s="1947" customFormat="1" ht="4.5" customHeight="1" thickBot="1" x14ac:dyDescent="0.25">
      <c r="B41" s="2634"/>
      <c r="C41" s="2635"/>
      <c r="D41" s="1906"/>
      <c r="E41" s="2392"/>
      <c r="F41" s="2392"/>
      <c r="G41" s="2392"/>
      <c r="H41" s="2392"/>
      <c r="I41" s="2392"/>
      <c r="J41" s="2392"/>
      <c r="K41" s="2636"/>
      <c r="L41" s="1949"/>
      <c r="M41" s="1950"/>
      <c r="N41" s="2392"/>
      <c r="O41" s="2392"/>
      <c r="P41" s="2392"/>
      <c r="Q41" s="2392"/>
      <c r="R41" s="2392"/>
      <c r="S41" s="2392"/>
      <c r="T41" s="2392"/>
      <c r="U41" s="1951"/>
      <c r="V41" s="1951"/>
      <c r="W41" s="1951"/>
      <c r="X41" s="1951"/>
      <c r="Y41" s="1956"/>
      <c r="Z41" s="2392"/>
      <c r="AA41" s="2392"/>
      <c r="AB41" s="2392"/>
      <c r="AC41" s="2392"/>
      <c r="AD41" s="2392"/>
      <c r="AE41" s="2392"/>
      <c r="AF41" s="2392"/>
      <c r="AG41" s="1956"/>
      <c r="AH41" s="1951"/>
      <c r="AI41" s="1951"/>
      <c r="AJ41" s="1951"/>
      <c r="AK41" s="1956"/>
      <c r="AL41" s="2392"/>
      <c r="AM41" s="2392"/>
      <c r="AN41" s="2392"/>
      <c r="AO41" s="2392"/>
      <c r="AP41" s="2392"/>
      <c r="AQ41" s="2392"/>
      <c r="AR41" s="2392"/>
      <c r="AS41" s="1951"/>
      <c r="AT41" s="1951"/>
      <c r="AU41" s="1951"/>
      <c r="AV41" s="1951"/>
      <c r="AW41" s="1951"/>
      <c r="AX41" s="2392"/>
      <c r="AY41" s="2392"/>
      <c r="AZ41" s="2392"/>
      <c r="BA41" s="2392"/>
      <c r="BB41" s="2392"/>
      <c r="BC41" s="2392"/>
      <c r="BD41" s="2392"/>
      <c r="BE41" s="1951"/>
      <c r="BF41" s="1951"/>
      <c r="BG41" s="1951"/>
      <c r="BH41" s="1951"/>
      <c r="BI41" s="1951"/>
      <c r="BJ41" s="2392"/>
      <c r="BK41" s="2392"/>
      <c r="BL41" s="2392"/>
      <c r="BM41" s="1951"/>
      <c r="BN41" s="1951"/>
      <c r="BO41" s="1951"/>
      <c r="BP41" s="1951"/>
      <c r="BR41" s="1951"/>
      <c r="BS41" s="1962"/>
      <c r="BT41" s="1959"/>
      <c r="BU41" s="1951"/>
      <c r="BV41" s="1962"/>
      <c r="BW41" s="1962"/>
      <c r="BX41" s="1905"/>
      <c r="BZ41" s="1905"/>
      <c r="CA41" s="1906"/>
      <c r="CB41" s="1906"/>
      <c r="CC41" s="1906"/>
      <c r="CD41" s="1906"/>
      <c r="CE41" s="1906"/>
      <c r="CF41" s="1906"/>
      <c r="CG41" s="1906"/>
      <c r="CH41" s="1906"/>
      <c r="CI41" s="1906"/>
    </row>
    <row r="42" spans="1:87" s="1726" customFormat="1" ht="17.25" thickBot="1" x14ac:dyDescent="0.25">
      <c r="B42" s="1963">
        <v>37</v>
      </c>
      <c r="C42" s="1963"/>
      <c r="D42" s="1727"/>
      <c r="E42" s="1728"/>
      <c r="F42" s="1728"/>
      <c r="G42" s="1728"/>
      <c r="H42" s="1728"/>
      <c r="I42" s="1728"/>
      <c r="J42" s="1728"/>
      <c r="K42" s="1729"/>
      <c r="L42" s="1760"/>
      <c r="M42" s="1924"/>
      <c r="N42" s="1728"/>
      <c r="O42" s="1728"/>
      <c r="P42" s="1728"/>
      <c r="Q42" s="1728"/>
      <c r="R42" s="1728"/>
      <c r="S42" s="1728"/>
      <c r="T42" s="1728"/>
      <c r="U42" s="2935"/>
      <c r="V42" s="2031"/>
      <c r="W42" s="2032"/>
      <c r="X42" s="2033"/>
      <c r="Y42" s="1881"/>
      <c r="Z42" s="1728"/>
      <c r="AA42" s="1728"/>
      <c r="AB42" s="1728"/>
      <c r="AC42" s="1728"/>
      <c r="AD42" s="1728"/>
      <c r="AE42" s="1728"/>
      <c r="AF42" s="1728"/>
      <c r="AG42" s="1881"/>
      <c r="AH42" s="2031"/>
      <c r="AI42" s="2032"/>
      <c r="AJ42" s="2033"/>
      <c r="AK42" s="1881"/>
      <c r="AL42" s="2268"/>
      <c r="AM42" s="2268"/>
      <c r="AN42" s="2268"/>
      <c r="AO42" s="2268"/>
      <c r="AP42" s="2268"/>
      <c r="AQ42" s="2268"/>
      <c r="AR42" s="2268"/>
      <c r="AS42" s="2293"/>
      <c r="AT42" s="2031"/>
      <c r="AU42" s="2032"/>
      <c r="AV42" s="2033"/>
      <c r="AW42" s="2293"/>
      <c r="AX42" s="2268"/>
      <c r="AY42" s="2268"/>
      <c r="AZ42" s="2268"/>
      <c r="BA42" s="2268"/>
      <c r="BB42" s="2268"/>
      <c r="BC42" s="2268"/>
      <c r="BD42" s="2268"/>
      <c r="BE42" s="2293"/>
      <c r="BF42" s="2031"/>
      <c r="BG42" s="2032"/>
      <c r="BH42" s="2033"/>
      <c r="BI42" s="2935"/>
      <c r="BJ42" s="2268"/>
      <c r="BK42" s="2268"/>
      <c r="BL42" s="2268"/>
      <c r="BM42" s="2935"/>
      <c r="BN42" s="2031"/>
      <c r="BO42" s="2032"/>
      <c r="BP42" s="2033"/>
      <c r="BR42" s="2034"/>
      <c r="BS42" s="2035"/>
      <c r="BT42" s="1740"/>
      <c r="BU42" s="2034"/>
      <c r="BV42" s="2035"/>
      <c r="BW42" s="1997"/>
      <c r="BX42" s="2933"/>
      <c r="BZ42" s="2933"/>
      <c r="CA42" s="1860"/>
      <c r="CB42" s="1860"/>
      <c r="CC42" s="1860"/>
      <c r="CD42" s="1860"/>
      <c r="CE42" s="1860"/>
      <c r="CF42" s="1860"/>
      <c r="CG42" s="1860"/>
      <c r="CH42" s="1860"/>
      <c r="CI42" s="1860"/>
    </row>
    <row r="43" spans="1:87" s="1923" customFormat="1" ht="4.5" customHeight="1" thickBot="1" x14ac:dyDescent="0.25">
      <c r="B43" s="2023"/>
      <c r="C43" s="2024"/>
      <c r="D43" s="1800"/>
      <c r="E43" s="1803"/>
      <c r="F43" s="1803"/>
      <c r="G43" s="1803"/>
      <c r="H43" s="1803"/>
      <c r="I43" s="1803"/>
      <c r="J43" s="1803"/>
      <c r="K43" s="2025"/>
      <c r="L43" s="1866"/>
      <c r="M43" s="1867"/>
      <c r="N43" s="2026"/>
      <c r="O43" s="2026"/>
      <c r="P43" s="2026"/>
      <c r="Q43" s="2026"/>
      <c r="R43" s="2026"/>
      <c r="S43" s="2026"/>
      <c r="T43" s="2026"/>
      <c r="U43" s="2934"/>
      <c r="V43" s="2934"/>
      <c r="W43" s="2934"/>
      <c r="X43" s="2934"/>
      <c r="Y43" s="1915"/>
      <c r="Z43" s="2026"/>
      <c r="AA43" s="2026"/>
      <c r="AB43" s="2026"/>
      <c r="AC43" s="2026"/>
      <c r="AD43" s="2026"/>
      <c r="AE43" s="2026"/>
      <c r="AF43" s="2026"/>
      <c r="AG43" s="1915"/>
      <c r="AH43" s="2934"/>
      <c r="AI43" s="2934"/>
      <c r="AJ43" s="2934"/>
      <c r="AK43" s="1915"/>
      <c r="AL43" s="2026"/>
      <c r="AM43" s="2026"/>
      <c r="AN43" s="2026"/>
      <c r="AO43" s="2026"/>
      <c r="AP43" s="2026"/>
      <c r="AQ43" s="2026"/>
      <c r="AR43" s="2026"/>
      <c r="AS43" s="2934"/>
      <c r="AT43" s="2934"/>
      <c r="AU43" s="2934"/>
      <c r="AV43" s="2934"/>
      <c r="AW43" s="2934"/>
      <c r="AX43" s="2026"/>
      <c r="AY43" s="2026"/>
      <c r="AZ43" s="2026"/>
      <c r="BA43" s="2026"/>
      <c r="BB43" s="2026"/>
      <c r="BC43" s="2026"/>
      <c r="BD43" s="2026"/>
      <c r="BE43" s="2934"/>
      <c r="BF43" s="2274"/>
      <c r="BG43" s="2274"/>
      <c r="BH43" s="2274"/>
      <c r="BI43" s="2934"/>
      <c r="BJ43" s="2026"/>
      <c r="BK43" s="2026"/>
      <c r="BL43" s="2026"/>
      <c r="BM43" s="2934"/>
      <c r="BN43" s="2274"/>
      <c r="BO43" s="2274"/>
      <c r="BP43" s="2274"/>
      <c r="BR43" s="2934"/>
      <c r="BS43" s="1993"/>
      <c r="BT43" s="1994"/>
      <c r="BU43" s="2934"/>
      <c r="BV43" s="1993"/>
      <c r="BW43" s="1993"/>
      <c r="BX43" s="1916"/>
      <c r="BZ43" s="1916"/>
    </row>
    <row r="44" spans="1:87" s="1885" customFormat="1" ht="17.25" thickBot="1" x14ac:dyDescent="0.25">
      <c r="B44" s="2117"/>
      <c r="C44" s="2212" t="s">
        <v>150</v>
      </c>
      <c r="D44" s="2119"/>
      <c r="E44" s="2123">
        <f>E40*100/20</f>
        <v>10189.370967741936</v>
      </c>
      <c r="F44" s="2121" t="e">
        <f>#REF!*100/30</f>
        <v>#REF!</v>
      </c>
      <c r="G44" s="2121" t="e">
        <f>#REF!*100/30</f>
        <v>#REF!</v>
      </c>
      <c r="H44" s="2121" t="e">
        <f>#REF!*100/30</f>
        <v>#REF!</v>
      </c>
      <c r="I44" s="2121" t="e">
        <f>#REF!*100/30</f>
        <v>#REF!</v>
      </c>
      <c r="J44" s="2121">
        <f>J40*100/20</f>
        <v>463.15322580645159</v>
      </c>
      <c r="K44" s="2130">
        <f>E44/E87</f>
        <v>0.46438022458166595</v>
      </c>
      <c r="L44" s="1949"/>
      <c r="M44" s="2214"/>
      <c r="N44" s="2120">
        <f t="shared" ref="N44:T44" si="174">N9</f>
        <v>0</v>
      </c>
      <c r="O44" s="2123">
        <f t="shared" si="174"/>
        <v>0</v>
      </c>
      <c r="P44" s="2123">
        <f t="shared" si="174"/>
        <v>0</v>
      </c>
      <c r="Q44" s="2123">
        <f t="shared" si="174"/>
        <v>0</v>
      </c>
      <c r="R44" s="2123">
        <f t="shared" si="174"/>
        <v>0</v>
      </c>
      <c r="S44" s="2123">
        <f t="shared" si="174"/>
        <v>-29.315322580645159</v>
      </c>
      <c r="T44" s="2124">
        <f t="shared" si="174"/>
        <v>0</v>
      </c>
      <c r="U44" s="1951"/>
      <c r="V44" s="2120">
        <f>SUM(N44:T44)</f>
        <v>-29.315322580645159</v>
      </c>
      <c r="W44" s="2123"/>
      <c r="X44" s="2124"/>
      <c r="Y44" s="1956"/>
      <c r="Z44" s="2120">
        <f t="shared" ref="Z44:AC44" si="175">Z9</f>
        <v>0</v>
      </c>
      <c r="AA44" s="2121">
        <f t="shared" si="175"/>
        <v>0</v>
      </c>
      <c r="AB44" s="2121">
        <f t="shared" si="175"/>
        <v>0</v>
      </c>
      <c r="AC44" s="2121">
        <f t="shared" si="175"/>
        <v>-34.444322580645157</v>
      </c>
      <c r="AD44" s="2121">
        <f t="shared" ref="AD44:AE44" si="176">AD9</f>
        <v>-25.152322580645158</v>
      </c>
      <c r="AE44" s="2121">
        <f t="shared" si="176"/>
        <v>-29.748322580645159</v>
      </c>
      <c r="AF44" s="2121">
        <f t="shared" ref="AF44" si="177">AF9</f>
        <v>-4.6128225806451582</v>
      </c>
      <c r="AG44" s="1956"/>
      <c r="AH44" s="2120">
        <f>SUM(Z44:AF44)</f>
        <v>-93.957790322580635</v>
      </c>
      <c r="AI44" s="2123"/>
      <c r="AJ44" s="2124"/>
      <c r="AK44" s="1955"/>
      <c r="AL44" s="2120">
        <f t="shared" ref="AL44:AM44" si="178">AL9</f>
        <v>-9.5803225806451593</v>
      </c>
      <c r="AM44" s="2121">
        <f t="shared" si="178"/>
        <v>-3.920822580645158</v>
      </c>
      <c r="AN44" s="2121">
        <f t="shared" ref="AN44:AQ44" si="179">AN9</f>
        <v>-16.059322580645158</v>
      </c>
      <c r="AO44" s="2121">
        <f t="shared" si="179"/>
        <v>-6.672322580645158</v>
      </c>
      <c r="AP44" s="2121">
        <f t="shared" si="179"/>
        <v>-17.63632258064516</v>
      </c>
      <c r="AQ44" s="2121">
        <f t="shared" si="179"/>
        <v>-15.38782258064516</v>
      </c>
      <c r="AR44" s="2124">
        <f t="shared" ref="AR44" si="180">AR9</f>
        <v>-38.531822580645155</v>
      </c>
      <c r="AS44" s="2254"/>
      <c r="AT44" s="2120">
        <f>SUM(AL44:AR44)</f>
        <v>-107.78875806451612</v>
      </c>
      <c r="AU44" s="2123"/>
      <c r="AV44" s="2124"/>
      <c r="AW44" s="1951"/>
      <c r="AX44" s="2120">
        <f t="shared" ref="AX44" si="181">AX9</f>
        <v>-22.091822580645157</v>
      </c>
      <c r="AY44" s="2123">
        <f t="shared" ref="AY44:BC44" si="182">AY9</f>
        <v>13.321677419354842</v>
      </c>
      <c r="AZ44" s="2123">
        <f t="shared" si="182"/>
        <v>20.483677419354848</v>
      </c>
      <c r="BA44" s="2123">
        <f t="shared" si="182"/>
        <v>59.793177419354848</v>
      </c>
      <c r="BB44" s="2123">
        <f t="shared" si="182"/>
        <v>2.5871774193548447</v>
      </c>
      <c r="BC44" s="2123">
        <f t="shared" si="182"/>
        <v>-17.280322580645159</v>
      </c>
      <c r="BD44" s="2124">
        <f t="shared" ref="BD44" si="183">BD9</f>
        <v>-11.863822580645156</v>
      </c>
      <c r="BE44" s="1951"/>
      <c r="BF44" s="2120">
        <f>SUM(AX44:BD44)</f>
        <v>44.949741935483907</v>
      </c>
      <c r="BG44" s="2123"/>
      <c r="BH44" s="2124"/>
      <c r="BI44" s="1900"/>
      <c r="BJ44" s="2120">
        <f t="shared" ref="BJ44:BL44" si="184">BJ9</f>
        <v>-19.333822580645158</v>
      </c>
      <c r="BK44" s="2123">
        <f t="shared" si="184"/>
        <v>55.508177419354837</v>
      </c>
      <c r="BL44" s="2123">
        <f t="shared" si="184"/>
        <v>3.7901774193548405</v>
      </c>
      <c r="BM44" s="2317"/>
      <c r="BN44" s="2215">
        <f>SUM(BJ44:BL44)</f>
        <v>39.964532258064516</v>
      </c>
      <c r="BO44" s="2677"/>
      <c r="BP44" s="2124"/>
      <c r="BQ44" s="1897"/>
      <c r="BR44" s="2215">
        <f>SUM(N44:T44)+SUM(Z44:AF44)+SUM(AL44:AR44)+SUM(AX44:BD44)+SUM(BJ44:BL44)</f>
        <v>-146.14759677419352</v>
      </c>
      <c r="BS44" s="2130"/>
      <c r="BT44" s="1900"/>
      <c r="BU44" s="2011"/>
      <c r="BV44" s="2011"/>
      <c r="BW44" s="2011"/>
      <c r="BZ44" s="2929"/>
      <c r="CA44" s="1946"/>
      <c r="CB44" s="1946"/>
      <c r="CC44" s="1946"/>
      <c r="CD44" s="1946"/>
      <c r="CE44" s="1946"/>
      <c r="CF44" s="1946"/>
      <c r="CG44" s="1946"/>
      <c r="CH44" s="1946"/>
      <c r="CI44" s="1946"/>
    </row>
    <row r="45" spans="1:87" s="1860" customFormat="1" ht="17.25" thickBot="1" x14ac:dyDescent="0.25">
      <c r="B45" s="1861"/>
      <c r="C45" s="1861" t="s">
        <v>191</v>
      </c>
      <c r="D45" s="1861"/>
      <c r="E45" s="2935"/>
      <c r="F45" s="2935"/>
      <c r="G45" s="2935"/>
      <c r="H45" s="2935"/>
      <c r="I45" s="2935"/>
      <c r="J45" s="2935"/>
      <c r="K45" s="2059"/>
      <c r="L45" s="1931"/>
      <c r="M45" s="1877"/>
      <c r="N45" s="2935"/>
      <c r="O45" s="2935"/>
      <c r="P45" s="2935"/>
      <c r="Q45" s="2935"/>
      <c r="R45" s="2935"/>
      <c r="S45" s="2935"/>
      <c r="T45" s="2935"/>
      <c r="U45" s="2935"/>
      <c r="V45" s="2935"/>
      <c r="W45" s="2935"/>
      <c r="X45" s="2935"/>
      <c r="Y45" s="1862"/>
      <c r="Z45" s="2935"/>
      <c r="AA45" s="2935"/>
      <c r="AB45" s="2935"/>
      <c r="AC45" s="2935"/>
      <c r="AD45" s="2935"/>
      <c r="AE45" s="2935"/>
      <c r="AF45" s="2935"/>
      <c r="AG45" s="1862"/>
      <c r="AH45" s="2935"/>
      <c r="AI45" s="2935"/>
      <c r="AJ45" s="2935"/>
      <c r="AK45" s="1862"/>
      <c r="AL45" s="2935"/>
      <c r="AM45" s="2935"/>
      <c r="AN45" s="2935"/>
      <c r="AO45" s="2935"/>
      <c r="AP45" s="2935"/>
      <c r="AQ45" s="2935"/>
      <c r="AR45" s="2935"/>
      <c r="AS45" s="2935"/>
      <c r="AT45" s="2935"/>
      <c r="AU45" s="2935"/>
      <c r="AV45" s="2935"/>
      <c r="AW45" s="2935"/>
      <c r="AX45" s="2935"/>
      <c r="AY45" s="2935"/>
      <c r="AZ45" s="2935"/>
      <c r="BA45" s="2935"/>
      <c r="BB45" s="2935"/>
      <c r="BC45" s="2935"/>
      <c r="BD45" s="2935"/>
      <c r="BE45" s="2935"/>
      <c r="BF45" s="2935"/>
      <c r="BG45" s="2935"/>
      <c r="BH45" s="2935"/>
      <c r="BI45" s="2935"/>
      <c r="BJ45" s="2935"/>
      <c r="BK45" s="2935"/>
      <c r="BL45" s="2935"/>
      <c r="BM45" s="2935"/>
      <c r="BN45" s="2935"/>
      <c r="BO45" s="2935"/>
      <c r="BP45" s="2935"/>
      <c r="BQ45" s="1862"/>
      <c r="BR45" s="2935"/>
      <c r="BS45" s="2639"/>
      <c r="BT45" s="1861"/>
      <c r="BU45" s="4634" t="s">
        <v>99</v>
      </c>
      <c r="BV45" s="4634"/>
      <c r="BW45" s="2935"/>
      <c r="BX45" s="1862"/>
      <c r="BZ45" s="2933"/>
    </row>
    <row r="46" spans="1:87" s="1900" customFormat="1" ht="15.75" x14ac:dyDescent="0.2">
      <c r="A46" s="2464"/>
      <c r="B46" s="2280">
        <v>38</v>
      </c>
      <c r="C46" s="2405" t="s">
        <v>245</v>
      </c>
      <c r="D46" s="2119"/>
      <c r="E46" s="2410">
        <v>106</v>
      </c>
      <c r="F46" s="2678"/>
      <c r="G46" s="2678"/>
      <c r="H46" s="2678"/>
      <c r="I46" s="2678"/>
      <c r="J46" s="2406">
        <f>E46/31</f>
        <v>3.4193548387096775</v>
      </c>
      <c r="K46" s="2407">
        <f>E46/$E$55</f>
        <v>0.31500742942050519</v>
      </c>
      <c r="L46" s="2468"/>
      <c r="M46" s="2339"/>
      <c r="N46" s="2679">
        <f t="shared" ref="N46:T46" si="185">IF(N44&gt;$J$55,$J$46,IF(N44&lt;$J$55,(IF(N44&lt;0,0,N44*$K$46))))</f>
        <v>0</v>
      </c>
      <c r="O46" s="2406">
        <f t="shared" si="185"/>
        <v>0</v>
      </c>
      <c r="P46" s="2406">
        <f t="shared" si="185"/>
        <v>0</v>
      </c>
      <c r="Q46" s="2406">
        <f t="shared" si="185"/>
        <v>0</v>
      </c>
      <c r="R46" s="2406">
        <f t="shared" si="185"/>
        <v>0</v>
      </c>
      <c r="S46" s="2406">
        <f t="shared" si="185"/>
        <v>0</v>
      </c>
      <c r="T46" s="2409">
        <f t="shared" si="185"/>
        <v>0</v>
      </c>
      <c r="U46" s="1951"/>
      <c r="V46" s="2410">
        <f t="shared" si="52"/>
        <v>0</v>
      </c>
      <c r="W46" s="2408">
        <f>$J$46*0</f>
        <v>0</v>
      </c>
      <c r="X46" s="2411">
        <f>V46-W46</f>
        <v>0</v>
      </c>
      <c r="Y46" s="1951"/>
      <c r="Z46" s="2410">
        <f t="shared" ref="Z46:AC46" si="186">IF(Z44&gt;$J$55,$J$46,IF(Z44&lt;$J$55,(IF(Z44&lt;0,0,Z44*$K$46))))</f>
        <v>0</v>
      </c>
      <c r="AA46" s="2408">
        <f t="shared" si="186"/>
        <v>0</v>
      </c>
      <c r="AB46" s="2408">
        <f t="shared" si="186"/>
        <v>0</v>
      </c>
      <c r="AC46" s="2408">
        <f t="shared" si="186"/>
        <v>0</v>
      </c>
      <c r="AD46" s="2408">
        <f t="shared" ref="AD46:AE46" si="187">IF(AD44&gt;$J$55,$J$46,IF(AD44&lt;$J$55,(IF(AD44&lt;0,0,AD44*$K$46))))</f>
        <v>0</v>
      </c>
      <c r="AE46" s="2408">
        <f t="shared" si="187"/>
        <v>0</v>
      </c>
      <c r="AF46" s="2409">
        <f t="shared" ref="AF46" si="188">IF(AF44&gt;$J$55,$J$46,IF(AF44&lt;$J$55,(IF(AF44&lt;0,0,AF44*$K$46))))</f>
        <v>0</v>
      </c>
      <c r="AG46" s="1951"/>
      <c r="AH46" s="2410">
        <f>SUM(Z46:AF46)</f>
        <v>0</v>
      </c>
      <c r="AI46" s="2408">
        <f>$J$46*0</f>
        <v>0</v>
      </c>
      <c r="AJ46" s="2411">
        <f>AH46-AI46</f>
        <v>0</v>
      </c>
      <c r="AK46" s="1951"/>
      <c r="AL46" s="2410">
        <f t="shared" ref="AL46:AM46" si="189">IF(AL44&gt;$J$55,$J$46,IF(AL44&lt;$J$55,(IF(AL44&lt;0,0,AL44*$K$46))))</f>
        <v>0</v>
      </c>
      <c r="AM46" s="2406">
        <f t="shared" si="189"/>
        <v>0</v>
      </c>
      <c r="AN46" s="2406">
        <f t="shared" ref="AN46:AQ46" si="190">IF(AN44&gt;$J$55,$J$46,IF(AN44&lt;$J$55,(IF(AN44&lt;0,0,AN44*$K$46))))</f>
        <v>0</v>
      </c>
      <c r="AO46" s="2406">
        <f t="shared" si="190"/>
        <v>0</v>
      </c>
      <c r="AP46" s="2406">
        <f t="shared" si="190"/>
        <v>0</v>
      </c>
      <c r="AQ46" s="2406">
        <f t="shared" si="190"/>
        <v>0</v>
      </c>
      <c r="AR46" s="2409">
        <f t="shared" ref="AR46" si="191">IF(AR44&gt;$J$55,$J$46,IF(AR44&lt;$J$55,(IF(AR44&lt;0,0,AR44*$K$46))))</f>
        <v>0</v>
      </c>
      <c r="AS46" s="1951"/>
      <c r="AT46" s="2410">
        <f>SUM(AL46:AR46)</f>
        <v>0</v>
      </c>
      <c r="AU46" s="2408">
        <f>$J$46*0</f>
        <v>0</v>
      </c>
      <c r="AV46" s="2411">
        <f>AT46-AU46</f>
        <v>0</v>
      </c>
      <c r="AW46" s="1951"/>
      <c r="AX46" s="2410">
        <f t="shared" ref="AX46" si="192">IF(AX44&gt;$J$55,$J$46,IF(AX44&lt;$J$55,(IF(AX44&lt;0,0,AX44*$K$46))))</f>
        <v>0</v>
      </c>
      <c r="AY46" s="2408">
        <f t="shared" ref="AY46:BC46" si="193">IF(AY44&gt;$J$55,$J$46,IF(AY44&lt;$J$55,(IF(AY44&lt;0,0,AY44*$K$46))))</f>
        <v>3.4193548387096775</v>
      </c>
      <c r="AZ46" s="2408">
        <f t="shared" si="193"/>
        <v>3.4193548387096775</v>
      </c>
      <c r="BA46" s="2408">
        <f t="shared" si="193"/>
        <v>3.4193548387096775</v>
      </c>
      <c r="BB46" s="2408">
        <f t="shared" si="193"/>
        <v>0.81498010832574597</v>
      </c>
      <c r="BC46" s="2408">
        <f t="shared" si="193"/>
        <v>0</v>
      </c>
      <c r="BD46" s="2409">
        <f t="shared" ref="BD46" si="194">IF(BD44&gt;$J$55,$J$46,IF(BD44&lt;$J$55,(IF(BD44&lt;0,0,BD44*$K$46))))</f>
        <v>0</v>
      </c>
      <c r="BE46" s="1951"/>
      <c r="BF46" s="2410">
        <f>SUM(AX46:BD46)</f>
        <v>11.073044624454777</v>
      </c>
      <c r="BG46" s="2408">
        <f>$J$46*0</f>
        <v>0</v>
      </c>
      <c r="BH46" s="2411">
        <f>BF46-BG46</f>
        <v>11.073044624454777</v>
      </c>
      <c r="BI46" s="1951"/>
      <c r="BJ46" s="2410">
        <f t="shared" ref="BJ46:BL46" si="195">IF(BJ44&gt;$J$55,$J$46,IF(BJ44&lt;$J$55,(IF(BJ44&lt;0,0,BJ44*$K$46))))</f>
        <v>0</v>
      </c>
      <c r="BK46" s="2498">
        <f t="shared" si="195"/>
        <v>3.4193548387096775</v>
      </c>
      <c r="BL46" s="2409">
        <f t="shared" si="195"/>
        <v>1.1939340459186125</v>
      </c>
      <c r="BM46" s="1951"/>
      <c r="BN46" s="2410">
        <f t="shared" ref="BN46:BN54" si="196">SUM(BJ46:BL46)</f>
        <v>4.6132888846282896</v>
      </c>
      <c r="BO46" s="2408">
        <f>$J$46*0</f>
        <v>0</v>
      </c>
      <c r="BP46" s="2411">
        <f>BN46-BO46</f>
        <v>4.6132888846282896</v>
      </c>
      <c r="BR46" s="2410"/>
      <c r="BS46" s="2412"/>
      <c r="BU46" s="2410">
        <f t="shared" ref="BU46:BU54" si="197">SUM(N46:T46)+SUM(Z46:AF46)+SUM(AL46:AR46)+SUM(AX46:BD46)+SUM(BJ46:BL46)</f>
        <v>15.686333509083067</v>
      </c>
      <c r="BV46" s="2413">
        <f t="shared" ref="BV46:BV55" si="198">BU46/E46</f>
        <v>0.14798427838757611</v>
      </c>
      <c r="BW46" s="2353"/>
      <c r="BX46" s="4635">
        <f>BV55-BU1</f>
        <v>-0.56169314096726264</v>
      </c>
      <c r="BZ46" s="4627"/>
      <c r="CA46" s="2011"/>
      <c r="CB46" s="2011"/>
      <c r="CC46" s="2011"/>
      <c r="CD46" s="2011"/>
      <c r="CE46" s="2011"/>
      <c r="CF46" s="2011"/>
      <c r="CG46" s="2011"/>
      <c r="CH46" s="2011"/>
      <c r="CI46" s="2011"/>
    </row>
    <row r="47" spans="1:87" s="1740" customFormat="1" ht="15.75" x14ac:dyDescent="0.2">
      <c r="A47" s="2466"/>
      <c r="B47" s="2151">
        <v>39</v>
      </c>
      <c r="C47" s="2152" t="s">
        <v>241</v>
      </c>
      <c r="D47" s="2051"/>
      <c r="E47" s="2090">
        <v>63</v>
      </c>
      <c r="F47" s="2154"/>
      <c r="G47" s="2154"/>
      <c r="H47" s="2154"/>
      <c r="I47" s="2154"/>
      <c r="J47" s="2154">
        <f t="shared" ref="J47:J54" si="199">E47/31</f>
        <v>2.032258064516129</v>
      </c>
      <c r="K47" s="2155">
        <f>E47/$E$55</f>
        <v>0.18722139673105498</v>
      </c>
      <c r="L47" s="2465"/>
      <c r="M47" s="2131"/>
      <c r="N47" s="2615">
        <f t="shared" ref="N47:T47" si="200">IF(N44&gt;$J$55,$J$47,IF(N44&lt;$J$55,(IF(N44&lt;0,0,N44*$K$47))))</f>
        <v>0</v>
      </c>
      <c r="O47" s="2154">
        <f t="shared" si="200"/>
        <v>0</v>
      </c>
      <c r="P47" s="2154">
        <f t="shared" si="200"/>
        <v>0</v>
      </c>
      <c r="Q47" s="2154">
        <f t="shared" si="200"/>
        <v>0</v>
      </c>
      <c r="R47" s="2154">
        <f t="shared" si="200"/>
        <v>0</v>
      </c>
      <c r="S47" s="2154">
        <f t="shared" si="200"/>
        <v>0</v>
      </c>
      <c r="T47" s="2154">
        <f t="shared" si="200"/>
        <v>0</v>
      </c>
      <c r="U47" s="1814"/>
      <c r="V47" s="2153">
        <f>SUM(N47:T47)</f>
        <v>0</v>
      </c>
      <c r="W47" s="2157">
        <f>$J$47*0</f>
        <v>0</v>
      </c>
      <c r="X47" s="2158">
        <f>V47-W47</f>
        <v>0</v>
      </c>
      <c r="Y47" s="1814"/>
      <c r="Z47" s="2153">
        <f t="shared" ref="Z47:AC47" si="201">IF(Z44&gt;$J$55,$J$47,IF(Z44&lt;$J$55,(IF(Z44&lt;0,0,Z44*$K$47))))</f>
        <v>0</v>
      </c>
      <c r="AA47" s="2157">
        <f t="shared" si="201"/>
        <v>0</v>
      </c>
      <c r="AB47" s="2157">
        <f t="shared" si="201"/>
        <v>0</v>
      </c>
      <c r="AC47" s="2157">
        <f t="shared" si="201"/>
        <v>0</v>
      </c>
      <c r="AD47" s="2157">
        <f t="shared" ref="AD47:AE47" si="202">IF(AD44&gt;$J$55,$J$47,IF(AD44&lt;$J$55,(IF(AD44&lt;0,0,AD44*$K$47))))</f>
        <v>0</v>
      </c>
      <c r="AE47" s="2157">
        <f t="shared" si="202"/>
        <v>0</v>
      </c>
      <c r="AF47" s="2156">
        <f t="shared" ref="AF47" si="203">IF(AF44&gt;$J$55,$J$47,IF(AF44&lt;$J$55,(IF(AF44&lt;0,0,AF44*$K$47))))</f>
        <v>0</v>
      </c>
      <c r="AG47" s="1814"/>
      <c r="AH47" s="2153">
        <f t="shared" ref="AH47:AH67" si="204">SUM(Z47:AF47)</f>
        <v>0</v>
      </c>
      <c r="AI47" s="2157">
        <f>$J$47*0</f>
        <v>0</v>
      </c>
      <c r="AJ47" s="2158">
        <f t="shared" ref="AJ47:AJ67" si="205">AH47-AI47</f>
        <v>0</v>
      </c>
      <c r="AK47" s="1814"/>
      <c r="AL47" s="2153">
        <f t="shared" ref="AL47:AM47" si="206">IF(AL44&gt;$J$55,$J$47,IF(AL44&lt;$J$55,(IF(AL44&lt;0,0,AL44*$K$47))))</f>
        <v>0</v>
      </c>
      <c r="AM47" s="2154">
        <f t="shared" si="206"/>
        <v>0</v>
      </c>
      <c r="AN47" s="2154">
        <f t="shared" ref="AN47:AQ47" si="207">IF(AN44&gt;$J$55,$J$47,IF(AN44&lt;$J$55,(IF(AN44&lt;0,0,AN44*$K$47))))</f>
        <v>0</v>
      </c>
      <c r="AO47" s="2154">
        <f t="shared" si="207"/>
        <v>0</v>
      </c>
      <c r="AP47" s="2154">
        <f t="shared" si="207"/>
        <v>0</v>
      </c>
      <c r="AQ47" s="2154">
        <f t="shared" si="207"/>
        <v>0</v>
      </c>
      <c r="AR47" s="2154">
        <f t="shared" ref="AR47" si="208">IF(AR44&gt;$J$55,$J$47,IF(AR44&lt;$J$55,(IF(AR44&lt;0,0,AR44*$K$47))))</f>
        <v>0</v>
      </c>
      <c r="AS47" s="1814"/>
      <c r="AT47" s="2153">
        <f t="shared" ref="AT47:AT54" si="209">SUM(AL47:AR47)</f>
        <v>0</v>
      </c>
      <c r="AU47" s="2157">
        <f>$J$47*0</f>
        <v>0</v>
      </c>
      <c r="AV47" s="2158">
        <f t="shared" ref="AV47:AV54" si="210">AT47-AU47</f>
        <v>0</v>
      </c>
      <c r="AW47" s="1814"/>
      <c r="AX47" s="2153">
        <f t="shared" ref="AX47" si="211">IF(AX44&gt;$J$55,$J$47,IF(AX44&lt;$J$55,(IF(AX44&lt;0,0,AX44*$K$47))))</f>
        <v>0</v>
      </c>
      <c r="AY47" s="2157">
        <f t="shared" ref="AY47:BC47" si="212">IF(AY44&gt;$J$55,$J$47,IF(AY44&lt;$J$55,(IF(AY44&lt;0,0,AY44*$K$47))))</f>
        <v>2.032258064516129</v>
      </c>
      <c r="AZ47" s="2157">
        <f t="shared" si="212"/>
        <v>2.032258064516129</v>
      </c>
      <c r="BA47" s="2157">
        <f t="shared" si="212"/>
        <v>2.032258064516129</v>
      </c>
      <c r="BB47" s="2157">
        <f t="shared" si="212"/>
        <v>0.48437497004266039</v>
      </c>
      <c r="BC47" s="2157">
        <f t="shared" si="212"/>
        <v>0</v>
      </c>
      <c r="BD47" s="2156">
        <f t="shared" ref="BD47" si="213">IF(BD44&gt;$J$55,$J$47,IF(BD44&lt;$J$55,(IF(BD44&lt;0,0,BD44*$K$47))))</f>
        <v>0</v>
      </c>
      <c r="BE47" s="1814"/>
      <c r="BF47" s="2153">
        <f t="shared" ref="BF47:BF54" si="214">SUM(AX47:BD47)</f>
        <v>6.5811491635910473</v>
      </c>
      <c r="BG47" s="2157">
        <f>$J$47*0</f>
        <v>0</v>
      </c>
      <c r="BH47" s="2158">
        <f t="shared" ref="BH47:BH54" si="215">BF47-BG47</f>
        <v>6.5811491635910473</v>
      </c>
      <c r="BI47" s="1814"/>
      <c r="BJ47" s="2153">
        <f t="shared" ref="BJ47:BL47" si="216">IF(BJ44&gt;$J$55,$J$47,IF(BJ44&lt;$J$55,(IF(BJ44&lt;0,0,BJ44*$K$47))))</f>
        <v>0</v>
      </c>
      <c r="BK47" s="2304">
        <f t="shared" si="216"/>
        <v>2.032258064516129</v>
      </c>
      <c r="BL47" s="2156">
        <f t="shared" si="216"/>
        <v>0.70960231031011878</v>
      </c>
      <c r="BM47" s="1814"/>
      <c r="BN47" s="2153">
        <f t="shared" si="196"/>
        <v>2.7418603748262478</v>
      </c>
      <c r="BO47" s="2157">
        <f>$J$47*0</f>
        <v>0</v>
      </c>
      <c r="BP47" s="2158">
        <f t="shared" ref="BP47:BP54" si="217">BN47-BO47</f>
        <v>2.7418603748262478</v>
      </c>
      <c r="BR47" s="2153"/>
      <c r="BS47" s="2616"/>
      <c r="BU47" s="2153">
        <f t="shared" si="197"/>
        <v>9.3230095384172955</v>
      </c>
      <c r="BV47" s="2617">
        <f t="shared" si="198"/>
        <v>0.14798427838757611</v>
      </c>
      <c r="BW47" s="2351"/>
      <c r="BX47" s="4636"/>
      <c r="BZ47" s="4627"/>
      <c r="CA47" s="1861"/>
      <c r="CB47" s="1861"/>
      <c r="CC47" s="1861"/>
      <c r="CD47" s="1861"/>
      <c r="CE47" s="1861"/>
      <c r="CF47" s="1861"/>
      <c r="CG47" s="1861"/>
      <c r="CH47" s="1861"/>
      <c r="CI47" s="1861"/>
    </row>
    <row r="48" spans="1:87" s="1900" customFormat="1" ht="15.75" x14ac:dyDescent="0.2">
      <c r="A48" s="2464"/>
      <c r="B48" s="2161">
        <v>40</v>
      </c>
      <c r="C48" s="2162" t="s">
        <v>117</v>
      </c>
      <c r="D48" s="2119"/>
      <c r="E48" s="2169">
        <v>37</v>
      </c>
      <c r="F48" s="2176">
        <f t="shared" ref="F48:F54" si="218">E48/10</f>
        <v>3.7</v>
      </c>
      <c r="G48" s="2176">
        <f t="shared" ref="G48:G54" si="219">E48/15</f>
        <v>2.4666666666666668</v>
      </c>
      <c r="H48" s="2176">
        <f t="shared" ref="H48:H54" si="220">E48/20</f>
        <v>1.85</v>
      </c>
      <c r="I48" s="2176">
        <f t="shared" ref="I48:I54" si="221">E48/25</f>
        <v>1.48</v>
      </c>
      <c r="J48" s="2176">
        <f t="shared" si="199"/>
        <v>1.1935483870967742</v>
      </c>
      <c r="K48" s="2177">
        <f t="shared" ref="K48:K54" si="222">E48/$E$55</f>
        <v>0.10995542347696879</v>
      </c>
      <c r="L48" s="2468"/>
      <c r="M48" s="2339"/>
      <c r="N48" s="2618">
        <f t="shared" ref="N48:T48" si="223">IF(N44&gt;$J$55,$J$48,IF(N44&lt;$J$55,(IF(N44&lt;0,0,N44*$K$48))))</f>
        <v>0</v>
      </c>
      <c r="O48" s="2164">
        <f t="shared" si="223"/>
        <v>0</v>
      </c>
      <c r="P48" s="2164">
        <f t="shared" si="223"/>
        <v>0</v>
      </c>
      <c r="Q48" s="2164">
        <f t="shared" si="223"/>
        <v>0</v>
      </c>
      <c r="R48" s="2164">
        <f t="shared" si="223"/>
        <v>0</v>
      </c>
      <c r="S48" s="2164">
        <f t="shared" si="223"/>
        <v>0</v>
      </c>
      <c r="T48" s="2164">
        <f t="shared" si="223"/>
        <v>0</v>
      </c>
      <c r="U48" s="1951"/>
      <c r="V48" s="2163">
        <f t="shared" ref="V48" si="224">SUM(N48:T48)</f>
        <v>0</v>
      </c>
      <c r="W48" s="2167">
        <f>$J$48*0</f>
        <v>0</v>
      </c>
      <c r="X48" s="2168">
        <f>V48-W48</f>
        <v>0</v>
      </c>
      <c r="Y48" s="1951"/>
      <c r="Z48" s="2163">
        <f t="shared" ref="Z48:AC48" si="225">IF(Z44&gt;$J$55,$J$48,IF(Z44&lt;$J$55,(IF(Z44&lt;0,0,Z44*$K$48))))</f>
        <v>0</v>
      </c>
      <c r="AA48" s="2167">
        <f t="shared" si="225"/>
        <v>0</v>
      </c>
      <c r="AB48" s="2167">
        <f t="shared" si="225"/>
        <v>0</v>
      </c>
      <c r="AC48" s="2167">
        <f t="shared" si="225"/>
        <v>0</v>
      </c>
      <c r="AD48" s="2167">
        <f t="shared" ref="AD48:AE48" si="226">IF(AD44&gt;$J$55,$J$48,IF(AD44&lt;$J$55,(IF(AD44&lt;0,0,AD44*$K$48))))</f>
        <v>0</v>
      </c>
      <c r="AE48" s="2167">
        <f t="shared" si="226"/>
        <v>0</v>
      </c>
      <c r="AF48" s="2166">
        <f t="shared" ref="AF48" si="227">IF(AF44&gt;$J$55,$J$48,IF(AF44&lt;$J$55,(IF(AF44&lt;0,0,AF44*$K$48))))</f>
        <v>0</v>
      </c>
      <c r="AG48" s="1951"/>
      <c r="AH48" s="2163">
        <f t="shared" si="204"/>
        <v>0</v>
      </c>
      <c r="AI48" s="2167">
        <f>$J$48*0</f>
        <v>0</v>
      </c>
      <c r="AJ48" s="2168">
        <f t="shared" si="205"/>
        <v>0</v>
      </c>
      <c r="AK48" s="1951"/>
      <c r="AL48" s="2163">
        <f t="shared" ref="AL48:AM48" si="228">IF(AL44&gt;$J$55,$J$48,IF(AL44&lt;$J$55,(IF(AL44&lt;0,0,AL44*$K$48))))</f>
        <v>0</v>
      </c>
      <c r="AM48" s="2164">
        <f t="shared" si="228"/>
        <v>0</v>
      </c>
      <c r="AN48" s="2164">
        <f t="shared" ref="AN48:AQ48" si="229">IF(AN44&gt;$J$55,$J$48,IF(AN44&lt;$J$55,(IF(AN44&lt;0,0,AN44*$K$48))))</f>
        <v>0</v>
      </c>
      <c r="AO48" s="2164">
        <f t="shared" si="229"/>
        <v>0</v>
      </c>
      <c r="AP48" s="2164">
        <f t="shared" si="229"/>
        <v>0</v>
      </c>
      <c r="AQ48" s="2164">
        <f t="shared" si="229"/>
        <v>0</v>
      </c>
      <c r="AR48" s="2164">
        <f t="shared" ref="AR48" si="230">IF(AR44&gt;$J$55,$J$48,IF(AR44&lt;$J$55,(IF(AR44&lt;0,0,AR44*$K$48))))</f>
        <v>0</v>
      </c>
      <c r="AS48" s="1951"/>
      <c r="AT48" s="2163">
        <f t="shared" si="209"/>
        <v>0</v>
      </c>
      <c r="AU48" s="2167">
        <f>$J$48*0</f>
        <v>0</v>
      </c>
      <c r="AV48" s="2168">
        <f t="shared" si="210"/>
        <v>0</v>
      </c>
      <c r="AW48" s="1951"/>
      <c r="AX48" s="2163">
        <f t="shared" ref="AX48" si="231">IF(AX44&gt;$J$55,$J$48,IF(AX44&lt;$J$55,(IF(AX44&lt;0,0,AX44*$K$48))))</f>
        <v>0</v>
      </c>
      <c r="AY48" s="2167">
        <f t="shared" ref="AY48:BC48" si="232">IF(AY44&gt;$J$55,$J$48,IF(AY44&lt;$J$55,(IF(AY44&lt;0,0,AY44*$K$48))))</f>
        <v>1.1935483870967742</v>
      </c>
      <c r="AZ48" s="2167">
        <f t="shared" si="232"/>
        <v>1.1935483870967742</v>
      </c>
      <c r="BA48" s="2167">
        <f t="shared" si="232"/>
        <v>1.1935483870967742</v>
      </c>
      <c r="BB48" s="2167">
        <f t="shared" si="232"/>
        <v>0.28447418875521324</v>
      </c>
      <c r="BC48" s="2167">
        <f t="shared" si="232"/>
        <v>0</v>
      </c>
      <c r="BD48" s="2166">
        <f t="shared" ref="BD48" si="233">IF(BD44&gt;$J$55,$J$48,IF(BD44&lt;$J$55,(IF(BD44&lt;0,0,BD44*$K$48))))</f>
        <v>0</v>
      </c>
      <c r="BE48" s="1951"/>
      <c r="BF48" s="2163">
        <f t="shared" si="214"/>
        <v>3.8651193500455361</v>
      </c>
      <c r="BG48" s="2167">
        <f>$J$48*0</f>
        <v>0</v>
      </c>
      <c r="BH48" s="2168">
        <f t="shared" si="215"/>
        <v>3.8651193500455361</v>
      </c>
      <c r="BI48" s="1951"/>
      <c r="BJ48" s="2163">
        <f t="shared" ref="BJ48:BL48" si="234">IF(BJ44&gt;$J$55,$J$48,IF(BJ44&lt;$J$55,(IF(BJ44&lt;0,0,BJ44*$K$48))))</f>
        <v>0</v>
      </c>
      <c r="BK48" s="2306">
        <f t="shared" si="234"/>
        <v>1.1935483870967742</v>
      </c>
      <c r="BL48" s="2166">
        <f t="shared" si="234"/>
        <v>0.41675056319800624</v>
      </c>
      <c r="BM48" s="1951"/>
      <c r="BN48" s="2163">
        <f t="shared" si="196"/>
        <v>1.6102989502947804</v>
      </c>
      <c r="BO48" s="2167">
        <f>$J$48*0</f>
        <v>0</v>
      </c>
      <c r="BP48" s="2168">
        <f t="shared" si="217"/>
        <v>1.6102989502947804</v>
      </c>
      <c r="BR48" s="2163"/>
      <c r="BS48" s="2619"/>
      <c r="BU48" s="2163">
        <f t="shared" si="197"/>
        <v>5.4754183003403165</v>
      </c>
      <c r="BV48" s="2620">
        <f t="shared" si="198"/>
        <v>0.14798427838757613</v>
      </c>
      <c r="BW48" s="2353"/>
      <c r="BX48" s="4636"/>
      <c r="BZ48" s="4627"/>
      <c r="CA48" s="2011"/>
      <c r="CB48" s="2011"/>
      <c r="CC48" s="2011"/>
      <c r="CD48" s="2011"/>
      <c r="CE48" s="2011"/>
      <c r="CF48" s="2011"/>
      <c r="CG48" s="2011"/>
      <c r="CH48" s="2011"/>
      <c r="CI48" s="2011"/>
    </row>
    <row r="49" spans="1:87" s="1726" customFormat="1" x14ac:dyDescent="0.2">
      <c r="B49" s="2085">
        <v>41</v>
      </c>
      <c r="C49" s="2086" t="s">
        <v>246</v>
      </c>
      <c r="D49" s="2051"/>
      <c r="E49" s="2087">
        <v>37</v>
      </c>
      <c r="F49" s="2088">
        <f t="shared" si="218"/>
        <v>3.7</v>
      </c>
      <c r="G49" s="2088">
        <f t="shared" si="219"/>
        <v>2.4666666666666668</v>
      </c>
      <c r="H49" s="2088">
        <f t="shared" si="220"/>
        <v>1.85</v>
      </c>
      <c r="I49" s="2088">
        <f t="shared" si="221"/>
        <v>1.48</v>
      </c>
      <c r="J49" s="2088">
        <f t="shared" si="199"/>
        <v>1.1935483870967742</v>
      </c>
      <c r="K49" s="2089">
        <f t="shared" si="222"/>
        <v>0.10995542347696879</v>
      </c>
      <c r="L49" s="1931"/>
      <c r="M49" s="1924"/>
      <c r="N49" s="2284">
        <f t="shared" ref="N49:T49" si="235">IF(N44&gt;$J$55,$J$49,IF(N44&lt;$J$55,(IF(N44&lt;0,0,N44*$K$49))))</f>
        <v>0</v>
      </c>
      <c r="O49" s="2088">
        <f t="shared" si="235"/>
        <v>0</v>
      </c>
      <c r="P49" s="2088">
        <f t="shared" si="235"/>
        <v>0</v>
      </c>
      <c r="Q49" s="2088">
        <f t="shared" si="235"/>
        <v>0</v>
      </c>
      <c r="R49" s="2088">
        <f t="shared" si="235"/>
        <v>0</v>
      </c>
      <c r="S49" s="2088">
        <f t="shared" si="235"/>
        <v>0</v>
      </c>
      <c r="T49" s="2091">
        <f t="shared" si="235"/>
        <v>0</v>
      </c>
      <c r="U49" s="1814"/>
      <c r="V49" s="2090">
        <f t="shared" si="52"/>
        <v>0</v>
      </c>
      <c r="W49" s="2087">
        <f>$J$49*0</f>
        <v>0</v>
      </c>
      <c r="X49" s="2174">
        <f>V49-W49</f>
        <v>0</v>
      </c>
      <c r="Y49" s="1766"/>
      <c r="Z49" s="2090">
        <f t="shared" ref="Z49:AC49" si="236">IF(Z44&gt;$J$55,$J$49,IF(Z44&lt;$J$55,(IF(Z44&lt;0,0,Z44*$K$49))))</f>
        <v>0</v>
      </c>
      <c r="AA49" s="2087">
        <f t="shared" si="236"/>
        <v>0</v>
      </c>
      <c r="AB49" s="2087">
        <f t="shared" si="236"/>
        <v>0</v>
      </c>
      <c r="AC49" s="2087">
        <f t="shared" si="236"/>
        <v>0</v>
      </c>
      <c r="AD49" s="2087">
        <f t="shared" ref="AD49:AE49" si="237">IF(AD44&gt;$J$55,$J$49,IF(AD44&lt;$J$55,(IF(AD44&lt;0,0,AD44*$K$49))))</f>
        <v>0</v>
      </c>
      <c r="AE49" s="2087">
        <f t="shared" si="237"/>
        <v>0</v>
      </c>
      <c r="AF49" s="2091">
        <f t="shared" ref="AF49" si="238">IF(AF44&gt;$J$55,$J$49,IF(AF44&lt;$J$55,(IF(AF44&lt;0,0,AF44*$K$49))))</f>
        <v>0</v>
      </c>
      <c r="AG49" s="1766"/>
      <c r="AH49" s="2090">
        <f t="shared" si="204"/>
        <v>0</v>
      </c>
      <c r="AI49" s="2087">
        <f>$J$49*0</f>
        <v>0</v>
      </c>
      <c r="AJ49" s="2174">
        <f t="shared" si="205"/>
        <v>0</v>
      </c>
      <c r="AK49" s="1766"/>
      <c r="AL49" s="2090">
        <f t="shared" ref="AL49:AM49" si="239">IF(AL44&gt;$J$55,$J$49,IF(AL44&lt;$J$55,(IF(AL44&lt;0,0,AL44*$K$49))))</f>
        <v>0</v>
      </c>
      <c r="AM49" s="2088">
        <f t="shared" si="239"/>
        <v>0</v>
      </c>
      <c r="AN49" s="2088">
        <f t="shared" ref="AN49:AQ49" si="240">IF(AN44&gt;$J$55,$J$49,IF(AN44&lt;$J$55,(IF(AN44&lt;0,0,AN44*$K$49))))</f>
        <v>0</v>
      </c>
      <c r="AO49" s="2088">
        <f t="shared" si="240"/>
        <v>0</v>
      </c>
      <c r="AP49" s="2088">
        <f t="shared" si="240"/>
        <v>0</v>
      </c>
      <c r="AQ49" s="2088">
        <f t="shared" si="240"/>
        <v>0</v>
      </c>
      <c r="AR49" s="2091">
        <f t="shared" ref="AR49" si="241">IF(AR44&gt;$J$55,$J$49,IF(AR44&lt;$J$55,(IF(AR44&lt;0,0,AR44*$K$49))))</f>
        <v>0</v>
      </c>
      <c r="AS49" s="1814"/>
      <c r="AT49" s="2090">
        <f t="shared" si="209"/>
        <v>0</v>
      </c>
      <c r="AU49" s="2087">
        <f>$J$49*0</f>
        <v>0</v>
      </c>
      <c r="AV49" s="2174">
        <f t="shared" si="210"/>
        <v>0</v>
      </c>
      <c r="AW49" s="1814"/>
      <c r="AX49" s="2090">
        <f t="shared" ref="AX49" si="242">IF(AX44&gt;$J$55,$J$49,IF(AX44&lt;$J$55,(IF(AX44&lt;0,0,AX44*$K$49))))</f>
        <v>0</v>
      </c>
      <c r="AY49" s="2087">
        <f t="shared" ref="AY49:BC49" si="243">IF(AY44&gt;$J$55,$J$49,IF(AY44&lt;$J$55,(IF(AY44&lt;0,0,AY44*$K$49))))</f>
        <v>1.1935483870967742</v>
      </c>
      <c r="AZ49" s="2087">
        <f t="shared" si="243"/>
        <v>1.1935483870967742</v>
      </c>
      <c r="BA49" s="2087">
        <f t="shared" si="243"/>
        <v>1.1935483870967742</v>
      </c>
      <c r="BB49" s="2087">
        <f t="shared" si="243"/>
        <v>0.28447418875521324</v>
      </c>
      <c r="BC49" s="2087">
        <f t="shared" si="243"/>
        <v>0</v>
      </c>
      <c r="BD49" s="2091">
        <f t="shared" ref="BD49" si="244">IF(BD44&gt;$J$55,$J$49,IF(BD44&lt;$J$55,(IF(BD44&lt;0,0,BD44*$K$49))))</f>
        <v>0</v>
      </c>
      <c r="BE49" s="1814"/>
      <c r="BF49" s="2090">
        <f t="shared" si="214"/>
        <v>3.8651193500455361</v>
      </c>
      <c r="BG49" s="2087">
        <f>$J$49*0</f>
        <v>0</v>
      </c>
      <c r="BH49" s="2174">
        <f t="shared" si="215"/>
        <v>3.8651193500455361</v>
      </c>
      <c r="BI49" s="1814"/>
      <c r="BJ49" s="2090">
        <f t="shared" ref="BJ49:BL49" si="245">IF(BJ44&gt;$J$55,$J$49,IF(BJ44&lt;$J$55,(IF(BJ44&lt;0,0,BJ44*$K$49))))</f>
        <v>0</v>
      </c>
      <c r="BK49" s="2305">
        <f t="shared" si="245"/>
        <v>1.1935483870967742</v>
      </c>
      <c r="BL49" s="2091">
        <f t="shared" si="245"/>
        <v>0.41675056319800624</v>
      </c>
      <c r="BM49" s="1814"/>
      <c r="BN49" s="2090">
        <f t="shared" si="196"/>
        <v>1.6102989502947804</v>
      </c>
      <c r="BO49" s="2087">
        <f>$J$49*0</f>
        <v>0</v>
      </c>
      <c r="BP49" s="2174">
        <f t="shared" si="217"/>
        <v>1.6102989502947804</v>
      </c>
      <c r="BR49" s="2090"/>
      <c r="BS49" s="2159"/>
      <c r="BT49" s="1740"/>
      <c r="BU49" s="2090">
        <f t="shared" si="197"/>
        <v>5.4754183003403165</v>
      </c>
      <c r="BV49" s="2160">
        <f t="shared" si="198"/>
        <v>0.14798427838757613</v>
      </c>
      <c r="BW49" s="2351"/>
      <c r="BX49" s="4636"/>
      <c r="BZ49" s="4627"/>
      <c r="CA49" s="1830"/>
      <c r="CB49" s="2131"/>
      <c r="CC49" s="1830"/>
      <c r="CD49" s="1860"/>
      <c r="CE49" s="1860"/>
      <c r="CF49" s="1860"/>
      <c r="CG49" s="1860"/>
      <c r="CH49" s="1860"/>
      <c r="CI49" s="1860"/>
    </row>
    <row r="50" spans="1:87" s="1885" customFormat="1" x14ac:dyDescent="0.2">
      <c r="B50" s="2182">
        <v>42</v>
      </c>
      <c r="C50" s="2175" t="s">
        <v>118</v>
      </c>
      <c r="D50" s="2119"/>
      <c r="E50" s="2170">
        <v>35</v>
      </c>
      <c r="F50" s="2176">
        <f t="shared" si="218"/>
        <v>3.5</v>
      </c>
      <c r="G50" s="2176">
        <f t="shared" si="219"/>
        <v>2.3333333333333335</v>
      </c>
      <c r="H50" s="2176">
        <f t="shared" si="220"/>
        <v>1.75</v>
      </c>
      <c r="I50" s="2176">
        <f t="shared" si="221"/>
        <v>1.4</v>
      </c>
      <c r="J50" s="2176">
        <f t="shared" si="199"/>
        <v>1.1290322580645162</v>
      </c>
      <c r="K50" s="2177">
        <f t="shared" si="222"/>
        <v>0.10401188707280833</v>
      </c>
      <c r="L50" s="2003"/>
      <c r="M50" s="1950"/>
      <c r="N50" s="2415">
        <f t="shared" ref="N50:T50" si="246">IF(N44&gt;$J$55,$J$50,IF(N44&lt;$J$55,(IF(N44&lt;0,0,N44*$K$50))))</f>
        <v>0</v>
      </c>
      <c r="O50" s="2176">
        <f t="shared" si="246"/>
        <v>0</v>
      </c>
      <c r="P50" s="2176">
        <f t="shared" si="246"/>
        <v>0</v>
      </c>
      <c r="Q50" s="2176">
        <f t="shared" si="246"/>
        <v>0</v>
      </c>
      <c r="R50" s="2176">
        <f t="shared" si="246"/>
        <v>0</v>
      </c>
      <c r="S50" s="2176">
        <f t="shared" si="246"/>
        <v>0</v>
      </c>
      <c r="T50" s="2171">
        <f t="shared" si="246"/>
        <v>0</v>
      </c>
      <c r="U50" s="1951"/>
      <c r="V50" s="2169">
        <f t="shared" si="52"/>
        <v>0</v>
      </c>
      <c r="W50" s="2176">
        <f>$J$50*0</f>
        <v>0</v>
      </c>
      <c r="X50" s="2171">
        <f t="shared" ref="X50:X67" si="247">V50-W50</f>
        <v>0</v>
      </c>
      <c r="Y50" s="1956"/>
      <c r="Z50" s="2169">
        <f t="shared" ref="Z50:AC50" si="248">IF(Z44&gt;$J$55,$J$50,IF(Z44&lt;$J$55,(IF(Z44&lt;0,0,Z44*$K$50))))</f>
        <v>0</v>
      </c>
      <c r="AA50" s="2176">
        <f t="shared" si="248"/>
        <v>0</v>
      </c>
      <c r="AB50" s="2176">
        <f t="shared" si="248"/>
        <v>0</v>
      </c>
      <c r="AC50" s="2176">
        <f t="shared" si="248"/>
        <v>0</v>
      </c>
      <c r="AD50" s="2176">
        <f t="shared" ref="AD50:AE50" si="249">IF(AD44&gt;$J$55,$J$50,IF(AD44&lt;$J$55,(IF(AD44&lt;0,0,AD44*$K$50))))</f>
        <v>0</v>
      </c>
      <c r="AE50" s="2176">
        <f t="shared" si="249"/>
        <v>0</v>
      </c>
      <c r="AF50" s="2171">
        <f t="shared" ref="AF50" si="250">IF(AF44&gt;$J$55,$J$50,IF(AF44&lt;$J$55,(IF(AF44&lt;0,0,AF44*$K$50))))</f>
        <v>0</v>
      </c>
      <c r="AG50" s="1956"/>
      <c r="AH50" s="2169">
        <f t="shared" si="204"/>
        <v>0</v>
      </c>
      <c r="AI50" s="2176">
        <f>$J$50*0</f>
        <v>0</v>
      </c>
      <c r="AJ50" s="2171">
        <f t="shared" si="205"/>
        <v>0</v>
      </c>
      <c r="AK50" s="1956"/>
      <c r="AL50" s="2169">
        <f t="shared" ref="AL50:AM50" si="251">IF(AL44&gt;$J$55,$J$50,IF(AL44&lt;$J$55,(IF(AL44&lt;0,0,AL44*$K$50))))</f>
        <v>0</v>
      </c>
      <c r="AM50" s="2176">
        <f t="shared" si="251"/>
        <v>0</v>
      </c>
      <c r="AN50" s="2176">
        <f t="shared" ref="AN50:AQ50" si="252">IF(AN44&gt;$J$55,$J$50,IF(AN44&lt;$J$55,(IF(AN44&lt;0,0,AN44*$K$50))))</f>
        <v>0</v>
      </c>
      <c r="AO50" s="2176">
        <f t="shared" si="252"/>
        <v>0</v>
      </c>
      <c r="AP50" s="2176">
        <f t="shared" si="252"/>
        <v>0</v>
      </c>
      <c r="AQ50" s="2176">
        <f t="shared" si="252"/>
        <v>0</v>
      </c>
      <c r="AR50" s="2171">
        <f t="shared" ref="AR50" si="253">IF(AR44&gt;$J$55,$J$50,IF(AR44&lt;$J$55,(IF(AR44&lt;0,0,AR44*$K$50))))</f>
        <v>0</v>
      </c>
      <c r="AS50" s="1951"/>
      <c r="AT50" s="2169">
        <f t="shared" si="209"/>
        <v>0</v>
      </c>
      <c r="AU50" s="2176">
        <f>$J$50*0</f>
        <v>0</v>
      </c>
      <c r="AV50" s="2171">
        <f t="shared" si="210"/>
        <v>0</v>
      </c>
      <c r="AW50" s="1951"/>
      <c r="AX50" s="2169">
        <f t="shared" ref="AX50" si="254">IF(AX44&gt;$J$55,$J$50,IF(AX44&lt;$J$55,(IF(AX44&lt;0,0,AX44*$K$50))))</f>
        <v>0</v>
      </c>
      <c r="AY50" s="2170">
        <f t="shared" ref="AY50:BC50" si="255">IF(AY44&gt;$J$55,$J$50,IF(AY44&lt;$J$55,(IF(AY44&lt;0,0,AY44*$K$50))))</f>
        <v>1.1290322580645162</v>
      </c>
      <c r="AZ50" s="2170">
        <f t="shared" si="255"/>
        <v>1.1290322580645162</v>
      </c>
      <c r="BA50" s="2170">
        <f t="shared" si="255"/>
        <v>1.1290322580645162</v>
      </c>
      <c r="BB50" s="2170">
        <f t="shared" si="255"/>
        <v>0.26909720557925576</v>
      </c>
      <c r="BC50" s="2170">
        <f t="shared" si="255"/>
        <v>0</v>
      </c>
      <c r="BD50" s="2171">
        <f t="shared" ref="BD50" si="256">IF(BD44&gt;$J$55,$J$50,IF(BD44&lt;$J$55,(IF(BD44&lt;0,0,BD44*$K$50))))</f>
        <v>0</v>
      </c>
      <c r="BE50" s="1951"/>
      <c r="BF50" s="2169">
        <f t="shared" si="214"/>
        <v>3.6561939797728047</v>
      </c>
      <c r="BG50" s="2176">
        <f>$J$50*0</f>
        <v>0</v>
      </c>
      <c r="BH50" s="2171">
        <f t="shared" si="215"/>
        <v>3.6561939797728047</v>
      </c>
      <c r="BI50" s="1951"/>
      <c r="BJ50" s="2169">
        <f t="shared" ref="BJ50:BL50" si="257">IF(BJ44&gt;$J$55,$J$50,IF(BJ44&lt;$J$55,(IF(BJ44&lt;0,0,BJ44*$K$50))))</f>
        <v>0</v>
      </c>
      <c r="BK50" s="2307">
        <f t="shared" si="257"/>
        <v>1.1290322580645162</v>
      </c>
      <c r="BL50" s="2171">
        <f t="shared" si="257"/>
        <v>0.39422350572784376</v>
      </c>
      <c r="BM50" s="1951"/>
      <c r="BN50" s="2169">
        <f t="shared" si="196"/>
        <v>1.5232557637923601</v>
      </c>
      <c r="BO50" s="2176">
        <f>$J$50*0</f>
        <v>0</v>
      </c>
      <c r="BP50" s="2171">
        <f t="shared" si="217"/>
        <v>1.5232557637923601</v>
      </c>
      <c r="BR50" s="2179"/>
      <c r="BS50" s="2180"/>
      <c r="BT50" s="1900"/>
      <c r="BU50" s="2179">
        <f t="shared" si="197"/>
        <v>5.179449743565165</v>
      </c>
      <c r="BV50" s="2181">
        <f t="shared" si="198"/>
        <v>0.14798427838757613</v>
      </c>
      <c r="BW50" s="2353"/>
      <c r="BX50" s="4636"/>
      <c r="BZ50" s="4627"/>
      <c r="CA50" s="1962"/>
      <c r="CB50" s="2339"/>
      <c r="CC50" s="1962"/>
      <c r="CD50" s="1946"/>
      <c r="CE50" s="1946"/>
      <c r="CF50" s="1946"/>
      <c r="CG50" s="1946"/>
      <c r="CH50" s="1946"/>
      <c r="CI50" s="1946"/>
    </row>
    <row r="51" spans="1:87" s="1726" customFormat="1" x14ac:dyDescent="0.2">
      <c r="A51" s="1756"/>
      <c r="B51" s="2085">
        <v>43</v>
      </c>
      <c r="C51" s="2086" t="s">
        <v>269</v>
      </c>
      <c r="D51" s="2051"/>
      <c r="E51" s="2087">
        <v>29.5</v>
      </c>
      <c r="F51" s="2088">
        <f t="shared" si="218"/>
        <v>2.95</v>
      </c>
      <c r="G51" s="2088">
        <f t="shared" si="219"/>
        <v>1.9666666666666666</v>
      </c>
      <c r="H51" s="2088">
        <f t="shared" si="220"/>
        <v>1.4750000000000001</v>
      </c>
      <c r="I51" s="2088">
        <f t="shared" si="221"/>
        <v>1.18</v>
      </c>
      <c r="J51" s="2088">
        <f t="shared" si="199"/>
        <v>0.95161290322580649</v>
      </c>
      <c r="K51" s="2089">
        <f t="shared" si="222"/>
        <v>8.7667161961367007E-2</v>
      </c>
      <c r="L51" s="1931"/>
      <c r="M51" s="1924"/>
      <c r="N51" s="2284">
        <f t="shared" ref="N51:T51" si="258">IF(N44&gt;$J$55,$J$51,IF(N44&lt;$J$55,(IF(N44&lt;0,0,N44*$K$51))))</f>
        <v>0</v>
      </c>
      <c r="O51" s="2088">
        <f t="shared" si="258"/>
        <v>0</v>
      </c>
      <c r="P51" s="2088">
        <f t="shared" si="258"/>
        <v>0</v>
      </c>
      <c r="Q51" s="2088">
        <f t="shared" si="258"/>
        <v>0</v>
      </c>
      <c r="R51" s="2088">
        <f t="shared" si="258"/>
        <v>0</v>
      </c>
      <c r="S51" s="2088">
        <f t="shared" si="258"/>
        <v>0</v>
      </c>
      <c r="T51" s="2091">
        <f t="shared" si="258"/>
        <v>0</v>
      </c>
      <c r="U51" s="1814"/>
      <c r="V51" s="2090">
        <f t="shared" si="52"/>
        <v>0</v>
      </c>
      <c r="W51" s="2088">
        <f>$J$51*0</f>
        <v>0</v>
      </c>
      <c r="X51" s="2091">
        <f t="shared" si="247"/>
        <v>0</v>
      </c>
      <c r="Y51" s="1766"/>
      <c r="Z51" s="2090">
        <f t="shared" ref="Z51:AC51" si="259">IF(Z44&gt;$J$55,$J$51,IF(Z44&lt;$J$55,(IF(Z44&lt;0,0,Z44*$K$51))))</f>
        <v>0</v>
      </c>
      <c r="AA51" s="2088">
        <f t="shared" si="259"/>
        <v>0</v>
      </c>
      <c r="AB51" s="2088">
        <f t="shared" si="259"/>
        <v>0</v>
      </c>
      <c r="AC51" s="2088">
        <f t="shared" si="259"/>
        <v>0</v>
      </c>
      <c r="AD51" s="2088">
        <f t="shared" ref="AD51:AE51" si="260">IF(AD44&gt;$J$55,$J$51,IF(AD44&lt;$J$55,(IF(AD44&lt;0,0,AD44*$K$51))))</f>
        <v>0</v>
      </c>
      <c r="AE51" s="2088">
        <f t="shared" si="260"/>
        <v>0</v>
      </c>
      <c r="AF51" s="2091">
        <f t="shared" ref="AF51" si="261">IF(AF44&gt;$J$55,$J$51,IF(AF44&lt;$J$55,(IF(AF44&lt;0,0,AF44*$K$51))))</f>
        <v>0</v>
      </c>
      <c r="AG51" s="1766"/>
      <c r="AH51" s="2090">
        <f t="shared" si="204"/>
        <v>0</v>
      </c>
      <c r="AI51" s="2088">
        <f>$J$51*0</f>
        <v>0</v>
      </c>
      <c r="AJ51" s="2091">
        <f t="shared" si="205"/>
        <v>0</v>
      </c>
      <c r="AK51" s="1766"/>
      <c r="AL51" s="2090">
        <f t="shared" ref="AL51:AM51" si="262">IF(AL44&gt;$J$55,$J$51,IF(AL44&lt;$J$55,(IF(AL44&lt;0,0,AL44*$K$51))))</f>
        <v>0</v>
      </c>
      <c r="AM51" s="2088">
        <f t="shared" si="262"/>
        <v>0</v>
      </c>
      <c r="AN51" s="2088">
        <f t="shared" ref="AN51:AQ51" si="263">IF(AN44&gt;$J$55,$J$51,IF(AN44&lt;$J$55,(IF(AN44&lt;0,0,AN44*$K$51))))</f>
        <v>0</v>
      </c>
      <c r="AO51" s="2088">
        <f t="shared" si="263"/>
        <v>0</v>
      </c>
      <c r="AP51" s="2088">
        <f t="shared" si="263"/>
        <v>0</v>
      </c>
      <c r="AQ51" s="2088">
        <f t="shared" si="263"/>
        <v>0</v>
      </c>
      <c r="AR51" s="2091">
        <f t="shared" ref="AR51" si="264">IF(AR44&gt;$J$55,$J$51,IF(AR44&lt;$J$55,(IF(AR44&lt;0,0,AR44*$K$51))))</f>
        <v>0</v>
      </c>
      <c r="AS51" s="1814"/>
      <c r="AT51" s="2090">
        <f t="shared" si="209"/>
        <v>0</v>
      </c>
      <c r="AU51" s="2088">
        <f>$J$51*0</f>
        <v>0</v>
      </c>
      <c r="AV51" s="2091">
        <f t="shared" si="210"/>
        <v>0</v>
      </c>
      <c r="AW51" s="1814"/>
      <c r="AX51" s="2090">
        <f t="shared" ref="AX51" si="265">IF(AX44&gt;$J$55,$J$51,IF(AX44&lt;$J$55,(IF(AX44&lt;0,0,AX44*$K$51))))</f>
        <v>0</v>
      </c>
      <c r="AY51" s="2087">
        <f t="shared" ref="AY51:BC51" si="266">IF(AY44&gt;$J$55,$J$51,IF(AY44&lt;$J$55,(IF(AY44&lt;0,0,AY44*$K$51))))</f>
        <v>0.95161290322580649</v>
      </c>
      <c r="AZ51" s="2087">
        <f t="shared" si="266"/>
        <v>0.95161290322580649</v>
      </c>
      <c r="BA51" s="2087">
        <f t="shared" si="266"/>
        <v>0.95161290322580649</v>
      </c>
      <c r="BB51" s="2087">
        <f t="shared" si="266"/>
        <v>0.22681050184537269</v>
      </c>
      <c r="BC51" s="2087">
        <f t="shared" si="266"/>
        <v>0</v>
      </c>
      <c r="BD51" s="2091">
        <f t="shared" ref="BD51" si="267">IF(BD44&gt;$J$55,$J$51,IF(BD44&lt;$J$55,(IF(BD44&lt;0,0,BD44*$K$51))))</f>
        <v>0</v>
      </c>
      <c r="BE51" s="1814"/>
      <c r="BF51" s="2090">
        <f t="shared" si="214"/>
        <v>3.0816492115227923</v>
      </c>
      <c r="BG51" s="2088">
        <f>$J$51*0</f>
        <v>0</v>
      </c>
      <c r="BH51" s="2091">
        <f t="shared" si="215"/>
        <v>3.0816492115227923</v>
      </c>
      <c r="BI51" s="1814"/>
      <c r="BJ51" s="2090">
        <f t="shared" ref="BJ51:BL51" si="268">IF(BJ44&gt;$J$55,$J$51,IF(BJ44&lt;$J$55,(IF(BJ44&lt;0,0,BJ44*$K$51))))</f>
        <v>0</v>
      </c>
      <c r="BK51" s="2305">
        <f t="shared" si="268"/>
        <v>0.95161290322580649</v>
      </c>
      <c r="BL51" s="2091">
        <f t="shared" si="268"/>
        <v>0.33227409768489685</v>
      </c>
      <c r="BM51" s="1814"/>
      <c r="BN51" s="2090">
        <f t="shared" si="196"/>
        <v>1.2838870009107033</v>
      </c>
      <c r="BO51" s="2088">
        <f>$J$51*0</f>
        <v>0</v>
      </c>
      <c r="BP51" s="2091">
        <f t="shared" si="217"/>
        <v>1.2838870009107033</v>
      </c>
      <c r="BR51" s="2092"/>
      <c r="BS51" s="2093"/>
      <c r="BT51" s="1740"/>
      <c r="BU51" s="2092">
        <f t="shared" si="197"/>
        <v>4.3655362124334953</v>
      </c>
      <c r="BV51" s="2094">
        <f t="shared" si="198"/>
        <v>0.14798427838757611</v>
      </c>
      <c r="BW51" s="2351"/>
      <c r="BX51" s="4636"/>
      <c r="BZ51" s="4627"/>
      <c r="CA51" s="2933"/>
      <c r="CB51" s="2933"/>
      <c r="CC51" s="1860"/>
      <c r="CD51" s="1860"/>
      <c r="CE51" s="1860"/>
      <c r="CF51" s="1860"/>
      <c r="CG51" s="1860"/>
      <c r="CH51" s="1860"/>
      <c r="CI51" s="1860"/>
    </row>
    <row r="52" spans="1:87" s="1885" customFormat="1" x14ac:dyDescent="0.2">
      <c r="B52" s="2182">
        <v>44</v>
      </c>
      <c r="C52" s="2175" t="s">
        <v>123</v>
      </c>
      <c r="D52" s="2119"/>
      <c r="E52" s="2170">
        <v>25</v>
      </c>
      <c r="F52" s="2176">
        <f t="shared" si="218"/>
        <v>2.5</v>
      </c>
      <c r="G52" s="2176">
        <f t="shared" si="219"/>
        <v>1.6666666666666667</v>
      </c>
      <c r="H52" s="2176">
        <f t="shared" si="220"/>
        <v>1.25</v>
      </c>
      <c r="I52" s="2176">
        <f t="shared" si="221"/>
        <v>1</v>
      </c>
      <c r="J52" s="2176">
        <f t="shared" si="199"/>
        <v>0.80645161290322576</v>
      </c>
      <c r="K52" s="2177">
        <f t="shared" si="222"/>
        <v>7.4294205052005943E-2</v>
      </c>
      <c r="L52" s="2003"/>
      <c r="M52" s="1950"/>
      <c r="N52" s="2415">
        <f t="shared" ref="N52:T52" si="269">IF(N44&gt;$J$55,$J$52,IF(N44&lt;$J$55,(IF(N44&lt;0,0,N44*$K$52))))</f>
        <v>0</v>
      </c>
      <c r="O52" s="2176">
        <f t="shared" si="269"/>
        <v>0</v>
      </c>
      <c r="P52" s="2176">
        <f t="shared" si="269"/>
        <v>0</v>
      </c>
      <c r="Q52" s="2176">
        <f t="shared" si="269"/>
        <v>0</v>
      </c>
      <c r="R52" s="2176">
        <f t="shared" si="269"/>
        <v>0</v>
      </c>
      <c r="S52" s="2176">
        <f t="shared" si="269"/>
        <v>0</v>
      </c>
      <c r="T52" s="2171">
        <f t="shared" si="269"/>
        <v>0</v>
      </c>
      <c r="U52" s="1951"/>
      <c r="V52" s="2169">
        <f t="shared" si="52"/>
        <v>0</v>
      </c>
      <c r="W52" s="2176">
        <f>$J$52*0</f>
        <v>0</v>
      </c>
      <c r="X52" s="2171">
        <f t="shared" si="247"/>
        <v>0</v>
      </c>
      <c r="Y52" s="1956"/>
      <c r="Z52" s="2169">
        <f t="shared" ref="Z52:AC52" si="270">IF(Z44&gt;$J$55,$J$52,IF(Z44&lt;$J$55,(IF(Z44&lt;0,0,Z44*$K$52))))</f>
        <v>0</v>
      </c>
      <c r="AA52" s="2176">
        <f t="shared" si="270"/>
        <v>0</v>
      </c>
      <c r="AB52" s="2176">
        <f t="shared" si="270"/>
        <v>0</v>
      </c>
      <c r="AC52" s="2176">
        <f t="shared" si="270"/>
        <v>0</v>
      </c>
      <c r="AD52" s="2176">
        <f t="shared" ref="AD52:AE52" si="271">IF(AD44&gt;$J$55,$J$52,IF(AD44&lt;$J$55,(IF(AD44&lt;0,0,AD44*$K$52))))</f>
        <v>0</v>
      </c>
      <c r="AE52" s="2176">
        <f t="shared" si="271"/>
        <v>0</v>
      </c>
      <c r="AF52" s="2171">
        <f t="shared" ref="AF52" si="272">IF(AF44&gt;$J$55,$J$52,IF(AF44&lt;$J$55,(IF(AF44&lt;0,0,AF44*$K$52))))</f>
        <v>0</v>
      </c>
      <c r="AG52" s="1956"/>
      <c r="AH52" s="2169">
        <f t="shared" si="204"/>
        <v>0</v>
      </c>
      <c r="AI52" s="2176">
        <f>$J$52*0</f>
        <v>0</v>
      </c>
      <c r="AJ52" s="2171">
        <f t="shared" si="205"/>
        <v>0</v>
      </c>
      <c r="AK52" s="1956"/>
      <c r="AL52" s="2169">
        <f t="shared" ref="AL52:AM52" si="273">IF(AL44&gt;$J$55,$J$52,IF(AL44&lt;$J$55,(IF(AL44&lt;0,0,AL44*$K$52))))</f>
        <v>0</v>
      </c>
      <c r="AM52" s="2176">
        <f t="shared" si="273"/>
        <v>0</v>
      </c>
      <c r="AN52" s="2176">
        <f t="shared" ref="AN52:AQ52" si="274">IF(AN44&gt;$J$55,$J$52,IF(AN44&lt;$J$55,(IF(AN44&lt;0,0,AN44*$K$52))))</f>
        <v>0</v>
      </c>
      <c r="AO52" s="2176">
        <f t="shared" si="274"/>
        <v>0</v>
      </c>
      <c r="AP52" s="2176">
        <f t="shared" si="274"/>
        <v>0</v>
      </c>
      <c r="AQ52" s="2176">
        <f t="shared" si="274"/>
        <v>0</v>
      </c>
      <c r="AR52" s="2171">
        <f t="shared" ref="AR52" si="275">IF(AR44&gt;$J$55,$J$52,IF(AR44&lt;$J$55,(IF(AR44&lt;0,0,AR44*$K$52))))</f>
        <v>0</v>
      </c>
      <c r="AS52" s="1951"/>
      <c r="AT52" s="2169">
        <f t="shared" si="209"/>
        <v>0</v>
      </c>
      <c r="AU52" s="2176">
        <f>$J$52*0</f>
        <v>0</v>
      </c>
      <c r="AV52" s="2171">
        <f t="shared" si="210"/>
        <v>0</v>
      </c>
      <c r="AW52" s="1951"/>
      <c r="AX52" s="2169">
        <f t="shared" ref="AX52" si="276">IF(AX44&gt;$J$55,$J$52,IF(AX44&lt;$J$55,(IF(AX44&lt;0,0,AX44*$K$52))))</f>
        <v>0</v>
      </c>
      <c r="AY52" s="2170">
        <f t="shared" ref="AY52:BC52" si="277">IF(AY44&gt;$J$55,$J$52,IF(AY44&lt;$J$55,(IF(AY44&lt;0,0,AY44*$K$52))))</f>
        <v>0.80645161290322576</v>
      </c>
      <c r="AZ52" s="2170">
        <f t="shared" si="277"/>
        <v>0.80645161290322576</v>
      </c>
      <c r="BA52" s="2170">
        <f t="shared" si="277"/>
        <v>0.80645161290322576</v>
      </c>
      <c r="BB52" s="2170">
        <f t="shared" si="277"/>
        <v>0.19221228969946841</v>
      </c>
      <c r="BC52" s="2170">
        <f t="shared" si="277"/>
        <v>0</v>
      </c>
      <c r="BD52" s="2171">
        <f t="shared" ref="BD52" si="278">IF(BD44&gt;$J$55,$J$52,IF(BD44&lt;$J$55,(IF(BD44&lt;0,0,BD44*$K$52))))</f>
        <v>0</v>
      </c>
      <c r="BE52" s="1951"/>
      <c r="BF52" s="2169">
        <f t="shared" si="214"/>
        <v>2.6115671284091455</v>
      </c>
      <c r="BG52" s="2176">
        <f>$J$52*0</f>
        <v>0</v>
      </c>
      <c r="BH52" s="2171">
        <f t="shared" si="215"/>
        <v>2.6115671284091455</v>
      </c>
      <c r="BI52" s="1951"/>
      <c r="BJ52" s="2169">
        <f t="shared" ref="BJ52:BL52" si="279">IF(BJ44&gt;$J$55,$J$52,IF(BJ44&lt;$J$55,(IF(BJ44&lt;0,0,BJ44*$K$52))))</f>
        <v>0</v>
      </c>
      <c r="BK52" s="2307">
        <f t="shared" si="279"/>
        <v>0.80645161290322576</v>
      </c>
      <c r="BL52" s="2171">
        <f t="shared" si="279"/>
        <v>0.28158821837703124</v>
      </c>
      <c r="BM52" s="1951"/>
      <c r="BN52" s="2169">
        <f t="shared" si="196"/>
        <v>1.0880398312802571</v>
      </c>
      <c r="BO52" s="2176">
        <f>$J$52*0</f>
        <v>0</v>
      </c>
      <c r="BP52" s="2171">
        <f t="shared" si="217"/>
        <v>1.0880398312802571</v>
      </c>
      <c r="BR52" s="2179"/>
      <c r="BS52" s="2180"/>
      <c r="BT52" s="1900"/>
      <c r="BU52" s="2179">
        <f t="shared" si="197"/>
        <v>3.6996069596894028</v>
      </c>
      <c r="BV52" s="2181">
        <f t="shared" si="198"/>
        <v>0.14798427838757611</v>
      </c>
      <c r="BW52" s="2353"/>
      <c r="BX52" s="4636"/>
      <c r="BZ52" s="4627"/>
      <c r="CA52" s="2929"/>
      <c r="CB52" s="2929"/>
      <c r="CC52" s="1946"/>
      <c r="CD52" s="1946"/>
      <c r="CE52" s="1946"/>
      <c r="CF52" s="1946"/>
      <c r="CG52" s="1946"/>
      <c r="CH52" s="1946"/>
      <c r="CI52" s="1946"/>
    </row>
    <row r="53" spans="1:87" s="1726" customFormat="1" x14ac:dyDescent="0.2">
      <c r="B53" s="2085">
        <v>45</v>
      </c>
      <c r="C53" s="2108" t="s">
        <v>119</v>
      </c>
      <c r="D53" s="2051"/>
      <c r="E53" s="2110">
        <v>4</v>
      </c>
      <c r="F53" s="2111">
        <f t="shared" si="218"/>
        <v>0.4</v>
      </c>
      <c r="G53" s="2111">
        <f t="shared" si="219"/>
        <v>0.26666666666666666</v>
      </c>
      <c r="H53" s="2111">
        <f t="shared" si="220"/>
        <v>0.2</v>
      </c>
      <c r="I53" s="2111">
        <f t="shared" si="221"/>
        <v>0.16</v>
      </c>
      <c r="J53" s="2111">
        <f t="shared" si="199"/>
        <v>0.12903225806451613</v>
      </c>
      <c r="K53" s="2112">
        <f t="shared" si="222"/>
        <v>1.188707280832095E-2</v>
      </c>
      <c r="L53" s="1931"/>
      <c r="M53" s="1924"/>
      <c r="N53" s="2284">
        <f t="shared" ref="N53:T53" si="280">IF(N44&gt;$J$55,$J$53,IF(N44&lt;$J$55,(IF(N44&lt;0,0,N44*$K$53))))</f>
        <v>0</v>
      </c>
      <c r="O53" s="2088">
        <f t="shared" si="280"/>
        <v>0</v>
      </c>
      <c r="P53" s="2088">
        <f t="shared" si="280"/>
        <v>0</v>
      </c>
      <c r="Q53" s="2088">
        <f t="shared" si="280"/>
        <v>0</v>
      </c>
      <c r="R53" s="2088">
        <f t="shared" si="280"/>
        <v>0</v>
      </c>
      <c r="S53" s="2088">
        <f t="shared" si="280"/>
        <v>0</v>
      </c>
      <c r="T53" s="2091">
        <f t="shared" si="280"/>
        <v>0</v>
      </c>
      <c r="U53" s="1814"/>
      <c r="V53" s="2090">
        <f>SUM(N53:T53)</f>
        <v>0</v>
      </c>
      <c r="W53" s="2087">
        <f>$J$53*0</f>
        <v>0</v>
      </c>
      <c r="X53" s="2174">
        <f t="shared" si="247"/>
        <v>0</v>
      </c>
      <c r="Y53" s="1766"/>
      <c r="Z53" s="2090">
        <f t="shared" ref="Z53:AC53" si="281">IF(Z44&gt;$J$55,$J$53,IF(Z44&lt;$J$55,(IF(Z44&lt;0,0,Z44*$K$53))))</f>
        <v>0</v>
      </c>
      <c r="AA53" s="2087">
        <f t="shared" si="281"/>
        <v>0</v>
      </c>
      <c r="AB53" s="2087">
        <f t="shared" si="281"/>
        <v>0</v>
      </c>
      <c r="AC53" s="2087">
        <f t="shared" si="281"/>
        <v>0</v>
      </c>
      <c r="AD53" s="2087">
        <f t="shared" ref="AD53:AE53" si="282">IF(AD44&gt;$J$55,$J$53,IF(AD44&lt;$J$55,(IF(AD44&lt;0,0,AD44*$K$53))))</f>
        <v>0</v>
      </c>
      <c r="AE53" s="2087">
        <f t="shared" si="282"/>
        <v>0</v>
      </c>
      <c r="AF53" s="2091">
        <f t="shared" ref="AF53" si="283">IF(AF44&gt;$J$55,$J$53,IF(AF44&lt;$J$55,(IF(AF44&lt;0,0,AF44*$K$53))))</f>
        <v>0</v>
      </c>
      <c r="AG53" s="1766"/>
      <c r="AH53" s="2090">
        <f t="shared" si="204"/>
        <v>0</v>
      </c>
      <c r="AI53" s="2087">
        <f>$J$53*0</f>
        <v>0</v>
      </c>
      <c r="AJ53" s="2174">
        <f t="shared" si="205"/>
        <v>0</v>
      </c>
      <c r="AK53" s="1766"/>
      <c r="AL53" s="2090">
        <f t="shared" ref="AL53:AM53" si="284">IF(AL44&gt;$J$55,$J$53,IF(AL44&lt;$J$55,(IF(AL44&lt;0,0,AL44*$K$53))))</f>
        <v>0</v>
      </c>
      <c r="AM53" s="2088">
        <f t="shared" si="284"/>
        <v>0</v>
      </c>
      <c r="AN53" s="2088">
        <f t="shared" ref="AN53:AQ53" si="285">IF(AN44&gt;$J$55,$J$53,IF(AN44&lt;$J$55,(IF(AN44&lt;0,0,AN44*$K$53))))</f>
        <v>0</v>
      </c>
      <c r="AO53" s="2088">
        <f t="shared" si="285"/>
        <v>0</v>
      </c>
      <c r="AP53" s="2088">
        <f t="shared" si="285"/>
        <v>0</v>
      </c>
      <c r="AQ53" s="2088">
        <f t="shared" si="285"/>
        <v>0</v>
      </c>
      <c r="AR53" s="2091">
        <f t="shared" ref="AR53" si="286">IF(AR44&gt;$J$55,$J$53,IF(AR44&lt;$J$55,(IF(AR44&lt;0,0,AR44*$K$53))))</f>
        <v>0</v>
      </c>
      <c r="AS53" s="1814"/>
      <c r="AT53" s="2090">
        <f t="shared" si="209"/>
        <v>0</v>
      </c>
      <c r="AU53" s="2087">
        <f>$J$53*0</f>
        <v>0</v>
      </c>
      <c r="AV53" s="2174">
        <f t="shared" si="210"/>
        <v>0</v>
      </c>
      <c r="AW53" s="1814"/>
      <c r="AX53" s="2090">
        <f t="shared" ref="AX53" si="287">IF(AX44&gt;$J$55,$J$53,IF(AX44&lt;$J$55,(IF(AX44&lt;0,0,AX44*$K$53))))</f>
        <v>0</v>
      </c>
      <c r="AY53" s="2087">
        <f t="shared" ref="AY53:BC53" si="288">IF(AY44&gt;$J$55,$J$53,IF(AY44&lt;$J$55,(IF(AY44&lt;0,0,AY44*$K$53))))</f>
        <v>0.12903225806451613</v>
      </c>
      <c r="AZ53" s="2087">
        <f t="shared" si="288"/>
        <v>0.12903225806451613</v>
      </c>
      <c r="BA53" s="2087">
        <f t="shared" si="288"/>
        <v>0.12903225806451613</v>
      </c>
      <c r="BB53" s="2087">
        <f t="shared" si="288"/>
        <v>3.0753966351914942E-2</v>
      </c>
      <c r="BC53" s="2087">
        <f t="shared" si="288"/>
        <v>0</v>
      </c>
      <c r="BD53" s="2091">
        <f t="shared" ref="BD53" si="289">IF(BD44&gt;$J$55,$J$53,IF(BD44&lt;$J$55,(IF(BD44&lt;0,0,BD44*$K$53))))</f>
        <v>0</v>
      </c>
      <c r="BE53" s="1814"/>
      <c r="BF53" s="2090">
        <f t="shared" si="214"/>
        <v>0.41785074054546334</v>
      </c>
      <c r="BG53" s="2087">
        <f>$J$53*0</f>
        <v>0</v>
      </c>
      <c r="BH53" s="2174">
        <f t="shared" si="215"/>
        <v>0.41785074054546334</v>
      </c>
      <c r="BI53" s="1814"/>
      <c r="BJ53" s="2090">
        <f t="shared" ref="BJ53:BL53" si="290">IF(BJ44&gt;$J$55,$J$53,IF(BJ44&lt;$J$55,(IF(BJ44&lt;0,0,BJ44*$K$53))))</f>
        <v>0</v>
      </c>
      <c r="BK53" s="2305">
        <f t="shared" si="290"/>
        <v>0.12903225806451613</v>
      </c>
      <c r="BL53" s="2091">
        <f t="shared" si="290"/>
        <v>4.5054114940324998E-2</v>
      </c>
      <c r="BM53" s="1814"/>
      <c r="BN53" s="2090">
        <f t="shared" si="196"/>
        <v>0.17408637300484112</v>
      </c>
      <c r="BO53" s="2087">
        <f>$J$53*0</f>
        <v>0</v>
      </c>
      <c r="BP53" s="2174">
        <f t="shared" si="217"/>
        <v>0.17408637300484112</v>
      </c>
      <c r="BR53" s="2092"/>
      <c r="BS53" s="2093"/>
      <c r="BT53" s="1740"/>
      <c r="BU53" s="2092">
        <f t="shared" si="197"/>
        <v>0.59193711355030443</v>
      </c>
      <c r="BV53" s="2094">
        <f t="shared" si="198"/>
        <v>0.14798427838757611</v>
      </c>
      <c r="BW53" s="2351"/>
      <c r="BX53" s="4636"/>
      <c r="BZ53" s="4627"/>
      <c r="CA53" s="2933"/>
      <c r="CB53" s="1860"/>
      <c r="CC53" s="1860"/>
      <c r="CD53" s="1860"/>
      <c r="CE53" s="1860"/>
      <c r="CF53" s="1860"/>
      <c r="CG53" s="1860"/>
      <c r="CH53" s="1860"/>
      <c r="CI53" s="1860"/>
    </row>
    <row r="54" spans="1:87" s="1885" customFormat="1" ht="17.25" thickBot="1" x14ac:dyDescent="0.25">
      <c r="B54" s="2420">
        <v>46</v>
      </c>
      <c r="C54" s="2417" t="s">
        <v>237</v>
      </c>
      <c r="D54" s="2680"/>
      <c r="E54" s="2681">
        <v>0</v>
      </c>
      <c r="F54" s="2418">
        <f t="shared" si="218"/>
        <v>0</v>
      </c>
      <c r="G54" s="2418">
        <f t="shared" si="219"/>
        <v>0</v>
      </c>
      <c r="H54" s="2418">
        <f t="shared" si="220"/>
        <v>0</v>
      </c>
      <c r="I54" s="2418">
        <f t="shared" si="221"/>
        <v>0</v>
      </c>
      <c r="J54" s="2418">
        <f t="shared" si="199"/>
        <v>0</v>
      </c>
      <c r="K54" s="2419">
        <f t="shared" si="222"/>
        <v>0</v>
      </c>
      <c r="L54" s="2003"/>
      <c r="M54" s="1950"/>
      <c r="N54" s="2682">
        <f t="shared" ref="N54:T54" si="291">IF(N44&gt;$J$55,$J$54,IF(N44&lt;$J$55,(IF(N44&lt;0,0,N44*$K$54))))</f>
        <v>0</v>
      </c>
      <c r="O54" s="2418">
        <f t="shared" si="291"/>
        <v>0</v>
      </c>
      <c r="P54" s="2418">
        <f t="shared" si="291"/>
        <v>0</v>
      </c>
      <c r="Q54" s="2418">
        <f t="shared" si="291"/>
        <v>0</v>
      </c>
      <c r="R54" s="2418">
        <f t="shared" si="291"/>
        <v>0</v>
      </c>
      <c r="S54" s="2418">
        <f t="shared" si="291"/>
        <v>0</v>
      </c>
      <c r="T54" s="2683">
        <f t="shared" si="291"/>
        <v>0</v>
      </c>
      <c r="U54" s="1951"/>
      <c r="V54" s="2179">
        <f t="shared" ref="V54:V66" si="292">SUM(N54:T54)</f>
        <v>0</v>
      </c>
      <c r="W54" s="2681">
        <f>$J$54*0</f>
        <v>0</v>
      </c>
      <c r="X54" s="2684">
        <f t="shared" si="247"/>
        <v>0</v>
      </c>
      <c r="Y54" s="1956"/>
      <c r="Z54" s="2179">
        <f t="shared" ref="Z54:AC54" si="293">IF(Z44&gt;$J$55,$J$54,IF(Z44&lt;$J$55,(IF(Z44&lt;0,0,Z44*$K$54))))</f>
        <v>0</v>
      </c>
      <c r="AA54" s="2681">
        <f t="shared" si="293"/>
        <v>0</v>
      </c>
      <c r="AB54" s="2681">
        <f t="shared" si="293"/>
        <v>0</v>
      </c>
      <c r="AC54" s="2681">
        <f t="shared" si="293"/>
        <v>0</v>
      </c>
      <c r="AD54" s="2681">
        <f t="shared" ref="AD54:AE54" si="294">IF(AD44&gt;$J$55,$J$54,IF(AD44&lt;$J$55,(IF(AD44&lt;0,0,AD44*$K$54))))</f>
        <v>0</v>
      </c>
      <c r="AE54" s="2681">
        <f t="shared" si="294"/>
        <v>0</v>
      </c>
      <c r="AF54" s="2683">
        <f t="shared" ref="AF54" si="295">IF(AF44&gt;$J$55,$J$54,IF(AF44&lt;$J$55,(IF(AF44&lt;0,0,AF44*$K$54))))</f>
        <v>0</v>
      </c>
      <c r="AG54" s="1956"/>
      <c r="AH54" s="2179">
        <f t="shared" si="204"/>
        <v>0</v>
      </c>
      <c r="AI54" s="2681">
        <f>$J$54*0</f>
        <v>0</v>
      </c>
      <c r="AJ54" s="2684">
        <f t="shared" si="205"/>
        <v>0</v>
      </c>
      <c r="AK54" s="1956"/>
      <c r="AL54" s="2179">
        <f t="shared" ref="AL54:AM54" si="296">IF(AL44&gt;$J$55,$J$54,IF(AL44&lt;$J$55,(IF(AL44&lt;0,0,AL44*$K$54))))</f>
        <v>0</v>
      </c>
      <c r="AM54" s="2418">
        <f t="shared" si="296"/>
        <v>0</v>
      </c>
      <c r="AN54" s="2418">
        <f t="shared" ref="AN54:AQ54" si="297">IF(AN44&gt;$J$55,$J$54,IF(AN44&lt;$J$55,(IF(AN44&lt;0,0,AN44*$K$54))))</f>
        <v>0</v>
      </c>
      <c r="AO54" s="2418">
        <f t="shared" si="297"/>
        <v>0</v>
      </c>
      <c r="AP54" s="2418">
        <f t="shared" si="297"/>
        <v>0</v>
      </c>
      <c r="AQ54" s="2418">
        <f t="shared" si="297"/>
        <v>0</v>
      </c>
      <c r="AR54" s="2683">
        <f t="shared" ref="AR54" si="298">IF(AR44&gt;$J$55,$J$54,IF(AR44&lt;$J$55,(IF(AR44&lt;0,0,AR44*$K$54))))</f>
        <v>0</v>
      </c>
      <c r="AS54" s="1951"/>
      <c r="AT54" s="2169">
        <f t="shared" si="209"/>
        <v>0</v>
      </c>
      <c r="AU54" s="2170">
        <f>$J$54*0</f>
        <v>0</v>
      </c>
      <c r="AV54" s="2178">
        <f t="shared" si="210"/>
        <v>0</v>
      </c>
      <c r="AW54" s="1951"/>
      <c r="AX54" s="2187">
        <f t="shared" ref="AX54" si="299">IF(AX44&gt;$J$55,$J$54,IF(AX44&lt;$J$55,(IF(AX44&lt;0,0,AX44*$K$54))))</f>
        <v>0</v>
      </c>
      <c r="AY54" s="2681">
        <f t="shared" ref="AY54:BC54" si="300">IF(AY44&gt;$J$55,$J$54,IF(AY44&lt;$J$55,(IF(AY44&lt;0,0,AY44*$K$54))))</f>
        <v>0</v>
      </c>
      <c r="AZ54" s="2681">
        <f t="shared" si="300"/>
        <v>0</v>
      </c>
      <c r="BA54" s="2681">
        <f t="shared" si="300"/>
        <v>0</v>
      </c>
      <c r="BB54" s="2681">
        <f t="shared" si="300"/>
        <v>0</v>
      </c>
      <c r="BC54" s="2681">
        <f t="shared" si="300"/>
        <v>0</v>
      </c>
      <c r="BD54" s="2683">
        <f t="shared" ref="BD54" si="301">IF(BD44&gt;$J$55,$J$54,IF(BD44&lt;$J$55,(IF(BD44&lt;0,0,BD44*$K$54))))</f>
        <v>0</v>
      </c>
      <c r="BE54" s="1951"/>
      <c r="BF54" s="2169">
        <f t="shared" si="214"/>
        <v>0</v>
      </c>
      <c r="BG54" s="2170">
        <f>$J$54*0</f>
        <v>0</v>
      </c>
      <c r="BH54" s="2178">
        <f t="shared" si="215"/>
        <v>0</v>
      </c>
      <c r="BI54" s="1951"/>
      <c r="BJ54" s="2179">
        <f t="shared" ref="BJ54:BL54" si="302">IF(BJ44&gt;$J$55,$J$54,IF(BJ44&lt;$J$55,(IF(BJ44&lt;0,0,BJ44*$K$54))))</f>
        <v>0</v>
      </c>
      <c r="BK54" s="2962">
        <f t="shared" si="302"/>
        <v>0</v>
      </c>
      <c r="BL54" s="2683">
        <f t="shared" si="302"/>
        <v>0</v>
      </c>
      <c r="BM54" s="1951"/>
      <c r="BN54" s="2179">
        <f t="shared" si="196"/>
        <v>0</v>
      </c>
      <c r="BO54" s="2681">
        <f>$J$54*0</f>
        <v>0</v>
      </c>
      <c r="BP54" s="2684">
        <f t="shared" si="217"/>
        <v>0</v>
      </c>
      <c r="BR54" s="2179"/>
      <c r="BS54" s="2180"/>
      <c r="BT54" s="1900"/>
      <c r="BU54" s="2179">
        <f t="shared" si="197"/>
        <v>0</v>
      </c>
      <c r="BV54" s="2181" t="e">
        <f t="shared" si="198"/>
        <v>#DIV/0!</v>
      </c>
      <c r="BW54" s="2353"/>
      <c r="BX54" s="4636"/>
      <c r="BZ54" s="4627"/>
      <c r="CA54" s="2929"/>
      <c r="CB54" s="1946"/>
      <c r="CC54" s="1946"/>
      <c r="CD54" s="1946"/>
      <c r="CE54" s="1946"/>
      <c r="CF54" s="1946"/>
      <c r="CG54" s="1946"/>
      <c r="CH54" s="1946"/>
      <c r="CI54" s="1946"/>
    </row>
    <row r="55" spans="1:87" s="1726" customFormat="1" ht="17.25" thickBot="1" x14ac:dyDescent="0.25">
      <c r="B55" s="2049"/>
      <c r="C55" s="2190" t="s">
        <v>192</v>
      </c>
      <c r="D55" s="2051"/>
      <c r="E55" s="2056">
        <f>SUM(E46:E54)</f>
        <v>336.5</v>
      </c>
      <c r="F55" s="2053"/>
      <c r="G55" s="2053"/>
      <c r="H55" s="2053"/>
      <c r="I55" s="2053"/>
      <c r="J55" s="2053">
        <f t="shared" ref="J55:K55" si="303">SUM(J46:J54)</f>
        <v>10.854838709677418</v>
      </c>
      <c r="K55" s="2191">
        <f t="shared" si="303"/>
        <v>1</v>
      </c>
      <c r="L55" s="1931"/>
      <c r="M55" s="1924"/>
      <c r="N55" s="2642">
        <f t="shared" ref="N55:T55" si="304">SUM(N46:N54)</f>
        <v>0</v>
      </c>
      <c r="O55" s="2053">
        <f t="shared" si="304"/>
        <v>0</v>
      </c>
      <c r="P55" s="2053">
        <f t="shared" si="304"/>
        <v>0</v>
      </c>
      <c r="Q55" s="2053">
        <f t="shared" si="304"/>
        <v>0</v>
      </c>
      <c r="R55" s="2053">
        <f t="shared" si="304"/>
        <v>0</v>
      </c>
      <c r="S55" s="2053">
        <f t="shared" si="304"/>
        <v>0</v>
      </c>
      <c r="T55" s="2057">
        <f t="shared" si="304"/>
        <v>0</v>
      </c>
      <c r="U55" s="1814"/>
      <c r="V55" s="2056">
        <f>SUM(V46:V54)</f>
        <v>0</v>
      </c>
      <c r="W55" s="2052">
        <f t="shared" ref="W55" si="305">SUM(W46:W54)</f>
        <v>0</v>
      </c>
      <c r="X55" s="2192">
        <f>SUM(X46:X54)</f>
        <v>0</v>
      </c>
      <c r="Y55" s="1766"/>
      <c r="Z55" s="2056">
        <f t="shared" ref="Z55:AC55" si="306">SUM(Z46:Z54)</f>
        <v>0</v>
      </c>
      <c r="AA55" s="2052">
        <f t="shared" si="306"/>
        <v>0</v>
      </c>
      <c r="AB55" s="2052">
        <f t="shared" si="306"/>
        <v>0</v>
      </c>
      <c r="AC55" s="2052">
        <f t="shared" si="306"/>
        <v>0</v>
      </c>
      <c r="AD55" s="2052">
        <f t="shared" ref="AD55:AE55" si="307">SUM(AD46:AD54)</f>
        <v>0</v>
      </c>
      <c r="AE55" s="2052">
        <f t="shared" si="307"/>
        <v>0</v>
      </c>
      <c r="AF55" s="2057">
        <f t="shared" ref="AF55" si="308">SUM(AF46:AF54)</f>
        <v>0</v>
      </c>
      <c r="AG55" s="1766"/>
      <c r="AH55" s="2056">
        <f>SUM(AH46:AH54)</f>
        <v>0</v>
      </c>
      <c r="AI55" s="2052">
        <f>SUM(AI46:AI54)</f>
        <v>0</v>
      </c>
      <c r="AJ55" s="2192">
        <f>SUM(AJ46:AJ54)</f>
        <v>0</v>
      </c>
      <c r="AK55" s="1766"/>
      <c r="AL55" s="2056">
        <f t="shared" ref="AL55:AM55" si="309">SUM(AL46:AL54)</f>
        <v>0</v>
      </c>
      <c r="AM55" s="2053">
        <f t="shared" si="309"/>
        <v>0</v>
      </c>
      <c r="AN55" s="2053">
        <f t="shared" ref="AN55:AQ55" si="310">SUM(AN46:AN54)</f>
        <v>0</v>
      </c>
      <c r="AO55" s="2053">
        <f t="shared" si="310"/>
        <v>0</v>
      </c>
      <c r="AP55" s="2053">
        <f t="shared" si="310"/>
        <v>0</v>
      </c>
      <c r="AQ55" s="2053">
        <f t="shared" si="310"/>
        <v>0</v>
      </c>
      <c r="AR55" s="2057">
        <f t="shared" ref="AR55" si="311">SUM(AR46:AR54)</f>
        <v>0</v>
      </c>
      <c r="AS55" s="1814"/>
      <c r="AT55" s="2056">
        <f>SUM(AT46:AT54)</f>
        <v>0</v>
      </c>
      <c r="AU55" s="2052">
        <f>SUM(AU46:AU54)</f>
        <v>0</v>
      </c>
      <c r="AV55" s="2192">
        <f>SUM(AV46:AV54)</f>
        <v>0</v>
      </c>
      <c r="AW55" s="1814"/>
      <c r="AX55" s="2056">
        <f t="shared" ref="AX55" si="312">SUM(AX46:AX54)</f>
        <v>0</v>
      </c>
      <c r="AY55" s="2052">
        <f t="shared" ref="AY55:BC55" si="313">SUM(AY46:AY54)</f>
        <v>10.854838709677418</v>
      </c>
      <c r="AZ55" s="2052">
        <f t="shared" si="313"/>
        <v>10.854838709677418</v>
      </c>
      <c r="BA55" s="2052">
        <f t="shared" si="313"/>
        <v>10.854838709677418</v>
      </c>
      <c r="BB55" s="2052">
        <f t="shared" si="313"/>
        <v>2.5871774193548442</v>
      </c>
      <c r="BC55" s="2052">
        <f t="shared" si="313"/>
        <v>0</v>
      </c>
      <c r="BD55" s="2057">
        <f t="shared" ref="BD55" si="314">SUM(BD46:BD54)</f>
        <v>0</v>
      </c>
      <c r="BE55" s="1814"/>
      <c r="BF55" s="2056">
        <f>SUM(BF46:BF54)</f>
        <v>35.151693548387101</v>
      </c>
      <c r="BG55" s="2052">
        <f>SUM(BG46:BG54)</f>
        <v>0</v>
      </c>
      <c r="BH55" s="2192">
        <f>SUM(BH46:BH54)</f>
        <v>35.151693548387101</v>
      </c>
      <c r="BI55" s="1814"/>
      <c r="BJ55" s="2056">
        <f t="shared" ref="BJ55:BL55" si="315">SUM(BJ46:BJ54)</f>
        <v>0</v>
      </c>
      <c r="BK55" s="2963">
        <f t="shared" si="315"/>
        <v>10.854838709677418</v>
      </c>
      <c r="BL55" s="2057">
        <f t="shared" si="315"/>
        <v>3.7901774193548414</v>
      </c>
      <c r="BM55" s="1814"/>
      <c r="BN55" s="2056">
        <f>SUM(BN46:BN54)</f>
        <v>14.645016129032257</v>
      </c>
      <c r="BO55" s="2052">
        <f>SUM(BO46:BO54)</f>
        <v>0</v>
      </c>
      <c r="BP55" s="2192">
        <f>SUM(BP46:BP54)</f>
        <v>14.645016129032257</v>
      </c>
      <c r="BR55" s="2056">
        <f>X55+AJ55+AV55</f>
        <v>0</v>
      </c>
      <c r="BS55" s="2253"/>
      <c r="BT55" s="1740"/>
      <c r="BU55" s="2056">
        <f>SUM(BU46:BU54)</f>
        <v>49.796709677419365</v>
      </c>
      <c r="BV55" s="2054">
        <f t="shared" si="198"/>
        <v>0.14798427838757613</v>
      </c>
      <c r="BW55" s="2351"/>
      <c r="BX55" s="4637"/>
      <c r="BZ55" s="4627"/>
      <c r="CA55" s="2933"/>
      <c r="CB55" s="1860"/>
      <c r="CC55" s="1860"/>
      <c r="CD55" s="1860"/>
      <c r="CE55" s="1860"/>
      <c r="CF55" s="1860"/>
      <c r="CG55" s="1860"/>
      <c r="CH55" s="1860"/>
      <c r="CI55" s="1860"/>
    </row>
    <row r="56" spans="1:87" s="1810" customFormat="1" ht="4.5" customHeight="1" thickBot="1" x14ac:dyDescent="0.25">
      <c r="B56" s="1817"/>
      <c r="C56" s="1817"/>
      <c r="D56" s="1817"/>
      <c r="E56" s="1814"/>
      <c r="F56" s="1814"/>
      <c r="G56" s="1814"/>
      <c r="H56" s="1814"/>
      <c r="I56" s="1814"/>
      <c r="J56" s="1814"/>
      <c r="K56" s="2131"/>
      <c r="L56" s="1924"/>
      <c r="M56" s="1924"/>
      <c r="N56" s="2931"/>
      <c r="O56" s="2931"/>
      <c r="P56" s="2931"/>
      <c r="Q56" s="2931"/>
      <c r="R56" s="2931"/>
      <c r="S56" s="2931"/>
      <c r="T56" s="2931"/>
      <c r="U56" s="1814"/>
      <c r="V56" s="1814"/>
      <c r="W56" s="1814"/>
      <c r="X56" s="1814"/>
      <c r="Y56" s="1766"/>
      <c r="Z56" s="2931"/>
      <c r="AA56" s="2931"/>
      <c r="AB56" s="2931"/>
      <c r="AC56" s="2931"/>
      <c r="AD56" s="2931"/>
      <c r="AE56" s="2931"/>
      <c r="AF56" s="2931"/>
      <c r="AG56" s="1766"/>
      <c r="AH56" s="1814"/>
      <c r="AI56" s="1814"/>
      <c r="AJ56" s="1814"/>
      <c r="AK56" s="1766"/>
      <c r="AL56" s="2931"/>
      <c r="AM56" s="2931"/>
      <c r="AN56" s="2931"/>
      <c r="AO56" s="2931"/>
      <c r="AP56" s="2931"/>
      <c r="AQ56" s="2931"/>
      <c r="AR56" s="2931"/>
      <c r="AS56" s="1814"/>
      <c r="AT56" s="2137"/>
      <c r="AU56" s="2137"/>
      <c r="AV56" s="2137"/>
      <c r="AW56" s="1814"/>
      <c r="AX56" s="2936"/>
      <c r="AY56" s="2936"/>
      <c r="AZ56" s="2936"/>
      <c r="BA56" s="2936"/>
      <c r="BB56" s="2936"/>
      <c r="BC56" s="2936"/>
      <c r="BD56" s="2936"/>
      <c r="BE56" s="1814"/>
      <c r="BF56" s="2137"/>
      <c r="BG56" s="2137"/>
      <c r="BH56" s="2137"/>
      <c r="BI56" s="1814"/>
      <c r="BJ56" s="2931"/>
      <c r="BK56" s="2931"/>
      <c r="BL56" s="2931"/>
      <c r="BM56" s="1814"/>
      <c r="BN56" s="1814"/>
      <c r="BO56" s="1814"/>
      <c r="BP56" s="1814"/>
      <c r="BR56" s="1814"/>
      <c r="BS56" s="2132"/>
      <c r="BT56" s="1817"/>
      <c r="BU56" s="1814"/>
      <c r="BV56" s="1830"/>
      <c r="BW56" s="1830"/>
      <c r="BX56" s="2643"/>
      <c r="CA56" s="1761"/>
    </row>
    <row r="57" spans="1:87" s="1906" customFormat="1" ht="17.25" thickBot="1" x14ac:dyDescent="0.25">
      <c r="B57" s="1960"/>
      <c r="C57" s="1960" t="s">
        <v>193</v>
      </c>
      <c r="D57" s="1960"/>
      <c r="E57" s="2687"/>
      <c r="F57" s="1951"/>
      <c r="G57" s="1951"/>
      <c r="H57" s="1951"/>
      <c r="I57" s="1951"/>
      <c r="J57" s="1951"/>
      <c r="K57" s="2339"/>
      <c r="L57" s="2003"/>
      <c r="M57" s="1950"/>
      <c r="N57" s="2120">
        <f t="shared" ref="N57:T57" si="316">N44-N55</f>
        <v>0</v>
      </c>
      <c r="O57" s="2123">
        <f t="shared" si="316"/>
        <v>0</v>
      </c>
      <c r="P57" s="2123">
        <f t="shared" si="316"/>
        <v>0</v>
      </c>
      <c r="Q57" s="2123">
        <f t="shared" si="316"/>
        <v>0</v>
      </c>
      <c r="R57" s="2123">
        <f t="shared" si="316"/>
        <v>0</v>
      </c>
      <c r="S57" s="2123">
        <f t="shared" si="316"/>
        <v>-29.315322580645159</v>
      </c>
      <c r="T57" s="2124">
        <f t="shared" si="316"/>
        <v>0</v>
      </c>
      <c r="U57" s="1951"/>
      <c r="V57" s="1951"/>
      <c r="W57" s="1951"/>
      <c r="X57" s="1951"/>
      <c r="Y57" s="1956"/>
      <c r="Z57" s="2120">
        <f t="shared" ref="Z57:AC57" si="317">Z44-Z55</f>
        <v>0</v>
      </c>
      <c r="AA57" s="2123">
        <f t="shared" si="317"/>
        <v>0</v>
      </c>
      <c r="AB57" s="2123">
        <f t="shared" si="317"/>
        <v>0</v>
      </c>
      <c r="AC57" s="2123">
        <f t="shared" si="317"/>
        <v>-34.444322580645157</v>
      </c>
      <c r="AD57" s="2123">
        <f t="shared" ref="AD57:AE57" si="318">AD44-AD55</f>
        <v>-25.152322580645158</v>
      </c>
      <c r="AE57" s="2123">
        <f t="shared" si="318"/>
        <v>-29.748322580645159</v>
      </c>
      <c r="AF57" s="2124">
        <f t="shared" ref="AF57" si="319">AF44-AF55</f>
        <v>-4.6128225806451582</v>
      </c>
      <c r="AG57" s="1956"/>
      <c r="AH57" s="1951"/>
      <c r="AI57" s="1951"/>
      <c r="AJ57" s="1951"/>
      <c r="AK57" s="1956"/>
      <c r="AL57" s="2120">
        <f t="shared" ref="AL57:AM57" si="320">AL44-AL55</f>
        <v>-9.5803225806451593</v>
      </c>
      <c r="AM57" s="2123">
        <f t="shared" si="320"/>
        <v>-3.920822580645158</v>
      </c>
      <c r="AN57" s="2123">
        <f t="shared" ref="AN57:AQ57" si="321">AN44-AN55</f>
        <v>-16.059322580645158</v>
      </c>
      <c r="AO57" s="2123">
        <f t="shared" si="321"/>
        <v>-6.672322580645158</v>
      </c>
      <c r="AP57" s="2123">
        <f t="shared" si="321"/>
        <v>-17.63632258064516</v>
      </c>
      <c r="AQ57" s="2123">
        <f t="shared" si="321"/>
        <v>-15.38782258064516</v>
      </c>
      <c r="AR57" s="2124">
        <f t="shared" ref="AR57" si="322">AR44-AR55</f>
        <v>-38.531822580645155</v>
      </c>
      <c r="AS57" s="1951"/>
      <c r="AT57" s="1951"/>
      <c r="AU57" s="1951"/>
      <c r="AV57" s="1951"/>
      <c r="AW57" s="1951"/>
      <c r="AX57" s="2120">
        <f t="shared" ref="AX57" si="323">AX44-AX55</f>
        <v>-22.091822580645157</v>
      </c>
      <c r="AY57" s="2123">
        <f t="shared" ref="AY57:BC57" si="324">AY44-AY55</f>
        <v>2.4668387096774236</v>
      </c>
      <c r="AZ57" s="2123">
        <f t="shared" si="324"/>
        <v>9.6288387096774297</v>
      </c>
      <c r="BA57" s="2123">
        <f t="shared" si="324"/>
        <v>48.938338709677431</v>
      </c>
      <c r="BB57" s="2123">
        <f t="shared" si="324"/>
        <v>0</v>
      </c>
      <c r="BC57" s="2123">
        <f t="shared" si="324"/>
        <v>-17.280322580645159</v>
      </c>
      <c r="BD57" s="2124">
        <f t="shared" ref="BD57" si="325">BD44-BD55</f>
        <v>-11.863822580645156</v>
      </c>
      <c r="BE57" s="1951"/>
      <c r="BF57" s="1951"/>
      <c r="BG57" s="1951"/>
      <c r="BH57" s="1951"/>
      <c r="BI57" s="1951"/>
      <c r="BJ57" s="2120">
        <f t="shared" ref="BJ57:BL57" si="326">BJ44-BJ55</f>
        <v>-19.333822580645158</v>
      </c>
      <c r="BK57" s="2123">
        <f t="shared" si="326"/>
        <v>44.653338709677421</v>
      </c>
      <c r="BL57" s="2123">
        <f t="shared" si="326"/>
        <v>0</v>
      </c>
      <c r="BM57" s="1951"/>
      <c r="BN57" s="1951"/>
      <c r="BO57" s="1951"/>
      <c r="BP57" s="1951"/>
      <c r="BR57" s="2007"/>
      <c r="BS57" s="2688"/>
      <c r="BT57" s="1960"/>
      <c r="BU57" s="2007"/>
      <c r="BV57" s="2008"/>
      <c r="BW57" s="1962"/>
      <c r="BX57" s="2689"/>
      <c r="CA57" s="1905"/>
    </row>
    <row r="58" spans="1:87" s="1810" customFormat="1" ht="4.5" customHeight="1" thickBot="1" x14ac:dyDescent="0.25">
      <c r="B58" s="1817"/>
      <c r="C58" s="1817"/>
      <c r="D58" s="1817"/>
      <c r="E58" s="1814"/>
      <c r="F58" s="1814"/>
      <c r="G58" s="1814"/>
      <c r="H58" s="1814"/>
      <c r="I58" s="1814"/>
      <c r="J58" s="1814"/>
      <c r="K58" s="2131"/>
      <c r="L58" s="1924"/>
      <c r="M58" s="1924"/>
      <c r="N58" s="2137"/>
      <c r="O58" s="2137"/>
      <c r="P58" s="2137"/>
      <c r="Q58" s="2137"/>
      <c r="R58" s="2137"/>
      <c r="S58" s="2137"/>
      <c r="T58" s="2137"/>
      <c r="U58" s="1814"/>
      <c r="V58" s="1814"/>
      <c r="W58" s="1814"/>
      <c r="X58" s="1814"/>
      <c r="Y58" s="1766"/>
      <c r="Z58" s="2936"/>
      <c r="AA58" s="2936"/>
      <c r="AB58" s="2936"/>
      <c r="AC58" s="2936"/>
      <c r="AD58" s="2936"/>
      <c r="AE58" s="2936"/>
      <c r="AF58" s="2936"/>
      <c r="AG58" s="1766"/>
      <c r="AH58" s="1814"/>
      <c r="AI58" s="1814"/>
      <c r="AJ58" s="1814"/>
      <c r="AK58" s="1766"/>
      <c r="AL58" s="2137"/>
      <c r="AM58" s="2137"/>
      <c r="AN58" s="2137"/>
      <c r="AO58" s="2137"/>
      <c r="AP58" s="2137"/>
      <c r="AQ58" s="2137"/>
      <c r="AR58" s="2137"/>
      <c r="AS58" s="1814"/>
      <c r="AT58" s="1814"/>
      <c r="AU58" s="1814"/>
      <c r="AV58" s="1814"/>
      <c r="AW58" s="1814"/>
      <c r="AX58" s="2137"/>
      <c r="AY58" s="2137"/>
      <c r="AZ58" s="2137"/>
      <c r="BA58" s="2137"/>
      <c r="BB58" s="2137"/>
      <c r="BC58" s="2137"/>
      <c r="BD58" s="2137"/>
      <c r="BE58" s="1814"/>
      <c r="BF58" s="1814"/>
      <c r="BG58" s="1814"/>
      <c r="BH58" s="1814"/>
      <c r="BI58" s="1814"/>
      <c r="BJ58" s="2137"/>
      <c r="BK58" s="2137"/>
      <c r="BL58" s="2137"/>
      <c r="BM58" s="1814"/>
      <c r="BN58" s="1814"/>
      <c r="BO58" s="1814"/>
      <c r="BP58" s="1814"/>
      <c r="BR58" s="2137"/>
      <c r="BS58" s="2138"/>
      <c r="BT58" s="1817"/>
      <c r="BU58" s="2137"/>
      <c r="BV58" s="2139"/>
      <c r="BW58" s="1830"/>
      <c r="BX58" s="2644"/>
      <c r="CA58" s="1761"/>
    </row>
    <row r="59" spans="1:87" s="1740" customFormat="1" ht="15.75" x14ac:dyDescent="0.2">
      <c r="A59" s="2466"/>
      <c r="B59" s="2444">
        <v>47</v>
      </c>
      <c r="C59" s="2281" t="s">
        <v>132</v>
      </c>
      <c r="D59" s="1817"/>
      <c r="E59" s="2067">
        <v>465</v>
      </c>
      <c r="F59" s="2065">
        <f>E59/10</f>
        <v>46.5</v>
      </c>
      <c r="G59" s="2065">
        <f>E59/15</f>
        <v>31</v>
      </c>
      <c r="H59" s="2065">
        <f>E59/20</f>
        <v>23.25</v>
      </c>
      <c r="I59" s="2065">
        <f>E59/25</f>
        <v>18.600000000000001</v>
      </c>
      <c r="J59" s="2065">
        <f>E59/31</f>
        <v>15</v>
      </c>
      <c r="K59" s="2066">
        <f t="shared" ref="K59:K67" si="327">E59/$E$68</f>
        <v>0.27944711538461536</v>
      </c>
      <c r="L59" s="2465"/>
      <c r="M59" s="2131"/>
      <c r="N59" s="2067">
        <f t="shared" ref="N59:T59" si="328">IF(N57&gt;$J$68,$J$59,IF(N57&lt;$J$68,(IF(N57&lt;0,0,N57*$K$59))))</f>
        <v>0</v>
      </c>
      <c r="O59" s="2065">
        <f t="shared" si="328"/>
        <v>0</v>
      </c>
      <c r="P59" s="2065">
        <f t="shared" si="328"/>
        <v>0</v>
      </c>
      <c r="Q59" s="2065">
        <f t="shared" si="328"/>
        <v>0</v>
      </c>
      <c r="R59" s="2065">
        <f t="shared" si="328"/>
        <v>0</v>
      </c>
      <c r="S59" s="2065">
        <f t="shared" si="328"/>
        <v>0</v>
      </c>
      <c r="T59" s="2069">
        <f t="shared" si="328"/>
        <v>0</v>
      </c>
      <c r="U59" s="1814"/>
      <c r="V59" s="2067">
        <f t="shared" si="292"/>
        <v>0</v>
      </c>
      <c r="W59" s="2068">
        <f>$J$59*0</f>
        <v>0</v>
      </c>
      <c r="X59" s="2070">
        <f t="shared" si="247"/>
        <v>0</v>
      </c>
      <c r="Y59" s="1814"/>
      <c r="Z59" s="2090">
        <f t="shared" ref="Z59:AC59" si="329">IF(Z57&gt;$J$68,$J$59,IF(Z57&lt;$J$68,(IF(Z57&lt;0,0,Z57*$K$59))))</f>
        <v>0</v>
      </c>
      <c r="AA59" s="2087">
        <f t="shared" si="329"/>
        <v>0</v>
      </c>
      <c r="AB59" s="2087">
        <f t="shared" si="329"/>
        <v>0</v>
      </c>
      <c r="AC59" s="2087">
        <f t="shared" si="329"/>
        <v>0</v>
      </c>
      <c r="AD59" s="2087">
        <f t="shared" ref="AD59:AE59" si="330">IF(AD57&gt;$J$68,$J$59,IF(AD57&lt;$J$68,(IF(AD57&lt;0,0,AD57*$K$59))))</f>
        <v>0</v>
      </c>
      <c r="AE59" s="2087">
        <f t="shared" si="330"/>
        <v>0</v>
      </c>
      <c r="AF59" s="2091">
        <f t="shared" ref="AF59" si="331">IF(AF57&gt;$J$68,$J$59,IF(AF57&lt;$J$68,(IF(AF57&lt;0,0,AF57*$K$59))))</f>
        <v>0</v>
      </c>
      <c r="AG59" s="1814"/>
      <c r="AH59" s="2067">
        <f t="shared" si="204"/>
        <v>0</v>
      </c>
      <c r="AI59" s="2068">
        <f>$J$59*0</f>
        <v>0</v>
      </c>
      <c r="AJ59" s="2070">
        <f>AH59-AI59</f>
        <v>0</v>
      </c>
      <c r="AK59" s="1814"/>
      <c r="AL59" s="2067">
        <f t="shared" ref="AL59:AM59" si="332">IF(AL57&gt;$J$68,$J$59,IF(AL57&lt;$J$68,(IF(AL57&lt;0,0,AL57*$K$59))))</f>
        <v>0</v>
      </c>
      <c r="AM59" s="2065">
        <f t="shared" si="332"/>
        <v>0</v>
      </c>
      <c r="AN59" s="2065">
        <f t="shared" ref="AN59:AQ59" si="333">IF(AN57&gt;$J$68,$J$59,IF(AN57&lt;$J$68,(IF(AN57&lt;0,0,AN57*$K$59))))</f>
        <v>0</v>
      </c>
      <c r="AO59" s="2065">
        <f t="shared" si="333"/>
        <v>0</v>
      </c>
      <c r="AP59" s="2065">
        <f t="shared" si="333"/>
        <v>0</v>
      </c>
      <c r="AQ59" s="2065">
        <f t="shared" si="333"/>
        <v>0</v>
      </c>
      <c r="AR59" s="2069">
        <f t="shared" ref="AR59" si="334">IF(AR57&gt;$J$68,$J$59,IF(AR57&lt;$J$68,(IF(AR57&lt;0,0,AR57*$K$59))))</f>
        <v>0</v>
      </c>
      <c r="AS59" s="1814"/>
      <c r="AT59" s="2067">
        <f>SUM(AL59:AR59)</f>
        <v>0</v>
      </c>
      <c r="AU59" s="2068">
        <f>$J$59*0</f>
        <v>0</v>
      </c>
      <c r="AV59" s="2070">
        <f>AT59-AU59</f>
        <v>0</v>
      </c>
      <c r="AW59" s="1814"/>
      <c r="AX59" s="2067">
        <f t="shared" ref="AX59" si="335">IF(AX57&gt;$J$68,$J$59,IF(AX57&lt;$J$68,(IF(AX57&lt;0,0,AX57*$K$59))))</f>
        <v>0</v>
      </c>
      <c r="AY59" s="2645">
        <f t="shared" ref="AY59:BC59" si="336">IF(AY57&gt;$J$68,$J$59,IF(AY57&lt;$J$68,(IF(AY57&lt;0,0,AY57*$K$59))))</f>
        <v>0.68935096153846265</v>
      </c>
      <c r="AZ59" s="2645">
        <f t="shared" si="336"/>
        <v>2.6907512019230797</v>
      </c>
      <c r="BA59" s="2645">
        <f t="shared" si="336"/>
        <v>13.675677584134618</v>
      </c>
      <c r="BB59" s="2645">
        <f t="shared" si="336"/>
        <v>0</v>
      </c>
      <c r="BC59" s="2645">
        <f t="shared" si="336"/>
        <v>0</v>
      </c>
      <c r="BD59" s="2069">
        <f t="shared" ref="BD59" si="337">IF(BD57&gt;$J$68,$J$59,IF(BD57&lt;$J$68,(IF(BD57&lt;0,0,BD57*$K$59))))</f>
        <v>0</v>
      </c>
      <c r="BE59" s="1814"/>
      <c r="BF59" s="2067">
        <f t="shared" ref="BF59:BF67" si="338">SUM(AX59:BD59)</f>
        <v>17.055779747596162</v>
      </c>
      <c r="BG59" s="2068">
        <f>$J$59*0</f>
        <v>0</v>
      </c>
      <c r="BH59" s="2070">
        <f t="shared" ref="BH59:BH67" si="339">BF59-BG59</f>
        <v>17.055779747596162</v>
      </c>
      <c r="BI59" s="1814"/>
      <c r="BJ59" s="2067">
        <f t="shared" ref="BJ59:BL59" si="340">IF(BJ57&gt;$J$68,$J$59,IF(BJ57&lt;$J$68,(IF(BJ57&lt;0,0,BJ57*$K$59))))</f>
        <v>0</v>
      </c>
      <c r="BK59" s="2645">
        <f t="shared" si="340"/>
        <v>12.478246694711538</v>
      </c>
      <c r="BL59" s="2070">
        <f t="shared" si="340"/>
        <v>0</v>
      </c>
      <c r="BM59" s="1814"/>
      <c r="BN59" s="2067">
        <f t="shared" ref="BN59:BN68" si="341">SUM(BJ59:BL59)</f>
        <v>12.478246694711538</v>
      </c>
      <c r="BO59" s="2068">
        <f>$J$59*0</f>
        <v>0</v>
      </c>
      <c r="BP59" s="2070">
        <f t="shared" ref="BP59:BP67" si="342">BN59-BO59</f>
        <v>12.478246694711538</v>
      </c>
      <c r="BR59" s="2067"/>
      <c r="BS59" s="2071"/>
      <c r="BU59" s="2067">
        <f t="shared" ref="BU59:BU67" si="343">SUM(N59:T59)+SUM(Z59:AF59)+SUM(AL59:AR59)+SUM(AX59:BD59)+SUM(BJ59:BL59)</f>
        <v>29.534026442307699</v>
      </c>
      <c r="BV59" s="2072">
        <f t="shared" ref="BV59:BV68" si="344">BU59/E59</f>
        <v>6.3514035359801504E-2</v>
      </c>
      <c r="BW59" s="2351"/>
      <c r="BX59" s="4635">
        <f>BV68-BU1</f>
        <v>-0.64616338399503725</v>
      </c>
      <c r="CA59" s="1997"/>
      <c r="CB59" s="1861"/>
      <c r="CC59" s="1861"/>
      <c r="CD59" s="1861"/>
      <c r="CE59" s="1861"/>
      <c r="CF59" s="1861"/>
      <c r="CG59" s="1861"/>
      <c r="CH59" s="1861"/>
      <c r="CI59" s="1861"/>
    </row>
    <row r="60" spans="1:87" s="1900" customFormat="1" ht="15.75" x14ac:dyDescent="0.2">
      <c r="A60" s="2464"/>
      <c r="B60" s="2161">
        <v>48</v>
      </c>
      <c r="C60" s="2162" t="s">
        <v>232</v>
      </c>
      <c r="D60" s="1960"/>
      <c r="E60" s="2163">
        <v>345</v>
      </c>
      <c r="F60" s="2164">
        <f>E60/10</f>
        <v>34.5</v>
      </c>
      <c r="G60" s="2164">
        <f>E60/15</f>
        <v>23</v>
      </c>
      <c r="H60" s="2164">
        <f>E60/20</f>
        <v>17.25</v>
      </c>
      <c r="I60" s="2164">
        <f>E60/25</f>
        <v>13.8</v>
      </c>
      <c r="J60" s="2164">
        <f t="shared" ref="J60:J67" si="345">E60/31</f>
        <v>11.129032258064516</v>
      </c>
      <c r="K60" s="2165">
        <f t="shared" si="327"/>
        <v>0.20733173076923078</v>
      </c>
      <c r="L60" s="2468"/>
      <c r="M60" s="2339"/>
      <c r="N60" s="2163">
        <f t="shared" ref="N60:T60" si="346">IF(N57&gt;$J$68,$J$60,IF(N57&lt;$J$68,(IF(N57&lt;0,0,N57*$K$60))))</f>
        <v>0</v>
      </c>
      <c r="O60" s="2164">
        <f t="shared" si="346"/>
        <v>0</v>
      </c>
      <c r="P60" s="2164">
        <f t="shared" si="346"/>
        <v>0</v>
      </c>
      <c r="Q60" s="2164">
        <f t="shared" si="346"/>
        <v>0</v>
      </c>
      <c r="R60" s="2164">
        <f t="shared" si="346"/>
        <v>0</v>
      </c>
      <c r="S60" s="2164">
        <f t="shared" si="346"/>
        <v>0</v>
      </c>
      <c r="T60" s="2166">
        <f t="shared" si="346"/>
        <v>0</v>
      </c>
      <c r="U60" s="1951"/>
      <c r="V60" s="2163">
        <f t="shared" si="292"/>
        <v>0</v>
      </c>
      <c r="W60" s="2167">
        <f>$J$60*0</f>
        <v>0</v>
      </c>
      <c r="X60" s="2168">
        <f t="shared" si="247"/>
        <v>0</v>
      </c>
      <c r="Y60" s="1951"/>
      <c r="Z60" s="2169">
        <f t="shared" ref="Z60:AC60" si="347">IF(Z57&gt;$J$68,$J$60,IF(Z57&lt;$J$68,(IF(Z57&lt;0,0,Z57*$K$60))))</f>
        <v>0</v>
      </c>
      <c r="AA60" s="2170">
        <f t="shared" si="347"/>
        <v>0</v>
      </c>
      <c r="AB60" s="2170">
        <f t="shared" si="347"/>
        <v>0</v>
      </c>
      <c r="AC60" s="2170">
        <f t="shared" si="347"/>
        <v>0</v>
      </c>
      <c r="AD60" s="2170">
        <f t="shared" ref="AD60:AE60" si="348">IF(AD57&gt;$J$68,$J$60,IF(AD57&lt;$J$68,(IF(AD57&lt;0,0,AD57*$K$60))))</f>
        <v>0</v>
      </c>
      <c r="AE60" s="2170">
        <f t="shared" si="348"/>
        <v>0</v>
      </c>
      <c r="AF60" s="2171">
        <f t="shared" ref="AF60" si="349">IF(AF57&gt;$J$68,$J$60,IF(AF57&lt;$J$68,(IF(AF57&lt;0,0,AF57*$K$60))))</f>
        <v>0</v>
      </c>
      <c r="AG60" s="1951"/>
      <c r="AH60" s="2163">
        <f>SUM(Z60:AF60)</f>
        <v>0</v>
      </c>
      <c r="AI60" s="2167">
        <f>$J$60*0</f>
        <v>0</v>
      </c>
      <c r="AJ60" s="2168">
        <f t="shared" ref="AJ60:AJ61" si="350">AH60-AI60</f>
        <v>0</v>
      </c>
      <c r="AK60" s="1951"/>
      <c r="AL60" s="2163">
        <f t="shared" ref="AL60:AM60" si="351">IF(AL57&gt;$J$68,$J$60,IF(AL57&lt;$J$68,(IF(AL57&lt;0,0,AL57*$K$60))))</f>
        <v>0</v>
      </c>
      <c r="AM60" s="2164">
        <f t="shared" si="351"/>
        <v>0</v>
      </c>
      <c r="AN60" s="2164">
        <f t="shared" ref="AN60:AQ60" si="352">IF(AN57&gt;$J$68,$J$60,IF(AN57&lt;$J$68,(IF(AN57&lt;0,0,AN57*$K$60))))</f>
        <v>0</v>
      </c>
      <c r="AO60" s="2164">
        <f t="shared" si="352"/>
        <v>0</v>
      </c>
      <c r="AP60" s="2164">
        <f t="shared" si="352"/>
        <v>0</v>
      </c>
      <c r="AQ60" s="2164">
        <f t="shared" si="352"/>
        <v>0</v>
      </c>
      <c r="AR60" s="2166">
        <f t="shared" ref="AR60" si="353">IF(AR57&gt;$J$68,$J$60,IF(AR57&lt;$J$68,(IF(AR57&lt;0,0,AR57*$K$60))))</f>
        <v>0</v>
      </c>
      <c r="AS60" s="1951"/>
      <c r="AT60" s="2163">
        <f t="shared" ref="AT60:AT67" si="354">SUM(AL60:AR60)</f>
        <v>0</v>
      </c>
      <c r="AU60" s="2167">
        <f>$J$60*0</f>
        <v>0</v>
      </c>
      <c r="AV60" s="2168">
        <f t="shared" ref="AV60:AV67" si="355">AT60-AU60</f>
        <v>0</v>
      </c>
      <c r="AW60" s="1951"/>
      <c r="AX60" s="2163">
        <f t="shared" ref="AX60" si="356">IF(AX57&gt;$J$68,$J$60,IF(AX57&lt;$J$68,(IF(AX57&lt;0,0,AX57*$K$60))))</f>
        <v>0</v>
      </c>
      <c r="AY60" s="2306">
        <f t="shared" ref="AY60:BC60" si="357">IF(AY57&gt;$J$68,$J$60,IF(AY57&lt;$J$68,(IF(AY57&lt;0,0,AY57*$K$60))))</f>
        <v>0.51145393920595628</v>
      </c>
      <c r="AZ60" s="2306">
        <f t="shared" si="357"/>
        <v>1.9963637949751885</v>
      </c>
      <c r="BA60" s="2306">
        <f t="shared" si="357"/>
        <v>10.146470465648266</v>
      </c>
      <c r="BB60" s="2306">
        <f t="shared" si="357"/>
        <v>0</v>
      </c>
      <c r="BC60" s="2306">
        <f t="shared" si="357"/>
        <v>0</v>
      </c>
      <c r="BD60" s="2166">
        <f t="shared" ref="BD60" si="358">IF(BD57&gt;$J$68,$J$60,IF(BD57&lt;$J$68,(IF(BD57&lt;0,0,BD57*$K$60))))</f>
        <v>0</v>
      </c>
      <c r="BE60" s="1951"/>
      <c r="BF60" s="2163">
        <f t="shared" si="338"/>
        <v>12.654288199829409</v>
      </c>
      <c r="BG60" s="2167">
        <f>$J$60*0</f>
        <v>0</v>
      </c>
      <c r="BH60" s="2168">
        <f t="shared" si="339"/>
        <v>12.654288199829409</v>
      </c>
      <c r="BI60" s="1951"/>
      <c r="BJ60" s="2169">
        <f t="shared" ref="BJ60:BL60" si="359">IF(BJ57&gt;$J$68,$J$60,IF(BJ57&lt;$J$68,(IF(BJ57&lt;0,0,BJ57*$K$60))))</f>
        <v>0</v>
      </c>
      <c r="BK60" s="2307">
        <f t="shared" si="359"/>
        <v>9.2580539993021098</v>
      </c>
      <c r="BL60" s="2178">
        <f t="shared" si="359"/>
        <v>0</v>
      </c>
      <c r="BM60" s="1951"/>
      <c r="BN60" s="2169">
        <f t="shared" si="341"/>
        <v>9.2580539993021098</v>
      </c>
      <c r="BO60" s="2170">
        <f>$J$60*0</f>
        <v>0</v>
      </c>
      <c r="BP60" s="2178">
        <f t="shared" si="342"/>
        <v>9.2580539993021098</v>
      </c>
      <c r="BR60" s="2169"/>
      <c r="BS60" s="2172"/>
      <c r="BU60" s="2169">
        <f t="shared" si="343"/>
        <v>21.912342199131519</v>
      </c>
      <c r="BV60" s="2173">
        <f t="shared" si="344"/>
        <v>6.3514035359801504E-2</v>
      </c>
      <c r="BW60" s="2353"/>
      <c r="BX60" s="4636"/>
      <c r="CA60" s="2010"/>
      <c r="CB60" s="2011"/>
      <c r="CC60" s="2011"/>
      <c r="CD60" s="2011"/>
      <c r="CE60" s="2011"/>
      <c r="CF60" s="2011"/>
      <c r="CG60" s="2011"/>
      <c r="CH60" s="2011"/>
      <c r="CI60" s="2011"/>
    </row>
    <row r="61" spans="1:87" s="1726" customFormat="1" x14ac:dyDescent="0.2">
      <c r="A61" s="1756"/>
      <c r="B61" s="2151">
        <v>49</v>
      </c>
      <c r="C61" s="2152" t="s">
        <v>4</v>
      </c>
      <c r="D61" s="1817"/>
      <c r="E61" s="2153">
        <v>300</v>
      </c>
      <c r="F61" s="2154"/>
      <c r="G61" s="2154"/>
      <c r="H61" s="2154"/>
      <c r="I61" s="2154"/>
      <c r="J61" s="2154">
        <f t="shared" si="345"/>
        <v>9.67741935483871</v>
      </c>
      <c r="K61" s="2155">
        <f t="shared" si="327"/>
        <v>0.18028846153846154</v>
      </c>
      <c r="L61" s="1931"/>
      <c r="M61" s="1924"/>
      <c r="N61" s="2153">
        <f t="shared" ref="N61:T61" si="360">IF(N57&gt;$J$68,$J$61,IF(N57&lt;$J$68,(IF(N57&lt;0,0,N57*$K$61))))</f>
        <v>0</v>
      </c>
      <c r="O61" s="2154">
        <f t="shared" si="360"/>
        <v>0</v>
      </c>
      <c r="P61" s="2154">
        <f t="shared" si="360"/>
        <v>0</v>
      </c>
      <c r="Q61" s="2154">
        <f t="shared" si="360"/>
        <v>0</v>
      </c>
      <c r="R61" s="2154">
        <f t="shared" si="360"/>
        <v>0</v>
      </c>
      <c r="S61" s="2154">
        <f t="shared" si="360"/>
        <v>0</v>
      </c>
      <c r="T61" s="2156">
        <f t="shared" si="360"/>
        <v>0</v>
      </c>
      <c r="U61" s="1814"/>
      <c r="V61" s="2153">
        <f t="shared" si="292"/>
        <v>0</v>
      </c>
      <c r="W61" s="2157">
        <f>$J$61*0</f>
        <v>0</v>
      </c>
      <c r="X61" s="2158">
        <f t="shared" si="247"/>
        <v>0</v>
      </c>
      <c r="Y61" s="1766"/>
      <c r="Z61" s="2090">
        <f t="shared" ref="Z61:AC61" si="361">IF(Z57&gt;$J$68,$J$61,IF(Z57&lt;$J$68,(IF(Z57&lt;0,0,Z57*$K$61))))</f>
        <v>0</v>
      </c>
      <c r="AA61" s="2087">
        <f t="shared" si="361"/>
        <v>0</v>
      </c>
      <c r="AB61" s="2087">
        <f t="shared" si="361"/>
        <v>0</v>
      </c>
      <c r="AC61" s="2087">
        <f t="shared" si="361"/>
        <v>0</v>
      </c>
      <c r="AD61" s="2087">
        <f t="shared" ref="AD61:AE61" si="362">IF(AD57&gt;$J$68,$J$61,IF(AD57&lt;$J$68,(IF(AD57&lt;0,0,AD57*$K$61))))</f>
        <v>0</v>
      </c>
      <c r="AE61" s="2087">
        <f t="shared" si="362"/>
        <v>0</v>
      </c>
      <c r="AF61" s="2091">
        <f t="shared" ref="AF61" si="363">IF(AF57&gt;$J$68,$J$61,IF(AF57&lt;$J$68,(IF(AF57&lt;0,0,AF57*$K$61))))</f>
        <v>0</v>
      </c>
      <c r="AG61" s="1766"/>
      <c r="AH61" s="2153">
        <f t="shared" ref="AH61" si="364">SUM(Z61:AF61)</f>
        <v>0</v>
      </c>
      <c r="AI61" s="2157">
        <f>$J$61*0</f>
        <v>0</v>
      </c>
      <c r="AJ61" s="2158">
        <f t="shared" si="350"/>
        <v>0</v>
      </c>
      <c r="AK61" s="1766"/>
      <c r="AL61" s="2153">
        <f t="shared" ref="AL61:AM61" si="365">IF(AL57&gt;$J$68,$J$61,IF(AL57&lt;$J$68,(IF(AL57&lt;0,0,AL57*$K$61))))</f>
        <v>0</v>
      </c>
      <c r="AM61" s="2154">
        <f t="shared" si="365"/>
        <v>0</v>
      </c>
      <c r="AN61" s="2154">
        <f t="shared" ref="AN61:AQ61" si="366">IF(AN57&gt;$J$68,$J$61,IF(AN57&lt;$J$68,(IF(AN57&lt;0,0,AN57*$K$61))))</f>
        <v>0</v>
      </c>
      <c r="AO61" s="2154">
        <f t="shared" si="366"/>
        <v>0</v>
      </c>
      <c r="AP61" s="2154">
        <f t="shared" si="366"/>
        <v>0</v>
      </c>
      <c r="AQ61" s="2154">
        <f t="shared" si="366"/>
        <v>0</v>
      </c>
      <c r="AR61" s="2156">
        <f t="shared" ref="AR61" si="367">IF(AR57&gt;$J$68,$J$61,IF(AR57&lt;$J$68,(IF(AR57&lt;0,0,AR57*$K$61))))</f>
        <v>0</v>
      </c>
      <c r="AS61" s="1814"/>
      <c r="AT61" s="2153">
        <f t="shared" si="354"/>
        <v>0</v>
      </c>
      <c r="AU61" s="2157">
        <f>$J$61*0</f>
        <v>0</v>
      </c>
      <c r="AV61" s="2158">
        <f t="shared" si="355"/>
        <v>0</v>
      </c>
      <c r="AW61" s="1814"/>
      <c r="AX61" s="2153">
        <f t="shared" ref="AX61" si="368">IF(AX57&gt;$J$68,$J$61,IF(AX57&lt;$J$68,(IF(AX57&lt;0,0,AX57*$K$61))))</f>
        <v>0</v>
      </c>
      <c r="AY61" s="2304">
        <f t="shared" ref="AY61:BC61" si="369">IF(AY57&gt;$J$68,$J$61,IF(AY57&lt;$J$68,(IF(AY57&lt;0,0,AY57*$K$61))))</f>
        <v>0.44474255583126626</v>
      </c>
      <c r="AZ61" s="2304">
        <f t="shared" si="369"/>
        <v>1.7359685173697288</v>
      </c>
      <c r="BA61" s="2304">
        <f t="shared" si="369"/>
        <v>8.8230177962158827</v>
      </c>
      <c r="BB61" s="2304">
        <f t="shared" si="369"/>
        <v>0</v>
      </c>
      <c r="BC61" s="2304">
        <f t="shared" si="369"/>
        <v>0</v>
      </c>
      <c r="BD61" s="2156">
        <f t="shared" ref="BD61" si="370">IF(BD57&gt;$J$68,$J$61,IF(BD57&lt;$J$68,(IF(BD57&lt;0,0,BD57*$K$61))))</f>
        <v>0</v>
      </c>
      <c r="BE61" s="1814"/>
      <c r="BF61" s="2153">
        <f t="shared" si="338"/>
        <v>11.003728869416879</v>
      </c>
      <c r="BG61" s="2157">
        <f>$J$61*0</f>
        <v>0</v>
      </c>
      <c r="BH61" s="2158">
        <f t="shared" si="339"/>
        <v>11.003728869416879</v>
      </c>
      <c r="BI61" s="1814"/>
      <c r="BJ61" s="2090">
        <f t="shared" ref="BJ61:BL61" si="371">IF(BJ57&gt;$J$68,$J$61,IF(BJ57&lt;$J$68,(IF(BJ57&lt;0,0,BJ57*$K$61))))</f>
        <v>0</v>
      </c>
      <c r="BK61" s="2305">
        <f t="shared" si="371"/>
        <v>8.0504817385235725</v>
      </c>
      <c r="BL61" s="2174">
        <f t="shared" si="371"/>
        <v>0</v>
      </c>
      <c r="BM61" s="1814"/>
      <c r="BN61" s="2090">
        <f t="shared" si="341"/>
        <v>8.0504817385235725</v>
      </c>
      <c r="BO61" s="2087">
        <f>$J$61*0</f>
        <v>0</v>
      </c>
      <c r="BP61" s="2174">
        <f t="shared" si="342"/>
        <v>8.0504817385235725</v>
      </c>
      <c r="BR61" s="2090"/>
      <c r="BS61" s="2159"/>
      <c r="BT61" s="1740"/>
      <c r="BU61" s="2090">
        <f t="shared" si="343"/>
        <v>19.054210607940451</v>
      </c>
      <c r="BV61" s="2160">
        <f t="shared" si="344"/>
        <v>6.3514035359801504E-2</v>
      </c>
      <c r="BW61" s="2351"/>
      <c r="BX61" s="4636"/>
      <c r="CA61" s="2933"/>
      <c r="CB61" s="1860"/>
      <c r="CC61" s="1860"/>
      <c r="CD61" s="1860"/>
      <c r="CE61" s="1860"/>
      <c r="CF61" s="1860"/>
      <c r="CG61" s="1860"/>
      <c r="CH61" s="1860"/>
      <c r="CI61" s="1860"/>
    </row>
    <row r="62" spans="1:87" s="1900" customFormat="1" ht="15.75" x14ac:dyDescent="0.2">
      <c r="A62" s="2464"/>
      <c r="B62" s="2161">
        <v>50</v>
      </c>
      <c r="C62" s="2175" t="s">
        <v>121</v>
      </c>
      <c r="D62" s="1960"/>
      <c r="E62" s="2169">
        <v>270</v>
      </c>
      <c r="F62" s="2176">
        <f>E62/10</f>
        <v>27</v>
      </c>
      <c r="G62" s="2176">
        <f>E62/15</f>
        <v>18</v>
      </c>
      <c r="H62" s="2176">
        <f>E62/20</f>
        <v>13.5</v>
      </c>
      <c r="I62" s="2176">
        <f>E62/25</f>
        <v>10.8</v>
      </c>
      <c r="J62" s="2176">
        <f t="shared" si="345"/>
        <v>8.7096774193548381</v>
      </c>
      <c r="K62" s="2177">
        <f t="shared" si="327"/>
        <v>0.16225961538461539</v>
      </c>
      <c r="L62" s="2468"/>
      <c r="M62" s="2339"/>
      <c r="N62" s="2169">
        <f t="shared" ref="N62:T62" si="372">IF(N57&gt;$J$68,$J$62,IF(N57&lt;$J$68,(IF(N57&lt;0,0,N57*$K$62))))</f>
        <v>0</v>
      </c>
      <c r="O62" s="2176">
        <f t="shared" si="372"/>
        <v>0</v>
      </c>
      <c r="P62" s="2176">
        <f t="shared" si="372"/>
        <v>0</v>
      </c>
      <c r="Q62" s="2176">
        <f t="shared" si="372"/>
        <v>0</v>
      </c>
      <c r="R62" s="2176">
        <f t="shared" si="372"/>
        <v>0</v>
      </c>
      <c r="S62" s="2176">
        <f t="shared" si="372"/>
        <v>0</v>
      </c>
      <c r="T62" s="2171">
        <f t="shared" si="372"/>
        <v>0</v>
      </c>
      <c r="U62" s="1951"/>
      <c r="V62" s="2169">
        <f t="shared" si="292"/>
        <v>0</v>
      </c>
      <c r="W62" s="2170">
        <f>$J$62*0</f>
        <v>0</v>
      </c>
      <c r="X62" s="2178">
        <f t="shared" si="247"/>
        <v>0</v>
      </c>
      <c r="Y62" s="1951"/>
      <c r="Z62" s="2169">
        <f t="shared" ref="Z62:AC62" si="373">IF(Z57&gt;$J$68,$J$62,IF(Z57&lt;$J$68,(IF(Z57&lt;0,0,Z57*$K$62))))</f>
        <v>0</v>
      </c>
      <c r="AA62" s="2170">
        <f t="shared" si="373"/>
        <v>0</v>
      </c>
      <c r="AB62" s="2170">
        <f t="shared" si="373"/>
        <v>0</v>
      </c>
      <c r="AC62" s="2170">
        <f t="shared" si="373"/>
        <v>0</v>
      </c>
      <c r="AD62" s="2170">
        <f t="shared" ref="AD62:AE62" si="374">IF(AD57&gt;$J$68,$J$62,IF(AD57&lt;$J$68,(IF(AD57&lt;0,0,AD57*$K$62))))</f>
        <v>0</v>
      </c>
      <c r="AE62" s="2170">
        <f t="shared" si="374"/>
        <v>0</v>
      </c>
      <c r="AF62" s="2171">
        <f t="shared" ref="AF62" si="375">IF(AF57&gt;$J$68,$J$62,IF(AF57&lt;$J$68,(IF(AF57&lt;0,0,AF57*$K$62))))</f>
        <v>0</v>
      </c>
      <c r="AG62" s="1951"/>
      <c r="AH62" s="2169">
        <f t="shared" si="204"/>
        <v>0</v>
      </c>
      <c r="AI62" s="2170">
        <f>$J$62*0</f>
        <v>0</v>
      </c>
      <c r="AJ62" s="2178">
        <f t="shared" si="205"/>
        <v>0</v>
      </c>
      <c r="AK62" s="1951"/>
      <c r="AL62" s="2169">
        <f t="shared" ref="AL62:AM62" si="376">IF(AL57&gt;$J$68,$J$62,IF(AL57&lt;$J$68,(IF(AL57&lt;0,0,AL57*$K$62))))</f>
        <v>0</v>
      </c>
      <c r="AM62" s="2176">
        <f t="shared" si="376"/>
        <v>0</v>
      </c>
      <c r="AN62" s="2176">
        <f t="shared" ref="AN62:AQ62" si="377">IF(AN57&gt;$J$68,$J$62,IF(AN57&lt;$J$68,(IF(AN57&lt;0,0,AN57*$K$62))))</f>
        <v>0</v>
      </c>
      <c r="AO62" s="2176">
        <f t="shared" si="377"/>
        <v>0</v>
      </c>
      <c r="AP62" s="2176">
        <f t="shared" si="377"/>
        <v>0</v>
      </c>
      <c r="AQ62" s="2176">
        <f t="shared" si="377"/>
        <v>0</v>
      </c>
      <c r="AR62" s="2171">
        <f t="shared" ref="AR62" si="378">IF(AR57&gt;$J$68,$J$62,IF(AR57&lt;$J$68,(IF(AR57&lt;0,0,AR57*$K$62))))</f>
        <v>0</v>
      </c>
      <c r="AS62" s="1951"/>
      <c r="AT62" s="2169">
        <f t="shared" si="354"/>
        <v>0</v>
      </c>
      <c r="AU62" s="2170">
        <f>$J$62*0</f>
        <v>0</v>
      </c>
      <c r="AV62" s="2178">
        <f t="shared" si="355"/>
        <v>0</v>
      </c>
      <c r="AW62" s="1951"/>
      <c r="AX62" s="2169">
        <f t="shared" ref="AX62" si="379">IF(AX57&gt;$J$68,$J$62,IF(AX57&lt;$J$68,(IF(AX57&lt;0,0,AX57*$K$62))))</f>
        <v>0</v>
      </c>
      <c r="AY62" s="2307">
        <f t="shared" ref="AY62:BC62" si="380">IF(AY57&gt;$J$68,$J$62,IF(AY57&lt;$J$68,(IF(AY57&lt;0,0,AY57*$K$62))))</f>
        <v>0.40026830024813964</v>
      </c>
      <c r="AZ62" s="2307">
        <f t="shared" si="380"/>
        <v>1.562371665632756</v>
      </c>
      <c r="BA62" s="2307">
        <f t="shared" si="380"/>
        <v>7.9407160165942949</v>
      </c>
      <c r="BB62" s="2307">
        <f t="shared" si="380"/>
        <v>0</v>
      </c>
      <c r="BC62" s="2307">
        <f t="shared" si="380"/>
        <v>0</v>
      </c>
      <c r="BD62" s="2171">
        <f t="shared" ref="BD62" si="381">IF(BD57&gt;$J$68,$J$62,IF(BD57&lt;$J$68,(IF(BD57&lt;0,0,BD57*$K$62))))</f>
        <v>0</v>
      </c>
      <c r="BE62" s="1951"/>
      <c r="BF62" s="2169">
        <f t="shared" si="338"/>
        <v>9.9033559824751904</v>
      </c>
      <c r="BG62" s="2170">
        <f>$J$62*0</f>
        <v>0</v>
      </c>
      <c r="BH62" s="2178">
        <f t="shared" si="339"/>
        <v>9.9033559824751904</v>
      </c>
      <c r="BI62" s="1951"/>
      <c r="BJ62" s="2169">
        <f t="shared" ref="BJ62:BL62" si="382">IF(BJ57&gt;$J$68,$J$62,IF(BJ57&lt;$J$68,(IF(BJ57&lt;0,0,BJ57*$K$62))))</f>
        <v>0</v>
      </c>
      <c r="BK62" s="2307">
        <f t="shared" si="382"/>
        <v>7.2454335646712167</v>
      </c>
      <c r="BL62" s="2178">
        <f t="shared" si="382"/>
        <v>0</v>
      </c>
      <c r="BM62" s="1951"/>
      <c r="BN62" s="2169">
        <f t="shared" si="341"/>
        <v>7.2454335646712167</v>
      </c>
      <c r="BO62" s="2170">
        <f>$J$62*0</f>
        <v>0</v>
      </c>
      <c r="BP62" s="2178">
        <f t="shared" si="342"/>
        <v>7.2454335646712167</v>
      </c>
      <c r="BR62" s="2179"/>
      <c r="BS62" s="2180"/>
      <c r="BU62" s="2179">
        <f t="shared" si="343"/>
        <v>17.148789547146407</v>
      </c>
      <c r="BV62" s="2181">
        <f t="shared" si="344"/>
        <v>6.3514035359801504E-2</v>
      </c>
      <c r="BW62" s="2353"/>
      <c r="BX62" s="4636"/>
      <c r="CA62" s="2010"/>
      <c r="CB62" s="2011"/>
      <c r="CC62" s="2011"/>
      <c r="CD62" s="2011"/>
      <c r="CE62" s="2011"/>
      <c r="CF62" s="2011"/>
      <c r="CG62" s="2011"/>
      <c r="CH62" s="2011"/>
      <c r="CI62" s="2011"/>
    </row>
    <row r="63" spans="1:87" s="1740" customFormat="1" ht="15.75" x14ac:dyDescent="0.2">
      <c r="A63" s="2466"/>
      <c r="B63" s="2151">
        <v>51</v>
      </c>
      <c r="C63" s="2086" t="s">
        <v>229</v>
      </c>
      <c r="D63" s="1817"/>
      <c r="E63" s="2090">
        <v>209</v>
      </c>
      <c r="F63" s="2088">
        <f>E63/10</f>
        <v>20.9</v>
      </c>
      <c r="G63" s="2088">
        <f>E63/15</f>
        <v>13.933333333333334</v>
      </c>
      <c r="H63" s="2088">
        <f>E63/20</f>
        <v>10.45</v>
      </c>
      <c r="I63" s="2088">
        <f>E63/25</f>
        <v>8.36</v>
      </c>
      <c r="J63" s="2088">
        <f t="shared" si="345"/>
        <v>6.741935483870968</v>
      </c>
      <c r="K63" s="2089">
        <f t="shared" si="327"/>
        <v>0.12560096153846154</v>
      </c>
      <c r="L63" s="2465"/>
      <c r="M63" s="2131"/>
      <c r="N63" s="2090">
        <f t="shared" ref="N63:T63" si="383">IF(N57&gt;$J$68,$J$63,IF(N57&lt;$J$68,(IF(N57&lt;0,0,N57*$K$63))))</f>
        <v>0</v>
      </c>
      <c r="O63" s="2088">
        <f t="shared" si="383"/>
        <v>0</v>
      </c>
      <c r="P63" s="2088">
        <f t="shared" si="383"/>
        <v>0</v>
      </c>
      <c r="Q63" s="2088">
        <f t="shared" si="383"/>
        <v>0</v>
      </c>
      <c r="R63" s="2088">
        <f t="shared" si="383"/>
        <v>0</v>
      </c>
      <c r="S63" s="2088">
        <f t="shared" si="383"/>
        <v>0</v>
      </c>
      <c r="T63" s="2091">
        <f t="shared" si="383"/>
        <v>0</v>
      </c>
      <c r="U63" s="1814"/>
      <c r="V63" s="2090">
        <f t="shared" si="292"/>
        <v>0</v>
      </c>
      <c r="W63" s="2087">
        <f>$J$63*0</f>
        <v>0</v>
      </c>
      <c r="X63" s="2174">
        <f t="shared" si="247"/>
        <v>0</v>
      </c>
      <c r="Y63" s="1814"/>
      <c r="Z63" s="2090">
        <f t="shared" ref="Z63:AC63" si="384">IF(Z57&gt;$J$68,$J$63,IF(Z57&lt;$J$68,(IF(Z57&lt;0,0,Z57*$K$63))))</f>
        <v>0</v>
      </c>
      <c r="AA63" s="2087">
        <f t="shared" si="384"/>
        <v>0</v>
      </c>
      <c r="AB63" s="2087">
        <f t="shared" si="384"/>
        <v>0</v>
      </c>
      <c r="AC63" s="2087">
        <f t="shared" si="384"/>
        <v>0</v>
      </c>
      <c r="AD63" s="2087">
        <f t="shared" ref="AD63:AE63" si="385">IF(AD57&gt;$J$68,$J$63,IF(AD57&lt;$J$68,(IF(AD57&lt;0,0,AD57*$K$63))))</f>
        <v>0</v>
      </c>
      <c r="AE63" s="2087">
        <f t="shared" si="385"/>
        <v>0</v>
      </c>
      <c r="AF63" s="2091">
        <f t="shared" ref="AF63" si="386">IF(AF57&gt;$J$68,$J$63,IF(AF57&lt;$J$68,(IF(AF57&lt;0,0,AF57*$K$63))))</f>
        <v>0</v>
      </c>
      <c r="AG63" s="1814"/>
      <c r="AH63" s="2090">
        <f t="shared" si="204"/>
        <v>0</v>
      </c>
      <c r="AI63" s="2087">
        <f>$J$63*0</f>
        <v>0</v>
      </c>
      <c r="AJ63" s="2174">
        <f t="shared" si="205"/>
        <v>0</v>
      </c>
      <c r="AK63" s="1814"/>
      <c r="AL63" s="2090">
        <f t="shared" ref="AL63:AM63" si="387">IF(AL57&gt;$J$68,$J$63,IF(AL57&lt;$J$68,(IF(AL57&lt;0,0,AL57*$K$63))))</f>
        <v>0</v>
      </c>
      <c r="AM63" s="2088">
        <f t="shared" si="387"/>
        <v>0</v>
      </c>
      <c r="AN63" s="2088">
        <f t="shared" ref="AN63:AQ63" si="388">IF(AN57&gt;$J$68,$J$63,IF(AN57&lt;$J$68,(IF(AN57&lt;0,0,AN57*$K$63))))</f>
        <v>0</v>
      </c>
      <c r="AO63" s="2088">
        <f t="shared" si="388"/>
        <v>0</v>
      </c>
      <c r="AP63" s="2088">
        <f t="shared" si="388"/>
        <v>0</v>
      </c>
      <c r="AQ63" s="2088">
        <f t="shared" si="388"/>
        <v>0</v>
      </c>
      <c r="AR63" s="2091">
        <f t="shared" ref="AR63" si="389">IF(AR57&gt;$J$68,$J$63,IF(AR57&lt;$J$68,(IF(AR57&lt;0,0,AR57*$K$63))))</f>
        <v>0</v>
      </c>
      <c r="AS63" s="1814"/>
      <c r="AT63" s="2090">
        <f t="shared" si="354"/>
        <v>0</v>
      </c>
      <c r="AU63" s="2087">
        <f>$J$63*0</f>
        <v>0</v>
      </c>
      <c r="AV63" s="2174">
        <f t="shared" si="355"/>
        <v>0</v>
      </c>
      <c r="AW63" s="1814"/>
      <c r="AX63" s="2090">
        <f t="shared" ref="AX63" si="390">IF(AX57&gt;$J$68,$J$63,IF(AX57&lt;$J$68,(IF(AX57&lt;0,0,AX57*$K$63))))</f>
        <v>0</v>
      </c>
      <c r="AY63" s="2305">
        <f t="shared" ref="AY63:BC63" si="391">IF(AY57&gt;$J$68,$J$63,IF(AY57&lt;$J$68,(IF(AY57&lt;0,0,AY57*$K$63))))</f>
        <v>0.30983731389578217</v>
      </c>
      <c r="AZ63" s="2305">
        <f t="shared" si="391"/>
        <v>1.2093914004342445</v>
      </c>
      <c r="BA63" s="2305">
        <f t="shared" si="391"/>
        <v>6.1467023980303983</v>
      </c>
      <c r="BB63" s="2305">
        <f t="shared" si="391"/>
        <v>0</v>
      </c>
      <c r="BC63" s="2305">
        <f t="shared" si="391"/>
        <v>0</v>
      </c>
      <c r="BD63" s="2091">
        <f t="shared" ref="BD63" si="392">IF(BD57&gt;$J$68,$J$63,IF(BD57&lt;$J$68,(IF(BD57&lt;0,0,BD57*$K$63))))</f>
        <v>0</v>
      </c>
      <c r="BE63" s="1814"/>
      <c r="BF63" s="2090">
        <f t="shared" si="338"/>
        <v>7.6659311123604255</v>
      </c>
      <c r="BG63" s="2087">
        <f>$J$63*0</f>
        <v>0</v>
      </c>
      <c r="BH63" s="2174">
        <f t="shared" si="339"/>
        <v>7.6659311123604255</v>
      </c>
      <c r="BI63" s="1814"/>
      <c r="BJ63" s="2090">
        <f t="shared" ref="BJ63:BL63" si="393">IF(BJ57&gt;$J$68,$J$63,IF(BJ57&lt;$J$68,(IF(BJ57&lt;0,0,BJ57*$K$63))))</f>
        <v>0</v>
      </c>
      <c r="BK63" s="2305">
        <f t="shared" si="393"/>
        <v>5.6085022778380891</v>
      </c>
      <c r="BL63" s="2174">
        <f t="shared" si="393"/>
        <v>0</v>
      </c>
      <c r="BM63" s="1814"/>
      <c r="BN63" s="2090">
        <f t="shared" si="341"/>
        <v>5.6085022778380891</v>
      </c>
      <c r="BO63" s="2087">
        <f>$J$63*0</f>
        <v>0</v>
      </c>
      <c r="BP63" s="2174">
        <f t="shared" si="342"/>
        <v>5.6085022778380891</v>
      </c>
      <c r="BR63" s="2092"/>
      <c r="BS63" s="2093"/>
      <c r="BU63" s="2092">
        <f t="shared" si="343"/>
        <v>13.274433390198514</v>
      </c>
      <c r="BV63" s="2094">
        <f t="shared" si="344"/>
        <v>6.3514035359801504E-2</v>
      </c>
      <c r="BW63" s="2351"/>
      <c r="BX63" s="4636"/>
      <c r="CA63" s="1997"/>
      <c r="CB63" s="1861"/>
      <c r="CC63" s="1861"/>
      <c r="CD63" s="1861"/>
      <c r="CE63" s="1861"/>
      <c r="CF63" s="1861"/>
      <c r="CG63" s="1861"/>
      <c r="CH63" s="1861"/>
      <c r="CI63" s="1861"/>
    </row>
    <row r="64" spans="1:87" s="1885" customFormat="1" x14ac:dyDescent="0.2">
      <c r="A64" s="1947"/>
      <c r="B64" s="2690">
        <v>52</v>
      </c>
      <c r="C64" s="2417" t="s">
        <v>122</v>
      </c>
      <c r="D64" s="1960"/>
      <c r="E64" s="2179">
        <v>75</v>
      </c>
      <c r="F64" s="2418">
        <f>E64/10</f>
        <v>7.5</v>
      </c>
      <c r="G64" s="2418">
        <f>E64/15</f>
        <v>5</v>
      </c>
      <c r="H64" s="2418">
        <f>E64/20</f>
        <v>3.75</v>
      </c>
      <c r="I64" s="2418">
        <f>E64/25</f>
        <v>3</v>
      </c>
      <c r="J64" s="2418">
        <f t="shared" si="345"/>
        <v>2.4193548387096775</v>
      </c>
      <c r="K64" s="2419">
        <f t="shared" si="327"/>
        <v>4.5072115384615384E-2</v>
      </c>
      <c r="L64" s="2003"/>
      <c r="M64" s="1950"/>
      <c r="N64" s="2169">
        <f t="shared" ref="N64:T64" si="394">IF(N57&gt;$J$68,$J$64,IF(N57&lt;$J$68,(IF(N57&lt;0,0,N57*$K$64))))</f>
        <v>0</v>
      </c>
      <c r="O64" s="2176">
        <f t="shared" si="394"/>
        <v>0</v>
      </c>
      <c r="P64" s="2176">
        <f t="shared" si="394"/>
        <v>0</v>
      </c>
      <c r="Q64" s="2176">
        <f t="shared" si="394"/>
        <v>0</v>
      </c>
      <c r="R64" s="2176">
        <f t="shared" si="394"/>
        <v>0</v>
      </c>
      <c r="S64" s="2176">
        <f t="shared" si="394"/>
        <v>0</v>
      </c>
      <c r="T64" s="2171">
        <f t="shared" si="394"/>
        <v>0</v>
      </c>
      <c r="U64" s="1951"/>
      <c r="V64" s="2169">
        <f t="shared" si="292"/>
        <v>0</v>
      </c>
      <c r="W64" s="2170">
        <f>$J$64*0</f>
        <v>0</v>
      </c>
      <c r="X64" s="2178">
        <f t="shared" si="247"/>
        <v>0</v>
      </c>
      <c r="Y64" s="1956"/>
      <c r="Z64" s="2169">
        <f t="shared" ref="Z64:AC64" si="395">IF(Z57&gt;$J$68,$J$64,IF(Z57&lt;$J$68,(IF(Z57&lt;0,0,Z57*$K$64))))</f>
        <v>0</v>
      </c>
      <c r="AA64" s="2170">
        <f t="shared" si="395"/>
        <v>0</v>
      </c>
      <c r="AB64" s="2170">
        <f t="shared" si="395"/>
        <v>0</v>
      </c>
      <c r="AC64" s="2170">
        <f t="shared" si="395"/>
        <v>0</v>
      </c>
      <c r="AD64" s="2170">
        <f t="shared" ref="AD64:AE64" si="396">IF(AD57&gt;$J$68,$J$64,IF(AD57&lt;$J$68,(IF(AD57&lt;0,0,AD57*$K$64))))</f>
        <v>0</v>
      </c>
      <c r="AE64" s="2170">
        <f t="shared" si="396"/>
        <v>0</v>
      </c>
      <c r="AF64" s="2171">
        <f t="shared" ref="AF64" si="397">IF(AF57&gt;$J$68,$J$64,IF(AF57&lt;$J$68,(IF(AF57&lt;0,0,AF57*$K$64))))</f>
        <v>0</v>
      </c>
      <c r="AG64" s="1956"/>
      <c r="AH64" s="2169">
        <f t="shared" si="204"/>
        <v>0</v>
      </c>
      <c r="AI64" s="2170">
        <f>$J$64*0</f>
        <v>0</v>
      </c>
      <c r="AJ64" s="2178">
        <f t="shared" si="205"/>
        <v>0</v>
      </c>
      <c r="AK64" s="1956"/>
      <c r="AL64" s="2169">
        <f t="shared" ref="AL64:AM64" si="398">IF(AL57&gt;$J$68,$J$64,IF(AL57&lt;$J$68,(IF(AL57&lt;0,0,AL57*$K$64))))</f>
        <v>0</v>
      </c>
      <c r="AM64" s="2176">
        <f t="shared" si="398"/>
        <v>0</v>
      </c>
      <c r="AN64" s="2176">
        <f t="shared" ref="AN64:AQ64" si="399">IF(AN57&gt;$J$68,$J$64,IF(AN57&lt;$J$68,(IF(AN57&lt;0,0,AN57*$K$64))))</f>
        <v>0</v>
      </c>
      <c r="AO64" s="2176">
        <f t="shared" si="399"/>
        <v>0</v>
      </c>
      <c r="AP64" s="2176">
        <f t="shared" si="399"/>
        <v>0</v>
      </c>
      <c r="AQ64" s="2176">
        <f t="shared" si="399"/>
        <v>0</v>
      </c>
      <c r="AR64" s="2171">
        <f t="shared" ref="AR64" si="400">IF(AR57&gt;$J$68,$J$64,IF(AR57&lt;$J$68,(IF(AR57&lt;0,0,AR57*$K$64))))</f>
        <v>0</v>
      </c>
      <c r="AS64" s="1951"/>
      <c r="AT64" s="2169">
        <f t="shared" si="354"/>
        <v>0</v>
      </c>
      <c r="AU64" s="2170">
        <f>$J$64*0</f>
        <v>0</v>
      </c>
      <c r="AV64" s="2178">
        <f t="shared" si="355"/>
        <v>0</v>
      </c>
      <c r="AW64" s="1951"/>
      <c r="AX64" s="2169">
        <f t="shared" ref="AX64" si="401">IF(AX57&gt;$J$68,$J$64,IF(AX57&lt;$J$68,(IF(AX57&lt;0,0,AX57*$K$64))))</f>
        <v>0</v>
      </c>
      <c r="AY64" s="2307">
        <f t="shared" ref="AY64:BC64" si="402">IF(AY57&gt;$J$68,$J$64,IF(AY57&lt;$J$68,(IF(AY57&lt;0,0,AY57*$K$64))))</f>
        <v>0.11118563895781657</v>
      </c>
      <c r="AZ64" s="2307">
        <f t="shared" si="402"/>
        <v>0.4339921293424322</v>
      </c>
      <c r="BA64" s="2307">
        <f t="shared" si="402"/>
        <v>2.2057544490539707</v>
      </c>
      <c r="BB64" s="2307">
        <f t="shared" si="402"/>
        <v>0</v>
      </c>
      <c r="BC64" s="2307">
        <f t="shared" si="402"/>
        <v>0</v>
      </c>
      <c r="BD64" s="2171">
        <f t="shared" ref="BD64" si="403">IF(BD57&gt;$J$68,$J$64,IF(BD57&lt;$J$68,(IF(BD57&lt;0,0,BD57*$K$64))))</f>
        <v>0</v>
      </c>
      <c r="BE64" s="1951"/>
      <c r="BF64" s="2169">
        <f t="shared" si="338"/>
        <v>2.7509322173542197</v>
      </c>
      <c r="BG64" s="2170">
        <f>$J$64*0</f>
        <v>0</v>
      </c>
      <c r="BH64" s="2178">
        <f t="shared" si="339"/>
        <v>2.7509322173542197</v>
      </c>
      <c r="BI64" s="1951"/>
      <c r="BJ64" s="2169">
        <f t="shared" ref="BJ64:BL64" si="404">IF(BJ57&gt;$J$68,$J$64,IF(BJ57&lt;$J$68,(IF(BJ57&lt;0,0,BJ57*$K$64))))</f>
        <v>0</v>
      </c>
      <c r="BK64" s="2307">
        <f t="shared" si="404"/>
        <v>2.0126204346308931</v>
      </c>
      <c r="BL64" s="2178">
        <f t="shared" si="404"/>
        <v>0</v>
      </c>
      <c r="BM64" s="1951"/>
      <c r="BN64" s="2169">
        <f t="shared" si="341"/>
        <v>2.0126204346308931</v>
      </c>
      <c r="BO64" s="2170">
        <f>$J$64*0</f>
        <v>0</v>
      </c>
      <c r="BP64" s="2178">
        <f t="shared" si="342"/>
        <v>2.0126204346308931</v>
      </c>
      <c r="BR64" s="2179"/>
      <c r="BS64" s="2180"/>
      <c r="BT64" s="1900"/>
      <c r="BU64" s="2179">
        <f t="shared" si="343"/>
        <v>4.7635526519851128</v>
      </c>
      <c r="BV64" s="2181">
        <f t="shared" si="344"/>
        <v>6.3514035359801504E-2</v>
      </c>
      <c r="BW64" s="2353"/>
      <c r="BX64" s="4636"/>
      <c r="CA64" s="2929"/>
      <c r="CB64" s="1946"/>
      <c r="CC64" s="1946"/>
      <c r="CD64" s="1946"/>
      <c r="CE64" s="1946"/>
      <c r="CF64" s="1946"/>
      <c r="CG64" s="1946"/>
      <c r="CH64" s="1946"/>
      <c r="CI64" s="1946"/>
    </row>
    <row r="65" spans="1:87" s="1726" customFormat="1" ht="17.25" thickBot="1" x14ac:dyDescent="0.25">
      <c r="A65" s="1756"/>
      <c r="B65" s="2107">
        <v>53</v>
      </c>
      <c r="C65" s="2108" t="s">
        <v>242</v>
      </c>
      <c r="D65" s="2646"/>
      <c r="E65" s="2092">
        <v>0</v>
      </c>
      <c r="F65" s="2111">
        <f>E65/10</f>
        <v>0</v>
      </c>
      <c r="G65" s="2111">
        <f>E65/15</f>
        <v>0</v>
      </c>
      <c r="H65" s="2111">
        <f>E65/20</f>
        <v>0</v>
      </c>
      <c r="I65" s="2111">
        <f>E65/25</f>
        <v>0</v>
      </c>
      <c r="J65" s="2111">
        <f t="shared" si="345"/>
        <v>0</v>
      </c>
      <c r="K65" s="2112">
        <f t="shared" si="327"/>
        <v>0</v>
      </c>
      <c r="L65" s="1931"/>
      <c r="M65" s="1924"/>
      <c r="N65" s="2090">
        <f t="shared" ref="N65:T65" si="405">IF(N57&gt;$J$68,$J$65,IF(N57&lt;$J$68,(IF(N57&lt;0,0,N57*$K$65))))</f>
        <v>0</v>
      </c>
      <c r="O65" s="2088">
        <f t="shared" si="405"/>
        <v>0</v>
      </c>
      <c r="P65" s="2088">
        <f t="shared" si="405"/>
        <v>0</v>
      </c>
      <c r="Q65" s="2088">
        <f t="shared" si="405"/>
        <v>0</v>
      </c>
      <c r="R65" s="2088">
        <f t="shared" si="405"/>
        <v>0</v>
      </c>
      <c r="S65" s="2088">
        <f t="shared" si="405"/>
        <v>0</v>
      </c>
      <c r="T65" s="2091">
        <f t="shared" si="405"/>
        <v>0</v>
      </c>
      <c r="U65" s="1814"/>
      <c r="V65" s="2090">
        <f t="shared" si="292"/>
        <v>0</v>
      </c>
      <c r="W65" s="2087">
        <f>$J$65*0</f>
        <v>0</v>
      </c>
      <c r="X65" s="2174">
        <f t="shared" si="247"/>
        <v>0</v>
      </c>
      <c r="Y65" s="1766"/>
      <c r="Z65" s="2090">
        <f t="shared" ref="Z65:AC65" si="406">IF(Z57&gt;$J$68,$J$65,IF(Z57&lt;$J$68,(IF(Z57&lt;0,0,Z57*$K$65))))</f>
        <v>0</v>
      </c>
      <c r="AA65" s="2087">
        <f t="shared" si="406"/>
        <v>0</v>
      </c>
      <c r="AB65" s="2087">
        <f t="shared" si="406"/>
        <v>0</v>
      </c>
      <c r="AC65" s="2087">
        <f t="shared" si="406"/>
        <v>0</v>
      </c>
      <c r="AD65" s="2087">
        <f t="shared" ref="AD65:AE65" si="407">IF(AD57&gt;$J$68,$J$65,IF(AD57&lt;$J$68,(IF(AD57&lt;0,0,AD57*$K$65))))</f>
        <v>0</v>
      </c>
      <c r="AE65" s="2087">
        <f t="shared" si="407"/>
        <v>0</v>
      </c>
      <c r="AF65" s="2091">
        <f t="shared" ref="AF65" si="408">IF(AF57&gt;$J$68,$J$65,IF(AF57&lt;$J$68,(IF(AF57&lt;0,0,AF57*$K$65))))</f>
        <v>0</v>
      </c>
      <c r="AG65" s="1766"/>
      <c r="AH65" s="2090">
        <f t="shared" si="204"/>
        <v>0</v>
      </c>
      <c r="AI65" s="2087">
        <f>$J$65*0</f>
        <v>0</v>
      </c>
      <c r="AJ65" s="2174">
        <f t="shared" si="205"/>
        <v>0</v>
      </c>
      <c r="AK65" s="1766"/>
      <c r="AL65" s="2090">
        <f t="shared" ref="AL65:AM65" si="409">IF(AL57&gt;$J$68,$J$65,IF(AL57&lt;$J$68,(IF(AL57&lt;0,0,AL57*$K$65))))</f>
        <v>0</v>
      </c>
      <c r="AM65" s="2088">
        <f t="shared" si="409"/>
        <v>0</v>
      </c>
      <c r="AN65" s="2088">
        <f t="shared" ref="AN65:AQ65" si="410">IF(AN57&gt;$J$68,$J$65,IF(AN57&lt;$J$68,(IF(AN57&lt;0,0,AN57*$K$65))))</f>
        <v>0</v>
      </c>
      <c r="AO65" s="2088">
        <f t="shared" si="410"/>
        <v>0</v>
      </c>
      <c r="AP65" s="2088">
        <f t="shared" si="410"/>
        <v>0</v>
      </c>
      <c r="AQ65" s="2088">
        <f t="shared" si="410"/>
        <v>0</v>
      </c>
      <c r="AR65" s="2091">
        <f t="shared" ref="AR65" si="411">IF(AR57&gt;$J$68,$J$65,IF(AR57&lt;$J$68,(IF(AR57&lt;0,0,AR57*$K$65))))</f>
        <v>0</v>
      </c>
      <c r="AS65" s="1814"/>
      <c r="AT65" s="2090">
        <f t="shared" si="354"/>
        <v>0</v>
      </c>
      <c r="AU65" s="2087">
        <f>$J$65*0</f>
        <v>0</v>
      </c>
      <c r="AV65" s="2174">
        <f t="shared" si="355"/>
        <v>0</v>
      </c>
      <c r="AW65" s="1814"/>
      <c r="AX65" s="2090">
        <f t="shared" ref="AX65" si="412">IF(AX57&gt;$J$68,$J$65,IF(AX57&lt;$J$68,(IF(AX57&lt;0,0,AX57*$K$65))))</f>
        <v>0</v>
      </c>
      <c r="AY65" s="2305">
        <f t="shared" ref="AY65:BC65" si="413">IF(AY57&gt;$J$68,$J$65,IF(AY57&lt;$J$68,(IF(AY57&lt;0,0,AY57*$K$65))))</f>
        <v>0</v>
      </c>
      <c r="AZ65" s="2305">
        <f t="shared" si="413"/>
        <v>0</v>
      </c>
      <c r="BA65" s="2305">
        <f t="shared" si="413"/>
        <v>0</v>
      </c>
      <c r="BB65" s="2305">
        <f t="shared" si="413"/>
        <v>0</v>
      </c>
      <c r="BC65" s="2305">
        <f t="shared" si="413"/>
        <v>0</v>
      </c>
      <c r="BD65" s="2091">
        <f t="shared" ref="BD65" si="414">IF(BD57&gt;$J$68,$J$65,IF(BD57&lt;$J$68,(IF(BD57&lt;0,0,BD57*$K$65))))</f>
        <v>0</v>
      </c>
      <c r="BE65" s="1814"/>
      <c r="BF65" s="2090">
        <f t="shared" si="338"/>
        <v>0</v>
      </c>
      <c r="BG65" s="2087">
        <f>$J$65*0</f>
        <v>0</v>
      </c>
      <c r="BH65" s="2174">
        <f t="shared" si="339"/>
        <v>0</v>
      </c>
      <c r="BI65" s="1814"/>
      <c r="BJ65" s="2090">
        <f t="shared" ref="BJ65:BL65" si="415">IF(BJ57&gt;$J$68,$J$65,IF(BJ57&lt;$J$68,(IF(BJ57&lt;0,0,BJ57*$K$65))))</f>
        <v>0</v>
      </c>
      <c r="BK65" s="2305">
        <f t="shared" si="415"/>
        <v>0</v>
      </c>
      <c r="BL65" s="2174">
        <f t="shared" si="415"/>
        <v>0</v>
      </c>
      <c r="BM65" s="1814"/>
      <c r="BN65" s="2090">
        <f t="shared" si="341"/>
        <v>0</v>
      </c>
      <c r="BO65" s="2087">
        <f>$J$65*0</f>
        <v>0</v>
      </c>
      <c r="BP65" s="2174">
        <f t="shared" si="342"/>
        <v>0</v>
      </c>
      <c r="BR65" s="2092"/>
      <c r="BS65" s="2093"/>
      <c r="BT65" s="1740"/>
      <c r="BU65" s="2092">
        <f t="shared" si="343"/>
        <v>0</v>
      </c>
      <c r="BV65" s="2094" t="e">
        <f t="shared" si="344"/>
        <v>#DIV/0!</v>
      </c>
      <c r="BW65" s="2351"/>
      <c r="BX65" s="4636"/>
      <c r="CA65" s="2933"/>
      <c r="CB65" s="1860"/>
      <c r="CC65" s="1860"/>
      <c r="CD65" s="1860"/>
      <c r="CE65" s="1860"/>
      <c r="CF65" s="1860"/>
      <c r="CG65" s="1860"/>
      <c r="CH65" s="1860"/>
      <c r="CI65" s="1860"/>
    </row>
    <row r="66" spans="1:87" s="1885" customFormat="1" x14ac:dyDescent="0.2">
      <c r="B66" s="2691">
        <v>54</v>
      </c>
      <c r="C66" s="2692" t="s">
        <v>227</v>
      </c>
      <c r="D66" s="2693"/>
      <c r="E66" s="2694">
        <v>0</v>
      </c>
      <c r="F66" s="2695"/>
      <c r="G66" s="2695"/>
      <c r="H66" s="2695"/>
      <c r="I66" s="2695"/>
      <c r="J66" s="2695">
        <f t="shared" si="345"/>
        <v>0</v>
      </c>
      <c r="K66" s="2696">
        <f t="shared" si="327"/>
        <v>0</v>
      </c>
      <c r="L66" s="2003"/>
      <c r="M66" s="1950"/>
      <c r="N66" s="2169">
        <f t="shared" ref="N66:T66" si="416">IF(N57&gt;$J$68,$J$66,IF(N57&lt;$J$68,(IF(N57&lt;0,0,N57*$K$66))))</f>
        <v>0</v>
      </c>
      <c r="O66" s="2176">
        <f t="shared" si="416"/>
        <v>0</v>
      </c>
      <c r="P66" s="2176">
        <f t="shared" si="416"/>
        <v>0</v>
      </c>
      <c r="Q66" s="2176">
        <f t="shared" si="416"/>
        <v>0</v>
      </c>
      <c r="R66" s="2176">
        <f t="shared" si="416"/>
        <v>0</v>
      </c>
      <c r="S66" s="2176">
        <f t="shared" si="416"/>
        <v>0</v>
      </c>
      <c r="T66" s="2171">
        <f t="shared" si="416"/>
        <v>0</v>
      </c>
      <c r="U66" s="1951"/>
      <c r="V66" s="2169">
        <f t="shared" si="292"/>
        <v>0</v>
      </c>
      <c r="W66" s="2170">
        <f>$J$66*0</f>
        <v>0</v>
      </c>
      <c r="X66" s="2178">
        <f t="shared" si="247"/>
        <v>0</v>
      </c>
      <c r="Y66" s="1956"/>
      <c r="Z66" s="2169">
        <f t="shared" ref="Z66:AC66" si="417">IF(Z57&gt;$J$68,$J$66,IF(Z57&lt;$J$68,(IF(Z57&lt;0,0,Z57*$K$66))))</f>
        <v>0</v>
      </c>
      <c r="AA66" s="2170">
        <f t="shared" si="417"/>
        <v>0</v>
      </c>
      <c r="AB66" s="2170">
        <f t="shared" si="417"/>
        <v>0</v>
      </c>
      <c r="AC66" s="2170">
        <f t="shared" si="417"/>
        <v>0</v>
      </c>
      <c r="AD66" s="2170">
        <f t="shared" ref="AD66:AE66" si="418">IF(AD57&gt;$J$68,$J$66,IF(AD57&lt;$J$68,(IF(AD57&lt;0,0,AD57*$K$66))))</f>
        <v>0</v>
      </c>
      <c r="AE66" s="2170">
        <f t="shared" si="418"/>
        <v>0</v>
      </c>
      <c r="AF66" s="2171">
        <f t="shared" ref="AF66" si="419">IF(AF57&gt;$J$68,$J$66,IF(AF57&lt;$J$68,(IF(AF57&lt;0,0,AF57*$K$66))))</f>
        <v>0</v>
      </c>
      <c r="AG66" s="1956"/>
      <c r="AH66" s="2169">
        <f t="shared" si="204"/>
        <v>0</v>
      </c>
      <c r="AI66" s="2170">
        <f>$J$66*0</f>
        <v>0</v>
      </c>
      <c r="AJ66" s="2178">
        <f t="shared" si="205"/>
        <v>0</v>
      </c>
      <c r="AK66" s="1956"/>
      <c r="AL66" s="2169">
        <f t="shared" ref="AL66:AM66" si="420">IF(AL57&gt;$J$68,$J$66,IF(AL57&lt;$J$68,(IF(AL57&lt;0,0,AL57*$K$66))))</f>
        <v>0</v>
      </c>
      <c r="AM66" s="2176">
        <f t="shared" si="420"/>
        <v>0</v>
      </c>
      <c r="AN66" s="2176">
        <f t="shared" ref="AN66:AQ66" si="421">IF(AN57&gt;$J$68,$J$66,IF(AN57&lt;$J$68,(IF(AN57&lt;0,0,AN57*$K$66))))</f>
        <v>0</v>
      </c>
      <c r="AO66" s="2176">
        <f t="shared" si="421"/>
        <v>0</v>
      </c>
      <c r="AP66" s="2176">
        <f t="shared" si="421"/>
        <v>0</v>
      </c>
      <c r="AQ66" s="2176">
        <f t="shared" si="421"/>
        <v>0</v>
      </c>
      <c r="AR66" s="2171">
        <f t="shared" ref="AR66" si="422">IF(AR57&gt;$J$68,$J$66,IF(AR57&lt;$J$68,(IF(AR57&lt;0,0,AR57*$K$66))))</f>
        <v>0</v>
      </c>
      <c r="AS66" s="1951"/>
      <c r="AT66" s="2169">
        <f t="shared" si="354"/>
        <v>0</v>
      </c>
      <c r="AU66" s="2170">
        <f>$J$66*0</f>
        <v>0</v>
      </c>
      <c r="AV66" s="2178">
        <f t="shared" si="355"/>
        <v>0</v>
      </c>
      <c r="AW66" s="1951"/>
      <c r="AX66" s="2169">
        <f t="shared" ref="AX66" si="423">IF(AX57&gt;$J$68,$J$66,IF(AX57&lt;$J$68,(IF(AX57&lt;0,0,AX57*$K$66))))</f>
        <v>0</v>
      </c>
      <c r="AY66" s="2307">
        <f t="shared" ref="AY66:BC66" si="424">IF(AY57&gt;$J$68,$J$66,IF(AY57&lt;$J$68,(IF(AY57&lt;0,0,AY57*$K$66))))</f>
        <v>0</v>
      </c>
      <c r="AZ66" s="2307">
        <f t="shared" si="424"/>
        <v>0</v>
      </c>
      <c r="BA66" s="2307">
        <f t="shared" si="424"/>
        <v>0</v>
      </c>
      <c r="BB66" s="2307">
        <f t="shared" si="424"/>
        <v>0</v>
      </c>
      <c r="BC66" s="2307">
        <f t="shared" si="424"/>
        <v>0</v>
      </c>
      <c r="BD66" s="2171">
        <f t="shared" ref="BD66" si="425">IF(BD57&gt;$J$68,$J$66,IF(BD57&lt;$J$68,(IF(BD57&lt;0,0,BD57*$K$66))))</f>
        <v>0</v>
      </c>
      <c r="BE66" s="1951"/>
      <c r="BF66" s="2169">
        <f t="shared" si="338"/>
        <v>0</v>
      </c>
      <c r="BG66" s="2170">
        <f>$J$66*0</f>
        <v>0</v>
      </c>
      <c r="BH66" s="2178">
        <f t="shared" si="339"/>
        <v>0</v>
      </c>
      <c r="BI66" s="1951"/>
      <c r="BJ66" s="2169">
        <f t="shared" ref="BJ66:BL66" si="426">IF(BJ57&gt;$J$68,$J$66,IF(BJ57&lt;$J$68,(IF(BJ57&lt;0,0,BJ57*$K$66))))</f>
        <v>0</v>
      </c>
      <c r="BK66" s="2307">
        <f t="shared" si="426"/>
        <v>0</v>
      </c>
      <c r="BL66" s="2178">
        <f t="shared" si="426"/>
        <v>0</v>
      </c>
      <c r="BM66" s="1951"/>
      <c r="BN66" s="2169">
        <f t="shared" si="341"/>
        <v>0</v>
      </c>
      <c r="BO66" s="2170">
        <f>$J$66*0</f>
        <v>0</v>
      </c>
      <c r="BP66" s="2178">
        <f t="shared" si="342"/>
        <v>0</v>
      </c>
      <c r="BR66" s="2179"/>
      <c r="BS66" s="2180"/>
      <c r="BT66" s="1900"/>
      <c r="BU66" s="2179">
        <f t="shared" si="343"/>
        <v>0</v>
      </c>
      <c r="BV66" s="2181" t="e">
        <f t="shared" si="344"/>
        <v>#DIV/0!</v>
      </c>
      <c r="BW66" s="2353"/>
      <c r="BX66" s="4636"/>
      <c r="CA66" s="2929"/>
      <c r="CB66" s="1946"/>
      <c r="CC66" s="1946"/>
      <c r="CD66" s="1946"/>
      <c r="CE66" s="1946"/>
      <c r="CF66" s="1946"/>
      <c r="CG66" s="1946"/>
      <c r="CH66" s="1946"/>
      <c r="CI66" s="1946"/>
    </row>
    <row r="67" spans="1:87" s="1726" customFormat="1" ht="17.25" thickBot="1" x14ac:dyDescent="0.25">
      <c r="B67" s="2647">
        <v>55</v>
      </c>
      <c r="C67" s="2648" t="s">
        <v>228</v>
      </c>
      <c r="D67" s="2649"/>
      <c r="E67" s="2193">
        <v>0</v>
      </c>
      <c r="F67" s="2313">
        <f>E67/10</f>
        <v>0</v>
      </c>
      <c r="G67" s="2313">
        <f>E67/15</f>
        <v>0</v>
      </c>
      <c r="H67" s="2313">
        <f>E67/20</f>
        <v>0</v>
      </c>
      <c r="I67" s="2313">
        <f>E67/25</f>
        <v>0</v>
      </c>
      <c r="J67" s="2313">
        <f t="shared" si="345"/>
        <v>0</v>
      </c>
      <c r="K67" s="2194">
        <f t="shared" si="327"/>
        <v>0</v>
      </c>
      <c r="L67" s="1931"/>
      <c r="M67" s="1924"/>
      <c r="N67" s="2090">
        <f t="shared" ref="N67:T67" si="427">IF(N57&gt;$J$68,$J$67,IF(N57&lt;$J$68,(IF(N57&lt;0,0,N57*$K$67))))</f>
        <v>0</v>
      </c>
      <c r="O67" s="2088">
        <f t="shared" si="427"/>
        <v>0</v>
      </c>
      <c r="P67" s="2088">
        <f t="shared" si="427"/>
        <v>0</v>
      </c>
      <c r="Q67" s="2088">
        <f t="shared" si="427"/>
        <v>0</v>
      </c>
      <c r="R67" s="2088">
        <f t="shared" si="427"/>
        <v>0</v>
      </c>
      <c r="S67" s="2088">
        <f t="shared" si="427"/>
        <v>0</v>
      </c>
      <c r="T67" s="2091">
        <f t="shared" si="427"/>
        <v>0</v>
      </c>
      <c r="U67" s="1814"/>
      <c r="V67" s="2445">
        <f t="shared" si="52"/>
        <v>0</v>
      </c>
      <c r="W67" s="2650">
        <f>$J$67*0</f>
        <v>0</v>
      </c>
      <c r="X67" s="2651">
        <f t="shared" si="247"/>
        <v>0</v>
      </c>
      <c r="Y67" s="1766"/>
      <c r="Z67" s="2445">
        <f t="shared" ref="Z67:AC67" si="428">IF(Z57&gt;$J$68,$J$67,IF(Z57&lt;$J$68,(IF(Z57&lt;0,0,Z57*$K$67))))</f>
        <v>0</v>
      </c>
      <c r="AA67" s="2650">
        <f t="shared" si="428"/>
        <v>0</v>
      </c>
      <c r="AB67" s="2650">
        <f t="shared" si="428"/>
        <v>0</v>
      </c>
      <c r="AC67" s="2650">
        <f t="shared" si="428"/>
        <v>0</v>
      </c>
      <c r="AD67" s="2650">
        <f t="shared" ref="AD67:AE67" si="429">IF(AD57&gt;$J$68,$J$67,IF(AD57&lt;$J$68,(IF(AD57&lt;0,0,AD57*$K$67))))</f>
        <v>0</v>
      </c>
      <c r="AE67" s="2650">
        <f t="shared" si="429"/>
        <v>0</v>
      </c>
      <c r="AF67" s="2652">
        <f t="shared" ref="AF67" si="430">IF(AF57&gt;$J$68,$J$67,IF(AF57&lt;$J$68,(IF(AF57&lt;0,0,AF57*$K$67))))</f>
        <v>0</v>
      </c>
      <c r="AG67" s="1766"/>
      <c r="AH67" s="2445">
        <f t="shared" si="204"/>
        <v>0</v>
      </c>
      <c r="AI67" s="2650">
        <f>$J$67*0</f>
        <v>0</v>
      </c>
      <c r="AJ67" s="2651">
        <f t="shared" si="205"/>
        <v>0</v>
      </c>
      <c r="AK67" s="1766"/>
      <c r="AL67" s="2193">
        <f t="shared" ref="AL67:AM67" si="431">IF(AL57&gt;$J$68,$J$67,IF(AL57&lt;$J$68,(IF(AL57&lt;0,0,AL57*$K$67))))</f>
        <v>0</v>
      </c>
      <c r="AM67" s="2313">
        <f t="shared" si="431"/>
        <v>0</v>
      </c>
      <c r="AN67" s="2313">
        <f t="shared" ref="AN67:AQ67" si="432">IF(AN57&gt;$J$68,$J$67,IF(AN57&lt;$J$68,(IF(AN57&lt;0,0,AN57*$K$67))))</f>
        <v>0</v>
      </c>
      <c r="AO67" s="2313">
        <f t="shared" si="432"/>
        <v>0</v>
      </c>
      <c r="AP67" s="2313">
        <f t="shared" si="432"/>
        <v>0</v>
      </c>
      <c r="AQ67" s="2313">
        <f t="shared" si="432"/>
        <v>0</v>
      </c>
      <c r="AR67" s="2314">
        <f t="shared" ref="AR67" si="433">IF(AR57&gt;$J$68,$J$67,IF(AR57&lt;$J$68,(IF(AR57&lt;0,0,AR57*$K$67))))</f>
        <v>0</v>
      </c>
      <c r="AS67" s="1814"/>
      <c r="AT67" s="2445">
        <f t="shared" si="354"/>
        <v>0</v>
      </c>
      <c r="AU67" s="2650">
        <f>$J$67*0</f>
        <v>0</v>
      </c>
      <c r="AV67" s="2651">
        <f t="shared" si="355"/>
        <v>0</v>
      </c>
      <c r="AW67" s="1814"/>
      <c r="AX67" s="2445">
        <f t="shared" ref="AX67" si="434">IF(AX57&gt;$J$68,$J$67,IF(AX57&lt;$J$68,(IF(AX57&lt;0,0,AX57*$K$67))))</f>
        <v>0</v>
      </c>
      <c r="AY67" s="2653">
        <f t="shared" ref="AY67:BC67" si="435">IF(AY57&gt;$J$68,$J$67,IF(AY57&lt;$J$68,(IF(AY57&lt;0,0,AY57*$K$67))))</f>
        <v>0</v>
      </c>
      <c r="AZ67" s="2653">
        <f t="shared" si="435"/>
        <v>0</v>
      </c>
      <c r="BA67" s="2653">
        <f t="shared" si="435"/>
        <v>0</v>
      </c>
      <c r="BB67" s="2653">
        <f t="shared" si="435"/>
        <v>0</v>
      </c>
      <c r="BC67" s="2653">
        <f t="shared" si="435"/>
        <v>0</v>
      </c>
      <c r="BD67" s="2652">
        <f t="shared" ref="BD67" si="436">IF(BD57&gt;$J$68,$J$67,IF(BD57&lt;$J$68,(IF(BD57&lt;0,0,BD57*$K$67))))</f>
        <v>0</v>
      </c>
      <c r="BE67" s="1814"/>
      <c r="BF67" s="2445">
        <f t="shared" si="338"/>
        <v>0</v>
      </c>
      <c r="BG67" s="2650">
        <f>$J$67*0</f>
        <v>0</v>
      </c>
      <c r="BH67" s="2651">
        <f t="shared" si="339"/>
        <v>0</v>
      </c>
      <c r="BI67" s="1814"/>
      <c r="BJ67" s="2445">
        <f t="shared" ref="BJ67:BL67" si="437">IF(BJ57&gt;$J$68,$J$67,IF(BJ57&lt;$J$68,(IF(BJ57&lt;0,0,BJ57*$K$67))))</f>
        <v>0</v>
      </c>
      <c r="BK67" s="2653">
        <f t="shared" si="437"/>
        <v>0</v>
      </c>
      <c r="BL67" s="2651">
        <f t="shared" si="437"/>
        <v>0</v>
      </c>
      <c r="BM67" s="1814"/>
      <c r="BN67" s="2445">
        <f t="shared" si="341"/>
        <v>0</v>
      </c>
      <c r="BO67" s="2650">
        <f>$J$67*0</f>
        <v>0</v>
      </c>
      <c r="BP67" s="2651">
        <f t="shared" si="342"/>
        <v>0</v>
      </c>
      <c r="BR67" s="2193"/>
      <c r="BS67" s="2654"/>
      <c r="BT67" s="1740"/>
      <c r="BU67" s="2193">
        <f t="shared" si="343"/>
        <v>0</v>
      </c>
      <c r="BV67" s="2195" t="e">
        <f t="shared" si="344"/>
        <v>#DIV/0!</v>
      </c>
      <c r="BW67" s="2351"/>
      <c r="BX67" s="4636"/>
      <c r="CA67" s="2933"/>
      <c r="CB67" s="2933"/>
      <c r="CC67" s="1860"/>
      <c r="CD67" s="1860"/>
      <c r="CE67" s="1860"/>
      <c r="CF67" s="1860"/>
      <c r="CG67" s="1860"/>
      <c r="CH67" s="1860"/>
      <c r="CI67" s="1860"/>
    </row>
    <row r="68" spans="1:87" s="1885" customFormat="1" ht="17.25" thickBot="1" x14ac:dyDescent="0.25">
      <c r="B68" s="2697"/>
      <c r="C68" s="2698" t="s">
        <v>194</v>
      </c>
      <c r="D68" s="2119"/>
      <c r="E68" s="2183">
        <f>SUM(E59:E67)</f>
        <v>1664</v>
      </c>
      <c r="F68" s="2311">
        <f>SUM(F46:F67)</f>
        <v>153.15</v>
      </c>
      <c r="G68" s="2311">
        <f>SUM(G46:G67)</f>
        <v>102.10000000000001</v>
      </c>
      <c r="H68" s="2311">
        <f>SUM(H46:H67)</f>
        <v>76.575000000000003</v>
      </c>
      <c r="I68" s="2311">
        <f>SUM(I46:I67)</f>
        <v>61.260000000000005</v>
      </c>
      <c r="J68" s="2311">
        <f>SUM(J59:J67)</f>
        <v>53.677419354838712</v>
      </c>
      <c r="K68" s="2699">
        <f>SUM(K59:K67)</f>
        <v>1</v>
      </c>
      <c r="L68" s="2003"/>
      <c r="M68" s="1950"/>
      <c r="N68" s="2120">
        <f t="shared" ref="N68:T68" si="438">SUM(N59:N67)</f>
        <v>0</v>
      </c>
      <c r="O68" s="2123">
        <f t="shared" si="438"/>
        <v>0</v>
      </c>
      <c r="P68" s="2123">
        <f t="shared" si="438"/>
        <v>0</v>
      </c>
      <c r="Q68" s="2123">
        <f t="shared" si="438"/>
        <v>0</v>
      </c>
      <c r="R68" s="2123">
        <f t="shared" si="438"/>
        <v>0</v>
      </c>
      <c r="S68" s="2123">
        <f t="shared" si="438"/>
        <v>0</v>
      </c>
      <c r="T68" s="2124">
        <f t="shared" si="438"/>
        <v>0</v>
      </c>
      <c r="U68" s="1951"/>
      <c r="V68" s="2120">
        <f>SUM(V59:V67)</f>
        <v>0</v>
      </c>
      <c r="W68" s="2123">
        <f>SUM(W59:W67)</f>
        <v>0</v>
      </c>
      <c r="X68" s="2125">
        <f>SUM(X59:X67)</f>
        <v>0</v>
      </c>
      <c r="Y68" s="1956"/>
      <c r="Z68" s="2120">
        <f t="shared" ref="Z68:AC68" si="439">SUM(Z59:Z67)</f>
        <v>0</v>
      </c>
      <c r="AA68" s="2123">
        <f t="shared" si="439"/>
        <v>0</v>
      </c>
      <c r="AB68" s="2123">
        <f t="shared" si="439"/>
        <v>0</v>
      </c>
      <c r="AC68" s="2123">
        <f t="shared" si="439"/>
        <v>0</v>
      </c>
      <c r="AD68" s="2123">
        <f t="shared" ref="AD68:AE68" si="440">SUM(AD59:AD67)</f>
        <v>0</v>
      </c>
      <c r="AE68" s="2123">
        <f t="shared" si="440"/>
        <v>0</v>
      </c>
      <c r="AF68" s="2124">
        <f t="shared" ref="AF68" si="441">SUM(AF59:AF67)</f>
        <v>0</v>
      </c>
      <c r="AG68" s="1956"/>
      <c r="AH68" s="2120">
        <f>SUM(Z68:AF68)</f>
        <v>0</v>
      </c>
      <c r="AI68" s="2123">
        <f>SUM(AI59:AI67)</f>
        <v>0</v>
      </c>
      <c r="AJ68" s="2125">
        <f>SUM(AJ46:AJ67)</f>
        <v>0</v>
      </c>
      <c r="AK68" s="1956"/>
      <c r="AL68" s="2120">
        <f t="shared" ref="AL68:AM68" si="442">SUM(AL59:AL67)</f>
        <v>0</v>
      </c>
      <c r="AM68" s="2121">
        <f t="shared" si="442"/>
        <v>0</v>
      </c>
      <c r="AN68" s="2121">
        <f t="shared" ref="AN68:AQ68" si="443">SUM(AN59:AN67)</f>
        <v>0</v>
      </c>
      <c r="AO68" s="2121">
        <f t="shared" si="443"/>
        <v>0</v>
      </c>
      <c r="AP68" s="2121">
        <f t="shared" si="443"/>
        <v>0</v>
      </c>
      <c r="AQ68" s="2121">
        <f t="shared" si="443"/>
        <v>0</v>
      </c>
      <c r="AR68" s="2124">
        <f t="shared" ref="AR68" si="444">SUM(AR59:AR67)</f>
        <v>0</v>
      </c>
      <c r="AS68" s="1951"/>
      <c r="AT68" s="2120">
        <f>SUM(AL68:AR68)</f>
        <v>0</v>
      </c>
      <c r="AU68" s="2123">
        <f>SUM(AU59:AU67)</f>
        <v>0</v>
      </c>
      <c r="AV68" s="2125">
        <f>SUM(AV46:AV67)</f>
        <v>0</v>
      </c>
      <c r="AW68" s="1951"/>
      <c r="AX68" s="2187">
        <f t="shared" ref="AX68" si="445">SUM(AX59:AX67)</f>
        <v>0</v>
      </c>
      <c r="AY68" s="2700">
        <f t="shared" ref="AY68:BC68" si="446">SUM(AY59:AY67)</f>
        <v>2.4668387096774236</v>
      </c>
      <c r="AZ68" s="2700">
        <f t="shared" si="446"/>
        <v>9.6288387096774297</v>
      </c>
      <c r="BA68" s="2700">
        <f t="shared" si="446"/>
        <v>48.938338709677424</v>
      </c>
      <c r="BB68" s="2700">
        <f t="shared" si="446"/>
        <v>0</v>
      </c>
      <c r="BC68" s="2700">
        <f t="shared" si="446"/>
        <v>0</v>
      </c>
      <c r="BD68" s="2309">
        <f t="shared" ref="BD68" si="447">SUM(BD59:BD67)</f>
        <v>0</v>
      </c>
      <c r="BE68" s="1951"/>
      <c r="BF68" s="2187">
        <f>SUM(AX68:BD68)</f>
        <v>61.034016129032281</v>
      </c>
      <c r="BG68" s="2701">
        <f>SUM(BG59:BG67)</f>
        <v>0</v>
      </c>
      <c r="BH68" s="2702">
        <f>SUM(BH46:BH67)</f>
        <v>131.3374032258065</v>
      </c>
      <c r="BI68" s="1951"/>
      <c r="BJ68" s="2187">
        <f t="shared" ref="BJ68:BL68" si="448">SUM(BJ59:BJ67)</f>
        <v>0</v>
      </c>
      <c r="BK68" s="2700">
        <f t="shared" si="448"/>
        <v>44.653338709677428</v>
      </c>
      <c r="BL68" s="2702">
        <f t="shared" si="448"/>
        <v>0</v>
      </c>
      <c r="BM68" s="1951"/>
      <c r="BN68" s="2187">
        <f t="shared" si="341"/>
        <v>44.653338709677428</v>
      </c>
      <c r="BO68" s="2701">
        <f>SUM(BO46:BO67)</f>
        <v>0</v>
      </c>
      <c r="BP68" s="2702">
        <f>SUM(BP46:BP67)</f>
        <v>73.943370967741927</v>
      </c>
      <c r="BR68" s="2187">
        <f>X68+AJ68+AV68</f>
        <v>0</v>
      </c>
      <c r="BS68" s="2427"/>
      <c r="BT68" s="1900"/>
      <c r="BU68" s="2187">
        <f>SUM(BU59:BU67)</f>
        <v>105.68735483870969</v>
      </c>
      <c r="BV68" s="2189">
        <f t="shared" si="344"/>
        <v>6.3514035359801504E-2</v>
      </c>
      <c r="BW68" s="2353"/>
      <c r="BX68" s="4637"/>
      <c r="CA68" s="2929"/>
      <c r="CB68" s="1946"/>
      <c r="CC68" s="1946"/>
      <c r="CD68" s="1946"/>
      <c r="CE68" s="1946"/>
      <c r="CF68" s="1946"/>
      <c r="CG68" s="1946"/>
      <c r="CH68" s="1946"/>
      <c r="CI68" s="1946"/>
    </row>
    <row r="69" spans="1:87" s="1860" customFormat="1" ht="4.5" customHeight="1" x14ac:dyDescent="0.2">
      <c r="B69" s="2196"/>
      <c r="C69" s="2196"/>
      <c r="D69" s="1861"/>
      <c r="E69" s="2197"/>
      <c r="F69" s="2197"/>
      <c r="G69" s="2197"/>
      <c r="H69" s="2197"/>
      <c r="I69" s="2197"/>
      <c r="J69" s="2197"/>
      <c r="K69" s="2198"/>
      <c r="L69" s="1760"/>
      <c r="M69" s="2933"/>
      <c r="N69" s="2197"/>
      <c r="O69" s="2197"/>
      <c r="P69" s="2197"/>
      <c r="Q69" s="2197"/>
      <c r="R69" s="2197"/>
      <c r="S69" s="2197"/>
      <c r="T69" s="2197"/>
      <c r="U69" s="2935"/>
      <c r="V69" s="2935"/>
      <c r="W69" s="2935"/>
      <c r="X69" s="2935"/>
      <c r="Y69" s="1862"/>
      <c r="Z69" s="2199"/>
      <c r="AA69" s="2199"/>
      <c r="AB69" s="2199"/>
      <c r="AC69" s="2199"/>
      <c r="AD69" s="2199"/>
      <c r="AE69" s="2199"/>
      <c r="AF69" s="2199"/>
      <c r="AG69" s="1862"/>
      <c r="AH69" s="2935"/>
      <c r="AI69" s="2935"/>
      <c r="AJ69" s="2935"/>
      <c r="AK69" s="1862"/>
      <c r="AL69" s="2197"/>
      <c r="AM69" s="2197"/>
      <c r="AN69" s="2197"/>
      <c r="AO69" s="2197"/>
      <c r="AP69" s="2197"/>
      <c r="AQ69" s="2197"/>
      <c r="AR69" s="2197"/>
      <c r="AS69" s="2935"/>
      <c r="AT69" s="2935"/>
      <c r="AU69" s="2935"/>
      <c r="AV69" s="2935"/>
      <c r="AW69" s="2935"/>
      <c r="AX69" s="2197"/>
      <c r="AY69" s="2197"/>
      <c r="AZ69" s="2197"/>
      <c r="BA69" s="2197"/>
      <c r="BB69" s="2197"/>
      <c r="BC69" s="2197"/>
      <c r="BD69" s="2197"/>
      <c r="BE69" s="2935"/>
      <c r="BF69" s="2935"/>
      <c r="BG69" s="2935"/>
      <c r="BH69" s="2935"/>
      <c r="BI69" s="2935"/>
      <c r="BJ69" s="2197"/>
      <c r="BK69" s="2197"/>
      <c r="BL69" s="2197"/>
      <c r="BM69" s="2935"/>
      <c r="BN69" s="2935"/>
      <c r="BO69" s="2935"/>
      <c r="BP69" s="2935"/>
      <c r="BR69" s="2197"/>
      <c r="BS69" s="2200"/>
      <c r="BT69" s="1861"/>
      <c r="BU69" s="2197"/>
      <c r="BV69" s="2198"/>
      <c r="BW69" s="1997"/>
      <c r="BX69" s="2933"/>
    </row>
    <row r="70" spans="1:87" s="1860" customFormat="1" ht="15.75" customHeight="1" x14ac:dyDescent="0.2">
      <c r="B70" s="2196"/>
      <c r="C70" s="2197"/>
      <c r="D70" s="1861"/>
      <c r="E70" s="1732">
        <f>E55+E68</f>
        <v>2000.5</v>
      </c>
      <c r="F70" s="1732">
        <f t="shared" ref="F70:I70" si="449">F55+F68</f>
        <v>153.15</v>
      </c>
      <c r="G70" s="1732">
        <f t="shared" si="449"/>
        <v>102.10000000000001</v>
      </c>
      <c r="H70" s="1732">
        <f t="shared" si="449"/>
        <v>76.575000000000003</v>
      </c>
      <c r="I70" s="1732">
        <f t="shared" si="449"/>
        <v>61.260000000000005</v>
      </c>
      <c r="J70" s="1732">
        <f>J55+J68</f>
        <v>64.532258064516128</v>
      </c>
      <c r="K70" s="1882">
        <f>E70/E89</f>
        <v>0.45586358677914368</v>
      </c>
      <c r="L70" s="1760"/>
      <c r="M70" s="2933"/>
      <c r="N70" s="1732">
        <f t="shared" ref="N70:T70" si="450">N57-N68</f>
        <v>0</v>
      </c>
      <c r="O70" s="1732">
        <f t="shared" si="450"/>
        <v>0</v>
      </c>
      <c r="P70" s="1732">
        <f t="shared" si="450"/>
        <v>0</v>
      </c>
      <c r="Q70" s="1732">
        <f t="shared" si="450"/>
        <v>0</v>
      </c>
      <c r="R70" s="1732">
        <f t="shared" si="450"/>
        <v>0</v>
      </c>
      <c r="S70" s="1732">
        <f t="shared" si="450"/>
        <v>-29.315322580645159</v>
      </c>
      <c r="T70" s="1732">
        <f t="shared" si="450"/>
        <v>0</v>
      </c>
      <c r="U70" s="2935"/>
      <c r="V70" s="2935"/>
      <c r="W70" s="2935"/>
      <c r="X70" s="2935"/>
      <c r="Y70" s="1862"/>
      <c r="Z70" s="1732">
        <f t="shared" ref="Z70:AC70" si="451">Z57-Z68</f>
        <v>0</v>
      </c>
      <c r="AA70" s="1732">
        <f t="shared" si="451"/>
        <v>0</v>
      </c>
      <c r="AB70" s="1732">
        <f t="shared" si="451"/>
        <v>0</v>
      </c>
      <c r="AC70" s="1732">
        <f t="shared" si="451"/>
        <v>-34.444322580645157</v>
      </c>
      <c r="AD70" s="1732">
        <f t="shared" ref="AD70:AE70" si="452">AD57-AD68</f>
        <v>-25.152322580645158</v>
      </c>
      <c r="AE70" s="1732">
        <f t="shared" si="452"/>
        <v>-29.748322580645159</v>
      </c>
      <c r="AF70" s="1732">
        <f t="shared" ref="AF70" si="453">AF57-AF68</f>
        <v>-4.6128225806451582</v>
      </c>
      <c r="AG70" s="1862"/>
      <c r="AH70" s="2935"/>
      <c r="AI70" s="2935"/>
      <c r="AJ70" s="2935"/>
      <c r="AK70" s="1862"/>
      <c r="AL70" s="1732">
        <f t="shared" ref="AL70:AM70" si="454">AL57-AL68</f>
        <v>-9.5803225806451593</v>
      </c>
      <c r="AM70" s="1732">
        <f t="shared" si="454"/>
        <v>-3.920822580645158</v>
      </c>
      <c r="AN70" s="1732">
        <f t="shared" ref="AN70:AQ70" si="455">AN57-AN68</f>
        <v>-16.059322580645158</v>
      </c>
      <c r="AO70" s="1732">
        <f t="shared" si="455"/>
        <v>-6.672322580645158</v>
      </c>
      <c r="AP70" s="1732">
        <f t="shared" si="455"/>
        <v>-17.63632258064516</v>
      </c>
      <c r="AQ70" s="1732">
        <f t="shared" si="455"/>
        <v>-15.38782258064516</v>
      </c>
      <c r="AR70" s="1732">
        <f t="shared" ref="AR70" si="456">AR57-AR68</f>
        <v>-38.531822580645155</v>
      </c>
      <c r="AS70" s="2935"/>
      <c r="AT70" s="2935"/>
      <c r="AU70" s="2935"/>
      <c r="AV70" s="2935"/>
      <c r="AW70" s="2935"/>
      <c r="AX70" s="1732">
        <f t="shared" ref="AX70" si="457">AX57-AX68</f>
        <v>-22.091822580645157</v>
      </c>
      <c r="AY70" s="1732">
        <f t="shared" ref="AY70:BC70" si="458">AY57-AY68</f>
        <v>0</v>
      </c>
      <c r="AZ70" s="1732">
        <f t="shared" si="458"/>
        <v>0</v>
      </c>
      <c r="BA70" s="1732">
        <f t="shared" si="458"/>
        <v>0</v>
      </c>
      <c r="BB70" s="1732">
        <f t="shared" si="458"/>
        <v>0</v>
      </c>
      <c r="BC70" s="1732">
        <f t="shared" si="458"/>
        <v>-17.280322580645159</v>
      </c>
      <c r="BD70" s="1732">
        <f t="shared" ref="BD70" si="459">BD57-BD68</f>
        <v>-11.863822580645156</v>
      </c>
      <c r="BE70" s="2935"/>
      <c r="BF70" s="2935"/>
      <c r="BG70" s="2935"/>
      <c r="BH70" s="2935"/>
      <c r="BI70" s="2935"/>
      <c r="BJ70" s="1732">
        <f t="shared" ref="BJ70:BL70" si="460">BJ57-BJ68</f>
        <v>-19.333822580645158</v>
      </c>
      <c r="BK70" s="1732">
        <f t="shared" si="460"/>
        <v>0</v>
      </c>
      <c r="BL70" s="1732">
        <f t="shared" si="460"/>
        <v>0</v>
      </c>
      <c r="BM70" s="2935"/>
      <c r="BN70" s="2935"/>
      <c r="BO70" s="2935"/>
      <c r="BP70" s="2935"/>
      <c r="BR70" s="1732"/>
      <c r="BS70" s="2211"/>
      <c r="BT70" s="1861"/>
      <c r="BU70" s="1732"/>
      <c r="BV70" s="1882"/>
      <c r="BW70" s="1997"/>
      <c r="BX70" s="2933"/>
    </row>
    <row r="71" spans="1:87" s="1860" customFormat="1" ht="4.5" customHeight="1" thickBot="1" x14ac:dyDescent="0.25">
      <c r="B71" s="2196"/>
      <c r="C71" s="2196"/>
      <c r="D71" s="1861"/>
      <c r="E71" s="2197"/>
      <c r="F71" s="2197"/>
      <c r="G71" s="2197"/>
      <c r="H71" s="2197"/>
      <c r="I71" s="2197"/>
      <c r="J71" s="2197"/>
      <c r="K71" s="2198"/>
      <c r="L71" s="1760"/>
      <c r="M71" s="2933"/>
      <c r="N71" s="2935"/>
      <c r="O71" s="2935"/>
      <c r="P71" s="2935"/>
      <c r="Q71" s="2935"/>
      <c r="R71" s="2935"/>
      <c r="S71" s="2935"/>
      <c r="T71" s="2935"/>
      <c r="U71" s="2935"/>
      <c r="V71" s="2935"/>
      <c r="W71" s="2935"/>
      <c r="X71" s="2935"/>
      <c r="Y71" s="1862"/>
      <c r="Z71" s="2232"/>
      <c r="AA71" s="2232"/>
      <c r="AB71" s="2232"/>
      <c r="AC71" s="2232"/>
      <c r="AD71" s="2232"/>
      <c r="AE71" s="2232"/>
      <c r="AF71" s="2232"/>
      <c r="AG71" s="1862"/>
      <c r="AH71" s="2935"/>
      <c r="AI71" s="2935"/>
      <c r="AJ71" s="2935"/>
      <c r="AK71" s="1862"/>
      <c r="AL71" s="2232"/>
      <c r="AM71" s="2232"/>
      <c r="AN71" s="2232"/>
      <c r="AO71" s="2232"/>
      <c r="AP71" s="2232"/>
      <c r="AQ71" s="2232"/>
      <c r="AR71" s="2232"/>
      <c r="AS71" s="2935"/>
      <c r="AT71" s="2935"/>
      <c r="AU71" s="2935"/>
      <c r="AV71" s="2935"/>
      <c r="AW71" s="2935"/>
      <c r="AX71" s="2232"/>
      <c r="AY71" s="2232"/>
      <c r="AZ71" s="2232"/>
      <c r="BA71" s="2232"/>
      <c r="BB71" s="2232"/>
      <c r="BC71" s="2232"/>
      <c r="BD71" s="2232"/>
      <c r="BE71" s="2935"/>
      <c r="BF71" s="2935"/>
      <c r="BG71" s="2935"/>
      <c r="BH71" s="2935"/>
      <c r="BI71" s="2935"/>
      <c r="BJ71" s="2199"/>
      <c r="BK71" s="2199"/>
      <c r="BL71" s="2199"/>
      <c r="BM71" s="2935"/>
      <c r="BN71" s="2935"/>
      <c r="BO71" s="2935"/>
      <c r="BP71" s="2935"/>
      <c r="BR71" s="2199"/>
      <c r="BS71" s="2203"/>
      <c r="BT71" s="1861"/>
      <c r="BU71" s="2199"/>
      <c r="BV71" s="2204"/>
      <c r="BW71" s="1997"/>
      <c r="BX71" s="2933"/>
    </row>
    <row r="72" spans="1:87" s="1885" customFormat="1" ht="17.25" thickBot="1" x14ac:dyDescent="0.25">
      <c r="B72" s="2401"/>
      <c r="C72" s="2401" t="s">
        <v>151</v>
      </c>
      <c r="D72" s="2402"/>
      <c r="E72" s="1898">
        <f>(E68+E55)*100/20</f>
        <v>10002.5</v>
      </c>
      <c r="F72" s="1898" t="e">
        <f>#REF!+F68</f>
        <v>#REF!</v>
      </c>
      <c r="G72" s="1898" t="e">
        <f>#REF!+G68</f>
        <v>#REF!</v>
      </c>
      <c r="H72" s="1898" t="e">
        <f>#REF!+H68</f>
        <v>#REF!</v>
      </c>
      <c r="I72" s="1898" t="e">
        <f>#REF!+I68</f>
        <v>#REF!</v>
      </c>
      <c r="J72" s="1898">
        <f>(J68+J55)*100/20</f>
        <v>322.66129032258061</v>
      </c>
      <c r="K72" s="1899">
        <f>E72/E87</f>
        <v>0.45586358677914374</v>
      </c>
      <c r="L72" s="1949"/>
      <c r="M72" s="2929"/>
      <c r="N72" s="2932"/>
      <c r="O72" s="2932"/>
      <c r="P72" s="2932"/>
      <c r="Q72" s="2932"/>
      <c r="R72" s="2932"/>
      <c r="S72" s="2932"/>
      <c r="T72" s="2932"/>
      <c r="U72" s="2930"/>
      <c r="V72" s="2319"/>
      <c r="W72" s="2321"/>
      <c r="X72" s="2433"/>
      <c r="Y72" s="1897"/>
      <c r="Z72" s="2932"/>
      <c r="AA72" s="2932"/>
      <c r="AB72" s="2932"/>
      <c r="AC72" s="2932"/>
      <c r="AD72" s="2932"/>
      <c r="AE72" s="2932"/>
      <c r="AF72" s="2932"/>
      <c r="AG72" s="1896"/>
      <c r="AH72" s="2319"/>
      <c r="AI72" s="2321"/>
      <c r="AJ72" s="2433"/>
      <c r="AK72" s="1897"/>
      <c r="AL72" s="2932"/>
      <c r="AM72" s="2932"/>
      <c r="AN72" s="2932"/>
      <c r="AO72" s="2932"/>
      <c r="AP72" s="2932"/>
      <c r="AQ72" s="2932"/>
      <c r="AR72" s="2932"/>
      <c r="AS72" s="2295"/>
      <c r="AT72" s="2319"/>
      <c r="AU72" s="2321"/>
      <c r="AV72" s="2433"/>
      <c r="AW72" s="2930"/>
      <c r="AX72" s="2932"/>
      <c r="AY72" s="2932"/>
      <c r="AZ72" s="2932"/>
      <c r="BA72" s="2932"/>
      <c r="BB72" s="2932"/>
      <c r="BC72" s="2932"/>
      <c r="BD72" s="2932"/>
      <c r="BE72" s="2295"/>
      <c r="BF72" s="2319">
        <f t="shared" ref="BF72:BF73" si="461">SUM(AX72:BD72)</f>
        <v>0</v>
      </c>
      <c r="BG72" s="2321"/>
      <c r="BH72" s="2433"/>
      <c r="BI72" s="2930"/>
      <c r="BJ72" s="1898"/>
      <c r="BK72" s="1898"/>
      <c r="BL72" s="1898"/>
      <c r="BM72" s="2930"/>
      <c r="BN72" s="2319">
        <f>SUM(BJ72:BL72)</f>
        <v>0</v>
      </c>
      <c r="BO72" s="2321"/>
      <c r="BP72" s="2433"/>
      <c r="BR72" s="1898"/>
      <c r="BS72" s="2202"/>
      <c r="BT72" s="1900"/>
      <c r="BU72" s="1898"/>
      <c r="BV72" s="1899"/>
      <c r="BW72" s="2010"/>
      <c r="BX72" s="2929"/>
    </row>
    <row r="73" spans="1:87" s="1726" customFormat="1" ht="17.25" thickBot="1" x14ac:dyDescent="0.25">
      <c r="B73" s="2049"/>
      <c r="C73" s="2050" t="s">
        <v>149</v>
      </c>
      <c r="D73" s="2051"/>
      <c r="E73" s="2052"/>
      <c r="F73" s="2053"/>
      <c r="G73" s="2053"/>
      <c r="H73" s="2053"/>
      <c r="I73" s="2053"/>
      <c r="J73" s="2053"/>
      <c r="K73" s="2253"/>
      <c r="L73" s="2216"/>
      <c r="M73" s="2055"/>
      <c r="N73" s="2056"/>
      <c r="O73" s="2053"/>
      <c r="P73" s="2053"/>
      <c r="Q73" s="2053"/>
      <c r="R73" s="2053"/>
      <c r="S73" s="2053">
        <f t="shared" ref="S73" si="462">IF(S70&gt;$J$70,S70,IF(S70&lt;$J$70,(IF(S70&lt;0,-65.542,S57-$J$68))))</f>
        <v>-65.542000000000002</v>
      </c>
      <c r="T73" s="2057"/>
      <c r="U73" s="1814"/>
      <c r="V73" s="2056">
        <f>SUM(N73:T73)</f>
        <v>-65.542000000000002</v>
      </c>
      <c r="W73" s="2052"/>
      <c r="X73" s="2057"/>
      <c r="Y73" s="1766"/>
      <c r="Z73" s="2056"/>
      <c r="AA73" s="2053"/>
      <c r="AB73" s="2053"/>
      <c r="AC73" s="2053">
        <f t="shared" ref="AC73:AD73" si="463">IF(AC70&gt;$J$70,AC70,IF(AC70&lt;$J$70,(IF(AC70&lt;0,-65.542,AC57-$J$68))))</f>
        <v>-65.542000000000002</v>
      </c>
      <c r="AD73" s="2053">
        <f t="shared" si="463"/>
        <v>-65.542000000000002</v>
      </c>
      <c r="AE73" s="2053">
        <f t="shared" ref="AE73" si="464">IF(AE70&gt;$J$70,AE70,IF(AE70&lt;$J$70,(IF(AE70&lt;0,-65.542,AE57-$J$68))))</f>
        <v>-65.542000000000002</v>
      </c>
      <c r="AF73" s="2053">
        <f t="shared" ref="AF73" si="465">IF(AF70&gt;$J$70,AF70,IF(AF70&lt;$J$70,(IF(AF70&lt;0,-65.542,AF57-$J$68))))</f>
        <v>-65.542000000000002</v>
      </c>
      <c r="AG73" s="1766"/>
      <c r="AH73" s="2056">
        <f>SUM(Z73:AF73)</f>
        <v>-262.16800000000001</v>
      </c>
      <c r="AI73" s="2052"/>
      <c r="AJ73" s="2057"/>
      <c r="AK73" s="1764"/>
      <c r="AL73" s="2056">
        <f t="shared" ref="AL73:AM73" si="466">IF(AL70&gt;$J$70,AL70,IF(AL70&lt;$J$70,(IF(AL70&lt;0,-65.542,AL57-$J$68))))</f>
        <v>-65.542000000000002</v>
      </c>
      <c r="AM73" s="2053">
        <f t="shared" si="466"/>
        <v>-65.542000000000002</v>
      </c>
      <c r="AN73" s="2053">
        <f t="shared" ref="AN73:AQ73" si="467">IF(AN70&gt;$J$70,AN70,IF(AN70&lt;$J$70,(IF(AN70&lt;0,-65.542,AN57-$J$68))))</f>
        <v>-65.542000000000002</v>
      </c>
      <c r="AO73" s="2053">
        <f t="shared" si="467"/>
        <v>-65.542000000000002</v>
      </c>
      <c r="AP73" s="2053">
        <f t="shared" si="467"/>
        <v>-65.542000000000002</v>
      </c>
      <c r="AQ73" s="2053">
        <f t="shared" si="467"/>
        <v>-65.542000000000002</v>
      </c>
      <c r="AR73" s="2057">
        <f t="shared" ref="AR73" si="468">IF(AR70&gt;$J$70,AR70,IF(AR70&lt;$J$70,(IF(AR70&lt;0,-65.542,AR57-$J$68))))</f>
        <v>-65.542000000000002</v>
      </c>
      <c r="AS73" s="2300"/>
      <c r="AT73" s="2056">
        <f t="shared" ref="AT73" si="469">SUM(AL73:AR73)</f>
        <v>-458.7940000000001</v>
      </c>
      <c r="AU73" s="2052"/>
      <c r="AV73" s="2057"/>
      <c r="AW73" s="1814"/>
      <c r="AX73" s="2056">
        <f t="shared" ref="AX73" si="470">IF(AX70&gt;$J$70,AX70,IF(AX70&lt;$J$70,(IF(AX70&lt;0,-65.542,AX57-$J$68))))</f>
        <v>-65.542000000000002</v>
      </c>
      <c r="AY73" s="2052">
        <f t="shared" ref="AY73:BC73" si="471">IF(AY70&gt;$J$70,AY70,IF(AY70&lt;$J$70,(IF(AY70&lt;0,-65.542,AY57-$J$68))))</f>
        <v>-51.210580645161286</v>
      </c>
      <c r="AZ73" s="2052">
        <f t="shared" si="471"/>
        <v>-44.04858064516128</v>
      </c>
      <c r="BA73" s="2052">
        <f t="shared" si="471"/>
        <v>-4.7390806451612804</v>
      </c>
      <c r="BB73" s="2052">
        <f t="shared" si="471"/>
        <v>-53.677419354838712</v>
      </c>
      <c r="BC73" s="2052">
        <f t="shared" si="471"/>
        <v>-65.542000000000002</v>
      </c>
      <c r="BD73" s="2057">
        <f t="shared" ref="BD73" si="472">IF(BD70&gt;$J$70,BD70,IF(BD70&lt;$J$70,(IF(BD70&lt;0,-65.542,BD57-$J$68))))</f>
        <v>-65.542000000000002</v>
      </c>
      <c r="BE73" s="1814"/>
      <c r="BF73" s="2056">
        <f t="shared" si="461"/>
        <v>-350.30166129032261</v>
      </c>
      <c r="BG73" s="2052"/>
      <c r="BH73" s="2057"/>
      <c r="BI73" s="1740"/>
      <c r="BJ73" s="2056">
        <f t="shared" ref="BJ73:BL73" si="473">IF(BJ70&gt;$J$70,BJ70,IF(BJ70&lt;$J$70,(IF(BJ70&lt;0,-65.542,BJ57-$J$68))))</f>
        <v>-65.542000000000002</v>
      </c>
      <c r="BK73" s="2052">
        <f t="shared" si="473"/>
        <v>-9.0240806451612912</v>
      </c>
      <c r="BL73" s="2052">
        <f t="shared" si="473"/>
        <v>-53.677419354838712</v>
      </c>
      <c r="BM73" s="2301"/>
      <c r="BN73" s="2058">
        <f>SUM(BJ73:BL73)</f>
        <v>-128.24350000000001</v>
      </c>
      <c r="BO73" s="2324"/>
      <c r="BP73" s="2190"/>
      <c r="BQ73" s="1862"/>
      <c r="BR73" s="2058">
        <f>SUM(N73:T73)+SUM(Z73:AF73)+SUM(AL73:AR73)+SUM(AX73:BD73)+SUM(BJ73:BL73)</f>
        <v>-1265.0491612903229</v>
      </c>
      <c r="BS73" s="2054"/>
      <c r="BT73" s="1740"/>
      <c r="BU73" s="1740"/>
      <c r="BV73" s="1740"/>
      <c r="BW73" s="1861"/>
    </row>
    <row r="74" spans="1:87" s="1756" customFormat="1" ht="17.25" thickBot="1" x14ac:dyDescent="0.25">
      <c r="B74" s="1817"/>
      <c r="C74" s="1817"/>
      <c r="D74" s="1817"/>
      <c r="E74" s="1814"/>
      <c r="F74" s="1814"/>
      <c r="G74" s="1814"/>
      <c r="H74" s="1814"/>
      <c r="I74" s="1814"/>
      <c r="J74" s="1814"/>
      <c r="K74" s="1818"/>
      <c r="L74" s="2216"/>
      <c r="M74" s="2055"/>
      <c r="N74" s="1814"/>
      <c r="O74" s="1814"/>
      <c r="P74" s="1814"/>
      <c r="Q74" s="1814"/>
      <c r="R74" s="1814"/>
      <c r="S74" s="1814"/>
      <c r="T74" s="1814"/>
      <c r="U74" s="1814"/>
      <c r="V74" s="1814"/>
      <c r="W74" s="1814"/>
      <c r="X74" s="1814"/>
      <c r="Y74" s="1766"/>
      <c r="Z74" s="1814"/>
      <c r="AA74" s="1814"/>
      <c r="AB74" s="1814"/>
      <c r="AC74" s="1814"/>
      <c r="AD74" s="1814"/>
      <c r="AE74" s="1814"/>
      <c r="AF74" s="1814"/>
      <c r="AG74" s="1766"/>
      <c r="AH74" s="1814"/>
      <c r="AI74" s="1814"/>
      <c r="AJ74" s="1814"/>
      <c r="AK74" s="1766"/>
      <c r="AL74" s="1814"/>
      <c r="AM74" s="1814"/>
      <c r="AN74" s="1814"/>
      <c r="AO74" s="1814"/>
      <c r="AP74" s="1814"/>
      <c r="AQ74" s="1814"/>
      <c r="AR74" s="1814"/>
      <c r="AS74" s="1814"/>
      <c r="AT74" s="1814"/>
      <c r="AU74" s="1814"/>
      <c r="AV74" s="1814"/>
      <c r="AW74" s="1814"/>
      <c r="AX74" s="1814"/>
      <c r="AY74" s="1814"/>
      <c r="AZ74" s="1814"/>
      <c r="BA74" s="1814"/>
      <c r="BB74" s="1814"/>
      <c r="BC74" s="1814"/>
      <c r="BD74" s="1814"/>
      <c r="BE74" s="1814"/>
      <c r="BF74" s="1814"/>
      <c r="BG74" s="1814"/>
      <c r="BH74" s="1814"/>
      <c r="BI74" s="1814"/>
      <c r="BJ74" s="1814"/>
      <c r="BK74" s="1814"/>
      <c r="BL74" s="1814"/>
      <c r="BM74" s="1814"/>
      <c r="BN74" s="1814"/>
      <c r="BO74" s="1814"/>
      <c r="BP74" s="1814"/>
      <c r="BQ74" s="1766"/>
      <c r="BR74" s="1814"/>
      <c r="BS74" s="1830"/>
      <c r="BT74" s="2928"/>
      <c r="BU74" s="2928"/>
      <c r="BV74" s="2928"/>
      <c r="BW74" s="1817"/>
    </row>
    <row r="75" spans="1:87" s="1947" customFormat="1" x14ac:dyDescent="0.2">
      <c r="A75" s="2217"/>
      <c r="B75" s="2218">
        <v>56</v>
      </c>
      <c r="C75" s="2218" t="s">
        <v>74</v>
      </c>
      <c r="D75" s="2219"/>
      <c r="E75" s="2007">
        <v>350</v>
      </c>
      <c r="F75" s="2007">
        <f t="shared" ref="F75:F84" si="474">E75/10</f>
        <v>35</v>
      </c>
      <c r="G75" s="2007">
        <f t="shared" ref="G75:G76" si="475">E75/15</f>
        <v>23.333333333333332</v>
      </c>
      <c r="H75" s="2007">
        <f t="shared" ref="H75:H76" si="476">E75/20</f>
        <v>17.5</v>
      </c>
      <c r="I75" s="2007">
        <f t="shared" ref="I75:I76" si="477">E75/25</f>
        <v>14</v>
      </c>
      <c r="J75" s="2007">
        <f>E75/31</f>
        <v>11.290322580645162</v>
      </c>
      <c r="K75" s="2008">
        <f>E75/E89</f>
        <v>7.9756188639190345E-2</v>
      </c>
      <c r="L75" s="1949"/>
      <c r="M75" s="1905"/>
      <c r="N75" s="2007"/>
      <c r="O75" s="2007"/>
      <c r="P75" s="2007"/>
      <c r="Q75" s="2007"/>
      <c r="R75" s="2007"/>
      <c r="S75" s="2007">
        <f>$E$75/31</f>
        <v>11.290322580645162</v>
      </c>
      <c r="T75" s="2007"/>
      <c r="U75" s="1951"/>
      <c r="V75" s="2220">
        <f t="shared" si="52"/>
        <v>11.290322580645162</v>
      </c>
      <c r="W75" s="2221"/>
      <c r="X75" s="2222"/>
      <c r="Y75" s="1955"/>
      <c r="Z75" s="2223"/>
      <c r="AA75" s="2223"/>
      <c r="AB75" s="2223"/>
      <c r="AC75" s="2223">
        <f>$E$75/31</f>
        <v>11.290322580645162</v>
      </c>
      <c r="AD75" s="2223">
        <f>$E$75/31</f>
        <v>11.290322580645162</v>
      </c>
      <c r="AE75" s="2223">
        <f>$E$75/31</f>
        <v>11.290322580645162</v>
      </c>
      <c r="AF75" s="2223">
        <f>$E$75/31</f>
        <v>11.290322580645162</v>
      </c>
      <c r="AG75" s="1955"/>
      <c r="AH75" s="2220">
        <f t="shared" ref="AH75:AH76" si="478">SUM(Z75:AF75)</f>
        <v>45.161290322580648</v>
      </c>
      <c r="AI75" s="2221"/>
      <c r="AJ75" s="2222"/>
      <c r="AK75" s="1955"/>
      <c r="AL75" s="2223">
        <f>$E$75/31</f>
        <v>11.290322580645162</v>
      </c>
      <c r="AM75" s="2223">
        <f>$E$75/31</f>
        <v>11.290322580645162</v>
      </c>
      <c r="AN75" s="2223">
        <f>$E$75/31</f>
        <v>11.290322580645162</v>
      </c>
      <c r="AO75" s="2223">
        <f t="shared" ref="AO75:AR75" si="479">$E$75/31</f>
        <v>11.290322580645162</v>
      </c>
      <c r="AP75" s="2223">
        <f t="shared" si="479"/>
        <v>11.290322580645162</v>
      </c>
      <c r="AQ75" s="2223">
        <f t="shared" si="479"/>
        <v>11.290322580645162</v>
      </c>
      <c r="AR75" s="2223">
        <f t="shared" si="479"/>
        <v>11.290322580645162</v>
      </c>
      <c r="AS75" s="2299"/>
      <c r="AT75" s="2220">
        <f t="shared" ref="AT75:AT78" si="480">SUM(AL75:AR75)</f>
        <v>79.032258064516142</v>
      </c>
      <c r="AU75" s="2221"/>
      <c r="AV75" s="2222"/>
      <c r="AW75" s="2299"/>
      <c r="AX75" s="2223">
        <f t="shared" ref="AX75:BD75" si="481">$E$75/31</f>
        <v>11.290322580645162</v>
      </c>
      <c r="AY75" s="2223">
        <f t="shared" si="481"/>
        <v>11.290322580645162</v>
      </c>
      <c r="AZ75" s="2223">
        <f t="shared" si="481"/>
        <v>11.290322580645162</v>
      </c>
      <c r="BA75" s="2223">
        <f t="shared" si="481"/>
        <v>11.290322580645162</v>
      </c>
      <c r="BB75" s="2223">
        <f t="shared" si="481"/>
        <v>11.290322580645162</v>
      </c>
      <c r="BC75" s="2223">
        <f t="shared" si="481"/>
        <v>11.290322580645162</v>
      </c>
      <c r="BD75" s="2223">
        <f t="shared" si="481"/>
        <v>11.290322580645162</v>
      </c>
      <c r="BE75" s="2299"/>
      <c r="BF75" s="2220">
        <f t="shared" ref="BF75:BF76" si="482">SUM(AX75:BD75)</f>
        <v>79.032258064516142</v>
      </c>
      <c r="BG75" s="2221"/>
      <c r="BH75" s="2222"/>
      <c r="BI75" s="1951"/>
      <c r="BJ75" s="2007">
        <f t="shared" ref="BJ75:BL75" si="483">$E$75/31</f>
        <v>11.290322580645162</v>
      </c>
      <c r="BK75" s="2223">
        <f t="shared" si="483"/>
        <v>11.290322580645162</v>
      </c>
      <c r="BL75" s="2223">
        <f t="shared" si="483"/>
        <v>11.290322580645162</v>
      </c>
      <c r="BM75" s="1951"/>
      <c r="BN75" s="2220">
        <f>SUM(BJ75:BL75)</f>
        <v>33.870967741935488</v>
      </c>
      <c r="BO75" s="2221"/>
      <c r="BP75" s="2222"/>
      <c r="BR75" s="2007">
        <f>SUM(N75:T75)+SUM(Z75:AF75)+SUM(AL75:AR75)+SUM(AX75:BD75)+SUM(BJ75:BL75)</f>
        <v>248.38709677419359</v>
      </c>
      <c r="BS75" s="2008">
        <f>BR75/E75</f>
        <v>0.70967741935483886</v>
      </c>
      <c r="BT75" s="1959"/>
      <c r="BU75" s="2224"/>
      <c r="BV75" s="2225"/>
      <c r="BW75" s="2339"/>
      <c r="BX75" s="1950"/>
    </row>
    <row r="76" spans="1:87" s="1860" customFormat="1" ht="17.25" thickBot="1" x14ac:dyDescent="0.25">
      <c r="B76" s="1739"/>
      <c r="C76" s="1739" t="s">
        <v>153</v>
      </c>
      <c r="D76" s="2205"/>
      <c r="E76" s="1732">
        <f>E75*100/20</f>
        <v>1750</v>
      </c>
      <c r="F76" s="1732">
        <f t="shared" si="474"/>
        <v>175</v>
      </c>
      <c r="G76" s="1732">
        <f t="shared" si="475"/>
        <v>116.66666666666667</v>
      </c>
      <c r="H76" s="1732">
        <f t="shared" si="476"/>
        <v>87.5</v>
      </c>
      <c r="I76" s="1732">
        <f t="shared" si="477"/>
        <v>70</v>
      </c>
      <c r="J76" s="1732">
        <f>J75*100/20</f>
        <v>56.451612903225808</v>
      </c>
      <c r="K76" s="1882">
        <f>E76/E87</f>
        <v>7.9756188639190359E-2</v>
      </c>
      <c r="L76" s="1760"/>
      <c r="M76" s="2933"/>
      <c r="N76" s="1732"/>
      <c r="O76" s="1732"/>
      <c r="P76" s="1732"/>
      <c r="Q76" s="1732"/>
      <c r="R76" s="1732"/>
      <c r="S76" s="1732">
        <f>S75*100/20</f>
        <v>56.451612903225808</v>
      </c>
      <c r="T76" s="1732"/>
      <c r="U76" s="2935"/>
      <c r="V76" s="2226">
        <f t="shared" si="52"/>
        <v>56.451612903225808</v>
      </c>
      <c r="W76" s="2227"/>
      <c r="X76" s="2228"/>
      <c r="Y76" s="1881"/>
      <c r="Z76" s="2210"/>
      <c r="AA76" s="2210"/>
      <c r="AB76" s="2210"/>
      <c r="AC76" s="2210">
        <f>AC75*100/20</f>
        <v>56.451612903225808</v>
      </c>
      <c r="AD76" s="2210">
        <f>AD75*100/20</f>
        <v>56.451612903225808</v>
      </c>
      <c r="AE76" s="2210">
        <f>AE75*100/20</f>
        <v>56.451612903225808</v>
      </c>
      <c r="AF76" s="2210">
        <f>AF75*100/20</f>
        <v>56.451612903225808</v>
      </c>
      <c r="AG76" s="1881"/>
      <c r="AH76" s="2226">
        <f t="shared" si="478"/>
        <v>225.80645161290323</v>
      </c>
      <c r="AI76" s="2227"/>
      <c r="AJ76" s="2228"/>
      <c r="AK76" s="1881"/>
      <c r="AL76" s="2210">
        <f>AL75*100/20</f>
        <v>56.451612903225808</v>
      </c>
      <c r="AM76" s="2210">
        <f>AM75*100/20</f>
        <v>56.451612903225808</v>
      </c>
      <c r="AN76" s="2210">
        <f>AN75*100/20</f>
        <v>56.451612903225808</v>
      </c>
      <c r="AO76" s="2210">
        <f t="shared" ref="AO76:AR76" si="484">AO75*100/20</f>
        <v>56.451612903225808</v>
      </c>
      <c r="AP76" s="2210">
        <f t="shared" si="484"/>
        <v>56.451612903225808</v>
      </c>
      <c r="AQ76" s="2210">
        <f t="shared" si="484"/>
        <v>56.451612903225808</v>
      </c>
      <c r="AR76" s="2210">
        <f t="shared" si="484"/>
        <v>56.451612903225808</v>
      </c>
      <c r="AS76" s="2293"/>
      <c r="AT76" s="2226">
        <f t="shared" si="480"/>
        <v>395.16129032258061</v>
      </c>
      <c r="AU76" s="2227"/>
      <c r="AV76" s="2228"/>
      <c r="AW76" s="2293"/>
      <c r="AX76" s="2210">
        <f t="shared" ref="AX76:AY76" si="485">AX75*100/20</f>
        <v>56.451612903225808</v>
      </c>
      <c r="AY76" s="2210">
        <f t="shared" si="485"/>
        <v>56.451612903225808</v>
      </c>
      <c r="AZ76" s="2210">
        <f t="shared" ref="AZ76" si="486">AZ75*100/20</f>
        <v>56.451612903225808</v>
      </c>
      <c r="BA76" s="2210">
        <f t="shared" ref="BA76" si="487">BA75*100/20</f>
        <v>56.451612903225808</v>
      </c>
      <c r="BB76" s="2210">
        <f t="shared" ref="BB76" si="488">BB75*100/20</f>
        <v>56.451612903225808</v>
      </c>
      <c r="BC76" s="2210">
        <f t="shared" ref="BC76:BD76" si="489">BC75*100/20</f>
        <v>56.451612903225808</v>
      </c>
      <c r="BD76" s="2210">
        <f t="shared" si="489"/>
        <v>56.451612903225808</v>
      </c>
      <c r="BE76" s="2293"/>
      <c r="BF76" s="2226">
        <f t="shared" si="482"/>
        <v>395.16129032258061</v>
      </c>
      <c r="BG76" s="2227"/>
      <c r="BH76" s="2228"/>
      <c r="BI76" s="2935"/>
      <c r="BJ76" s="1732">
        <f t="shared" ref="BJ76" si="490">BJ75*100/20</f>
        <v>56.451612903225808</v>
      </c>
      <c r="BK76" s="2210">
        <f t="shared" ref="BK76" si="491">BK75*100/20</f>
        <v>56.451612903225808</v>
      </c>
      <c r="BL76" s="2210">
        <f t="shared" ref="BL76" si="492">BL75*100/20</f>
        <v>56.451612903225808</v>
      </c>
      <c r="BM76" s="2935"/>
      <c r="BN76" s="2226">
        <f>SUM(BJ76:BL76)</f>
        <v>169.35483870967744</v>
      </c>
      <c r="BO76" s="2227"/>
      <c r="BP76" s="2228"/>
      <c r="BQ76" s="1726"/>
      <c r="BR76" s="1732">
        <f>SUM(N76:T76)+SUM(Z76:AF76)+SUM(AL76:AR76)+SUM(AX76:BD76)+SUM(BJ76:BL76)</f>
        <v>1241.9354838709678</v>
      </c>
      <c r="BS76" s="1882">
        <f>BR76/E76</f>
        <v>0.70967741935483875</v>
      </c>
      <c r="BT76" s="1740"/>
      <c r="BU76" s="2229"/>
      <c r="BV76" s="2230"/>
      <c r="BW76" s="2059"/>
      <c r="BX76" s="1877"/>
      <c r="BY76" s="1726"/>
    </row>
    <row r="77" spans="1:87" s="1860" customFormat="1" ht="4.5" customHeight="1" thickBot="1" x14ac:dyDescent="0.25">
      <c r="B77" s="2231"/>
      <c r="C77" s="2231"/>
      <c r="D77" s="1861"/>
      <c r="E77" s="2232"/>
      <c r="F77" s="2232"/>
      <c r="G77" s="2232"/>
      <c r="H77" s="2232"/>
      <c r="I77" s="2232"/>
      <c r="J77" s="2232"/>
      <c r="K77" s="2233"/>
      <c r="L77" s="1760"/>
      <c r="M77" s="2933"/>
      <c r="N77" s="2232"/>
      <c r="O77" s="2232"/>
      <c r="P77" s="2232"/>
      <c r="Q77" s="2232"/>
      <c r="R77" s="2232"/>
      <c r="S77" s="2232"/>
      <c r="T77" s="2232"/>
      <c r="U77" s="2935"/>
      <c r="V77" s="2935"/>
      <c r="W77" s="2935"/>
      <c r="X77" s="2935"/>
      <c r="Y77" s="1862"/>
      <c r="Z77" s="2232"/>
      <c r="AA77" s="2232"/>
      <c r="AB77" s="2232"/>
      <c r="AC77" s="2232"/>
      <c r="AD77" s="2232"/>
      <c r="AE77" s="2232"/>
      <c r="AF77" s="2232"/>
      <c r="AG77" s="1862"/>
      <c r="AH77" s="2935"/>
      <c r="AI77" s="2935"/>
      <c r="AJ77" s="2935"/>
      <c r="AK77" s="1862"/>
      <c r="AL77" s="2232"/>
      <c r="AM77" s="2232"/>
      <c r="AN77" s="2232"/>
      <c r="AO77" s="2232"/>
      <c r="AP77" s="2232"/>
      <c r="AQ77" s="2232"/>
      <c r="AR77" s="2232"/>
      <c r="AS77" s="2935"/>
      <c r="AT77" s="2935"/>
      <c r="AU77" s="2935"/>
      <c r="AV77" s="2935"/>
      <c r="AW77" s="2935"/>
      <c r="AX77" s="2232"/>
      <c r="AY77" s="2232"/>
      <c r="AZ77" s="2232"/>
      <c r="BA77" s="2232"/>
      <c r="BB77" s="2232"/>
      <c r="BC77" s="2232"/>
      <c r="BD77" s="2232"/>
      <c r="BE77" s="2935"/>
      <c r="BF77" s="2935"/>
      <c r="BG77" s="2935"/>
      <c r="BH77" s="2935"/>
      <c r="BI77" s="2935"/>
      <c r="BJ77" s="2232"/>
      <c r="BK77" s="2232"/>
      <c r="BL77" s="2232"/>
      <c r="BM77" s="2935"/>
      <c r="BN77" s="2935"/>
      <c r="BO77" s="2935"/>
      <c r="BP77" s="2935"/>
      <c r="BQ77" s="1726"/>
      <c r="BR77" s="2232"/>
      <c r="BS77" s="2233"/>
      <c r="BT77" s="1740"/>
      <c r="BU77" s="2935"/>
      <c r="BV77" s="2059"/>
      <c r="BW77" s="2059"/>
      <c r="BX77" s="1877"/>
      <c r="BY77" s="1726"/>
    </row>
    <row r="78" spans="1:87" s="1885" customFormat="1" ht="17.25" thickBot="1" x14ac:dyDescent="0.25">
      <c r="B78" s="2117"/>
      <c r="C78" s="2212" t="s">
        <v>154</v>
      </c>
      <c r="D78" s="2119"/>
      <c r="E78" s="2123"/>
      <c r="F78" s="2121"/>
      <c r="G78" s="2121"/>
      <c r="H78" s="2121"/>
      <c r="I78" s="2121"/>
      <c r="J78" s="2121"/>
      <c r="K78" s="2129"/>
      <c r="L78" s="2213"/>
      <c r="M78" s="2214"/>
      <c r="N78" s="2120"/>
      <c r="O78" s="2121"/>
      <c r="P78" s="2121"/>
      <c r="Q78" s="2121"/>
      <c r="R78" s="2121"/>
      <c r="S78" s="2121">
        <f t="shared" ref="S78" si="493">IF(S73&gt;$J$75,S73-S75,IF(S73&lt;$J$75,(IF(S73&lt;0,-11.667,S73-S75))))</f>
        <v>-11.667</v>
      </c>
      <c r="T78" s="2124"/>
      <c r="U78" s="1951"/>
      <c r="V78" s="2120">
        <f>SUM(N78:T78)</f>
        <v>-11.667</v>
      </c>
      <c r="W78" s="2123"/>
      <c r="X78" s="2124"/>
      <c r="Y78" s="1956"/>
      <c r="Z78" s="2120"/>
      <c r="AA78" s="2121"/>
      <c r="AB78" s="2121"/>
      <c r="AC78" s="2121">
        <f t="shared" ref="AC78:AD78" si="494">IF(AC73&gt;$J$75,AC73-AC75,IF(AC73&lt;$J$75,(IF(AC73&lt;0,-11.667,AC73-AC75))))</f>
        <v>-11.667</v>
      </c>
      <c r="AD78" s="2121">
        <f t="shared" si="494"/>
        <v>-11.667</v>
      </c>
      <c r="AE78" s="2121">
        <f t="shared" ref="AE78" si="495">IF(AE73&gt;$J$75,AE73-AE75,IF(AE73&lt;$J$75,(IF(AE73&lt;0,-11.667,AE73-AE75))))</f>
        <v>-11.667</v>
      </c>
      <c r="AF78" s="2121">
        <f t="shared" ref="AF78" si="496">IF(AF73&gt;$J$75,AF73-AF75,IF(AF73&lt;$J$75,(IF(AF73&lt;0,-11.667,AF73-AF75))))</f>
        <v>-11.667</v>
      </c>
      <c r="AG78" s="1956"/>
      <c r="AH78" s="2120">
        <f>SUM(Z78:AF78)</f>
        <v>-46.667999999999999</v>
      </c>
      <c r="AI78" s="2123"/>
      <c r="AJ78" s="2124"/>
      <c r="AK78" s="1955"/>
      <c r="AL78" s="2120">
        <f t="shared" ref="AL78:AM78" si="497">IF(AL73&gt;$J$75,AL73-AL75,IF(AL73&lt;$J$75,(IF(AL73&lt;0,-11.667,AL73-AL75))))</f>
        <v>-11.667</v>
      </c>
      <c r="AM78" s="2121">
        <f t="shared" si="497"/>
        <v>-11.667</v>
      </c>
      <c r="AN78" s="2121">
        <f t="shared" ref="AN78:AQ78" si="498">IF(AN73&gt;$J$75,AN73-AN75,IF(AN73&lt;$J$75,(IF(AN73&lt;0,-11.667,AN73-AN75))))</f>
        <v>-11.667</v>
      </c>
      <c r="AO78" s="2121">
        <f t="shared" si="498"/>
        <v>-11.667</v>
      </c>
      <c r="AP78" s="2121">
        <f t="shared" si="498"/>
        <v>-11.667</v>
      </c>
      <c r="AQ78" s="2121">
        <f t="shared" si="498"/>
        <v>-11.667</v>
      </c>
      <c r="AR78" s="2124">
        <f t="shared" ref="AR78" si="499">IF(AR73&gt;$J$75,AR73-AR75,IF(AR73&lt;$J$75,(IF(AR73&lt;0,-11.667,AR73-AR75))))</f>
        <v>-11.667</v>
      </c>
      <c r="AS78" s="2254"/>
      <c r="AT78" s="2120">
        <f t="shared" si="480"/>
        <v>-81.668999999999997</v>
      </c>
      <c r="AU78" s="2123"/>
      <c r="AV78" s="2124"/>
      <c r="AW78" s="1951"/>
      <c r="AX78" s="2120">
        <f t="shared" ref="AX78" si="500">IF(AX73&gt;$J$75,AX73-AX75,IF(AX73&lt;$J$75,(IF(AX73&lt;0,-11.667,AX73-AX75))))</f>
        <v>-11.667</v>
      </c>
      <c r="AY78" s="2123">
        <f t="shared" ref="AY78:BC78" si="501">IF(AY73&gt;$J$75,AY73-AY75,IF(AY73&lt;$J$75,(IF(AY73&lt;0,-11.667,AY73-AY75))))</f>
        <v>-11.667</v>
      </c>
      <c r="AZ78" s="2123">
        <f t="shared" si="501"/>
        <v>-11.667</v>
      </c>
      <c r="BA78" s="2123">
        <f t="shared" si="501"/>
        <v>-11.667</v>
      </c>
      <c r="BB78" s="2123">
        <f t="shared" si="501"/>
        <v>-11.667</v>
      </c>
      <c r="BC78" s="2123">
        <f t="shared" si="501"/>
        <v>-11.667</v>
      </c>
      <c r="BD78" s="2124">
        <f t="shared" ref="BD78" si="502">IF(BD73&gt;$J$75,BD73-BD75,IF(BD73&lt;$J$75,(IF(BD73&lt;0,-11.667,BD73-BD75))))</f>
        <v>-11.667</v>
      </c>
      <c r="BE78" s="1951"/>
      <c r="BF78" s="2120">
        <f t="shared" ref="BF78" si="503">SUM(AX78:BD78)</f>
        <v>-81.668999999999997</v>
      </c>
      <c r="BG78" s="2123"/>
      <c r="BH78" s="2124"/>
      <c r="BI78" s="1900"/>
      <c r="BJ78" s="2120">
        <f t="shared" ref="BJ78:BL78" si="504">IF(BJ73&gt;$J$75,BJ73-BJ75,IF(BJ73&lt;$J$75,(IF(BJ73&lt;0,-11.667,BJ73-BJ75))))</f>
        <v>-11.667</v>
      </c>
      <c r="BK78" s="2123">
        <f t="shared" si="504"/>
        <v>-11.667</v>
      </c>
      <c r="BL78" s="2123">
        <f t="shared" si="504"/>
        <v>-11.667</v>
      </c>
      <c r="BM78" s="2317"/>
      <c r="BN78" s="2215">
        <f>SUM(BJ78:BL78)</f>
        <v>-35.000999999999998</v>
      </c>
      <c r="BO78" s="2318"/>
      <c r="BP78" s="2118"/>
      <c r="BQ78" s="1897"/>
      <c r="BR78" s="2215">
        <f>SUM(N78:T78)+SUM(Z78:AF78)+SUM(AL78:AR78)+SUM(AX78:BD78)+SUM(BJ78:BL78)</f>
        <v>-256.67399999999998</v>
      </c>
      <c r="BS78" s="2130">
        <f>BR78/E75</f>
        <v>-0.73335428571428563</v>
      </c>
      <c r="BT78" s="1900"/>
      <c r="BU78" s="1900"/>
      <c r="BV78" s="1900"/>
      <c r="BW78" s="2011"/>
    </row>
    <row r="79" spans="1:87" s="1756" customFormat="1" ht="17.25" thickBot="1" x14ac:dyDescent="0.25">
      <c r="B79" s="1817"/>
      <c r="C79" s="1817"/>
      <c r="D79" s="1817"/>
      <c r="E79" s="1814"/>
      <c r="F79" s="1814"/>
      <c r="G79" s="1814"/>
      <c r="H79" s="1814"/>
      <c r="I79" s="1814"/>
      <c r="J79" s="1814"/>
      <c r="K79" s="1818"/>
      <c r="L79" s="2216"/>
      <c r="M79" s="2055"/>
      <c r="N79" s="1814"/>
      <c r="O79" s="1814"/>
      <c r="P79" s="1814"/>
      <c r="Q79" s="1814"/>
      <c r="R79" s="1814"/>
      <c r="S79" s="1814"/>
      <c r="T79" s="1814"/>
      <c r="U79" s="1814"/>
      <c r="V79" s="1814"/>
      <c r="W79" s="1814"/>
      <c r="X79" s="1814"/>
      <c r="Y79" s="1766"/>
      <c r="Z79" s="1814"/>
      <c r="AA79" s="1814"/>
      <c r="AB79" s="1814"/>
      <c r="AC79" s="1814"/>
      <c r="AD79" s="1814"/>
      <c r="AE79" s="1814"/>
      <c r="AF79" s="1814"/>
      <c r="AG79" s="1766"/>
      <c r="AH79" s="1814"/>
      <c r="AI79" s="1814"/>
      <c r="AJ79" s="1814"/>
      <c r="AK79" s="1766"/>
      <c r="AL79" s="1814"/>
      <c r="AM79" s="1814"/>
      <c r="AN79" s="1814"/>
      <c r="AO79" s="1814"/>
      <c r="AP79" s="1814"/>
      <c r="AQ79" s="1814"/>
      <c r="AR79" s="1814"/>
      <c r="AS79" s="1814"/>
      <c r="AT79" s="1814"/>
      <c r="AU79" s="1814"/>
      <c r="AV79" s="1814"/>
      <c r="AW79" s="1814"/>
      <c r="AX79" s="1814"/>
      <c r="AY79" s="1814"/>
      <c r="AZ79" s="1814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814"/>
      <c r="BP79" s="1814"/>
      <c r="BQ79" s="1766"/>
      <c r="BR79" s="1814"/>
      <c r="BS79" s="1830"/>
      <c r="BT79" s="2928"/>
      <c r="BU79" s="2928"/>
      <c r="BV79" s="2928"/>
      <c r="BW79" s="1817"/>
    </row>
    <row r="80" spans="1:87" s="1860" customFormat="1" x14ac:dyDescent="0.2">
      <c r="B80" s="4649"/>
      <c r="C80" s="4647" t="s">
        <v>213</v>
      </c>
      <c r="D80" s="1861"/>
      <c r="E80" s="4645">
        <f>C40</f>
        <v>10189.370967741936</v>
      </c>
      <c r="F80" s="2657"/>
      <c r="G80" s="2658"/>
      <c r="H80" s="2659"/>
      <c r="I80" s="2660"/>
      <c r="J80" s="4643">
        <f>E80/31</f>
        <v>328.68938605619149</v>
      </c>
      <c r="K80" s="4641">
        <f>J80*20%</f>
        <v>65.737877211238299</v>
      </c>
      <c r="L80" s="2216"/>
      <c r="M80" s="2055"/>
      <c r="N80" s="4628">
        <f>IF(N44&gt;0,"0.000",N44)</f>
        <v>0</v>
      </c>
      <c r="O80" s="4630">
        <f t="shared" ref="O80:T80" si="505">IF(O44&gt;0,"0.000",O44)</f>
        <v>0</v>
      </c>
      <c r="P80" s="4630">
        <f t="shared" si="505"/>
        <v>0</v>
      </c>
      <c r="Q80" s="4630">
        <f t="shared" si="505"/>
        <v>0</v>
      </c>
      <c r="R80" s="4630">
        <f t="shared" si="505"/>
        <v>0</v>
      </c>
      <c r="S80" s="4630">
        <f t="shared" si="505"/>
        <v>-29.315322580645159</v>
      </c>
      <c r="T80" s="4632">
        <f t="shared" si="505"/>
        <v>0</v>
      </c>
      <c r="U80" s="2935"/>
      <c r="V80" s="4628">
        <f t="shared" si="52"/>
        <v>-29.315322580645159</v>
      </c>
      <c r="W80" s="4630"/>
      <c r="X80" s="4632"/>
      <c r="Y80" s="1862"/>
      <c r="Z80" s="4628">
        <f t="shared" ref="Z80:AF80" si="506">IF(Z44&gt;0,"0.000",Z44)</f>
        <v>0</v>
      </c>
      <c r="AA80" s="4630">
        <f t="shared" si="506"/>
        <v>0</v>
      </c>
      <c r="AB80" s="4630">
        <f t="shared" si="506"/>
        <v>0</v>
      </c>
      <c r="AC80" s="4630">
        <f t="shared" si="506"/>
        <v>-34.444322580645157</v>
      </c>
      <c r="AD80" s="4630">
        <f t="shared" si="506"/>
        <v>-25.152322580645158</v>
      </c>
      <c r="AE80" s="4630">
        <f t="shared" si="506"/>
        <v>-29.748322580645159</v>
      </c>
      <c r="AF80" s="4632">
        <f t="shared" si="506"/>
        <v>-4.6128225806451582</v>
      </c>
      <c r="AG80" s="1862"/>
      <c r="AH80" s="4628">
        <f t="shared" ref="AH80:AH85" si="507">SUM(Z80:AF80)</f>
        <v>-93.957790322580635</v>
      </c>
      <c r="AI80" s="4630"/>
      <c r="AJ80" s="4632"/>
      <c r="AK80" s="1862"/>
      <c r="AL80" s="4628">
        <f t="shared" ref="AL80:AR80" si="508">IF(AL44&gt;0,"0.000",AL44)</f>
        <v>-9.5803225806451593</v>
      </c>
      <c r="AM80" s="4630">
        <f t="shared" si="508"/>
        <v>-3.920822580645158</v>
      </c>
      <c r="AN80" s="4630">
        <f t="shared" si="508"/>
        <v>-16.059322580645158</v>
      </c>
      <c r="AO80" s="4630">
        <f t="shared" si="508"/>
        <v>-6.672322580645158</v>
      </c>
      <c r="AP80" s="4630">
        <f t="shared" si="508"/>
        <v>-17.63632258064516</v>
      </c>
      <c r="AQ80" s="4630">
        <f t="shared" si="508"/>
        <v>-15.38782258064516</v>
      </c>
      <c r="AR80" s="4632">
        <f t="shared" si="508"/>
        <v>-38.531822580645155</v>
      </c>
      <c r="AS80" s="2935"/>
      <c r="AT80" s="4628">
        <f t="shared" ref="AT80:AT85" si="509">SUM(AL80:AR80)</f>
        <v>-107.78875806451612</v>
      </c>
      <c r="AU80" s="4630"/>
      <c r="AV80" s="4632"/>
      <c r="AW80" s="2935"/>
      <c r="AX80" s="4628">
        <f t="shared" ref="AX80:BD80" si="510">IF(AX44&gt;0,"0.000",AX44)</f>
        <v>-22.091822580645157</v>
      </c>
      <c r="AY80" s="4630" t="str">
        <f t="shared" si="510"/>
        <v>0.000</v>
      </c>
      <c r="AZ80" s="4630" t="str">
        <f t="shared" si="510"/>
        <v>0.000</v>
      </c>
      <c r="BA80" s="4630" t="str">
        <f t="shared" si="510"/>
        <v>0.000</v>
      </c>
      <c r="BB80" s="4630" t="str">
        <f t="shared" si="510"/>
        <v>0.000</v>
      </c>
      <c r="BC80" s="4630">
        <f t="shared" si="510"/>
        <v>-17.280322580645159</v>
      </c>
      <c r="BD80" s="4632">
        <f t="shared" si="510"/>
        <v>-11.863822580645156</v>
      </c>
      <c r="BE80" s="2935"/>
      <c r="BF80" s="4628">
        <f t="shared" ref="BF80:BF85" si="511">SUM(AX80:BD80)</f>
        <v>-51.235967741935475</v>
      </c>
      <c r="BG80" s="4630"/>
      <c r="BH80" s="4632"/>
      <c r="BI80" s="2935"/>
      <c r="BJ80" s="4628">
        <f>IF(BJ44&gt;0,"0.000",BJ44)</f>
        <v>-19.333822580645158</v>
      </c>
      <c r="BK80" s="4630" t="str">
        <f>IF(BK44&gt;0,"0.000",BK44)</f>
        <v>0.000</v>
      </c>
      <c r="BL80" s="4632" t="str">
        <f>IF(BL44&gt;0,"0.000",BL44)</f>
        <v>0.000</v>
      </c>
      <c r="BM80" s="2935"/>
      <c r="BN80" s="4628">
        <f>SUM(BJ80:BL80)</f>
        <v>-19.333822580645158</v>
      </c>
      <c r="BO80" s="4630"/>
      <c r="BP80" s="4632"/>
      <c r="BQ80" s="1726"/>
      <c r="BR80" s="4628">
        <f>SUM(N80:T80)+SUM(Z80:AF80)+SUM(AL80:AR80)+SUM(AX80:BD80)+SUM(BJ80:BL80)</f>
        <v>-301.6316612903226</v>
      </c>
      <c r="BS80" s="4632"/>
      <c r="BT80" s="1740"/>
      <c r="BU80" s="2935"/>
      <c r="BV80" s="1997"/>
      <c r="BW80" s="1997"/>
      <c r="BX80" s="2933"/>
    </row>
    <row r="81" spans="2:76" s="1946" customFormat="1" ht="17.25" thickBot="1" x14ac:dyDescent="0.25">
      <c r="B81" s="4650"/>
      <c r="C81" s="4648"/>
      <c r="D81" s="2011"/>
      <c r="E81" s="4646"/>
      <c r="F81" s="2375"/>
      <c r="G81" s="2376"/>
      <c r="H81" s="2377"/>
      <c r="I81" s="2378"/>
      <c r="J81" s="4644"/>
      <c r="K81" s="4642"/>
      <c r="L81" s="2213"/>
      <c r="M81" s="2214"/>
      <c r="N81" s="4629"/>
      <c r="O81" s="4631"/>
      <c r="P81" s="4631"/>
      <c r="Q81" s="4631"/>
      <c r="R81" s="4631"/>
      <c r="S81" s="4631"/>
      <c r="T81" s="4633"/>
      <c r="U81" s="2930"/>
      <c r="V81" s="4629"/>
      <c r="W81" s="4631"/>
      <c r="X81" s="4633"/>
      <c r="Y81" s="1897"/>
      <c r="Z81" s="4629"/>
      <c r="AA81" s="4631"/>
      <c r="AB81" s="4631"/>
      <c r="AC81" s="4631"/>
      <c r="AD81" s="4631"/>
      <c r="AE81" s="4631"/>
      <c r="AF81" s="4633"/>
      <c r="AG81" s="1897"/>
      <c r="AH81" s="4629"/>
      <c r="AI81" s="4631"/>
      <c r="AJ81" s="4633"/>
      <c r="AK81" s="1897"/>
      <c r="AL81" s="4629"/>
      <c r="AM81" s="4631"/>
      <c r="AN81" s="4631"/>
      <c r="AO81" s="4631"/>
      <c r="AP81" s="4631"/>
      <c r="AQ81" s="4631"/>
      <c r="AR81" s="4633"/>
      <c r="AS81" s="2930"/>
      <c r="AT81" s="4629"/>
      <c r="AU81" s="4631"/>
      <c r="AV81" s="4633"/>
      <c r="AW81" s="2930"/>
      <c r="AX81" s="4629"/>
      <c r="AY81" s="4631"/>
      <c r="AZ81" s="4631"/>
      <c r="BA81" s="4631"/>
      <c r="BB81" s="4631"/>
      <c r="BC81" s="4631"/>
      <c r="BD81" s="4633"/>
      <c r="BE81" s="2930"/>
      <c r="BF81" s="4629"/>
      <c r="BG81" s="4631"/>
      <c r="BH81" s="4633"/>
      <c r="BI81" s="2930"/>
      <c r="BJ81" s="4629"/>
      <c r="BK81" s="4631"/>
      <c r="BL81" s="4633"/>
      <c r="BM81" s="2930"/>
      <c r="BN81" s="4629"/>
      <c r="BO81" s="4631"/>
      <c r="BP81" s="4633"/>
      <c r="BQ81" s="1885"/>
      <c r="BR81" s="4629"/>
      <c r="BS81" s="4633"/>
      <c r="BT81" s="1900"/>
      <c r="BU81" s="2930"/>
      <c r="BV81" s="2010"/>
      <c r="BW81" s="2010"/>
      <c r="BX81" s="2929"/>
    </row>
    <row r="82" spans="2:76" s="1860" customFormat="1" ht="5.25" customHeight="1" thickBot="1" x14ac:dyDescent="0.25">
      <c r="B82" s="1861"/>
      <c r="C82" s="1861"/>
      <c r="D82" s="1861"/>
      <c r="E82" s="1814"/>
      <c r="F82" s="2367"/>
      <c r="G82" s="2368"/>
      <c r="H82" s="2369"/>
      <c r="I82" s="2370"/>
      <c r="J82" s="1814"/>
      <c r="K82" s="1818"/>
      <c r="L82" s="2055"/>
      <c r="M82" s="2055"/>
      <c r="N82" s="2935"/>
      <c r="O82" s="2935"/>
      <c r="P82" s="2935"/>
      <c r="Q82" s="2935"/>
      <c r="R82" s="2935"/>
      <c r="S82" s="2935"/>
      <c r="T82" s="2935"/>
      <c r="U82" s="2935"/>
      <c r="V82" s="2935"/>
      <c r="W82" s="2935"/>
      <c r="X82" s="2935"/>
      <c r="Y82" s="1862"/>
      <c r="Z82" s="2935"/>
      <c r="AA82" s="2935"/>
      <c r="AB82" s="2935"/>
      <c r="AC82" s="2935"/>
      <c r="AD82" s="2935"/>
      <c r="AE82" s="2935"/>
      <c r="AF82" s="2935"/>
      <c r="AG82" s="1862"/>
      <c r="AH82" s="2935"/>
      <c r="AI82" s="2935"/>
      <c r="AJ82" s="2935"/>
      <c r="AK82" s="1862"/>
      <c r="AL82" s="2935"/>
      <c r="AM82" s="2935"/>
      <c r="AN82" s="2935"/>
      <c r="AO82" s="2935"/>
      <c r="AP82" s="2935"/>
      <c r="AQ82" s="2935"/>
      <c r="AR82" s="2935"/>
      <c r="AS82" s="2935"/>
      <c r="AT82" s="2935"/>
      <c r="AU82" s="2935"/>
      <c r="AV82" s="2935"/>
      <c r="AW82" s="2935"/>
      <c r="AX82" s="2935"/>
      <c r="AY82" s="2935"/>
      <c r="AZ82" s="2935"/>
      <c r="BA82" s="2935"/>
      <c r="BB82" s="2935"/>
      <c r="BC82" s="2935"/>
      <c r="BD82" s="2935"/>
      <c r="BE82" s="2935"/>
      <c r="BF82" s="2935"/>
      <c r="BG82" s="2935"/>
      <c r="BH82" s="2935"/>
      <c r="BI82" s="2935"/>
      <c r="BJ82" s="2935"/>
      <c r="BK82" s="2935"/>
      <c r="BL82" s="2935"/>
      <c r="BM82" s="2935"/>
      <c r="BN82" s="2935"/>
      <c r="BO82" s="2935"/>
      <c r="BP82" s="2935"/>
      <c r="BR82" s="2935"/>
      <c r="BS82" s="2935"/>
      <c r="BT82" s="1861"/>
      <c r="BU82" s="2935"/>
      <c r="BV82" s="1997"/>
      <c r="BW82" s="1997"/>
      <c r="BX82" s="2933"/>
    </row>
    <row r="83" spans="2:76" s="1726" customFormat="1" x14ac:dyDescent="0.2">
      <c r="B83" s="2655"/>
      <c r="C83" s="2656" t="s">
        <v>143</v>
      </c>
      <c r="D83" s="1861"/>
      <c r="E83" s="1771">
        <f>E72</f>
        <v>10002.5</v>
      </c>
      <c r="F83" s="2657">
        <f t="shared" si="474"/>
        <v>1000.25</v>
      </c>
      <c r="G83" s="2658">
        <f t="shared" ref="G83:G84" si="512">E83/15</f>
        <v>666.83333333333337</v>
      </c>
      <c r="H83" s="2659">
        <f t="shared" ref="H83:H84" si="513">E83/20</f>
        <v>500.125</v>
      </c>
      <c r="I83" s="2660">
        <f t="shared" ref="I83:I84" si="514">E83/25</f>
        <v>400.1</v>
      </c>
      <c r="J83" s="2661">
        <f>E83/31</f>
        <v>322.66129032258067</v>
      </c>
      <c r="K83" s="1773">
        <f>J83*20%</f>
        <v>64.532258064516142</v>
      </c>
      <c r="L83" s="2216"/>
      <c r="M83" s="2055"/>
      <c r="N83" s="2207">
        <f>IF(N73&gt;0,"0.000",N73)</f>
        <v>0</v>
      </c>
      <c r="O83" s="2662">
        <f>IF(O73&gt;0,"0.000",O73)</f>
        <v>0</v>
      </c>
      <c r="P83" s="2662">
        <f t="shared" ref="P83:T83" si="515">IF(P73&gt;0,"0.000",P73)</f>
        <v>0</v>
      </c>
      <c r="Q83" s="2662">
        <f t="shared" si="515"/>
        <v>0</v>
      </c>
      <c r="R83" s="2662">
        <f t="shared" si="515"/>
        <v>0</v>
      </c>
      <c r="S83" s="2662">
        <f t="shared" si="515"/>
        <v>-65.542000000000002</v>
      </c>
      <c r="T83" s="2277">
        <f t="shared" si="515"/>
        <v>0</v>
      </c>
      <c r="U83" s="2935"/>
      <c r="V83" s="2207">
        <f t="shared" ref="V83:V85" si="516">SUM(N83:T83)</f>
        <v>-65.542000000000002</v>
      </c>
      <c r="W83" s="2662"/>
      <c r="X83" s="2277"/>
      <c r="Y83" s="1862"/>
      <c r="Z83" s="2207">
        <f t="shared" ref="Z83:AF83" si="517">IF(Z73&gt;0,"0.000",Z73)</f>
        <v>0</v>
      </c>
      <c r="AA83" s="2662">
        <f t="shared" si="517"/>
        <v>0</v>
      </c>
      <c r="AB83" s="2662">
        <f t="shared" si="517"/>
        <v>0</v>
      </c>
      <c r="AC83" s="2662">
        <f t="shared" si="517"/>
        <v>-65.542000000000002</v>
      </c>
      <c r="AD83" s="2662">
        <f t="shared" si="517"/>
        <v>-65.542000000000002</v>
      </c>
      <c r="AE83" s="2662">
        <f t="shared" si="517"/>
        <v>-65.542000000000002</v>
      </c>
      <c r="AF83" s="2277">
        <f t="shared" si="517"/>
        <v>-65.542000000000002</v>
      </c>
      <c r="AG83" s="1862"/>
      <c r="AH83" s="2207">
        <f>SUM(Z83:AF83)</f>
        <v>-262.16800000000001</v>
      </c>
      <c r="AI83" s="2662"/>
      <c r="AJ83" s="2277"/>
      <c r="AK83" s="1862"/>
      <c r="AL83" s="2207">
        <f t="shared" ref="AL83:AR83" si="518">IF(AL73&gt;0,"0.000",AL73)</f>
        <v>-65.542000000000002</v>
      </c>
      <c r="AM83" s="2662">
        <f t="shared" si="518"/>
        <v>-65.542000000000002</v>
      </c>
      <c r="AN83" s="2662">
        <f t="shared" si="518"/>
        <v>-65.542000000000002</v>
      </c>
      <c r="AO83" s="2662">
        <f t="shared" si="518"/>
        <v>-65.542000000000002</v>
      </c>
      <c r="AP83" s="2662">
        <f t="shared" si="518"/>
        <v>-65.542000000000002</v>
      </c>
      <c r="AQ83" s="2662">
        <f t="shared" si="518"/>
        <v>-65.542000000000002</v>
      </c>
      <c r="AR83" s="2277">
        <f t="shared" si="518"/>
        <v>-65.542000000000002</v>
      </c>
      <c r="AS83" s="2935"/>
      <c r="AT83" s="2207">
        <f t="shared" si="509"/>
        <v>-458.7940000000001</v>
      </c>
      <c r="AU83" s="2662"/>
      <c r="AV83" s="2277"/>
      <c r="AW83" s="2935"/>
      <c r="AX83" s="2207">
        <f t="shared" ref="AX83:BD83" si="519">IF(AX73&gt;0,"0.000",AX73)</f>
        <v>-65.542000000000002</v>
      </c>
      <c r="AY83" s="2662">
        <f t="shared" si="519"/>
        <v>-51.210580645161286</v>
      </c>
      <c r="AZ83" s="2662">
        <f t="shared" si="519"/>
        <v>-44.04858064516128</v>
      </c>
      <c r="BA83" s="2662">
        <f t="shared" si="519"/>
        <v>-4.7390806451612804</v>
      </c>
      <c r="BB83" s="2662">
        <f t="shared" si="519"/>
        <v>-53.677419354838712</v>
      </c>
      <c r="BC83" s="2662">
        <f t="shared" si="519"/>
        <v>-65.542000000000002</v>
      </c>
      <c r="BD83" s="2277">
        <f t="shared" si="519"/>
        <v>-65.542000000000002</v>
      </c>
      <c r="BE83" s="2935"/>
      <c r="BF83" s="2207">
        <f t="shared" si="511"/>
        <v>-350.30166129032261</v>
      </c>
      <c r="BG83" s="2662"/>
      <c r="BH83" s="2277"/>
      <c r="BI83" s="2935"/>
      <c r="BJ83" s="2207">
        <f>IF(BJ73&gt;0,"0.000",BJ73)</f>
        <v>-65.542000000000002</v>
      </c>
      <c r="BK83" s="2964">
        <f>IF(BK73&gt;0,"0.000",BK73)</f>
        <v>-9.0240806451612912</v>
      </c>
      <c r="BL83" s="2209">
        <f>IF(BL73&gt;0,"0.000",BL73)</f>
        <v>-53.677419354838712</v>
      </c>
      <c r="BM83" s="2935"/>
      <c r="BN83" s="2207">
        <f>SUM(BJ83:BL83)</f>
        <v>-128.24350000000001</v>
      </c>
      <c r="BO83" s="2662"/>
      <c r="BP83" s="2277"/>
      <c r="BR83" s="2663">
        <f>SUM(N83:T83)+SUM(Z83:AF83)+SUM(AL83:AR83)+SUM(AX83:BD83)+SUM(BJ83:BL83)</f>
        <v>-1265.0491612903229</v>
      </c>
      <c r="BS83" s="2277"/>
      <c r="BT83" s="1740"/>
      <c r="BU83" s="2935"/>
      <c r="BV83" s="2246"/>
      <c r="BW83" s="2246"/>
      <c r="BX83" s="2247"/>
    </row>
    <row r="84" spans="2:76" s="1885" customFormat="1" ht="17.25" thickBot="1" x14ac:dyDescent="0.25">
      <c r="B84" s="2703"/>
      <c r="C84" s="2704" t="s">
        <v>178</v>
      </c>
      <c r="D84" s="2011"/>
      <c r="E84" s="2705">
        <f>E76</f>
        <v>1750</v>
      </c>
      <c r="F84" s="2706">
        <f t="shared" si="474"/>
        <v>175</v>
      </c>
      <c r="G84" s="2707">
        <f t="shared" si="512"/>
        <v>116.66666666666667</v>
      </c>
      <c r="H84" s="2708">
        <f t="shared" si="513"/>
        <v>87.5</v>
      </c>
      <c r="I84" s="2709">
        <f t="shared" si="514"/>
        <v>70</v>
      </c>
      <c r="J84" s="2710">
        <f>E84/31</f>
        <v>56.451612903225808</v>
      </c>
      <c r="K84" s="2711">
        <f>J84*20%</f>
        <v>11.290322580645162</v>
      </c>
      <c r="L84" s="2213"/>
      <c r="M84" s="2214"/>
      <c r="N84" s="2244">
        <f>IF(N78&gt;0,"0.000",N78)</f>
        <v>0</v>
      </c>
      <c r="O84" s="1898">
        <f t="shared" ref="O84:T84" si="520">IF(O78&gt;0,"0.000",O78)</f>
        <v>0</v>
      </c>
      <c r="P84" s="1898">
        <f t="shared" si="520"/>
        <v>0</v>
      </c>
      <c r="Q84" s="1898">
        <f t="shared" si="520"/>
        <v>0</v>
      </c>
      <c r="R84" s="1898">
        <f t="shared" si="520"/>
        <v>0</v>
      </c>
      <c r="S84" s="1898">
        <f t="shared" si="520"/>
        <v>-11.667</v>
      </c>
      <c r="T84" s="2245">
        <f t="shared" si="520"/>
        <v>0</v>
      </c>
      <c r="U84" s="2930"/>
      <c r="V84" s="2244">
        <f t="shared" si="516"/>
        <v>-11.667</v>
      </c>
      <c r="W84" s="1898"/>
      <c r="X84" s="2245"/>
      <c r="Y84" s="1897"/>
      <c r="Z84" s="2244">
        <f t="shared" ref="Z84:AF84" si="521">IF(Z78&gt;0,"0.000",Z78)</f>
        <v>0</v>
      </c>
      <c r="AA84" s="1898">
        <f t="shared" si="521"/>
        <v>0</v>
      </c>
      <c r="AB84" s="1898">
        <f t="shared" si="521"/>
        <v>0</v>
      </c>
      <c r="AC84" s="1898">
        <f t="shared" si="521"/>
        <v>-11.667</v>
      </c>
      <c r="AD84" s="1898">
        <f t="shared" si="521"/>
        <v>-11.667</v>
      </c>
      <c r="AE84" s="1898">
        <f t="shared" si="521"/>
        <v>-11.667</v>
      </c>
      <c r="AF84" s="2245">
        <f t="shared" si="521"/>
        <v>-11.667</v>
      </c>
      <c r="AG84" s="1897"/>
      <c r="AH84" s="2244">
        <f t="shared" si="507"/>
        <v>-46.667999999999999</v>
      </c>
      <c r="AI84" s="1898"/>
      <c r="AJ84" s="2245"/>
      <c r="AK84" s="1897"/>
      <c r="AL84" s="2244">
        <f t="shared" ref="AL84:AR84" si="522">IF(AL78&gt;0,"0.000",AL78)</f>
        <v>-11.667</v>
      </c>
      <c r="AM84" s="1898">
        <f t="shared" si="522"/>
        <v>-11.667</v>
      </c>
      <c r="AN84" s="1898">
        <f t="shared" si="522"/>
        <v>-11.667</v>
      </c>
      <c r="AO84" s="1898">
        <f t="shared" si="522"/>
        <v>-11.667</v>
      </c>
      <c r="AP84" s="1898">
        <f t="shared" si="522"/>
        <v>-11.667</v>
      </c>
      <c r="AQ84" s="1898">
        <f t="shared" si="522"/>
        <v>-11.667</v>
      </c>
      <c r="AR84" s="2245">
        <f t="shared" si="522"/>
        <v>-11.667</v>
      </c>
      <c r="AS84" s="2930"/>
      <c r="AT84" s="2244">
        <f t="shared" si="509"/>
        <v>-81.668999999999997</v>
      </c>
      <c r="AU84" s="1898"/>
      <c r="AV84" s="2245"/>
      <c r="AW84" s="2930"/>
      <c r="AX84" s="2244">
        <f t="shared" ref="AX84:BD84" si="523">IF(AX78&gt;0,"0.000",AX78)</f>
        <v>-11.667</v>
      </c>
      <c r="AY84" s="1898">
        <f t="shared" si="523"/>
        <v>-11.667</v>
      </c>
      <c r="AZ84" s="1898">
        <f t="shared" si="523"/>
        <v>-11.667</v>
      </c>
      <c r="BA84" s="1898">
        <f t="shared" si="523"/>
        <v>-11.667</v>
      </c>
      <c r="BB84" s="1898">
        <f t="shared" si="523"/>
        <v>-11.667</v>
      </c>
      <c r="BC84" s="1898">
        <f t="shared" si="523"/>
        <v>-11.667</v>
      </c>
      <c r="BD84" s="2245">
        <f t="shared" si="523"/>
        <v>-11.667</v>
      </c>
      <c r="BE84" s="2930"/>
      <c r="BF84" s="2244">
        <f t="shared" si="511"/>
        <v>-81.668999999999997</v>
      </c>
      <c r="BG84" s="1898"/>
      <c r="BH84" s="2245"/>
      <c r="BI84" s="2930"/>
      <c r="BJ84" s="2244">
        <f>IF(BJ78&gt;0,"0.000",BJ78)</f>
        <v>-11.667</v>
      </c>
      <c r="BK84" s="2394">
        <f>IF(BK78&gt;0,"0.000",BK78)</f>
        <v>-11.667</v>
      </c>
      <c r="BL84" s="2738">
        <f>IF(BL78&gt;0,"0.000",BL78)</f>
        <v>-11.667</v>
      </c>
      <c r="BM84" s="2930"/>
      <c r="BN84" s="2244">
        <f>SUM(BJ84:BL84)</f>
        <v>-35.000999999999998</v>
      </c>
      <c r="BO84" s="1898"/>
      <c r="BP84" s="2245"/>
      <c r="BR84" s="2244">
        <f>SUM(N84:T84)+SUM(Z84:AF84)+SUM(AL84:AR84)+SUM(AX84:BD84)+SUM(BJ84:BL84)</f>
        <v>-256.67399999999998</v>
      </c>
      <c r="BS84" s="2245"/>
      <c r="BT84" s="1900"/>
      <c r="BU84" s="2930"/>
      <c r="BV84" s="2251"/>
      <c r="BW84" s="2251"/>
      <c r="BX84" s="2252"/>
    </row>
    <row r="85" spans="2:76" s="1726" customFormat="1" ht="17.25" thickBot="1" x14ac:dyDescent="0.25">
      <c r="B85" s="2355"/>
      <c r="C85" s="2356" t="s">
        <v>215</v>
      </c>
      <c r="D85" s="1861"/>
      <c r="E85" s="2664">
        <f>E83+E84</f>
        <v>11752.5</v>
      </c>
      <c r="F85" s="2665"/>
      <c r="G85" s="2666"/>
      <c r="H85" s="2667"/>
      <c r="I85" s="2668"/>
      <c r="J85" s="2669">
        <f>J83+J84</f>
        <v>379.11290322580646</v>
      </c>
      <c r="K85" s="2670">
        <f>K83+K84</f>
        <v>75.82258064516131</v>
      </c>
      <c r="L85" s="2216"/>
      <c r="M85" s="2055"/>
      <c r="N85" s="2226">
        <f>IF(N78&lt;0,"0.000",N78)</f>
        <v>0</v>
      </c>
      <c r="O85" s="2671">
        <f t="shared" ref="O85:T85" si="524">IF(O78&lt;0,"0.000",O78)</f>
        <v>0</v>
      </c>
      <c r="P85" s="2671">
        <f t="shared" si="524"/>
        <v>0</v>
      </c>
      <c r="Q85" s="2671">
        <f t="shared" si="524"/>
        <v>0</v>
      </c>
      <c r="R85" s="2671">
        <f t="shared" si="524"/>
        <v>0</v>
      </c>
      <c r="S85" s="2671" t="str">
        <f t="shared" si="524"/>
        <v>0.000</v>
      </c>
      <c r="T85" s="2672">
        <f t="shared" si="524"/>
        <v>0</v>
      </c>
      <c r="U85" s="2935"/>
      <c r="V85" s="2226">
        <f t="shared" si="516"/>
        <v>0</v>
      </c>
      <c r="W85" s="2671"/>
      <c r="X85" s="2672"/>
      <c r="Y85" s="1862"/>
      <c r="Z85" s="2226">
        <f t="shared" ref="Z85:AF85" si="525">IF(Z78&lt;0,"0.000",Z78)</f>
        <v>0</v>
      </c>
      <c r="AA85" s="2671">
        <f t="shared" si="525"/>
        <v>0</v>
      </c>
      <c r="AB85" s="2671">
        <f t="shared" si="525"/>
        <v>0</v>
      </c>
      <c r="AC85" s="2671" t="str">
        <f t="shared" si="525"/>
        <v>0.000</v>
      </c>
      <c r="AD85" s="2671" t="str">
        <f t="shared" si="525"/>
        <v>0.000</v>
      </c>
      <c r="AE85" s="2671" t="str">
        <f t="shared" si="525"/>
        <v>0.000</v>
      </c>
      <c r="AF85" s="2672" t="str">
        <f t="shared" si="525"/>
        <v>0.000</v>
      </c>
      <c r="AG85" s="1862"/>
      <c r="AH85" s="2226">
        <f t="shared" si="507"/>
        <v>0</v>
      </c>
      <c r="AI85" s="2671"/>
      <c r="AJ85" s="2672"/>
      <c r="AK85" s="1862"/>
      <c r="AL85" s="2226" t="str">
        <f t="shared" ref="AL85:AR85" si="526">IF(AL78&lt;0,"0.000",AL78)</f>
        <v>0.000</v>
      </c>
      <c r="AM85" s="2671" t="str">
        <f t="shared" si="526"/>
        <v>0.000</v>
      </c>
      <c r="AN85" s="2671" t="str">
        <f t="shared" si="526"/>
        <v>0.000</v>
      </c>
      <c r="AO85" s="2671" t="str">
        <f t="shared" si="526"/>
        <v>0.000</v>
      </c>
      <c r="AP85" s="2671" t="str">
        <f t="shared" si="526"/>
        <v>0.000</v>
      </c>
      <c r="AQ85" s="2671" t="str">
        <f t="shared" si="526"/>
        <v>0.000</v>
      </c>
      <c r="AR85" s="2672" t="str">
        <f t="shared" si="526"/>
        <v>0.000</v>
      </c>
      <c r="AS85" s="2935"/>
      <c r="AT85" s="2226">
        <f t="shared" si="509"/>
        <v>0</v>
      </c>
      <c r="AU85" s="2671"/>
      <c r="AV85" s="2672"/>
      <c r="AW85" s="2935"/>
      <c r="AX85" s="2226" t="str">
        <f t="shared" ref="AX85:BD85" si="527">IF(AX78&lt;0,"0.000",AX78)</f>
        <v>0.000</v>
      </c>
      <c r="AY85" s="2671" t="str">
        <f t="shared" si="527"/>
        <v>0.000</v>
      </c>
      <c r="AZ85" s="2671" t="str">
        <f t="shared" si="527"/>
        <v>0.000</v>
      </c>
      <c r="BA85" s="2671" t="str">
        <f t="shared" si="527"/>
        <v>0.000</v>
      </c>
      <c r="BB85" s="2671" t="str">
        <f t="shared" si="527"/>
        <v>0.000</v>
      </c>
      <c r="BC85" s="2671" t="str">
        <f t="shared" si="527"/>
        <v>0.000</v>
      </c>
      <c r="BD85" s="2672" t="str">
        <f t="shared" si="527"/>
        <v>0.000</v>
      </c>
      <c r="BE85" s="2935"/>
      <c r="BF85" s="2226">
        <f t="shared" si="511"/>
        <v>0</v>
      </c>
      <c r="BG85" s="2671"/>
      <c r="BH85" s="2672"/>
      <c r="BI85" s="2935"/>
      <c r="BJ85" s="2226" t="str">
        <f>IF(BJ78&lt;0,"0.000",BJ78)</f>
        <v>0.000</v>
      </c>
      <c r="BK85" s="2965" t="str">
        <f>IF(BK78&lt;0,"0.000",BK78)</f>
        <v>0.000</v>
      </c>
      <c r="BL85" s="2228" t="str">
        <f>IF(BL78&lt;0,"0.000",BL78)</f>
        <v>0.000</v>
      </c>
      <c r="BM85" s="2935"/>
      <c r="BN85" s="2226">
        <f>SUM(BJ85:BL85)</f>
        <v>0</v>
      </c>
      <c r="BO85" s="2671"/>
      <c r="BP85" s="2672"/>
      <c r="BR85" s="2226">
        <f>SUM(N85:T85)+SUM(Z85:AF85)+SUM(AL85:AR85)+SUM(AX85:BD85)+SUM(BJ85:BL85)</f>
        <v>0</v>
      </c>
      <c r="BS85" s="2672"/>
      <c r="BT85" s="1740"/>
      <c r="BU85" s="2935"/>
      <c r="BV85" s="2246"/>
      <c r="BW85" s="2246"/>
      <c r="BX85" s="2247"/>
    </row>
    <row r="86" spans="2:76" s="1726" customFormat="1" ht="4.5" customHeight="1" thickBot="1" x14ac:dyDescent="0.25">
      <c r="B86" s="1740"/>
      <c r="C86" s="1740"/>
      <c r="D86" s="1861"/>
      <c r="E86" s="1740"/>
      <c r="F86" s="1740"/>
      <c r="G86" s="1740"/>
      <c r="H86" s="1740"/>
      <c r="I86" s="1740"/>
      <c r="J86" s="1740"/>
      <c r="K86" s="1997"/>
      <c r="L86" s="1760"/>
      <c r="M86" s="2933"/>
      <c r="N86" s="1740"/>
      <c r="O86" s="1740"/>
      <c r="P86" s="1740"/>
      <c r="Q86" s="1740"/>
      <c r="R86" s="1740"/>
      <c r="S86" s="1740"/>
      <c r="T86" s="1740"/>
      <c r="U86" s="1861"/>
      <c r="V86" s="1740"/>
      <c r="W86" s="1740"/>
      <c r="X86" s="1740"/>
      <c r="Y86" s="1860"/>
      <c r="Z86" s="1740"/>
      <c r="AA86" s="1740"/>
      <c r="AB86" s="1740"/>
      <c r="AC86" s="1740"/>
      <c r="AD86" s="1740"/>
      <c r="AE86" s="1740"/>
      <c r="AF86" s="1740"/>
      <c r="AG86" s="1860"/>
      <c r="AH86" s="1740"/>
      <c r="AI86" s="1740"/>
      <c r="AJ86" s="1740"/>
      <c r="AK86" s="1860"/>
      <c r="AL86" s="1740"/>
      <c r="AM86" s="1740"/>
      <c r="AN86" s="1740"/>
      <c r="AO86" s="1740"/>
      <c r="AP86" s="1740"/>
      <c r="AQ86" s="1740"/>
      <c r="AR86" s="1740"/>
      <c r="AS86" s="1861"/>
      <c r="AT86" s="1740"/>
      <c r="AU86" s="1740"/>
      <c r="AV86" s="1740"/>
      <c r="AW86" s="1861"/>
      <c r="AX86" s="1740"/>
      <c r="AY86" s="1740"/>
      <c r="AZ86" s="1740"/>
      <c r="BA86" s="1740"/>
      <c r="BB86" s="1740"/>
      <c r="BC86" s="1740"/>
      <c r="BD86" s="1740"/>
      <c r="BE86" s="1861"/>
      <c r="BF86" s="1740"/>
      <c r="BG86" s="1740"/>
      <c r="BH86" s="1740"/>
      <c r="BI86" s="1740"/>
      <c r="BJ86" s="1740"/>
      <c r="BK86" s="1740"/>
      <c r="BL86" s="1740"/>
      <c r="BM86" s="1740"/>
      <c r="BN86" s="1740"/>
      <c r="BO86" s="1740"/>
      <c r="BP86" s="1740"/>
      <c r="BR86" s="1740"/>
      <c r="BS86" s="1740"/>
      <c r="BT86" s="1740"/>
      <c r="BU86" s="1740"/>
      <c r="BV86" s="1740"/>
      <c r="BW86" s="1861"/>
    </row>
    <row r="87" spans="2:76" s="1885" customFormat="1" ht="17.25" thickBot="1" x14ac:dyDescent="0.25">
      <c r="B87" s="2117"/>
      <c r="C87" s="2212"/>
      <c r="D87" s="2119"/>
      <c r="E87" s="2123">
        <f>SUM(E80:E84)</f>
        <v>21941.870967741936</v>
      </c>
      <c r="F87" s="2121"/>
      <c r="G87" s="2121"/>
      <c r="H87" s="2121"/>
      <c r="I87" s="2121"/>
      <c r="J87" s="2121">
        <f>E87/31</f>
        <v>707.8022892819979</v>
      </c>
      <c r="K87" s="2129">
        <f>J87*20%</f>
        <v>141.56045785639958</v>
      </c>
      <c r="L87" s="2213"/>
      <c r="M87" s="2214"/>
      <c r="N87" s="2120">
        <f>SUM(N80:N85)</f>
        <v>0</v>
      </c>
      <c r="O87" s="2123">
        <f t="shared" ref="O87:T87" si="528">SUM(O80:O85)</f>
        <v>0</v>
      </c>
      <c r="P87" s="2123">
        <f t="shared" si="528"/>
        <v>0</v>
      </c>
      <c r="Q87" s="2123">
        <f t="shared" si="528"/>
        <v>0</v>
      </c>
      <c r="R87" s="2123">
        <f t="shared" si="528"/>
        <v>0</v>
      </c>
      <c r="S87" s="2123">
        <f t="shared" si="528"/>
        <v>-106.52432258064516</v>
      </c>
      <c r="T87" s="2124">
        <f t="shared" si="528"/>
        <v>0</v>
      </c>
      <c r="U87" s="1951"/>
      <c r="V87" s="2120">
        <f>SUM(N87:T87)</f>
        <v>-106.52432258064516</v>
      </c>
      <c r="W87" s="2123"/>
      <c r="X87" s="2124"/>
      <c r="Y87" s="1956"/>
      <c r="Z87" s="2120">
        <f t="shared" ref="Z87:AF87" si="529">SUM(Z80:Z85)</f>
        <v>0</v>
      </c>
      <c r="AA87" s="2123">
        <f t="shared" si="529"/>
        <v>0</v>
      </c>
      <c r="AB87" s="2123">
        <f t="shared" si="529"/>
        <v>0</v>
      </c>
      <c r="AC87" s="2123">
        <f t="shared" si="529"/>
        <v>-111.65332258064515</v>
      </c>
      <c r="AD87" s="2123">
        <f t="shared" si="529"/>
        <v>-102.36132258064517</v>
      </c>
      <c r="AE87" s="2123">
        <f t="shared" si="529"/>
        <v>-106.95732258064515</v>
      </c>
      <c r="AF87" s="2124">
        <f t="shared" si="529"/>
        <v>-81.821822580645161</v>
      </c>
      <c r="AG87" s="1956"/>
      <c r="AH87" s="2120">
        <f>SUM(Z87:AF87)</f>
        <v>-402.79379032258066</v>
      </c>
      <c r="AI87" s="2123"/>
      <c r="AJ87" s="2124"/>
      <c r="AK87" s="1955"/>
      <c r="AL87" s="2120">
        <f t="shared" ref="AL87:AR87" si="530">SUM(AL80:AL85)</f>
        <v>-86.789322580645162</v>
      </c>
      <c r="AM87" s="2121">
        <f t="shared" si="530"/>
        <v>-81.129822580645168</v>
      </c>
      <c r="AN87" s="2121">
        <f t="shared" si="530"/>
        <v>-93.268322580645162</v>
      </c>
      <c r="AO87" s="2121">
        <f t="shared" si="530"/>
        <v>-83.881322580645161</v>
      </c>
      <c r="AP87" s="2121">
        <f t="shared" si="530"/>
        <v>-94.84532258064516</v>
      </c>
      <c r="AQ87" s="2121">
        <f t="shared" si="530"/>
        <v>-92.596822580645167</v>
      </c>
      <c r="AR87" s="2124">
        <f t="shared" si="530"/>
        <v>-115.74082258064516</v>
      </c>
      <c r="AS87" s="2254"/>
      <c r="AT87" s="2120">
        <f>SUM(AL87:AR87)</f>
        <v>-648.25175806451614</v>
      </c>
      <c r="AU87" s="2123"/>
      <c r="AV87" s="2124"/>
      <c r="AW87" s="1951"/>
      <c r="AX87" s="2120">
        <f t="shared" ref="AX87:BD87" si="531">SUM(AX80:AX85)</f>
        <v>-99.300822580645161</v>
      </c>
      <c r="AY87" s="2121">
        <f t="shared" si="531"/>
        <v>-62.877580645161288</v>
      </c>
      <c r="AZ87" s="2121">
        <f t="shared" si="531"/>
        <v>-55.715580645161282</v>
      </c>
      <c r="BA87" s="2121">
        <f t="shared" si="531"/>
        <v>-16.406080645161282</v>
      </c>
      <c r="BB87" s="2121">
        <f t="shared" si="531"/>
        <v>-65.344419354838706</v>
      </c>
      <c r="BC87" s="2121">
        <f t="shared" si="531"/>
        <v>-94.489322580645165</v>
      </c>
      <c r="BD87" s="2124">
        <f t="shared" si="531"/>
        <v>-89.072822580645152</v>
      </c>
      <c r="BE87" s="1951"/>
      <c r="BF87" s="2120">
        <f>SUM(AX87:BD87)</f>
        <v>-483.20662903225798</v>
      </c>
      <c r="BG87" s="2123"/>
      <c r="BH87" s="2124"/>
      <c r="BI87" s="1900"/>
      <c r="BJ87" s="2120">
        <f t="shared" ref="BJ87:BL87" si="532">SUM(BJ80:BJ85)</f>
        <v>-96.542822580645165</v>
      </c>
      <c r="BK87" s="2123">
        <f t="shared" ref="BK87" si="533">SUM(BK80:BK85)</f>
        <v>-20.691080645161293</v>
      </c>
      <c r="BL87" s="2123">
        <f t="shared" si="532"/>
        <v>-65.344419354838706</v>
      </c>
      <c r="BM87" s="2317"/>
      <c r="BN87" s="2215">
        <f>SUM(BJ87:BL87)</f>
        <v>-182.57832258064516</v>
      </c>
      <c r="BO87" s="2318"/>
      <c r="BP87" s="2118"/>
      <c r="BQ87" s="1897"/>
      <c r="BR87" s="2215">
        <f>SUM(N87:T87)+SUM(Z87:AF87)+SUM(AL87:AR87)+SUM(AX87:BD87)+SUM(BJ87:BL87)</f>
        <v>-1823.3548225806451</v>
      </c>
      <c r="BS87" s="2130"/>
      <c r="BT87" s="1900"/>
      <c r="BU87" s="1900"/>
      <c r="BV87" s="1900"/>
      <c r="BW87" s="2011"/>
    </row>
    <row r="88" spans="2:76" s="1726" customFormat="1" ht="4.5" customHeight="1" thickBot="1" x14ac:dyDescent="0.25">
      <c r="B88" s="1740"/>
      <c r="C88" s="1740"/>
      <c r="D88" s="1861"/>
      <c r="E88" s="1740"/>
      <c r="F88" s="1740"/>
      <c r="G88" s="1740"/>
      <c r="H88" s="1740"/>
      <c r="I88" s="1740"/>
      <c r="J88" s="1740"/>
      <c r="K88" s="1861"/>
      <c r="L88" s="1827"/>
      <c r="M88" s="1810"/>
      <c r="N88" s="1740"/>
      <c r="O88" s="1740"/>
      <c r="P88" s="1740"/>
      <c r="Q88" s="1740"/>
      <c r="R88" s="1740"/>
      <c r="S88" s="1740"/>
      <c r="T88" s="1740"/>
      <c r="U88" s="1861"/>
      <c r="V88" s="1740"/>
      <c r="W88" s="1740"/>
      <c r="X88" s="1740"/>
      <c r="Y88" s="1860"/>
      <c r="AG88" s="1860"/>
      <c r="AH88" s="1740"/>
      <c r="AI88" s="1740"/>
      <c r="AJ88" s="1740"/>
      <c r="AK88" s="1860"/>
      <c r="AL88" s="1740"/>
      <c r="AM88" s="1740"/>
      <c r="AN88" s="1740"/>
      <c r="AO88" s="1740"/>
      <c r="AP88" s="1740"/>
      <c r="AQ88" s="1740"/>
      <c r="AR88" s="1740"/>
      <c r="AS88" s="1861"/>
      <c r="AT88" s="1740"/>
      <c r="AU88" s="1740"/>
      <c r="AV88" s="1740"/>
      <c r="AW88" s="1861"/>
      <c r="AX88" s="1740"/>
      <c r="AY88" s="1740"/>
      <c r="AZ88" s="1740"/>
      <c r="BA88" s="1740"/>
      <c r="BB88" s="1740"/>
      <c r="BC88" s="1740"/>
      <c r="BD88" s="1740"/>
      <c r="BE88" s="1861"/>
      <c r="BF88" s="1740"/>
      <c r="BG88" s="1740"/>
      <c r="BH88" s="1740"/>
      <c r="BI88" s="1740"/>
      <c r="BJ88" s="1740"/>
      <c r="BK88" s="1740"/>
      <c r="BL88" s="1740"/>
      <c r="BM88" s="1740"/>
      <c r="BN88" s="1740"/>
      <c r="BO88" s="1740"/>
      <c r="BP88" s="1740"/>
      <c r="BR88" s="1740"/>
      <c r="BS88" s="1740"/>
      <c r="BT88" s="1740"/>
      <c r="BU88" s="1740"/>
      <c r="BV88" s="1740"/>
      <c r="BW88" s="1861"/>
    </row>
    <row r="89" spans="2:76" s="1726" customFormat="1" ht="17.25" thickBot="1" x14ac:dyDescent="0.25">
      <c r="B89" s="2049"/>
      <c r="C89" s="2050"/>
      <c r="D89" s="2051"/>
      <c r="E89" s="2052">
        <f>E87*20%</f>
        <v>4388.3741935483877</v>
      </c>
      <c r="F89" s="2053"/>
      <c r="G89" s="2053"/>
      <c r="H89" s="2053"/>
      <c r="I89" s="2053"/>
      <c r="J89" s="2053"/>
      <c r="K89" s="2253"/>
      <c r="L89" s="2216"/>
      <c r="M89" s="2055"/>
      <c r="N89" s="2056">
        <f>N87*100/30</f>
        <v>0</v>
      </c>
      <c r="O89" s="2052">
        <f t="shared" ref="O89:T89" si="534">O87*100/30</f>
        <v>0</v>
      </c>
      <c r="P89" s="2052">
        <f t="shared" si="534"/>
        <v>0</v>
      </c>
      <c r="Q89" s="2052">
        <f t="shared" si="534"/>
        <v>0</v>
      </c>
      <c r="R89" s="2052">
        <f t="shared" si="534"/>
        <v>0</v>
      </c>
      <c r="S89" s="2052">
        <f t="shared" si="534"/>
        <v>-355.08107526881724</v>
      </c>
      <c r="T89" s="2192">
        <f t="shared" si="534"/>
        <v>0</v>
      </c>
      <c r="U89" s="2300"/>
      <c r="V89" s="2056">
        <f>SUM(N89:T89)</f>
        <v>-355.08107526881724</v>
      </c>
      <c r="W89" s="2052"/>
      <c r="X89" s="2057"/>
      <c r="Y89" s="1766"/>
      <c r="Z89" s="2673">
        <f t="shared" ref="Z89:AF89" si="535">Z87*100/30</f>
        <v>0</v>
      </c>
      <c r="AA89" s="2674">
        <f t="shared" si="535"/>
        <v>0</v>
      </c>
      <c r="AB89" s="2674">
        <f t="shared" si="535"/>
        <v>0</v>
      </c>
      <c r="AC89" s="2052">
        <f t="shared" si="535"/>
        <v>-372.17774193548382</v>
      </c>
      <c r="AD89" s="2674">
        <f t="shared" si="535"/>
        <v>-341.20440860215058</v>
      </c>
      <c r="AE89" s="2674">
        <f t="shared" si="535"/>
        <v>-356.52440860215052</v>
      </c>
      <c r="AF89" s="2675">
        <f t="shared" si="535"/>
        <v>-272.73940860215055</v>
      </c>
      <c r="AG89" s="1766"/>
      <c r="AH89" s="2056">
        <f>SUM(Z89:AF89)</f>
        <v>-1342.6459677419352</v>
      </c>
      <c r="AI89" s="2052"/>
      <c r="AJ89" s="2057"/>
      <c r="AK89" s="1764"/>
      <c r="AL89" s="2056">
        <f t="shared" ref="AL89:AR89" si="536">AL87*100/30</f>
        <v>-289.29774193548388</v>
      </c>
      <c r="AM89" s="2053">
        <f t="shared" si="536"/>
        <v>-270.43274193548388</v>
      </c>
      <c r="AN89" s="2053">
        <f t="shared" si="536"/>
        <v>-310.89440860215052</v>
      </c>
      <c r="AO89" s="2053">
        <f t="shared" si="536"/>
        <v>-279.6044086021505</v>
      </c>
      <c r="AP89" s="2053">
        <f t="shared" si="536"/>
        <v>-316.15107526881718</v>
      </c>
      <c r="AQ89" s="2053">
        <f t="shared" si="536"/>
        <v>-308.65607526881723</v>
      </c>
      <c r="AR89" s="2057">
        <f t="shared" si="536"/>
        <v>-385.80274193548388</v>
      </c>
      <c r="AS89" s="2300"/>
      <c r="AT89" s="2056">
        <f>SUM(AL89:AR89)</f>
        <v>-2160.8391935483869</v>
      </c>
      <c r="AU89" s="2052"/>
      <c r="AV89" s="2057"/>
      <c r="AW89" s="1814"/>
      <c r="AX89" s="2056">
        <f t="shared" ref="AX89:BD89" si="537">AX87*100/30</f>
        <v>-331.00274193548387</v>
      </c>
      <c r="AY89" s="2053">
        <f t="shared" si="537"/>
        <v>-209.59193548387097</v>
      </c>
      <c r="AZ89" s="2053">
        <f t="shared" si="537"/>
        <v>-185.71860215053761</v>
      </c>
      <c r="BA89" s="2053">
        <f t="shared" si="537"/>
        <v>-54.68693548387094</v>
      </c>
      <c r="BB89" s="2053">
        <f t="shared" si="537"/>
        <v>-217.8147311827957</v>
      </c>
      <c r="BC89" s="2053">
        <f t="shared" si="537"/>
        <v>-314.96440860215057</v>
      </c>
      <c r="BD89" s="2057">
        <f t="shared" si="537"/>
        <v>-296.90940860215051</v>
      </c>
      <c r="BE89" s="1814"/>
      <c r="BF89" s="2056">
        <f>SUM(AX89:BD89)</f>
        <v>-1610.6887634408602</v>
      </c>
      <c r="BG89" s="2052"/>
      <c r="BH89" s="2057"/>
      <c r="BI89" s="1740"/>
      <c r="BJ89" s="2056">
        <f t="shared" ref="BJ89:BL89" si="538">BJ87*100/30</f>
        <v>-321.80940860215054</v>
      </c>
      <c r="BK89" s="2052">
        <f t="shared" ref="BK89" si="539">BK87*100/30</f>
        <v>-68.9702688172043</v>
      </c>
      <c r="BL89" s="2052">
        <f t="shared" si="538"/>
        <v>-217.8147311827957</v>
      </c>
      <c r="BM89" s="2301"/>
      <c r="BN89" s="2058">
        <f>SUM(BJ89:BL89)</f>
        <v>-608.59440860215045</v>
      </c>
      <c r="BO89" s="2324"/>
      <c r="BP89" s="2190"/>
      <c r="BQ89" s="1862"/>
      <c r="BR89" s="2058">
        <f>SUM(N89:T89)+SUM(Z89:AF89)+SUM(AL89:AR89)+SUM(AX89:BD89)+SUM(BJ89:BL89)</f>
        <v>-6077.8494086021492</v>
      </c>
      <c r="BS89" s="2676">
        <f>BR89/CA18</f>
        <v>-276.26588220918859</v>
      </c>
      <c r="BT89" s="1740"/>
      <c r="BU89" s="1740"/>
      <c r="BV89" s="1740"/>
      <c r="BW89" s="1861"/>
    </row>
    <row r="91" spans="2:76" ht="18" x14ac:dyDescent="0.2">
      <c r="C91" s="2448"/>
      <c r="D91" s="2450"/>
      <c r="E91" s="2449"/>
      <c r="F91" s="2449"/>
      <c r="G91" s="2449"/>
      <c r="H91" s="2449"/>
      <c r="I91" s="2449"/>
      <c r="J91" s="2449"/>
    </row>
    <row r="92" spans="2:76" ht="18" x14ac:dyDescent="0.2">
      <c r="C92" s="2448">
        <f>E92*20%</f>
        <v>9000</v>
      </c>
      <c r="D92" s="2450"/>
      <c r="E92" s="2449">
        <v>45000</v>
      </c>
      <c r="F92" s="2449"/>
      <c r="G92" s="2449"/>
      <c r="H92" s="2449"/>
      <c r="I92" s="2449"/>
      <c r="J92" s="2449">
        <v>38000</v>
      </c>
      <c r="K92" s="2771">
        <f>J92*20%</f>
        <v>7600</v>
      </c>
      <c r="P92" s="2255"/>
      <c r="Q92" s="2256"/>
      <c r="R92" s="2256"/>
      <c r="S92" s="2257"/>
      <c r="T92" s="2257"/>
      <c r="U92" s="1915"/>
      <c r="V92" s="2257"/>
    </row>
    <row r="93" spans="2:76" ht="18" x14ac:dyDescent="0.2">
      <c r="C93" s="2451">
        <f>C92-E40</f>
        <v>6962.1258064516132</v>
      </c>
      <c r="D93" s="2937"/>
      <c r="E93" s="2771"/>
      <c r="F93" s="2771"/>
      <c r="G93" s="2771"/>
      <c r="H93" s="2771"/>
      <c r="I93" s="2771"/>
      <c r="J93" s="2449"/>
      <c r="K93" s="2449">
        <f>K92-E40</f>
        <v>5562.1258064516132</v>
      </c>
      <c r="AM93" s="2257"/>
    </row>
    <row r="94" spans="2:76" ht="18" x14ac:dyDescent="0.2">
      <c r="C94" s="2452">
        <f>C93/2</f>
        <v>3481.0629032258066</v>
      </c>
      <c r="D94" s="2937"/>
      <c r="E94" s="2771"/>
      <c r="F94" s="2771"/>
      <c r="G94" s="2771"/>
      <c r="H94" s="2771"/>
      <c r="I94" s="2771"/>
      <c r="J94" s="2450"/>
      <c r="K94" s="2771">
        <f>K93/2</f>
        <v>2781.0629032258066</v>
      </c>
    </row>
    <row r="95" spans="2:76" ht="18" x14ac:dyDescent="0.2">
      <c r="K95" s="2449"/>
    </row>
  </sheetData>
  <sortState xmlns:xlrd2="http://schemas.microsoft.com/office/spreadsheetml/2017/richdata2" ref="C15:K38">
    <sortCondition descending="1" ref="K38"/>
  </sortState>
  <mergeCells count="88">
    <mergeCell ref="BN80:BN81"/>
    <mergeCell ref="BO80:BO81"/>
    <mergeCell ref="BP80:BP81"/>
    <mergeCell ref="BR80:BR81"/>
    <mergeCell ref="BS80:BS81"/>
    <mergeCell ref="BL80:BL81"/>
    <mergeCell ref="AX80:AX81"/>
    <mergeCell ref="AY80:AY81"/>
    <mergeCell ref="AZ80:AZ81"/>
    <mergeCell ref="BA80:BA81"/>
    <mergeCell ref="BB80:BB81"/>
    <mergeCell ref="BC80:BC81"/>
    <mergeCell ref="BK80:BK81"/>
    <mergeCell ref="BD80:BD81"/>
    <mergeCell ref="BF80:BF81"/>
    <mergeCell ref="BG80:BG81"/>
    <mergeCell ref="BH80:BH81"/>
    <mergeCell ref="BJ80:BJ81"/>
    <mergeCell ref="AD80:AD81"/>
    <mergeCell ref="AE80:AE81"/>
    <mergeCell ref="AF80:AF81"/>
    <mergeCell ref="AV80:AV81"/>
    <mergeCell ref="AI80:AI81"/>
    <mergeCell ref="AJ80:AJ81"/>
    <mergeCell ref="AL80:AL81"/>
    <mergeCell ref="AM80:AM81"/>
    <mergeCell ref="AN80:AN81"/>
    <mergeCell ref="AO80:AO81"/>
    <mergeCell ref="AP80:AP81"/>
    <mergeCell ref="AQ80:AQ81"/>
    <mergeCell ref="AR80:AR81"/>
    <mergeCell ref="AT80:AT81"/>
    <mergeCell ref="AU80:AU81"/>
    <mergeCell ref="X80:X81"/>
    <mergeCell ref="Z80:Z81"/>
    <mergeCell ref="AA80:AA81"/>
    <mergeCell ref="AB80:AB81"/>
    <mergeCell ref="AC80:AC81"/>
    <mergeCell ref="N80:N81"/>
    <mergeCell ref="O80:O81"/>
    <mergeCell ref="P80:P81"/>
    <mergeCell ref="Q80:Q81"/>
    <mergeCell ref="R80:R81"/>
    <mergeCell ref="S80:S81"/>
    <mergeCell ref="BN14:BP14"/>
    <mergeCell ref="BU45:BV45"/>
    <mergeCell ref="BX46:BX55"/>
    <mergeCell ref="BZ46:BZ55"/>
    <mergeCell ref="BX59:BX68"/>
    <mergeCell ref="V14:X14"/>
    <mergeCell ref="AH14:AJ14"/>
    <mergeCell ref="AT14:AV14"/>
    <mergeCell ref="AZ14:BD14"/>
    <mergeCell ref="BF14:BH14"/>
    <mergeCell ref="BJ14:BL14"/>
    <mergeCell ref="AH80:AH81"/>
    <mergeCell ref="T80:T81"/>
    <mergeCell ref="V80:V81"/>
    <mergeCell ref="W80:W81"/>
    <mergeCell ref="B80:B81"/>
    <mergeCell ref="C80:C81"/>
    <mergeCell ref="E80:E81"/>
    <mergeCell ref="J80:J81"/>
    <mergeCell ref="K80:K81"/>
    <mergeCell ref="CI1:CI2"/>
    <mergeCell ref="CJ1:CJ2"/>
    <mergeCell ref="K8:K9"/>
    <mergeCell ref="BZ8:CA9"/>
    <mergeCell ref="CA11:CA12"/>
    <mergeCell ref="CB11:CB12"/>
    <mergeCell ref="BS1:BS12"/>
    <mergeCell ref="BU1:BX2"/>
    <mergeCell ref="CD1:CD2"/>
    <mergeCell ref="CE1:CE2"/>
    <mergeCell ref="CF1:CF2"/>
    <mergeCell ref="CH1:CH2"/>
    <mergeCell ref="AT1:AV2"/>
    <mergeCell ref="AX1:BD2"/>
    <mergeCell ref="BF1:BH2"/>
    <mergeCell ref="BJ1:BL2"/>
    <mergeCell ref="BN1:BP2"/>
    <mergeCell ref="BR1:BR12"/>
    <mergeCell ref="C1:K2"/>
    <mergeCell ref="N1:T2"/>
    <mergeCell ref="V1:X2"/>
    <mergeCell ref="Z1:AF2"/>
    <mergeCell ref="AH1:AJ2"/>
    <mergeCell ref="AL1:AR2"/>
  </mergeCells>
  <conditionalFormatting sqref="BS83">
    <cfRule type="cellIs" dxfId="346" priority="7" operator="greaterThan">
      <formula>0</formula>
    </cfRule>
    <cfRule type="cellIs" dxfId="345" priority="8" operator="lessThan">
      <formula>0</formula>
    </cfRule>
  </conditionalFormatting>
  <conditionalFormatting sqref="J94">
    <cfRule type="cellIs" dxfId="344" priority="5" operator="lessThan">
      <formula>0</formula>
    </cfRule>
    <cfRule type="cellIs" dxfId="343" priority="6" operator="greaterThan">
      <formula>0</formula>
    </cfRule>
  </conditionalFormatting>
  <conditionalFormatting sqref="N3:T3">
    <cfRule type="cellIs" dxfId="342" priority="4" operator="greaterThan">
      <formula>433</formula>
    </cfRule>
  </conditionalFormatting>
  <conditionalFormatting sqref="N4:T4">
    <cfRule type="cellIs" dxfId="341" priority="1" operator="lessThan">
      <formula>260</formula>
    </cfRule>
    <cfRule type="cellIs" dxfId="340" priority="2" operator="greaterThan">
      <formula>260</formula>
    </cfRule>
    <cfRule type="cellIs" dxfId="339" priority="3" operator="greaterThan">
      <formula>260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800-0000C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1-2020'!N78:N78</xm:f>
              <xm:sqref>N79</xm:sqref>
            </x14:sparkline>
            <x14:sparkline>
              <xm:f>'RAWABI INCOME 1-2020'!O78:O78</xm:f>
              <xm:sqref>O79</xm:sqref>
            </x14:sparkline>
            <x14:sparkline>
              <xm:f>'RAWABI INCOME 1-2020'!P78:P78</xm:f>
              <xm:sqref>P79</xm:sqref>
            </x14:sparkline>
            <x14:sparkline>
              <xm:f>'RAWABI INCOME 1-2020'!Q78:Q78</xm:f>
              <xm:sqref>Q79</xm:sqref>
            </x14:sparkline>
            <x14:sparkline>
              <xm:f>'RAWABI INCOME 1-2020'!R78:R78</xm:f>
              <xm:sqref>R79</xm:sqref>
            </x14:sparkline>
            <x14:sparkline>
              <xm:f>'RAWABI INCOME 1-2020'!S78:S78</xm:f>
              <xm:sqref>S79</xm:sqref>
            </x14:sparkline>
            <x14:sparkline>
              <xm:f>'RAWABI INCOME 1-2020'!T78:T78</xm:f>
              <xm:sqref>T79</xm:sqref>
            </x14:sparkline>
            <x14:sparkline>
              <xm:f>'RAWABI INCOME 1-2020'!V78:V78</xm:f>
              <xm:sqref>V79</xm:sqref>
            </x14:sparkline>
            <x14:sparkline>
              <xm:f>'RAWABI INCOME 1-2020'!W78:W78</xm:f>
              <xm:sqref>W79</xm:sqref>
            </x14:sparkline>
            <x14:sparkline>
              <xm:f>'RAWABI INCOME 1-2020'!X78:X78</xm:f>
              <xm:sqref>X79</xm:sqref>
            </x14:sparkline>
            <x14:sparkline>
              <xm:f>'RAWABI INCOME 1-2020'!Y78:Y78</xm:f>
              <xm:sqref>Y79</xm:sqref>
            </x14:sparkline>
            <x14:sparkline>
              <xm:f>'RAWABI INCOME 1-2020'!Z78:Z78</xm:f>
              <xm:sqref>Z79</xm:sqref>
            </x14:sparkline>
            <x14:sparkline>
              <xm:f>'RAWABI INCOME 1-2020'!AA78:AA78</xm:f>
              <xm:sqref>AA79</xm:sqref>
            </x14:sparkline>
            <x14:sparkline>
              <xm:f>'RAWABI INCOME 1-2020'!AB78:AB78</xm:f>
              <xm:sqref>AB79</xm:sqref>
            </x14:sparkline>
            <x14:sparkline>
              <xm:f>'RAWABI INCOME 1-2020'!AC78:AC78</xm:f>
              <xm:sqref>AC79</xm:sqref>
            </x14:sparkline>
            <x14:sparkline>
              <xm:f>'RAWABI INCOME 1-2020'!AD78:AD78</xm:f>
              <xm:sqref>AD79</xm:sqref>
            </x14:sparkline>
            <x14:sparkline>
              <xm:f>'RAWABI INCOME 1-2020'!AE78:AE78</xm:f>
              <xm:sqref>AE79</xm:sqref>
            </x14:sparkline>
            <x14:sparkline>
              <xm:f>'RAWABI INCOME 1-2020'!AF78:AF78</xm:f>
              <xm:sqref>AF79</xm:sqref>
            </x14:sparkline>
            <x14:sparkline>
              <xm:f>'RAWABI INCOME 1-2020'!AG78:AG78</xm:f>
              <xm:sqref>AG79</xm:sqref>
            </x14:sparkline>
            <x14:sparkline>
              <xm:f>'RAWABI INCOME 1-2020'!AH78:AH78</xm:f>
              <xm:sqref>AH79</xm:sqref>
            </x14:sparkline>
            <x14:sparkline>
              <xm:f>'RAWABI INCOME 1-2020'!AI78:AI78</xm:f>
              <xm:sqref>AI79</xm:sqref>
            </x14:sparkline>
            <x14:sparkline>
              <xm:f>'RAWABI INCOME 1-2020'!AJ78:AJ78</xm:f>
              <xm:sqref>AJ79</xm:sqref>
            </x14:sparkline>
            <x14:sparkline>
              <xm:f>'RAWABI INCOME 1-2020'!AK78:AK78</xm:f>
              <xm:sqref>AK79</xm:sqref>
            </x14:sparkline>
            <x14:sparkline>
              <xm:f>'RAWABI INCOME 1-2020'!AL78:AL78</xm:f>
              <xm:sqref>AL79</xm:sqref>
            </x14:sparkline>
            <x14:sparkline>
              <xm:f>'RAWABI INCOME 1-2020'!AM78:AM78</xm:f>
              <xm:sqref>AM79</xm:sqref>
            </x14:sparkline>
            <x14:sparkline>
              <xm:f>'RAWABI INCOME 1-2020'!AN78:AN78</xm:f>
              <xm:sqref>AN79</xm:sqref>
            </x14:sparkline>
            <x14:sparkline>
              <xm:f>'RAWABI INCOME 1-2020'!AO78:AO78</xm:f>
              <xm:sqref>AO79</xm:sqref>
            </x14:sparkline>
            <x14:sparkline>
              <xm:f>'RAWABI INCOME 1-2020'!AP78:AP78</xm:f>
              <xm:sqref>AP79</xm:sqref>
            </x14:sparkline>
            <x14:sparkline>
              <xm:f>'RAWABI INCOME 1-2020'!AQ78:AQ78</xm:f>
              <xm:sqref>AQ79</xm:sqref>
            </x14:sparkline>
            <x14:sparkline>
              <xm:f>'RAWABI INCOME 1-2020'!AR78:AR78</xm:f>
              <xm:sqref>AR79</xm:sqref>
            </x14:sparkline>
            <x14:sparkline>
              <xm:f>'RAWABI INCOME 1-2020'!AS78:AS78</xm:f>
              <xm:sqref>AS79</xm:sqref>
            </x14:sparkline>
            <x14:sparkline>
              <xm:f>'RAWABI INCOME 1-2020'!AT78:AT78</xm:f>
              <xm:sqref>AT79</xm:sqref>
            </x14:sparkline>
            <x14:sparkline>
              <xm:f>'RAWABI INCOME 1-2020'!AU78:AU78</xm:f>
              <xm:sqref>AU79</xm:sqref>
            </x14:sparkline>
            <x14:sparkline>
              <xm:f>'RAWABI INCOME 1-2020'!AV78:AV78</xm:f>
              <xm:sqref>AV79</xm:sqref>
            </x14:sparkline>
            <x14:sparkline>
              <xm:f>'RAWABI INCOME 1-2020'!AW78:AW78</xm:f>
              <xm:sqref>AW79</xm:sqref>
            </x14:sparkline>
            <x14:sparkline>
              <xm:f>'RAWABI INCOME 1-2020'!AX78:AX78</xm:f>
              <xm:sqref>AX79</xm:sqref>
            </x14:sparkline>
            <x14:sparkline>
              <xm:f>'RAWABI INCOME 1-2020'!AY78:AY78</xm:f>
              <xm:sqref>AY79</xm:sqref>
            </x14:sparkline>
            <x14:sparkline>
              <xm:f>'RAWABI INCOME 1-2020'!AZ78:AZ78</xm:f>
              <xm:sqref>AZ79</xm:sqref>
            </x14:sparkline>
            <x14:sparkline>
              <xm:f>'RAWABI INCOME 1-2020'!BA78:BA78</xm:f>
              <xm:sqref>BA79</xm:sqref>
            </x14:sparkline>
            <x14:sparkline>
              <xm:f>'RAWABI INCOME 1-2020'!BB78:BB78</xm:f>
              <xm:sqref>BB79</xm:sqref>
            </x14:sparkline>
            <x14:sparkline>
              <xm:f>'RAWABI INCOME 1-2020'!BC78:BC78</xm:f>
              <xm:sqref>BC79</xm:sqref>
            </x14:sparkline>
            <x14:sparkline>
              <xm:f>'RAWABI INCOME 1-2020'!BD78:BD78</xm:f>
              <xm:sqref>BD79</xm:sqref>
            </x14:sparkline>
            <x14:sparkline>
              <xm:f>'RAWABI INCOME 1-2020'!BE78:BE78</xm:f>
              <xm:sqref>BE79</xm:sqref>
            </x14:sparkline>
            <x14:sparkline>
              <xm:f>'RAWABI INCOME 1-2020'!BF78:BF78</xm:f>
              <xm:sqref>BF79</xm:sqref>
            </x14:sparkline>
            <x14:sparkline>
              <xm:f>'RAWABI INCOME 1-2020'!BG78:BG78</xm:f>
              <xm:sqref>BG79</xm:sqref>
            </x14:sparkline>
            <x14:sparkline>
              <xm:f>'RAWABI INCOME 1-2020'!BH78:BH78</xm:f>
              <xm:sqref>BH79</xm:sqref>
            </x14:sparkline>
            <x14:sparkline>
              <xm:f>'RAWABI INCOME 1-2020'!BI78:BI78</xm:f>
              <xm:sqref>BI79</xm:sqref>
            </x14:sparkline>
            <x14:sparkline>
              <xm:f>'RAWABI INCOME 1-2020'!BJ78:BJ78</xm:f>
              <xm:sqref>BJ79</xm:sqref>
            </x14:sparkline>
            <x14:sparkline>
              <xm:f>'RAWABI INCOME 1-2020'!BK78:BK78</xm:f>
              <xm:sqref>BK79</xm:sqref>
            </x14:sparkline>
            <x14:sparkline>
              <xm:f>'RAWABI INCOME 1-2020'!BL78:BL78</xm:f>
              <xm:sqref>BL79</xm:sqref>
            </x14:sparkline>
            <x14:sparkline>
              <xm:f>'RAWABI INCOME 1-2020'!BM78:BM78</xm:f>
              <xm:sqref>BM79</xm:sqref>
            </x14:sparkline>
            <x14:sparkline>
              <xm:f>'RAWABI INCOME 1-2020'!BN78:BN78</xm:f>
              <xm:sqref>BN79</xm:sqref>
            </x14:sparkline>
            <x14:sparkline>
              <xm:f>'RAWABI INCOME 1-2020'!BO78:BO78</xm:f>
              <xm:sqref>BO79</xm:sqref>
            </x14:sparkline>
            <x14:sparkline>
              <xm:f>'RAWABI INCOME 1-2020'!BP78:BP78</xm:f>
              <xm:sqref>BP79</xm:sqref>
            </x14:sparkline>
            <x14:sparkline>
              <xm:f>'RAWABI INCOME 1-2020'!BR78:BR78</xm:f>
              <xm:sqref>BR79</xm:sqref>
            </x14:sparkline>
          </x14:sparklines>
        </x14:sparklineGroup>
        <x14:sparklineGroup type="stacked" displayEmptyCellsAs="gap" negative="1" xr2:uid="{00000000-0003-0000-1800-0000C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1-2020'!AH44:AH44</xm:f>
              <xm:sqref>AH45</xm:sqref>
            </x14:sparkline>
          </x14:sparklines>
        </x14:sparklineGroup>
        <x14:sparklineGroup type="stacked" displayEmptyCellsAs="gap" negative="1" xr2:uid="{00000000-0003-0000-1800-0000C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1-2020'!V44:V44</xm:f>
              <xm:sqref>V45</xm:sqref>
            </x14:sparkline>
            <x14:sparkline>
              <xm:f>'RAWABI INCOME 1-2020'!W44:W44</xm:f>
              <xm:sqref>W45</xm:sqref>
            </x14:sparkline>
            <x14:sparkline>
              <xm:f>'RAWABI INCOME 1-2020'!X44:X44</xm:f>
              <xm:sqref>X45</xm:sqref>
            </x14:sparkline>
          </x14:sparklines>
        </x14:sparklineGroup>
        <x14:sparklineGroup type="stacked" displayEmptyCellsAs="gap" negative="1" xr2:uid="{00000000-0003-0000-1800-0000C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1-2020'!Z44:Z44</xm:f>
              <xm:sqref>Z45</xm:sqref>
            </x14:sparkline>
            <x14:sparkline>
              <xm:f>'RAWABI INCOME 1-2020'!AA44:AA44</xm:f>
              <xm:sqref>AA45</xm:sqref>
            </x14:sparkline>
            <x14:sparkline>
              <xm:f>'RAWABI INCOME 1-2020'!AB44:AB44</xm:f>
              <xm:sqref>AB45</xm:sqref>
            </x14:sparkline>
            <x14:sparkline>
              <xm:f>'RAWABI INCOME 1-2020'!AC44:AC44</xm:f>
              <xm:sqref>AC45</xm:sqref>
            </x14:sparkline>
            <x14:sparkline>
              <xm:f>'RAWABI INCOME 1-2020'!AD44:AD44</xm:f>
              <xm:sqref>AD45</xm:sqref>
            </x14:sparkline>
            <x14:sparkline>
              <xm:f>'RAWABI INCOME 1-2020'!AE44:AE44</xm:f>
              <xm:sqref>AE45</xm:sqref>
            </x14:sparkline>
            <x14:sparkline>
              <xm:f>'RAWABI INCOME 1-2020'!AF44:AF44</xm:f>
              <xm:sqref>AF45</xm:sqref>
            </x14:sparkline>
          </x14:sparklines>
        </x14:sparklineGroup>
        <x14:sparklineGroup type="stacked" displayEmptyCellsAs="gap" negative="1" xr2:uid="{00000000-0003-0000-1800-0000C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1-2020'!BQ44:BQ44</xm:f>
              <xm:sqref>BQ45</xm:sqref>
            </x14:sparkline>
          </x14:sparklines>
        </x14:sparklineGroup>
        <x14:sparklineGroup type="stacked" displayEmptyCellsAs="gap" negative="1" xr2:uid="{00000000-0003-0000-1800-0000C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1-2020'!BR85:BR85</xm:f>
              <xm:sqref>BS85</xm:sqref>
            </x14:sparkline>
          </x14:sparklines>
        </x14:sparklineGroup>
        <x14:sparklineGroup type="stacked" displayEmptyCellsAs="gap" negative="1" xr2:uid="{00000000-0003-0000-1800-0000C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1-2020'!BR83:BR83</xm:f>
              <xm:sqref>BS83</xm:sqref>
            </x14:sparkline>
          </x14:sparklines>
        </x14:sparklineGroup>
        <x14:sparklineGroup type="stacked" displayEmptyCellsAs="gap" negative="1" xr2:uid="{00000000-0003-0000-1800-0000C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1-2020'!U78:U78</xm:f>
              <xm:sqref>U79</xm:sqref>
            </x14:sparkline>
          </x14:sparklines>
        </x14:sparklineGroup>
        <x14:sparklineGroup type="stacked" displayEmptyCellsAs="gap" negative="1" xr2:uid="{00000000-0003-0000-1800-0000C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1-2020'!BQ78:BQ78</xm:f>
              <xm:sqref>BQ79</xm:sqref>
            </x14:sparkline>
          </x14:sparklines>
        </x14:sparklineGroup>
        <x14:sparklineGroup type="stacked" displayEmptyCellsAs="gap" negative="1" xr2:uid="{00000000-0003-0000-1800-0000C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1-2020'!BR80:BR80</xm:f>
              <xm:sqref>BS80</xm:sqref>
            </x14:sparkline>
            <x14:sparkline>
              <xm:f>'RAWABI INCOME 1-2020'!BR82:BR82</xm:f>
              <xm:sqref>BS82</xm:sqref>
            </x14:sparkline>
          </x14:sparklines>
        </x14:sparklineGroup>
        <x14:sparklineGroup type="stacked" displayEmptyCellsAs="gap" negative="1" xr2:uid="{00000000-0003-0000-1800-0000C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1-2020'!BQ73:BQ73</xm:f>
              <xm:sqref>BQ74</xm:sqref>
            </x14:sparkline>
          </x14:sparklines>
        </x14:sparklineGroup>
        <x14:sparklineGroup type="stacked" displayEmptyCellsAs="gap" negative="1" xr2:uid="{00000000-0003-0000-1800-0000C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1-2020'!U44:U44</xm:f>
              <xm:sqref>U45</xm:sqref>
            </x14:sparkline>
          </x14:sparklines>
        </x14:sparklineGroup>
        <x14:sparklineGroup type="stacked" displayEmptyCellsAs="gap" negative="1" xr2:uid="{00000000-0003-0000-1800-0000B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1-2020'!N44:N44</xm:f>
              <xm:sqref>N45</xm:sqref>
            </x14:sparkline>
            <x14:sparkline>
              <xm:f>'RAWABI INCOME 1-2020'!O44:O44</xm:f>
              <xm:sqref>O45</xm:sqref>
            </x14:sparkline>
            <x14:sparkline>
              <xm:f>'RAWABI INCOME 1-2020'!P44:P44</xm:f>
              <xm:sqref>P45</xm:sqref>
            </x14:sparkline>
            <x14:sparkline>
              <xm:f>'RAWABI INCOME 1-2020'!Q44:Q44</xm:f>
              <xm:sqref>Q45</xm:sqref>
            </x14:sparkline>
            <x14:sparkline>
              <xm:f>'RAWABI INCOME 1-2020'!R44:R44</xm:f>
              <xm:sqref>R45</xm:sqref>
            </x14:sparkline>
            <x14:sparkline>
              <xm:f>'RAWABI INCOME 1-2020'!S44:S44</xm:f>
              <xm:sqref>S45</xm:sqref>
            </x14:sparkline>
            <x14:sparkline>
              <xm:f>'RAWABI INCOME 1-2020'!T44:T44</xm:f>
              <xm:sqref>T45</xm:sqref>
            </x14:sparkline>
          </x14:sparklines>
        </x14:sparklineGroup>
        <x14:sparklineGroup type="stacked" displayEmptyCellsAs="gap" negative="1" xr2:uid="{00000000-0003-0000-1800-0000B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1-2020'!N73:N73</xm:f>
              <xm:sqref>N74</xm:sqref>
            </x14:sparkline>
            <x14:sparkline>
              <xm:f>'RAWABI INCOME 1-2020'!V73:V73</xm:f>
              <xm:sqref>V74</xm:sqref>
            </x14:sparkline>
            <x14:sparkline>
              <xm:f>'RAWABI INCOME 1-2020'!W73:W73</xm:f>
              <xm:sqref>W74</xm:sqref>
            </x14:sparkline>
            <x14:sparkline>
              <xm:f>'RAWABI INCOME 1-2020'!X73:X73</xm:f>
              <xm:sqref>X74</xm:sqref>
            </x14:sparkline>
            <x14:sparkline>
              <xm:f>'RAWABI INCOME 1-2020'!Y73:Y73</xm:f>
              <xm:sqref>Y74</xm:sqref>
            </x14:sparkline>
            <x14:sparkline>
              <xm:f>'RAWABI INCOME 1-2020'!Z73:Z73</xm:f>
              <xm:sqref>Z74</xm:sqref>
            </x14:sparkline>
            <x14:sparkline>
              <xm:f>'RAWABI INCOME 1-2020'!AG73:AG73</xm:f>
              <xm:sqref>AG74</xm:sqref>
            </x14:sparkline>
            <x14:sparkline>
              <xm:f>'RAWABI INCOME 1-2020'!AH73:AH73</xm:f>
              <xm:sqref>AH74</xm:sqref>
            </x14:sparkline>
            <x14:sparkline>
              <xm:f>'RAWABI INCOME 1-2020'!AI73:AI73</xm:f>
              <xm:sqref>AI74</xm:sqref>
            </x14:sparkline>
            <x14:sparkline>
              <xm:f>'RAWABI INCOME 1-2020'!AJ73:AJ73</xm:f>
              <xm:sqref>AJ74</xm:sqref>
            </x14:sparkline>
            <x14:sparkline>
              <xm:f>'RAWABI INCOME 1-2020'!AK73:AK73</xm:f>
              <xm:sqref>AK74</xm:sqref>
            </x14:sparkline>
            <x14:sparkline>
              <xm:f>'RAWABI INCOME 1-2020'!AL73:AL73</xm:f>
              <xm:sqref>AL74</xm:sqref>
            </x14:sparkline>
            <x14:sparkline>
              <xm:f>'RAWABI INCOME 1-2020'!AS73:AS73</xm:f>
              <xm:sqref>AS74</xm:sqref>
            </x14:sparkline>
            <x14:sparkline>
              <xm:f>'RAWABI INCOME 1-2020'!AT73:AT73</xm:f>
              <xm:sqref>AT74</xm:sqref>
            </x14:sparkline>
            <x14:sparkline>
              <xm:f>'RAWABI INCOME 1-2020'!AU73:AU73</xm:f>
              <xm:sqref>AU74</xm:sqref>
            </x14:sparkline>
            <x14:sparkline>
              <xm:f>'RAWABI INCOME 1-2020'!AV73:AV73</xm:f>
              <xm:sqref>AV74</xm:sqref>
            </x14:sparkline>
            <x14:sparkline>
              <xm:f>'RAWABI INCOME 1-2020'!AW73:AW73</xm:f>
              <xm:sqref>AW74</xm:sqref>
            </x14:sparkline>
            <x14:sparkline>
              <xm:f>'RAWABI INCOME 1-2020'!AX73:AX73</xm:f>
              <xm:sqref>AX74</xm:sqref>
            </x14:sparkline>
            <x14:sparkline>
              <xm:f>'RAWABI INCOME 1-2020'!BE73:BE73</xm:f>
              <xm:sqref>BE74</xm:sqref>
            </x14:sparkline>
            <x14:sparkline>
              <xm:f>'RAWABI INCOME 1-2020'!BF73:BF73</xm:f>
              <xm:sqref>BF74</xm:sqref>
            </x14:sparkline>
            <x14:sparkline>
              <xm:f>'RAWABI INCOME 1-2020'!BG73:BG73</xm:f>
              <xm:sqref>BG74</xm:sqref>
            </x14:sparkline>
            <x14:sparkline>
              <xm:f>'RAWABI INCOME 1-2020'!BH73:BH73</xm:f>
              <xm:sqref>BH74</xm:sqref>
            </x14:sparkline>
            <x14:sparkline>
              <xm:f>'RAWABI INCOME 1-2020'!BI73:BI73</xm:f>
              <xm:sqref>BI74</xm:sqref>
            </x14:sparkline>
            <x14:sparkline>
              <xm:f>'RAWABI INCOME 1-2020'!BJ73:BJ73</xm:f>
              <xm:sqref>BJ74</xm:sqref>
            </x14:sparkline>
            <x14:sparkline>
              <xm:f>'RAWABI INCOME 1-2020'!BK73:BK73</xm:f>
              <xm:sqref>BK74</xm:sqref>
            </x14:sparkline>
            <x14:sparkline>
              <xm:f>'RAWABI INCOME 1-2020'!BL73:BL73</xm:f>
              <xm:sqref>BL74</xm:sqref>
            </x14:sparkline>
            <x14:sparkline>
              <xm:f>'RAWABI INCOME 1-2020'!BM73:BM73</xm:f>
              <xm:sqref>BM74</xm:sqref>
            </x14:sparkline>
            <x14:sparkline>
              <xm:f>'RAWABI INCOME 1-2020'!BN73:BN73</xm:f>
              <xm:sqref>BN74</xm:sqref>
            </x14:sparkline>
            <x14:sparkline>
              <xm:f>'RAWABI INCOME 1-2020'!BO73:BO73</xm:f>
              <xm:sqref>BO74</xm:sqref>
            </x14:sparkline>
            <x14:sparkline>
              <xm:f>'RAWABI INCOME 1-2020'!BP73:BP73</xm:f>
              <xm:sqref>BP74</xm:sqref>
            </x14:sparkline>
            <x14:sparkline>
              <xm:f>'RAWABI INCOME 1-2020'!BR73:BR73</xm:f>
              <xm:sqref>BR74</xm:sqref>
            </x14:sparkline>
            <x14:sparkline>
              <xm:f>'RAWABI INCOME 1-2020'!AR73:AR73</xm:f>
              <xm:sqref>AR74</xm:sqref>
            </x14:sparkline>
            <x14:sparkline>
              <xm:f>'RAWABI INCOME 1-2020'!BD73:BD73</xm:f>
              <xm:sqref>BD74</xm:sqref>
            </x14:sparkline>
            <x14:sparkline>
              <xm:f>'RAWABI INCOME 1-2020'!T73:T73</xm:f>
              <xm:sqref>T74</xm:sqref>
            </x14:sparkline>
            <x14:sparkline>
              <xm:f>'RAWABI INCOME 1-2020'!AY73:AY73</xm:f>
              <xm:sqref>AY74</xm:sqref>
            </x14:sparkline>
            <x14:sparkline>
              <xm:f>'RAWABI INCOME 1-2020'!O73:O73</xm:f>
              <xm:sqref>O74</xm:sqref>
            </x14:sparkline>
            <x14:sparkline>
              <xm:f>'RAWABI INCOME 1-2020'!AA73:AA73</xm:f>
              <xm:sqref>AA74</xm:sqref>
            </x14:sparkline>
            <x14:sparkline>
              <xm:f>'RAWABI INCOME 1-2020'!AF73:AF73</xm:f>
              <xm:sqref>AF74</xm:sqref>
            </x14:sparkline>
            <x14:sparkline>
              <xm:f>'RAWABI INCOME 1-2020'!AM73:AM73</xm:f>
              <xm:sqref>AM74</xm:sqref>
            </x14:sparkline>
            <x14:sparkline>
              <xm:f>'RAWABI INCOME 1-2020'!P73:P73</xm:f>
              <xm:sqref>P74</xm:sqref>
            </x14:sparkline>
            <x14:sparkline>
              <xm:f>'RAWABI INCOME 1-2020'!Q73:Q73</xm:f>
              <xm:sqref>Q74</xm:sqref>
            </x14:sparkline>
            <x14:sparkline>
              <xm:f>'RAWABI INCOME 1-2020'!R73:R73</xm:f>
              <xm:sqref>R74</xm:sqref>
            </x14:sparkline>
            <x14:sparkline>
              <xm:f>'RAWABI INCOME 1-2020'!S73:S73</xm:f>
              <xm:sqref>S74</xm:sqref>
            </x14:sparkline>
            <x14:sparkline>
              <xm:f>'RAWABI INCOME 1-2020'!AB73:AB73</xm:f>
              <xm:sqref>AB74</xm:sqref>
            </x14:sparkline>
            <x14:sparkline>
              <xm:f>'RAWABI INCOME 1-2020'!AC73:AC73</xm:f>
              <xm:sqref>AC74</xm:sqref>
            </x14:sparkline>
            <x14:sparkline>
              <xm:f>'RAWABI INCOME 1-2020'!AD73:AD73</xm:f>
              <xm:sqref>AD74</xm:sqref>
            </x14:sparkline>
            <x14:sparkline>
              <xm:f>'RAWABI INCOME 1-2020'!AE73:AE73</xm:f>
              <xm:sqref>AE74</xm:sqref>
            </x14:sparkline>
            <x14:sparkline>
              <xm:f>'RAWABI INCOME 1-2020'!AN73:AN73</xm:f>
              <xm:sqref>AN74</xm:sqref>
            </x14:sparkline>
            <x14:sparkline>
              <xm:f>'RAWABI INCOME 1-2020'!AO73:AO73</xm:f>
              <xm:sqref>AO74</xm:sqref>
            </x14:sparkline>
            <x14:sparkline>
              <xm:f>'RAWABI INCOME 1-2020'!AP73:AP73</xm:f>
              <xm:sqref>AP74</xm:sqref>
            </x14:sparkline>
            <x14:sparkline>
              <xm:f>'RAWABI INCOME 1-2020'!AQ73:AQ73</xm:f>
              <xm:sqref>AQ74</xm:sqref>
            </x14:sparkline>
            <x14:sparkline>
              <xm:f>'RAWABI INCOME 1-2020'!AZ73:AZ73</xm:f>
              <xm:sqref>AZ74</xm:sqref>
            </x14:sparkline>
            <x14:sparkline>
              <xm:f>'RAWABI INCOME 1-2020'!BA73:BA73</xm:f>
              <xm:sqref>BA74</xm:sqref>
            </x14:sparkline>
            <x14:sparkline>
              <xm:f>'RAWABI INCOME 1-2020'!BB73:BB73</xm:f>
              <xm:sqref>BB74</xm:sqref>
            </x14:sparkline>
            <x14:sparkline>
              <xm:f>'RAWABI INCOME 1-2020'!BC73:BC73</xm:f>
              <xm:sqref>BC74</xm:sqref>
            </x14:sparkline>
          </x14:sparklines>
        </x14:sparklineGroup>
        <x14:sparklineGroup type="stacked" displayEmptyCellsAs="gap" negative="1" xr2:uid="{00000000-0003-0000-1800-0000B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1-2020'!Y44:Y44</xm:f>
              <xm:sqref>Y45</xm:sqref>
            </x14:sparkline>
            <x14:sparkline>
              <xm:f>'RAWABI INCOME 1-2020'!AG44:AG44</xm:f>
              <xm:sqref>AG45</xm:sqref>
            </x14:sparkline>
            <x14:sparkline>
              <xm:f>'RAWABI INCOME 1-2020'!AI44:AI44</xm:f>
              <xm:sqref>AI45</xm:sqref>
            </x14:sparkline>
            <x14:sparkline>
              <xm:f>'RAWABI INCOME 1-2020'!AJ44:AJ44</xm:f>
              <xm:sqref>AJ45</xm:sqref>
            </x14:sparkline>
            <x14:sparkline>
              <xm:f>'RAWABI INCOME 1-2020'!AK44:AK44</xm:f>
              <xm:sqref>AK45</xm:sqref>
            </x14:sparkline>
            <x14:sparkline>
              <xm:f>'RAWABI INCOME 1-2020'!AL44:AL44</xm:f>
              <xm:sqref>AL45</xm:sqref>
            </x14:sparkline>
            <x14:sparkline>
              <xm:f>'RAWABI INCOME 1-2020'!AM44:AM44</xm:f>
              <xm:sqref>AM45</xm:sqref>
            </x14:sparkline>
            <x14:sparkline>
              <xm:f>'RAWABI INCOME 1-2020'!AR44:AR44</xm:f>
              <xm:sqref>AR45</xm:sqref>
            </x14:sparkline>
            <x14:sparkline>
              <xm:f>'RAWABI INCOME 1-2020'!AS44:AS44</xm:f>
              <xm:sqref>AS45</xm:sqref>
            </x14:sparkline>
            <x14:sparkline>
              <xm:f>'RAWABI INCOME 1-2020'!AT44:AT44</xm:f>
              <xm:sqref>AT45</xm:sqref>
            </x14:sparkline>
            <x14:sparkline>
              <xm:f>'RAWABI INCOME 1-2020'!AU44:AU44</xm:f>
              <xm:sqref>AU45</xm:sqref>
            </x14:sparkline>
            <x14:sparkline>
              <xm:f>'RAWABI INCOME 1-2020'!AV44:AV44</xm:f>
              <xm:sqref>AV45</xm:sqref>
            </x14:sparkline>
            <x14:sparkline>
              <xm:f>'RAWABI INCOME 1-2020'!AW44:AW44</xm:f>
              <xm:sqref>AW45</xm:sqref>
            </x14:sparkline>
            <x14:sparkline>
              <xm:f>'RAWABI INCOME 1-2020'!AX44:AX44</xm:f>
              <xm:sqref>AX45</xm:sqref>
            </x14:sparkline>
            <x14:sparkline>
              <xm:f>'RAWABI INCOME 1-2020'!BD44:BD44</xm:f>
              <xm:sqref>BD45</xm:sqref>
            </x14:sparkline>
            <x14:sparkline>
              <xm:f>'RAWABI INCOME 1-2020'!BE44:BE44</xm:f>
              <xm:sqref>BE45</xm:sqref>
            </x14:sparkline>
            <x14:sparkline>
              <xm:f>'RAWABI INCOME 1-2020'!BF44:BF44</xm:f>
              <xm:sqref>BF45</xm:sqref>
            </x14:sparkline>
            <x14:sparkline>
              <xm:f>'RAWABI INCOME 1-2020'!BG44:BG44</xm:f>
              <xm:sqref>BG45</xm:sqref>
            </x14:sparkline>
            <x14:sparkline>
              <xm:f>'RAWABI INCOME 1-2020'!BH44:BH44</xm:f>
              <xm:sqref>BH45</xm:sqref>
            </x14:sparkline>
            <x14:sparkline>
              <xm:f>'RAWABI INCOME 1-2020'!BI44:BI44</xm:f>
              <xm:sqref>BI45</xm:sqref>
            </x14:sparkline>
            <x14:sparkline>
              <xm:f>'RAWABI INCOME 1-2020'!BJ44:BJ44</xm:f>
              <xm:sqref>BJ45</xm:sqref>
            </x14:sparkline>
            <x14:sparkline>
              <xm:f>'RAWABI INCOME 1-2020'!BK44:BK44</xm:f>
              <xm:sqref>BK45</xm:sqref>
            </x14:sparkline>
            <x14:sparkline>
              <xm:f>'RAWABI INCOME 1-2020'!BL44:BL44</xm:f>
              <xm:sqref>BL45</xm:sqref>
            </x14:sparkline>
            <x14:sparkline>
              <xm:f>'RAWABI INCOME 1-2020'!BM44:BM44</xm:f>
              <xm:sqref>BM45</xm:sqref>
            </x14:sparkline>
            <x14:sparkline>
              <xm:f>'RAWABI INCOME 1-2020'!BN44:BN44</xm:f>
              <xm:sqref>BN45</xm:sqref>
            </x14:sparkline>
            <x14:sparkline>
              <xm:f>'RAWABI INCOME 1-2020'!BO44:BO44</xm:f>
              <xm:sqref>BO45</xm:sqref>
            </x14:sparkline>
            <x14:sparkline>
              <xm:f>'RAWABI INCOME 1-2020'!BP44:BP44</xm:f>
              <xm:sqref>BP45</xm:sqref>
            </x14:sparkline>
            <x14:sparkline>
              <xm:f>'RAWABI INCOME 1-2020'!AY44:AY44</xm:f>
              <xm:sqref>AY45</xm:sqref>
            </x14:sparkline>
            <x14:sparkline>
              <xm:f>'RAWABI INCOME 1-2020'!AN44:AN44</xm:f>
              <xm:sqref>AN45</xm:sqref>
            </x14:sparkline>
            <x14:sparkline>
              <xm:f>'RAWABI INCOME 1-2020'!AO44:AO44</xm:f>
              <xm:sqref>AO45</xm:sqref>
            </x14:sparkline>
            <x14:sparkline>
              <xm:f>'RAWABI INCOME 1-2020'!AP44:AP44</xm:f>
              <xm:sqref>AP45</xm:sqref>
            </x14:sparkline>
            <x14:sparkline>
              <xm:f>'RAWABI INCOME 1-2020'!AQ44:AQ44</xm:f>
              <xm:sqref>AQ45</xm:sqref>
            </x14:sparkline>
            <x14:sparkline>
              <xm:f>'RAWABI INCOME 1-2020'!AZ44:AZ44</xm:f>
              <xm:sqref>AZ45</xm:sqref>
            </x14:sparkline>
            <x14:sparkline>
              <xm:f>'RAWABI INCOME 1-2020'!BA44:BA44</xm:f>
              <xm:sqref>BA45</xm:sqref>
            </x14:sparkline>
            <x14:sparkline>
              <xm:f>'RAWABI INCOME 1-2020'!BB44:BB44</xm:f>
              <xm:sqref>BB45</xm:sqref>
            </x14:sparkline>
            <x14:sparkline>
              <xm:f>'RAWABI INCOME 1-2020'!BC44:BC44</xm:f>
              <xm:sqref>BC45</xm:sqref>
            </x14:sparkline>
          </x14:sparklines>
        </x14:sparklineGroup>
        <x14:sparklineGroup type="stacked" displayEmptyCellsAs="gap" negative="1" xr2:uid="{00000000-0003-0000-1800-0000B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1-2020'!U73:U73</xm:f>
              <xm:sqref>U74</xm:sqref>
            </x14:sparkline>
          </x14:sparklines>
        </x14:sparklineGroup>
        <x14:sparklineGroup type="stacked" displayEmptyCellsAs="gap" negative="1" xr2:uid="{00000000-0003-0000-1800-0000B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1-2020'!BR44:BR44</xm:f>
              <xm:sqref>BR45</xm:sqref>
            </x14:sparkline>
          </x14:sparklines>
        </x14:sparklineGroup>
        <x14:sparklineGroup type="stacked" displayEmptyCellsAs="gap" negative="1" xr2:uid="{00000000-0003-0000-1800-0000B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1-2020'!BR44:BR44</xm:f>
              <xm:sqref>BS44</xm:sqref>
            </x14:sparkline>
          </x14:sparklines>
        </x14:sparklineGroup>
        <x14:sparklineGroup type="stacked" displayEmptyCellsAs="gap" negative="1" xr2:uid="{00000000-0003-0000-1800-0000B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1-2020'!BR84:BR84</xm:f>
              <xm:sqref>BS84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FP95"/>
  <sheetViews>
    <sheetView zoomScale="80" zoomScaleNormal="80" zoomScaleSheetLayoutView="80" workbookViewId="0">
      <pane xSplit="20" ySplit="12" topLeftCell="BQ13" activePane="bottomRight" state="frozen"/>
      <selection activeCell="C40" sqref="C40"/>
      <selection pane="topRight" activeCell="C40" sqref="C40"/>
      <selection pane="bottomLeft" activeCell="C40" sqref="C40"/>
      <selection pane="bottomRight" activeCell="C40" sqref="C40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7.25" style="1719" bestFit="1" customWidth="1"/>
    <col min="4" max="4" width="0.875" style="1923" customWidth="1"/>
    <col min="5" max="5" width="12.125" style="1719" bestFit="1" customWidth="1"/>
    <col min="6" max="9" width="10.875" style="1719" hidden="1" customWidth="1"/>
    <col min="10" max="10" width="12.125" style="1719" bestFit="1" customWidth="1"/>
    <col min="11" max="11" width="11.625" style="1719" bestFit="1" customWidth="1"/>
    <col min="12" max="12" width="0.875" style="1719" customWidth="1"/>
    <col min="13" max="13" width="0.875" style="1923" customWidth="1"/>
    <col min="14" max="14" width="9.25" style="1719" hidden="1" customWidth="1"/>
    <col min="15" max="20" width="8.875" style="1719" hidden="1" customWidth="1"/>
    <col min="21" max="21" width="0.875" style="1923" customWidth="1"/>
    <col min="22" max="22" width="10.625" style="1719" bestFit="1" customWidth="1"/>
    <col min="23" max="23" width="9.25" style="1719" bestFit="1" customWidth="1"/>
    <col min="24" max="24" width="8.875" style="1719" bestFit="1" customWidth="1"/>
    <col min="25" max="25" width="0.875" style="1923" customWidth="1"/>
    <col min="26" max="27" width="8.75" style="1719" hidden="1" customWidth="1"/>
    <col min="28" max="31" width="8.875" style="1719" hidden="1" customWidth="1"/>
    <col min="32" max="32" width="8.75" style="1719" hidden="1" customWidth="1"/>
    <col min="33" max="33" width="0.875" style="1923" customWidth="1"/>
    <col min="34" max="34" width="10" style="1719" bestFit="1" customWidth="1"/>
    <col min="35" max="35" width="9.25" style="1719" bestFit="1" customWidth="1"/>
    <col min="36" max="36" width="10" style="1719" bestFit="1" customWidth="1"/>
    <col min="37" max="37" width="0.875" style="1923" customWidth="1"/>
    <col min="38" max="44" width="8.875" style="1719" hidden="1" customWidth="1"/>
    <col min="45" max="45" width="0.875" style="1923" customWidth="1"/>
    <col min="46" max="46" width="10" style="1719" bestFit="1" customWidth="1"/>
    <col min="47" max="47" width="9.25" style="1719" bestFit="1" customWidth="1"/>
    <col min="48" max="48" width="10" style="1719" bestFit="1" customWidth="1"/>
    <col min="49" max="49" width="0.875" style="1923" customWidth="1"/>
    <col min="50" max="52" width="8.875" style="1719" hidden="1" customWidth="1"/>
    <col min="53" max="53" width="9.25" style="1719" hidden="1" customWidth="1"/>
    <col min="54" max="56" width="8.875" style="1719" hidden="1" customWidth="1"/>
    <col min="57" max="57" width="0.875" style="1923" customWidth="1"/>
    <col min="58" max="58" width="10" style="1719" customWidth="1"/>
    <col min="59" max="60" width="9.25" style="1719" bestFit="1" customWidth="1"/>
    <col min="61" max="61" width="0.875" style="1719" customWidth="1"/>
    <col min="62" max="62" width="8.875" style="1719" hidden="1" customWidth="1"/>
    <col min="63" max="63" width="0.875" style="1719" customWidth="1"/>
    <col min="64" max="64" width="8.875" style="1719" customWidth="1"/>
    <col min="65" max="65" width="8.125" style="1719" customWidth="1"/>
    <col min="66" max="66" width="9.25" style="1719" customWidth="1"/>
    <col min="67" max="67" width="0.875" style="1719" customWidth="1"/>
    <col min="68" max="68" width="10" style="1719" bestFit="1" customWidth="1"/>
    <col min="69" max="69" width="10.625" style="1719" bestFit="1" customWidth="1"/>
    <col min="70" max="70" width="0.875" style="1719" customWidth="1"/>
    <col min="71" max="71" width="10.25" style="1719" bestFit="1" customWidth="1"/>
    <col min="72" max="72" width="12.375" style="1719" bestFit="1" customWidth="1"/>
    <col min="73" max="73" width="0.875" style="1923" customWidth="1"/>
    <col min="74" max="74" width="10.25" style="1719" bestFit="1" customWidth="1"/>
    <col min="75" max="75" width="1.875" style="1719" customWidth="1"/>
    <col min="76" max="76" width="12.25" style="1719" bestFit="1" customWidth="1"/>
    <col min="77" max="77" width="11.25" style="1719" bestFit="1" customWidth="1"/>
    <col min="78" max="78" width="13" style="1719" bestFit="1" customWidth="1"/>
    <col min="79" max="79" width="14.625" style="1719" bestFit="1" customWidth="1"/>
    <col min="80" max="80" width="12.125" style="1719" customWidth="1"/>
    <col min="81" max="81" width="12" style="1719" customWidth="1"/>
    <col min="82" max="82" width="10.875" style="1719" customWidth="1"/>
    <col min="83" max="83" width="10" style="1719" bestFit="1" customWidth="1"/>
    <col min="84" max="84" width="13" style="1719" bestFit="1" customWidth="1"/>
    <col min="85" max="85" width="12" style="1719" bestFit="1" customWidth="1"/>
    <col min="86" max="86" width="12.125" style="1719" bestFit="1" customWidth="1"/>
    <col min="87" max="87" width="11" style="1719" bestFit="1" customWidth="1"/>
    <col min="88" max="89" width="9.125" style="1719" customWidth="1"/>
    <col min="90" max="16384" width="9.125" style="1719"/>
  </cols>
  <sheetData>
    <row r="1" spans="1:172" s="1726" customFormat="1" ht="18" customHeight="1" x14ac:dyDescent="0.2">
      <c r="C1" s="4558" t="s">
        <v>271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664" t="s">
        <v>145</v>
      </c>
      <c r="BL1" s="4541" t="s">
        <v>146</v>
      </c>
      <c r="BM1" s="4542"/>
      <c r="BN1" s="4543"/>
      <c r="BP1" s="4613" t="s">
        <v>54</v>
      </c>
      <c r="BQ1" s="4579" t="s">
        <v>61</v>
      </c>
      <c r="BS1" s="4582">
        <f>BY18/29</f>
        <v>1</v>
      </c>
      <c r="BT1" s="4583"/>
      <c r="BU1" s="4583"/>
      <c r="BV1" s="4584"/>
      <c r="BX1" s="2454">
        <f>BS3/BY18*29</f>
        <v>15926.153000000002</v>
      </c>
      <c r="BY1" s="2455">
        <f>BX1*BT6</f>
        <v>3337.3330000000005</v>
      </c>
      <c r="BZ1" s="2456">
        <f>BY1-E40</f>
        <v>634.1830000000009</v>
      </c>
      <c r="CA1" s="2762">
        <f>BZ1/2</f>
        <v>317.09150000000045</v>
      </c>
      <c r="CB1" s="4570"/>
      <c r="CC1" s="4566"/>
      <c r="CD1" s="4568"/>
      <c r="CF1" s="4570"/>
      <c r="CG1" s="4566"/>
      <c r="CH1" s="4568"/>
    </row>
    <row r="2" spans="1:172" ht="20.25" customHeight="1" thickBot="1" x14ac:dyDescent="0.25">
      <c r="C2" s="4561"/>
      <c r="D2" s="4562"/>
      <c r="E2" s="4562"/>
      <c r="F2" s="4562"/>
      <c r="G2" s="4562"/>
      <c r="H2" s="4562"/>
      <c r="I2" s="4562"/>
      <c r="J2" s="4562"/>
      <c r="K2" s="4563"/>
      <c r="L2" s="1720"/>
      <c r="M2" s="2949"/>
      <c r="N2" s="4575"/>
      <c r="O2" s="4576"/>
      <c r="P2" s="4576"/>
      <c r="Q2" s="4576"/>
      <c r="R2" s="4576"/>
      <c r="S2" s="4576"/>
      <c r="T2" s="4577"/>
      <c r="U2" s="2950"/>
      <c r="V2" s="4544"/>
      <c r="W2" s="4545"/>
      <c r="X2" s="4546"/>
      <c r="Y2" s="2950"/>
      <c r="Z2" s="4575"/>
      <c r="AA2" s="4576"/>
      <c r="AB2" s="4576"/>
      <c r="AC2" s="4576"/>
      <c r="AD2" s="4576"/>
      <c r="AE2" s="4576"/>
      <c r="AF2" s="4577"/>
      <c r="AG2" s="2950"/>
      <c r="AH2" s="4544"/>
      <c r="AI2" s="4545"/>
      <c r="AJ2" s="4546"/>
      <c r="AK2" s="2950"/>
      <c r="AL2" s="4575"/>
      <c r="AM2" s="4576"/>
      <c r="AN2" s="4576"/>
      <c r="AO2" s="4576"/>
      <c r="AP2" s="4576"/>
      <c r="AQ2" s="4576"/>
      <c r="AR2" s="4577"/>
      <c r="AS2" s="2950"/>
      <c r="AT2" s="4544"/>
      <c r="AU2" s="4545"/>
      <c r="AV2" s="4546"/>
      <c r="AW2" s="2950"/>
      <c r="AX2" s="4575"/>
      <c r="AY2" s="4576"/>
      <c r="AZ2" s="4576"/>
      <c r="BA2" s="4576"/>
      <c r="BB2" s="4576"/>
      <c r="BC2" s="4576"/>
      <c r="BD2" s="4577"/>
      <c r="BE2" s="2950"/>
      <c r="BF2" s="4544"/>
      <c r="BG2" s="4545"/>
      <c r="BH2" s="4546"/>
      <c r="BI2" s="1724"/>
      <c r="BJ2" s="4665"/>
      <c r="BK2" s="1724"/>
      <c r="BL2" s="4544"/>
      <c r="BM2" s="4545"/>
      <c r="BN2" s="4546"/>
      <c r="BP2" s="4614"/>
      <c r="BQ2" s="4580"/>
      <c r="BS2" s="4585"/>
      <c r="BT2" s="4586"/>
      <c r="BU2" s="4586"/>
      <c r="BV2" s="4587"/>
      <c r="BX2" s="2744"/>
      <c r="BY2" s="2833">
        <f>BY1/BX1</f>
        <v>0.20955047964188214</v>
      </c>
      <c r="BZ2" s="2745"/>
      <c r="CA2" s="2746"/>
      <c r="CB2" s="4571"/>
      <c r="CC2" s="4567"/>
      <c r="CD2" s="4569"/>
      <c r="CE2" s="1725"/>
      <c r="CF2" s="4571"/>
      <c r="CG2" s="4567"/>
      <c r="CH2" s="4569"/>
      <c r="CI2" s="1725"/>
    </row>
    <row r="3" spans="1:172" s="1726" customFormat="1" ht="23.25" x14ac:dyDescent="0.2">
      <c r="C3" s="4666" t="s">
        <v>189</v>
      </c>
      <c r="D3" s="1727"/>
      <c r="E3" s="2260"/>
      <c r="F3" s="2260"/>
      <c r="G3" s="2260"/>
      <c r="H3" s="2260"/>
      <c r="I3" s="2260"/>
      <c r="J3" s="2261">
        <f>BS3</f>
        <v>15926.153</v>
      </c>
      <c r="K3" s="2469">
        <f>BS3/BY18</f>
        <v>549.17768965517246</v>
      </c>
      <c r="L3" s="1730"/>
      <c r="M3" s="1731"/>
      <c r="N3" s="1732">
        <v>596.73800000000006</v>
      </c>
      <c r="O3" s="1732">
        <v>407.34</v>
      </c>
      <c r="P3" s="1732">
        <v>584.19799999999998</v>
      </c>
      <c r="Q3" s="1732">
        <v>784.35</v>
      </c>
      <c r="R3" s="1732">
        <v>735.85</v>
      </c>
      <c r="S3" s="1732">
        <v>558.89499999999998</v>
      </c>
      <c r="T3" s="1732">
        <v>252.702</v>
      </c>
      <c r="U3" s="1733"/>
      <c r="V3" s="2207">
        <f>SUM(N3:T3)</f>
        <v>3920.0729999999994</v>
      </c>
      <c r="W3" s="2275">
        <f>($J$40*100/20)*7</f>
        <v>3262.4224137931024</v>
      </c>
      <c r="X3" s="2277">
        <f>V3-W3</f>
        <v>657.65058620689706</v>
      </c>
      <c r="Y3" s="1737"/>
      <c r="Z3" s="1732">
        <v>562.94799999999998</v>
      </c>
      <c r="AA3" s="1732">
        <v>396.75099999999998</v>
      </c>
      <c r="AB3" s="1732">
        <v>166.39</v>
      </c>
      <c r="AC3" s="1732">
        <v>466.51100000000002</v>
      </c>
      <c r="AD3" s="1732">
        <v>582.74900000000002</v>
      </c>
      <c r="AE3" s="1732">
        <v>782.34799999999996</v>
      </c>
      <c r="AF3" s="1732">
        <v>414.75</v>
      </c>
      <c r="AG3" s="1738"/>
      <c r="AH3" s="2207">
        <f>SUM(Z3:AF3)</f>
        <v>3372.4470000000001</v>
      </c>
      <c r="AI3" s="2275">
        <f>($J$40*100/20)*7</f>
        <v>3262.4224137931024</v>
      </c>
      <c r="AJ3" s="2277">
        <f>AH3-AI3</f>
        <v>110.02458620689777</v>
      </c>
      <c r="AK3" s="1738"/>
      <c r="AL3" s="1732">
        <v>720.63199999999995</v>
      </c>
      <c r="AM3" s="1732">
        <v>527.85</v>
      </c>
      <c r="AN3" s="1732">
        <v>449.35399999999998</v>
      </c>
      <c r="AO3" s="1732">
        <v>586.596</v>
      </c>
      <c r="AP3" s="1732">
        <v>457.77100000000002</v>
      </c>
      <c r="AQ3" s="1732">
        <v>417.84800000000001</v>
      </c>
      <c r="AR3" s="1732">
        <v>507.4</v>
      </c>
      <c r="AS3" s="3008">
        <v>417.84800000000001</v>
      </c>
      <c r="AT3" s="2207">
        <f>SUM(AL3:AR3)</f>
        <v>3667.451</v>
      </c>
      <c r="AU3" s="2275">
        <f>($J$40*100/24)*7</f>
        <v>2718.6853448275856</v>
      </c>
      <c r="AV3" s="2277">
        <f>AT3-AU3</f>
        <v>948.76565517241443</v>
      </c>
      <c r="AW3" s="2205"/>
      <c r="AX3" s="1732">
        <v>405.65</v>
      </c>
      <c r="AY3" s="1732">
        <v>403.697</v>
      </c>
      <c r="AZ3" s="1732">
        <v>737.70399999999995</v>
      </c>
      <c r="BA3" s="1732">
        <v>327.3</v>
      </c>
      <c r="BB3" s="1732">
        <v>638.95000000000005</v>
      </c>
      <c r="BC3" s="1732">
        <v>855.25699999999995</v>
      </c>
      <c r="BD3" s="1732">
        <v>848.82799999999997</v>
      </c>
      <c r="BE3" s="2205"/>
      <c r="BF3" s="2207">
        <f>SUM(AX3:BD3)</f>
        <v>4217.3860000000004</v>
      </c>
      <c r="BG3" s="2275">
        <f>($J$40*100/24)*7</f>
        <v>2718.6853448275856</v>
      </c>
      <c r="BH3" s="2277">
        <f>BF3-BG3</f>
        <v>1498.7006551724148</v>
      </c>
      <c r="BI3" s="1861"/>
      <c r="BJ3" s="1732">
        <v>748.79600000000005</v>
      </c>
      <c r="BK3" s="1861"/>
      <c r="BL3" s="2207">
        <f>SUM(BJ3:BJ3)</f>
        <v>748.79600000000005</v>
      </c>
      <c r="BM3" s="2275">
        <f>($J$40*BL5)*0</f>
        <v>0</v>
      </c>
      <c r="BN3" s="2277">
        <f>BL3-BM3</f>
        <v>748.79600000000005</v>
      </c>
      <c r="BP3" s="4614"/>
      <c r="BQ3" s="4580"/>
      <c r="BS3" s="2345">
        <f>SUM(N3:T3)+SUM(Z3:AF3)+SUM(AL3:AR3)+SUM(AX3:BD3)+SUM(BJ3:BJ3)</f>
        <v>15926.153</v>
      </c>
      <c r="BT3" s="2346">
        <f>BS3/BX3</f>
        <v>1.1783403066792448</v>
      </c>
      <c r="BU3" s="1997"/>
      <c r="BV3" s="2797">
        <f>BS3/BY18*29</f>
        <v>15926.153000000002</v>
      </c>
      <c r="BW3" s="1740"/>
      <c r="BX3" s="2747">
        <f>C40</f>
        <v>13515.749999999996</v>
      </c>
      <c r="BY3" s="2748">
        <f>BX3-BS3</f>
        <v>-2410.4030000000039</v>
      </c>
      <c r="BZ3" s="2749" t="e">
        <f>BY3/BY21</f>
        <v>#DIV/0!</v>
      </c>
      <c r="CA3" s="2582">
        <f>BX1/'RAWABI INCOME 1-2020'!BZ1-1</f>
        <v>0.93177278417140563</v>
      </c>
      <c r="CB3" s="2333"/>
      <c r="CC3" s="2334"/>
      <c r="CD3" s="2335"/>
      <c r="CE3" s="1742"/>
      <c r="CF3" s="2333"/>
      <c r="CG3" s="2334"/>
      <c r="CH3" s="2335"/>
      <c r="CI3" s="1742"/>
    </row>
    <row r="4" spans="1:172" s="2713" customFormat="1" ht="23.25" x14ac:dyDescent="0.2">
      <c r="C4" s="4667"/>
      <c r="D4" s="2715"/>
      <c r="E4" s="2716"/>
      <c r="F4" s="2716"/>
      <c r="G4" s="2716"/>
      <c r="H4" s="2716"/>
      <c r="I4" s="2716"/>
      <c r="J4" s="2717">
        <f>BS4</f>
        <v>3301.6610000000001</v>
      </c>
      <c r="K4" s="2718">
        <f>C40/K3</f>
        <v>24.610886885238379</v>
      </c>
      <c r="L4" s="2719"/>
      <c r="M4" s="2720"/>
      <c r="N4" s="2782">
        <v>114.58199999999999</v>
      </c>
      <c r="O4" s="2782">
        <v>75.432000000000002</v>
      </c>
      <c r="P4" s="2782">
        <v>124.268</v>
      </c>
      <c r="Q4" s="2782">
        <v>148.32900000000001</v>
      </c>
      <c r="R4" s="2782">
        <v>149.744</v>
      </c>
      <c r="S4" s="2782">
        <v>136.83799999999999</v>
      </c>
      <c r="T4" s="2782">
        <v>56.314999999999998</v>
      </c>
      <c r="U4" s="2722"/>
      <c r="V4" s="2781">
        <f>SUM(N4:T4)</f>
        <v>805.50800000000004</v>
      </c>
      <c r="W4" s="2782">
        <f>W3*V5</f>
        <v>670.372045033257</v>
      </c>
      <c r="X4" s="2783">
        <f>X3*V5</f>
        <v>135.13595496674307</v>
      </c>
      <c r="Y4" s="2723"/>
      <c r="Z4" s="2721">
        <v>113.854</v>
      </c>
      <c r="AA4" s="2721">
        <v>82.183000000000007</v>
      </c>
      <c r="AB4" s="2721">
        <v>28.521000000000001</v>
      </c>
      <c r="AC4" s="2721">
        <v>95.668999999999997</v>
      </c>
      <c r="AD4" s="2721">
        <v>150.13999999999999</v>
      </c>
      <c r="AE4" s="2721">
        <v>159.15799999999999</v>
      </c>
      <c r="AF4" s="2721">
        <v>80.614999999999995</v>
      </c>
      <c r="AG4" s="2724"/>
      <c r="AH4" s="2781">
        <f>SUM(Z4:AF4)</f>
        <v>710.14</v>
      </c>
      <c r="AI4" s="2782">
        <f>AI3*AH5</f>
        <v>686.97199776038997</v>
      </c>
      <c r="AJ4" s="2783">
        <f>AJ3*25%</f>
        <v>27.506146551724441</v>
      </c>
      <c r="AK4" s="2724"/>
      <c r="AL4" s="2721">
        <v>154.26499999999999</v>
      </c>
      <c r="AM4" s="2721">
        <v>114.351</v>
      </c>
      <c r="AN4" s="2721">
        <v>106.402</v>
      </c>
      <c r="AO4" s="2721">
        <v>124.568</v>
      </c>
      <c r="AP4" s="2721">
        <v>102.75</v>
      </c>
      <c r="AQ4" s="2721">
        <v>85.138999999999996</v>
      </c>
      <c r="AR4" s="2721">
        <v>109.965</v>
      </c>
      <c r="AS4" s="3009">
        <v>85.138999999999996</v>
      </c>
      <c r="AT4" s="2781">
        <f>SUM(AL4:AR4)</f>
        <v>797.44</v>
      </c>
      <c r="AU4" s="2782">
        <f>AU3*AT5</f>
        <v>591.1431240333709</v>
      </c>
      <c r="AV4" s="2783">
        <f>AV3*25%</f>
        <v>237.19141379310361</v>
      </c>
      <c r="AW4" s="2725"/>
      <c r="AX4" s="2721">
        <v>90.995999999999995</v>
      </c>
      <c r="AY4" s="2721">
        <v>77.52</v>
      </c>
      <c r="AZ4" s="2721">
        <v>149.386</v>
      </c>
      <c r="BA4" s="2721">
        <v>66.635000000000005</v>
      </c>
      <c r="BB4" s="2721">
        <v>134.398</v>
      </c>
      <c r="BC4" s="2721">
        <v>134.398</v>
      </c>
      <c r="BD4" s="2721">
        <v>189.51900000000001</v>
      </c>
      <c r="BE4" s="2725"/>
      <c r="BF4" s="2781">
        <f>SUM(AX4:BD4)</f>
        <v>842.85199999999998</v>
      </c>
      <c r="BG4" s="2782">
        <f>BG3*BF5</f>
        <v>543.33404157424059</v>
      </c>
      <c r="BH4" s="2783">
        <f>BH3*25%</f>
        <v>374.67516379310371</v>
      </c>
      <c r="BI4" s="2726"/>
      <c r="BJ4" s="2721">
        <v>145.721</v>
      </c>
      <c r="BK4" s="2726"/>
      <c r="BL4" s="2781">
        <f>SUM(BJ4:BJ4)</f>
        <v>145.721</v>
      </c>
      <c r="BM4" s="2782">
        <f>BM3*BL5</f>
        <v>0</v>
      </c>
      <c r="BN4" s="2783">
        <f>BN3*25%</f>
        <v>187.19900000000001</v>
      </c>
      <c r="BP4" s="4614"/>
      <c r="BQ4" s="4580"/>
      <c r="BS4" s="2727">
        <f>SUM(N4:T4)+SUM(Z4:AF4)+SUM(AL4:AR4)+SUM(AX4:BD4)+SUM(BJ4:BJ4)</f>
        <v>3301.6610000000001</v>
      </c>
      <c r="BT4" s="2728">
        <f>BS4/E40</f>
        <v>1.2214124262434569</v>
      </c>
      <c r="BU4" s="2729"/>
      <c r="BV4" s="2798"/>
      <c r="BW4" s="2730"/>
      <c r="BX4" s="2750"/>
      <c r="BY4" s="2751">
        <f>BY3/K3</f>
        <v>-4.3891131147616189</v>
      </c>
      <c r="BZ4" s="2752" t="s">
        <v>251</v>
      </c>
      <c r="CA4" s="2772" t="s">
        <v>253</v>
      </c>
      <c r="CB4" s="2731"/>
      <c r="CC4" s="2732"/>
      <c r="CD4" s="2733"/>
      <c r="CE4" s="2734"/>
      <c r="CF4" s="2731"/>
      <c r="CG4" s="2732"/>
      <c r="CH4" s="2733"/>
      <c r="CI4" s="2734"/>
    </row>
    <row r="5" spans="1:172" s="1885" customFormat="1" ht="23.25" x14ac:dyDescent="0.2">
      <c r="C5" s="4667"/>
      <c r="D5" s="1888"/>
      <c r="E5" s="2813"/>
      <c r="F5" s="2813"/>
      <c r="G5" s="2813"/>
      <c r="H5" s="2813"/>
      <c r="I5" s="2813"/>
      <c r="J5" s="2814"/>
      <c r="K5" s="2815"/>
      <c r="L5" s="2816"/>
      <c r="M5" s="2817"/>
      <c r="N5" s="2818">
        <f t="shared" ref="N5:T5" si="0">N4/N3</f>
        <v>0.19201391565477643</v>
      </c>
      <c r="O5" s="2818">
        <f t="shared" si="0"/>
        <v>0.18518191191633526</v>
      </c>
      <c r="P5" s="2818">
        <f t="shared" si="0"/>
        <v>0.21271555191904115</v>
      </c>
      <c r="Q5" s="2818">
        <f t="shared" si="0"/>
        <v>0.18911072862880093</v>
      </c>
      <c r="R5" s="2818">
        <f t="shared" si="0"/>
        <v>0.20349799551539036</v>
      </c>
      <c r="S5" s="2818">
        <f t="shared" si="0"/>
        <v>0.24483668667638822</v>
      </c>
      <c r="T5" s="2818">
        <f t="shared" si="0"/>
        <v>0.22285142183283077</v>
      </c>
      <c r="U5" s="2819"/>
      <c r="V5" s="2820">
        <f>V4/V3</f>
        <v>0.20548290809890535</v>
      </c>
      <c r="W5" s="2821">
        <v>805.07600000000002</v>
      </c>
      <c r="X5" s="2245">
        <f>W5-V4</f>
        <v>-0.43200000000001637</v>
      </c>
      <c r="Y5" s="2822"/>
      <c r="Z5" s="2818">
        <f t="shared" ref="Z5:AF5" si="1">Z4/Z3</f>
        <v>0.20224603338141356</v>
      </c>
      <c r="AA5" s="2818">
        <f t="shared" si="1"/>
        <v>0.20713999460618879</v>
      </c>
      <c r="AB5" s="2818">
        <f t="shared" si="1"/>
        <v>0.17141054149888818</v>
      </c>
      <c r="AC5" s="2818">
        <f t="shared" si="1"/>
        <v>0.20507340662921131</v>
      </c>
      <c r="AD5" s="2818">
        <f t="shared" si="1"/>
        <v>0.25764093975279234</v>
      </c>
      <c r="AE5" s="2818">
        <f t="shared" si="1"/>
        <v>0.20343632245496887</v>
      </c>
      <c r="AF5" s="2818">
        <f t="shared" si="1"/>
        <v>0.19437010247136829</v>
      </c>
      <c r="AG5" s="2823"/>
      <c r="AH5" s="2820">
        <f>AH4/AH3</f>
        <v>0.21057113721876133</v>
      </c>
      <c r="AI5" s="2821">
        <v>708.34900000000005</v>
      </c>
      <c r="AJ5" s="2245">
        <f>AI5-AH4</f>
        <v>-1.79099999999994</v>
      </c>
      <c r="AK5" s="2823"/>
      <c r="AL5" s="2818">
        <f t="shared" ref="AL5:AN5" si="2">AL4/AL3</f>
        <v>0.21406903939874999</v>
      </c>
      <c r="AM5" s="2818">
        <f t="shared" si="2"/>
        <v>0.21663540778630291</v>
      </c>
      <c r="AN5" s="2818">
        <f t="shared" si="2"/>
        <v>0.23678881238400015</v>
      </c>
      <c r="AO5" s="2818">
        <f t="shared" ref="AO5:AP5" si="3">AO4/AO3</f>
        <v>0.21235739759561947</v>
      </c>
      <c r="AP5" s="2818">
        <f t="shared" si="3"/>
        <v>0.22445720676932351</v>
      </c>
      <c r="AQ5" s="2818">
        <f t="shared" ref="AQ5" si="4">AQ4/AQ3</f>
        <v>0.20375591124045106</v>
      </c>
      <c r="AR5" s="2818">
        <f t="shared" ref="AR5:AS5" si="5">AR4/AR3</f>
        <v>0.21672250689791092</v>
      </c>
      <c r="AS5" s="3010">
        <f t="shared" si="5"/>
        <v>0.20375591124045106</v>
      </c>
      <c r="AT5" s="2820">
        <f>AT4/AT3</f>
        <v>0.2174371245859863</v>
      </c>
      <c r="AU5" s="2821">
        <v>797.48500000000001</v>
      </c>
      <c r="AV5" s="2245">
        <f>AU5-AT4</f>
        <v>4.4999999999959073E-2</v>
      </c>
      <c r="AW5" s="2402"/>
      <c r="AX5" s="2818">
        <f t="shared" ref="AX5:BD5" si="6">AX4/AX3</f>
        <v>0.22432145938617035</v>
      </c>
      <c r="AY5" s="2818">
        <f t="shared" ref="AY5:BB5" si="7">AY4/AY3</f>
        <v>0.19202520702407994</v>
      </c>
      <c r="AZ5" s="2818">
        <f t="shared" si="7"/>
        <v>0.20250127422380793</v>
      </c>
      <c r="BA5" s="2818">
        <f t="shared" si="7"/>
        <v>0.20358997861289338</v>
      </c>
      <c r="BB5" s="2818">
        <f t="shared" si="7"/>
        <v>0.21034196729008528</v>
      </c>
      <c r="BC5" s="2818">
        <f t="shared" si="6"/>
        <v>0.15714340835561708</v>
      </c>
      <c r="BD5" s="2818">
        <f t="shared" si="6"/>
        <v>0.2232713812456705</v>
      </c>
      <c r="BE5" s="2823"/>
      <c r="BF5" s="2820">
        <f>BF4/BF3</f>
        <v>0.19985175651458034</v>
      </c>
      <c r="BG5" s="2821">
        <v>887.89499999999998</v>
      </c>
      <c r="BH5" s="2245">
        <f>BG5-BF4</f>
        <v>45.043000000000006</v>
      </c>
      <c r="BI5" s="2011"/>
      <c r="BJ5" s="2818">
        <f t="shared" ref="BJ5" si="8">BJ4/BJ3</f>
        <v>0.19460707589249943</v>
      </c>
      <c r="BK5" s="2823"/>
      <c r="BL5" s="2820">
        <f>BL4/BL3</f>
        <v>0.19460707589249943</v>
      </c>
      <c r="BM5" s="2821">
        <v>145.721</v>
      </c>
      <c r="BN5" s="2245">
        <f>BM5-BL4</f>
        <v>0</v>
      </c>
      <c r="BP5" s="4614"/>
      <c r="BQ5" s="4580"/>
      <c r="BS5" s="2820">
        <f>BS4/BS3</f>
        <v>0.2073106418103606</v>
      </c>
      <c r="BT5" s="2821">
        <v>3337.3330000000001</v>
      </c>
      <c r="BU5" s="2010"/>
      <c r="BV5" s="2824">
        <f>BT5-BS4</f>
        <v>35.672000000000025</v>
      </c>
      <c r="BW5" s="1900"/>
      <c r="BX5" s="2825"/>
      <c r="BY5" s="2826" t="e">
        <f>BY3/BZ3</f>
        <v>#DIV/0!</v>
      </c>
      <c r="BZ5" s="2752" t="s">
        <v>251</v>
      </c>
      <c r="CA5" s="2828"/>
      <c r="CB5" s="2829"/>
      <c r="CC5" s="2830"/>
      <c r="CD5" s="2831"/>
      <c r="CE5" s="2832"/>
      <c r="CF5" s="2829"/>
      <c r="CG5" s="2830"/>
      <c r="CH5" s="2831"/>
      <c r="CI5" s="2832"/>
    </row>
    <row r="6" spans="1:172" ht="24" thickBot="1" x14ac:dyDescent="0.25">
      <c r="C6" s="4668"/>
      <c r="D6" s="1744"/>
      <c r="E6" s="1745"/>
      <c r="F6" s="1745"/>
      <c r="G6" s="1745"/>
      <c r="H6" s="1745"/>
      <c r="I6" s="1745"/>
      <c r="J6" s="1746"/>
      <c r="K6" s="2382"/>
      <c r="L6" s="1720"/>
      <c r="M6" s="2949"/>
      <c r="N6" s="1747"/>
      <c r="O6" s="1747"/>
      <c r="P6" s="1747"/>
      <c r="Q6" s="1747"/>
      <c r="R6" s="1747"/>
      <c r="S6" s="1747"/>
      <c r="T6" s="1747"/>
      <c r="U6" s="1748"/>
      <c r="V6" s="2021"/>
      <c r="W6" s="1786"/>
      <c r="X6" s="2278"/>
      <c r="Y6" s="2951"/>
      <c r="Z6" s="1747"/>
      <c r="AA6" s="1747"/>
      <c r="AB6" s="1747"/>
      <c r="AC6" s="1747"/>
      <c r="AD6" s="1747"/>
      <c r="AE6" s="1747"/>
      <c r="AF6" s="1747"/>
      <c r="AG6" s="1723"/>
      <c r="AH6" s="2021"/>
      <c r="AI6" s="1786"/>
      <c r="AJ6" s="2278"/>
      <c r="AK6" s="1723"/>
      <c r="AL6" s="1747"/>
      <c r="AM6" s="1747"/>
      <c r="AN6" s="1747"/>
      <c r="AO6" s="1747"/>
      <c r="AP6" s="1747"/>
      <c r="AQ6" s="1747"/>
      <c r="AR6" s="1747"/>
      <c r="AS6" s="3011"/>
      <c r="AT6" s="2021"/>
      <c r="AU6" s="1786"/>
      <c r="AV6" s="2278"/>
      <c r="AW6" s="2039"/>
      <c r="AX6" s="1747"/>
      <c r="AY6" s="1747"/>
      <c r="AZ6" s="1747"/>
      <c r="BA6" s="1747"/>
      <c r="BB6" s="1747"/>
      <c r="BC6" s="1747"/>
      <c r="BD6" s="1747"/>
      <c r="BE6" s="2039"/>
      <c r="BF6" s="2021"/>
      <c r="BG6" s="1786"/>
      <c r="BH6" s="2278"/>
      <c r="BI6" s="1994"/>
      <c r="BJ6" s="1747"/>
      <c r="BK6" s="1994"/>
      <c r="BL6" s="2021"/>
      <c r="BM6" s="1786"/>
      <c r="BN6" s="2278"/>
      <c r="BP6" s="4614"/>
      <c r="BQ6" s="4580"/>
      <c r="BS6" s="2326"/>
      <c r="BT6" s="2022">
        <f>BT5/BS3</f>
        <v>0.20955047964188214</v>
      </c>
      <c r="BU6" s="1993"/>
      <c r="BV6" s="3026">
        <f>BV5/BS4</f>
        <v>1.0804258826087846E-2</v>
      </c>
      <c r="BW6" s="1754"/>
      <c r="BX6" s="2753"/>
      <c r="BY6" s="2754"/>
      <c r="BZ6" s="2755"/>
      <c r="CA6" s="1755"/>
      <c r="CB6" s="2336"/>
      <c r="CC6" s="2337"/>
      <c r="CD6" s="2338"/>
      <c r="CE6" s="1725"/>
      <c r="CF6" s="2336"/>
      <c r="CG6" s="2337"/>
      <c r="CH6" s="2338"/>
      <c r="CI6" s="1725"/>
    </row>
    <row r="7" spans="1:172" s="1923" customFormat="1" ht="5.25" customHeight="1" thickBot="1" x14ac:dyDescent="0.25">
      <c r="C7" s="2273"/>
      <c r="D7" s="1800"/>
      <c r="E7" s="1804"/>
      <c r="F7" s="1804"/>
      <c r="G7" s="1804"/>
      <c r="H7" s="1804"/>
      <c r="I7" s="1804"/>
      <c r="J7" s="1803"/>
      <c r="K7" s="2272"/>
      <c r="L7" s="2949"/>
      <c r="M7" s="2949"/>
      <c r="N7" s="2026"/>
      <c r="O7" s="2026"/>
      <c r="P7" s="2026"/>
      <c r="Q7" s="2026"/>
      <c r="R7" s="2026"/>
      <c r="S7" s="2026"/>
      <c r="T7" s="2026"/>
      <c r="U7" s="1994"/>
      <c r="V7" s="2945"/>
      <c r="W7" s="1801"/>
      <c r="X7" s="2945"/>
      <c r="Y7" s="2950"/>
      <c r="Z7" s="2026"/>
      <c r="AA7" s="2026"/>
      <c r="AB7" s="2026"/>
      <c r="AC7" s="2026"/>
      <c r="AD7" s="2026"/>
      <c r="AE7" s="2026"/>
      <c r="AF7" s="2026"/>
      <c r="AG7" s="2950"/>
      <c r="AH7" s="2945"/>
      <c r="AI7" s="1801"/>
      <c r="AJ7" s="2945"/>
      <c r="AK7" s="2950"/>
      <c r="AL7" s="2026"/>
      <c r="AM7" s="2026"/>
      <c r="AN7" s="2026"/>
      <c r="AO7" s="2026"/>
      <c r="AP7" s="2026"/>
      <c r="AQ7" s="2026"/>
      <c r="AR7" s="2026"/>
      <c r="AS7" s="1994"/>
      <c r="AT7" s="2945"/>
      <c r="AU7" s="1801"/>
      <c r="AV7" s="2945"/>
      <c r="AW7" s="1994"/>
      <c r="AX7" s="2026"/>
      <c r="AY7" s="2026"/>
      <c r="AZ7" s="2026"/>
      <c r="BA7" s="2026"/>
      <c r="BB7" s="2026"/>
      <c r="BC7" s="2026"/>
      <c r="BD7" s="2026"/>
      <c r="BE7" s="1994"/>
      <c r="BF7" s="2945"/>
      <c r="BG7" s="1801"/>
      <c r="BH7" s="2945"/>
      <c r="BI7" s="1994"/>
      <c r="BJ7" s="2023"/>
      <c r="BK7" s="1994"/>
      <c r="BL7" s="2945"/>
      <c r="BM7" s="1801"/>
      <c r="BN7" s="2945"/>
      <c r="BP7" s="4614"/>
      <c r="BQ7" s="4580"/>
      <c r="BS7" s="1805"/>
      <c r="BT7" s="1993"/>
      <c r="BU7" s="1993"/>
      <c r="BV7" s="2325"/>
      <c r="BW7" s="1994"/>
      <c r="BX7" s="2270"/>
      <c r="BY7" s="2270"/>
      <c r="BZ7" s="2270"/>
      <c r="CA7" s="1755"/>
      <c r="CB7" s="2271"/>
      <c r="CC7" s="2271"/>
      <c r="CD7" s="2271"/>
      <c r="CE7" s="1725"/>
      <c r="CF7" s="2271"/>
      <c r="CG7" s="2271"/>
      <c r="CH7" s="2271"/>
      <c r="CI7" s="1725"/>
    </row>
    <row r="8" spans="1:172" s="1810" customFormat="1" ht="17.25" customHeight="1" x14ac:dyDescent="0.2">
      <c r="C8" s="1811" t="s">
        <v>190</v>
      </c>
      <c r="D8" s="1727"/>
      <c r="E8" s="1812"/>
      <c r="F8" s="1812"/>
      <c r="G8" s="1812"/>
      <c r="H8" s="1812"/>
      <c r="I8" s="1812"/>
      <c r="J8" s="1813">
        <f>BS8</f>
        <v>299.25550000000032</v>
      </c>
      <c r="K8" s="4564">
        <f>CA1-J8</f>
        <v>17.836000000000126</v>
      </c>
      <c r="L8" s="1760"/>
      <c r="M8" s="1761"/>
      <c r="N8" s="1735">
        <f>(N4-N40)/2</f>
        <v>10.684965517241388</v>
      </c>
      <c r="O8" s="1735">
        <f t="shared" ref="O8:T8" si="9">(O4-O40)/2</f>
        <v>-8.8900344827586082</v>
      </c>
      <c r="P8" s="1735">
        <f t="shared" si="9"/>
        <v>15.527965517241391</v>
      </c>
      <c r="Q8" s="1735">
        <f t="shared" si="9"/>
        <v>27.558465517241395</v>
      </c>
      <c r="R8" s="1735">
        <f t="shared" si="9"/>
        <v>28.265965517241391</v>
      </c>
      <c r="S8" s="1735">
        <f t="shared" si="9"/>
        <v>21.812965517241388</v>
      </c>
      <c r="T8" s="1735">
        <f t="shared" si="9"/>
        <v>-18.44853448275861</v>
      </c>
      <c r="U8" s="1814"/>
      <c r="V8" s="1771">
        <f>SUM(N8:T8)</f>
        <v>76.511758620689733</v>
      </c>
      <c r="W8" s="1815"/>
      <c r="X8" s="1816"/>
      <c r="Y8" s="1764"/>
      <c r="Z8" s="1735">
        <f t="shared" ref="Z8:AF8" si="10">(Z4-Z40)/2</f>
        <v>10.32096551724139</v>
      </c>
      <c r="AA8" s="1735">
        <f t="shared" si="10"/>
        <v>-5.5145344827586058</v>
      </c>
      <c r="AB8" s="1735">
        <f t="shared" si="10"/>
        <v>-32.345534482758609</v>
      </c>
      <c r="AC8" s="1735">
        <f t="shared" si="10"/>
        <v>1.2284655172413892</v>
      </c>
      <c r="AD8" s="1735">
        <f t="shared" si="10"/>
        <v>28.463965517241384</v>
      </c>
      <c r="AE8" s="1735">
        <f t="shared" si="10"/>
        <v>32.972965517241384</v>
      </c>
      <c r="AF8" s="1735">
        <f t="shared" si="10"/>
        <v>-6.2985344827586118</v>
      </c>
      <c r="AG8" s="1764"/>
      <c r="AH8" s="1771">
        <f>SUM(Z8:AF8)</f>
        <v>28.827758620689721</v>
      </c>
      <c r="AI8" s="1815"/>
      <c r="AJ8" s="1816"/>
      <c r="AK8" s="1764"/>
      <c r="AL8" s="1735">
        <f>(AL4-AL40)/2</f>
        <v>30.526465517241384</v>
      </c>
      <c r="AM8" s="1735">
        <f t="shared" ref="AM8:AN8" si="11">(AM4-AM40)/2</f>
        <v>10.56946551724139</v>
      </c>
      <c r="AN8" s="1735">
        <f t="shared" si="11"/>
        <v>6.5949655172413912</v>
      </c>
      <c r="AO8" s="1735">
        <f t="shared" ref="AO8:AP8" si="12">(AO4-AO40)/2</f>
        <v>15.67796551724139</v>
      </c>
      <c r="AP8" s="1735">
        <f t="shared" si="12"/>
        <v>4.7689655172413907</v>
      </c>
      <c r="AQ8" s="1735">
        <f t="shared" ref="AQ8" si="13">(AQ4-AQ40)/2</f>
        <v>-4.0365344827586114</v>
      </c>
      <c r="AR8" s="1735">
        <f>(AR4-AR40)/2</f>
        <v>8.3764655172413924</v>
      </c>
      <c r="AS8" s="2289"/>
      <c r="AT8" s="1771">
        <f>SUM(AL8:AR8)</f>
        <v>72.477758620689741</v>
      </c>
      <c r="AU8" s="1815"/>
      <c r="AV8" s="1816"/>
      <c r="AW8" s="2289"/>
      <c r="AX8" s="1735">
        <f>(AX4-AX40)/2</f>
        <v>-1.1080344827586117</v>
      </c>
      <c r="AY8" s="1735">
        <f t="shared" ref="AY8:BD8" si="14">(AY4-AY40)/2</f>
        <v>-7.8460344827586113</v>
      </c>
      <c r="AZ8" s="1735">
        <f t="shared" si="14"/>
        <v>28.086965517241389</v>
      </c>
      <c r="BA8" s="1735">
        <f t="shared" si="14"/>
        <v>-13.288534482758607</v>
      </c>
      <c r="BB8" s="1735">
        <f t="shared" si="14"/>
        <v>20.592965517241389</v>
      </c>
      <c r="BC8" s="1735">
        <f t="shared" si="14"/>
        <v>20.592965517241389</v>
      </c>
      <c r="BD8" s="1735">
        <f t="shared" si="14"/>
        <v>48.153465517241393</v>
      </c>
      <c r="BE8" s="2289"/>
      <c r="BF8" s="1771">
        <f>SUM(AX8:BD8)</f>
        <v>95.18375862068973</v>
      </c>
      <c r="BG8" s="1815"/>
      <c r="BH8" s="1816"/>
      <c r="BI8" s="1814"/>
      <c r="BJ8" s="1735">
        <f t="shared" ref="BJ8" si="15">(BJ4-BJ40)/2</f>
        <v>26.254465517241393</v>
      </c>
      <c r="BK8" s="1814"/>
      <c r="BL8" s="1771">
        <f>SUM(BJ8:BJ8)</f>
        <v>26.254465517241393</v>
      </c>
      <c r="BM8" s="1815"/>
      <c r="BN8" s="1816"/>
      <c r="BO8" s="1766"/>
      <c r="BP8" s="4614"/>
      <c r="BQ8" s="4580"/>
      <c r="BR8" s="1766"/>
      <c r="BS8" s="1771">
        <f>SUM(N8:T8)+SUM(Z8:AF8)+SUM(AL8:AR8)+SUM(AX8:BD8)+SUM(BJ8:BJ8)</f>
        <v>299.25550000000032</v>
      </c>
      <c r="BT8" s="2340"/>
      <c r="BU8" s="1830"/>
      <c r="BV8" s="2348">
        <v>0</v>
      </c>
      <c r="BW8" s="1817"/>
      <c r="BX8" s="4578" t="s">
        <v>226</v>
      </c>
      <c r="BY8" s="4578"/>
      <c r="BZ8" s="1818"/>
      <c r="CA8" s="1774"/>
      <c r="CB8" s="1766"/>
      <c r="CC8" s="1766"/>
      <c r="CD8" s="1819"/>
      <c r="CE8" s="1820"/>
      <c r="CF8" s="1766"/>
      <c r="CG8" s="1766"/>
      <c r="CH8" s="1819"/>
      <c r="CI8" s="1820"/>
      <c r="CJ8" s="1821"/>
      <c r="CK8" s="1821"/>
      <c r="CL8" s="1821"/>
      <c r="CM8" s="1821"/>
      <c r="CN8" s="1821"/>
      <c r="CO8" s="1821"/>
      <c r="CP8" s="1821"/>
      <c r="CQ8" s="1821"/>
      <c r="CR8" s="1821"/>
      <c r="CS8" s="1821"/>
      <c r="CT8" s="1821"/>
      <c r="CU8" s="1821"/>
      <c r="CV8" s="1821"/>
      <c r="CW8" s="1821"/>
      <c r="CX8" s="1821"/>
      <c r="CY8" s="1821"/>
      <c r="CZ8" s="1821"/>
      <c r="DA8" s="1821"/>
      <c r="DB8" s="1821"/>
      <c r="DC8" s="1821"/>
      <c r="DD8" s="1821"/>
      <c r="DE8" s="1821"/>
      <c r="DF8" s="1821"/>
      <c r="DG8" s="1821"/>
      <c r="DH8" s="1821"/>
      <c r="DI8" s="1821"/>
      <c r="DJ8" s="1821"/>
      <c r="DK8" s="1821"/>
      <c r="DL8" s="1821"/>
      <c r="DM8" s="1821"/>
      <c r="DN8" s="1821"/>
      <c r="DO8" s="1821"/>
      <c r="DP8" s="1821"/>
      <c r="DQ8" s="1821"/>
      <c r="DR8" s="1821"/>
      <c r="DS8" s="1821"/>
      <c r="DT8" s="1821"/>
      <c r="DU8" s="1821"/>
      <c r="DV8" s="1821"/>
      <c r="DW8" s="1821"/>
      <c r="DX8" s="1821"/>
      <c r="DY8" s="1821"/>
      <c r="DZ8" s="1821"/>
      <c r="EA8" s="1821"/>
      <c r="EB8" s="1821"/>
      <c r="EC8" s="1821"/>
      <c r="ED8" s="1821"/>
      <c r="EE8" s="1821"/>
      <c r="EF8" s="1821"/>
      <c r="EG8" s="1821"/>
      <c r="EH8" s="1821"/>
      <c r="EI8" s="1821"/>
      <c r="EJ8" s="1821"/>
      <c r="EK8" s="1821"/>
      <c r="EL8" s="1821"/>
      <c r="EM8" s="1821"/>
      <c r="EN8" s="1821"/>
      <c r="EO8" s="1821"/>
      <c r="EP8" s="1821"/>
      <c r="EQ8" s="1821"/>
      <c r="ER8" s="1821"/>
      <c r="ES8" s="1821"/>
      <c r="ET8" s="1821"/>
      <c r="EU8" s="1821"/>
      <c r="EV8" s="1821"/>
      <c r="EW8" s="1821"/>
      <c r="EX8" s="1821"/>
      <c r="EY8" s="1821"/>
      <c r="EZ8" s="1821"/>
      <c r="FA8" s="1821"/>
      <c r="FB8" s="1821"/>
      <c r="FC8" s="1821"/>
      <c r="FD8" s="1821"/>
      <c r="FE8" s="1821"/>
      <c r="FF8" s="1821"/>
      <c r="FG8" s="1821"/>
      <c r="FH8" s="1821"/>
      <c r="FI8" s="1821"/>
      <c r="FJ8" s="1821"/>
      <c r="FK8" s="1821"/>
      <c r="FL8" s="1821"/>
      <c r="FM8" s="1821"/>
      <c r="FN8" s="1821"/>
      <c r="FO8" s="1821"/>
      <c r="FP8" s="1821"/>
    </row>
    <row r="9" spans="1:172" s="1777" customFormat="1" ht="17.25" customHeight="1" thickBot="1" x14ac:dyDescent="0.25">
      <c r="C9" s="1822" t="s">
        <v>169</v>
      </c>
      <c r="D9" s="1744"/>
      <c r="E9" s="1823"/>
      <c r="F9" s="1823"/>
      <c r="G9" s="1823"/>
      <c r="H9" s="1823"/>
      <c r="I9" s="1823"/>
      <c r="J9" s="1824"/>
      <c r="K9" s="4565">
        <f t="shared" ref="K9" si="16">BP49</f>
        <v>0</v>
      </c>
      <c r="L9" s="1782"/>
      <c r="M9" s="1783"/>
      <c r="N9" s="1750">
        <f t="shared" ref="N9:T9" si="17">N8</f>
        <v>10.684965517241388</v>
      </c>
      <c r="O9" s="1750">
        <f t="shared" si="17"/>
        <v>-8.8900344827586082</v>
      </c>
      <c r="P9" s="1750">
        <f t="shared" si="17"/>
        <v>15.527965517241391</v>
      </c>
      <c r="Q9" s="1750">
        <f t="shared" si="17"/>
        <v>27.558465517241395</v>
      </c>
      <c r="R9" s="1750">
        <f t="shared" si="17"/>
        <v>28.265965517241391</v>
      </c>
      <c r="S9" s="1750">
        <f t="shared" si="17"/>
        <v>21.812965517241388</v>
      </c>
      <c r="T9" s="1750">
        <f t="shared" si="17"/>
        <v>-18.44853448275861</v>
      </c>
      <c r="U9" s="1801"/>
      <c r="V9" s="1785">
        <f>SUM(N9:T9)</f>
        <v>76.511758620689733</v>
      </c>
      <c r="W9" s="1825"/>
      <c r="X9" s="1826"/>
      <c r="Y9" s="1788"/>
      <c r="Z9" s="1750">
        <f t="shared" ref="Z9:AF9" si="18">Z8</f>
        <v>10.32096551724139</v>
      </c>
      <c r="AA9" s="1750">
        <f t="shared" si="18"/>
        <v>-5.5145344827586058</v>
      </c>
      <c r="AB9" s="1750">
        <f t="shared" si="18"/>
        <v>-32.345534482758609</v>
      </c>
      <c r="AC9" s="1750">
        <f t="shared" si="18"/>
        <v>1.2284655172413892</v>
      </c>
      <c r="AD9" s="1750">
        <f t="shared" si="18"/>
        <v>28.463965517241384</v>
      </c>
      <c r="AE9" s="1750">
        <f t="shared" si="18"/>
        <v>32.972965517241384</v>
      </c>
      <c r="AF9" s="1750">
        <f t="shared" si="18"/>
        <v>-6.2985344827586118</v>
      </c>
      <c r="AG9" s="1788"/>
      <c r="AH9" s="1785">
        <f>SUM(Z9:AF9)</f>
        <v>28.827758620689721</v>
      </c>
      <c r="AI9" s="1825"/>
      <c r="AJ9" s="1826"/>
      <c r="AK9" s="1788"/>
      <c r="AL9" s="1750">
        <f t="shared" ref="AL9:AN9" si="19">AL8</f>
        <v>30.526465517241384</v>
      </c>
      <c r="AM9" s="1750">
        <f t="shared" si="19"/>
        <v>10.56946551724139</v>
      </c>
      <c r="AN9" s="1750">
        <f t="shared" si="19"/>
        <v>6.5949655172413912</v>
      </c>
      <c r="AO9" s="1750">
        <f t="shared" ref="AO9:AP9" si="20">AO8</f>
        <v>15.67796551724139</v>
      </c>
      <c r="AP9" s="1750">
        <f t="shared" si="20"/>
        <v>4.7689655172413907</v>
      </c>
      <c r="AQ9" s="1750">
        <f t="shared" ref="AQ9:AR9" si="21">AQ8</f>
        <v>-4.0365344827586114</v>
      </c>
      <c r="AR9" s="1750">
        <f t="shared" si="21"/>
        <v>8.3764655172413924</v>
      </c>
      <c r="AS9" s="2290"/>
      <c r="AT9" s="1785">
        <f>SUM(AL9:AR9)</f>
        <v>72.477758620689741</v>
      </c>
      <c r="AU9" s="1825"/>
      <c r="AV9" s="1826"/>
      <c r="AW9" s="2290"/>
      <c r="AX9" s="1750">
        <f t="shared" ref="AX9:BD9" si="22">AX8</f>
        <v>-1.1080344827586117</v>
      </c>
      <c r="AY9" s="1750">
        <f t="shared" si="22"/>
        <v>-7.8460344827586113</v>
      </c>
      <c r="AZ9" s="1750">
        <f t="shared" si="22"/>
        <v>28.086965517241389</v>
      </c>
      <c r="BA9" s="1750">
        <f t="shared" si="22"/>
        <v>-13.288534482758607</v>
      </c>
      <c r="BB9" s="1750">
        <f t="shared" si="22"/>
        <v>20.592965517241389</v>
      </c>
      <c r="BC9" s="1750">
        <f t="shared" si="22"/>
        <v>20.592965517241389</v>
      </c>
      <c r="BD9" s="1750">
        <f t="shared" si="22"/>
        <v>48.153465517241393</v>
      </c>
      <c r="BE9" s="2290"/>
      <c r="BF9" s="1785">
        <f>SUM(AX9:BD9)</f>
        <v>95.18375862068973</v>
      </c>
      <c r="BG9" s="1825"/>
      <c r="BH9" s="1826"/>
      <c r="BI9" s="1801"/>
      <c r="BJ9" s="1750">
        <f t="shared" ref="BJ9" si="23">BJ8</f>
        <v>26.254465517241393</v>
      </c>
      <c r="BK9" s="1801"/>
      <c r="BL9" s="1785">
        <f>SUM(BJ9:BJ9)</f>
        <v>26.254465517241393</v>
      </c>
      <c r="BM9" s="1825"/>
      <c r="BN9" s="1826"/>
      <c r="BO9" s="1792"/>
      <c r="BP9" s="4614"/>
      <c r="BQ9" s="4580"/>
      <c r="BR9" s="1792"/>
      <c r="BS9" s="1793"/>
      <c r="BT9" s="2341"/>
      <c r="BU9" s="1802"/>
      <c r="BV9" s="2349"/>
      <c r="BW9" s="1795"/>
      <c r="BX9" s="4578"/>
      <c r="BY9" s="4578"/>
      <c r="BZ9" s="1805"/>
      <c r="CA9" s="1797"/>
      <c r="CB9" s="1791"/>
      <c r="CC9" s="1791"/>
      <c r="CD9" s="1807"/>
      <c r="CE9" s="1798"/>
      <c r="CF9" s="1791"/>
      <c r="CG9" s="1791"/>
      <c r="CH9" s="1807"/>
      <c r="CI9" s="1798"/>
      <c r="CJ9" s="1799"/>
      <c r="CK9" s="1799"/>
      <c r="CL9" s="1799"/>
      <c r="CM9" s="1799"/>
      <c r="CN9" s="1799"/>
      <c r="CO9" s="1799"/>
      <c r="CP9" s="1799"/>
      <c r="CQ9" s="1799"/>
      <c r="CR9" s="1799"/>
      <c r="CS9" s="1799"/>
      <c r="CT9" s="1799"/>
      <c r="CU9" s="1799"/>
      <c r="CV9" s="1799"/>
      <c r="CW9" s="1799"/>
      <c r="CX9" s="1799"/>
      <c r="CY9" s="1799"/>
      <c r="CZ9" s="1799"/>
      <c r="DA9" s="1799"/>
      <c r="DB9" s="1799"/>
      <c r="DC9" s="1799"/>
      <c r="DD9" s="1799"/>
      <c r="DE9" s="1799"/>
      <c r="DF9" s="1799"/>
      <c r="DG9" s="1799"/>
      <c r="DH9" s="1799"/>
      <c r="DI9" s="1799"/>
      <c r="DJ9" s="1799"/>
      <c r="DK9" s="1799"/>
      <c r="DL9" s="1799"/>
      <c r="DM9" s="1799"/>
      <c r="DN9" s="1799"/>
      <c r="DO9" s="1799"/>
      <c r="DP9" s="1799"/>
      <c r="DQ9" s="1799"/>
      <c r="DR9" s="1799"/>
      <c r="DS9" s="1799"/>
      <c r="DT9" s="1799"/>
      <c r="DU9" s="1799"/>
      <c r="DV9" s="1799"/>
      <c r="DW9" s="1799"/>
      <c r="DX9" s="1799"/>
      <c r="DY9" s="1799"/>
      <c r="DZ9" s="1799"/>
      <c r="EA9" s="1799"/>
      <c r="EB9" s="1799"/>
      <c r="EC9" s="1799"/>
      <c r="ED9" s="1799"/>
      <c r="EE9" s="1799"/>
      <c r="EF9" s="1799"/>
      <c r="EG9" s="1799"/>
      <c r="EH9" s="1799"/>
      <c r="EI9" s="1799"/>
      <c r="EJ9" s="1799"/>
      <c r="EK9" s="1799"/>
      <c r="EL9" s="1799"/>
      <c r="EM9" s="1799"/>
      <c r="EN9" s="1799"/>
      <c r="EO9" s="1799"/>
      <c r="EP9" s="1799"/>
      <c r="EQ9" s="1799"/>
      <c r="ER9" s="1799"/>
      <c r="ES9" s="1799"/>
      <c r="ET9" s="1799"/>
      <c r="EU9" s="1799"/>
      <c r="EV9" s="1799"/>
      <c r="EW9" s="1799"/>
      <c r="EX9" s="1799"/>
      <c r="EY9" s="1799"/>
      <c r="EZ9" s="1799"/>
      <c r="FA9" s="1799"/>
      <c r="FB9" s="1799"/>
      <c r="FC9" s="1799"/>
      <c r="FD9" s="1799"/>
      <c r="FE9" s="1799"/>
      <c r="FF9" s="1799"/>
      <c r="FG9" s="1799"/>
      <c r="FH9" s="1799"/>
      <c r="FI9" s="1799"/>
      <c r="FJ9" s="1799"/>
      <c r="FK9" s="1799"/>
      <c r="FL9" s="1799"/>
      <c r="FM9" s="1799"/>
      <c r="FN9" s="1799"/>
      <c r="FO9" s="1799"/>
      <c r="FP9" s="1799"/>
    </row>
    <row r="10" spans="1:172" s="1800" customFormat="1" ht="4.5" customHeight="1" thickBot="1" x14ac:dyDescent="0.25">
      <c r="E10" s="1791"/>
      <c r="F10" s="1791"/>
      <c r="G10" s="1791"/>
      <c r="H10" s="1791"/>
      <c r="I10" s="1791"/>
      <c r="J10" s="1791"/>
      <c r="K10" s="1783"/>
      <c r="L10" s="1782"/>
      <c r="M10" s="1783"/>
      <c r="N10" s="1803"/>
      <c r="O10" s="1803"/>
      <c r="P10" s="1803"/>
      <c r="Q10" s="1803"/>
      <c r="R10" s="1803"/>
      <c r="S10" s="1803"/>
      <c r="T10" s="1803"/>
      <c r="U10" s="1801"/>
      <c r="V10" s="1801"/>
      <c r="W10" s="1801"/>
      <c r="X10" s="1801"/>
      <c r="Y10" s="1791"/>
      <c r="Z10" s="1803"/>
      <c r="AA10" s="1803"/>
      <c r="AB10" s="1803"/>
      <c r="AC10" s="1803"/>
      <c r="AD10" s="1803"/>
      <c r="AE10" s="1803"/>
      <c r="AF10" s="1803"/>
      <c r="AG10" s="1791"/>
      <c r="AH10" s="1801"/>
      <c r="AI10" s="1801"/>
      <c r="AJ10" s="1801"/>
      <c r="AK10" s="1791"/>
      <c r="AL10" s="1803"/>
      <c r="AM10" s="1803"/>
      <c r="AN10" s="1803"/>
      <c r="AO10" s="1803"/>
      <c r="AP10" s="1803"/>
      <c r="AQ10" s="1803"/>
      <c r="AR10" s="1803"/>
      <c r="AS10" s="1801"/>
      <c r="AT10" s="1801"/>
      <c r="AU10" s="1801"/>
      <c r="AV10" s="1801"/>
      <c r="AW10" s="1801"/>
      <c r="AX10" s="1803"/>
      <c r="AY10" s="1803"/>
      <c r="AZ10" s="1803"/>
      <c r="BA10" s="1803"/>
      <c r="BB10" s="1803"/>
      <c r="BC10" s="1803"/>
      <c r="BD10" s="1803"/>
      <c r="BE10" s="1801"/>
      <c r="BF10" s="1801"/>
      <c r="BG10" s="1801"/>
      <c r="BH10" s="1801"/>
      <c r="BI10" s="1801"/>
      <c r="BJ10" s="1803"/>
      <c r="BK10" s="1801"/>
      <c r="BL10" s="1801"/>
      <c r="BM10" s="1801"/>
      <c r="BN10" s="1801"/>
      <c r="BO10" s="1791"/>
      <c r="BP10" s="4614"/>
      <c r="BQ10" s="4580"/>
      <c r="BR10" s="1791"/>
      <c r="BS10" s="1801"/>
      <c r="BT10" s="1802"/>
      <c r="BU10" s="1802"/>
      <c r="BV10" s="1805"/>
      <c r="BW10" s="1806"/>
      <c r="BX10" s="1801"/>
      <c r="BY10" s="1805"/>
      <c r="BZ10" s="1805"/>
      <c r="CA10" s="1797"/>
      <c r="CB10" s="1791"/>
      <c r="CC10" s="1791"/>
      <c r="CD10" s="1807"/>
      <c r="CE10" s="1808"/>
      <c r="CF10" s="1791"/>
      <c r="CG10" s="1791"/>
      <c r="CH10" s="1807"/>
      <c r="CI10" s="1808"/>
      <c r="CJ10" s="1809"/>
      <c r="CK10" s="1809"/>
      <c r="CL10" s="1809"/>
      <c r="CM10" s="1809"/>
      <c r="CN10" s="1809"/>
      <c r="CO10" s="1809"/>
      <c r="CP10" s="1809"/>
      <c r="CQ10" s="1809"/>
      <c r="CR10" s="1809"/>
      <c r="CS10" s="1809"/>
      <c r="CT10" s="1809"/>
      <c r="CU10" s="1809"/>
      <c r="CV10" s="1809"/>
      <c r="CW10" s="1809"/>
      <c r="CX10" s="1809"/>
      <c r="CY10" s="1809"/>
      <c r="CZ10" s="1809"/>
      <c r="DA10" s="1809"/>
      <c r="DB10" s="1809"/>
      <c r="DC10" s="1809"/>
      <c r="DD10" s="1809"/>
      <c r="DE10" s="1809"/>
      <c r="DF10" s="1809"/>
      <c r="DG10" s="1809"/>
      <c r="DH10" s="1809"/>
      <c r="DI10" s="1809"/>
      <c r="DJ10" s="1809"/>
      <c r="DK10" s="1809"/>
      <c r="DL10" s="1809"/>
      <c r="DM10" s="1809"/>
      <c r="DN10" s="1809"/>
      <c r="DO10" s="1809"/>
      <c r="DP10" s="1809"/>
      <c r="DQ10" s="1809"/>
      <c r="DR10" s="1809"/>
      <c r="DS10" s="1809"/>
      <c r="DT10" s="1809"/>
      <c r="DU10" s="1809"/>
      <c r="DV10" s="1809"/>
      <c r="DW10" s="1809"/>
      <c r="DX10" s="1809"/>
      <c r="DY10" s="1809"/>
      <c r="DZ10" s="1809"/>
      <c r="EA10" s="1809"/>
      <c r="EB10" s="1809"/>
      <c r="EC10" s="1809"/>
      <c r="ED10" s="1809"/>
      <c r="EE10" s="1809"/>
      <c r="EF10" s="1809"/>
      <c r="EG10" s="1809"/>
      <c r="EH10" s="1809"/>
      <c r="EI10" s="1809"/>
      <c r="EJ10" s="1809"/>
      <c r="EK10" s="1809"/>
      <c r="EL10" s="1809"/>
      <c r="EM10" s="1809"/>
      <c r="EN10" s="1809"/>
      <c r="EO10" s="1809"/>
      <c r="EP10" s="1809"/>
      <c r="EQ10" s="1809"/>
      <c r="ER10" s="1809"/>
      <c r="ES10" s="1809"/>
      <c r="ET10" s="1809"/>
      <c r="EU10" s="1809"/>
      <c r="EV10" s="1809"/>
      <c r="EW10" s="1809"/>
      <c r="EX10" s="1809"/>
      <c r="EY10" s="1809"/>
      <c r="EZ10" s="1809"/>
      <c r="FA10" s="1809"/>
      <c r="FB10" s="1809"/>
      <c r="FC10" s="1809"/>
      <c r="FD10" s="1809"/>
      <c r="FE10" s="1809"/>
      <c r="FF10" s="1809"/>
      <c r="FG10" s="1809"/>
      <c r="FH10" s="1809"/>
      <c r="FI10" s="1809"/>
      <c r="FJ10" s="1809"/>
      <c r="FK10" s="1809"/>
      <c r="FL10" s="1809"/>
      <c r="FM10" s="1809"/>
      <c r="FN10" s="1809"/>
      <c r="FO10" s="1809"/>
      <c r="FP10" s="1809"/>
    </row>
    <row r="11" spans="1:172" s="1756" customFormat="1" ht="15" customHeight="1" x14ac:dyDescent="0.2">
      <c r="C11" s="1810"/>
      <c r="D11" s="1810"/>
      <c r="K11" s="1810"/>
      <c r="L11" s="1827"/>
      <c r="M11" s="1810"/>
      <c r="N11" s="1735" t="s">
        <v>46</v>
      </c>
      <c r="O11" s="1735" t="s">
        <v>47</v>
      </c>
      <c r="P11" s="1735" t="s">
        <v>48</v>
      </c>
      <c r="Q11" s="1735" t="s">
        <v>49</v>
      </c>
      <c r="R11" s="1735" t="s">
        <v>50</v>
      </c>
      <c r="S11" s="1735" t="s">
        <v>51</v>
      </c>
      <c r="T11" s="1728" t="s">
        <v>45</v>
      </c>
      <c r="U11" s="1814"/>
      <c r="V11" s="1771"/>
      <c r="W11" s="1815"/>
      <c r="X11" s="1816"/>
      <c r="Y11" s="1764"/>
      <c r="Z11" s="1735" t="s">
        <v>46</v>
      </c>
      <c r="AA11" s="1735" t="s">
        <v>47</v>
      </c>
      <c r="AB11" s="1735" t="s">
        <v>48</v>
      </c>
      <c r="AC11" s="1735" t="s">
        <v>49</v>
      </c>
      <c r="AD11" s="1735" t="s">
        <v>50</v>
      </c>
      <c r="AE11" s="1735" t="s">
        <v>51</v>
      </c>
      <c r="AF11" s="1728" t="s">
        <v>45</v>
      </c>
      <c r="AG11" s="1764"/>
      <c r="AH11" s="1771"/>
      <c r="AI11" s="1815"/>
      <c r="AJ11" s="1829"/>
      <c r="AK11" s="1764"/>
      <c r="AL11" s="1735" t="s">
        <v>46</v>
      </c>
      <c r="AM11" s="1735" t="s">
        <v>47</v>
      </c>
      <c r="AN11" s="1735" t="s">
        <v>48</v>
      </c>
      <c r="AO11" s="1735" t="s">
        <v>49</v>
      </c>
      <c r="AP11" s="1735" t="s">
        <v>50</v>
      </c>
      <c r="AQ11" s="1735" t="s">
        <v>51</v>
      </c>
      <c r="AR11" s="1728" t="s">
        <v>45</v>
      </c>
      <c r="AS11" s="2289"/>
      <c r="AT11" s="1771"/>
      <c r="AU11" s="1815"/>
      <c r="AV11" s="1816"/>
      <c r="AW11" s="2289"/>
      <c r="AX11" s="1735" t="s">
        <v>46</v>
      </c>
      <c r="AY11" s="1735" t="s">
        <v>47</v>
      </c>
      <c r="AZ11" s="1735" t="s">
        <v>48</v>
      </c>
      <c r="BA11" s="1735" t="s">
        <v>49</v>
      </c>
      <c r="BB11" s="1735" t="s">
        <v>50</v>
      </c>
      <c r="BC11" s="1735" t="s">
        <v>51</v>
      </c>
      <c r="BD11" s="1728" t="s">
        <v>45</v>
      </c>
      <c r="BE11" s="2289"/>
      <c r="BF11" s="1771"/>
      <c r="BG11" s="1815"/>
      <c r="BH11" s="1816"/>
      <c r="BI11" s="1814"/>
      <c r="BJ11" s="1735" t="s">
        <v>46</v>
      </c>
      <c r="BK11" s="1814"/>
      <c r="BL11" s="1771"/>
      <c r="BM11" s="1815"/>
      <c r="BN11" s="1816"/>
      <c r="BP11" s="4614"/>
      <c r="BQ11" s="4580"/>
      <c r="BS11" s="1814"/>
      <c r="BT11" s="1830"/>
      <c r="BU11" s="1830"/>
      <c r="BV11" s="1818"/>
      <c r="BW11" s="2942"/>
      <c r="BX11" s="2742">
        <f>BT4-BS1</f>
        <v>0.22141242624345692</v>
      </c>
      <c r="BY11" s="4607"/>
      <c r="BZ11" s="4608" t="s">
        <v>101</v>
      </c>
      <c r="CA11" s="1831"/>
      <c r="CB11" s="1832"/>
      <c r="CC11" s="1832" t="s">
        <v>252</v>
      </c>
      <c r="CD11" s="1833"/>
      <c r="CE11" s="1776"/>
      <c r="CF11" s="1776"/>
      <c r="CG11" s="1776"/>
      <c r="CH11" s="1834"/>
      <c r="CI11" s="1776"/>
      <c r="CJ11" s="1776"/>
      <c r="CK11" s="1776"/>
      <c r="CL11" s="1776"/>
      <c r="CM11" s="1776"/>
      <c r="CN11" s="1776"/>
      <c r="CO11" s="1776"/>
      <c r="CP11" s="1776"/>
      <c r="CQ11" s="1776"/>
      <c r="CR11" s="1776"/>
      <c r="CS11" s="1776"/>
      <c r="CT11" s="1776"/>
      <c r="CU11" s="1776"/>
      <c r="CV11" s="1776"/>
      <c r="CW11" s="1776"/>
      <c r="CX11" s="1776"/>
      <c r="CY11" s="1776"/>
      <c r="CZ11" s="1776"/>
      <c r="DA11" s="1776"/>
      <c r="DB11" s="1776"/>
      <c r="DC11" s="1776"/>
      <c r="DD11" s="1776"/>
      <c r="DE11" s="1776"/>
      <c r="DF11" s="1776"/>
      <c r="DG11" s="1776"/>
      <c r="DH11" s="1776"/>
      <c r="DI11" s="1776"/>
      <c r="DJ11" s="1776"/>
      <c r="DK11" s="1776"/>
      <c r="DL11" s="1776"/>
      <c r="DM11" s="1776"/>
      <c r="DN11" s="1776"/>
      <c r="DO11" s="1776"/>
      <c r="DP11" s="1776"/>
      <c r="DQ11" s="1776"/>
      <c r="DR11" s="1776"/>
      <c r="DS11" s="1776"/>
      <c r="DT11" s="1776"/>
      <c r="DU11" s="1776"/>
      <c r="DV11" s="1776"/>
      <c r="DW11" s="1776"/>
      <c r="DX11" s="1776"/>
      <c r="DY11" s="1776"/>
      <c r="DZ11" s="1776"/>
      <c r="EA11" s="1776"/>
      <c r="EB11" s="1776"/>
      <c r="EC11" s="1776"/>
      <c r="ED11" s="1776"/>
      <c r="EE11" s="1776"/>
      <c r="EF11" s="1776"/>
      <c r="EG11" s="1776"/>
      <c r="EH11" s="1776"/>
      <c r="EI11" s="1776"/>
      <c r="EJ11" s="1776"/>
      <c r="EK11" s="1776"/>
      <c r="EL11" s="1776"/>
      <c r="EM11" s="1776"/>
      <c r="EN11" s="1776"/>
      <c r="EO11" s="1776"/>
      <c r="EP11" s="1776"/>
      <c r="EQ11" s="1776"/>
      <c r="ER11" s="1776"/>
      <c r="ES11" s="1776"/>
      <c r="ET11" s="1776"/>
      <c r="EU11" s="1776"/>
      <c r="EV11" s="1776"/>
      <c r="EW11" s="1776"/>
      <c r="EX11" s="1776"/>
      <c r="EY11" s="1776"/>
      <c r="EZ11" s="1776"/>
      <c r="FA11" s="1776"/>
      <c r="FB11" s="1776"/>
      <c r="FC11" s="1776"/>
      <c r="FD11" s="1776"/>
      <c r="FE11" s="1776"/>
      <c r="FF11" s="1776"/>
      <c r="FG11" s="1776"/>
      <c r="FH11" s="1776"/>
      <c r="FI11" s="1776"/>
      <c r="FJ11" s="1776"/>
      <c r="FK11" s="1776"/>
      <c r="FL11" s="1776"/>
      <c r="FM11" s="1776"/>
      <c r="FN11" s="1776"/>
      <c r="FO11" s="1776"/>
      <c r="FP11" s="1776"/>
    </row>
    <row r="12" spans="1:172" s="1777" customFormat="1" ht="18.75" thickBot="1" x14ac:dyDescent="0.25">
      <c r="B12" s="1835" t="s">
        <v>0</v>
      </c>
      <c r="C12" s="1836" t="s">
        <v>1</v>
      </c>
      <c r="D12" s="1744"/>
      <c r="E12" s="1836" t="s">
        <v>24</v>
      </c>
      <c r="F12" s="1837" t="s">
        <v>108</v>
      </c>
      <c r="G12" s="1838" t="s">
        <v>109</v>
      </c>
      <c r="H12" s="1839" t="s">
        <v>110</v>
      </c>
      <c r="I12" s="1840" t="s">
        <v>111</v>
      </c>
      <c r="J12" s="1841" t="s">
        <v>107</v>
      </c>
      <c r="K12" s="1836" t="s">
        <v>2</v>
      </c>
      <c r="L12" s="1842"/>
      <c r="M12" s="1800"/>
      <c r="N12" s="1835">
        <v>1</v>
      </c>
      <c r="O12" s="1835">
        <v>2</v>
      </c>
      <c r="P12" s="1835">
        <v>3</v>
      </c>
      <c r="Q12" s="1835">
        <v>4</v>
      </c>
      <c r="R12" s="1835">
        <v>5</v>
      </c>
      <c r="S12" s="1835">
        <v>6</v>
      </c>
      <c r="T12" s="1835">
        <v>7</v>
      </c>
      <c r="U12" s="1843"/>
      <c r="V12" s="1844"/>
      <c r="W12" s="1845"/>
      <c r="X12" s="1846"/>
      <c r="Y12" s="1847"/>
      <c r="Z12" s="1835">
        <v>8</v>
      </c>
      <c r="AA12" s="1835">
        <v>9</v>
      </c>
      <c r="AB12" s="1835">
        <v>10</v>
      </c>
      <c r="AC12" s="1835">
        <v>11</v>
      </c>
      <c r="AD12" s="1835">
        <v>12</v>
      </c>
      <c r="AE12" s="1835">
        <v>13</v>
      </c>
      <c r="AF12" s="1835">
        <v>14</v>
      </c>
      <c r="AG12" s="1744"/>
      <c r="AH12" s="1844"/>
      <c r="AI12" s="1845"/>
      <c r="AJ12" s="1846"/>
      <c r="AK12" s="1744"/>
      <c r="AL12" s="1835">
        <v>15</v>
      </c>
      <c r="AM12" s="1835">
        <v>16</v>
      </c>
      <c r="AN12" s="1835">
        <v>17</v>
      </c>
      <c r="AO12" s="1835">
        <v>18</v>
      </c>
      <c r="AP12" s="1835">
        <v>19</v>
      </c>
      <c r="AQ12" s="1835">
        <v>20</v>
      </c>
      <c r="AR12" s="1835">
        <v>20</v>
      </c>
      <c r="AS12" s="2291"/>
      <c r="AT12" s="1844"/>
      <c r="AU12" s="1845"/>
      <c r="AV12" s="1846"/>
      <c r="AW12" s="2291"/>
      <c r="AX12" s="1835">
        <v>22</v>
      </c>
      <c r="AY12" s="1835">
        <v>23</v>
      </c>
      <c r="AZ12" s="1835">
        <v>24</v>
      </c>
      <c r="BA12" s="1835">
        <v>25</v>
      </c>
      <c r="BB12" s="1835">
        <v>26</v>
      </c>
      <c r="BC12" s="1835">
        <v>27</v>
      </c>
      <c r="BD12" s="1835">
        <v>28</v>
      </c>
      <c r="BE12" s="2291"/>
      <c r="BF12" s="1844"/>
      <c r="BG12" s="1845"/>
      <c r="BH12" s="1846"/>
      <c r="BI12" s="1806"/>
      <c r="BJ12" s="1835">
        <v>29</v>
      </c>
      <c r="BK12" s="1806"/>
      <c r="BL12" s="1844"/>
      <c r="BM12" s="1845"/>
      <c r="BN12" s="1846"/>
      <c r="BP12" s="4615"/>
      <c r="BQ12" s="4581"/>
      <c r="BS12" s="1835" t="s">
        <v>7</v>
      </c>
      <c r="BT12" s="1835" t="s">
        <v>2</v>
      </c>
      <c r="BU12" s="1806"/>
      <c r="BV12" s="1806"/>
      <c r="BW12" s="1795"/>
      <c r="BX12" s="2743"/>
      <c r="BY12" s="4607"/>
      <c r="BZ12" s="4608"/>
      <c r="CA12" s="1848"/>
      <c r="CB12" s="1799"/>
      <c r="CC12" s="1799"/>
      <c r="CD12" s="1799"/>
      <c r="CE12" s="1799"/>
      <c r="CF12" s="1799"/>
      <c r="CG12" s="1799"/>
      <c r="CH12" s="1799"/>
      <c r="CI12" s="1799"/>
      <c r="CJ12" s="1799"/>
      <c r="CK12" s="1799"/>
      <c r="CL12" s="1799"/>
      <c r="CM12" s="1799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799"/>
      <c r="DR12" s="1799"/>
      <c r="DS12" s="1799"/>
      <c r="DT12" s="1799"/>
      <c r="DU12" s="1799"/>
      <c r="DV12" s="1799"/>
      <c r="DW12" s="1799"/>
      <c r="DX12" s="1799"/>
      <c r="DY12" s="1799"/>
      <c r="DZ12" s="1799"/>
      <c r="EA12" s="1799"/>
      <c r="EB12" s="1799"/>
      <c r="EC12" s="1799"/>
      <c r="ED12" s="1799"/>
      <c r="EE12" s="1799"/>
      <c r="EF12" s="1799"/>
      <c r="EG12" s="1799"/>
      <c r="EH12" s="1799"/>
      <c r="EI12" s="1799"/>
      <c r="EJ12" s="1799"/>
      <c r="EK12" s="1799"/>
      <c r="EL12" s="1799"/>
      <c r="EM12" s="1799"/>
      <c r="EN12" s="1799"/>
      <c r="EO12" s="1799"/>
      <c r="EP12" s="1799"/>
      <c r="EQ12" s="1799"/>
      <c r="ER12" s="1799"/>
      <c r="ES12" s="1799"/>
      <c r="ET12" s="1799"/>
      <c r="EU12" s="1799"/>
      <c r="EV12" s="1799"/>
      <c r="EW12" s="1799"/>
      <c r="EX12" s="1799"/>
      <c r="EY12" s="1799"/>
      <c r="EZ12" s="1799"/>
      <c r="FA12" s="1799"/>
      <c r="FB12" s="1799"/>
      <c r="FC12" s="1799"/>
      <c r="FD12" s="1799"/>
      <c r="FE12" s="1799"/>
      <c r="FF12" s="1799"/>
      <c r="FG12" s="1799"/>
      <c r="FH12" s="1799"/>
      <c r="FI12" s="1799"/>
      <c r="FJ12" s="1799"/>
      <c r="FK12" s="1799"/>
      <c r="FL12" s="1799"/>
      <c r="FM12" s="1799"/>
      <c r="FN12" s="1799"/>
      <c r="FO12" s="1799"/>
      <c r="FP12" s="1799"/>
    </row>
    <row r="13" spans="1:172" s="1777" customFormat="1" ht="4.5" customHeight="1" x14ac:dyDescent="0.2">
      <c r="B13" s="1806"/>
      <c r="C13" s="1800"/>
      <c r="D13" s="1800"/>
      <c r="E13" s="1800"/>
      <c r="F13" s="1849"/>
      <c r="G13" s="1850"/>
      <c r="H13" s="1851"/>
      <c r="I13" s="1852"/>
      <c r="J13" s="1800"/>
      <c r="K13" s="1800"/>
      <c r="L13" s="1842"/>
      <c r="M13" s="1800"/>
      <c r="N13" s="1806"/>
      <c r="O13" s="1806"/>
      <c r="P13" s="1806"/>
      <c r="Q13" s="1806"/>
      <c r="R13" s="1806"/>
      <c r="S13" s="1806"/>
      <c r="T13" s="1806"/>
      <c r="U13" s="1806"/>
      <c r="V13" s="1806"/>
      <c r="W13" s="1806"/>
      <c r="X13" s="1806"/>
      <c r="Y13" s="1800"/>
      <c r="Z13" s="1806"/>
      <c r="AA13" s="1806"/>
      <c r="AB13" s="1806"/>
      <c r="AC13" s="1806"/>
      <c r="AD13" s="1806"/>
      <c r="AE13" s="1806"/>
      <c r="AF13" s="1806"/>
      <c r="AG13" s="1800"/>
      <c r="AH13" s="1806"/>
      <c r="AI13" s="1806"/>
      <c r="AJ13" s="1806"/>
      <c r="AK13" s="1800"/>
      <c r="AL13" s="1806"/>
      <c r="AM13" s="1806"/>
      <c r="AN13" s="1806"/>
      <c r="AO13" s="1806"/>
      <c r="AP13" s="1806"/>
      <c r="AQ13" s="1806"/>
      <c r="AR13" s="1806"/>
      <c r="AS13" s="1806"/>
      <c r="AT13" s="1806"/>
      <c r="AU13" s="1806"/>
      <c r="AV13" s="1806"/>
      <c r="AW13" s="1806"/>
      <c r="AX13" s="1806"/>
      <c r="AY13" s="1806"/>
      <c r="AZ13" s="1806"/>
      <c r="BA13" s="1806"/>
      <c r="BB13" s="1806"/>
      <c r="BC13" s="1806"/>
      <c r="BD13" s="1806"/>
      <c r="BE13" s="1806"/>
      <c r="BF13" s="1806"/>
      <c r="BG13" s="1806"/>
      <c r="BH13" s="1806"/>
      <c r="BI13" s="1806"/>
      <c r="BJ13" s="1806"/>
      <c r="BK13" s="1806"/>
      <c r="BL13" s="1806"/>
      <c r="BM13" s="1806"/>
      <c r="BN13" s="1806"/>
      <c r="BP13" s="1853"/>
      <c r="BQ13" s="1854"/>
      <c r="BS13" s="1800"/>
      <c r="BT13" s="1800"/>
      <c r="BU13" s="1800"/>
      <c r="BV13" s="1800"/>
      <c r="BX13" s="1855"/>
      <c r="BY13" s="1800"/>
      <c r="BZ13" s="1800"/>
      <c r="CA13" s="1856"/>
      <c r="CB13" s="1800"/>
      <c r="CC13" s="1800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  <c r="CY13" s="1800"/>
      <c r="CZ13" s="1800"/>
      <c r="DA13" s="1800"/>
      <c r="DB13" s="1800"/>
      <c r="DC13" s="1800"/>
      <c r="DD13" s="1800"/>
      <c r="DE13" s="1800"/>
      <c r="DF13" s="1800"/>
      <c r="DG13" s="1800"/>
      <c r="DH13" s="1800"/>
      <c r="DI13" s="1800"/>
      <c r="DJ13" s="1800"/>
      <c r="DK13" s="1800"/>
      <c r="DL13" s="1800"/>
      <c r="DM13" s="1800"/>
      <c r="DN13" s="1800"/>
      <c r="DO13" s="1800"/>
      <c r="DP13" s="1800"/>
      <c r="DQ13" s="1800"/>
      <c r="DR13" s="1800"/>
      <c r="DS13" s="1800"/>
      <c r="DT13" s="1800"/>
      <c r="DU13" s="1800"/>
      <c r="DV13" s="1800"/>
      <c r="DW13" s="1800"/>
      <c r="DX13" s="1800"/>
      <c r="DY13" s="1800"/>
      <c r="DZ13" s="1800"/>
      <c r="EA13" s="1800"/>
      <c r="EB13" s="1800"/>
      <c r="EC13" s="1800"/>
      <c r="ED13" s="1800"/>
      <c r="EE13" s="1800"/>
      <c r="EF13" s="1800"/>
      <c r="EG13" s="1800"/>
      <c r="EH13" s="1800"/>
      <c r="EI13" s="1800"/>
      <c r="EJ13" s="1800"/>
      <c r="EK13" s="1800"/>
      <c r="EL13" s="1800"/>
      <c r="EM13" s="1800"/>
      <c r="EN13" s="1800"/>
      <c r="EO13" s="1800"/>
      <c r="EP13" s="1800"/>
      <c r="EQ13" s="1800"/>
      <c r="ER13" s="1800"/>
      <c r="ES13" s="1800"/>
      <c r="ET13" s="1800"/>
      <c r="EU13" s="1800"/>
      <c r="EV13" s="1800"/>
      <c r="EW13" s="1800"/>
      <c r="EX13" s="1800"/>
      <c r="EY13" s="1800"/>
      <c r="EZ13" s="1800"/>
      <c r="FA13" s="1800"/>
      <c r="FB13" s="1800"/>
      <c r="FC13" s="1800"/>
      <c r="FD13" s="1800"/>
      <c r="FE13" s="1800"/>
      <c r="FF13" s="1800"/>
      <c r="FG13" s="1800"/>
      <c r="FH13" s="1800"/>
      <c r="FI13" s="1800"/>
      <c r="FJ13" s="1800"/>
      <c r="FK13" s="1800"/>
      <c r="FL13" s="1800"/>
      <c r="FM13" s="1800"/>
      <c r="FN13" s="1800"/>
      <c r="FO13" s="1800"/>
      <c r="FP13" s="1800"/>
    </row>
    <row r="14" spans="1:172" s="1810" customFormat="1" ht="21" thickBot="1" x14ac:dyDescent="0.25">
      <c r="B14" s="1963"/>
      <c r="C14" s="1964" t="s">
        <v>188</v>
      </c>
      <c r="D14" s="2578"/>
      <c r="E14" s="1728"/>
      <c r="F14" s="1728"/>
      <c r="G14" s="1728"/>
      <c r="H14" s="1728"/>
      <c r="I14" s="1728"/>
      <c r="J14" s="1728">
        <f>J40*100/20</f>
        <v>466.06034482758605</v>
      </c>
      <c r="K14" s="2383">
        <f>J14*BY18</f>
        <v>13515.749999999996</v>
      </c>
      <c r="L14" s="1924"/>
      <c r="M14" s="1966"/>
      <c r="N14" s="2266"/>
      <c r="O14" s="2266"/>
      <c r="P14" s="2266"/>
      <c r="Q14" s="2266"/>
      <c r="R14" s="2266"/>
      <c r="S14" s="2266"/>
      <c r="T14" s="2266"/>
      <c r="U14" s="1814"/>
      <c r="V14" s="4588"/>
      <c r="W14" s="4588"/>
      <c r="X14" s="4588"/>
      <c r="Y14" s="1766"/>
      <c r="Z14" s="2266"/>
      <c r="AA14" s="2266"/>
      <c r="AB14" s="2266"/>
      <c r="AC14" s="2266"/>
      <c r="AD14" s="2266"/>
      <c r="AE14" s="2266"/>
      <c r="AF14" s="2266"/>
      <c r="AG14" s="1766"/>
      <c r="AH14" s="4588"/>
      <c r="AI14" s="4588"/>
      <c r="AJ14" s="4588"/>
      <c r="AK14" s="1766"/>
      <c r="AL14" s="2266"/>
      <c r="AM14" s="2266"/>
      <c r="AN14" s="2266"/>
      <c r="AO14" s="2266"/>
      <c r="AP14" s="2266"/>
      <c r="AQ14" s="2266"/>
      <c r="AR14" s="2266"/>
      <c r="AS14" s="1814"/>
      <c r="AT14" s="4588"/>
      <c r="AU14" s="4588"/>
      <c r="AV14" s="4588"/>
      <c r="AW14" s="1814"/>
      <c r="AX14" s="2266"/>
      <c r="AY14" s="2266"/>
      <c r="AZ14" s="4589"/>
      <c r="BA14" s="4589"/>
      <c r="BB14" s="4589"/>
      <c r="BC14" s="4589"/>
      <c r="BD14" s="4589"/>
      <c r="BE14" s="1814"/>
      <c r="BF14" s="4588"/>
      <c r="BG14" s="4588"/>
      <c r="BH14" s="4588"/>
      <c r="BI14" s="1814"/>
      <c r="BJ14" s="2940"/>
      <c r="BK14" s="1814"/>
      <c r="BL14" s="4588"/>
      <c r="BM14" s="4588"/>
      <c r="BN14" s="4588"/>
      <c r="BP14" s="2940"/>
      <c r="BQ14" s="1968"/>
      <c r="BR14" s="1817"/>
      <c r="BS14" s="1814"/>
      <c r="BT14" s="1830"/>
      <c r="BU14" s="1830"/>
      <c r="BV14" s="1761"/>
      <c r="BX14" s="1860"/>
      <c r="BY14" s="2946"/>
      <c r="BZ14" s="1860"/>
      <c r="CA14" s="1860"/>
      <c r="CB14" s="1860"/>
      <c r="CC14" s="1860"/>
      <c r="CD14" s="1860"/>
      <c r="CE14" s="1860"/>
      <c r="CF14" s="1860"/>
    </row>
    <row r="15" spans="1:172" x14ac:dyDescent="0.2">
      <c r="A15" s="1777"/>
      <c r="B15" s="1987">
        <v>13</v>
      </c>
      <c r="C15" s="1987" t="s">
        <v>197</v>
      </c>
      <c r="D15" s="1836"/>
      <c r="E15" s="1746">
        <v>1500</v>
      </c>
      <c r="F15" s="1746">
        <v>108.33333333333333</v>
      </c>
      <c r="G15" s="1746">
        <v>72.222222222222214</v>
      </c>
      <c r="H15" s="1746">
        <v>54.166666666666664</v>
      </c>
      <c r="I15" s="1746">
        <v>43.333333333333329</v>
      </c>
      <c r="J15" s="1746">
        <f>E15/29</f>
        <v>51.724137931034484</v>
      </c>
      <c r="K15" s="2583">
        <f t="shared" ref="K15:K38" si="24">E15/$E$40</f>
        <v>0.55490816269907339</v>
      </c>
      <c r="L15" s="1909"/>
      <c r="M15" s="1910"/>
      <c r="N15" s="1746">
        <f t="shared" ref="N15:T15" si="25">$J$15</f>
        <v>51.724137931034484</v>
      </c>
      <c r="O15" s="1746">
        <f t="shared" si="25"/>
        <v>51.724137931034484</v>
      </c>
      <c r="P15" s="1746">
        <f t="shared" si="25"/>
        <v>51.724137931034484</v>
      </c>
      <c r="Q15" s="1746">
        <f t="shared" si="25"/>
        <v>51.724137931034484</v>
      </c>
      <c r="R15" s="1746">
        <f t="shared" si="25"/>
        <v>51.724137931034484</v>
      </c>
      <c r="S15" s="1746">
        <f t="shared" si="25"/>
        <v>51.724137931034484</v>
      </c>
      <c r="T15" s="1746">
        <f t="shared" si="25"/>
        <v>51.724137931034484</v>
      </c>
      <c r="U15" s="2945"/>
      <c r="V15" s="1972">
        <f>SUM(N15:T15)</f>
        <v>362.06896551724139</v>
      </c>
      <c r="W15" s="1973">
        <f>($V$3*K15)*$V$5</f>
        <v>446.98296431940526</v>
      </c>
      <c r="X15" s="1974">
        <f>W15-V15</f>
        <v>84.91399880216386</v>
      </c>
      <c r="Y15" s="1914"/>
      <c r="Z15" s="1746">
        <f t="shared" ref="Z15:AF15" si="26">$J$15</f>
        <v>51.724137931034484</v>
      </c>
      <c r="AA15" s="1746">
        <f t="shared" si="26"/>
        <v>51.724137931034484</v>
      </c>
      <c r="AB15" s="1746">
        <f t="shared" si="26"/>
        <v>51.724137931034484</v>
      </c>
      <c r="AC15" s="1746">
        <f t="shared" si="26"/>
        <v>51.724137931034484</v>
      </c>
      <c r="AD15" s="1746">
        <f t="shared" si="26"/>
        <v>51.724137931034484</v>
      </c>
      <c r="AE15" s="1746">
        <f t="shared" si="26"/>
        <v>51.724137931034484</v>
      </c>
      <c r="AF15" s="1746">
        <f t="shared" si="26"/>
        <v>51.724137931034484</v>
      </c>
      <c r="AG15" s="1914"/>
      <c r="AH15" s="1972">
        <f>SUM(Z15:AF15)</f>
        <v>362.06896551724139</v>
      </c>
      <c r="AI15" s="1973">
        <f>($AH$3*K15)*$AH$5</f>
        <v>394.06248265912001</v>
      </c>
      <c r="AJ15" s="1974">
        <f>AI15-AH15</f>
        <v>31.993517141878613</v>
      </c>
      <c r="AK15" s="1914"/>
      <c r="AL15" s="1990">
        <f t="shared" ref="AL15:AR15" si="27">$J$15</f>
        <v>51.724137931034484</v>
      </c>
      <c r="AM15" s="1990">
        <f t="shared" si="27"/>
        <v>51.724137931034484</v>
      </c>
      <c r="AN15" s="1990">
        <f t="shared" si="27"/>
        <v>51.724137931034484</v>
      </c>
      <c r="AO15" s="1990">
        <f t="shared" si="27"/>
        <v>51.724137931034484</v>
      </c>
      <c r="AP15" s="1990">
        <f t="shared" si="27"/>
        <v>51.724137931034484</v>
      </c>
      <c r="AQ15" s="1990">
        <f t="shared" si="27"/>
        <v>51.724137931034484</v>
      </c>
      <c r="AR15" s="1990">
        <f t="shared" si="27"/>
        <v>51.724137931034484</v>
      </c>
      <c r="AS15" s="2297"/>
      <c r="AT15" s="1972">
        <f>SUM(AL15:AR15)</f>
        <v>362.06896551724139</v>
      </c>
      <c r="AU15" s="1973">
        <f>($AT$3*K15)*$AT$5</f>
        <v>442.5059652627491</v>
      </c>
      <c r="AV15" s="1974">
        <f>AU15-AT15</f>
        <v>80.436999745507705</v>
      </c>
      <c r="AW15" s="2297"/>
      <c r="AX15" s="1990">
        <f t="shared" ref="AX15:BD15" si="28">$J$15</f>
        <v>51.724137931034484</v>
      </c>
      <c r="AY15" s="1990">
        <f t="shared" si="28"/>
        <v>51.724137931034484</v>
      </c>
      <c r="AZ15" s="1990">
        <f t="shared" si="28"/>
        <v>51.724137931034484</v>
      </c>
      <c r="BA15" s="1990">
        <f t="shared" si="28"/>
        <v>51.724137931034484</v>
      </c>
      <c r="BB15" s="1990">
        <f t="shared" si="28"/>
        <v>51.724137931034484</v>
      </c>
      <c r="BC15" s="1990">
        <f t="shared" si="28"/>
        <v>51.724137931034484</v>
      </c>
      <c r="BD15" s="1990">
        <f t="shared" si="28"/>
        <v>51.724137931034484</v>
      </c>
      <c r="BE15" s="2297"/>
      <c r="BF15" s="1972">
        <f>SUM(AX15:BD15)</f>
        <v>362.06896551724139</v>
      </c>
      <c r="BG15" s="1973">
        <f>($BF$3*K15)*$BF$5</f>
        <v>467.70545474723946</v>
      </c>
      <c r="BH15" s="1974">
        <f>BG15-BF15</f>
        <v>105.63648922999806</v>
      </c>
      <c r="BI15" s="2945"/>
      <c r="BJ15" s="1746">
        <f t="shared" ref="BJ15" si="29">$J$15</f>
        <v>51.724137931034484</v>
      </c>
      <c r="BK15" s="2945"/>
      <c r="BL15" s="1972">
        <f t="shared" ref="BL15:BL38" si="30">SUM(BJ15:BJ15)</f>
        <v>51.724137931034484</v>
      </c>
      <c r="BM15" s="1973">
        <f t="shared" ref="BM15:BM38" si="31">($BL$3*K15)*$BL$5</f>
        <v>80.861772376671681</v>
      </c>
      <c r="BN15" s="1974">
        <f>BM15-BL15</f>
        <v>29.137634445637197</v>
      </c>
      <c r="BP15" s="1747">
        <v>0</v>
      </c>
      <c r="BQ15" s="1752">
        <f t="shared" ref="BQ15:BQ38" si="32">BP15/E15</f>
        <v>0</v>
      </c>
      <c r="BR15" s="1754"/>
      <c r="BS15" s="1975">
        <f t="shared" ref="BS15:BS38" si="33">SUM(N15:T15)+SUM(Z15:AF15)+SUM(AL15:AR15)+SUM(AX15:BD15)+SUM(BJ15:BJ15)</f>
        <v>1500</v>
      </c>
      <c r="BT15" s="1976">
        <f t="shared" ref="BT15:BT38" si="34">BS15/E15</f>
        <v>1</v>
      </c>
      <c r="BU15" s="1993"/>
      <c r="BV15" s="1977"/>
      <c r="BX15" s="1923"/>
      <c r="BY15" s="1978"/>
      <c r="BZ15" s="1979"/>
      <c r="CA15" s="1980"/>
      <c r="CB15" s="1980"/>
      <c r="CC15" s="1980"/>
      <c r="CD15" s="1980"/>
      <c r="CE15" s="1980"/>
      <c r="CF15" s="1981"/>
      <c r="CG15" s="1923"/>
    </row>
    <row r="16" spans="1:172" s="1726" customFormat="1" x14ac:dyDescent="0.2">
      <c r="B16" s="1963">
        <v>14</v>
      </c>
      <c r="C16" s="1963" t="s">
        <v>198</v>
      </c>
      <c r="D16" s="2578"/>
      <c r="E16" s="1728">
        <v>450</v>
      </c>
      <c r="F16" s="1728">
        <v>45</v>
      </c>
      <c r="G16" s="1728">
        <v>30</v>
      </c>
      <c r="H16" s="1728">
        <v>22.5</v>
      </c>
      <c r="I16" s="1728">
        <v>18</v>
      </c>
      <c r="J16" s="1728">
        <f t="shared" ref="J16:J38" si="35">E16/29</f>
        <v>15.517241379310345</v>
      </c>
      <c r="K16" s="1729">
        <f t="shared" si="24"/>
        <v>0.16647244880972201</v>
      </c>
      <c r="L16" s="1876"/>
      <c r="M16" s="1877"/>
      <c r="N16" s="1728">
        <f t="shared" ref="N16:T16" si="36">$J$16</f>
        <v>15.517241379310345</v>
      </c>
      <c r="O16" s="1728">
        <f t="shared" si="36"/>
        <v>15.517241379310345</v>
      </c>
      <c r="P16" s="1728">
        <f t="shared" si="36"/>
        <v>15.517241379310345</v>
      </c>
      <c r="Q16" s="1728">
        <f t="shared" si="36"/>
        <v>15.517241379310345</v>
      </c>
      <c r="R16" s="1728">
        <f t="shared" si="36"/>
        <v>15.517241379310345</v>
      </c>
      <c r="S16" s="1728">
        <f t="shared" si="36"/>
        <v>15.517241379310345</v>
      </c>
      <c r="T16" s="1728">
        <f t="shared" si="36"/>
        <v>15.517241379310345</v>
      </c>
      <c r="U16" s="2947"/>
      <c r="V16" s="1982">
        <f>SUM(N16:T16)</f>
        <v>108.62068965517243</v>
      </c>
      <c r="W16" s="2268">
        <f>($V$3*K16)*$V$5</f>
        <v>134.09488929582156</v>
      </c>
      <c r="X16" s="1984">
        <f>W16-V16</f>
        <v>25.474199640649132</v>
      </c>
      <c r="Y16" s="1881"/>
      <c r="Z16" s="1728">
        <f t="shared" ref="Z16:AF16" si="37">$J$16</f>
        <v>15.517241379310345</v>
      </c>
      <c r="AA16" s="1728">
        <f t="shared" si="37"/>
        <v>15.517241379310345</v>
      </c>
      <c r="AB16" s="1728">
        <f t="shared" si="37"/>
        <v>15.517241379310345</v>
      </c>
      <c r="AC16" s="1728">
        <f t="shared" si="37"/>
        <v>15.517241379310345</v>
      </c>
      <c r="AD16" s="1728">
        <f t="shared" si="37"/>
        <v>15.517241379310345</v>
      </c>
      <c r="AE16" s="1728">
        <f t="shared" si="37"/>
        <v>15.517241379310345</v>
      </c>
      <c r="AF16" s="1728">
        <f t="shared" si="37"/>
        <v>15.517241379310345</v>
      </c>
      <c r="AG16" s="1881"/>
      <c r="AH16" s="1982">
        <f>SUM(Z16:AF16)</f>
        <v>108.62068965517243</v>
      </c>
      <c r="AI16" s="2268">
        <f t="shared" ref="AI16:AI38" si="38">($AH$3*K16)*$AH$5</f>
        <v>118.21874479773599</v>
      </c>
      <c r="AJ16" s="1984">
        <f>AI16-AH16</f>
        <v>9.5980551425635667</v>
      </c>
      <c r="AK16" s="1881"/>
      <c r="AL16" s="2268">
        <f t="shared" ref="AL16:AR16" si="39">$J$16</f>
        <v>15.517241379310345</v>
      </c>
      <c r="AM16" s="2268">
        <f t="shared" si="39"/>
        <v>15.517241379310345</v>
      </c>
      <c r="AN16" s="2268">
        <f t="shared" si="39"/>
        <v>15.517241379310345</v>
      </c>
      <c r="AO16" s="2268">
        <f t="shared" si="39"/>
        <v>15.517241379310345</v>
      </c>
      <c r="AP16" s="2268">
        <f t="shared" si="39"/>
        <v>15.517241379310345</v>
      </c>
      <c r="AQ16" s="2268">
        <f t="shared" si="39"/>
        <v>15.517241379310345</v>
      </c>
      <c r="AR16" s="2268">
        <f t="shared" si="39"/>
        <v>15.517241379310345</v>
      </c>
      <c r="AS16" s="2293"/>
      <c r="AT16" s="1982">
        <f>SUM(AL16:AR16)</f>
        <v>108.62068965517243</v>
      </c>
      <c r="AU16" s="2268">
        <f t="shared" ref="AU16:AU38" si="40">($AT$3*K16)*$AT$5</f>
        <v>132.75178957882471</v>
      </c>
      <c r="AV16" s="1984">
        <f>AU16-AT16</f>
        <v>24.131099923652286</v>
      </c>
      <c r="AW16" s="2293"/>
      <c r="AX16" s="2268">
        <f t="shared" ref="AX16:BD16" si="41">$J$16</f>
        <v>15.517241379310345</v>
      </c>
      <c r="AY16" s="2268">
        <f t="shared" si="41"/>
        <v>15.517241379310345</v>
      </c>
      <c r="AZ16" s="2268">
        <f t="shared" si="41"/>
        <v>15.517241379310345</v>
      </c>
      <c r="BA16" s="2268">
        <f t="shared" si="41"/>
        <v>15.517241379310345</v>
      </c>
      <c r="BB16" s="2268">
        <f t="shared" si="41"/>
        <v>15.517241379310345</v>
      </c>
      <c r="BC16" s="2268">
        <f t="shared" si="41"/>
        <v>15.517241379310345</v>
      </c>
      <c r="BD16" s="2268">
        <f t="shared" si="41"/>
        <v>15.517241379310345</v>
      </c>
      <c r="BE16" s="2293"/>
      <c r="BF16" s="1982">
        <f>SUM(AX16:BD16)</f>
        <v>108.62068965517243</v>
      </c>
      <c r="BG16" s="2268">
        <f t="shared" ref="BG16:BG38" si="42">($BF$3*K16)*$BF$5</f>
        <v>140.31163642417184</v>
      </c>
      <c r="BH16" s="1984">
        <f>BG16-BF16</f>
        <v>31.69094676899941</v>
      </c>
      <c r="BI16" s="2947"/>
      <c r="BJ16" s="1728">
        <f t="shared" ref="BJ16" si="43">$J$16</f>
        <v>15.517241379310345</v>
      </c>
      <c r="BK16" s="2947"/>
      <c r="BL16" s="1982">
        <f t="shared" si="30"/>
        <v>15.517241379310345</v>
      </c>
      <c r="BM16" s="2268">
        <f t="shared" si="31"/>
        <v>24.258531713001499</v>
      </c>
      <c r="BN16" s="1984">
        <f>BM16-BL16</f>
        <v>8.741290333691154</v>
      </c>
      <c r="BP16" s="1732">
        <v>0</v>
      </c>
      <c r="BQ16" s="1882">
        <f t="shared" si="32"/>
        <v>0</v>
      </c>
      <c r="BR16" s="1740"/>
      <c r="BS16" s="1734">
        <f t="shared" si="33"/>
        <v>450.00000000000006</v>
      </c>
      <c r="BT16" s="1918">
        <f t="shared" si="34"/>
        <v>1.0000000000000002</v>
      </c>
      <c r="BU16" s="1997"/>
      <c r="BV16" s="2946"/>
      <c r="BX16" s="1860"/>
      <c r="BY16" s="1985">
        <v>43890</v>
      </c>
      <c r="BZ16" s="1830"/>
      <c r="CA16" s="1817"/>
      <c r="CB16" s="1810"/>
      <c r="CC16" s="1810"/>
      <c r="CD16" s="1810"/>
      <c r="CE16" s="1810"/>
      <c r="CF16" s="1986"/>
      <c r="CG16" s="1810"/>
    </row>
    <row r="17" spans="1:85" s="1777" customFormat="1" x14ac:dyDescent="0.2">
      <c r="B17" s="1987">
        <v>15</v>
      </c>
      <c r="C17" s="1987" t="s">
        <v>257</v>
      </c>
      <c r="D17" s="1836"/>
      <c r="E17" s="1746">
        <v>150</v>
      </c>
      <c r="F17" s="1746">
        <v>5</v>
      </c>
      <c r="G17" s="1746">
        <v>3.3333333333333335</v>
      </c>
      <c r="H17" s="1746">
        <v>2.5</v>
      </c>
      <c r="I17" s="1746">
        <v>2</v>
      </c>
      <c r="J17" s="1746">
        <f t="shared" si="35"/>
        <v>5.1724137931034484</v>
      </c>
      <c r="K17" s="2583">
        <f t="shared" si="24"/>
        <v>5.5490816269907338E-2</v>
      </c>
      <c r="L17" s="1866"/>
      <c r="M17" s="1867"/>
      <c r="N17" s="1746">
        <f t="shared" ref="N17:T17" si="44">$J$17</f>
        <v>5.1724137931034484</v>
      </c>
      <c r="O17" s="1746">
        <f t="shared" si="44"/>
        <v>5.1724137931034484</v>
      </c>
      <c r="P17" s="1746">
        <f t="shared" si="44"/>
        <v>5.1724137931034484</v>
      </c>
      <c r="Q17" s="1746">
        <f t="shared" si="44"/>
        <v>5.1724137931034484</v>
      </c>
      <c r="R17" s="1746">
        <f t="shared" si="44"/>
        <v>5.1724137931034484</v>
      </c>
      <c r="S17" s="1746">
        <f t="shared" si="44"/>
        <v>5.1724137931034484</v>
      </c>
      <c r="T17" s="1746">
        <f t="shared" si="44"/>
        <v>5.1724137931034484</v>
      </c>
      <c r="U17" s="1801"/>
      <c r="V17" s="1989">
        <f>SUM(N17:T17)</f>
        <v>36.206896551724142</v>
      </c>
      <c r="W17" s="1990">
        <f>($V$3*K17)*$V$5</f>
        <v>44.698296431940527</v>
      </c>
      <c r="X17" s="1991">
        <f t="shared" ref="X17:X37" si="45">W17-V17</f>
        <v>8.4913998802163846</v>
      </c>
      <c r="Y17" s="1788"/>
      <c r="Z17" s="1746">
        <f t="shared" ref="Z17:AF17" si="46">$J$17</f>
        <v>5.1724137931034484</v>
      </c>
      <c r="AA17" s="1746">
        <f t="shared" si="46"/>
        <v>5.1724137931034484</v>
      </c>
      <c r="AB17" s="1746">
        <f t="shared" si="46"/>
        <v>5.1724137931034484</v>
      </c>
      <c r="AC17" s="1746">
        <f t="shared" si="46"/>
        <v>5.1724137931034484</v>
      </c>
      <c r="AD17" s="1746">
        <f t="shared" si="46"/>
        <v>5.1724137931034484</v>
      </c>
      <c r="AE17" s="1746">
        <f t="shared" si="46"/>
        <v>5.1724137931034484</v>
      </c>
      <c r="AF17" s="1746">
        <f t="shared" si="46"/>
        <v>5.1724137931034484</v>
      </c>
      <c r="AG17" s="1788"/>
      <c r="AH17" s="1989">
        <f t="shared" ref="AH17:AH38" si="47">SUM(Z17:AF17)</f>
        <v>36.206896551724142</v>
      </c>
      <c r="AI17" s="1990">
        <f t="shared" si="38"/>
        <v>39.406248265911998</v>
      </c>
      <c r="AJ17" s="1991">
        <f t="shared" ref="AJ17:AJ38" si="48">AI17-AH17</f>
        <v>3.1993517141878556</v>
      </c>
      <c r="AK17" s="1788"/>
      <c r="AL17" s="1990">
        <f t="shared" ref="AL17:AR17" si="49">$J$17</f>
        <v>5.1724137931034484</v>
      </c>
      <c r="AM17" s="1990">
        <f t="shared" si="49"/>
        <v>5.1724137931034484</v>
      </c>
      <c r="AN17" s="1990">
        <f t="shared" si="49"/>
        <v>5.1724137931034484</v>
      </c>
      <c r="AO17" s="1990">
        <f t="shared" si="49"/>
        <v>5.1724137931034484</v>
      </c>
      <c r="AP17" s="1990">
        <f t="shared" si="49"/>
        <v>5.1724137931034484</v>
      </c>
      <c r="AQ17" s="1990">
        <f t="shared" si="49"/>
        <v>5.1724137931034484</v>
      </c>
      <c r="AR17" s="1990">
        <f t="shared" si="49"/>
        <v>5.1724137931034484</v>
      </c>
      <c r="AS17" s="2290"/>
      <c r="AT17" s="1989">
        <f t="shared" ref="AT17:AT38" si="50">SUM(AL17:AR17)</f>
        <v>36.206896551724142</v>
      </c>
      <c r="AU17" s="1990">
        <f t="shared" si="40"/>
        <v>44.250596526274911</v>
      </c>
      <c r="AV17" s="1991">
        <f t="shared" ref="AV17:AV38" si="51">AU17-AT17</f>
        <v>8.0436999745507691</v>
      </c>
      <c r="AW17" s="2290"/>
      <c r="AX17" s="1990">
        <f t="shared" ref="AX17:BD17" si="52">$J$17</f>
        <v>5.1724137931034484</v>
      </c>
      <c r="AY17" s="1990">
        <f t="shared" si="52"/>
        <v>5.1724137931034484</v>
      </c>
      <c r="AZ17" s="1990">
        <f t="shared" si="52"/>
        <v>5.1724137931034484</v>
      </c>
      <c r="BA17" s="1990">
        <f t="shared" si="52"/>
        <v>5.1724137931034484</v>
      </c>
      <c r="BB17" s="1990">
        <f t="shared" si="52"/>
        <v>5.1724137931034484</v>
      </c>
      <c r="BC17" s="1990">
        <f t="shared" si="52"/>
        <v>5.1724137931034484</v>
      </c>
      <c r="BD17" s="1990">
        <f t="shared" si="52"/>
        <v>5.1724137931034484</v>
      </c>
      <c r="BE17" s="2290"/>
      <c r="BF17" s="1989">
        <f t="shared" ref="BF17:BF38" si="53">SUM(AX17:BD17)</f>
        <v>36.206896551724142</v>
      </c>
      <c r="BG17" s="1990">
        <f t="shared" si="42"/>
        <v>46.770545474723939</v>
      </c>
      <c r="BH17" s="1991">
        <f t="shared" ref="BH17:BH38" si="54">BG17-BF17</f>
        <v>10.563648922999796</v>
      </c>
      <c r="BI17" s="1801"/>
      <c r="BJ17" s="1746">
        <f t="shared" ref="BJ17" si="55">$J$17</f>
        <v>5.1724137931034484</v>
      </c>
      <c r="BK17" s="1801"/>
      <c r="BL17" s="1989">
        <f t="shared" si="30"/>
        <v>5.1724137931034484</v>
      </c>
      <c r="BM17" s="1990">
        <f t="shared" si="31"/>
        <v>8.0861772376671688</v>
      </c>
      <c r="BN17" s="1991">
        <f t="shared" ref="BN17" si="56">BM17-BL17</f>
        <v>2.9137634445637204</v>
      </c>
      <c r="BP17" s="1750">
        <v>0</v>
      </c>
      <c r="BQ17" s="1871">
        <f t="shared" si="32"/>
        <v>0</v>
      </c>
      <c r="BR17" s="1795"/>
      <c r="BS17" s="1935">
        <f t="shared" si="33"/>
        <v>150.00000000000003</v>
      </c>
      <c r="BT17" s="1930">
        <f t="shared" si="34"/>
        <v>1.0000000000000002</v>
      </c>
      <c r="BU17" s="1802"/>
      <c r="BV17" s="1783"/>
      <c r="BX17" s="1916"/>
      <c r="BY17" s="1992">
        <v>43861</v>
      </c>
      <c r="BZ17" s="1993"/>
      <c r="CA17" s="1994"/>
      <c r="CB17" s="1923"/>
      <c r="CC17" s="1923"/>
      <c r="CD17" s="1923"/>
      <c r="CE17" s="1923"/>
      <c r="CF17" s="1995"/>
      <c r="CG17" s="1923"/>
    </row>
    <row r="18" spans="1:85" s="1756" customFormat="1" x14ac:dyDescent="0.2">
      <c r="B18" s="1963">
        <v>16</v>
      </c>
      <c r="C18" s="1963" t="s">
        <v>230</v>
      </c>
      <c r="D18" s="2578"/>
      <c r="E18" s="1728">
        <v>0</v>
      </c>
      <c r="F18" s="1728"/>
      <c r="G18" s="1728"/>
      <c r="H18" s="1728"/>
      <c r="I18" s="1728"/>
      <c r="J18" s="1728">
        <f t="shared" si="35"/>
        <v>0</v>
      </c>
      <c r="K18" s="1729">
        <f t="shared" si="24"/>
        <v>0</v>
      </c>
      <c r="L18" s="1931"/>
      <c r="M18" s="1924"/>
      <c r="N18" s="1728">
        <f t="shared" ref="N18:T18" si="57">$J$18</f>
        <v>0</v>
      </c>
      <c r="O18" s="1728">
        <f t="shared" si="57"/>
        <v>0</v>
      </c>
      <c r="P18" s="1728">
        <f t="shared" si="57"/>
        <v>0</v>
      </c>
      <c r="Q18" s="1728">
        <f t="shared" si="57"/>
        <v>0</v>
      </c>
      <c r="R18" s="1728">
        <f t="shared" si="57"/>
        <v>0</v>
      </c>
      <c r="S18" s="1728">
        <f t="shared" si="57"/>
        <v>0</v>
      </c>
      <c r="T18" s="1728">
        <f t="shared" si="57"/>
        <v>0</v>
      </c>
      <c r="U18" s="1814"/>
      <c r="V18" s="1982">
        <f t="shared" ref="V18:V80" si="58">SUM(N18:T18)</f>
        <v>0</v>
      </c>
      <c r="W18" s="2268">
        <f>($V$3*K18)*$V$5</f>
        <v>0</v>
      </c>
      <c r="X18" s="1984">
        <f t="shared" si="45"/>
        <v>0</v>
      </c>
      <c r="Y18" s="1764"/>
      <c r="Z18" s="1728">
        <f t="shared" ref="Z18:AF18" si="59">$J$18</f>
        <v>0</v>
      </c>
      <c r="AA18" s="1728">
        <f t="shared" si="59"/>
        <v>0</v>
      </c>
      <c r="AB18" s="1728">
        <f t="shared" si="59"/>
        <v>0</v>
      </c>
      <c r="AC18" s="1728">
        <f t="shared" si="59"/>
        <v>0</v>
      </c>
      <c r="AD18" s="1728">
        <f t="shared" si="59"/>
        <v>0</v>
      </c>
      <c r="AE18" s="1728">
        <f t="shared" si="59"/>
        <v>0</v>
      </c>
      <c r="AF18" s="1728">
        <f t="shared" si="59"/>
        <v>0</v>
      </c>
      <c r="AG18" s="1764"/>
      <c r="AH18" s="1982">
        <f t="shared" si="47"/>
        <v>0</v>
      </c>
      <c r="AI18" s="2268">
        <f t="shared" si="38"/>
        <v>0</v>
      </c>
      <c r="AJ18" s="1984">
        <f t="shared" si="48"/>
        <v>0</v>
      </c>
      <c r="AK18" s="1764"/>
      <c r="AL18" s="2268">
        <f t="shared" ref="AL18:AR18" si="60">$J$18</f>
        <v>0</v>
      </c>
      <c r="AM18" s="2268">
        <f t="shared" si="60"/>
        <v>0</v>
      </c>
      <c r="AN18" s="2268">
        <f t="shared" si="60"/>
        <v>0</v>
      </c>
      <c r="AO18" s="2268">
        <f t="shared" si="60"/>
        <v>0</v>
      </c>
      <c r="AP18" s="2268">
        <f t="shared" si="60"/>
        <v>0</v>
      </c>
      <c r="AQ18" s="2268">
        <f t="shared" si="60"/>
        <v>0</v>
      </c>
      <c r="AR18" s="2268">
        <f t="shared" si="60"/>
        <v>0</v>
      </c>
      <c r="AS18" s="2289"/>
      <c r="AT18" s="1982">
        <f t="shared" si="50"/>
        <v>0</v>
      </c>
      <c r="AU18" s="2268">
        <f t="shared" si="40"/>
        <v>0</v>
      </c>
      <c r="AV18" s="1984">
        <f t="shared" si="51"/>
        <v>0</v>
      </c>
      <c r="AW18" s="2289"/>
      <c r="AX18" s="2268">
        <f t="shared" ref="AX18:BD18" si="61">$J$18</f>
        <v>0</v>
      </c>
      <c r="AY18" s="2268">
        <f t="shared" si="61"/>
        <v>0</v>
      </c>
      <c r="AZ18" s="2268">
        <f t="shared" si="61"/>
        <v>0</v>
      </c>
      <c r="BA18" s="2268">
        <f t="shared" si="61"/>
        <v>0</v>
      </c>
      <c r="BB18" s="2268">
        <f t="shared" si="61"/>
        <v>0</v>
      </c>
      <c r="BC18" s="2268">
        <f t="shared" si="61"/>
        <v>0</v>
      </c>
      <c r="BD18" s="2268">
        <f t="shared" si="61"/>
        <v>0</v>
      </c>
      <c r="BE18" s="2289"/>
      <c r="BF18" s="1982">
        <f t="shared" si="53"/>
        <v>0</v>
      </c>
      <c r="BG18" s="2268">
        <f t="shared" si="42"/>
        <v>0</v>
      </c>
      <c r="BH18" s="1984">
        <f t="shared" si="54"/>
        <v>0</v>
      </c>
      <c r="BI18" s="1814"/>
      <c r="BJ18" s="1728">
        <f t="shared" ref="BJ18" si="62">$J$18</f>
        <v>0</v>
      </c>
      <c r="BK18" s="1814"/>
      <c r="BL18" s="1982">
        <f t="shared" si="30"/>
        <v>0</v>
      </c>
      <c r="BM18" s="2268">
        <f t="shared" si="31"/>
        <v>0</v>
      </c>
      <c r="BN18" s="1984">
        <f>BM18-BL18</f>
        <v>0</v>
      </c>
      <c r="BP18" s="1735">
        <v>0</v>
      </c>
      <c r="BQ18" s="1768" t="e">
        <f t="shared" si="32"/>
        <v>#DIV/0!</v>
      </c>
      <c r="BR18" s="2942"/>
      <c r="BS18" s="1763">
        <f t="shared" si="33"/>
        <v>0</v>
      </c>
      <c r="BT18" s="1883" t="e">
        <f t="shared" si="34"/>
        <v>#DIV/0!</v>
      </c>
      <c r="BU18" s="1830"/>
      <c r="BV18" s="1761"/>
      <c r="BX18" s="2946"/>
      <c r="BY18" s="1996">
        <f>BY16-BY17</f>
        <v>29</v>
      </c>
      <c r="BZ18" s="1997"/>
      <c r="CA18" s="1861"/>
      <c r="CB18" s="1860"/>
      <c r="CC18" s="1860"/>
      <c r="CD18" s="1860"/>
      <c r="CE18" s="1860"/>
      <c r="CF18" s="1998"/>
      <c r="CG18" s="1860"/>
    </row>
    <row r="19" spans="1:85" s="1777" customFormat="1" x14ac:dyDescent="0.2">
      <c r="B19" s="1987">
        <v>17</v>
      </c>
      <c r="C19" s="1987" t="s">
        <v>268</v>
      </c>
      <c r="D19" s="1836"/>
      <c r="E19" s="1746">
        <v>0</v>
      </c>
      <c r="F19" s="1746"/>
      <c r="G19" s="1746"/>
      <c r="H19" s="1746"/>
      <c r="I19" s="1746"/>
      <c r="J19" s="1746">
        <f t="shared" si="35"/>
        <v>0</v>
      </c>
      <c r="K19" s="2583">
        <f t="shared" si="24"/>
        <v>0</v>
      </c>
      <c r="L19" s="1866"/>
      <c r="M19" s="1867"/>
      <c r="N19" s="1746">
        <f t="shared" ref="N19:T19" si="63">$J$19</f>
        <v>0</v>
      </c>
      <c r="O19" s="1746">
        <f t="shared" si="63"/>
        <v>0</v>
      </c>
      <c r="P19" s="1746">
        <f t="shared" si="63"/>
        <v>0</v>
      </c>
      <c r="Q19" s="1746">
        <f t="shared" si="63"/>
        <v>0</v>
      </c>
      <c r="R19" s="1746">
        <f t="shared" si="63"/>
        <v>0</v>
      </c>
      <c r="S19" s="1746">
        <f t="shared" si="63"/>
        <v>0</v>
      </c>
      <c r="T19" s="1746">
        <f t="shared" si="63"/>
        <v>0</v>
      </c>
      <c r="U19" s="1801"/>
      <c r="V19" s="1989">
        <f t="shared" si="58"/>
        <v>0</v>
      </c>
      <c r="W19" s="1990">
        <f t="shared" ref="W19:W38" si="64">($V$3*K19)*$V$5</f>
        <v>0</v>
      </c>
      <c r="X19" s="1991">
        <f t="shared" si="45"/>
        <v>0</v>
      </c>
      <c r="Y19" s="1788"/>
      <c r="Z19" s="1746">
        <f t="shared" ref="Z19:AF19" si="65">$J$19</f>
        <v>0</v>
      </c>
      <c r="AA19" s="1746">
        <f t="shared" si="65"/>
        <v>0</v>
      </c>
      <c r="AB19" s="1746">
        <f t="shared" si="65"/>
        <v>0</v>
      </c>
      <c r="AC19" s="1746">
        <f t="shared" si="65"/>
        <v>0</v>
      </c>
      <c r="AD19" s="1746">
        <f t="shared" si="65"/>
        <v>0</v>
      </c>
      <c r="AE19" s="1746">
        <f t="shared" si="65"/>
        <v>0</v>
      </c>
      <c r="AF19" s="1746">
        <f t="shared" si="65"/>
        <v>0</v>
      </c>
      <c r="AG19" s="1788"/>
      <c r="AH19" s="1989">
        <f t="shared" si="47"/>
        <v>0</v>
      </c>
      <c r="AI19" s="1990">
        <f t="shared" si="38"/>
        <v>0</v>
      </c>
      <c r="AJ19" s="1991">
        <f t="shared" si="48"/>
        <v>0</v>
      </c>
      <c r="AK19" s="1788"/>
      <c r="AL19" s="1990">
        <f t="shared" ref="AL19:AR19" si="66">$J$19</f>
        <v>0</v>
      </c>
      <c r="AM19" s="1990">
        <f t="shared" si="66"/>
        <v>0</v>
      </c>
      <c r="AN19" s="1990">
        <f t="shared" si="66"/>
        <v>0</v>
      </c>
      <c r="AO19" s="1990">
        <f t="shared" si="66"/>
        <v>0</v>
      </c>
      <c r="AP19" s="1990">
        <f t="shared" si="66"/>
        <v>0</v>
      </c>
      <c r="AQ19" s="1990">
        <f t="shared" si="66"/>
        <v>0</v>
      </c>
      <c r="AR19" s="1990">
        <f t="shared" si="66"/>
        <v>0</v>
      </c>
      <c r="AS19" s="2290"/>
      <c r="AT19" s="1989">
        <f t="shared" si="50"/>
        <v>0</v>
      </c>
      <c r="AU19" s="1990">
        <f t="shared" si="40"/>
        <v>0</v>
      </c>
      <c r="AV19" s="1991">
        <f t="shared" si="51"/>
        <v>0</v>
      </c>
      <c r="AW19" s="2290"/>
      <c r="AX19" s="1990">
        <f t="shared" ref="AX19:BD19" si="67">$J$19</f>
        <v>0</v>
      </c>
      <c r="AY19" s="1990">
        <f t="shared" si="67"/>
        <v>0</v>
      </c>
      <c r="AZ19" s="1990">
        <f t="shared" si="67"/>
        <v>0</v>
      </c>
      <c r="BA19" s="1990">
        <f t="shared" si="67"/>
        <v>0</v>
      </c>
      <c r="BB19" s="1990">
        <f t="shared" si="67"/>
        <v>0</v>
      </c>
      <c r="BC19" s="1990">
        <f t="shared" si="67"/>
        <v>0</v>
      </c>
      <c r="BD19" s="1990">
        <f t="shared" si="67"/>
        <v>0</v>
      </c>
      <c r="BE19" s="2290"/>
      <c r="BF19" s="1989">
        <f t="shared" si="53"/>
        <v>0</v>
      </c>
      <c r="BG19" s="1990">
        <f t="shared" si="42"/>
        <v>0</v>
      </c>
      <c r="BH19" s="1991">
        <f t="shared" si="54"/>
        <v>0</v>
      </c>
      <c r="BI19" s="1801"/>
      <c r="BJ19" s="1746">
        <f t="shared" ref="BJ19" si="68">$J$19</f>
        <v>0</v>
      </c>
      <c r="BK19" s="1801"/>
      <c r="BL19" s="1989">
        <f t="shared" si="30"/>
        <v>0</v>
      </c>
      <c r="BM19" s="1990">
        <f t="shared" si="31"/>
        <v>0</v>
      </c>
      <c r="BN19" s="1991">
        <f>BM19-BL19</f>
        <v>0</v>
      </c>
      <c r="BP19" s="1750">
        <v>0</v>
      </c>
      <c r="BQ19" s="1871" t="e">
        <f t="shared" si="32"/>
        <v>#DIV/0!</v>
      </c>
      <c r="BR19" s="1795"/>
      <c r="BS19" s="1935">
        <f t="shared" si="33"/>
        <v>0</v>
      </c>
      <c r="BT19" s="1930" t="e">
        <f t="shared" si="34"/>
        <v>#DIV/0!</v>
      </c>
      <c r="BU19" s="1802"/>
      <c r="BV19" s="1783"/>
      <c r="BX19" s="1916"/>
      <c r="BY19" s="1992">
        <v>43890</v>
      </c>
      <c r="BZ19" s="1993"/>
      <c r="CA19" s="1994"/>
      <c r="CB19" s="1923"/>
      <c r="CC19" s="1923"/>
      <c r="CD19" s="1923"/>
      <c r="CE19" s="1923"/>
      <c r="CF19" s="1995"/>
      <c r="CG19" s="1923"/>
    </row>
    <row r="20" spans="1:85" s="1756" customFormat="1" x14ac:dyDescent="0.2">
      <c r="B20" s="1963">
        <v>18</v>
      </c>
      <c r="C20" s="1963" t="s">
        <v>211</v>
      </c>
      <c r="D20" s="2578"/>
      <c r="E20" s="1728">
        <v>181.6</v>
      </c>
      <c r="F20" s="1728"/>
      <c r="G20" s="1728"/>
      <c r="H20" s="1728"/>
      <c r="I20" s="1728"/>
      <c r="J20" s="1728">
        <f t="shared" si="35"/>
        <v>6.2620689655172415</v>
      </c>
      <c r="K20" s="1729">
        <f t="shared" si="24"/>
        <v>6.7180881564101153E-2</v>
      </c>
      <c r="L20" s="1931"/>
      <c r="M20" s="1924"/>
      <c r="N20" s="1728">
        <f t="shared" ref="N20:T20" si="69">$J$20</f>
        <v>6.2620689655172415</v>
      </c>
      <c r="O20" s="1728">
        <f t="shared" si="69"/>
        <v>6.2620689655172415</v>
      </c>
      <c r="P20" s="1728">
        <f t="shared" si="69"/>
        <v>6.2620689655172415</v>
      </c>
      <c r="Q20" s="1728">
        <f t="shared" si="69"/>
        <v>6.2620689655172415</v>
      </c>
      <c r="R20" s="1728">
        <f t="shared" si="69"/>
        <v>6.2620689655172415</v>
      </c>
      <c r="S20" s="1728">
        <f t="shared" si="69"/>
        <v>6.2620689655172415</v>
      </c>
      <c r="T20" s="1728">
        <f t="shared" si="69"/>
        <v>6.2620689655172415</v>
      </c>
      <c r="U20" s="1814"/>
      <c r="V20" s="1982">
        <f t="shared" si="58"/>
        <v>43.834482758620695</v>
      </c>
      <c r="W20" s="2268">
        <f t="shared" si="64"/>
        <v>54.114737546935991</v>
      </c>
      <c r="X20" s="1984">
        <f t="shared" si="45"/>
        <v>10.280254788315297</v>
      </c>
      <c r="Y20" s="1764"/>
      <c r="Z20" s="1728">
        <f t="shared" ref="Z20:AF20" si="70">$J$20</f>
        <v>6.2620689655172415</v>
      </c>
      <c r="AA20" s="1728">
        <f t="shared" si="70"/>
        <v>6.2620689655172415</v>
      </c>
      <c r="AB20" s="1728">
        <f t="shared" si="70"/>
        <v>6.2620689655172415</v>
      </c>
      <c r="AC20" s="1728">
        <f t="shared" si="70"/>
        <v>6.2620689655172415</v>
      </c>
      <c r="AD20" s="1728">
        <f t="shared" si="70"/>
        <v>6.2620689655172415</v>
      </c>
      <c r="AE20" s="1728">
        <f t="shared" si="70"/>
        <v>6.2620689655172415</v>
      </c>
      <c r="AF20" s="1728">
        <f t="shared" si="70"/>
        <v>6.2620689655172415</v>
      </c>
      <c r="AG20" s="1764"/>
      <c r="AH20" s="1982">
        <f t="shared" si="47"/>
        <v>43.834482758620695</v>
      </c>
      <c r="AI20" s="2268">
        <f t="shared" si="38"/>
        <v>47.707831233930797</v>
      </c>
      <c r="AJ20" s="1984">
        <f t="shared" si="48"/>
        <v>3.8733484753101024</v>
      </c>
      <c r="AK20" s="1764"/>
      <c r="AL20" s="2268">
        <f t="shared" ref="AL20:AR20" si="71">$J$20</f>
        <v>6.2620689655172415</v>
      </c>
      <c r="AM20" s="2268">
        <f t="shared" si="71"/>
        <v>6.2620689655172415</v>
      </c>
      <c r="AN20" s="2268">
        <f t="shared" si="71"/>
        <v>6.2620689655172415</v>
      </c>
      <c r="AO20" s="2268">
        <f t="shared" si="71"/>
        <v>6.2620689655172415</v>
      </c>
      <c r="AP20" s="2268">
        <f t="shared" si="71"/>
        <v>6.2620689655172415</v>
      </c>
      <c r="AQ20" s="2268">
        <f t="shared" si="71"/>
        <v>6.2620689655172415</v>
      </c>
      <c r="AR20" s="2268">
        <f t="shared" si="71"/>
        <v>6.2620689655172415</v>
      </c>
      <c r="AS20" s="2289"/>
      <c r="AT20" s="1982">
        <f t="shared" si="50"/>
        <v>43.834482758620695</v>
      </c>
      <c r="AU20" s="2268">
        <f t="shared" si="40"/>
        <v>53.572722194476825</v>
      </c>
      <c r="AV20" s="1984">
        <f t="shared" si="51"/>
        <v>9.7382394358561299</v>
      </c>
      <c r="AW20" s="2289"/>
      <c r="AX20" s="2268">
        <f t="shared" ref="AX20:BD20" si="72">$J$20</f>
        <v>6.2620689655172415</v>
      </c>
      <c r="AY20" s="2268">
        <f t="shared" si="72"/>
        <v>6.2620689655172415</v>
      </c>
      <c r="AZ20" s="2268">
        <f t="shared" si="72"/>
        <v>6.2620689655172415</v>
      </c>
      <c r="BA20" s="2268">
        <f t="shared" si="72"/>
        <v>6.2620689655172415</v>
      </c>
      <c r="BB20" s="2268">
        <f t="shared" si="72"/>
        <v>6.2620689655172415</v>
      </c>
      <c r="BC20" s="2268">
        <f t="shared" si="72"/>
        <v>6.2620689655172415</v>
      </c>
      <c r="BD20" s="2268">
        <f t="shared" si="72"/>
        <v>6.2620689655172415</v>
      </c>
      <c r="BE20" s="2289"/>
      <c r="BF20" s="1982">
        <f t="shared" si="53"/>
        <v>43.834482758620695</v>
      </c>
      <c r="BG20" s="2268">
        <f t="shared" si="42"/>
        <v>56.623540388065784</v>
      </c>
      <c r="BH20" s="1984">
        <f t="shared" si="54"/>
        <v>12.78905762944509</v>
      </c>
      <c r="BI20" s="1814"/>
      <c r="BJ20" s="1728">
        <f t="shared" ref="BJ20" si="73">$J$20</f>
        <v>6.2620689655172415</v>
      </c>
      <c r="BK20" s="1814"/>
      <c r="BL20" s="1982">
        <f t="shared" si="30"/>
        <v>6.2620689655172415</v>
      </c>
      <c r="BM20" s="2268">
        <f t="shared" si="31"/>
        <v>9.7896652424023856</v>
      </c>
      <c r="BN20" s="1984">
        <f>BM20-BL20</f>
        <v>3.5275962768851441</v>
      </c>
      <c r="BP20" s="1735">
        <v>0</v>
      </c>
      <c r="BQ20" s="1768">
        <f t="shared" si="32"/>
        <v>0</v>
      </c>
      <c r="BR20" s="2942"/>
      <c r="BS20" s="1763">
        <f t="shared" si="33"/>
        <v>181.60000000000002</v>
      </c>
      <c r="BT20" s="1883">
        <f t="shared" si="34"/>
        <v>1.0000000000000002</v>
      </c>
      <c r="BU20" s="1830"/>
      <c r="BV20" s="1761"/>
      <c r="BX20" s="2946"/>
      <c r="BY20" s="2015">
        <v>43890</v>
      </c>
      <c r="BZ20" s="1997"/>
      <c r="CA20" s="1861"/>
      <c r="CB20" s="1860"/>
      <c r="CC20" s="1860"/>
      <c r="CD20" s="1860"/>
      <c r="CE20" s="1860"/>
      <c r="CF20" s="1998"/>
      <c r="CG20" s="1860"/>
    </row>
    <row r="21" spans="1:85" s="1947" customFormat="1" x14ac:dyDescent="0.2">
      <c r="B21" s="2000">
        <v>19</v>
      </c>
      <c r="C21" s="2000" t="s">
        <v>199</v>
      </c>
      <c r="D21" s="2579"/>
      <c r="E21" s="2001">
        <v>0</v>
      </c>
      <c r="F21" s="2001">
        <v>0</v>
      </c>
      <c r="G21" s="2001">
        <v>0</v>
      </c>
      <c r="H21" s="2001">
        <v>0</v>
      </c>
      <c r="I21" s="2001">
        <v>0</v>
      </c>
      <c r="J21" s="2001">
        <f t="shared" si="35"/>
        <v>0</v>
      </c>
      <c r="K21" s="2584">
        <f t="shared" si="24"/>
        <v>0</v>
      </c>
      <c r="L21" s="2003"/>
      <c r="M21" s="1950"/>
      <c r="N21" s="2001">
        <f t="shared" ref="N21:T21" si="74">$J$21</f>
        <v>0</v>
      </c>
      <c r="O21" s="2001">
        <f t="shared" si="74"/>
        <v>0</v>
      </c>
      <c r="P21" s="2001">
        <f t="shared" si="74"/>
        <v>0</v>
      </c>
      <c r="Q21" s="2001">
        <f t="shared" si="74"/>
        <v>0</v>
      </c>
      <c r="R21" s="2001">
        <f t="shared" si="74"/>
        <v>0</v>
      </c>
      <c r="S21" s="2001">
        <f t="shared" si="74"/>
        <v>0</v>
      </c>
      <c r="T21" s="2001">
        <f t="shared" si="74"/>
        <v>0</v>
      </c>
      <c r="U21" s="1951"/>
      <c r="V21" s="2004">
        <f t="shared" si="58"/>
        <v>0</v>
      </c>
      <c r="W21" s="2005">
        <f t="shared" si="64"/>
        <v>0</v>
      </c>
      <c r="X21" s="2006">
        <f t="shared" si="45"/>
        <v>0</v>
      </c>
      <c r="Y21" s="1955"/>
      <c r="Z21" s="2001">
        <f t="shared" ref="Z21:AF21" si="75">$J$21</f>
        <v>0</v>
      </c>
      <c r="AA21" s="2001">
        <f t="shared" si="75"/>
        <v>0</v>
      </c>
      <c r="AB21" s="2001">
        <f t="shared" si="75"/>
        <v>0</v>
      </c>
      <c r="AC21" s="2001">
        <f t="shared" si="75"/>
        <v>0</v>
      </c>
      <c r="AD21" s="2001">
        <f t="shared" si="75"/>
        <v>0</v>
      </c>
      <c r="AE21" s="2001">
        <f t="shared" si="75"/>
        <v>0</v>
      </c>
      <c r="AF21" s="2001">
        <f t="shared" si="75"/>
        <v>0</v>
      </c>
      <c r="AG21" s="1955"/>
      <c r="AH21" s="2004">
        <f t="shared" si="47"/>
        <v>0</v>
      </c>
      <c r="AI21" s="2005">
        <f t="shared" si="38"/>
        <v>0</v>
      </c>
      <c r="AJ21" s="2006">
        <f t="shared" si="48"/>
        <v>0</v>
      </c>
      <c r="AK21" s="1955"/>
      <c r="AL21" s="2005">
        <f t="shared" ref="AL21:AR21" si="76">$J$21</f>
        <v>0</v>
      </c>
      <c r="AM21" s="2005">
        <f t="shared" si="76"/>
        <v>0</v>
      </c>
      <c r="AN21" s="2005">
        <f t="shared" si="76"/>
        <v>0</v>
      </c>
      <c r="AO21" s="2005">
        <f t="shared" si="76"/>
        <v>0</v>
      </c>
      <c r="AP21" s="2005">
        <f t="shared" si="76"/>
        <v>0</v>
      </c>
      <c r="AQ21" s="2005">
        <f t="shared" si="76"/>
        <v>0</v>
      </c>
      <c r="AR21" s="2005">
        <f t="shared" si="76"/>
        <v>0</v>
      </c>
      <c r="AS21" s="2299"/>
      <c r="AT21" s="2004">
        <f t="shared" si="50"/>
        <v>0</v>
      </c>
      <c r="AU21" s="2005">
        <f t="shared" si="40"/>
        <v>0</v>
      </c>
      <c r="AV21" s="2006">
        <f t="shared" si="51"/>
        <v>0</v>
      </c>
      <c r="AW21" s="2299"/>
      <c r="AX21" s="2005">
        <f t="shared" ref="AX21:BD21" si="77">$J$21</f>
        <v>0</v>
      </c>
      <c r="AY21" s="2005">
        <f t="shared" si="77"/>
        <v>0</v>
      </c>
      <c r="AZ21" s="2005">
        <f t="shared" si="77"/>
        <v>0</v>
      </c>
      <c r="BA21" s="2005">
        <f t="shared" si="77"/>
        <v>0</v>
      </c>
      <c r="BB21" s="2005">
        <f t="shared" si="77"/>
        <v>0</v>
      </c>
      <c r="BC21" s="2005">
        <f t="shared" si="77"/>
        <v>0</v>
      </c>
      <c r="BD21" s="2005">
        <f t="shared" si="77"/>
        <v>0</v>
      </c>
      <c r="BE21" s="2299"/>
      <c r="BF21" s="2004">
        <f t="shared" si="53"/>
        <v>0</v>
      </c>
      <c r="BG21" s="2005">
        <f t="shared" si="42"/>
        <v>0</v>
      </c>
      <c r="BH21" s="2006">
        <f t="shared" si="54"/>
        <v>0</v>
      </c>
      <c r="BI21" s="1951"/>
      <c r="BJ21" s="2001">
        <f t="shared" ref="BJ21" si="78">$J$21</f>
        <v>0</v>
      </c>
      <c r="BK21" s="1951"/>
      <c r="BL21" s="2004">
        <f t="shared" si="30"/>
        <v>0</v>
      </c>
      <c r="BM21" s="2005">
        <f t="shared" si="31"/>
        <v>0</v>
      </c>
      <c r="BN21" s="2006">
        <f>BM21-BL21</f>
        <v>0</v>
      </c>
      <c r="BP21" s="2007">
        <v>0</v>
      </c>
      <c r="BQ21" s="2008" t="e">
        <f t="shared" si="32"/>
        <v>#DIV/0!</v>
      </c>
      <c r="BR21" s="1959"/>
      <c r="BS21" s="1901">
        <f t="shared" si="33"/>
        <v>0</v>
      </c>
      <c r="BT21" s="1902" t="e">
        <f t="shared" si="34"/>
        <v>#DIV/0!</v>
      </c>
      <c r="BU21" s="1962"/>
      <c r="BV21" s="1905"/>
      <c r="BX21" s="2943"/>
      <c r="BY21" s="2479">
        <f>BY20-BY19</f>
        <v>0</v>
      </c>
      <c r="BZ21" s="2010"/>
      <c r="CA21" s="2011"/>
      <c r="CB21" s="1946"/>
      <c r="CC21" s="1946"/>
      <c r="CD21" s="1946"/>
      <c r="CE21" s="1946"/>
      <c r="CF21" s="2012"/>
      <c r="CG21" s="1946"/>
    </row>
    <row r="22" spans="1:85" s="1756" customFormat="1" x14ac:dyDescent="0.2">
      <c r="B22" s="1963">
        <v>20</v>
      </c>
      <c r="C22" s="1963" t="s">
        <v>239</v>
      </c>
      <c r="D22" s="2578"/>
      <c r="E22" s="1728">
        <v>0</v>
      </c>
      <c r="F22" s="1728"/>
      <c r="G22" s="1728"/>
      <c r="H22" s="1728"/>
      <c r="I22" s="1728"/>
      <c r="J22" s="1728">
        <f t="shared" si="35"/>
        <v>0</v>
      </c>
      <c r="K22" s="1729">
        <f t="shared" si="24"/>
        <v>0</v>
      </c>
      <c r="L22" s="1931"/>
      <c r="M22" s="1924"/>
      <c r="N22" s="1728">
        <f t="shared" ref="N22:T22" si="79">$J$22</f>
        <v>0</v>
      </c>
      <c r="O22" s="1728">
        <f t="shared" si="79"/>
        <v>0</v>
      </c>
      <c r="P22" s="1728">
        <f t="shared" si="79"/>
        <v>0</v>
      </c>
      <c r="Q22" s="1728">
        <f t="shared" si="79"/>
        <v>0</v>
      </c>
      <c r="R22" s="1728">
        <f t="shared" si="79"/>
        <v>0</v>
      </c>
      <c r="S22" s="1728">
        <f t="shared" si="79"/>
        <v>0</v>
      </c>
      <c r="T22" s="1728">
        <f t="shared" si="79"/>
        <v>0</v>
      </c>
      <c r="U22" s="1814"/>
      <c r="V22" s="1982">
        <f t="shared" si="58"/>
        <v>0</v>
      </c>
      <c r="W22" s="2268">
        <f t="shared" si="64"/>
        <v>0</v>
      </c>
      <c r="X22" s="1984">
        <f t="shared" si="45"/>
        <v>0</v>
      </c>
      <c r="Y22" s="1764"/>
      <c r="Z22" s="1728">
        <f t="shared" ref="Z22:AF22" si="80">$J$22</f>
        <v>0</v>
      </c>
      <c r="AA22" s="1728">
        <f t="shared" si="80"/>
        <v>0</v>
      </c>
      <c r="AB22" s="1728">
        <f t="shared" si="80"/>
        <v>0</v>
      </c>
      <c r="AC22" s="1728">
        <f t="shared" si="80"/>
        <v>0</v>
      </c>
      <c r="AD22" s="1728">
        <f t="shared" si="80"/>
        <v>0</v>
      </c>
      <c r="AE22" s="1728">
        <f t="shared" si="80"/>
        <v>0</v>
      </c>
      <c r="AF22" s="1728">
        <f t="shared" si="80"/>
        <v>0</v>
      </c>
      <c r="AG22" s="1764"/>
      <c r="AH22" s="1982">
        <f t="shared" si="47"/>
        <v>0</v>
      </c>
      <c r="AI22" s="2268">
        <f t="shared" si="38"/>
        <v>0</v>
      </c>
      <c r="AJ22" s="1984">
        <f t="shared" si="48"/>
        <v>0</v>
      </c>
      <c r="AK22" s="1764"/>
      <c r="AL22" s="2268">
        <f t="shared" ref="AL22:AR22" si="81">$J$22</f>
        <v>0</v>
      </c>
      <c r="AM22" s="2268">
        <f t="shared" si="81"/>
        <v>0</v>
      </c>
      <c r="AN22" s="2268">
        <f t="shared" si="81"/>
        <v>0</v>
      </c>
      <c r="AO22" s="2268">
        <f t="shared" si="81"/>
        <v>0</v>
      </c>
      <c r="AP22" s="2268">
        <f t="shared" si="81"/>
        <v>0</v>
      </c>
      <c r="AQ22" s="2268">
        <f t="shared" si="81"/>
        <v>0</v>
      </c>
      <c r="AR22" s="2268">
        <f t="shared" si="81"/>
        <v>0</v>
      </c>
      <c r="AS22" s="2289"/>
      <c r="AT22" s="1982">
        <f t="shared" si="50"/>
        <v>0</v>
      </c>
      <c r="AU22" s="2268">
        <f t="shared" si="40"/>
        <v>0</v>
      </c>
      <c r="AV22" s="1984">
        <f t="shared" si="51"/>
        <v>0</v>
      </c>
      <c r="AW22" s="2289"/>
      <c r="AX22" s="2268">
        <f t="shared" ref="AX22:BD22" si="82">$J$22</f>
        <v>0</v>
      </c>
      <c r="AY22" s="2268">
        <f t="shared" si="82"/>
        <v>0</v>
      </c>
      <c r="AZ22" s="2268">
        <f t="shared" si="82"/>
        <v>0</v>
      </c>
      <c r="BA22" s="2268">
        <f t="shared" si="82"/>
        <v>0</v>
      </c>
      <c r="BB22" s="2268">
        <f t="shared" si="82"/>
        <v>0</v>
      </c>
      <c r="BC22" s="2268">
        <f t="shared" si="82"/>
        <v>0</v>
      </c>
      <c r="BD22" s="2268">
        <f t="shared" si="82"/>
        <v>0</v>
      </c>
      <c r="BE22" s="2289"/>
      <c r="BF22" s="1982">
        <f t="shared" si="53"/>
        <v>0</v>
      </c>
      <c r="BG22" s="2268">
        <f t="shared" si="42"/>
        <v>0</v>
      </c>
      <c r="BH22" s="1984">
        <f t="shared" si="54"/>
        <v>0</v>
      </c>
      <c r="BI22" s="1814"/>
      <c r="BJ22" s="1728">
        <f t="shared" ref="BJ22" si="83">$J$22</f>
        <v>0</v>
      </c>
      <c r="BK22" s="1814"/>
      <c r="BL22" s="1982">
        <f t="shared" si="30"/>
        <v>0</v>
      </c>
      <c r="BM22" s="2268">
        <f t="shared" si="31"/>
        <v>0</v>
      </c>
      <c r="BN22" s="1984">
        <f t="shared" ref="BN22:BN38" si="84">BM22-BL22</f>
        <v>0</v>
      </c>
      <c r="BP22" s="1735">
        <v>0</v>
      </c>
      <c r="BQ22" s="1768" t="e">
        <f t="shared" si="32"/>
        <v>#DIV/0!</v>
      </c>
      <c r="BR22" s="2942"/>
      <c r="BS22" s="1763">
        <f t="shared" si="33"/>
        <v>0</v>
      </c>
      <c r="BT22" s="1883" t="e">
        <f t="shared" si="34"/>
        <v>#DIV/0!</v>
      </c>
      <c r="BU22" s="1830"/>
      <c r="BV22" s="1761"/>
      <c r="BX22" s="2946"/>
      <c r="BY22" s="1985"/>
      <c r="BZ22" s="1997"/>
      <c r="CA22" s="1861"/>
      <c r="CB22" s="1860"/>
      <c r="CC22" s="1860"/>
      <c r="CD22" s="1860"/>
      <c r="CE22" s="1860"/>
      <c r="CF22" s="1998"/>
      <c r="CG22" s="1860"/>
    </row>
    <row r="23" spans="1:85" s="1777" customFormat="1" x14ac:dyDescent="0.2">
      <c r="B23" s="1987">
        <v>21</v>
      </c>
      <c r="C23" s="1987" t="s">
        <v>255</v>
      </c>
      <c r="D23" s="1836"/>
      <c r="E23" s="1746">
        <v>75</v>
      </c>
      <c r="F23" s="1746"/>
      <c r="G23" s="1746"/>
      <c r="H23" s="1746"/>
      <c r="I23" s="1746"/>
      <c r="J23" s="1746">
        <f t="shared" si="35"/>
        <v>2.5862068965517242</v>
      </c>
      <c r="K23" s="2583">
        <f t="shared" si="24"/>
        <v>2.7745408134953669E-2</v>
      </c>
      <c r="L23" s="1866"/>
      <c r="M23" s="1867"/>
      <c r="N23" s="1746">
        <f t="shared" ref="N23:T23" si="85">$J$23</f>
        <v>2.5862068965517242</v>
      </c>
      <c r="O23" s="1746">
        <f t="shared" si="85"/>
        <v>2.5862068965517242</v>
      </c>
      <c r="P23" s="1746">
        <f t="shared" si="85"/>
        <v>2.5862068965517242</v>
      </c>
      <c r="Q23" s="1746">
        <f t="shared" si="85"/>
        <v>2.5862068965517242</v>
      </c>
      <c r="R23" s="1746">
        <f t="shared" si="85"/>
        <v>2.5862068965517242</v>
      </c>
      <c r="S23" s="1746">
        <f t="shared" si="85"/>
        <v>2.5862068965517242</v>
      </c>
      <c r="T23" s="1746">
        <f t="shared" si="85"/>
        <v>2.5862068965517242</v>
      </c>
      <c r="U23" s="1801"/>
      <c r="V23" s="1989">
        <f t="shared" si="58"/>
        <v>18.103448275862071</v>
      </c>
      <c r="W23" s="1990">
        <f t="shared" si="64"/>
        <v>22.349148215970263</v>
      </c>
      <c r="X23" s="1991">
        <f t="shared" si="45"/>
        <v>4.2456999401081923</v>
      </c>
      <c r="Y23" s="1788"/>
      <c r="Z23" s="1746">
        <f t="shared" ref="Z23:AF23" si="86">$J$23</f>
        <v>2.5862068965517242</v>
      </c>
      <c r="AA23" s="1746">
        <f t="shared" si="86"/>
        <v>2.5862068965517242</v>
      </c>
      <c r="AB23" s="1746">
        <f t="shared" si="86"/>
        <v>2.5862068965517242</v>
      </c>
      <c r="AC23" s="1746">
        <f t="shared" si="86"/>
        <v>2.5862068965517242</v>
      </c>
      <c r="AD23" s="1746">
        <f t="shared" si="86"/>
        <v>2.5862068965517242</v>
      </c>
      <c r="AE23" s="1746">
        <f t="shared" si="86"/>
        <v>2.5862068965517242</v>
      </c>
      <c r="AF23" s="1746">
        <f t="shared" si="86"/>
        <v>2.5862068965517242</v>
      </c>
      <c r="AG23" s="1788"/>
      <c r="AH23" s="1989">
        <f t="shared" si="47"/>
        <v>18.103448275862071</v>
      </c>
      <c r="AI23" s="1990">
        <f t="shared" si="38"/>
        <v>19.703124132955999</v>
      </c>
      <c r="AJ23" s="1991">
        <f t="shared" si="48"/>
        <v>1.5996758570939278</v>
      </c>
      <c r="AK23" s="1788"/>
      <c r="AL23" s="1990">
        <f t="shared" ref="AL23:AR23" si="87">$J$23</f>
        <v>2.5862068965517242</v>
      </c>
      <c r="AM23" s="1990">
        <f t="shared" si="87"/>
        <v>2.5862068965517242</v>
      </c>
      <c r="AN23" s="1990">
        <f t="shared" si="87"/>
        <v>2.5862068965517242</v>
      </c>
      <c r="AO23" s="1990">
        <f t="shared" si="87"/>
        <v>2.5862068965517242</v>
      </c>
      <c r="AP23" s="1990">
        <f t="shared" si="87"/>
        <v>2.5862068965517242</v>
      </c>
      <c r="AQ23" s="1990">
        <f t="shared" si="87"/>
        <v>2.5862068965517242</v>
      </c>
      <c r="AR23" s="1990">
        <f t="shared" si="87"/>
        <v>2.5862068965517242</v>
      </c>
      <c r="AS23" s="2290"/>
      <c r="AT23" s="1989">
        <f t="shared" si="50"/>
        <v>18.103448275862071</v>
      </c>
      <c r="AU23" s="1990">
        <f t="shared" si="40"/>
        <v>22.125298263137456</v>
      </c>
      <c r="AV23" s="1991">
        <f t="shared" si="51"/>
        <v>4.0218499872753846</v>
      </c>
      <c r="AW23" s="2290"/>
      <c r="AX23" s="1990">
        <f t="shared" ref="AX23:BD23" si="88">$J$23</f>
        <v>2.5862068965517242</v>
      </c>
      <c r="AY23" s="1990">
        <f t="shared" si="88"/>
        <v>2.5862068965517242</v>
      </c>
      <c r="AZ23" s="1990">
        <f t="shared" si="88"/>
        <v>2.5862068965517242</v>
      </c>
      <c r="BA23" s="1990">
        <f t="shared" si="88"/>
        <v>2.5862068965517242</v>
      </c>
      <c r="BB23" s="1990">
        <f t="shared" si="88"/>
        <v>2.5862068965517242</v>
      </c>
      <c r="BC23" s="1990">
        <f t="shared" si="88"/>
        <v>2.5862068965517242</v>
      </c>
      <c r="BD23" s="1990">
        <f t="shared" si="88"/>
        <v>2.5862068965517242</v>
      </c>
      <c r="BE23" s="2290"/>
      <c r="BF23" s="1989">
        <f t="shared" si="53"/>
        <v>18.103448275862071</v>
      </c>
      <c r="BG23" s="1990">
        <f t="shared" si="42"/>
        <v>23.385272737361969</v>
      </c>
      <c r="BH23" s="1991">
        <f t="shared" si="54"/>
        <v>5.2818244614998981</v>
      </c>
      <c r="BI23" s="1801"/>
      <c r="BJ23" s="1746">
        <f t="shared" ref="BJ23" si="89">$J$23</f>
        <v>2.5862068965517242</v>
      </c>
      <c r="BK23" s="1801"/>
      <c r="BL23" s="1989">
        <f t="shared" si="30"/>
        <v>2.5862068965517242</v>
      </c>
      <c r="BM23" s="1990">
        <f t="shared" si="31"/>
        <v>4.0430886188335844</v>
      </c>
      <c r="BN23" s="1991">
        <f t="shared" si="84"/>
        <v>1.4568817222818602</v>
      </c>
      <c r="BP23" s="1750">
        <v>0</v>
      </c>
      <c r="BQ23" s="1871">
        <f t="shared" si="32"/>
        <v>0</v>
      </c>
      <c r="BR23" s="1795"/>
      <c r="BS23" s="1935">
        <f t="shared" si="33"/>
        <v>75.000000000000014</v>
      </c>
      <c r="BT23" s="1930">
        <f t="shared" si="34"/>
        <v>1.0000000000000002</v>
      </c>
      <c r="BU23" s="1802"/>
      <c r="BV23" s="1783"/>
      <c r="BX23" s="1916"/>
      <c r="BY23" s="2029"/>
      <c r="BZ23" s="1993" t="s">
        <v>157</v>
      </c>
      <c r="CA23" s="2952">
        <f>BS1</f>
        <v>1</v>
      </c>
      <c r="CB23" s="1923"/>
      <c r="CC23" s="1923"/>
      <c r="CD23" s="1923"/>
      <c r="CE23" s="1923"/>
      <c r="CF23" s="1995"/>
      <c r="CG23" s="1923"/>
    </row>
    <row r="24" spans="1:85" s="1726" customFormat="1" x14ac:dyDescent="0.2">
      <c r="A24" s="1756"/>
      <c r="B24" s="1963">
        <v>22</v>
      </c>
      <c r="C24" s="1963" t="s">
        <v>247</v>
      </c>
      <c r="D24" s="2578"/>
      <c r="E24" s="1728">
        <v>0</v>
      </c>
      <c r="F24" s="1728">
        <v>0</v>
      </c>
      <c r="G24" s="1728">
        <v>0</v>
      </c>
      <c r="H24" s="1728">
        <v>0</v>
      </c>
      <c r="I24" s="1728">
        <v>0</v>
      </c>
      <c r="J24" s="1728">
        <f t="shared" si="35"/>
        <v>0</v>
      </c>
      <c r="K24" s="1729">
        <f t="shared" si="24"/>
        <v>0</v>
      </c>
      <c r="L24" s="1931"/>
      <c r="M24" s="1877"/>
      <c r="N24" s="1728">
        <f t="shared" ref="N24:T24" si="90">$J$24</f>
        <v>0</v>
      </c>
      <c r="O24" s="1728">
        <f t="shared" si="90"/>
        <v>0</v>
      </c>
      <c r="P24" s="1728">
        <f t="shared" si="90"/>
        <v>0</v>
      </c>
      <c r="Q24" s="1728">
        <f t="shared" si="90"/>
        <v>0</v>
      </c>
      <c r="R24" s="1728">
        <f t="shared" si="90"/>
        <v>0</v>
      </c>
      <c r="S24" s="1728">
        <f t="shared" si="90"/>
        <v>0</v>
      </c>
      <c r="T24" s="1728">
        <f t="shared" si="90"/>
        <v>0</v>
      </c>
      <c r="U24" s="2947"/>
      <c r="V24" s="1982">
        <f t="shared" si="58"/>
        <v>0</v>
      </c>
      <c r="W24" s="2268">
        <f t="shared" si="64"/>
        <v>0</v>
      </c>
      <c r="X24" s="1984">
        <f t="shared" si="45"/>
        <v>0</v>
      </c>
      <c r="Y24" s="1881"/>
      <c r="Z24" s="1728">
        <f t="shared" ref="Z24:AF24" si="91">$J$24</f>
        <v>0</v>
      </c>
      <c r="AA24" s="1728">
        <f t="shared" si="91"/>
        <v>0</v>
      </c>
      <c r="AB24" s="1728">
        <f t="shared" si="91"/>
        <v>0</v>
      </c>
      <c r="AC24" s="1728">
        <f t="shared" si="91"/>
        <v>0</v>
      </c>
      <c r="AD24" s="1728">
        <f t="shared" si="91"/>
        <v>0</v>
      </c>
      <c r="AE24" s="1728">
        <f t="shared" si="91"/>
        <v>0</v>
      </c>
      <c r="AF24" s="1728">
        <f t="shared" si="91"/>
        <v>0</v>
      </c>
      <c r="AG24" s="1881"/>
      <c r="AH24" s="1982">
        <f t="shared" si="47"/>
        <v>0</v>
      </c>
      <c r="AI24" s="2268">
        <f t="shared" si="38"/>
        <v>0</v>
      </c>
      <c r="AJ24" s="1984">
        <f t="shared" si="48"/>
        <v>0</v>
      </c>
      <c r="AK24" s="1881"/>
      <c r="AL24" s="2268">
        <f t="shared" ref="AL24:AR24" si="92">$J$24</f>
        <v>0</v>
      </c>
      <c r="AM24" s="2268">
        <f t="shared" si="92"/>
        <v>0</v>
      </c>
      <c r="AN24" s="2268">
        <f t="shared" si="92"/>
        <v>0</v>
      </c>
      <c r="AO24" s="2268">
        <f t="shared" si="92"/>
        <v>0</v>
      </c>
      <c r="AP24" s="2268">
        <f t="shared" si="92"/>
        <v>0</v>
      </c>
      <c r="AQ24" s="2268">
        <f t="shared" si="92"/>
        <v>0</v>
      </c>
      <c r="AR24" s="2268">
        <f t="shared" si="92"/>
        <v>0</v>
      </c>
      <c r="AS24" s="2293"/>
      <c r="AT24" s="1982">
        <f t="shared" si="50"/>
        <v>0</v>
      </c>
      <c r="AU24" s="2268">
        <f t="shared" si="40"/>
        <v>0</v>
      </c>
      <c r="AV24" s="1984">
        <f t="shared" si="51"/>
        <v>0</v>
      </c>
      <c r="AW24" s="2293"/>
      <c r="AX24" s="2268">
        <f t="shared" ref="AX24:BD24" si="93">$J$24</f>
        <v>0</v>
      </c>
      <c r="AY24" s="2268">
        <f t="shared" si="93"/>
        <v>0</v>
      </c>
      <c r="AZ24" s="2268">
        <f t="shared" si="93"/>
        <v>0</v>
      </c>
      <c r="BA24" s="2268">
        <f t="shared" si="93"/>
        <v>0</v>
      </c>
      <c r="BB24" s="2268">
        <f t="shared" si="93"/>
        <v>0</v>
      </c>
      <c r="BC24" s="2268">
        <f t="shared" si="93"/>
        <v>0</v>
      </c>
      <c r="BD24" s="2268">
        <f t="shared" si="93"/>
        <v>0</v>
      </c>
      <c r="BE24" s="2293"/>
      <c r="BF24" s="1982">
        <f t="shared" si="53"/>
        <v>0</v>
      </c>
      <c r="BG24" s="2268">
        <f t="shared" si="42"/>
        <v>0</v>
      </c>
      <c r="BH24" s="1984">
        <f t="shared" si="54"/>
        <v>0</v>
      </c>
      <c r="BI24" s="2947"/>
      <c r="BJ24" s="1728">
        <f t="shared" ref="BJ24" si="94">$J$24</f>
        <v>0</v>
      </c>
      <c r="BK24" s="2947"/>
      <c r="BL24" s="1982">
        <f t="shared" si="30"/>
        <v>0</v>
      </c>
      <c r="BM24" s="2268">
        <f t="shared" si="31"/>
        <v>0</v>
      </c>
      <c r="BN24" s="1984">
        <f t="shared" si="84"/>
        <v>0</v>
      </c>
      <c r="BP24" s="1732">
        <v>0</v>
      </c>
      <c r="BQ24" s="1882" t="e">
        <f t="shared" si="32"/>
        <v>#DIV/0!</v>
      </c>
      <c r="BR24" s="1740"/>
      <c r="BS24" s="1734">
        <f t="shared" si="33"/>
        <v>0</v>
      </c>
      <c r="BT24" s="1918" t="e">
        <f t="shared" si="34"/>
        <v>#DIV/0!</v>
      </c>
      <c r="BU24" s="1997"/>
      <c r="BV24" s="2946"/>
      <c r="BX24" s="2014"/>
      <c r="BY24" s="2637"/>
      <c r="BZ24" s="1962"/>
      <c r="CA24" s="2638"/>
      <c r="CB24" s="1810"/>
      <c r="CC24" s="1810"/>
      <c r="CD24" s="1810"/>
      <c r="CE24" s="1810"/>
      <c r="CF24" s="1986"/>
      <c r="CG24" s="1810"/>
    </row>
    <row r="25" spans="1:85" s="1885" customFormat="1" x14ac:dyDescent="0.2">
      <c r="A25" s="1947"/>
      <c r="B25" s="2000">
        <v>23</v>
      </c>
      <c r="C25" s="2000" t="s">
        <v>235</v>
      </c>
      <c r="D25" s="2579"/>
      <c r="E25" s="2001">
        <v>50</v>
      </c>
      <c r="F25" s="2001">
        <v>10</v>
      </c>
      <c r="G25" s="2001">
        <v>6.666666666666667</v>
      </c>
      <c r="H25" s="2001">
        <v>5</v>
      </c>
      <c r="I25" s="2001">
        <v>4</v>
      </c>
      <c r="J25" s="2001">
        <f t="shared" si="35"/>
        <v>1.7241379310344827</v>
      </c>
      <c r="K25" s="2584">
        <f t="shared" si="24"/>
        <v>1.8496938756635779E-2</v>
      </c>
      <c r="L25" s="1891"/>
      <c r="M25" s="1950"/>
      <c r="N25" s="2001">
        <f t="shared" ref="N25:T25" si="95">$J$25</f>
        <v>1.7241379310344827</v>
      </c>
      <c r="O25" s="2001">
        <f t="shared" si="95"/>
        <v>1.7241379310344827</v>
      </c>
      <c r="P25" s="2001">
        <f t="shared" si="95"/>
        <v>1.7241379310344827</v>
      </c>
      <c r="Q25" s="2001">
        <f t="shared" si="95"/>
        <v>1.7241379310344827</v>
      </c>
      <c r="R25" s="2001">
        <f t="shared" si="95"/>
        <v>1.7241379310344827</v>
      </c>
      <c r="S25" s="2001">
        <f t="shared" si="95"/>
        <v>1.7241379310344827</v>
      </c>
      <c r="T25" s="2001">
        <f t="shared" si="95"/>
        <v>1.7241379310344827</v>
      </c>
      <c r="U25" s="2944"/>
      <c r="V25" s="2004">
        <f t="shared" si="58"/>
        <v>12.068965517241377</v>
      </c>
      <c r="W25" s="2005">
        <f t="shared" si="64"/>
        <v>14.899432143980176</v>
      </c>
      <c r="X25" s="2006">
        <f t="shared" si="45"/>
        <v>2.830466626738799</v>
      </c>
      <c r="Y25" s="1896"/>
      <c r="Z25" s="2001">
        <f t="shared" ref="Z25:AF25" si="96">$J$25</f>
        <v>1.7241379310344827</v>
      </c>
      <c r="AA25" s="2001">
        <f t="shared" si="96"/>
        <v>1.7241379310344827</v>
      </c>
      <c r="AB25" s="2001">
        <f t="shared" si="96"/>
        <v>1.7241379310344827</v>
      </c>
      <c r="AC25" s="2001">
        <f t="shared" si="96"/>
        <v>1.7241379310344827</v>
      </c>
      <c r="AD25" s="2001">
        <f t="shared" si="96"/>
        <v>1.7241379310344827</v>
      </c>
      <c r="AE25" s="2001">
        <f t="shared" si="96"/>
        <v>1.7241379310344827</v>
      </c>
      <c r="AF25" s="2001">
        <f t="shared" si="96"/>
        <v>1.7241379310344827</v>
      </c>
      <c r="AG25" s="1896"/>
      <c r="AH25" s="2004">
        <f t="shared" si="47"/>
        <v>12.068965517241377</v>
      </c>
      <c r="AI25" s="2005">
        <f t="shared" si="38"/>
        <v>13.135416088637333</v>
      </c>
      <c r="AJ25" s="2006">
        <f t="shared" si="48"/>
        <v>1.066450571395956</v>
      </c>
      <c r="AK25" s="1896"/>
      <c r="AL25" s="2005">
        <f t="shared" ref="AL25:AR25" si="97">$J$25</f>
        <v>1.7241379310344827</v>
      </c>
      <c r="AM25" s="2005">
        <f t="shared" si="97"/>
        <v>1.7241379310344827</v>
      </c>
      <c r="AN25" s="2005">
        <f t="shared" si="97"/>
        <v>1.7241379310344827</v>
      </c>
      <c r="AO25" s="2005">
        <f t="shared" si="97"/>
        <v>1.7241379310344827</v>
      </c>
      <c r="AP25" s="2005">
        <f t="shared" si="97"/>
        <v>1.7241379310344827</v>
      </c>
      <c r="AQ25" s="2005">
        <f t="shared" si="97"/>
        <v>1.7241379310344827</v>
      </c>
      <c r="AR25" s="2005">
        <f t="shared" si="97"/>
        <v>1.7241379310344827</v>
      </c>
      <c r="AS25" s="2295"/>
      <c r="AT25" s="2004">
        <f t="shared" si="50"/>
        <v>12.068965517241377</v>
      </c>
      <c r="AU25" s="2005">
        <f t="shared" si="40"/>
        <v>14.750198842091637</v>
      </c>
      <c r="AV25" s="2006">
        <f t="shared" si="51"/>
        <v>2.6812333248502593</v>
      </c>
      <c r="AW25" s="2295"/>
      <c r="AX25" s="2005">
        <f t="shared" ref="AX25:BD25" si="98">$J$25</f>
        <v>1.7241379310344827</v>
      </c>
      <c r="AY25" s="2005">
        <f t="shared" si="98"/>
        <v>1.7241379310344827</v>
      </c>
      <c r="AZ25" s="2005">
        <f t="shared" si="98"/>
        <v>1.7241379310344827</v>
      </c>
      <c r="BA25" s="2005">
        <f t="shared" si="98"/>
        <v>1.7241379310344827</v>
      </c>
      <c r="BB25" s="2005">
        <f t="shared" si="98"/>
        <v>1.7241379310344827</v>
      </c>
      <c r="BC25" s="2005">
        <f t="shared" si="98"/>
        <v>1.7241379310344827</v>
      </c>
      <c r="BD25" s="2005">
        <f t="shared" si="98"/>
        <v>1.7241379310344827</v>
      </c>
      <c r="BE25" s="2295"/>
      <c r="BF25" s="2004">
        <f t="shared" si="53"/>
        <v>12.068965517241377</v>
      </c>
      <c r="BG25" s="2005">
        <f t="shared" si="42"/>
        <v>15.59018182490798</v>
      </c>
      <c r="BH25" s="2006">
        <f t="shared" si="54"/>
        <v>3.5212163076666023</v>
      </c>
      <c r="BI25" s="2944"/>
      <c r="BJ25" s="2001">
        <f t="shared" ref="BJ25" si="99">$J$25</f>
        <v>1.7241379310344827</v>
      </c>
      <c r="BK25" s="2944"/>
      <c r="BL25" s="2004">
        <f t="shared" si="30"/>
        <v>1.7241379310344827</v>
      </c>
      <c r="BM25" s="2005">
        <f t="shared" si="31"/>
        <v>2.6953924125557225</v>
      </c>
      <c r="BN25" s="2006">
        <f t="shared" si="84"/>
        <v>0.97125448152123983</v>
      </c>
      <c r="BP25" s="1898">
        <v>0</v>
      </c>
      <c r="BQ25" s="1899">
        <f t="shared" si="32"/>
        <v>0</v>
      </c>
      <c r="BR25" s="1900"/>
      <c r="BS25" s="2244">
        <f t="shared" si="33"/>
        <v>49.999999999999993</v>
      </c>
      <c r="BT25" s="2387">
        <f t="shared" si="34"/>
        <v>0.99999999999999989</v>
      </c>
      <c r="BU25" s="2010"/>
      <c r="BV25" s="2943"/>
      <c r="BX25" s="2943"/>
      <c r="BY25" s="2036"/>
      <c r="BZ25" s="1997"/>
      <c r="CA25" s="2037"/>
      <c r="CB25" s="1906"/>
      <c r="CC25" s="1906"/>
      <c r="CD25" s="1906"/>
      <c r="CE25" s="1906"/>
      <c r="CF25" s="2386"/>
      <c r="CG25" s="1906"/>
    </row>
    <row r="26" spans="1:85" s="1726" customFormat="1" x14ac:dyDescent="0.2">
      <c r="B26" s="1963">
        <v>24</v>
      </c>
      <c r="C26" s="1963" t="s">
        <v>202</v>
      </c>
      <c r="D26" s="2578"/>
      <c r="E26" s="1728">
        <v>50</v>
      </c>
      <c r="F26" s="1728"/>
      <c r="G26" s="1728"/>
      <c r="H26" s="1728"/>
      <c r="I26" s="1728"/>
      <c r="J26" s="1728">
        <f t="shared" si="35"/>
        <v>1.7241379310344827</v>
      </c>
      <c r="K26" s="1729">
        <f t="shared" si="24"/>
        <v>1.8496938756635779E-2</v>
      </c>
      <c r="L26" s="1931"/>
      <c r="M26" s="1924"/>
      <c r="N26" s="1728">
        <f t="shared" ref="N26:T26" si="100">$J$26</f>
        <v>1.7241379310344827</v>
      </c>
      <c r="O26" s="1728">
        <f t="shared" si="100"/>
        <v>1.7241379310344827</v>
      </c>
      <c r="P26" s="1728">
        <f t="shared" si="100"/>
        <v>1.7241379310344827</v>
      </c>
      <c r="Q26" s="1728">
        <f t="shared" si="100"/>
        <v>1.7241379310344827</v>
      </c>
      <c r="R26" s="1728">
        <f t="shared" si="100"/>
        <v>1.7241379310344827</v>
      </c>
      <c r="S26" s="1728">
        <f t="shared" si="100"/>
        <v>1.7241379310344827</v>
      </c>
      <c r="T26" s="1728">
        <f t="shared" si="100"/>
        <v>1.7241379310344827</v>
      </c>
      <c r="U26" s="2947"/>
      <c r="V26" s="1982">
        <f t="shared" si="58"/>
        <v>12.068965517241377</v>
      </c>
      <c r="W26" s="2268">
        <f t="shared" si="64"/>
        <v>14.899432143980176</v>
      </c>
      <c r="X26" s="1984">
        <f>W26-V26</f>
        <v>2.830466626738799</v>
      </c>
      <c r="Y26" s="1881"/>
      <c r="Z26" s="1728">
        <f t="shared" ref="Z26:AF26" si="101">$J$26</f>
        <v>1.7241379310344827</v>
      </c>
      <c r="AA26" s="1728">
        <f t="shared" si="101"/>
        <v>1.7241379310344827</v>
      </c>
      <c r="AB26" s="1728">
        <f t="shared" si="101"/>
        <v>1.7241379310344827</v>
      </c>
      <c r="AC26" s="1728">
        <f t="shared" si="101"/>
        <v>1.7241379310344827</v>
      </c>
      <c r="AD26" s="1728">
        <f t="shared" si="101"/>
        <v>1.7241379310344827</v>
      </c>
      <c r="AE26" s="1728">
        <f t="shared" si="101"/>
        <v>1.7241379310344827</v>
      </c>
      <c r="AF26" s="1728">
        <f t="shared" si="101"/>
        <v>1.7241379310344827</v>
      </c>
      <c r="AG26" s="1881"/>
      <c r="AH26" s="1982">
        <f t="shared" si="47"/>
        <v>12.068965517241377</v>
      </c>
      <c r="AI26" s="2268">
        <f t="shared" si="38"/>
        <v>13.135416088637333</v>
      </c>
      <c r="AJ26" s="1984">
        <f t="shared" si="48"/>
        <v>1.066450571395956</v>
      </c>
      <c r="AK26" s="1881"/>
      <c r="AL26" s="2268">
        <f t="shared" ref="AL26:AR26" si="102">$J$26</f>
        <v>1.7241379310344827</v>
      </c>
      <c r="AM26" s="2268">
        <f t="shared" si="102"/>
        <v>1.7241379310344827</v>
      </c>
      <c r="AN26" s="2268">
        <f t="shared" si="102"/>
        <v>1.7241379310344827</v>
      </c>
      <c r="AO26" s="2268">
        <f t="shared" si="102"/>
        <v>1.7241379310344827</v>
      </c>
      <c r="AP26" s="2268">
        <f t="shared" si="102"/>
        <v>1.7241379310344827</v>
      </c>
      <c r="AQ26" s="2268">
        <f t="shared" si="102"/>
        <v>1.7241379310344827</v>
      </c>
      <c r="AR26" s="2268">
        <f t="shared" si="102"/>
        <v>1.7241379310344827</v>
      </c>
      <c r="AS26" s="2293"/>
      <c r="AT26" s="1982">
        <f t="shared" si="50"/>
        <v>12.068965517241377</v>
      </c>
      <c r="AU26" s="2268">
        <f t="shared" si="40"/>
        <v>14.750198842091637</v>
      </c>
      <c r="AV26" s="1984">
        <f t="shared" si="51"/>
        <v>2.6812333248502593</v>
      </c>
      <c r="AW26" s="2293"/>
      <c r="AX26" s="2268">
        <f t="shared" ref="AX26:BD26" si="103">$J$26</f>
        <v>1.7241379310344827</v>
      </c>
      <c r="AY26" s="2268">
        <f t="shared" si="103"/>
        <v>1.7241379310344827</v>
      </c>
      <c r="AZ26" s="2268">
        <f t="shared" si="103"/>
        <v>1.7241379310344827</v>
      </c>
      <c r="BA26" s="2268">
        <f t="shared" si="103"/>
        <v>1.7241379310344827</v>
      </c>
      <c r="BB26" s="2268">
        <f t="shared" si="103"/>
        <v>1.7241379310344827</v>
      </c>
      <c r="BC26" s="2268">
        <f t="shared" si="103"/>
        <v>1.7241379310344827</v>
      </c>
      <c r="BD26" s="2268">
        <f t="shared" si="103"/>
        <v>1.7241379310344827</v>
      </c>
      <c r="BE26" s="2293"/>
      <c r="BF26" s="1982">
        <f t="shared" si="53"/>
        <v>12.068965517241377</v>
      </c>
      <c r="BG26" s="2268">
        <f t="shared" si="42"/>
        <v>15.59018182490798</v>
      </c>
      <c r="BH26" s="1984">
        <f t="shared" si="54"/>
        <v>3.5212163076666023</v>
      </c>
      <c r="BI26" s="2947"/>
      <c r="BJ26" s="1728">
        <f t="shared" ref="BJ26" si="104">$J$26</f>
        <v>1.7241379310344827</v>
      </c>
      <c r="BK26" s="2947"/>
      <c r="BL26" s="1982">
        <f t="shared" si="30"/>
        <v>1.7241379310344827</v>
      </c>
      <c r="BM26" s="2268">
        <f t="shared" si="31"/>
        <v>2.6953924125557225</v>
      </c>
      <c r="BN26" s="1984">
        <f t="shared" si="84"/>
        <v>0.97125448152123983</v>
      </c>
      <c r="BP26" s="1732">
        <v>0</v>
      </c>
      <c r="BQ26" s="1882">
        <f t="shared" si="32"/>
        <v>0</v>
      </c>
      <c r="BR26" s="1740"/>
      <c r="BS26" s="1734">
        <f t="shared" si="33"/>
        <v>49.999999999999993</v>
      </c>
      <c r="BT26" s="1918">
        <f t="shared" si="34"/>
        <v>0.99999999999999989</v>
      </c>
      <c r="BU26" s="1997"/>
      <c r="BV26" s="2946"/>
      <c r="BX26" s="2946"/>
      <c r="BY26" s="2961"/>
      <c r="BZ26" s="1861"/>
      <c r="CA26" s="1861"/>
      <c r="CB26" s="1810"/>
      <c r="CC26" s="1810"/>
      <c r="CD26" s="1810"/>
      <c r="CE26" s="1810"/>
      <c r="CF26" s="1986"/>
      <c r="CG26" s="1810"/>
    </row>
    <row r="27" spans="1:85" s="1885" customFormat="1" x14ac:dyDescent="0.2">
      <c r="B27" s="2580">
        <v>25</v>
      </c>
      <c r="C27" s="2580" t="s">
        <v>262</v>
      </c>
      <c r="D27" s="2596"/>
      <c r="E27" s="2597">
        <v>50</v>
      </c>
      <c r="F27" s="2597">
        <v>0.5</v>
      </c>
      <c r="G27" s="2597">
        <v>0.33333333333333331</v>
      </c>
      <c r="H27" s="2597">
        <v>0.25</v>
      </c>
      <c r="I27" s="2597">
        <v>0.2</v>
      </c>
      <c r="J27" s="2597">
        <f t="shared" si="35"/>
        <v>1.7241379310344827</v>
      </c>
      <c r="K27" s="2598">
        <f t="shared" si="24"/>
        <v>1.8496938756635779E-2</v>
      </c>
      <c r="L27" s="2003"/>
      <c r="M27" s="1950"/>
      <c r="N27" s="2001">
        <f t="shared" ref="N27:T27" si="105">$J$27</f>
        <v>1.7241379310344827</v>
      </c>
      <c r="O27" s="2001">
        <f t="shared" si="105"/>
        <v>1.7241379310344827</v>
      </c>
      <c r="P27" s="2001">
        <f t="shared" si="105"/>
        <v>1.7241379310344827</v>
      </c>
      <c r="Q27" s="2001">
        <f t="shared" si="105"/>
        <v>1.7241379310344827</v>
      </c>
      <c r="R27" s="2001">
        <f t="shared" si="105"/>
        <v>1.7241379310344827</v>
      </c>
      <c r="S27" s="2001">
        <f t="shared" si="105"/>
        <v>1.7241379310344827</v>
      </c>
      <c r="T27" s="2001">
        <f t="shared" si="105"/>
        <v>1.7241379310344827</v>
      </c>
      <c r="U27" s="2944"/>
      <c r="V27" s="2481">
        <f t="shared" si="58"/>
        <v>12.068965517241377</v>
      </c>
      <c r="W27" s="2482">
        <f t="shared" si="64"/>
        <v>14.899432143980176</v>
      </c>
      <c r="X27" s="2483">
        <f t="shared" si="45"/>
        <v>2.830466626738799</v>
      </c>
      <c r="Y27" s="1896"/>
      <c r="Z27" s="2001">
        <f t="shared" ref="Z27:AF27" si="106">$J$27</f>
        <v>1.7241379310344827</v>
      </c>
      <c r="AA27" s="2001">
        <f t="shared" si="106"/>
        <v>1.7241379310344827</v>
      </c>
      <c r="AB27" s="2001">
        <f t="shared" si="106"/>
        <v>1.7241379310344827</v>
      </c>
      <c r="AC27" s="2001">
        <f t="shared" si="106"/>
        <v>1.7241379310344827</v>
      </c>
      <c r="AD27" s="2001">
        <f t="shared" si="106"/>
        <v>1.7241379310344827</v>
      </c>
      <c r="AE27" s="2001">
        <f t="shared" si="106"/>
        <v>1.7241379310344827</v>
      </c>
      <c r="AF27" s="2001">
        <f t="shared" si="106"/>
        <v>1.7241379310344827</v>
      </c>
      <c r="AG27" s="1896"/>
      <c r="AH27" s="2481">
        <f t="shared" si="47"/>
        <v>12.068965517241377</v>
      </c>
      <c r="AI27" s="2482">
        <f t="shared" si="38"/>
        <v>13.135416088637333</v>
      </c>
      <c r="AJ27" s="2483">
        <f t="shared" si="48"/>
        <v>1.066450571395956</v>
      </c>
      <c r="AK27" s="1896"/>
      <c r="AL27" s="2005">
        <f t="shared" ref="AL27:AR27" si="107">$J$27</f>
        <v>1.7241379310344827</v>
      </c>
      <c r="AM27" s="2005">
        <f t="shared" si="107"/>
        <v>1.7241379310344827</v>
      </c>
      <c r="AN27" s="2005">
        <f t="shared" si="107"/>
        <v>1.7241379310344827</v>
      </c>
      <c r="AO27" s="2005">
        <f t="shared" si="107"/>
        <v>1.7241379310344827</v>
      </c>
      <c r="AP27" s="2005">
        <f t="shared" si="107"/>
        <v>1.7241379310344827</v>
      </c>
      <c r="AQ27" s="2005">
        <f t="shared" si="107"/>
        <v>1.7241379310344827</v>
      </c>
      <c r="AR27" s="2005">
        <f t="shared" si="107"/>
        <v>1.7241379310344827</v>
      </c>
      <c r="AS27" s="2295"/>
      <c r="AT27" s="2481">
        <f t="shared" si="50"/>
        <v>12.068965517241377</v>
      </c>
      <c r="AU27" s="2482">
        <f t="shared" si="40"/>
        <v>14.750198842091637</v>
      </c>
      <c r="AV27" s="2483">
        <f t="shared" si="51"/>
        <v>2.6812333248502593</v>
      </c>
      <c r="AW27" s="2295"/>
      <c r="AX27" s="2005">
        <f t="shared" ref="AX27:BD27" si="108">$J$27</f>
        <v>1.7241379310344827</v>
      </c>
      <c r="AY27" s="2005">
        <f t="shared" si="108"/>
        <v>1.7241379310344827</v>
      </c>
      <c r="AZ27" s="2005">
        <f t="shared" si="108"/>
        <v>1.7241379310344827</v>
      </c>
      <c r="BA27" s="2005">
        <f t="shared" si="108"/>
        <v>1.7241379310344827</v>
      </c>
      <c r="BB27" s="2005">
        <f t="shared" si="108"/>
        <v>1.7241379310344827</v>
      </c>
      <c r="BC27" s="2005">
        <f t="shared" si="108"/>
        <v>1.7241379310344827</v>
      </c>
      <c r="BD27" s="2005">
        <f t="shared" si="108"/>
        <v>1.7241379310344827</v>
      </c>
      <c r="BE27" s="2295"/>
      <c r="BF27" s="2481">
        <f t="shared" si="53"/>
        <v>12.068965517241377</v>
      </c>
      <c r="BG27" s="2482">
        <f t="shared" si="42"/>
        <v>15.59018182490798</v>
      </c>
      <c r="BH27" s="2483">
        <f t="shared" si="54"/>
        <v>3.5212163076666023</v>
      </c>
      <c r="BI27" s="2944"/>
      <c r="BJ27" s="2001">
        <f t="shared" ref="BJ27" si="109">$J$27</f>
        <v>1.7241379310344827</v>
      </c>
      <c r="BK27" s="2944"/>
      <c r="BL27" s="2481">
        <f t="shared" si="30"/>
        <v>1.7241379310344827</v>
      </c>
      <c r="BM27" s="2482">
        <f t="shared" si="31"/>
        <v>2.6953924125557225</v>
      </c>
      <c r="BN27" s="2483">
        <f t="shared" si="84"/>
        <v>0.97125448152123983</v>
      </c>
      <c r="BP27" s="1898">
        <v>0</v>
      </c>
      <c r="BQ27" s="1899">
        <f t="shared" si="32"/>
        <v>0</v>
      </c>
      <c r="BR27" s="1900"/>
      <c r="BS27" s="2388">
        <f t="shared" si="33"/>
        <v>49.999999999999993</v>
      </c>
      <c r="BT27" s="2389">
        <f t="shared" si="34"/>
        <v>0.99999999999999989</v>
      </c>
      <c r="BU27" s="2010"/>
      <c r="BV27" s="2943"/>
      <c r="BX27" s="2943"/>
      <c r="BY27" s="2488"/>
      <c r="BZ27" s="2404" t="s">
        <v>155</v>
      </c>
      <c r="CA27" s="2010" t="s">
        <v>156</v>
      </c>
      <c r="CB27" s="1906"/>
      <c r="CC27" s="1906"/>
      <c r="CD27" s="1906"/>
      <c r="CE27" s="1906"/>
      <c r="CF27" s="2386"/>
      <c r="CG27" s="1906"/>
    </row>
    <row r="28" spans="1:85" s="1726" customFormat="1" x14ac:dyDescent="0.2">
      <c r="B28" s="1963">
        <v>26</v>
      </c>
      <c r="C28" s="1963" t="s">
        <v>240</v>
      </c>
      <c r="D28" s="2578"/>
      <c r="E28" s="1728">
        <v>30</v>
      </c>
      <c r="F28" s="1728">
        <v>5</v>
      </c>
      <c r="G28" s="1728">
        <v>3.3333333333333335</v>
      </c>
      <c r="H28" s="1728">
        <v>2.5</v>
      </c>
      <c r="I28" s="1728">
        <v>2</v>
      </c>
      <c r="J28" s="1728">
        <f t="shared" si="35"/>
        <v>1.0344827586206897</v>
      </c>
      <c r="K28" s="1729">
        <f t="shared" si="24"/>
        <v>1.1098163253981467E-2</v>
      </c>
      <c r="L28" s="1931"/>
      <c r="M28" s="1924"/>
      <c r="N28" s="1728">
        <f t="shared" ref="N28:T28" si="110">$J$28</f>
        <v>1.0344827586206897</v>
      </c>
      <c r="O28" s="1728">
        <f t="shared" si="110"/>
        <v>1.0344827586206897</v>
      </c>
      <c r="P28" s="1728">
        <f t="shared" si="110"/>
        <v>1.0344827586206897</v>
      </c>
      <c r="Q28" s="1728">
        <f t="shared" si="110"/>
        <v>1.0344827586206897</v>
      </c>
      <c r="R28" s="1728">
        <f t="shared" si="110"/>
        <v>1.0344827586206897</v>
      </c>
      <c r="S28" s="1728">
        <f t="shared" si="110"/>
        <v>1.0344827586206897</v>
      </c>
      <c r="T28" s="1728">
        <f t="shared" si="110"/>
        <v>1.0344827586206897</v>
      </c>
      <c r="U28" s="2947"/>
      <c r="V28" s="2016">
        <f t="shared" si="58"/>
        <v>7.2413793103448274</v>
      </c>
      <c r="W28" s="2017">
        <f t="shared" si="64"/>
        <v>8.939659286388105</v>
      </c>
      <c r="X28" s="2018">
        <f t="shared" si="45"/>
        <v>1.6982799760432776</v>
      </c>
      <c r="Y28" s="1881"/>
      <c r="Z28" s="1728">
        <f t="shared" ref="Z28:AF28" si="111">$J$28</f>
        <v>1.0344827586206897</v>
      </c>
      <c r="AA28" s="1728">
        <f t="shared" si="111"/>
        <v>1.0344827586206897</v>
      </c>
      <c r="AB28" s="1728">
        <f t="shared" si="111"/>
        <v>1.0344827586206897</v>
      </c>
      <c r="AC28" s="1728">
        <f t="shared" si="111"/>
        <v>1.0344827586206897</v>
      </c>
      <c r="AD28" s="1728">
        <f t="shared" si="111"/>
        <v>1.0344827586206897</v>
      </c>
      <c r="AE28" s="1728">
        <f t="shared" si="111"/>
        <v>1.0344827586206897</v>
      </c>
      <c r="AF28" s="1728">
        <f t="shared" si="111"/>
        <v>1.0344827586206897</v>
      </c>
      <c r="AG28" s="1881"/>
      <c r="AH28" s="2016">
        <f>SUM(Z28:AF28)</f>
        <v>7.2413793103448274</v>
      </c>
      <c r="AI28" s="2017">
        <f t="shared" si="38"/>
        <v>7.8812496531823992</v>
      </c>
      <c r="AJ28" s="2018">
        <f>AI28-AH28</f>
        <v>0.63987034283757183</v>
      </c>
      <c r="AK28" s="1881"/>
      <c r="AL28" s="2268">
        <f t="shared" ref="AL28:AR28" si="112">$J$28</f>
        <v>1.0344827586206897</v>
      </c>
      <c r="AM28" s="2268">
        <f t="shared" si="112"/>
        <v>1.0344827586206897</v>
      </c>
      <c r="AN28" s="2268">
        <f t="shared" si="112"/>
        <v>1.0344827586206897</v>
      </c>
      <c r="AO28" s="2268">
        <f t="shared" si="112"/>
        <v>1.0344827586206897</v>
      </c>
      <c r="AP28" s="2268">
        <f t="shared" si="112"/>
        <v>1.0344827586206897</v>
      </c>
      <c r="AQ28" s="2268">
        <f t="shared" si="112"/>
        <v>1.0344827586206897</v>
      </c>
      <c r="AR28" s="2268">
        <f t="shared" si="112"/>
        <v>1.0344827586206897</v>
      </c>
      <c r="AS28" s="2293"/>
      <c r="AT28" s="2016">
        <f t="shared" si="50"/>
        <v>7.2413793103448274</v>
      </c>
      <c r="AU28" s="2017">
        <f t="shared" si="40"/>
        <v>8.8501193052549816</v>
      </c>
      <c r="AV28" s="2018">
        <f t="shared" si="51"/>
        <v>1.6087399949101542</v>
      </c>
      <c r="AW28" s="2293"/>
      <c r="AX28" s="2268">
        <f t="shared" ref="AX28:BD28" si="113">$J$28</f>
        <v>1.0344827586206897</v>
      </c>
      <c r="AY28" s="2268">
        <f t="shared" si="113"/>
        <v>1.0344827586206897</v>
      </c>
      <c r="AZ28" s="2268">
        <f t="shared" si="113"/>
        <v>1.0344827586206897</v>
      </c>
      <c r="BA28" s="2268">
        <f t="shared" si="113"/>
        <v>1.0344827586206897</v>
      </c>
      <c r="BB28" s="2268">
        <f t="shared" si="113"/>
        <v>1.0344827586206897</v>
      </c>
      <c r="BC28" s="2268">
        <f t="shared" si="113"/>
        <v>1.0344827586206897</v>
      </c>
      <c r="BD28" s="2268">
        <f t="shared" si="113"/>
        <v>1.0344827586206897</v>
      </c>
      <c r="BE28" s="2293"/>
      <c r="BF28" s="2016">
        <f t="shared" si="53"/>
        <v>7.2413793103448274</v>
      </c>
      <c r="BG28" s="2017">
        <f t="shared" si="42"/>
        <v>9.3541090949447874</v>
      </c>
      <c r="BH28" s="2018">
        <f t="shared" si="54"/>
        <v>2.11272978459996</v>
      </c>
      <c r="BI28" s="2947"/>
      <c r="BJ28" s="1728">
        <f t="shared" ref="BJ28" si="114">$J$28</f>
        <v>1.0344827586206897</v>
      </c>
      <c r="BK28" s="2947"/>
      <c r="BL28" s="2016">
        <f t="shared" si="30"/>
        <v>1.0344827586206897</v>
      </c>
      <c r="BM28" s="2017">
        <f t="shared" si="31"/>
        <v>1.6172354475334334</v>
      </c>
      <c r="BN28" s="2018">
        <f t="shared" si="84"/>
        <v>0.58275268891274368</v>
      </c>
      <c r="BP28" s="1732">
        <v>0</v>
      </c>
      <c r="BQ28" s="1882">
        <f t="shared" si="32"/>
        <v>0</v>
      </c>
      <c r="BR28" s="1740"/>
      <c r="BS28" s="2019">
        <f t="shared" si="33"/>
        <v>30</v>
      </c>
      <c r="BT28" s="2020">
        <f t="shared" si="34"/>
        <v>1</v>
      </c>
      <c r="BU28" s="1997"/>
      <c r="BV28" s="2946"/>
      <c r="BX28" s="2946"/>
      <c r="BY28" s="2036" t="s">
        <v>159</v>
      </c>
      <c r="BZ28" s="2059">
        <v>0.5</v>
      </c>
      <c r="CA28" s="1997" t="str">
        <f>IF(CA23&lt;=BZ28,CA23," ")</f>
        <v xml:space="preserve"> </v>
      </c>
      <c r="CB28" s="1810"/>
      <c r="CC28" s="1810"/>
      <c r="CD28" s="1810"/>
      <c r="CE28" s="1810"/>
      <c r="CF28" s="1986"/>
      <c r="CG28" s="1810"/>
    </row>
    <row r="29" spans="1:85" x14ac:dyDescent="0.2">
      <c r="B29" s="1987">
        <v>27</v>
      </c>
      <c r="C29" s="1987" t="s">
        <v>254</v>
      </c>
      <c r="D29" s="1836"/>
      <c r="E29" s="1746">
        <v>26.35</v>
      </c>
      <c r="F29" s="1746">
        <v>5</v>
      </c>
      <c r="G29" s="1746">
        <v>3.3333333333333335</v>
      </c>
      <c r="H29" s="1746">
        <v>2.5</v>
      </c>
      <c r="I29" s="1746">
        <v>2</v>
      </c>
      <c r="J29" s="1746">
        <f t="shared" si="35"/>
        <v>0.90862068965517251</v>
      </c>
      <c r="K29" s="2583">
        <f t="shared" si="24"/>
        <v>9.7478867247470565E-3</v>
      </c>
      <c r="L29" s="1866"/>
      <c r="M29" s="1867"/>
      <c r="N29" s="1746">
        <f t="shared" ref="N29:T29" si="115">$J$29</f>
        <v>0.90862068965517251</v>
      </c>
      <c r="O29" s="1746">
        <f t="shared" si="115"/>
        <v>0.90862068965517251</v>
      </c>
      <c r="P29" s="1746">
        <f t="shared" si="115"/>
        <v>0.90862068965517251</v>
      </c>
      <c r="Q29" s="1746">
        <f t="shared" si="115"/>
        <v>0.90862068965517251</v>
      </c>
      <c r="R29" s="1746">
        <f t="shared" si="115"/>
        <v>0.90862068965517251</v>
      </c>
      <c r="S29" s="1746">
        <f t="shared" si="115"/>
        <v>0.90862068965517251</v>
      </c>
      <c r="T29" s="1746">
        <f t="shared" si="115"/>
        <v>0.90862068965517251</v>
      </c>
      <c r="U29" s="2945"/>
      <c r="V29" s="2953">
        <f t="shared" si="58"/>
        <v>6.3603448275862089</v>
      </c>
      <c r="W29" s="2954">
        <f t="shared" si="64"/>
        <v>7.8520007398775533</v>
      </c>
      <c r="X29" s="2955">
        <f t="shared" si="45"/>
        <v>1.4916559122913444</v>
      </c>
      <c r="Y29" s="1914"/>
      <c r="Z29" s="1746">
        <f t="shared" ref="Z29:AF29" si="116">$J$29</f>
        <v>0.90862068965517251</v>
      </c>
      <c r="AA29" s="1746">
        <f t="shared" si="116"/>
        <v>0.90862068965517251</v>
      </c>
      <c r="AB29" s="1746">
        <f t="shared" si="116"/>
        <v>0.90862068965517251</v>
      </c>
      <c r="AC29" s="1746">
        <f t="shared" si="116"/>
        <v>0.90862068965517251</v>
      </c>
      <c r="AD29" s="1746">
        <f t="shared" si="116"/>
        <v>0.90862068965517251</v>
      </c>
      <c r="AE29" s="1746">
        <f t="shared" si="116"/>
        <v>0.90862068965517251</v>
      </c>
      <c r="AF29" s="1746">
        <f t="shared" si="116"/>
        <v>0.90862068965517251</v>
      </c>
      <c r="AG29" s="1914"/>
      <c r="AH29" s="2953">
        <f t="shared" ref="AH29:AH35" si="117">SUM(Z29:AF29)</f>
        <v>6.3603448275862089</v>
      </c>
      <c r="AI29" s="2954">
        <f t="shared" si="38"/>
        <v>6.9223642787118758</v>
      </c>
      <c r="AJ29" s="2955">
        <f t="shared" ref="AJ29:AJ35" si="118">AI29-AH29</f>
        <v>0.56201945112566687</v>
      </c>
      <c r="AK29" s="1914"/>
      <c r="AL29" s="1990">
        <f t="shared" ref="AL29:AR29" si="119">$J$29</f>
        <v>0.90862068965517251</v>
      </c>
      <c r="AM29" s="1990">
        <f t="shared" si="119"/>
        <v>0.90862068965517251</v>
      </c>
      <c r="AN29" s="1990">
        <f t="shared" si="119"/>
        <v>0.90862068965517251</v>
      </c>
      <c r="AO29" s="1990">
        <f t="shared" si="119"/>
        <v>0.90862068965517251</v>
      </c>
      <c r="AP29" s="1990">
        <f t="shared" si="119"/>
        <v>0.90862068965517251</v>
      </c>
      <c r="AQ29" s="1990">
        <f t="shared" si="119"/>
        <v>0.90862068965517251</v>
      </c>
      <c r="AR29" s="1990">
        <f t="shared" si="119"/>
        <v>0.90862068965517251</v>
      </c>
      <c r="AS29" s="2297"/>
      <c r="AT29" s="2953">
        <f t="shared" si="50"/>
        <v>6.3603448275862089</v>
      </c>
      <c r="AU29" s="2954">
        <f t="shared" si="40"/>
        <v>7.7733547897822932</v>
      </c>
      <c r="AV29" s="2955">
        <f t="shared" si="51"/>
        <v>1.4130099621960843</v>
      </c>
      <c r="AW29" s="2297"/>
      <c r="AX29" s="1990">
        <f t="shared" ref="AX29:BD29" si="120">$J$29</f>
        <v>0.90862068965517251</v>
      </c>
      <c r="AY29" s="1990">
        <f t="shared" si="120"/>
        <v>0.90862068965517251</v>
      </c>
      <c r="AZ29" s="1990">
        <f t="shared" si="120"/>
        <v>0.90862068965517251</v>
      </c>
      <c r="BA29" s="1990">
        <f t="shared" si="120"/>
        <v>0.90862068965517251</v>
      </c>
      <c r="BB29" s="1990">
        <f t="shared" si="120"/>
        <v>0.90862068965517251</v>
      </c>
      <c r="BC29" s="1990">
        <f t="shared" si="120"/>
        <v>0.90862068965517251</v>
      </c>
      <c r="BD29" s="1990">
        <f t="shared" si="120"/>
        <v>0.90862068965517251</v>
      </c>
      <c r="BE29" s="2297"/>
      <c r="BF29" s="2953">
        <f t="shared" si="53"/>
        <v>6.3603448275862089</v>
      </c>
      <c r="BG29" s="2954">
        <f t="shared" si="42"/>
        <v>8.2160258217265074</v>
      </c>
      <c r="BH29" s="2955">
        <f t="shared" si="54"/>
        <v>1.8556809941402985</v>
      </c>
      <c r="BI29" s="2945"/>
      <c r="BJ29" s="1746">
        <f t="shared" ref="BJ29" si="121">$J$29</f>
        <v>0.90862068965517251</v>
      </c>
      <c r="BK29" s="2945"/>
      <c r="BL29" s="2953">
        <f t="shared" si="30"/>
        <v>0.90862068965517251</v>
      </c>
      <c r="BM29" s="2954">
        <f t="shared" si="31"/>
        <v>1.420471801416866</v>
      </c>
      <c r="BN29" s="2955">
        <f t="shared" si="84"/>
        <v>0.51185111176169351</v>
      </c>
      <c r="BP29" s="1747">
        <v>0</v>
      </c>
      <c r="BQ29" s="1752">
        <f t="shared" si="32"/>
        <v>0</v>
      </c>
      <c r="BR29" s="1754"/>
      <c r="BS29" s="2956">
        <f t="shared" si="33"/>
        <v>26.350000000000009</v>
      </c>
      <c r="BT29" s="2957">
        <f t="shared" si="34"/>
        <v>1.0000000000000002</v>
      </c>
      <c r="BU29" s="1993"/>
      <c r="BV29" s="1916"/>
      <c r="BX29" s="1916"/>
      <c r="BY29" s="2958" t="s">
        <v>160</v>
      </c>
      <c r="BZ29" s="2463">
        <v>0.75</v>
      </c>
      <c r="CA29" s="1802" t="str">
        <f>IF(AND(CA23&gt;BZ28,CA23&lt;=BZ29),CA23," ")</f>
        <v xml:space="preserve"> </v>
      </c>
      <c r="CB29" s="1800"/>
      <c r="CC29" s="1800"/>
      <c r="CD29" s="1800"/>
      <c r="CE29" s="1800"/>
      <c r="CF29" s="2959"/>
      <c r="CG29" s="1800"/>
    </row>
    <row r="30" spans="1:85" s="1726" customFormat="1" x14ac:dyDescent="0.2">
      <c r="B30" s="2508">
        <v>28</v>
      </c>
      <c r="C30" s="1963" t="s">
        <v>205</v>
      </c>
      <c r="D30" s="2578"/>
      <c r="E30" s="1728">
        <v>25.5</v>
      </c>
      <c r="F30" s="1728"/>
      <c r="G30" s="1728"/>
      <c r="H30" s="1728"/>
      <c r="I30" s="1728"/>
      <c r="J30" s="1728">
        <f t="shared" si="35"/>
        <v>0.87931034482758619</v>
      </c>
      <c r="K30" s="1729">
        <f t="shared" si="24"/>
        <v>9.4334387658842472E-3</v>
      </c>
      <c r="L30" s="1931"/>
      <c r="M30" s="1924"/>
      <c r="N30" s="1728">
        <f t="shared" ref="N30:T30" si="122">$J$30</f>
        <v>0.87931034482758619</v>
      </c>
      <c r="O30" s="1728">
        <f t="shared" si="122"/>
        <v>0.87931034482758619</v>
      </c>
      <c r="P30" s="1728">
        <f t="shared" si="122"/>
        <v>0.87931034482758619</v>
      </c>
      <c r="Q30" s="1728">
        <f t="shared" si="122"/>
        <v>0.87931034482758619</v>
      </c>
      <c r="R30" s="1728">
        <f t="shared" si="122"/>
        <v>0.87931034482758619</v>
      </c>
      <c r="S30" s="1728">
        <f t="shared" si="122"/>
        <v>0.87931034482758619</v>
      </c>
      <c r="T30" s="1728">
        <f t="shared" si="122"/>
        <v>0.87931034482758619</v>
      </c>
      <c r="U30" s="2947"/>
      <c r="V30" s="2016">
        <f t="shared" si="58"/>
        <v>6.1551724137931032</v>
      </c>
      <c r="W30" s="2017">
        <f t="shared" si="64"/>
        <v>7.5987103934298883</v>
      </c>
      <c r="X30" s="2018">
        <f t="shared" si="45"/>
        <v>1.4435379796367851</v>
      </c>
      <c r="Y30" s="1881"/>
      <c r="Z30" s="1728">
        <f t="shared" ref="Z30:AF30" si="123">$J$30</f>
        <v>0.87931034482758619</v>
      </c>
      <c r="AA30" s="1728">
        <f t="shared" si="123"/>
        <v>0.87931034482758619</v>
      </c>
      <c r="AB30" s="1728">
        <f t="shared" si="123"/>
        <v>0.87931034482758619</v>
      </c>
      <c r="AC30" s="1728">
        <f t="shared" si="123"/>
        <v>0.87931034482758619</v>
      </c>
      <c r="AD30" s="1728">
        <f t="shared" si="123"/>
        <v>0.87931034482758619</v>
      </c>
      <c r="AE30" s="1728">
        <f t="shared" si="123"/>
        <v>0.87931034482758619</v>
      </c>
      <c r="AF30" s="1728">
        <f t="shared" si="123"/>
        <v>0.87931034482758619</v>
      </c>
      <c r="AG30" s="1881"/>
      <c r="AH30" s="2016">
        <f t="shared" si="117"/>
        <v>6.1551724137931032</v>
      </c>
      <c r="AI30" s="2017">
        <f t="shared" si="38"/>
        <v>6.6990622052050401</v>
      </c>
      <c r="AJ30" s="2018">
        <f t="shared" si="118"/>
        <v>0.54388979141193694</v>
      </c>
      <c r="AK30" s="1881"/>
      <c r="AL30" s="2268">
        <f t="shared" ref="AL30:AR30" si="124">$J$30</f>
        <v>0.87931034482758619</v>
      </c>
      <c r="AM30" s="2268">
        <f t="shared" si="124"/>
        <v>0.87931034482758619</v>
      </c>
      <c r="AN30" s="2268">
        <f t="shared" si="124"/>
        <v>0.87931034482758619</v>
      </c>
      <c r="AO30" s="2268">
        <f t="shared" si="124"/>
        <v>0.87931034482758619</v>
      </c>
      <c r="AP30" s="2268">
        <f t="shared" si="124"/>
        <v>0.87931034482758619</v>
      </c>
      <c r="AQ30" s="2268">
        <f t="shared" si="124"/>
        <v>0.87931034482758619</v>
      </c>
      <c r="AR30" s="2268">
        <f t="shared" si="124"/>
        <v>0.87931034482758619</v>
      </c>
      <c r="AS30" s="2293"/>
      <c r="AT30" s="2016">
        <f t="shared" si="50"/>
        <v>6.1551724137931032</v>
      </c>
      <c r="AU30" s="2017">
        <f t="shared" si="40"/>
        <v>7.5226014094667342</v>
      </c>
      <c r="AV30" s="2018">
        <f t="shared" si="51"/>
        <v>1.367428995673631</v>
      </c>
      <c r="AW30" s="2293"/>
      <c r="AX30" s="2268">
        <f t="shared" ref="AX30:BD30" si="125">$J$30</f>
        <v>0.87931034482758619</v>
      </c>
      <c r="AY30" s="2268">
        <f t="shared" si="125"/>
        <v>0.87931034482758619</v>
      </c>
      <c r="AZ30" s="2268">
        <f t="shared" si="125"/>
        <v>0.87931034482758619</v>
      </c>
      <c r="BA30" s="2268">
        <f t="shared" si="125"/>
        <v>0.87931034482758619</v>
      </c>
      <c r="BB30" s="2268">
        <f t="shared" si="125"/>
        <v>0.87931034482758619</v>
      </c>
      <c r="BC30" s="2268">
        <f t="shared" si="125"/>
        <v>0.87931034482758619</v>
      </c>
      <c r="BD30" s="2268">
        <f t="shared" si="125"/>
        <v>0.87931034482758619</v>
      </c>
      <c r="BE30" s="2293"/>
      <c r="BF30" s="2016">
        <f t="shared" si="53"/>
        <v>6.1551724137931032</v>
      </c>
      <c r="BG30" s="2017">
        <f t="shared" si="42"/>
        <v>7.950992730703069</v>
      </c>
      <c r="BH30" s="2018">
        <f t="shared" si="54"/>
        <v>1.7958203169099658</v>
      </c>
      <c r="BI30" s="2947"/>
      <c r="BJ30" s="1728">
        <f t="shared" ref="BJ30" si="126">$J$30</f>
        <v>0.87931034482758619</v>
      </c>
      <c r="BK30" s="2947"/>
      <c r="BL30" s="2016">
        <f t="shared" si="30"/>
        <v>0.87931034482758619</v>
      </c>
      <c r="BM30" s="2017">
        <f t="shared" si="31"/>
        <v>1.3746501304034184</v>
      </c>
      <c r="BN30" s="2018">
        <f t="shared" si="84"/>
        <v>0.49533978557583225</v>
      </c>
      <c r="BP30" s="1732">
        <v>0</v>
      </c>
      <c r="BQ30" s="1882">
        <f t="shared" si="32"/>
        <v>0</v>
      </c>
      <c r="BR30" s="1740"/>
      <c r="BS30" s="2019">
        <f t="shared" si="33"/>
        <v>25.5</v>
      </c>
      <c r="BT30" s="2020">
        <f t="shared" si="34"/>
        <v>1</v>
      </c>
      <c r="BU30" s="1997"/>
      <c r="BV30" s="2946"/>
      <c r="BX30" s="2946"/>
      <c r="BY30" s="2036" t="s">
        <v>161</v>
      </c>
      <c r="BZ30" s="2059">
        <v>1</v>
      </c>
      <c r="CA30" s="2037">
        <f>IF(CA23&gt;BZ29,CA23," ")</f>
        <v>1</v>
      </c>
      <c r="CB30" s="1810"/>
      <c r="CC30" s="1810"/>
      <c r="CD30" s="1810"/>
      <c r="CE30" s="1810"/>
      <c r="CF30" s="1986"/>
      <c r="CG30" s="1810"/>
    </row>
    <row r="31" spans="1:85" x14ac:dyDescent="0.2">
      <c r="B31" s="1987">
        <v>29</v>
      </c>
      <c r="C31" s="1987" t="s">
        <v>260</v>
      </c>
      <c r="D31" s="1836"/>
      <c r="E31" s="1746">
        <v>0</v>
      </c>
      <c r="F31" s="1746">
        <v>5</v>
      </c>
      <c r="G31" s="1746">
        <v>3.3333333333333335</v>
      </c>
      <c r="H31" s="1746">
        <v>2.5</v>
      </c>
      <c r="I31" s="1746">
        <v>2</v>
      </c>
      <c r="J31" s="1746">
        <f t="shared" si="35"/>
        <v>0</v>
      </c>
      <c r="K31" s="2583">
        <f t="shared" si="24"/>
        <v>0</v>
      </c>
      <c r="L31" s="1866"/>
      <c r="M31" s="1867"/>
      <c r="N31" s="1746">
        <f t="shared" ref="N31:T31" si="127">$J$31</f>
        <v>0</v>
      </c>
      <c r="O31" s="1746">
        <f t="shared" si="127"/>
        <v>0</v>
      </c>
      <c r="P31" s="1746">
        <f t="shared" si="127"/>
        <v>0</v>
      </c>
      <c r="Q31" s="1746">
        <f t="shared" si="127"/>
        <v>0</v>
      </c>
      <c r="R31" s="1746">
        <f t="shared" si="127"/>
        <v>0</v>
      </c>
      <c r="S31" s="1746">
        <f t="shared" si="127"/>
        <v>0</v>
      </c>
      <c r="T31" s="1746">
        <f t="shared" si="127"/>
        <v>0</v>
      </c>
      <c r="U31" s="2945"/>
      <c r="V31" s="2953">
        <f t="shared" si="58"/>
        <v>0</v>
      </c>
      <c r="W31" s="2954">
        <f t="shared" si="64"/>
        <v>0</v>
      </c>
      <c r="X31" s="2955">
        <f t="shared" si="45"/>
        <v>0</v>
      </c>
      <c r="Y31" s="1914"/>
      <c r="Z31" s="1746">
        <f t="shared" ref="Z31:AF31" si="128">$J$31</f>
        <v>0</v>
      </c>
      <c r="AA31" s="1746">
        <f t="shared" si="128"/>
        <v>0</v>
      </c>
      <c r="AB31" s="1746">
        <f t="shared" si="128"/>
        <v>0</v>
      </c>
      <c r="AC31" s="1746">
        <f t="shared" si="128"/>
        <v>0</v>
      </c>
      <c r="AD31" s="1746">
        <f t="shared" si="128"/>
        <v>0</v>
      </c>
      <c r="AE31" s="1746">
        <f t="shared" si="128"/>
        <v>0</v>
      </c>
      <c r="AF31" s="1746">
        <f t="shared" si="128"/>
        <v>0</v>
      </c>
      <c r="AG31" s="1914"/>
      <c r="AH31" s="2953">
        <f t="shared" si="117"/>
        <v>0</v>
      </c>
      <c r="AI31" s="2954">
        <f t="shared" si="38"/>
        <v>0</v>
      </c>
      <c r="AJ31" s="2955">
        <f t="shared" si="118"/>
        <v>0</v>
      </c>
      <c r="AK31" s="1914"/>
      <c r="AL31" s="1990">
        <f t="shared" ref="AL31:AR31" si="129">$J$31</f>
        <v>0</v>
      </c>
      <c r="AM31" s="1990">
        <f t="shared" si="129"/>
        <v>0</v>
      </c>
      <c r="AN31" s="1990">
        <f t="shared" si="129"/>
        <v>0</v>
      </c>
      <c r="AO31" s="1990">
        <f t="shared" si="129"/>
        <v>0</v>
      </c>
      <c r="AP31" s="1990">
        <f t="shared" si="129"/>
        <v>0</v>
      </c>
      <c r="AQ31" s="1990">
        <f t="shared" si="129"/>
        <v>0</v>
      </c>
      <c r="AR31" s="1990">
        <f t="shared" si="129"/>
        <v>0</v>
      </c>
      <c r="AS31" s="2297"/>
      <c r="AT31" s="2953">
        <f t="shared" si="50"/>
        <v>0</v>
      </c>
      <c r="AU31" s="2954">
        <f t="shared" si="40"/>
        <v>0</v>
      </c>
      <c r="AV31" s="2955">
        <f t="shared" si="51"/>
        <v>0</v>
      </c>
      <c r="AW31" s="2297"/>
      <c r="AX31" s="1990">
        <f t="shared" ref="AX31:BD31" si="130">$J$31</f>
        <v>0</v>
      </c>
      <c r="AY31" s="1990">
        <f t="shared" si="130"/>
        <v>0</v>
      </c>
      <c r="AZ31" s="1990">
        <f t="shared" si="130"/>
        <v>0</v>
      </c>
      <c r="BA31" s="1990">
        <f t="shared" si="130"/>
        <v>0</v>
      </c>
      <c r="BB31" s="1990">
        <f t="shared" si="130"/>
        <v>0</v>
      </c>
      <c r="BC31" s="1990">
        <f t="shared" si="130"/>
        <v>0</v>
      </c>
      <c r="BD31" s="1990">
        <f t="shared" si="130"/>
        <v>0</v>
      </c>
      <c r="BE31" s="2297"/>
      <c r="BF31" s="2953">
        <f t="shared" si="53"/>
        <v>0</v>
      </c>
      <c r="BG31" s="2954">
        <f t="shared" si="42"/>
        <v>0</v>
      </c>
      <c r="BH31" s="2955">
        <f t="shared" si="54"/>
        <v>0</v>
      </c>
      <c r="BI31" s="2945"/>
      <c r="BJ31" s="1746">
        <f t="shared" ref="BJ31" si="131">$J$31</f>
        <v>0</v>
      </c>
      <c r="BK31" s="2945"/>
      <c r="BL31" s="2953">
        <f t="shared" si="30"/>
        <v>0</v>
      </c>
      <c r="BM31" s="2954">
        <f t="shared" si="31"/>
        <v>0</v>
      </c>
      <c r="BN31" s="2955">
        <f t="shared" si="84"/>
        <v>0</v>
      </c>
      <c r="BP31" s="1747">
        <v>0</v>
      </c>
      <c r="BQ31" s="1752" t="e">
        <f t="shared" si="32"/>
        <v>#DIV/0!</v>
      </c>
      <c r="BR31" s="1754"/>
      <c r="BS31" s="2956">
        <f t="shared" si="33"/>
        <v>0</v>
      </c>
      <c r="BT31" s="2957" t="e">
        <f t="shared" si="34"/>
        <v>#DIV/0!</v>
      </c>
      <c r="BU31" s="1993"/>
      <c r="BV31" s="1916"/>
      <c r="BX31" s="1916"/>
      <c r="BY31" s="2029"/>
      <c r="BZ31" s="2047" t="s">
        <v>158</v>
      </c>
      <c r="CA31" s="2952">
        <f>MAX(100%,CA23)-CA23</f>
        <v>0</v>
      </c>
      <c r="CB31" s="1800"/>
      <c r="CC31" s="1800"/>
      <c r="CD31" s="1800"/>
      <c r="CE31" s="1800"/>
      <c r="CF31" s="2959"/>
      <c r="CG31" s="1800"/>
    </row>
    <row r="32" spans="1:85" s="1726" customFormat="1" ht="17.25" thickBot="1" x14ac:dyDescent="0.25">
      <c r="B32" s="1963">
        <v>30</v>
      </c>
      <c r="C32" s="1963" t="s">
        <v>206</v>
      </c>
      <c r="D32" s="2578"/>
      <c r="E32" s="1728">
        <v>16.7</v>
      </c>
      <c r="F32" s="1728"/>
      <c r="G32" s="1728"/>
      <c r="H32" s="1728"/>
      <c r="I32" s="1728"/>
      <c r="J32" s="1728">
        <f t="shared" si="35"/>
        <v>0.57586206896551717</v>
      </c>
      <c r="K32" s="1729">
        <f t="shared" si="24"/>
        <v>6.1779775447163504E-3</v>
      </c>
      <c r="L32" s="1931"/>
      <c r="M32" s="1924"/>
      <c r="N32" s="1728">
        <f t="shared" ref="N32:T32" si="132">$J$32</f>
        <v>0.57586206896551717</v>
      </c>
      <c r="O32" s="1728">
        <f t="shared" si="132"/>
        <v>0.57586206896551717</v>
      </c>
      <c r="P32" s="1728">
        <f t="shared" si="132"/>
        <v>0.57586206896551717</v>
      </c>
      <c r="Q32" s="1728">
        <f t="shared" si="132"/>
        <v>0.57586206896551717</v>
      </c>
      <c r="R32" s="1728">
        <f t="shared" si="132"/>
        <v>0.57586206896551717</v>
      </c>
      <c r="S32" s="1728">
        <f t="shared" si="132"/>
        <v>0.57586206896551717</v>
      </c>
      <c r="T32" s="1728">
        <f t="shared" si="132"/>
        <v>0.57586206896551717</v>
      </c>
      <c r="U32" s="2947"/>
      <c r="V32" s="2016">
        <f t="shared" si="58"/>
        <v>4.0310344827586206</v>
      </c>
      <c r="W32" s="2017">
        <f t="shared" si="64"/>
        <v>4.9764103360893781</v>
      </c>
      <c r="X32" s="2018">
        <f t="shared" si="45"/>
        <v>0.94537585333075747</v>
      </c>
      <c r="Y32" s="1881"/>
      <c r="Z32" s="1728">
        <f t="shared" ref="Z32:AF32" si="133">$J$32</f>
        <v>0.57586206896551717</v>
      </c>
      <c r="AA32" s="1728">
        <f t="shared" si="133"/>
        <v>0.57586206896551717</v>
      </c>
      <c r="AB32" s="1728">
        <f t="shared" si="133"/>
        <v>0.57586206896551717</v>
      </c>
      <c r="AC32" s="1728">
        <f t="shared" si="133"/>
        <v>0.57586206896551717</v>
      </c>
      <c r="AD32" s="1728">
        <f t="shared" si="133"/>
        <v>0.57586206896551717</v>
      </c>
      <c r="AE32" s="1728">
        <f t="shared" si="133"/>
        <v>0.57586206896551717</v>
      </c>
      <c r="AF32" s="1728">
        <f t="shared" si="133"/>
        <v>0.57586206896551717</v>
      </c>
      <c r="AG32" s="1881"/>
      <c r="AH32" s="2016">
        <f t="shared" si="117"/>
        <v>4.0310344827586206</v>
      </c>
      <c r="AI32" s="2017">
        <f t="shared" si="38"/>
        <v>4.38722897360487</v>
      </c>
      <c r="AJ32" s="2018">
        <f t="shared" si="118"/>
        <v>0.35619449084624932</v>
      </c>
      <c r="AK32" s="1881"/>
      <c r="AL32" s="2268">
        <f t="shared" ref="AL32:AR32" si="134">$J$32</f>
        <v>0.57586206896551717</v>
      </c>
      <c r="AM32" s="2268">
        <f t="shared" si="134"/>
        <v>0.57586206896551717</v>
      </c>
      <c r="AN32" s="2268">
        <f t="shared" si="134"/>
        <v>0.57586206896551717</v>
      </c>
      <c r="AO32" s="2268">
        <f t="shared" si="134"/>
        <v>0.57586206896551717</v>
      </c>
      <c r="AP32" s="2268">
        <f t="shared" si="134"/>
        <v>0.57586206896551717</v>
      </c>
      <c r="AQ32" s="2268">
        <f t="shared" si="134"/>
        <v>0.57586206896551717</v>
      </c>
      <c r="AR32" s="2268">
        <f t="shared" si="134"/>
        <v>0.57586206896551717</v>
      </c>
      <c r="AS32" s="2293"/>
      <c r="AT32" s="2016">
        <f t="shared" si="50"/>
        <v>4.0310344827586206</v>
      </c>
      <c r="AU32" s="2017">
        <f t="shared" si="40"/>
        <v>4.9265664132586071</v>
      </c>
      <c r="AV32" s="2018">
        <f t="shared" si="51"/>
        <v>0.89553193049998647</v>
      </c>
      <c r="AW32" s="2293"/>
      <c r="AX32" s="2268">
        <f t="shared" ref="AX32:BD32" si="135">$J$32</f>
        <v>0.57586206896551717</v>
      </c>
      <c r="AY32" s="2268">
        <f t="shared" si="135"/>
        <v>0.57586206896551717</v>
      </c>
      <c r="AZ32" s="2268">
        <f t="shared" si="135"/>
        <v>0.57586206896551717</v>
      </c>
      <c r="BA32" s="2268">
        <f t="shared" si="135"/>
        <v>0.57586206896551717</v>
      </c>
      <c r="BB32" s="2268">
        <f t="shared" si="135"/>
        <v>0.57586206896551717</v>
      </c>
      <c r="BC32" s="2268">
        <f t="shared" si="135"/>
        <v>0.57586206896551717</v>
      </c>
      <c r="BD32" s="2268">
        <f t="shared" si="135"/>
        <v>0.57586206896551717</v>
      </c>
      <c r="BE32" s="2293"/>
      <c r="BF32" s="2016">
        <f t="shared" si="53"/>
        <v>4.0310344827586206</v>
      </c>
      <c r="BG32" s="2017">
        <f t="shared" si="42"/>
        <v>5.2071207295192661</v>
      </c>
      <c r="BH32" s="2018">
        <f t="shared" si="54"/>
        <v>1.1760862467606454</v>
      </c>
      <c r="BI32" s="2947"/>
      <c r="BJ32" s="1728">
        <f t="shared" ref="BJ32" si="136">$J$32</f>
        <v>0.57586206896551717</v>
      </c>
      <c r="BK32" s="2947"/>
      <c r="BL32" s="2016">
        <f t="shared" si="30"/>
        <v>0.57586206896551717</v>
      </c>
      <c r="BM32" s="2017">
        <f t="shared" si="31"/>
        <v>0.90026106579361131</v>
      </c>
      <c r="BN32" s="2018">
        <f t="shared" si="84"/>
        <v>0.32439899682809414</v>
      </c>
      <c r="BP32" s="1732">
        <v>0</v>
      </c>
      <c r="BQ32" s="1882">
        <f t="shared" si="32"/>
        <v>0</v>
      </c>
      <c r="BR32" s="1740"/>
      <c r="BS32" s="2019">
        <f t="shared" si="33"/>
        <v>16.7</v>
      </c>
      <c r="BT32" s="2020">
        <f t="shared" si="34"/>
        <v>1</v>
      </c>
      <c r="BU32" s="1997"/>
      <c r="BV32" s="2946"/>
      <c r="BX32" s="2946"/>
      <c r="BY32" s="2984"/>
      <c r="BZ32" s="2985"/>
      <c r="CA32" s="2649"/>
      <c r="CB32" s="2986"/>
      <c r="CC32" s="2986"/>
      <c r="CD32" s="2986"/>
      <c r="CE32" s="2986"/>
      <c r="CF32" s="2987"/>
      <c r="CG32" s="1810"/>
    </row>
    <row r="33" spans="1:85" s="1885" customFormat="1" x14ac:dyDescent="0.2">
      <c r="B33" s="2580">
        <v>31</v>
      </c>
      <c r="C33" s="2000" t="s">
        <v>258</v>
      </c>
      <c r="D33" s="2579"/>
      <c r="E33" s="2001">
        <v>15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35"/>
        <v>0.51724137931034486</v>
      </c>
      <c r="K33" s="2584">
        <f t="shared" si="24"/>
        <v>5.5490816269907336E-3</v>
      </c>
      <c r="L33" s="2003"/>
      <c r="M33" s="1950"/>
      <c r="N33" s="2001">
        <f t="shared" ref="N33:T33" si="137">$J$33</f>
        <v>0.51724137931034486</v>
      </c>
      <c r="O33" s="2001">
        <f t="shared" si="137"/>
        <v>0.51724137931034486</v>
      </c>
      <c r="P33" s="2001">
        <f t="shared" si="137"/>
        <v>0.51724137931034486</v>
      </c>
      <c r="Q33" s="2001">
        <f t="shared" si="137"/>
        <v>0.51724137931034486</v>
      </c>
      <c r="R33" s="2001">
        <f t="shared" si="137"/>
        <v>0.51724137931034486</v>
      </c>
      <c r="S33" s="2001">
        <f t="shared" si="137"/>
        <v>0.51724137931034486</v>
      </c>
      <c r="T33" s="2001">
        <f t="shared" si="137"/>
        <v>0.51724137931034486</v>
      </c>
      <c r="U33" s="2944"/>
      <c r="V33" s="2481">
        <f t="shared" si="58"/>
        <v>3.6206896551724137</v>
      </c>
      <c r="W33" s="2482">
        <f t="shared" si="64"/>
        <v>4.4698296431940525</v>
      </c>
      <c r="X33" s="2483">
        <f t="shared" si="45"/>
        <v>0.84913998802163881</v>
      </c>
      <c r="Y33" s="1896"/>
      <c r="Z33" s="2001">
        <f t="shared" ref="Z33:AF33" si="138">$J$33</f>
        <v>0.51724137931034486</v>
      </c>
      <c r="AA33" s="2001">
        <f t="shared" si="138"/>
        <v>0.51724137931034486</v>
      </c>
      <c r="AB33" s="2001">
        <f t="shared" si="138"/>
        <v>0.51724137931034486</v>
      </c>
      <c r="AC33" s="2001">
        <f t="shared" si="138"/>
        <v>0.51724137931034486</v>
      </c>
      <c r="AD33" s="2001">
        <f t="shared" si="138"/>
        <v>0.51724137931034486</v>
      </c>
      <c r="AE33" s="2001">
        <f t="shared" si="138"/>
        <v>0.51724137931034486</v>
      </c>
      <c r="AF33" s="2001">
        <f t="shared" si="138"/>
        <v>0.51724137931034486</v>
      </c>
      <c r="AG33" s="1896"/>
      <c r="AH33" s="2481">
        <f t="shared" si="117"/>
        <v>3.6206896551724137</v>
      </c>
      <c r="AI33" s="2482">
        <f t="shared" si="38"/>
        <v>3.9406248265911996</v>
      </c>
      <c r="AJ33" s="2483">
        <f t="shared" si="118"/>
        <v>0.31993517141878591</v>
      </c>
      <c r="AK33" s="1896"/>
      <c r="AL33" s="2005">
        <f t="shared" ref="AL33:AR33" si="139">$J$33</f>
        <v>0.51724137931034486</v>
      </c>
      <c r="AM33" s="2005">
        <f t="shared" si="139"/>
        <v>0.51724137931034486</v>
      </c>
      <c r="AN33" s="2005">
        <f t="shared" si="139"/>
        <v>0.51724137931034486</v>
      </c>
      <c r="AO33" s="2005">
        <f t="shared" si="139"/>
        <v>0.51724137931034486</v>
      </c>
      <c r="AP33" s="2005">
        <f t="shared" si="139"/>
        <v>0.51724137931034486</v>
      </c>
      <c r="AQ33" s="2005">
        <f t="shared" si="139"/>
        <v>0.51724137931034486</v>
      </c>
      <c r="AR33" s="2005">
        <f t="shared" si="139"/>
        <v>0.51724137931034486</v>
      </c>
      <c r="AS33" s="2295"/>
      <c r="AT33" s="2481">
        <f t="shared" si="50"/>
        <v>3.6206896551724137</v>
      </c>
      <c r="AU33" s="2482">
        <f t="shared" si="40"/>
        <v>4.4250596526274908</v>
      </c>
      <c r="AV33" s="2483">
        <f t="shared" si="51"/>
        <v>0.80436999745507709</v>
      </c>
      <c r="AW33" s="2295"/>
      <c r="AX33" s="2005">
        <f t="shared" ref="AX33:BD33" si="140">$J$33</f>
        <v>0.51724137931034486</v>
      </c>
      <c r="AY33" s="2005">
        <f t="shared" si="140"/>
        <v>0.51724137931034486</v>
      </c>
      <c r="AZ33" s="2005">
        <f t="shared" si="140"/>
        <v>0.51724137931034486</v>
      </c>
      <c r="BA33" s="2005">
        <f t="shared" si="140"/>
        <v>0.51724137931034486</v>
      </c>
      <c r="BB33" s="2005">
        <f t="shared" si="140"/>
        <v>0.51724137931034486</v>
      </c>
      <c r="BC33" s="2005">
        <f t="shared" si="140"/>
        <v>0.51724137931034486</v>
      </c>
      <c r="BD33" s="2005">
        <f t="shared" si="140"/>
        <v>0.51724137931034486</v>
      </c>
      <c r="BE33" s="2295"/>
      <c r="BF33" s="2481">
        <f t="shared" si="53"/>
        <v>3.6206896551724137</v>
      </c>
      <c r="BG33" s="2482">
        <f t="shared" si="42"/>
        <v>4.6770545474723937</v>
      </c>
      <c r="BH33" s="2483">
        <f t="shared" si="54"/>
        <v>1.05636489229998</v>
      </c>
      <c r="BI33" s="2944"/>
      <c r="BJ33" s="2001">
        <f t="shared" ref="BJ33" si="141">$J$33</f>
        <v>0.51724137931034486</v>
      </c>
      <c r="BK33" s="2944"/>
      <c r="BL33" s="2481">
        <f t="shared" si="30"/>
        <v>0.51724137931034486</v>
      </c>
      <c r="BM33" s="2482">
        <f t="shared" si="31"/>
        <v>0.8086177237667167</v>
      </c>
      <c r="BN33" s="2483">
        <f t="shared" si="84"/>
        <v>0.29137634445637184</v>
      </c>
      <c r="BP33" s="1898">
        <v>0</v>
      </c>
      <c r="BQ33" s="1899">
        <f t="shared" si="32"/>
        <v>0</v>
      </c>
      <c r="BR33" s="1900"/>
      <c r="BS33" s="2388">
        <f t="shared" si="33"/>
        <v>15</v>
      </c>
      <c r="BT33" s="2389">
        <f t="shared" si="34"/>
        <v>1</v>
      </c>
      <c r="BU33" s="2010"/>
      <c r="BV33" s="2943"/>
      <c r="BX33" s="2943"/>
      <c r="BY33" s="2988"/>
      <c r="BZ33" s="2989"/>
      <c r="CA33" s="2990"/>
      <c r="CB33" s="2991"/>
      <c r="CC33" s="2991"/>
      <c r="CD33" s="2991"/>
      <c r="CE33" s="2991"/>
      <c r="CF33" s="2991"/>
      <c r="CG33" s="1906"/>
    </row>
    <row r="34" spans="1:85" s="1726" customFormat="1" x14ac:dyDescent="0.2">
      <c r="B34" s="1963">
        <v>32</v>
      </c>
      <c r="C34" s="1963" t="s">
        <v>259</v>
      </c>
      <c r="D34" s="2578"/>
      <c r="E34" s="1728">
        <v>15</v>
      </c>
      <c r="F34" s="1728">
        <v>5</v>
      </c>
      <c r="G34" s="1728">
        <v>3.3333333333333335</v>
      </c>
      <c r="H34" s="1728">
        <v>2.5</v>
      </c>
      <c r="I34" s="1728">
        <v>2</v>
      </c>
      <c r="J34" s="1728">
        <f t="shared" si="35"/>
        <v>0.51724137931034486</v>
      </c>
      <c r="K34" s="1729">
        <f t="shared" si="24"/>
        <v>5.5490816269907336E-3</v>
      </c>
      <c r="L34" s="1931"/>
      <c r="M34" s="1924"/>
      <c r="N34" s="1728">
        <f t="shared" ref="N34:T34" si="142">$J$34</f>
        <v>0.51724137931034486</v>
      </c>
      <c r="O34" s="1728">
        <f t="shared" si="142"/>
        <v>0.51724137931034486</v>
      </c>
      <c r="P34" s="1728">
        <f t="shared" si="142"/>
        <v>0.51724137931034486</v>
      </c>
      <c r="Q34" s="1728">
        <f t="shared" si="142"/>
        <v>0.51724137931034486</v>
      </c>
      <c r="R34" s="1728">
        <f t="shared" si="142"/>
        <v>0.51724137931034486</v>
      </c>
      <c r="S34" s="1728">
        <f t="shared" si="142"/>
        <v>0.51724137931034486</v>
      </c>
      <c r="T34" s="1728">
        <f t="shared" si="142"/>
        <v>0.51724137931034486</v>
      </c>
      <c r="U34" s="2947"/>
      <c r="V34" s="2016">
        <f t="shared" si="58"/>
        <v>3.6206896551724137</v>
      </c>
      <c r="W34" s="2017">
        <f t="shared" si="64"/>
        <v>4.4698296431940525</v>
      </c>
      <c r="X34" s="2018">
        <f t="shared" si="45"/>
        <v>0.84913998802163881</v>
      </c>
      <c r="Y34" s="1881"/>
      <c r="Z34" s="1728">
        <f t="shared" ref="Z34:AF34" si="143">$J$34</f>
        <v>0.51724137931034486</v>
      </c>
      <c r="AA34" s="1728">
        <f t="shared" si="143"/>
        <v>0.51724137931034486</v>
      </c>
      <c r="AB34" s="1728">
        <f t="shared" si="143"/>
        <v>0.51724137931034486</v>
      </c>
      <c r="AC34" s="1728">
        <f t="shared" si="143"/>
        <v>0.51724137931034486</v>
      </c>
      <c r="AD34" s="1728">
        <f t="shared" si="143"/>
        <v>0.51724137931034486</v>
      </c>
      <c r="AE34" s="1728">
        <f t="shared" si="143"/>
        <v>0.51724137931034486</v>
      </c>
      <c r="AF34" s="1728">
        <f t="shared" si="143"/>
        <v>0.51724137931034486</v>
      </c>
      <c r="AG34" s="1881"/>
      <c r="AH34" s="2016">
        <f t="shared" si="117"/>
        <v>3.6206896551724137</v>
      </c>
      <c r="AI34" s="2017">
        <f t="shared" si="38"/>
        <v>3.9406248265911996</v>
      </c>
      <c r="AJ34" s="2018">
        <f t="shared" si="118"/>
        <v>0.31993517141878591</v>
      </c>
      <c r="AK34" s="1881"/>
      <c r="AL34" s="2268">
        <f t="shared" ref="AL34:AR34" si="144">$J$34</f>
        <v>0.51724137931034486</v>
      </c>
      <c r="AM34" s="2268">
        <f t="shared" si="144"/>
        <v>0.51724137931034486</v>
      </c>
      <c r="AN34" s="2268">
        <f t="shared" si="144"/>
        <v>0.51724137931034486</v>
      </c>
      <c r="AO34" s="2268">
        <f t="shared" si="144"/>
        <v>0.51724137931034486</v>
      </c>
      <c r="AP34" s="2268">
        <f t="shared" si="144"/>
        <v>0.51724137931034486</v>
      </c>
      <c r="AQ34" s="2268">
        <f t="shared" si="144"/>
        <v>0.51724137931034486</v>
      </c>
      <c r="AR34" s="2268">
        <f t="shared" si="144"/>
        <v>0.51724137931034486</v>
      </c>
      <c r="AS34" s="2293"/>
      <c r="AT34" s="2016">
        <f t="shared" si="50"/>
        <v>3.6206896551724137</v>
      </c>
      <c r="AU34" s="2017">
        <f t="shared" si="40"/>
        <v>4.4250596526274908</v>
      </c>
      <c r="AV34" s="2018">
        <f t="shared" si="51"/>
        <v>0.80436999745507709</v>
      </c>
      <c r="AW34" s="2293"/>
      <c r="AX34" s="2268">
        <f t="shared" ref="AX34:BD34" si="145">$J$34</f>
        <v>0.51724137931034486</v>
      </c>
      <c r="AY34" s="2268">
        <f t="shared" si="145"/>
        <v>0.51724137931034486</v>
      </c>
      <c r="AZ34" s="2268">
        <f t="shared" si="145"/>
        <v>0.51724137931034486</v>
      </c>
      <c r="BA34" s="2268">
        <f t="shared" si="145"/>
        <v>0.51724137931034486</v>
      </c>
      <c r="BB34" s="2268">
        <f t="shared" si="145"/>
        <v>0.51724137931034486</v>
      </c>
      <c r="BC34" s="2268">
        <f t="shared" si="145"/>
        <v>0.51724137931034486</v>
      </c>
      <c r="BD34" s="2268">
        <f t="shared" si="145"/>
        <v>0.51724137931034486</v>
      </c>
      <c r="BE34" s="2293"/>
      <c r="BF34" s="2016">
        <f t="shared" si="53"/>
        <v>3.6206896551724137</v>
      </c>
      <c r="BG34" s="2017">
        <f t="shared" si="42"/>
        <v>4.6770545474723937</v>
      </c>
      <c r="BH34" s="2018">
        <f t="shared" si="54"/>
        <v>1.05636489229998</v>
      </c>
      <c r="BI34" s="2947"/>
      <c r="BJ34" s="1728">
        <f t="shared" ref="BJ34" si="146">$J$34</f>
        <v>0.51724137931034486</v>
      </c>
      <c r="BK34" s="2947"/>
      <c r="BL34" s="2016">
        <f t="shared" si="30"/>
        <v>0.51724137931034486</v>
      </c>
      <c r="BM34" s="2017">
        <f t="shared" si="31"/>
        <v>0.8086177237667167</v>
      </c>
      <c r="BN34" s="2018">
        <f t="shared" si="84"/>
        <v>0.29137634445637184</v>
      </c>
      <c r="BP34" s="1732">
        <v>0</v>
      </c>
      <c r="BQ34" s="1882">
        <f t="shared" si="32"/>
        <v>0</v>
      </c>
      <c r="BR34" s="1740"/>
      <c r="BS34" s="2019">
        <f t="shared" si="33"/>
        <v>15</v>
      </c>
      <c r="BT34" s="2020">
        <f t="shared" si="34"/>
        <v>1</v>
      </c>
      <c r="BU34" s="1997"/>
      <c r="BV34" s="2946"/>
      <c r="BX34" s="2946"/>
      <c r="BY34" s="2992"/>
      <c r="BZ34" s="1830"/>
      <c r="CA34" s="1817"/>
      <c r="CB34" s="1810"/>
      <c r="CC34" s="1810"/>
      <c r="CD34" s="1810"/>
      <c r="CE34" s="1810"/>
      <c r="CF34" s="1810"/>
      <c r="CG34" s="1810"/>
    </row>
    <row r="35" spans="1:85" s="1885" customFormat="1" x14ac:dyDescent="0.2">
      <c r="B35" s="2000">
        <v>33</v>
      </c>
      <c r="C35" s="2000" t="s">
        <v>244</v>
      </c>
      <c r="D35" s="2579"/>
      <c r="E35" s="2001">
        <v>5</v>
      </c>
      <c r="F35" s="2001">
        <v>5</v>
      </c>
      <c r="G35" s="2001">
        <v>3.3333333333333335</v>
      </c>
      <c r="H35" s="2001">
        <v>2.5</v>
      </c>
      <c r="I35" s="2001">
        <v>2</v>
      </c>
      <c r="J35" s="2001">
        <f t="shared" si="35"/>
        <v>0.17241379310344829</v>
      </c>
      <c r="K35" s="2584">
        <f t="shared" si="24"/>
        <v>1.849693875663578E-3</v>
      </c>
      <c r="L35" s="2003"/>
      <c r="M35" s="1950"/>
      <c r="N35" s="2001">
        <f t="shared" ref="N35:T35" si="147">$J$35</f>
        <v>0.17241379310344829</v>
      </c>
      <c r="O35" s="2001">
        <f t="shared" si="147"/>
        <v>0.17241379310344829</v>
      </c>
      <c r="P35" s="2001">
        <f t="shared" si="147"/>
        <v>0.17241379310344829</v>
      </c>
      <c r="Q35" s="2001">
        <f t="shared" si="147"/>
        <v>0.17241379310344829</v>
      </c>
      <c r="R35" s="2001">
        <f t="shared" si="147"/>
        <v>0.17241379310344829</v>
      </c>
      <c r="S35" s="2001">
        <f t="shared" si="147"/>
        <v>0.17241379310344829</v>
      </c>
      <c r="T35" s="2001">
        <f t="shared" si="147"/>
        <v>0.17241379310344829</v>
      </c>
      <c r="U35" s="2944"/>
      <c r="V35" s="2481">
        <f t="shared" si="58"/>
        <v>1.2068965517241379</v>
      </c>
      <c r="W35" s="2482">
        <f t="shared" si="64"/>
        <v>1.4899432143980174</v>
      </c>
      <c r="X35" s="2483">
        <f t="shared" si="45"/>
        <v>0.28304666267387946</v>
      </c>
      <c r="Y35" s="1896"/>
      <c r="Z35" s="2001">
        <f t="shared" ref="Z35:AF35" si="148">$J$35</f>
        <v>0.17241379310344829</v>
      </c>
      <c r="AA35" s="2001">
        <f t="shared" si="148"/>
        <v>0.17241379310344829</v>
      </c>
      <c r="AB35" s="2001">
        <f t="shared" si="148"/>
        <v>0.17241379310344829</v>
      </c>
      <c r="AC35" s="2001">
        <f t="shared" si="148"/>
        <v>0.17241379310344829</v>
      </c>
      <c r="AD35" s="2001">
        <f t="shared" si="148"/>
        <v>0.17241379310344829</v>
      </c>
      <c r="AE35" s="2001">
        <f t="shared" si="148"/>
        <v>0.17241379310344829</v>
      </c>
      <c r="AF35" s="2001">
        <f t="shared" si="148"/>
        <v>0.17241379310344829</v>
      </c>
      <c r="AG35" s="1896"/>
      <c r="AH35" s="2481">
        <f t="shared" si="117"/>
        <v>1.2068965517241379</v>
      </c>
      <c r="AI35" s="2482">
        <f t="shared" si="38"/>
        <v>1.3135416088637333</v>
      </c>
      <c r="AJ35" s="2483">
        <f t="shared" si="118"/>
        <v>0.10664505713959538</v>
      </c>
      <c r="AK35" s="1896"/>
      <c r="AL35" s="2005">
        <f t="shared" ref="AL35:AR35" si="149">$J$35</f>
        <v>0.17241379310344829</v>
      </c>
      <c r="AM35" s="2005">
        <f t="shared" si="149"/>
        <v>0.17241379310344829</v>
      </c>
      <c r="AN35" s="2005">
        <f t="shared" si="149"/>
        <v>0.17241379310344829</v>
      </c>
      <c r="AO35" s="2005">
        <f t="shared" si="149"/>
        <v>0.17241379310344829</v>
      </c>
      <c r="AP35" s="2005">
        <f t="shared" si="149"/>
        <v>0.17241379310344829</v>
      </c>
      <c r="AQ35" s="2005">
        <f t="shared" si="149"/>
        <v>0.17241379310344829</v>
      </c>
      <c r="AR35" s="2005">
        <f t="shared" si="149"/>
        <v>0.17241379310344829</v>
      </c>
      <c r="AS35" s="2295"/>
      <c r="AT35" s="2481">
        <f t="shared" si="50"/>
        <v>1.2068965517241379</v>
      </c>
      <c r="AU35" s="2482">
        <f t="shared" si="40"/>
        <v>1.4750198842091637</v>
      </c>
      <c r="AV35" s="2483">
        <f t="shared" si="51"/>
        <v>0.26812333248502584</v>
      </c>
      <c r="AW35" s="2295"/>
      <c r="AX35" s="2005">
        <f t="shared" ref="AX35:BD35" si="150">$J$35</f>
        <v>0.17241379310344829</v>
      </c>
      <c r="AY35" s="2005">
        <f t="shared" si="150"/>
        <v>0.17241379310344829</v>
      </c>
      <c r="AZ35" s="2005">
        <f t="shared" si="150"/>
        <v>0.17241379310344829</v>
      </c>
      <c r="BA35" s="2005">
        <f t="shared" si="150"/>
        <v>0.17241379310344829</v>
      </c>
      <c r="BB35" s="2005">
        <f t="shared" si="150"/>
        <v>0.17241379310344829</v>
      </c>
      <c r="BC35" s="2005">
        <f t="shared" si="150"/>
        <v>0.17241379310344829</v>
      </c>
      <c r="BD35" s="2005">
        <f t="shared" si="150"/>
        <v>0.17241379310344829</v>
      </c>
      <c r="BE35" s="2295"/>
      <c r="BF35" s="2481">
        <f t="shared" si="53"/>
        <v>1.2068965517241379</v>
      </c>
      <c r="BG35" s="2482">
        <f t="shared" si="42"/>
        <v>1.559018182490798</v>
      </c>
      <c r="BH35" s="2483">
        <f t="shared" si="54"/>
        <v>0.35212163076666014</v>
      </c>
      <c r="BI35" s="2944"/>
      <c r="BJ35" s="2001">
        <f t="shared" ref="BJ35" si="151">$J$35</f>
        <v>0.17241379310344829</v>
      </c>
      <c r="BK35" s="2944"/>
      <c r="BL35" s="2481">
        <f t="shared" si="30"/>
        <v>0.17241379310344829</v>
      </c>
      <c r="BM35" s="2482">
        <f t="shared" si="31"/>
        <v>0.26953924125557227</v>
      </c>
      <c r="BN35" s="2483">
        <f t="shared" si="84"/>
        <v>9.7125448152123983E-2</v>
      </c>
      <c r="BP35" s="1898">
        <v>0</v>
      </c>
      <c r="BQ35" s="1899">
        <f t="shared" si="32"/>
        <v>0</v>
      </c>
      <c r="BR35" s="1900"/>
      <c r="BS35" s="2388">
        <f t="shared" si="33"/>
        <v>5</v>
      </c>
      <c r="BT35" s="2389">
        <f t="shared" si="34"/>
        <v>1</v>
      </c>
      <c r="BU35" s="2010"/>
      <c r="BV35" s="2943"/>
      <c r="BX35" s="2943"/>
      <c r="BY35" s="2993"/>
      <c r="BZ35" s="1962"/>
      <c r="CA35" s="1960"/>
      <c r="CB35" s="1906"/>
      <c r="CC35" s="1906"/>
      <c r="CD35" s="1906"/>
      <c r="CE35" s="1906"/>
      <c r="CF35" s="1906"/>
      <c r="CG35" s="1906"/>
    </row>
    <row r="36" spans="1:85" s="1726" customFormat="1" x14ac:dyDescent="0.2">
      <c r="B36" s="2508">
        <v>34</v>
      </c>
      <c r="C36" s="1963" t="s">
        <v>214</v>
      </c>
      <c r="D36" s="2578"/>
      <c r="E36" s="1728">
        <v>63</v>
      </c>
      <c r="F36" s="1728">
        <v>75.3</v>
      </c>
      <c r="G36" s="1728">
        <v>50.2</v>
      </c>
      <c r="H36" s="1728">
        <v>37.65</v>
      </c>
      <c r="I36" s="1728">
        <v>30.12</v>
      </c>
      <c r="J36" s="1728">
        <f t="shared" si="35"/>
        <v>2.1724137931034484</v>
      </c>
      <c r="K36" s="1729">
        <f t="shared" si="24"/>
        <v>2.3306142833361083E-2</v>
      </c>
      <c r="L36" s="1931"/>
      <c r="M36" s="1924"/>
      <c r="N36" s="1728">
        <f t="shared" ref="N36:T36" si="152">$J$36</f>
        <v>2.1724137931034484</v>
      </c>
      <c r="O36" s="1728">
        <f t="shared" si="152"/>
        <v>2.1724137931034484</v>
      </c>
      <c r="P36" s="1728">
        <f t="shared" si="152"/>
        <v>2.1724137931034484</v>
      </c>
      <c r="Q36" s="1728">
        <f t="shared" si="152"/>
        <v>2.1724137931034484</v>
      </c>
      <c r="R36" s="1728">
        <f t="shared" si="152"/>
        <v>2.1724137931034484</v>
      </c>
      <c r="S36" s="1728">
        <f t="shared" si="152"/>
        <v>2.1724137931034484</v>
      </c>
      <c r="T36" s="1728">
        <f t="shared" si="152"/>
        <v>2.1724137931034484</v>
      </c>
      <c r="U36" s="2947"/>
      <c r="V36" s="2016">
        <f t="shared" si="58"/>
        <v>15.206896551724139</v>
      </c>
      <c r="W36" s="2017">
        <f t="shared" si="64"/>
        <v>18.773284501415024</v>
      </c>
      <c r="X36" s="2018">
        <f t="shared" si="45"/>
        <v>3.5663879496908848</v>
      </c>
      <c r="Y36" s="1881"/>
      <c r="Z36" s="1728">
        <f t="shared" ref="Z36:AF36" si="153">$J$36</f>
        <v>2.1724137931034484</v>
      </c>
      <c r="AA36" s="1728">
        <f t="shared" si="153"/>
        <v>2.1724137931034484</v>
      </c>
      <c r="AB36" s="1728">
        <f t="shared" si="153"/>
        <v>2.1724137931034484</v>
      </c>
      <c r="AC36" s="1728">
        <f t="shared" si="153"/>
        <v>2.1724137931034484</v>
      </c>
      <c r="AD36" s="1728">
        <f t="shared" si="153"/>
        <v>2.1724137931034484</v>
      </c>
      <c r="AE36" s="1728">
        <f t="shared" si="153"/>
        <v>2.1724137931034484</v>
      </c>
      <c r="AF36" s="1728">
        <f t="shared" si="153"/>
        <v>2.1724137931034484</v>
      </c>
      <c r="AG36" s="1881"/>
      <c r="AH36" s="2016">
        <f t="shared" si="47"/>
        <v>15.206896551724139</v>
      </c>
      <c r="AI36" s="2017">
        <f t="shared" si="38"/>
        <v>16.550624271683041</v>
      </c>
      <c r="AJ36" s="2018">
        <f t="shared" si="48"/>
        <v>1.3437277199589026</v>
      </c>
      <c r="AK36" s="1881"/>
      <c r="AL36" s="2268">
        <f t="shared" ref="AL36:AR36" si="154">$J$36</f>
        <v>2.1724137931034484</v>
      </c>
      <c r="AM36" s="2268">
        <f t="shared" si="154"/>
        <v>2.1724137931034484</v>
      </c>
      <c r="AN36" s="2268">
        <f t="shared" si="154"/>
        <v>2.1724137931034484</v>
      </c>
      <c r="AO36" s="2268">
        <f t="shared" si="154"/>
        <v>2.1724137931034484</v>
      </c>
      <c r="AP36" s="2268">
        <f t="shared" si="154"/>
        <v>2.1724137931034484</v>
      </c>
      <c r="AQ36" s="2268">
        <f t="shared" si="154"/>
        <v>2.1724137931034484</v>
      </c>
      <c r="AR36" s="2268">
        <f t="shared" si="154"/>
        <v>2.1724137931034484</v>
      </c>
      <c r="AS36" s="2293"/>
      <c r="AT36" s="2016">
        <f t="shared" si="50"/>
        <v>15.206896551724139</v>
      </c>
      <c r="AU36" s="2017">
        <f t="shared" si="40"/>
        <v>18.585250541035464</v>
      </c>
      <c r="AV36" s="2018">
        <f t="shared" si="51"/>
        <v>3.378353989311325</v>
      </c>
      <c r="AW36" s="2293"/>
      <c r="AX36" s="2268">
        <f t="shared" ref="AX36:BD36" si="155">$J$36</f>
        <v>2.1724137931034484</v>
      </c>
      <c r="AY36" s="2268">
        <f t="shared" si="155"/>
        <v>2.1724137931034484</v>
      </c>
      <c r="AZ36" s="2268">
        <f t="shared" si="155"/>
        <v>2.1724137931034484</v>
      </c>
      <c r="BA36" s="2268">
        <f t="shared" si="155"/>
        <v>2.1724137931034484</v>
      </c>
      <c r="BB36" s="2268">
        <f t="shared" si="155"/>
        <v>2.1724137931034484</v>
      </c>
      <c r="BC36" s="2268">
        <f t="shared" si="155"/>
        <v>2.1724137931034484</v>
      </c>
      <c r="BD36" s="2268">
        <f t="shared" si="155"/>
        <v>2.1724137931034484</v>
      </c>
      <c r="BE36" s="2293"/>
      <c r="BF36" s="2016">
        <f t="shared" si="53"/>
        <v>15.206896551724139</v>
      </c>
      <c r="BG36" s="2017">
        <f t="shared" si="42"/>
        <v>19.643629099384057</v>
      </c>
      <c r="BH36" s="2018">
        <f t="shared" si="54"/>
        <v>4.4367325476599184</v>
      </c>
      <c r="BI36" s="2947"/>
      <c r="BJ36" s="1728">
        <f t="shared" ref="BJ36" si="156">$J$36</f>
        <v>2.1724137931034484</v>
      </c>
      <c r="BK36" s="2947"/>
      <c r="BL36" s="2016">
        <f t="shared" si="30"/>
        <v>2.1724137931034484</v>
      </c>
      <c r="BM36" s="2017">
        <f t="shared" si="31"/>
        <v>3.3961944398202109</v>
      </c>
      <c r="BN36" s="2018">
        <f t="shared" si="84"/>
        <v>1.2237806467167625</v>
      </c>
      <c r="BP36" s="1732">
        <v>0</v>
      </c>
      <c r="BQ36" s="1882">
        <f t="shared" si="32"/>
        <v>0</v>
      </c>
      <c r="BR36" s="1740"/>
      <c r="BS36" s="2019">
        <f t="shared" si="33"/>
        <v>63</v>
      </c>
      <c r="BT36" s="2020">
        <f t="shared" si="34"/>
        <v>1</v>
      </c>
      <c r="BU36" s="1997"/>
      <c r="BV36" s="2946"/>
      <c r="BX36" s="2946"/>
      <c r="BY36" s="2992"/>
      <c r="BZ36" s="1830"/>
      <c r="CA36" s="1817"/>
      <c r="CB36" s="1810"/>
      <c r="CC36" s="1810"/>
      <c r="CD36" s="1810"/>
      <c r="CE36" s="1810"/>
      <c r="CF36" s="1810"/>
      <c r="CG36" s="1810"/>
    </row>
    <row r="37" spans="1:85" x14ac:dyDescent="0.2">
      <c r="B37" s="1987">
        <v>35</v>
      </c>
      <c r="C37" s="1987" t="s">
        <v>208</v>
      </c>
      <c r="D37" s="1836"/>
      <c r="E37" s="1746">
        <v>0</v>
      </c>
      <c r="F37" s="1746"/>
      <c r="G37" s="1746"/>
      <c r="H37" s="1746"/>
      <c r="I37" s="1746"/>
      <c r="J37" s="1746">
        <f t="shared" si="35"/>
        <v>0</v>
      </c>
      <c r="K37" s="2583">
        <f t="shared" si="24"/>
        <v>0</v>
      </c>
      <c r="L37" s="1866"/>
      <c r="M37" s="1867"/>
      <c r="N37" s="1746">
        <f t="shared" ref="N37:T37" si="157">$J$37</f>
        <v>0</v>
      </c>
      <c r="O37" s="1746">
        <f t="shared" si="157"/>
        <v>0</v>
      </c>
      <c r="P37" s="1746">
        <f t="shared" si="157"/>
        <v>0</v>
      </c>
      <c r="Q37" s="1746">
        <f t="shared" si="157"/>
        <v>0</v>
      </c>
      <c r="R37" s="1746">
        <f t="shared" si="157"/>
        <v>0</v>
      </c>
      <c r="S37" s="1746">
        <f t="shared" si="157"/>
        <v>0</v>
      </c>
      <c r="T37" s="1746">
        <f t="shared" si="157"/>
        <v>0</v>
      </c>
      <c r="U37" s="2945"/>
      <c r="V37" s="2953">
        <f t="shared" si="58"/>
        <v>0</v>
      </c>
      <c r="W37" s="2954">
        <f t="shared" si="64"/>
        <v>0</v>
      </c>
      <c r="X37" s="2955">
        <f t="shared" si="45"/>
        <v>0</v>
      </c>
      <c r="Y37" s="1914"/>
      <c r="Z37" s="1746">
        <f t="shared" ref="Z37:AF37" si="158">$J$37</f>
        <v>0</v>
      </c>
      <c r="AA37" s="1746">
        <f t="shared" si="158"/>
        <v>0</v>
      </c>
      <c r="AB37" s="1746">
        <f t="shared" si="158"/>
        <v>0</v>
      </c>
      <c r="AC37" s="1746">
        <f t="shared" si="158"/>
        <v>0</v>
      </c>
      <c r="AD37" s="1746">
        <f t="shared" si="158"/>
        <v>0</v>
      </c>
      <c r="AE37" s="1746">
        <f t="shared" si="158"/>
        <v>0</v>
      </c>
      <c r="AF37" s="1746">
        <f t="shared" si="158"/>
        <v>0</v>
      </c>
      <c r="AG37" s="1914"/>
      <c r="AH37" s="2953">
        <f t="shared" si="47"/>
        <v>0</v>
      </c>
      <c r="AI37" s="2954">
        <f t="shared" si="38"/>
        <v>0</v>
      </c>
      <c r="AJ37" s="2955">
        <f t="shared" si="48"/>
        <v>0</v>
      </c>
      <c r="AK37" s="1914"/>
      <c r="AL37" s="1990">
        <f t="shared" ref="AL37:AR37" si="159">$J$37</f>
        <v>0</v>
      </c>
      <c r="AM37" s="1990">
        <f t="shared" si="159"/>
        <v>0</v>
      </c>
      <c r="AN37" s="1990">
        <f t="shared" si="159"/>
        <v>0</v>
      </c>
      <c r="AO37" s="1990">
        <f t="shared" si="159"/>
        <v>0</v>
      </c>
      <c r="AP37" s="1990">
        <f t="shared" si="159"/>
        <v>0</v>
      </c>
      <c r="AQ37" s="1990">
        <f t="shared" si="159"/>
        <v>0</v>
      </c>
      <c r="AR37" s="1990">
        <f t="shared" si="159"/>
        <v>0</v>
      </c>
      <c r="AS37" s="2297"/>
      <c r="AT37" s="2953">
        <f t="shared" si="50"/>
        <v>0</v>
      </c>
      <c r="AU37" s="2954">
        <f t="shared" si="40"/>
        <v>0</v>
      </c>
      <c r="AV37" s="2955">
        <f t="shared" si="51"/>
        <v>0</v>
      </c>
      <c r="AW37" s="2297"/>
      <c r="AX37" s="1990">
        <f t="shared" ref="AX37:BD37" si="160">$J$37</f>
        <v>0</v>
      </c>
      <c r="AY37" s="1990">
        <f t="shared" si="160"/>
        <v>0</v>
      </c>
      <c r="AZ37" s="1990">
        <f t="shared" si="160"/>
        <v>0</v>
      </c>
      <c r="BA37" s="1990">
        <f t="shared" si="160"/>
        <v>0</v>
      </c>
      <c r="BB37" s="1990">
        <f t="shared" si="160"/>
        <v>0</v>
      </c>
      <c r="BC37" s="1990">
        <f t="shared" si="160"/>
        <v>0</v>
      </c>
      <c r="BD37" s="1990">
        <f t="shared" si="160"/>
        <v>0</v>
      </c>
      <c r="BE37" s="2297"/>
      <c r="BF37" s="2953">
        <f t="shared" si="53"/>
        <v>0</v>
      </c>
      <c r="BG37" s="2954">
        <f t="shared" si="42"/>
        <v>0</v>
      </c>
      <c r="BH37" s="2955">
        <f t="shared" si="54"/>
        <v>0</v>
      </c>
      <c r="BI37" s="2945"/>
      <c r="BJ37" s="1746">
        <f t="shared" ref="BJ37" si="161">$J$37</f>
        <v>0</v>
      </c>
      <c r="BK37" s="2945"/>
      <c r="BL37" s="2953">
        <f t="shared" si="30"/>
        <v>0</v>
      </c>
      <c r="BM37" s="2954">
        <f t="shared" si="31"/>
        <v>0</v>
      </c>
      <c r="BN37" s="2955">
        <f t="shared" si="84"/>
        <v>0</v>
      </c>
      <c r="BP37" s="1747">
        <v>0</v>
      </c>
      <c r="BQ37" s="1752" t="e">
        <f t="shared" si="32"/>
        <v>#DIV/0!</v>
      </c>
      <c r="BR37" s="1754"/>
      <c r="BS37" s="2956">
        <f t="shared" si="33"/>
        <v>0</v>
      </c>
      <c r="BT37" s="2957" t="e">
        <f t="shared" si="34"/>
        <v>#DIV/0!</v>
      </c>
      <c r="BU37" s="1993"/>
      <c r="BV37" s="1916"/>
      <c r="BX37" s="1916"/>
      <c r="BY37" s="2994"/>
      <c r="BZ37" s="1802"/>
      <c r="CA37" s="1806"/>
      <c r="CB37" s="1800"/>
      <c r="CC37" s="1800"/>
      <c r="CD37" s="1800"/>
      <c r="CE37" s="1800"/>
      <c r="CF37" s="1800"/>
      <c r="CG37" s="1800"/>
    </row>
    <row r="38" spans="1:85" s="1726" customFormat="1" ht="17.25" thickBot="1" x14ac:dyDescent="0.25">
      <c r="B38" s="1963">
        <v>36</v>
      </c>
      <c r="C38" s="1963" t="s">
        <v>261</v>
      </c>
      <c r="D38" s="2578"/>
      <c r="E38" s="1728">
        <v>0</v>
      </c>
      <c r="F38" s="1728">
        <v>5</v>
      </c>
      <c r="G38" s="1728">
        <v>3.3333333333333335</v>
      </c>
      <c r="H38" s="1728">
        <v>2.5</v>
      </c>
      <c r="I38" s="1728">
        <v>2</v>
      </c>
      <c r="J38" s="1728">
        <f t="shared" si="35"/>
        <v>0</v>
      </c>
      <c r="K38" s="1729">
        <f t="shared" si="24"/>
        <v>0</v>
      </c>
      <c r="L38" s="1931"/>
      <c r="M38" s="1924"/>
      <c r="N38" s="1728">
        <f t="shared" ref="N38:T38" si="162">$J$38</f>
        <v>0</v>
      </c>
      <c r="O38" s="1728">
        <f t="shared" si="162"/>
        <v>0</v>
      </c>
      <c r="P38" s="1728">
        <f t="shared" si="162"/>
        <v>0</v>
      </c>
      <c r="Q38" s="1728">
        <f t="shared" si="162"/>
        <v>0</v>
      </c>
      <c r="R38" s="1728">
        <f t="shared" si="162"/>
        <v>0</v>
      </c>
      <c r="S38" s="1728">
        <f t="shared" si="162"/>
        <v>0</v>
      </c>
      <c r="T38" s="1728">
        <f t="shared" si="162"/>
        <v>0</v>
      </c>
      <c r="U38" s="2947"/>
      <c r="V38" s="2799">
        <f>SUM(N38:T38)</f>
        <v>0</v>
      </c>
      <c r="W38" s="2800">
        <f t="shared" si="64"/>
        <v>0</v>
      </c>
      <c r="X38" s="2801">
        <f>W38-V38</f>
        <v>0</v>
      </c>
      <c r="Y38" s="1881"/>
      <c r="Z38" s="1728">
        <f t="shared" ref="Z38:AF38" si="163">$J$38</f>
        <v>0</v>
      </c>
      <c r="AA38" s="1728">
        <f t="shared" si="163"/>
        <v>0</v>
      </c>
      <c r="AB38" s="1728">
        <f t="shared" si="163"/>
        <v>0</v>
      </c>
      <c r="AC38" s="1728">
        <f t="shared" si="163"/>
        <v>0</v>
      </c>
      <c r="AD38" s="1728">
        <f t="shared" si="163"/>
        <v>0</v>
      </c>
      <c r="AE38" s="1728">
        <f t="shared" si="163"/>
        <v>0</v>
      </c>
      <c r="AF38" s="1728">
        <f t="shared" si="163"/>
        <v>0</v>
      </c>
      <c r="AG38" s="1881"/>
      <c r="AH38" s="2799">
        <f t="shared" si="47"/>
        <v>0</v>
      </c>
      <c r="AI38" s="2800">
        <f t="shared" si="38"/>
        <v>0</v>
      </c>
      <c r="AJ38" s="2801">
        <f t="shared" si="48"/>
        <v>0</v>
      </c>
      <c r="AK38" s="1881"/>
      <c r="AL38" s="2268">
        <f t="shared" ref="AL38:AR38" si="164">$J$38</f>
        <v>0</v>
      </c>
      <c r="AM38" s="2268">
        <f t="shared" si="164"/>
        <v>0</v>
      </c>
      <c r="AN38" s="2268">
        <f t="shared" si="164"/>
        <v>0</v>
      </c>
      <c r="AO38" s="2268">
        <f t="shared" si="164"/>
        <v>0</v>
      </c>
      <c r="AP38" s="2268">
        <f t="shared" si="164"/>
        <v>0</v>
      </c>
      <c r="AQ38" s="2268">
        <f t="shared" si="164"/>
        <v>0</v>
      </c>
      <c r="AR38" s="2268">
        <f t="shared" si="164"/>
        <v>0</v>
      </c>
      <c r="AS38" s="2293"/>
      <c r="AT38" s="2799">
        <f t="shared" si="50"/>
        <v>0</v>
      </c>
      <c r="AU38" s="2800">
        <f t="shared" si="40"/>
        <v>0</v>
      </c>
      <c r="AV38" s="2801">
        <f t="shared" si="51"/>
        <v>0</v>
      </c>
      <c r="AW38" s="2293"/>
      <c r="AX38" s="2268">
        <f t="shared" ref="AX38:BD38" si="165">$J$38</f>
        <v>0</v>
      </c>
      <c r="AY38" s="2268">
        <f t="shared" si="165"/>
        <v>0</v>
      </c>
      <c r="AZ38" s="2268">
        <f t="shared" si="165"/>
        <v>0</v>
      </c>
      <c r="BA38" s="2268">
        <f t="shared" si="165"/>
        <v>0</v>
      </c>
      <c r="BB38" s="2268">
        <f t="shared" si="165"/>
        <v>0</v>
      </c>
      <c r="BC38" s="2268">
        <f t="shared" si="165"/>
        <v>0</v>
      </c>
      <c r="BD38" s="2268">
        <f t="shared" si="165"/>
        <v>0</v>
      </c>
      <c r="BE38" s="2293"/>
      <c r="BF38" s="2799">
        <f t="shared" si="53"/>
        <v>0</v>
      </c>
      <c r="BG38" s="2800">
        <f t="shared" si="42"/>
        <v>0</v>
      </c>
      <c r="BH38" s="2801">
        <f t="shared" si="54"/>
        <v>0</v>
      </c>
      <c r="BI38" s="2947"/>
      <c r="BJ38" s="1728">
        <f t="shared" ref="BJ38" si="166">$J$38</f>
        <v>0</v>
      </c>
      <c r="BK38" s="2947"/>
      <c r="BL38" s="2799">
        <f t="shared" si="30"/>
        <v>0</v>
      </c>
      <c r="BM38" s="2800">
        <f t="shared" si="31"/>
        <v>0</v>
      </c>
      <c r="BN38" s="2801">
        <f t="shared" si="84"/>
        <v>0</v>
      </c>
      <c r="BP38" s="1732">
        <v>0</v>
      </c>
      <c r="BQ38" s="1882" t="e">
        <f t="shared" si="32"/>
        <v>#DIV/0!</v>
      </c>
      <c r="BR38" s="1740"/>
      <c r="BS38" s="2226">
        <f t="shared" si="33"/>
        <v>0</v>
      </c>
      <c r="BT38" s="2802" t="e">
        <f t="shared" si="34"/>
        <v>#DIV/0!</v>
      </c>
      <c r="BU38" s="1997"/>
      <c r="BV38" s="2946"/>
      <c r="BX38" s="2946"/>
      <c r="BY38" s="2992"/>
      <c r="BZ38" s="1997"/>
      <c r="CA38" s="1861"/>
      <c r="CB38" s="1860"/>
      <c r="CC38" s="1860"/>
      <c r="CD38" s="1860"/>
      <c r="CE38" s="1860"/>
      <c r="CF38" s="1860"/>
      <c r="CG38" s="1860"/>
    </row>
    <row r="39" spans="1:85" s="1923" customFormat="1" ht="4.5" customHeight="1" thickBot="1" x14ac:dyDescent="0.25">
      <c r="B39" s="2525"/>
      <c r="C39" s="2526"/>
      <c r="D39" s="1800"/>
      <c r="E39" s="2527"/>
      <c r="F39" s="2527"/>
      <c r="G39" s="2527"/>
      <c r="H39" s="2527"/>
      <c r="I39" s="2527"/>
      <c r="J39" s="2527"/>
      <c r="K39" s="2528"/>
      <c r="L39" s="1866"/>
      <c r="M39" s="1867"/>
      <c r="N39" s="2026"/>
      <c r="O39" s="2026"/>
      <c r="P39" s="2026"/>
      <c r="Q39" s="2026"/>
      <c r="R39" s="2026"/>
      <c r="S39" s="2026"/>
      <c r="T39" s="2026"/>
      <c r="U39" s="2945"/>
      <c r="V39" s="2945"/>
      <c r="W39" s="2945"/>
      <c r="X39" s="2945"/>
      <c r="Y39" s="1915"/>
      <c r="Z39" s="2026"/>
      <c r="AA39" s="2026"/>
      <c r="AB39" s="2026"/>
      <c r="AC39" s="2026"/>
      <c r="AD39" s="2026"/>
      <c r="AE39" s="2026"/>
      <c r="AF39" s="2026"/>
      <c r="AG39" s="1915"/>
      <c r="AH39" s="2945"/>
      <c r="AI39" s="2945"/>
      <c r="AJ39" s="2945"/>
      <c r="AK39" s="1915"/>
      <c r="AL39" s="2026"/>
      <c r="AM39" s="2026"/>
      <c r="AN39" s="2026"/>
      <c r="AO39" s="2026"/>
      <c r="AP39" s="2026"/>
      <c r="AQ39" s="2026"/>
      <c r="AR39" s="2026"/>
      <c r="AS39" s="2945"/>
      <c r="AT39" s="2945"/>
      <c r="AU39" s="2945"/>
      <c r="AV39" s="2945"/>
      <c r="AW39" s="2945"/>
      <c r="AX39" s="2026"/>
      <c r="AY39" s="2026"/>
      <c r="AZ39" s="2026"/>
      <c r="BA39" s="2026"/>
      <c r="BB39" s="2026"/>
      <c r="BC39" s="2026"/>
      <c r="BD39" s="2026"/>
      <c r="BE39" s="2945"/>
      <c r="BF39" s="2945"/>
      <c r="BG39" s="2945"/>
      <c r="BH39" s="2945"/>
      <c r="BI39" s="2945"/>
      <c r="BJ39" s="2026"/>
      <c r="BK39" s="2945"/>
      <c r="BL39" s="2945"/>
      <c r="BM39" s="2945"/>
      <c r="BN39" s="2945"/>
      <c r="BP39" s="2945"/>
      <c r="BQ39" s="1993"/>
      <c r="BR39" s="1994"/>
      <c r="BS39" s="2027"/>
      <c r="BT39" s="2028"/>
      <c r="BU39" s="1993"/>
      <c r="BV39" s="1916"/>
      <c r="BX39" s="1916"/>
      <c r="BY39" s="1993"/>
      <c r="BZ39" s="2030"/>
      <c r="CA39" s="1994"/>
    </row>
    <row r="40" spans="1:85" s="1885" customFormat="1" ht="17.25" thickBot="1" x14ac:dyDescent="0.25">
      <c r="B40" s="2000"/>
      <c r="C40" s="2803">
        <f>E40*100/20</f>
        <v>13515.749999999996</v>
      </c>
      <c r="D40" s="1888"/>
      <c r="E40" s="2001">
        <f>SUM(E15:E38)</f>
        <v>2703.1499999999996</v>
      </c>
      <c r="F40" s="2001">
        <f t="shared" ref="F40:K40" si="167">SUM(F15:F38)</f>
        <v>279.13333333333333</v>
      </c>
      <c r="G40" s="2001">
        <f t="shared" si="167"/>
        <v>186.08888888888887</v>
      </c>
      <c r="H40" s="2001">
        <f t="shared" si="167"/>
        <v>139.56666666666666</v>
      </c>
      <c r="I40" s="2001">
        <f t="shared" si="167"/>
        <v>111.65333333333334</v>
      </c>
      <c r="J40" s="2001">
        <f>SUM(J15:J38)</f>
        <v>93.212068965517219</v>
      </c>
      <c r="K40" s="2584">
        <f t="shared" si="167"/>
        <v>1.0000000000000004</v>
      </c>
      <c r="L40" s="1949"/>
      <c r="M40" s="1950"/>
      <c r="N40" s="2001">
        <f t="shared" ref="N40" si="168">SUM(N15:N38)</f>
        <v>93.212068965517219</v>
      </c>
      <c r="O40" s="2001">
        <f t="shared" ref="O40:T40" si="169">SUM(O15:O38)</f>
        <v>93.212068965517219</v>
      </c>
      <c r="P40" s="2001">
        <f t="shared" si="169"/>
        <v>93.212068965517219</v>
      </c>
      <c r="Q40" s="2001">
        <f t="shared" si="169"/>
        <v>93.212068965517219</v>
      </c>
      <c r="R40" s="2001">
        <f t="shared" si="169"/>
        <v>93.212068965517219</v>
      </c>
      <c r="S40" s="2001">
        <f t="shared" si="169"/>
        <v>93.212068965517219</v>
      </c>
      <c r="T40" s="2001">
        <f t="shared" si="169"/>
        <v>93.212068965517219</v>
      </c>
      <c r="U40" s="2944"/>
      <c r="V40" s="2804">
        <f>SUM(V15:V38)</f>
        <v>652.48448275862108</v>
      </c>
      <c r="W40" s="2805">
        <f>SUM(W15:W38)</f>
        <v>805.50800000000038</v>
      </c>
      <c r="X40" s="2806">
        <f t="shared" ref="X40" si="170">SUM(X15:X38)</f>
        <v>153.02351724137944</v>
      </c>
      <c r="Y40" s="1896"/>
      <c r="Z40" s="2001">
        <f t="shared" ref="Z40:AF40" si="171">SUM(Z15:Z38)</f>
        <v>93.212068965517219</v>
      </c>
      <c r="AA40" s="2001">
        <f t="shared" si="171"/>
        <v>93.212068965517219</v>
      </c>
      <c r="AB40" s="2001">
        <f t="shared" si="171"/>
        <v>93.212068965517219</v>
      </c>
      <c r="AC40" s="2001">
        <f t="shared" si="171"/>
        <v>93.212068965517219</v>
      </c>
      <c r="AD40" s="2001">
        <f t="shared" si="171"/>
        <v>93.212068965517219</v>
      </c>
      <c r="AE40" s="2001">
        <f t="shared" si="171"/>
        <v>93.212068965517219</v>
      </c>
      <c r="AF40" s="2001">
        <f t="shared" si="171"/>
        <v>93.212068965517219</v>
      </c>
      <c r="AG40" s="1896"/>
      <c r="AH40" s="2804">
        <f>SUM(AH15:AH38)</f>
        <v>652.48448275862108</v>
      </c>
      <c r="AI40" s="2805">
        <f>SUM(AI15:AI38)</f>
        <v>710.14000000000021</v>
      </c>
      <c r="AJ40" s="2806">
        <f>SUM(AJ15:AJ38)</f>
        <v>57.655517241379414</v>
      </c>
      <c r="AK40" s="1896"/>
      <c r="AL40" s="2005">
        <f t="shared" ref="AL40:AM40" si="172">SUM(AL15:AL38)</f>
        <v>93.212068965517219</v>
      </c>
      <c r="AM40" s="2005">
        <f t="shared" si="172"/>
        <v>93.212068965517219</v>
      </c>
      <c r="AN40" s="2005">
        <f t="shared" ref="AN40:AO40" si="173">SUM(AN15:AN38)</f>
        <v>93.212068965517219</v>
      </c>
      <c r="AO40" s="2005">
        <f t="shared" si="173"/>
        <v>93.212068965517219</v>
      </c>
      <c r="AP40" s="2005">
        <f t="shared" ref="AP40:AQ40" si="174">SUM(AP15:AP38)</f>
        <v>93.212068965517219</v>
      </c>
      <c r="AQ40" s="2005">
        <f t="shared" si="174"/>
        <v>93.212068965517219</v>
      </c>
      <c r="AR40" s="2005">
        <f t="shared" ref="AR40" si="175">SUM(AR15:AR38)</f>
        <v>93.212068965517219</v>
      </c>
      <c r="AS40" s="2295"/>
      <c r="AT40" s="2804">
        <f>SUM(AT15:AT38)</f>
        <v>652.48448275862108</v>
      </c>
      <c r="AU40" s="2805">
        <f>SUM(AU15:AU38)</f>
        <v>797.44</v>
      </c>
      <c r="AV40" s="2806">
        <f>SUM(AV15:AV38)</f>
        <v>144.95551724137945</v>
      </c>
      <c r="AW40" s="2295"/>
      <c r="AX40" s="2005">
        <f t="shared" ref="AX40:BB40" si="176">SUM(AX15:AX38)</f>
        <v>93.212068965517219</v>
      </c>
      <c r="AY40" s="2005">
        <f t="shared" si="176"/>
        <v>93.212068965517219</v>
      </c>
      <c r="AZ40" s="2005">
        <f t="shared" si="176"/>
        <v>93.212068965517219</v>
      </c>
      <c r="BA40" s="2005">
        <f t="shared" si="176"/>
        <v>93.212068965517219</v>
      </c>
      <c r="BB40" s="2005">
        <f t="shared" si="176"/>
        <v>93.212068965517219</v>
      </c>
      <c r="BC40" s="2005">
        <f t="shared" ref="BC40:BD40" si="177">SUM(BC15:BC38)</f>
        <v>93.212068965517219</v>
      </c>
      <c r="BD40" s="2005">
        <f t="shared" si="177"/>
        <v>93.212068965517219</v>
      </c>
      <c r="BE40" s="2295"/>
      <c r="BF40" s="2804">
        <f>SUM(BF15:BF38)</f>
        <v>652.48448275862108</v>
      </c>
      <c r="BG40" s="2805">
        <f>SUM(BG15:BG38)</f>
        <v>842.85200000000009</v>
      </c>
      <c r="BH40" s="2806">
        <f>SUM(BH15:BH38)</f>
        <v>190.36751724137943</v>
      </c>
      <c r="BI40" s="2944"/>
      <c r="BJ40" s="2005">
        <f t="shared" ref="BJ40" si="178">SUM(BJ15:BJ38)</f>
        <v>93.212068965517219</v>
      </c>
      <c r="BK40" s="2944"/>
      <c r="BL40" s="2804">
        <f>SUM(BL15:BL38)</f>
        <v>93.212068965517219</v>
      </c>
      <c r="BM40" s="2805">
        <f>SUM(BM15:BM38)</f>
        <v>145.72100000000006</v>
      </c>
      <c r="BN40" s="2806">
        <f>SUM(BN15:BN38)</f>
        <v>52.508931034482792</v>
      </c>
      <c r="BP40" s="2397">
        <f>SUM(BP15:BP38)</f>
        <v>0</v>
      </c>
      <c r="BQ40" s="2398">
        <f>BP40/E40</f>
        <v>0</v>
      </c>
      <c r="BR40" s="1900"/>
      <c r="BS40" s="2397">
        <f>SUM(BS15:BS38)</f>
        <v>2703.1499999999996</v>
      </c>
      <c r="BT40" s="2398">
        <f>BS40/E40</f>
        <v>1</v>
      </c>
      <c r="BU40" s="2010"/>
      <c r="BV40" s="2943"/>
      <c r="BX40" s="2943"/>
      <c r="BY40" s="1946"/>
      <c r="BZ40" s="1946"/>
      <c r="CA40" s="1946"/>
      <c r="CB40" s="1946"/>
      <c r="CC40" s="1946"/>
      <c r="CD40" s="1946"/>
      <c r="CE40" s="1946"/>
      <c r="CF40" s="1946"/>
      <c r="CG40" s="1946"/>
    </row>
    <row r="41" spans="1:85" s="1947" customFormat="1" ht="4.5" customHeight="1" thickBot="1" x14ac:dyDescent="0.25">
      <c r="B41" s="2634"/>
      <c r="C41" s="2635"/>
      <c r="D41" s="1906"/>
      <c r="E41" s="2392"/>
      <c r="F41" s="2392"/>
      <c r="G41" s="2392"/>
      <c r="H41" s="2392"/>
      <c r="I41" s="2392"/>
      <c r="J41" s="2392"/>
      <c r="K41" s="2636"/>
      <c r="L41" s="1949"/>
      <c r="M41" s="1950"/>
      <c r="N41" s="2392"/>
      <c r="O41" s="2392"/>
      <c r="P41" s="2392"/>
      <c r="Q41" s="2392"/>
      <c r="R41" s="2392"/>
      <c r="S41" s="2392"/>
      <c r="T41" s="2392"/>
      <c r="U41" s="1951"/>
      <c r="V41" s="1951"/>
      <c r="W41" s="1951"/>
      <c r="X41" s="1951"/>
      <c r="Y41" s="1956"/>
      <c r="Z41" s="2392"/>
      <c r="AA41" s="2392"/>
      <c r="AB41" s="2392"/>
      <c r="AC41" s="2392"/>
      <c r="AD41" s="2392"/>
      <c r="AE41" s="2392"/>
      <c r="AF41" s="2392"/>
      <c r="AG41" s="1956"/>
      <c r="AH41" s="1951"/>
      <c r="AI41" s="1951"/>
      <c r="AJ41" s="1951"/>
      <c r="AK41" s="1956"/>
      <c r="AL41" s="2392"/>
      <c r="AM41" s="2392"/>
      <c r="AN41" s="2392"/>
      <c r="AO41" s="2392"/>
      <c r="AP41" s="2392"/>
      <c r="AQ41" s="2392"/>
      <c r="AR41" s="2392"/>
      <c r="AS41" s="1951"/>
      <c r="AT41" s="1951"/>
      <c r="AU41" s="1951"/>
      <c r="AV41" s="1951"/>
      <c r="AW41" s="1951"/>
      <c r="AX41" s="2392"/>
      <c r="AY41" s="2392"/>
      <c r="AZ41" s="2392"/>
      <c r="BA41" s="2392"/>
      <c r="BB41" s="2392"/>
      <c r="BC41" s="2392"/>
      <c r="BD41" s="2392"/>
      <c r="BE41" s="1951"/>
      <c r="BF41" s="1951"/>
      <c r="BG41" s="1951"/>
      <c r="BH41" s="1951"/>
      <c r="BI41" s="1951"/>
      <c r="BJ41" s="2392"/>
      <c r="BK41" s="1951"/>
      <c r="BL41" s="1951"/>
      <c r="BM41" s="1951"/>
      <c r="BN41" s="1951"/>
      <c r="BP41" s="1951"/>
      <c r="BQ41" s="1962"/>
      <c r="BR41" s="1959"/>
      <c r="BS41" s="1951"/>
      <c r="BT41" s="1962"/>
      <c r="BU41" s="1962"/>
      <c r="BV41" s="1905"/>
      <c r="BX41" s="1905"/>
      <c r="BY41" s="1906"/>
      <c r="BZ41" s="1906"/>
      <c r="CA41" s="1906"/>
      <c r="CB41" s="1906"/>
      <c r="CC41" s="1906"/>
      <c r="CD41" s="1906"/>
      <c r="CE41" s="1906"/>
      <c r="CF41" s="1906"/>
      <c r="CG41" s="1906"/>
    </row>
    <row r="42" spans="1:85" s="1726" customFormat="1" ht="17.25" thickBot="1" x14ac:dyDescent="0.25">
      <c r="B42" s="1963">
        <v>37</v>
      </c>
      <c r="C42" s="1963"/>
      <c r="D42" s="1727"/>
      <c r="E42" s="1728"/>
      <c r="F42" s="1728"/>
      <c r="G42" s="1728"/>
      <c r="H42" s="1728"/>
      <c r="I42" s="1728"/>
      <c r="J42" s="1728"/>
      <c r="K42" s="1729"/>
      <c r="L42" s="1760"/>
      <c r="M42" s="1924"/>
      <c r="N42" s="1728"/>
      <c r="O42" s="1728"/>
      <c r="P42" s="1728"/>
      <c r="Q42" s="1728"/>
      <c r="R42" s="1728"/>
      <c r="S42" s="1728"/>
      <c r="T42" s="1728"/>
      <c r="U42" s="2947"/>
      <c r="V42" s="2031"/>
      <c r="W42" s="2032"/>
      <c r="X42" s="2033"/>
      <c r="Y42" s="1881"/>
      <c r="Z42" s="1728"/>
      <c r="AA42" s="1728"/>
      <c r="AB42" s="1728"/>
      <c r="AC42" s="1728"/>
      <c r="AD42" s="1728"/>
      <c r="AE42" s="1728"/>
      <c r="AF42" s="1728"/>
      <c r="AG42" s="1881"/>
      <c r="AH42" s="2031"/>
      <c r="AI42" s="2032"/>
      <c r="AJ42" s="2033"/>
      <c r="AK42" s="1881"/>
      <c r="AL42" s="2268"/>
      <c r="AM42" s="2268"/>
      <c r="AN42" s="2268"/>
      <c r="AO42" s="2268"/>
      <c r="AP42" s="2268"/>
      <c r="AQ42" s="2268"/>
      <c r="AR42" s="2268"/>
      <c r="AS42" s="2293"/>
      <c r="AT42" s="2031"/>
      <c r="AU42" s="2032"/>
      <c r="AV42" s="2033"/>
      <c r="AW42" s="2293"/>
      <c r="AX42" s="2268"/>
      <c r="AY42" s="2268"/>
      <c r="AZ42" s="2268"/>
      <c r="BA42" s="2268"/>
      <c r="BB42" s="2268"/>
      <c r="BC42" s="2268"/>
      <c r="BD42" s="2268"/>
      <c r="BE42" s="2293"/>
      <c r="BF42" s="2031"/>
      <c r="BG42" s="2032"/>
      <c r="BH42" s="2033"/>
      <c r="BI42" s="2947"/>
      <c r="BJ42" s="2268"/>
      <c r="BK42" s="2947"/>
      <c r="BL42" s="2031"/>
      <c r="BM42" s="2032"/>
      <c r="BN42" s="2033"/>
      <c r="BP42" s="2034"/>
      <c r="BQ42" s="2035"/>
      <c r="BR42" s="1740"/>
      <c r="BS42" s="2034"/>
      <c r="BT42" s="2035"/>
      <c r="BU42" s="1997"/>
      <c r="BV42" s="2946"/>
      <c r="BX42" s="2946"/>
      <c r="BY42" s="1860"/>
      <c r="BZ42" s="1860"/>
      <c r="CA42" s="1860"/>
      <c r="CB42" s="1860"/>
      <c r="CC42" s="1860"/>
      <c r="CD42" s="1860"/>
      <c r="CE42" s="1860"/>
      <c r="CF42" s="1860"/>
      <c r="CG42" s="1860"/>
    </row>
    <row r="43" spans="1:85" s="1923" customFormat="1" ht="4.5" customHeight="1" thickBot="1" x14ac:dyDescent="0.25">
      <c r="B43" s="2023"/>
      <c r="C43" s="2024"/>
      <c r="D43" s="1800"/>
      <c r="E43" s="1803"/>
      <c r="F43" s="1803"/>
      <c r="G43" s="1803"/>
      <c r="H43" s="1803"/>
      <c r="I43" s="1803"/>
      <c r="J43" s="1803"/>
      <c r="K43" s="2025"/>
      <c r="L43" s="1866"/>
      <c r="M43" s="1867"/>
      <c r="N43" s="2026"/>
      <c r="O43" s="2026"/>
      <c r="P43" s="2026"/>
      <c r="Q43" s="2026"/>
      <c r="R43" s="2026"/>
      <c r="S43" s="2026"/>
      <c r="T43" s="2026"/>
      <c r="U43" s="2945"/>
      <c r="V43" s="2945"/>
      <c r="W43" s="2945"/>
      <c r="X43" s="2945"/>
      <c r="Y43" s="1915"/>
      <c r="Z43" s="2026"/>
      <c r="AA43" s="2026"/>
      <c r="AB43" s="2026"/>
      <c r="AC43" s="2026"/>
      <c r="AD43" s="2026"/>
      <c r="AE43" s="2026"/>
      <c r="AF43" s="2026"/>
      <c r="AG43" s="1915"/>
      <c r="AH43" s="2945"/>
      <c r="AI43" s="2945"/>
      <c r="AJ43" s="2945"/>
      <c r="AK43" s="1915"/>
      <c r="AL43" s="2026"/>
      <c r="AM43" s="2026"/>
      <c r="AN43" s="2026"/>
      <c r="AO43" s="2026"/>
      <c r="AP43" s="2026"/>
      <c r="AQ43" s="2026"/>
      <c r="AR43" s="2026"/>
      <c r="AS43" s="2945"/>
      <c r="AT43" s="2945"/>
      <c r="AU43" s="2945"/>
      <c r="AV43" s="2945"/>
      <c r="AW43" s="2945"/>
      <c r="AX43" s="2026"/>
      <c r="AY43" s="2026"/>
      <c r="AZ43" s="2026"/>
      <c r="BA43" s="2026"/>
      <c r="BB43" s="2026"/>
      <c r="BC43" s="2026"/>
      <c r="BD43" s="2026"/>
      <c r="BE43" s="2945"/>
      <c r="BF43" s="2274"/>
      <c r="BG43" s="2274"/>
      <c r="BH43" s="2274"/>
      <c r="BI43" s="2945"/>
      <c r="BJ43" s="2026"/>
      <c r="BK43" s="2945"/>
      <c r="BL43" s="2274"/>
      <c r="BM43" s="2274"/>
      <c r="BN43" s="2274"/>
      <c r="BP43" s="2945"/>
      <c r="BQ43" s="1993"/>
      <c r="BR43" s="1994"/>
      <c r="BS43" s="2945"/>
      <c r="BT43" s="1993"/>
      <c r="BU43" s="1993"/>
      <c r="BV43" s="1916"/>
      <c r="BX43" s="1916"/>
    </row>
    <row r="44" spans="1:85" s="1885" customFormat="1" ht="17.25" thickBot="1" x14ac:dyDescent="0.25">
      <c r="B44" s="2117"/>
      <c r="C44" s="2212" t="s">
        <v>150</v>
      </c>
      <c r="D44" s="2119"/>
      <c r="E44" s="2123">
        <f>E40*100/20</f>
        <v>13515.749999999996</v>
      </c>
      <c r="F44" s="2121" t="e">
        <f>#REF!*100/30</f>
        <v>#REF!</v>
      </c>
      <c r="G44" s="2121" t="e">
        <f>#REF!*100/30</f>
        <v>#REF!</v>
      </c>
      <c r="H44" s="2121" t="e">
        <f>#REF!*100/30</f>
        <v>#REF!</v>
      </c>
      <c r="I44" s="2121" t="e">
        <f>#REF!*100/30</f>
        <v>#REF!</v>
      </c>
      <c r="J44" s="2121">
        <f>J40*100/20</f>
        <v>466.06034482758605</v>
      </c>
      <c r="K44" s="2130">
        <f>E44/E87</f>
        <v>0.53489062360867878</v>
      </c>
      <c r="L44" s="1949"/>
      <c r="M44" s="2214"/>
      <c r="N44" s="2120">
        <f>N9</f>
        <v>10.684965517241388</v>
      </c>
      <c r="O44" s="2123">
        <f t="shared" ref="O44:T44" si="179">O9</f>
        <v>-8.8900344827586082</v>
      </c>
      <c r="P44" s="2123">
        <f t="shared" si="179"/>
        <v>15.527965517241391</v>
      </c>
      <c r="Q44" s="2123">
        <f t="shared" si="179"/>
        <v>27.558465517241395</v>
      </c>
      <c r="R44" s="2123">
        <f t="shared" si="179"/>
        <v>28.265965517241391</v>
      </c>
      <c r="S44" s="2123">
        <f t="shared" si="179"/>
        <v>21.812965517241388</v>
      </c>
      <c r="T44" s="2124">
        <f t="shared" si="179"/>
        <v>-18.44853448275861</v>
      </c>
      <c r="U44" s="1951"/>
      <c r="V44" s="2120">
        <f>SUM(N44:T44)</f>
        <v>76.511758620689733</v>
      </c>
      <c r="W44" s="2123"/>
      <c r="X44" s="2124"/>
      <c r="Y44" s="1956"/>
      <c r="Z44" s="2120">
        <f t="shared" ref="Z44:AF44" si="180">Z9</f>
        <v>10.32096551724139</v>
      </c>
      <c r="AA44" s="2121">
        <f t="shared" si="180"/>
        <v>-5.5145344827586058</v>
      </c>
      <c r="AB44" s="2121">
        <f t="shared" si="180"/>
        <v>-32.345534482758609</v>
      </c>
      <c r="AC44" s="2121">
        <f t="shared" si="180"/>
        <v>1.2284655172413892</v>
      </c>
      <c r="AD44" s="2121">
        <f t="shared" si="180"/>
        <v>28.463965517241384</v>
      </c>
      <c r="AE44" s="2121">
        <f t="shared" si="180"/>
        <v>32.972965517241384</v>
      </c>
      <c r="AF44" s="2121">
        <f t="shared" si="180"/>
        <v>-6.2985344827586118</v>
      </c>
      <c r="AG44" s="1956"/>
      <c r="AH44" s="2120">
        <f>SUM(Z44:AF44)</f>
        <v>28.827758620689721</v>
      </c>
      <c r="AI44" s="2123"/>
      <c r="AJ44" s="2124"/>
      <c r="AK44" s="1955"/>
      <c r="AL44" s="2120">
        <f t="shared" ref="AL44:AM44" si="181">AL9</f>
        <v>30.526465517241384</v>
      </c>
      <c r="AM44" s="2121">
        <f t="shared" si="181"/>
        <v>10.56946551724139</v>
      </c>
      <c r="AN44" s="2121">
        <f t="shared" ref="AN44:AO44" si="182">AN9</f>
        <v>6.5949655172413912</v>
      </c>
      <c r="AO44" s="2121">
        <f t="shared" si="182"/>
        <v>15.67796551724139</v>
      </c>
      <c r="AP44" s="2121">
        <f t="shared" ref="AP44:AQ44" si="183">AP9</f>
        <v>4.7689655172413907</v>
      </c>
      <c r="AQ44" s="2121">
        <f t="shared" si="183"/>
        <v>-4.0365344827586114</v>
      </c>
      <c r="AR44" s="2124">
        <f t="shared" ref="AR44" si="184">AR9</f>
        <v>8.3764655172413924</v>
      </c>
      <c r="AS44" s="2254"/>
      <c r="AT44" s="2120">
        <f>SUM(AL44:AR44)</f>
        <v>72.477758620689741</v>
      </c>
      <c r="AU44" s="2123"/>
      <c r="AV44" s="2124"/>
      <c r="AW44" s="1951"/>
      <c r="AX44" s="2120">
        <f t="shared" ref="AX44:BB44" si="185">AX9</f>
        <v>-1.1080344827586117</v>
      </c>
      <c r="AY44" s="2120">
        <f t="shared" si="185"/>
        <v>-7.8460344827586113</v>
      </c>
      <c r="AZ44" s="2120">
        <f t="shared" si="185"/>
        <v>28.086965517241389</v>
      </c>
      <c r="BA44" s="2120">
        <f t="shared" si="185"/>
        <v>-13.288534482758607</v>
      </c>
      <c r="BB44" s="2120">
        <f t="shared" si="185"/>
        <v>20.592965517241389</v>
      </c>
      <c r="BC44" s="2120">
        <f t="shared" ref="BC44:BD44" si="186">BC9</f>
        <v>20.592965517241389</v>
      </c>
      <c r="BD44" s="2124">
        <f t="shared" si="186"/>
        <v>48.153465517241393</v>
      </c>
      <c r="BE44" s="1951"/>
      <c r="BF44" s="2120">
        <f>SUM(AX44:BD44)</f>
        <v>95.18375862068973</v>
      </c>
      <c r="BG44" s="2123"/>
      <c r="BH44" s="2124"/>
      <c r="BI44" s="1900"/>
      <c r="BJ44" s="2969">
        <f t="shared" ref="BJ44" si="187">BJ9</f>
        <v>26.254465517241393</v>
      </c>
      <c r="BK44" s="2317"/>
      <c r="BL44" s="2215">
        <f>SUM(BJ44:BJ44)</f>
        <v>26.254465517241393</v>
      </c>
      <c r="BM44" s="2677"/>
      <c r="BN44" s="2124"/>
      <c r="BO44" s="1897"/>
      <c r="BP44" s="2215">
        <f>SUM(N44:T44)+SUM(Z44:AF44)+SUM(AL44:AR44)+SUM(AX44:BD44)+SUM(BJ44:BJ44)</f>
        <v>299.25550000000032</v>
      </c>
      <c r="BQ44" s="2130"/>
      <c r="BR44" s="1900"/>
      <c r="BS44" s="2011"/>
      <c r="BT44" s="2011"/>
      <c r="BU44" s="2011"/>
      <c r="BX44" s="2943"/>
      <c r="BY44" s="1946"/>
      <c r="BZ44" s="1946"/>
      <c r="CA44" s="1946"/>
      <c r="CB44" s="1946"/>
      <c r="CC44" s="1946"/>
      <c r="CD44" s="1946"/>
      <c r="CE44" s="1946"/>
      <c r="CF44" s="1946"/>
      <c r="CG44" s="1946"/>
    </row>
    <row r="45" spans="1:85" s="1860" customFormat="1" ht="17.25" thickBot="1" x14ac:dyDescent="0.25">
      <c r="B45" s="1861"/>
      <c r="C45" s="1861" t="s">
        <v>143</v>
      </c>
      <c r="D45" s="1861"/>
      <c r="E45" s="2947"/>
      <c r="F45" s="2947"/>
      <c r="G45" s="2947"/>
      <c r="H45" s="2947"/>
      <c r="I45" s="2947"/>
      <c r="J45" s="2947"/>
      <c r="K45" s="2059"/>
      <c r="L45" s="1931"/>
      <c r="M45" s="1877"/>
      <c r="N45" s="2947"/>
      <c r="O45" s="2947"/>
      <c r="P45" s="2947"/>
      <c r="Q45" s="2947"/>
      <c r="R45" s="2947"/>
      <c r="S45" s="2947"/>
      <c r="T45" s="2947"/>
      <c r="U45" s="2947"/>
      <c r="V45" s="2947"/>
      <c r="W45" s="2947"/>
      <c r="X45" s="2947"/>
      <c r="Y45" s="1862"/>
      <c r="Z45" s="2947"/>
      <c r="AA45" s="2947"/>
      <c r="AB45" s="2947"/>
      <c r="AC45" s="2947"/>
      <c r="AD45" s="2947"/>
      <c r="AE45" s="2947"/>
      <c r="AF45" s="2947"/>
      <c r="AG45" s="1862"/>
      <c r="AH45" s="2947"/>
      <c r="AI45" s="2947"/>
      <c r="AJ45" s="2947"/>
      <c r="AK45" s="1862"/>
      <c r="AL45" s="2947"/>
      <c r="AM45" s="2947"/>
      <c r="AN45" s="2982"/>
      <c r="AO45" s="2998"/>
      <c r="AP45" s="3001"/>
      <c r="AQ45" s="3001"/>
      <c r="AR45" s="2947"/>
      <c r="AS45" s="2947"/>
      <c r="AT45" s="2947"/>
      <c r="AU45" s="2947"/>
      <c r="AV45" s="2947"/>
      <c r="AW45" s="2947"/>
      <c r="AX45" s="2947"/>
      <c r="AY45" s="3003"/>
      <c r="AZ45" s="3003"/>
      <c r="BA45" s="3003"/>
      <c r="BB45" s="3003"/>
      <c r="BC45" s="3006"/>
      <c r="BD45" s="2947"/>
      <c r="BE45" s="2947"/>
      <c r="BF45" s="2947"/>
      <c r="BG45" s="2947"/>
      <c r="BH45" s="2947"/>
      <c r="BI45" s="2947"/>
      <c r="BJ45" s="2947"/>
      <c r="BK45" s="2947"/>
      <c r="BL45" s="2947"/>
      <c r="BM45" s="2947"/>
      <c r="BN45" s="2947"/>
      <c r="BO45" s="1862"/>
      <c r="BP45" s="2947"/>
      <c r="BQ45" s="2639"/>
      <c r="BR45" s="1861"/>
      <c r="BS45" s="4634" t="s">
        <v>99</v>
      </c>
      <c r="BT45" s="4634"/>
      <c r="BU45" s="2947"/>
      <c r="BV45" s="1862"/>
      <c r="BX45" s="2946"/>
    </row>
    <row r="46" spans="1:85" s="1900" customFormat="1" ht="15.75" x14ac:dyDescent="0.2">
      <c r="A46" s="2464"/>
      <c r="B46" s="2280">
        <v>38</v>
      </c>
      <c r="C46" s="2405" t="s">
        <v>245</v>
      </c>
      <c r="D46" s="2119"/>
      <c r="E46" s="2410">
        <v>106</v>
      </c>
      <c r="F46" s="2678"/>
      <c r="G46" s="2678"/>
      <c r="H46" s="2678"/>
      <c r="I46" s="2678"/>
      <c r="J46" s="2406">
        <f>E46/29</f>
        <v>3.6551724137931036</v>
      </c>
      <c r="K46" s="2407">
        <f>E46/$E$55</f>
        <v>0.31500742942050519</v>
      </c>
      <c r="L46" s="2468"/>
      <c r="M46" s="2339"/>
      <c r="N46" s="2679">
        <f t="shared" ref="N46" si="188">IF(N44&gt;$J$55,$J$46,IF(N44&lt;$J$55,(IF(N44&lt;0,0,N44*$K$46))))</f>
        <v>3.3658435210329483</v>
      </c>
      <c r="O46" s="2406">
        <f t="shared" ref="O46:T46" si="189">IF(O44&gt;$J$55,$J$46,IF(O44&lt;$J$55,(IF(O44&lt;0,0,O44*$K$46))))</f>
        <v>0</v>
      </c>
      <c r="P46" s="2406">
        <f t="shared" si="189"/>
        <v>3.6551724137931036</v>
      </c>
      <c r="Q46" s="2406">
        <f t="shared" si="189"/>
        <v>3.6551724137931036</v>
      </c>
      <c r="R46" s="2406">
        <f t="shared" si="189"/>
        <v>3.6551724137931036</v>
      </c>
      <c r="S46" s="2406">
        <f t="shared" si="189"/>
        <v>3.6551724137931036</v>
      </c>
      <c r="T46" s="2409">
        <f t="shared" si="189"/>
        <v>0</v>
      </c>
      <c r="U46" s="1951"/>
      <c r="V46" s="2410">
        <f t="shared" si="58"/>
        <v>17.986533176205363</v>
      </c>
      <c r="W46" s="2408">
        <f>$J$46*0</f>
        <v>0</v>
      </c>
      <c r="X46" s="2411">
        <f>V46-W46</f>
        <v>17.986533176205363</v>
      </c>
      <c r="Y46" s="1951"/>
      <c r="Z46" s="2410">
        <f t="shared" ref="Z46:AF46" si="190">IF(Z44&gt;$J$55,$J$46,IF(Z44&lt;$J$55,(IF(Z44&lt;0,0,Z44*$K$46))))</f>
        <v>3.2511808167238851</v>
      </c>
      <c r="AA46" s="2408">
        <f t="shared" si="190"/>
        <v>0</v>
      </c>
      <c r="AB46" s="2408">
        <f t="shared" si="190"/>
        <v>0</v>
      </c>
      <c r="AC46" s="2408">
        <f t="shared" si="190"/>
        <v>0.38697576471794132</v>
      </c>
      <c r="AD46" s="2408">
        <f t="shared" si="190"/>
        <v>3.6551724137931036</v>
      </c>
      <c r="AE46" s="2408">
        <f t="shared" si="190"/>
        <v>3.6551724137931036</v>
      </c>
      <c r="AF46" s="2409">
        <f t="shared" si="190"/>
        <v>0</v>
      </c>
      <c r="AG46" s="1951"/>
      <c r="AH46" s="2410">
        <f>SUM(Z46:AF46)</f>
        <v>10.948501409028033</v>
      </c>
      <c r="AI46" s="2408">
        <f>$J$46*0</f>
        <v>0</v>
      </c>
      <c r="AJ46" s="2411">
        <f>AH46-AI46</f>
        <v>10.948501409028033</v>
      </c>
      <c r="AK46" s="1951"/>
      <c r="AL46" s="2410">
        <f t="shared" ref="AL46:AM46" si="191">IF(AL44&gt;$J$55,$J$46,IF(AL44&lt;$J$55,(IF(AL44&lt;0,0,AL44*$K$46))))</f>
        <v>3.6551724137931036</v>
      </c>
      <c r="AM46" s="2406">
        <f t="shared" si="191"/>
        <v>3.3294601629348808</v>
      </c>
      <c r="AN46" s="2406">
        <f t="shared" ref="AN46:AO46" si="192">IF(AN44&gt;$J$55,$J$46,IF(AN44&lt;$J$55,(IF(AN44&lt;0,0,AN44*$K$46))))</f>
        <v>2.0774631347030832</v>
      </c>
      <c r="AO46" s="2406">
        <f t="shared" si="192"/>
        <v>3.6551724137931036</v>
      </c>
      <c r="AP46" s="2406">
        <f t="shared" ref="AP46:AQ46" si="193">IF(AP44&gt;$J$55,$J$46,IF(AP44&lt;$J$55,(IF(AP44&lt;0,0,AP44*$K$46))))</f>
        <v>1.5022595685812403</v>
      </c>
      <c r="AQ46" s="2406">
        <f t="shared" si="193"/>
        <v>0</v>
      </c>
      <c r="AR46" s="2409">
        <f t="shared" ref="AR46" si="194">IF(AR44&gt;$J$55,$J$46,IF(AR44&lt;$J$55,(IF(AR44&lt;0,0,AR44*$K$46))))</f>
        <v>2.6386488702157136</v>
      </c>
      <c r="AS46" s="1951"/>
      <c r="AT46" s="2410">
        <f>SUM(AL46:AR46)</f>
        <v>16.858176564021125</v>
      </c>
      <c r="AU46" s="2408">
        <f>$J$46*0</f>
        <v>0</v>
      </c>
      <c r="AV46" s="2411">
        <f>AT46-AU46</f>
        <v>16.858176564021125</v>
      </c>
      <c r="AW46" s="1951"/>
      <c r="AX46" s="2410">
        <f t="shared" ref="AX46:BB46" si="195">IF(AX44&gt;$J$55,$J$46,IF(AX44&lt;$J$55,(IF(AX44&lt;0,0,AX44*$K$46))))</f>
        <v>0</v>
      </c>
      <c r="AY46" s="2410">
        <f t="shared" si="195"/>
        <v>0</v>
      </c>
      <c r="AZ46" s="2410">
        <f t="shared" si="195"/>
        <v>3.6551724137931036</v>
      </c>
      <c r="BA46" s="2410">
        <f t="shared" si="195"/>
        <v>0</v>
      </c>
      <c r="BB46" s="2410">
        <f t="shared" si="195"/>
        <v>3.6551724137931036</v>
      </c>
      <c r="BC46" s="2410">
        <f t="shared" ref="BC46:BD46" si="196">IF(BC44&gt;$J$55,$J$46,IF(BC44&lt;$J$55,(IF(BC44&lt;0,0,BC44*$K$46))))</f>
        <v>3.6551724137931036</v>
      </c>
      <c r="BD46" s="2409">
        <f t="shared" si="196"/>
        <v>3.6551724137931036</v>
      </c>
      <c r="BE46" s="1951"/>
      <c r="BF46" s="2410">
        <f>SUM(AX46:BD46)</f>
        <v>14.620689655172415</v>
      </c>
      <c r="BG46" s="2408">
        <f>$J$46*0</f>
        <v>0</v>
      </c>
      <c r="BH46" s="2411">
        <f>BF46-BG46</f>
        <v>14.620689655172415</v>
      </c>
      <c r="BI46" s="1951"/>
      <c r="BJ46" s="2970">
        <f t="shared" ref="BJ46" si="197">IF(BJ44&gt;$J$55,$J$46,IF(BJ44&lt;$J$55,(IF(BJ44&lt;0,0,BJ44*$K$46))))</f>
        <v>3.6551724137931036</v>
      </c>
      <c r="BK46" s="1951"/>
      <c r="BL46" s="2410">
        <f t="shared" ref="BL46:BL54" si="198">SUM(BJ46:BJ46)</f>
        <v>3.6551724137931036</v>
      </c>
      <c r="BM46" s="2408">
        <f>$J$46*0</f>
        <v>0</v>
      </c>
      <c r="BN46" s="2411">
        <f>BL46-BM46</f>
        <v>3.6551724137931036</v>
      </c>
      <c r="BP46" s="2410"/>
      <c r="BQ46" s="2412"/>
      <c r="BS46" s="2410">
        <f t="shared" ref="BS46:BS54" si="199">SUM(N46:T46)+SUM(Z46:AF46)+SUM(AL46:AR46)+SUM(AX46:BD46)+SUM(BJ46:BJ46)</f>
        <v>64.069073218220041</v>
      </c>
      <c r="BT46" s="2413">
        <f t="shared" ref="BT46:BT55" si="200">BS46/E46</f>
        <v>0.60442521903981172</v>
      </c>
      <c r="BU46" s="2353"/>
      <c r="BV46" s="4635">
        <f>BT55-BS1</f>
        <v>-0.39557478096018839</v>
      </c>
      <c r="BX46" s="4627"/>
      <c r="BY46" s="2011"/>
      <c r="BZ46" s="2011"/>
      <c r="CA46" s="2011"/>
      <c r="CB46" s="2011"/>
      <c r="CC46" s="2011"/>
      <c r="CD46" s="2011"/>
      <c r="CE46" s="2011"/>
      <c r="CF46" s="2011"/>
      <c r="CG46" s="2011"/>
    </row>
    <row r="47" spans="1:85" s="1740" customFormat="1" ht="15.75" x14ac:dyDescent="0.2">
      <c r="A47" s="2466"/>
      <c r="B47" s="2151">
        <v>39</v>
      </c>
      <c r="C47" s="2152" t="s">
        <v>241</v>
      </c>
      <c r="D47" s="2051"/>
      <c r="E47" s="2090">
        <v>63</v>
      </c>
      <c r="F47" s="2154"/>
      <c r="G47" s="2154"/>
      <c r="H47" s="2154"/>
      <c r="I47" s="2154"/>
      <c r="J47" s="2154">
        <f t="shared" ref="J47:J54" si="201">E47/29</f>
        <v>2.1724137931034484</v>
      </c>
      <c r="K47" s="2155">
        <f>E47/$E$55</f>
        <v>0.18722139673105498</v>
      </c>
      <c r="L47" s="2465"/>
      <c r="M47" s="2131"/>
      <c r="N47" s="2615">
        <f t="shared" ref="N47" si="202">IF(N44&gt;$J$55,$J$47,IF(N44&lt;$J$55,(IF(N44&lt;0,0,N44*$K$47))))</f>
        <v>2.0004541681610917</v>
      </c>
      <c r="O47" s="2154">
        <f t="shared" ref="O47:T47" si="203">IF(O44&gt;$J$55,$J$47,IF(O44&lt;$J$55,(IF(O44&lt;0,0,O44*$K$47))))</f>
        <v>0</v>
      </c>
      <c r="P47" s="2154">
        <f t="shared" si="203"/>
        <v>2.1724137931034484</v>
      </c>
      <c r="Q47" s="2154">
        <f t="shared" si="203"/>
        <v>2.1724137931034484</v>
      </c>
      <c r="R47" s="2154">
        <f t="shared" si="203"/>
        <v>2.1724137931034484</v>
      </c>
      <c r="S47" s="2154">
        <f t="shared" si="203"/>
        <v>2.1724137931034484</v>
      </c>
      <c r="T47" s="2154">
        <f t="shared" si="203"/>
        <v>0</v>
      </c>
      <c r="U47" s="1814"/>
      <c r="V47" s="2153">
        <f>SUM(N47:T47)</f>
        <v>10.690109340574885</v>
      </c>
      <c r="W47" s="2157">
        <f>$J$47*0</f>
        <v>0</v>
      </c>
      <c r="X47" s="2158">
        <f>V47-W47</f>
        <v>10.690109340574885</v>
      </c>
      <c r="Y47" s="1814"/>
      <c r="Z47" s="2153">
        <f t="shared" ref="Z47:AF47" si="204">IF(Z44&gt;$J$55,$J$47,IF(Z44&lt;$J$55,(IF(Z44&lt;0,0,Z44*$K$47))))</f>
        <v>1.9323055797509885</v>
      </c>
      <c r="AA47" s="2157">
        <f t="shared" si="204"/>
        <v>0</v>
      </c>
      <c r="AB47" s="2157">
        <f t="shared" si="204"/>
        <v>0</v>
      </c>
      <c r="AC47" s="2157">
        <f t="shared" si="204"/>
        <v>0.22999502997387078</v>
      </c>
      <c r="AD47" s="2157">
        <f t="shared" si="204"/>
        <v>2.1724137931034484</v>
      </c>
      <c r="AE47" s="2157">
        <f t="shared" si="204"/>
        <v>2.1724137931034484</v>
      </c>
      <c r="AF47" s="2156">
        <f t="shared" si="204"/>
        <v>0</v>
      </c>
      <c r="AG47" s="1814"/>
      <c r="AH47" s="2153">
        <f t="shared" ref="AH47:AH67" si="205">SUM(Z47:AF47)</f>
        <v>6.507128195931756</v>
      </c>
      <c r="AI47" s="2157">
        <f>$J$47*0</f>
        <v>0</v>
      </c>
      <c r="AJ47" s="2158">
        <f t="shared" ref="AJ47:AJ67" si="206">AH47-AI47</f>
        <v>6.507128195931756</v>
      </c>
      <c r="AK47" s="1814"/>
      <c r="AL47" s="2153">
        <f t="shared" ref="AL47:AM47" si="207">IF(AL44&gt;$J$55,$J$47,IF(AL44&lt;$J$55,(IF(AL44&lt;0,0,AL44*$K$47))))</f>
        <v>2.1724137931034484</v>
      </c>
      <c r="AM47" s="2154">
        <f t="shared" si="207"/>
        <v>1.9788300968386556</v>
      </c>
      <c r="AN47" s="2154">
        <f t="shared" ref="AN47:AO47" si="208">IF(AN44&gt;$J$55,$J$47,IF(AN44&lt;$J$55,(IF(AN44&lt;0,0,AN44*$K$47))))</f>
        <v>1.2347186555310776</v>
      </c>
      <c r="AO47" s="2154">
        <f t="shared" si="208"/>
        <v>2.1724137931034484</v>
      </c>
      <c r="AP47" s="2154">
        <f t="shared" ref="AP47:AQ47" si="209">IF(AP44&gt;$J$55,$J$47,IF(AP44&lt;$J$55,(IF(AP44&lt;0,0,AP44*$K$47))))</f>
        <v>0.89285238510017118</v>
      </c>
      <c r="AQ47" s="2154">
        <f t="shared" si="209"/>
        <v>0</v>
      </c>
      <c r="AR47" s="2154">
        <f t="shared" ref="AR47" si="210">IF(AR44&gt;$J$55,$J$47,IF(AR44&lt;$J$55,(IF(AR44&lt;0,0,AR44*$K$47))))</f>
        <v>1.5682535738074523</v>
      </c>
      <c r="AS47" s="1814"/>
      <c r="AT47" s="2153">
        <f t="shared" ref="AT47:AT54" si="211">SUM(AL47:AR47)</f>
        <v>10.019482297484252</v>
      </c>
      <c r="AU47" s="2157">
        <f>$J$47*0</f>
        <v>0</v>
      </c>
      <c r="AV47" s="2158">
        <f t="shared" ref="AV47:AV54" si="212">AT47-AU47</f>
        <v>10.019482297484252</v>
      </c>
      <c r="AW47" s="1814"/>
      <c r="AX47" s="2153">
        <f t="shared" ref="AX47:BB47" si="213">IF(AX44&gt;$J$55,$J$47,IF(AX44&lt;$J$55,(IF(AX44&lt;0,0,AX44*$K$47))))</f>
        <v>0</v>
      </c>
      <c r="AY47" s="2153">
        <f t="shared" si="213"/>
        <v>0</v>
      </c>
      <c r="AZ47" s="2153">
        <f t="shared" si="213"/>
        <v>2.1724137931034484</v>
      </c>
      <c r="BA47" s="2153">
        <f t="shared" si="213"/>
        <v>0</v>
      </c>
      <c r="BB47" s="2153">
        <f t="shared" si="213"/>
        <v>2.1724137931034484</v>
      </c>
      <c r="BC47" s="2153">
        <f t="shared" ref="BC47:BD47" si="214">IF(BC44&gt;$J$55,$J$47,IF(BC44&lt;$J$55,(IF(BC44&lt;0,0,BC44*$K$47))))</f>
        <v>2.1724137931034484</v>
      </c>
      <c r="BD47" s="2156">
        <f t="shared" si="214"/>
        <v>2.1724137931034484</v>
      </c>
      <c r="BE47" s="1814"/>
      <c r="BF47" s="2153">
        <f t="shared" ref="BF47:BF54" si="215">SUM(AX47:BD47)</f>
        <v>8.6896551724137936</v>
      </c>
      <c r="BG47" s="2157">
        <f>$J$47*0</f>
        <v>0</v>
      </c>
      <c r="BH47" s="2158">
        <f t="shared" ref="BH47:BH54" si="216">BF47-BG47</f>
        <v>8.6896551724137936</v>
      </c>
      <c r="BI47" s="1814"/>
      <c r="BJ47" s="2971">
        <f t="shared" ref="BJ47" si="217">IF(BJ44&gt;$J$55,$J$47,IF(BJ44&lt;$J$55,(IF(BJ44&lt;0,0,BJ44*$K$47))))</f>
        <v>2.1724137931034484</v>
      </c>
      <c r="BK47" s="1814"/>
      <c r="BL47" s="2153">
        <f t="shared" si="198"/>
        <v>2.1724137931034484</v>
      </c>
      <c r="BM47" s="2157">
        <f>$J$47*0</f>
        <v>0</v>
      </c>
      <c r="BN47" s="2158">
        <f t="shared" ref="BN47:BN54" si="218">BL47-BM47</f>
        <v>2.1724137931034484</v>
      </c>
      <c r="BP47" s="2153"/>
      <c r="BQ47" s="2616"/>
      <c r="BS47" s="2153">
        <f t="shared" si="199"/>
        <v>38.078788799508132</v>
      </c>
      <c r="BT47" s="2617">
        <f t="shared" si="200"/>
        <v>0.60442521903981161</v>
      </c>
      <c r="BU47" s="2351"/>
      <c r="BV47" s="4636"/>
      <c r="BX47" s="4627"/>
      <c r="BY47" s="1861"/>
      <c r="BZ47" s="1861"/>
      <c r="CA47" s="1861"/>
      <c r="CB47" s="1861"/>
      <c r="CC47" s="1861"/>
      <c r="CD47" s="1861"/>
      <c r="CE47" s="1861"/>
      <c r="CF47" s="1861"/>
      <c r="CG47" s="1861"/>
    </row>
    <row r="48" spans="1:85" s="1900" customFormat="1" ht="15.75" x14ac:dyDescent="0.2">
      <c r="A48" s="2464"/>
      <c r="B48" s="2161">
        <v>40</v>
      </c>
      <c r="C48" s="2162" t="s">
        <v>117</v>
      </c>
      <c r="D48" s="2119"/>
      <c r="E48" s="2169">
        <v>37</v>
      </c>
      <c r="F48" s="2176">
        <f t="shared" ref="F48:F54" si="219">E48/10</f>
        <v>3.7</v>
      </c>
      <c r="G48" s="2176">
        <f t="shared" ref="G48:G54" si="220">E48/15</f>
        <v>2.4666666666666668</v>
      </c>
      <c r="H48" s="2176">
        <f t="shared" ref="H48:H54" si="221">E48/20</f>
        <v>1.85</v>
      </c>
      <c r="I48" s="2176">
        <f t="shared" ref="I48:I54" si="222">E48/25</f>
        <v>1.48</v>
      </c>
      <c r="J48" s="2176">
        <f t="shared" si="201"/>
        <v>1.2758620689655173</v>
      </c>
      <c r="K48" s="2177">
        <f t="shared" ref="K48:K54" si="223">E48/$E$55</f>
        <v>0.10995542347696879</v>
      </c>
      <c r="L48" s="2468"/>
      <c r="M48" s="2339"/>
      <c r="N48" s="2618">
        <f t="shared" ref="N48" si="224">IF(N44&gt;$J$55,$J$48,IF(N44&lt;$J$55,(IF(N44&lt;0,0,N44*$K$48))))</f>
        <v>1.1748699082850858</v>
      </c>
      <c r="O48" s="2164">
        <f t="shared" ref="O48:T48" si="225">IF(O44&gt;$J$55,$J$48,IF(O44&lt;$J$55,(IF(O44&lt;0,0,O44*$K$48))))</f>
        <v>0</v>
      </c>
      <c r="P48" s="2164">
        <f t="shared" si="225"/>
        <v>1.2758620689655173</v>
      </c>
      <c r="Q48" s="2164">
        <f t="shared" si="225"/>
        <v>1.2758620689655173</v>
      </c>
      <c r="R48" s="2164">
        <f t="shared" si="225"/>
        <v>1.2758620689655173</v>
      </c>
      <c r="S48" s="2164">
        <f t="shared" si="225"/>
        <v>1.2758620689655173</v>
      </c>
      <c r="T48" s="2164">
        <f t="shared" si="225"/>
        <v>0</v>
      </c>
      <c r="U48" s="1951"/>
      <c r="V48" s="2163">
        <f t="shared" ref="V48" si="226">SUM(N48:T48)</f>
        <v>6.2783181841471549</v>
      </c>
      <c r="W48" s="2167">
        <f>$J$48*0</f>
        <v>0</v>
      </c>
      <c r="X48" s="2168">
        <f>V48-W48</f>
        <v>6.2783181841471549</v>
      </c>
      <c r="Y48" s="1951"/>
      <c r="Z48" s="2163">
        <f t="shared" ref="Z48:AF48" si="227">IF(Z44&gt;$J$55,$J$48,IF(Z44&lt;$J$55,(IF(Z44&lt;0,0,Z44*$K$48))))</f>
        <v>1.1348461341394693</v>
      </c>
      <c r="AA48" s="2167">
        <f t="shared" si="227"/>
        <v>0</v>
      </c>
      <c r="AB48" s="2167">
        <f t="shared" si="227"/>
        <v>0</v>
      </c>
      <c r="AC48" s="2167">
        <f t="shared" si="227"/>
        <v>0.13507644617513045</v>
      </c>
      <c r="AD48" s="2167">
        <f t="shared" si="227"/>
        <v>1.2758620689655173</v>
      </c>
      <c r="AE48" s="2167">
        <f t="shared" si="227"/>
        <v>1.2758620689655173</v>
      </c>
      <c r="AF48" s="2166">
        <f t="shared" si="227"/>
        <v>0</v>
      </c>
      <c r="AG48" s="1951"/>
      <c r="AH48" s="2163">
        <f t="shared" si="205"/>
        <v>3.8216467182456344</v>
      </c>
      <c r="AI48" s="2167">
        <f>$J$48*0</f>
        <v>0</v>
      </c>
      <c r="AJ48" s="2168">
        <f t="shared" si="206"/>
        <v>3.8216467182456344</v>
      </c>
      <c r="AK48" s="1951"/>
      <c r="AL48" s="2163">
        <f t="shared" ref="AL48:AM48" si="228">IF(AL44&gt;$J$55,$J$48,IF(AL44&lt;$J$55,(IF(AL44&lt;0,0,AL44*$K$48))))</f>
        <v>1.2758620689655173</v>
      </c>
      <c r="AM48" s="2164">
        <f t="shared" si="228"/>
        <v>1.1621700568734961</v>
      </c>
      <c r="AN48" s="2164">
        <f t="shared" ref="AN48:AO48" si="229">IF(AN44&gt;$J$55,$J$48,IF(AN44&lt;$J$55,(IF(AN44&lt;0,0,AN44*$K$48))))</f>
        <v>0.72515222626428377</v>
      </c>
      <c r="AO48" s="2164">
        <f t="shared" si="229"/>
        <v>1.2758620689655173</v>
      </c>
      <c r="AP48" s="2164">
        <f t="shared" ref="AP48:AQ48" si="230">IF(AP44&gt;$J$55,$J$48,IF(AP44&lt;$J$55,(IF(AP44&lt;0,0,AP44*$K$48))))</f>
        <v>0.52437362299533863</v>
      </c>
      <c r="AQ48" s="2164">
        <f t="shared" si="230"/>
        <v>0</v>
      </c>
      <c r="AR48" s="2164">
        <f t="shared" ref="AR48" si="231">IF(AR44&gt;$J$55,$J$48,IF(AR44&lt;$J$55,(IF(AR44&lt;0,0,AR44*$K$48))))</f>
        <v>0.92103781318850375</v>
      </c>
      <c r="AS48" s="1951"/>
      <c r="AT48" s="2163">
        <f t="shared" si="211"/>
        <v>5.8844578572526576</v>
      </c>
      <c r="AU48" s="2167">
        <f>$J$48*0</f>
        <v>0</v>
      </c>
      <c r="AV48" s="2168">
        <f t="shared" si="212"/>
        <v>5.8844578572526576</v>
      </c>
      <c r="AW48" s="1951"/>
      <c r="AX48" s="2163">
        <f t="shared" ref="AX48:BB48" si="232">IF(AX44&gt;$J$55,$J$48,IF(AX44&lt;$J$55,(IF(AX44&lt;0,0,AX44*$K$48))))</f>
        <v>0</v>
      </c>
      <c r="AY48" s="2163">
        <f t="shared" si="232"/>
        <v>0</v>
      </c>
      <c r="AZ48" s="2163">
        <f t="shared" si="232"/>
        <v>1.2758620689655173</v>
      </c>
      <c r="BA48" s="2163">
        <f t="shared" si="232"/>
        <v>0</v>
      </c>
      <c r="BB48" s="2163">
        <f t="shared" si="232"/>
        <v>1.2758620689655173</v>
      </c>
      <c r="BC48" s="2163">
        <f t="shared" ref="BC48:BD48" si="233">IF(BC44&gt;$J$55,$J$48,IF(BC44&lt;$J$55,(IF(BC44&lt;0,0,BC44*$K$48))))</f>
        <v>1.2758620689655173</v>
      </c>
      <c r="BD48" s="2166">
        <f t="shared" si="233"/>
        <v>1.2758620689655173</v>
      </c>
      <c r="BE48" s="1951"/>
      <c r="BF48" s="2163">
        <f t="shared" si="215"/>
        <v>5.1034482758620694</v>
      </c>
      <c r="BG48" s="2167">
        <f>$J$48*0</f>
        <v>0</v>
      </c>
      <c r="BH48" s="2168">
        <f t="shared" si="216"/>
        <v>5.1034482758620694</v>
      </c>
      <c r="BI48" s="1951"/>
      <c r="BJ48" s="2972">
        <f t="shared" ref="BJ48" si="234">IF(BJ44&gt;$J$55,$J$48,IF(BJ44&lt;$J$55,(IF(BJ44&lt;0,0,BJ44*$K$48))))</f>
        <v>1.2758620689655173</v>
      </c>
      <c r="BK48" s="1951"/>
      <c r="BL48" s="2163">
        <f t="shared" si="198"/>
        <v>1.2758620689655173</v>
      </c>
      <c r="BM48" s="2167">
        <f>$J$48*0</f>
        <v>0</v>
      </c>
      <c r="BN48" s="2168">
        <f t="shared" si="218"/>
        <v>1.2758620689655173</v>
      </c>
      <c r="BP48" s="2163"/>
      <c r="BQ48" s="2619"/>
      <c r="BS48" s="2163">
        <f t="shared" si="199"/>
        <v>22.363733104473035</v>
      </c>
      <c r="BT48" s="2620">
        <f t="shared" si="200"/>
        <v>0.60442521903981172</v>
      </c>
      <c r="BU48" s="2353"/>
      <c r="BV48" s="4636"/>
      <c r="BX48" s="4627"/>
      <c r="BY48" s="2011"/>
      <c r="BZ48" s="2011"/>
      <c r="CA48" s="2011"/>
      <c r="CB48" s="2011"/>
      <c r="CC48" s="2011"/>
      <c r="CD48" s="2011"/>
      <c r="CE48" s="2011"/>
      <c r="CF48" s="2011"/>
      <c r="CG48" s="2011"/>
    </row>
    <row r="49" spans="1:85" s="1726" customFormat="1" x14ac:dyDescent="0.2">
      <c r="B49" s="2085">
        <v>41</v>
      </c>
      <c r="C49" s="2086" t="s">
        <v>246</v>
      </c>
      <c r="D49" s="2051"/>
      <c r="E49" s="2087">
        <v>37</v>
      </c>
      <c r="F49" s="2088">
        <f t="shared" si="219"/>
        <v>3.7</v>
      </c>
      <c r="G49" s="2088">
        <f t="shared" si="220"/>
        <v>2.4666666666666668</v>
      </c>
      <c r="H49" s="2088">
        <f t="shared" si="221"/>
        <v>1.85</v>
      </c>
      <c r="I49" s="2088">
        <f t="shared" si="222"/>
        <v>1.48</v>
      </c>
      <c r="J49" s="2088">
        <f t="shared" si="201"/>
        <v>1.2758620689655173</v>
      </c>
      <c r="K49" s="2089">
        <f t="shared" si="223"/>
        <v>0.10995542347696879</v>
      </c>
      <c r="L49" s="1931"/>
      <c r="M49" s="1924"/>
      <c r="N49" s="2284">
        <f t="shared" ref="N49" si="235">IF(N44&gt;$J$55,$J$49,IF(N44&lt;$J$55,(IF(N44&lt;0,0,N44*$K$49))))</f>
        <v>1.1748699082850858</v>
      </c>
      <c r="O49" s="2088">
        <f t="shared" ref="O49:T49" si="236">IF(O44&gt;$J$55,$J$49,IF(O44&lt;$J$55,(IF(O44&lt;0,0,O44*$K$49))))</f>
        <v>0</v>
      </c>
      <c r="P49" s="2088">
        <f t="shared" si="236"/>
        <v>1.2758620689655173</v>
      </c>
      <c r="Q49" s="2088">
        <f t="shared" si="236"/>
        <v>1.2758620689655173</v>
      </c>
      <c r="R49" s="2088">
        <f t="shared" si="236"/>
        <v>1.2758620689655173</v>
      </c>
      <c r="S49" s="2088">
        <f t="shared" si="236"/>
        <v>1.2758620689655173</v>
      </c>
      <c r="T49" s="2091">
        <f t="shared" si="236"/>
        <v>0</v>
      </c>
      <c r="U49" s="1814"/>
      <c r="V49" s="2090">
        <f t="shared" si="58"/>
        <v>6.2783181841471549</v>
      </c>
      <c r="W49" s="2087">
        <f>$J$49*0</f>
        <v>0</v>
      </c>
      <c r="X49" s="2174">
        <f>V49-W49</f>
        <v>6.2783181841471549</v>
      </c>
      <c r="Y49" s="1766"/>
      <c r="Z49" s="2090">
        <f t="shared" ref="Z49:AF49" si="237">IF(Z44&gt;$J$55,$J$49,IF(Z44&lt;$J$55,(IF(Z44&lt;0,0,Z44*$K$49))))</f>
        <v>1.1348461341394693</v>
      </c>
      <c r="AA49" s="2087">
        <f t="shared" si="237"/>
        <v>0</v>
      </c>
      <c r="AB49" s="2087">
        <f t="shared" si="237"/>
        <v>0</v>
      </c>
      <c r="AC49" s="2087">
        <f t="shared" si="237"/>
        <v>0.13507644617513045</v>
      </c>
      <c r="AD49" s="2087">
        <f t="shared" si="237"/>
        <v>1.2758620689655173</v>
      </c>
      <c r="AE49" s="2087">
        <f t="shared" si="237"/>
        <v>1.2758620689655173</v>
      </c>
      <c r="AF49" s="2091">
        <f t="shared" si="237"/>
        <v>0</v>
      </c>
      <c r="AG49" s="1766"/>
      <c r="AH49" s="2090">
        <f t="shared" si="205"/>
        <v>3.8216467182456344</v>
      </c>
      <c r="AI49" s="2087">
        <f>$J$49*0</f>
        <v>0</v>
      </c>
      <c r="AJ49" s="2174">
        <f t="shared" si="206"/>
        <v>3.8216467182456344</v>
      </c>
      <c r="AK49" s="1766"/>
      <c r="AL49" s="2090">
        <f t="shared" ref="AL49:AM49" si="238">IF(AL44&gt;$J$55,$J$49,IF(AL44&lt;$J$55,(IF(AL44&lt;0,0,AL44*$K$49))))</f>
        <v>1.2758620689655173</v>
      </c>
      <c r="AM49" s="2088">
        <f t="shared" si="238"/>
        <v>1.1621700568734961</v>
      </c>
      <c r="AN49" s="2088">
        <f t="shared" ref="AN49:AO49" si="239">IF(AN44&gt;$J$55,$J$49,IF(AN44&lt;$J$55,(IF(AN44&lt;0,0,AN44*$K$49))))</f>
        <v>0.72515222626428377</v>
      </c>
      <c r="AO49" s="2088">
        <f t="shared" si="239"/>
        <v>1.2758620689655173</v>
      </c>
      <c r="AP49" s="2088">
        <f t="shared" ref="AP49:AQ49" si="240">IF(AP44&gt;$J$55,$J$49,IF(AP44&lt;$J$55,(IF(AP44&lt;0,0,AP44*$K$49))))</f>
        <v>0.52437362299533863</v>
      </c>
      <c r="AQ49" s="2088">
        <f t="shared" si="240"/>
        <v>0</v>
      </c>
      <c r="AR49" s="2091">
        <f t="shared" ref="AR49" si="241">IF(AR44&gt;$J$55,$J$49,IF(AR44&lt;$J$55,(IF(AR44&lt;0,0,AR44*$K$49))))</f>
        <v>0.92103781318850375</v>
      </c>
      <c r="AS49" s="1814"/>
      <c r="AT49" s="2090">
        <f t="shared" si="211"/>
        <v>5.8844578572526576</v>
      </c>
      <c r="AU49" s="2087">
        <f>$J$49*0</f>
        <v>0</v>
      </c>
      <c r="AV49" s="2174">
        <f t="shared" si="212"/>
        <v>5.8844578572526576</v>
      </c>
      <c r="AW49" s="1814"/>
      <c r="AX49" s="2090">
        <f t="shared" ref="AX49:BB49" si="242">IF(AX44&gt;$J$55,$J$49,IF(AX44&lt;$J$55,(IF(AX44&lt;0,0,AX44*$K$49))))</f>
        <v>0</v>
      </c>
      <c r="AY49" s="2090">
        <f t="shared" si="242"/>
        <v>0</v>
      </c>
      <c r="AZ49" s="2090">
        <f t="shared" si="242"/>
        <v>1.2758620689655173</v>
      </c>
      <c r="BA49" s="2090">
        <f t="shared" si="242"/>
        <v>0</v>
      </c>
      <c r="BB49" s="2090">
        <f t="shared" si="242"/>
        <v>1.2758620689655173</v>
      </c>
      <c r="BC49" s="2090">
        <f t="shared" ref="BC49:BD49" si="243">IF(BC44&gt;$J$55,$J$49,IF(BC44&lt;$J$55,(IF(BC44&lt;0,0,BC44*$K$49))))</f>
        <v>1.2758620689655173</v>
      </c>
      <c r="BD49" s="2091">
        <f t="shared" si="243"/>
        <v>1.2758620689655173</v>
      </c>
      <c r="BE49" s="1814"/>
      <c r="BF49" s="2090">
        <f t="shared" si="215"/>
        <v>5.1034482758620694</v>
      </c>
      <c r="BG49" s="2087">
        <f>$J$49*0</f>
        <v>0</v>
      </c>
      <c r="BH49" s="2174">
        <f t="shared" si="216"/>
        <v>5.1034482758620694</v>
      </c>
      <c r="BI49" s="1814"/>
      <c r="BJ49" s="2973">
        <f t="shared" ref="BJ49" si="244">IF(BJ44&gt;$J$55,$J$49,IF(BJ44&lt;$J$55,(IF(BJ44&lt;0,0,BJ44*$K$49))))</f>
        <v>1.2758620689655173</v>
      </c>
      <c r="BK49" s="1814"/>
      <c r="BL49" s="2090">
        <f t="shared" si="198"/>
        <v>1.2758620689655173</v>
      </c>
      <c r="BM49" s="2087">
        <f>$J$49*0</f>
        <v>0</v>
      </c>
      <c r="BN49" s="2174">
        <f t="shared" si="218"/>
        <v>1.2758620689655173</v>
      </c>
      <c r="BP49" s="2090"/>
      <c r="BQ49" s="2159"/>
      <c r="BR49" s="1740"/>
      <c r="BS49" s="2090">
        <f t="shared" si="199"/>
        <v>22.363733104473035</v>
      </c>
      <c r="BT49" s="2160">
        <f t="shared" si="200"/>
        <v>0.60442521903981172</v>
      </c>
      <c r="BU49" s="2351"/>
      <c r="BV49" s="4636"/>
      <c r="BX49" s="4627"/>
      <c r="BY49" s="1830"/>
      <c r="BZ49" s="2131"/>
      <c r="CA49" s="1830"/>
      <c r="CB49" s="1860"/>
      <c r="CC49" s="1860"/>
      <c r="CD49" s="1860"/>
      <c r="CE49" s="1860"/>
      <c r="CF49" s="1860"/>
      <c r="CG49" s="1860"/>
    </row>
    <row r="50" spans="1:85" s="1885" customFormat="1" x14ac:dyDescent="0.2">
      <c r="B50" s="2182">
        <v>42</v>
      </c>
      <c r="C50" s="2175" t="s">
        <v>118</v>
      </c>
      <c r="D50" s="2119"/>
      <c r="E50" s="2170">
        <v>35</v>
      </c>
      <c r="F50" s="2176">
        <f t="shared" si="219"/>
        <v>3.5</v>
      </c>
      <c r="G50" s="2176">
        <f t="shared" si="220"/>
        <v>2.3333333333333335</v>
      </c>
      <c r="H50" s="2176">
        <f t="shared" si="221"/>
        <v>1.75</v>
      </c>
      <c r="I50" s="2176">
        <f t="shared" si="222"/>
        <v>1.4</v>
      </c>
      <c r="J50" s="2176">
        <f t="shared" si="201"/>
        <v>1.2068965517241379</v>
      </c>
      <c r="K50" s="2177">
        <f t="shared" si="223"/>
        <v>0.10401188707280833</v>
      </c>
      <c r="L50" s="2003"/>
      <c r="M50" s="1950"/>
      <c r="N50" s="2415">
        <f t="shared" ref="N50" si="245">IF(N44&gt;$J$55,$J$50,IF(N44&lt;$J$55,(IF(N44&lt;0,0,N44*$K$50))))</f>
        <v>1.1113634267561623</v>
      </c>
      <c r="O50" s="2176">
        <f t="shared" ref="O50:T50" si="246">IF(O44&gt;$J$55,$J$50,IF(O44&lt;$J$55,(IF(O44&lt;0,0,O44*$K$50))))</f>
        <v>0</v>
      </c>
      <c r="P50" s="2176">
        <f t="shared" si="246"/>
        <v>1.2068965517241379</v>
      </c>
      <c r="Q50" s="2176">
        <f t="shared" si="246"/>
        <v>1.2068965517241379</v>
      </c>
      <c r="R50" s="2176">
        <f t="shared" si="246"/>
        <v>1.2068965517241379</v>
      </c>
      <c r="S50" s="2176">
        <f t="shared" si="246"/>
        <v>1.2068965517241379</v>
      </c>
      <c r="T50" s="2171">
        <f t="shared" si="246"/>
        <v>0</v>
      </c>
      <c r="U50" s="1951"/>
      <c r="V50" s="2169">
        <f t="shared" si="58"/>
        <v>5.9389496336527143</v>
      </c>
      <c r="W50" s="2176">
        <f>$J$50*0</f>
        <v>0</v>
      </c>
      <c r="X50" s="2171">
        <f t="shared" ref="X50:X67" si="247">V50-W50</f>
        <v>5.9389496336527143</v>
      </c>
      <c r="Y50" s="1956"/>
      <c r="Z50" s="2169">
        <f t="shared" ref="Z50:AF50" si="248">IF(Z44&gt;$J$55,$J$50,IF(Z44&lt;$J$55,(IF(Z44&lt;0,0,Z44*$K$50))))</f>
        <v>1.0735030998616604</v>
      </c>
      <c r="AA50" s="2176">
        <f t="shared" si="248"/>
        <v>0</v>
      </c>
      <c r="AB50" s="2176">
        <f t="shared" si="248"/>
        <v>0</v>
      </c>
      <c r="AC50" s="2176">
        <f t="shared" si="248"/>
        <v>0.12777501665215044</v>
      </c>
      <c r="AD50" s="2176">
        <f t="shared" si="248"/>
        <v>1.2068965517241379</v>
      </c>
      <c r="AE50" s="2176">
        <f t="shared" si="248"/>
        <v>1.2068965517241379</v>
      </c>
      <c r="AF50" s="2171">
        <f t="shared" si="248"/>
        <v>0</v>
      </c>
      <c r="AG50" s="1956"/>
      <c r="AH50" s="2169">
        <f t="shared" si="205"/>
        <v>3.6150712199620867</v>
      </c>
      <c r="AI50" s="2176">
        <f>$J$50*0</f>
        <v>0</v>
      </c>
      <c r="AJ50" s="2171">
        <f t="shared" si="206"/>
        <v>3.6150712199620867</v>
      </c>
      <c r="AK50" s="1956"/>
      <c r="AL50" s="2169">
        <f t="shared" ref="AL50:AM50" si="249">IF(AL44&gt;$J$55,$J$50,IF(AL44&lt;$J$55,(IF(AL44&lt;0,0,AL44*$K$50))))</f>
        <v>1.2068965517241379</v>
      </c>
      <c r="AM50" s="2176">
        <f t="shared" si="249"/>
        <v>1.0993500537992531</v>
      </c>
      <c r="AN50" s="2176">
        <f t="shared" ref="AN50:AO50" si="250">IF(AN44&gt;$J$55,$J$50,IF(AN44&lt;$J$55,(IF(AN44&lt;0,0,AN44*$K$50))))</f>
        <v>0.68595480862837654</v>
      </c>
      <c r="AO50" s="2176">
        <f t="shared" si="250"/>
        <v>1.2068965517241379</v>
      </c>
      <c r="AP50" s="2176">
        <f t="shared" ref="AP50:AQ50" si="251">IF(AP44&gt;$J$55,$J$50,IF(AP44&lt;$J$55,(IF(AP44&lt;0,0,AP44*$K$50))))</f>
        <v>0.49602910283342849</v>
      </c>
      <c r="AQ50" s="2176">
        <f t="shared" si="251"/>
        <v>0</v>
      </c>
      <c r="AR50" s="2171">
        <f t="shared" ref="AR50" si="252">IF(AR44&gt;$J$55,$J$50,IF(AR44&lt;$J$55,(IF(AR44&lt;0,0,AR44*$K$50))))</f>
        <v>0.87125198544858473</v>
      </c>
      <c r="AS50" s="1951"/>
      <c r="AT50" s="2169">
        <f t="shared" si="211"/>
        <v>5.5663790541579194</v>
      </c>
      <c r="AU50" s="2176">
        <f>$J$50*0</f>
        <v>0</v>
      </c>
      <c r="AV50" s="2171">
        <f t="shared" si="212"/>
        <v>5.5663790541579194</v>
      </c>
      <c r="AW50" s="1951"/>
      <c r="AX50" s="2169">
        <f t="shared" ref="AX50:BB50" si="253">IF(AX44&gt;$J$55,$J$50,IF(AX44&lt;$J$55,(IF(AX44&lt;0,0,AX44*$K$50))))</f>
        <v>0</v>
      </c>
      <c r="AY50" s="2169">
        <f t="shared" si="253"/>
        <v>0</v>
      </c>
      <c r="AZ50" s="2169">
        <f t="shared" si="253"/>
        <v>1.2068965517241379</v>
      </c>
      <c r="BA50" s="2169">
        <f t="shared" si="253"/>
        <v>0</v>
      </c>
      <c r="BB50" s="2169">
        <f t="shared" si="253"/>
        <v>1.2068965517241379</v>
      </c>
      <c r="BC50" s="2169">
        <f t="shared" ref="BC50:BD50" si="254">IF(BC44&gt;$J$55,$J$50,IF(BC44&lt;$J$55,(IF(BC44&lt;0,0,BC44*$K$50))))</f>
        <v>1.2068965517241379</v>
      </c>
      <c r="BD50" s="2171">
        <f t="shared" si="254"/>
        <v>1.2068965517241379</v>
      </c>
      <c r="BE50" s="1951"/>
      <c r="BF50" s="2169">
        <f t="shared" si="215"/>
        <v>4.8275862068965516</v>
      </c>
      <c r="BG50" s="2176">
        <f>$J$50*0</f>
        <v>0</v>
      </c>
      <c r="BH50" s="2171">
        <f t="shared" si="216"/>
        <v>4.8275862068965516</v>
      </c>
      <c r="BI50" s="1951"/>
      <c r="BJ50" s="2974">
        <f t="shared" ref="BJ50" si="255">IF(BJ44&gt;$J$55,$J$50,IF(BJ44&lt;$J$55,(IF(BJ44&lt;0,0,BJ44*$K$50))))</f>
        <v>1.2068965517241379</v>
      </c>
      <c r="BK50" s="1951"/>
      <c r="BL50" s="2169">
        <f t="shared" si="198"/>
        <v>1.2068965517241379</v>
      </c>
      <c r="BM50" s="2176">
        <f>$J$50*0</f>
        <v>0</v>
      </c>
      <c r="BN50" s="2171">
        <f t="shared" si="218"/>
        <v>1.2068965517241379</v>
      </c>
      <c r="BP50" s="2179"/>
      <c r="BQ50" s="2180"/>
      <c r="BR50" s="1900"/>
      <c r="BS50" s="2179">
        <f t="shared" si="199"/>
        <v>21.154882666393412</v>
      </c>
      <c r="BT50" s="2181">
        <f t="shared" si="200"/>
        <v>0.60442521903981172</v>
      </c>
      <c r="BU50" s="2353"/>
      <c r="BV50" s="4636"/>
      <c r="BX50" s="4627"/>
      <c r="BY50" s="1962"/>
      <c r="BZ50" s="2339"/>
      <c r="CA50" s="1962"/>
      <c r="CB50" s="1946"/>
      <c r="CC50" s="1946"/>
      <c r="CD50" s="1946"/>
      <c r="CE50" s="1946"/>
      <c r="CF50" s="1946"/>
      <c r="CG50" s="1946"/>
    </row>
    <row r="51" spans="1:85" s="1726" customFormat="1" x14ac:dyDescent="0.2">
      <c r="A51" s="1756"/>
      <c r="B51" s="2085">
        <v>43</v>
      </c>
      <c r="C51" s="2086" t="s">
        <v>269</v>
      </c>
      <c r="D51" s="2051"/>
      <c r="E51" s="2087">
        <v>29.5</v>
      </c>
      <c r="F51" s="2088">
        <f t="shared" si="219"/>
        <v>2.95</v>
      </c>
      <c r="G51" s="2088">
        <f t="shared" si="220"/>
        <v>1.9666666666666666</v>
      </c>
      <c r="H51" s="2088">
        <f t="shared" si="221"/>
        <v>1.4750000000000001</v>
      </c>
      <c r="I51" s="2088">
        <f t="shared" si="222"/>
        <v>1.18</v>
      </c>
      <c r="J51" s="2088">
        <f t="shared" si="201"/>
        <v>1.0172413793103448</v>
      </c>
      <c r="K51" s="2089">
        <f t="shared" si="223"/>
        <v>8.7667161961367007E-2</v>
      </c>
      <c r="L51" s="1931"/>
      <c r="M51" s="1924"/>
      <c r="N51" s="2284">
        <f t="shared" ref="N51" si="256">IF(N44&gt;$J$55,$J$51,IF(N44&lt;$J$55,(IF(N44&lt;0,0,N44*$K$51))))</f>
        <v>0.93672060255162237</v>
      </c>
      <c r="O51" s="2088">
        <f t="shared" ref="O51:T51" si="257">IF(O44&gt;$J$55,$J$51,IF(O44&lt;$J$55,(IF(O44&lt;0,0,O44*$K$51))))</f>
        <v>0</v>
      </c>
      <c r="P51" s="2088">
        <f t="shared" si="257"/>
        <v>1.0172413793103448</v>
      </c>
      <c r="Q51" s="2088">
        <f t="shared" si="257"/>
        <v>1.0172413793103448</v>
      </c>
      <c r="R51" s="2088">
        <f t="shared" si="257"/>
        <v>1.0172413793103448</v>
      </c>
      <c r="S51" s="2088">
        <f t="shared" si="257"/>
        <v>1.0172413793103448</v>
      </c>
      <c r="T51" s="2091">
        <f t="shared" si="257"/>
        <v>0</v>
      </c>
      <c r="U51" s="1814"/>
      <c r="V51" s="2090">
        <f t="shared" si="58"/>
        <v>5.0056861197930012</v>
      </c>
      <c r="W51" s="2088">
        <f>$J$51*0</f>
        <v>0</v>
      </c>
      <c r="X51" s="2091">
        <f t="shared" si="247"/>
        <v>5.0056861197930012</v>
      </c>
      <c r="Y51" s="1766"/>
      <c r="Z51" s="2090">
        <f t="shared" ref="Z51:AF51" si="258">IF(Z44&gt;$J$55,$J$51,IF(Z44&lt;$J$55,(IF(Z44&lt;0,0,Z44*$K$51))))</f>
        <v>0.90480975559768495</v>
      </c>
      <c r="AA51" s="2088">
        <f t="shared" si="258"/>
        <v>0</v>
      </c>
      <c r="AB51" s="2088">
        <f t="shared" si="258"/>
        <v>0</v>
      </c>
      <c r="AC51" s="2088">
        <f t="shared" si="258"/>
        <v>0.10769608546395536</v>
      </c>
      <c r="AD51" s="2088">
        <f t="shared" si="258"/>
        <v>1.0172413793103448</v>
      </c>
      <c r="AE51" s="2088">
        <f t="shared" si="258"/>
        <v>1.0172413793103448</v>
      </c>
      <c r="AF51" s="2091">
        <f t="shared" si="258"/>
        <v>0</v>
      </c>
      <c r="AG51" s="1766"/>
      <c r="AH51" s="2090">
        <f t="shared" si="205"/>
        <v>3.0469885996823298</v>
      </c>
      <c r="AI51" s="2088">
        <f>$J$51*0</f>
        <v>0</v>
      </c>
      <c r="AJ51" s="2091">
        <f t="shared" si="206"/>
        <v>3.0469885996823298</v>
      </c>
      <c r="AK51" s="1766"/>
      <c r="AL51" s="2090">
        <f t="shared" ref="AL51:AM51" si="259">IF(AL44&gt;$J$55,$J$51,IF(AL44&lt;$J$55,(IF(AL44&lt;0,0,AL44*$K$51))))</f>
        <v>1.0172413793103448</v>
      </c>
      <c r="AM51" s="2088">
        <f t="shared" si="259"/>
        <v>0.92659504534508463</v>
      </c>
      <c r="AN51" s="2088">
        <f t="shared" ref="AN51:AO51" si="260">IF(AN44&gt;$J$55,$J$51,IF(AN44&lt;$J$55,(IF(AN44&lt;0,0,AN44*$K$51))))</f>
        <v>0.57816191012963158</v>
      </c>
      <c r="AO51" s="2088">
        <f t="shared" si="260"/>
        <v>1.0172413793103448</v>
      </c>
      <c r="AP51" s="2088">
        <f t="shared" ref="AP51:AQ51" si="261">IF(AP44&gt;$J$55,$J$51,IF(AP44&lt;$J$55,(IF(AP44&lt;0,0,AP44*$K$51))))</f>
        <v>0.4180816723881754</v>
      </c>
      <c r="AQ51" s="2088">
        <f t="shared" si="261"/>
        <v>0</v>
      </c>
      <c r="AR51" s="2091">
        <f t="shared" ref="AR51" si="262">IF(AR44&gt;$J$55,$J$51,IF(AR44&lt;$J$55,(IF(AR44&lt;0,0,AR44*$K$51))))</f>
        <v>0.73434095916380704</v>
      </c>
      <c r="AS51" s="1814"/>
      <c r="AT51" s="2090">
        <f t="shared" si="211"/>
        <v>4.691662345647388</v>
      </c>
      <c r="AU51" s="2088">
        <f>$J$51*0</f>
        <v>0</v>
      </c>
      <c r="AV51" s="2091">
        <f t="shared" si="212"/>
        <v>4.691662345647388</v>
      </c>
      <c r="AW51" s="1814"/>
      <c r="AX51" s="2090">
        <f t="shared" ref="AX51:BB51" si="263">IF(AX44&gt;$J$55,$J$51,IF(AX44&lt;$J$55,(IF(AX44&lt;0,0,AX44*$K$51))))</f>
        <v>0</v>
      </c>
      <c r="AY51" s="2090">
        <f t="shared" si="263"/>
        <v>0</v>
      </c>
      <c r="AZ51" s="2090">
        <f t="shared" si="263"/>
        <v>1.0172413793103448</v>
      </c>
      <c r="BA51" s="2090">
        <f t="shared" si="263"/>
        <v>0</v>
      </c>
      <c r="BB51" s="2090">
        <f t="shared" si="263"/>
        <v>1.0172413793103448</v>
      </c>
      <c r="BC51" s="2090">
        <f t="shared" ref="BC51:BD51" si="264">IF(BC44&gt;$J$55,$J$51,IF(BC44&lt;$J$55,(IF(BC44&lt;0,0,BC44*$K$51))))</f>
        <v>1.0172413793103448</v>
      </c>
      <c r="BD51" s="2091">
        <f t="shared" si="264"/>
        <v>1.0172413793103448</v>
      </c>
      <c r="BE51" s="1814"/>
      <c r="BF51" s="2090">
        <f t="shared" si="215"/>
        <v>4.068965517241379</v>
      </c>
      <c r="BG51" s="2088">
        <f>$J$51*0</f>
        <v>0</v>
      </c>
      <c r="BH51" s="2091">
        <f t="shared" si="216"/>
        <v>4.068965517241379</v>
      </c>
      <c r="BI51" s="1814"/>
      <c r="BJ51" s="2973">
        <f t="shared" ref="BJ51" si="265">IF(BJ44&gt;$J$55,$J$51,IF(BJ44&lt;$J$55,(IF(BJ44&lt;0,0,BJ44*$K$51))))</f>
        <v>1.0172413793103448</v>
      </c>
      <c r="BK51" s="1814"/>
      <c r="BL51" s="2090">
        <f t="shared" si="198"/>
        <v>1.0172413793103448</v>
      </c>
      <c r="BM51" s="2088">
        <f>$J$51*0</f>
        <v>0</v>
      </c>
      <c r="BN51" s="2091">
        <f t="shared" si="218"/>
        <v>1.0172413793103448</v>
      </c>
      <c r="BP51" s="2092"/>
      <c r="BQ51" s="2093"/>
      <c r="BR51" s="1740"/>
      <c r="BS51" s="2092">
        <f t="shared" si="199"/>
        <v>17.83054396167444</v>
      </c>
      <c r="BT51" s="2094">
        <f t="shared" si="200"/>
        <v>0.6044252190398115</v>
      </c>
      <c r="BU51" s="2351"/>
      <c r="BV51" s="4636"/>
      <c r="BX51" s="4627"/>
      <c r="BY51" s="2946"/>
      <c r="BZ51" s="2946"/>
      <c r="CA51" s="1860"/>
      <c r="CB51" s="1860"/>
      <c r="CC51" s="1860"/>
      <c r="CD51" s="1860"/>
      <c r="CE51" s="1860"/>
      <c r="CF51" s="1860"/>
      <c r="CG51" s="1860"/>
    </row>
    <row r="52" spans="1:85" s="1885" customFormat="1" x14ac:dyDescent="0.2">
      <c r="B52" s="2182">
        <v>44</v>
      </c>
      <c r="C52" s="2175" t="s">
        <v>123</v>
      </c>
      <c r="D52" s="2119"/>
      <c r="E52" s="2170">
        <v>25</v>
      </c>
      <c r="F52" s="2176">
        <f t="shared" si="219"/>
        <v>2.5</v>
      </c>
      <c r="G52" s="2176">
        <f t="shared" si="220"/>
        <v>1.6666666666666667</v>
      </c>
      <c r="H52" s="2176">
        <f t="shared" si="221"/>
        <v>1.25</v>
      </c>
      <c r="I52" s="2176">
        <f t="shared" si="222"/>
        <v>1</v>
      </c>
      <c r="J52" s="2176">
        <f t="shared" si="201"/>
        <v>0.86206896551724133</v>
      </c>
      <c r="K52" s="2177">
        <f t="shared" si="223"/>
        <v>7.4294205052005943E-2</v>
      </c>
      <c r="L52" s="2003"/>
      <c r="M52" s="1950"/>
      <c r="N52" s="2415">
        <f t="shared" ref="N52" si="266">IF(N44&gt;$J$55,$J$52,IF(N44&lt;$J$55,(IF(N44&lt;0,0,N44*$K$52))))</f>
        <v>0.79383101911154441</v>
      </c>
      <c r="O52" s="2176">
        <f t="shared" ref="O52:T52" si="267">IF(O44&gt;$J$55,$J$52,IF(O44&lt;$J$55,(IF(O44&lt;0,0,O44*$K$52))))</f>
        <v>0</v>
      </c>
      <c r="P52" s="2176">
        <f t="shared" si="267"/>
        <v>0.86206896551724133</v>
      </c>
      <c r="Q52" s="2176">
        <f t="shared" si="267"/>
        <v>0.86206896551724133</v>
      </c>
      <c r="R52" s="2176">
        <f t="shared" si="267"/>
        <v>0.86206896551724133</v>
      </c>
      <c r="S52" s="2176">
        <f t="shared" si="267"/>
        <v>0.86206896551724133</v>
      </c>
      <c r="T52" s="2171">
        <f t="shared" si="267"/>
        <v>0</v>
      </c>
      <c r="U52" s="1951"/>
      <c r="V52" s="2169">
        <f t="shared" si="58"/>
        <v>4.2421068811805096</v>
      </c>
      <c r="W52" s="2176">
        <f>$J$52*0</f>
        <v>0</v>
      </c>
      <c r="X52" s="2171">
        <f t="shared" si="247"/>
        <v>4.2421068811805096</v>
      </c>
      <c r="Y52" s="1956"/>
      <c r="Z52" s="2169">
        <f t="shared" ref="Z52:AF52" si="268">IF(Z44&gt;$J$55,$J$52,IF(Z44&lt;$J$55,(IF(Z44&lt;0,0,Z44*$K$52))))</f>
        <v>0.76678792847261446</v>
      </c>
      <c r="AA52" s="2176">
        <f t="shared" si="268"/>
        <v>0</v>
      </c>
      <c r="AB52" s="2176">
        <f t="shared" si="268"/>
        <v>0</v>
      </c>
      <c r="AC52" s="2176">
        <f t="shared" si="268"/>
        <v>9.1267869037250315E-2</v>
      </c>
      <c r="AD52" s="2176">
        <f t="shared" si="268"/>
        <v>0.86206896551724133</v>
      </c>
      <c r="AE52" s="2176">
        <f t="shared" si="268"/>
        <v>0.86206896551724133</v>
      </c>
      <c r="AF52" s="2171">
        <f t="shared" si="268"/>
        <v>0</v>
      </c>
      <c r="AG52" s="1956"/>
      <c r="AH52" s="2169">
        <f t="shared" si="205"/>
        <v>2.5821937285443477</v>
      </c>
      <c r="AI52" s="2176">
        <f>$J$52*0</f>
        <v>0</v>
      </c>
      <c r="AJ52" s="2171">
        <f t="shared" si="206"/>
        <v>2.5821937285443477</v>
      </c>
      <c r="AK52" s="1956"/>
      <c r="AL52" s="2169">
        <f t="shared" ref="AL52:AM52" si="269">IF(AL44&gt;$J$55,$J$52,IF(AL44&lt;$J$55,(IF(AL44&lt;0,0,AL44*$K$52))))</f>
        <v>0.86206896551724133</v>
      </c>
      <c r="AM52" s="2176">
        <f t="shared" si="269"/>
        <v>0.78525003842803787</v>
      </c>
      <c r="AN52" s="2176">
        <f t="shared" ref="AN52:AO52" si="270">IF(AN44&gt;$J$55,$J$52,IF(AN44&lt;$J$55,(IF(AN44&lt;0,0,AN44*$K$52))))</f>
        <v>0.48996772044884035</v>
      </c>
      <c r="AO52" s="2176">
        <f t="shared" si="270"/>
        <v>0.86206896551724133</v>
      </c>
      <c r="AP52" s="2176">
        <f t="shared" ref="AP52:AQ52" si="271">IF(AP44&gt;$J$55,$J$52,IF(AP44&lt;$J$55,(IF(AP44&lt;0,0,AP44*$K$52))))</f>
        <v>0.35430650202387748</v>
      </c>
      <c r="AQ52" s="2176">
        <f t="shared" si="271"/>
        <v>0</v>
      </c>
      <c r="AR52" s="2171">
        <f t="shared" ref="AR52" si="272">IF(AR44&gt;$J$55,$J$52,IF(AR44&lt;$J$55,(IF(AR44&lt;0,0,AR44*$K$52))))</f>
        <v>0.62232284674898908</v>
      </c>
      <c r="AS52" s="1951"/>
      <c r="AT52" s="2169">
        <f t="shared" si="211"/>
        <v>3.975985038684227</v>
      </c>
      <c r="AU52" s="2176">
        <f>$J$52*0</f>
        <v>0</v>
      </c>
      <c r="AV52" s="2171">
        <f t="shared" si="212"/>
        <v>3.975985038684227</v>
      </c>
      <c r="AW52" s="1951"/>
      <c r="AX52" s="2169">
        <f t="shared" ref="AX52:BB52" si="273">IF(AX44&gt;$J$55,$J$52,IF(AX44&lt;$J$55,(IF(AX44&lt;0,0,AX44*$K$52))))</f>
        <v>0</v>
      </c>
      <c r="AY52" s="2169">
        <f t="shared" si="273"/>
        <v>0</v>
      </c>
      <c r="AZ52" s="2169">
        <f t="shared" si="273"/>
        <v>0.86206896551724133</v>
      </c>
      <c r="BA52" s="2169">
        <f t="shared" si="273"/>
        <v>0</v>
      </c>
      <c r="BB52" s="2169">
        <f t="shared" si="273"/>
        <v>0.86206896551724133</v>
      </c>
      <c r="BC52" s="2169">
        <f t="shared" ref="BC52:BD52" si="274">IF(BC44&gt;$J$55,$J$52,IF(BC44&lt;$J$55,(IF(BC44&lt;0,0,BC44*$K$52))))</f>
        <v>0.86206896551724133</v>
      </c>
      <c r="BD52" s="2171">
        <f t="shared" si="274"/>
        <v>0.86206896551724133</v>
      </c>
      <c r="BE52" s="1951"/>
      <c r="BF52" s="2169">
        <f t="shared" si="215"/>
        <v>3.4482758620689653</v>
      </c>
      <c r="BG52" s="2176">
        <f>$J$52*0</f>
        <v>0</v>
      </c>
      <c r="BH52" s="2171">
        <f t="shared" si="216"/>
        <v>3.4482758620689653</v>
      </c>
      <c r="BI52" s="1951"/>
      <c r="BJ52" s="2974">
        <f t="shared" ref="BJ52" si="275">IF(BJ44&gt;$J$55,$J$52,IF(BJ44&lt;$J$55,(IF(BJ44&lt;0,0,BJ44*$K$52))))</f>
        <v>0.86206896551724133</v>
      </c>
      <c r="BK52" s="1951"/>
      <c r="BL52" s="2169">
        <f t="shared" si="198"/>
        <v>0.86206896551724133</v>
      </c>
      <c r="BM52" s="2176">
        <f>$J$52*0</f>
        <v>0</v>
      </c>
      <c r="BN52" s="2171">
        <f t="shared" si="218"/>
        <v>0.86206896551724133</v>
      </c>
      <c r="BP52" s="2179"/>
      <c r="BQ52" s="2180"/>
      <c r="BR52" s="1900"/>
      <c r="BS52" s="2179">
        <f t="shared" si="199"/>
        <v>15.11063047599529</v>
      </c>
      <c r="BT52" s="2181">
        <f t="shared" si="200"/>
        <v>0.60442521903981161</v>
      </c>
      <c r="BU52" s="2353"/>
      <c r="BV52" s="4636"/>
      <c r="BX52" s="4627"/>
      <c r="BY52" s="2943"/>
      <c r="BZ52" s="2943"/>
      <c r="CA52" s="1946"/>
      <c r="CB52" s="1946"/>
      <c r="CC52" s="1946"/>
      <c r="CD52" s="1946"/>
      <c r="CE52" s="1946"/>
      <c r="CF52" s="1946"/>
      <c r="CG52" s="1946"/>
    </row>
    <row r="53" spans="1:85" s="1726" customFormat="1" x14ac:dyDescent="0.2">
      <c r="B53" s="2085">
        <v>45</v>
      </c>
      <c r="C53" s="2108" t="s">
        <v>119</v>
      </c>
      <c r="D53" s="2051"/>
      <c r="E53" s="2110">
        <v>4</v>
      </c>
      <c r="F53" s="2111">
        <f t="shared" si="219"/>
        <v>0.4</v>
      </c>
      <c r="G53" s="2111">
        <f t="shared" si="220"/>
        <v>0.26666666666666666</v>
      </c>
      <c r="H53" s="2111">
        <f t="shared" si="221"/>
        <v>0.2</v>
      </c>
      <c r="I53" s="2111">
        <f t="shared" si="222"/>
        <v>0.16</v>
      </c>
      <c r="J53" s="2111">
        <f t="shared" si="201"/>
        <v>0.13793103448275862</v>
      </c>
      <c r="K53" s="2112">
        <f t="shared" si="223"/>
        <v>1.188707280832095E-2</v>
      </c>
      <c r="L53" s="1931"/>
      <c r="M53" s="1924"/>
      <c r="N53" s="2284">
        <f t="shared" ref="N53" si="276">IF(N44&gt;$J$55,$J$53,IF(N44&lt;$J$55,(IF(N44&lt;0,0,N44*$K$53))))</f>
        <v>0.12701296305784709</v>
      </c>
      <c r="O53" s="2088">
        <f t="shared" ref="O53:T53" si="277">IF(O44&gt;$J$55,$J$53,IF(O44&lt;$J$55,(IF(O44&lt;0,0,O44*$K$53))))</f>
        <v>0</v>
      </c>
      <c r="P53" s="2088">
        <f t="shared" si="277"/>
        <v>0.13793103448275862</v>
      </c>
      <c r="Q53" s="2088">
        <f t="shared" si="277"/>
        <v>0.13793103448275862</v>
      </c>
      <c r="R53" s="2088">
        <f t="shared" si="277"/>
        <v>0.13793103448275862</v>
      </c>
      <c r="S53" s="2088">
        <f t="shared" si="277"/>
        <v>0.13793103448275862</v>
      </c>
      <c r="T53" s="2091">
        <f t="shared" si="277"/>
        <v>0</v>
      </c>
      <c r="U53" s="1814"/>
      <c r="V53" s="2090">
        <f>SUM(N53:T53)</f>
        <v>0.67873710098888163</v>
      </c>
      <c r="W53" s="2087">
        <f>$J$53*0</f>
        <v>0</v>
      </c>
      <c r="X53" s="2174">
        <f t="shared" si="247"/>
        <v>0.67873710098888163</v>
      </c>
      <c r="Y53" s="1766"/>
      <c r="Z53" s="2090">
        <f t="shared" ref="Z53:AF53" si="278">IF(Z44&gt;$J$55,$J$53,IF(Z44&lt;$J$55,(IF(Z44&lt;0,0,Z44*$K$53))))</f>
        <v>0.12268606855561831</v>
      </c>
      <c r="AA53" s="2087">
        <f t="shared" si="278"/>
        <v>0</v>
      </c>
      <c r="AB53" s="2087">
        <f t="shared" si="278"/>
        <v>0</v>
      </c>
      <c r="AC53" s="2087">
        <f t="shared" si="278"/>
        <v>1.4602859045960049E-2</v>
      </c>
      <c r="AD53" s="2087">
        <f t="shared" si="278"/>
        <v>0.13793103448275862</v>
      </c>
      <c r="AE53" s="2087">
        <f t="shared" si="278"/>
        <v>0.13793103448275862</v>
      </c>
      <c r="AF53" s="2091">
        <f t="shared" si="278"/>
        <v>0</v>
      </c>
      <c r="AG53" s="1766"/>
      <c r="AH53" s="2090">
        <f t="shared" si="205"/>
        <v>0.41315099656709559</v>
      </c>
      <c r="AI53" s="2087">
        <f>$J$53*0</f>
        <v>0</v>
      </c>
      <c r="AJ53" s="2174">
        <f t="shared" si="206"/>
        <v>0.41315099656709559</v>
      </c>
      <c r="AK53" s="1766"/>
      <c r="AL53" s="2090">
        <f t="shared" ref="AL53:AM53" si="279">IF(AL44&gt;$J$55,$J$53,IF(AL44&lt;$J$55,(IF(AL44&lt;0,0,AL44*$K$53))))</f>
        <v>0.13793103448275862</v>
      </c>
      <c r="AM53" s="2088">
        <f t="shared" si="279"/>
        <v>0.12564000614848606</v>
      </c>
      <c r="AN53" s="2088">
        <f t="shared" ref="AN53:AO53" si="280">IF(AN44&gt;$J$55,$J$53,IF(AN44&lt;$J$55,(IF(AN44&lt;0,0,AN44*$K$53))))</f>
        <v>7.8394835271814456E-2</v>
      </c>
      <c r="AO53" s="2088">
        <f t="shared" si="280"/>
        <v>0.13793103448275862</v>
      </c>
      <c r="AP53" s="2088">
        <f t="shared" ref="AP53:AQ53" si="281">IF(AP44&gt;$J$55,$J$53,IF(AP44&lt;$J$55,(IF(AP44&lt;0,0,AP44*$K$53))))</f>
        <v>5.668904032382039E-2</v>
      </c>
      <c r="AQ53" s="2088">
        <f t="shared" si="281"/>
        <v>0</v>
      </c>
      <c r="AR53" s="2091">
        <f t="shared" ref="AR53" si="282">IF(AR44&gt;$J$55,$J$53,IF(AR44&lt;$J$55,(IF(AR44&lt;0,0,AR44*$K$53))))</f>
        <v>9.9571655479838247E-2</v>
      </c>
      <c r="AS53" s="1814"/>
      <c r="AT53" s="2090">
        <f t="shared" si="211"/>
        <v>0.63615760618947648</v>
      </c>
      <c r="AU53" s="2087">
        <f>$J$53*0</f>
        <v>0</v>
      </c>
      <c r="AV53" s="2174">
        <f t="shared" si="212"/>
        <v>0.63615760618947648</v>
      </c>
      <c r="AW53" s="1814"/>
      <c r="AX53" s="2090">
        <f t="shared" ref="AX53:BB53" si="283">IF(AX44&gt;$J$55,$J$53,IF(AX44&lt;$J$55,(IF(AX44&lt;0,0,AX44*$K$53))))</f>
        <v>0</v>
      </c>
      <c r="AY53" s="2090">
        <f t="shared" si="283"/>
        <v>0</v>
      </c>
      <c r="AZ53" s="2090">
        <f t="shared" si="283"/>
        <v>0.13793103448275862</v>
      </c>
      <c r="BA53" s="2090">
        <f t="shared" si="283"/>
        <v>0</v>
      </c>
      <c r="BB53" s="2090">
        <f t="shared" si="283"/>
        <v>0.13793103448275862</v>
      </c>
      <c r="BC53" s="2090">
        <f t="shared" ref="BC53:BD53" si="284">IF(BC44&gt;$J$55,$J$53,IF(BC44&lt;$J$55,(IF(BC44&lt;0,0,BC44*$K$53))))</f>
        <v>0.13793103448275862</v>
      </c>
      <c r="BD53" s="2091">
        <f t="shared" si="284"/>
        <v>0.13793103448275862</v>
      </c>
      <c r="BE53" s="1814"/>
      <c r="BF53" s="2090">
        <f t="shared" si="215"/>
        <v>0.55172413793103448</v>
      </c>
      <c r="BG53" s="2087">
        <f>$J$53*0</f>
        <v>0</v>
      </c>
      <c r="BH53" s="2174">
        <f t="shared" si="216"/>
        <v>0.55172413793103448</v>
      </c>
      <c r="BI53" s="1814"/>
      <c r="BJ53" s="2973">
        <f t="shared" ref="BJ53" si="285">IF(BJ44&gt;$J$55,$J$53,IF(BJ44&lt;$J$55,(IF(BJ44&lt;0,0,BJ44*$K$53))))</f>
        <v>0.13793103448275862</v>
      </c>
      <c r="BK53" s="1814"/>
      <c r="BL53" s="2090">
        <f t="shared" si="198"/>
        <v>0.13793103448275862</v>
      </c>
      <c r="BM53" s="2087">
        <f>$J$53*0</f>
        <v>0</v>
      </c>
      <c r="BN53" s="2174">
        <f t="shared" si="218"/>
        <v>0.13793103448275862</v>
      </c>
      <c r="BP53" s="2092"/>
      <c r="BQ53" s="2093"/>
      <c r="BR53" s="1740"/>
      <c r="BS53" s="2092">
        <f t="shared" si="199"/>
        <v>2.4177008761592469</v>
      </c>
      <c r="BT53" s="2094">
        <f t="shared" si="200"/>
        <v>0.60442521903981172</v>
      </c>
      <c r="BU53" s="2351"/>
      <c r="BV53" s="4636"/>
      <c r="BX53" s="4627"/>
      <c r="BY53" s="2946"/>
      <c r="BZ53" s="1860"/>
      <c r="CA53" s="1860"/>
      <c r="CB53" s="1860"/>
      <c r="CC53" s="1860"/>
      <c r="CD53" s="1860"/>
      <c r="CE53" s="1860"/>
      <c r="CF53" s="1860"/>
      <c r="CG53" s="1860"/>
    </row>
    <row r="54" spans="1:85" s="1885" customFormat="1" ht="17.25" thickBot="1" x14ac:dyDescent="0.25">
      <c r="B54" s="2420">
        <v>46</v>
      </c>
      <c r="C54" s="2417" t="s">
        <v>237</v>
      </c>
      <c r="D54" s="2680"/>
      <c r="E54" s="2681">
        <v>0</v>
      </c>
      <c r="F54" s="2418">
        <f t="shared" si="219"/>
        <v>0</v>
      </c>
      <c r="G54" s="2418">
        <f t="shared" si="220"/>
        <v>0</v>
      </c>
      <c r="H54" s="2418">
        <f t="shared" si="221"/>
        <v>0</v>
      </c>
      <c r="I54" s="2418">
        <f t="shared" si="222"/>
        <v>0</v>
      </c>
      <c r="J54" s="2418">
        <f t="shared" si="201"/>
        <v>0</v>
      </c>
      <c r="K54" s="2419">
        <f t="shared" si="223"/>
        <v>0</v>
      </c>
      <c r="L54" s="2003"/>
      <c r="M54" s="1950"/>
      <c r="N54" s="2682">
        <f t="shared" ref="N54" si="286">IF(N44&gt;$J$55,$J$54,IF(N44&lt;$J$55,(IF(N44&lt;0,0,N44*$K$54))))</f>
        <v>0</v>
      </c>
      <c r="O54" s="2418">
        <f t="shared" ref="O54:T54" si="287">IF(O44&gt;$J$55,$J$54,IF(O44&lt;$J$55,(IF(O44&lt;0,0,O44*$K$54))))</f>
        <v>0</v>
      </c>
      <c r="P54" s="2418">
        <f t="shared" si="287"/>
        <v>0</v>
      </c>
      <c r="Q54" s="2418">
        <f t="shared" si="287"/>
        <v>0</v>
      </c>
      <c r="R54" s="2418">
        <f t="shared" si="287"/>
        <v>0</v>
      </c>
      <c r="S54" s="2418">
        <f t="shared" si="287"/>
        <v>0</v>
      </c>
      <c r="T54" s="2683">
        <f t="shared" si="287"/>
        <v>0</v>
      </c>
      <c r="U54" s="1951"/>
      <c r="V54" s="2179">
        <f t="shared" ref="V54:V66" si="288">SUM(N54:T54)</f>
        <v>0</v>
      </c>
      <c r="W54" s="2681">
        <f>$J$54*0</f>
        <v>0</v>
      </c>
      <c r="X54" s="2684">
        <f t="shared" si="247"/>
        <v>0</v>
      </c>
      <c r="Y54" s="1956"/>
      <c r="Z54" s="2179">
        <f t="shared" ref="Z54:AF54" si="289">IF(Z44&gt;$J$55,$J$54,IF(Z44&lt;$J$55,(IF(Z44&lt;0,0,Z44*$K$54))))</f>
        <v>0</v>
      </c>
      <c r="AA54" s="2681">
        <f t="shared" si="289"/>
        <v>0</v>
      </c>
      <c r="AB54" s="2681">
        <f t="shared" si="289"/>
        <v>0</v>
      </c>
      <c r="AC54" s="2681">
        <f t="shared" si="289"/>
        <v>0</v>
      </c>
      <c r="AD54" s="2681">
        <f t="shared" si="289"/>
        <v>0</v>
      </c>
      <c r="AE54" s="2681">
        <f t="shared" si="289"/>
        <v>0</v>
      </c>
      <c r="AF54" s="2683">
        <f t="shared" si="289"/>
        <v>0</v>
      </c>
      <c r="AG54" s="1956"/>
      <c r="AH54" s="2179">
        <f t="shared" si="205"/>
        <v>0</v>
      </c>
      <c r="AI54" s="2681">
        <f>$J$54*0</f>
        <v>0</v>
      </c>
      <c r="AJ54" s="2684">
        <f t="shared" si="206"/>
        <v>0</v>
      </c>
      <c r="AK54" s="1956"/>
      <c r="AL54" s="2179">
        <f t="shared" ref="AL54:AM54" si="290">IF(AL44&gt;$J$55,$J$54,IF(AL44&lt;$J$55,(IF(AL44&lt;0,0,AL44*$K$54))))</f>
        <v>0</v>
      </c>
      <c r="AM54" s="2418">
        <f t="shared" si="290"/>
        <v>0</v>
      </c>
      <c r="AN54" s="2418">
        <f t="shared" ref="AN54:AO54" si="291">IF(AN44&gt;$J$55,$J$54,IF(AN44&lt;$J$55,(IF(AN44&lt;0,0,AN44*$K$54))))</f>
        <v>0</v>
      </c>
      <c r="AO54" s="2418">
        <f t="shared" si="291"/>
        <v>0</v>
      </c>
      <c r="AP54" s="2418">
        <f t="shared" ref="AP54:AQ54" si="292">IF(AP44&gt;$J$55,$J$54,IF(AP44&lt;$J$55,(IF(AP44&lt;0,0,AP44*$K$54))))</f>
        <v>0</v>
      </c>
      <c r="AQ54" s="2418">
        <f t="shared" si="292"/>
        <v>0</v>
      </c>
      <c r="AR54" s="2683">
        <f t="shared" ref="AR54" si="293">IF(AR44&gt;$J$55,$J$54,IF(AR44&lt;$J$55,(IF(AR44&lt;0,0,AR44*$K$54))))</f>
        <v>0</v>
      </c>
      <c r="AS54" s="1951"/>
      <c r="AT54" s="2169">
        <f t="shared" si="211"/>
        <v>0</v>
      </c>
      <c r="AU54" s="2170">
        <f>$J$54*0</f>
        <v>0</v>
      </c>
      <c r="AV54" s="2178">
        <f t="shared" si="212"/>
        <v>0</v>
      </c>
      <c r="AW54" s="1951"/>
      <c r="AX54" s="2187">
        <f t="shared" ref="AX54:BB54" si="294">IF(AX44&gt;$J$55,$J$54,IF(AX44&lt;$J$55,(IF(AX44&lt;0,0,AX44*$K$54))))</f>
        <v>0</v>
      </c>
      <c r="AY54" s="2187">
        <f t="shared" si="294"/>
        <v>0</v>
      </c>
      <c r="AZ54" s="2187">
        <f t="shared" si="294"/>
        <v>0</v>
      </c>
      <c r="BA54" s="2187">
        <f t="shared" si="294"/>
        <v>0</v>
      </c>
      <c r="BB54" s="2187">
        <f t="shared" si="294"/>
        <v>0</v>
      </c>
      <c r="BC54" s="2187">
        <f t="shared" ref="BC54:BD54" si="295">IF(BC44&gt;$J$55,$J$54,IF(BC44&lt;$J$55,(IF(BC44&lt;0,0,BC44*$K$54))))</f>
        <v>0</v>
      </c>
      <c r="BD54" s="2683">
        <f t="shared" si="295"/>
        <v>0</v>
      </c>
      <c r="BE54" s="1951"/>
      <c r="BF54" s="2169">
        <f t="shared" si="215"/>
        <v>0</v>
      </c>
      <c r="BG54" s="2170">
        <f>$J$54*0</f>
        <v>0</v>
      </c>
      <c r="BH54" s="2178">
        <f t="shared" si="216"/>
        <v>0</v>
      </c>
      <c r="BI54" s="1951"/>
      <c r="BJ54" s="2975">
        <f t="shared" ref="BJ54" si="296">IF(BJ44&gt;$J$55,$J$54,IF(BJ44&lt;$J$55,(IF(BJ44&lt;0,0,BJ44*$K$54))))</f>
        <v>0</v>
      </c>
      <c r="BK54" s="1951"/>
      <c r="BL54" s="2179">
        <f t="shared" si="198"/>
        <v>0</v>
      </c>
      <c r="BM54" s="2681">
        <f>$J$54*0</f>
        <v>0</v>
      </c>
      <c r="BN54" s="2684">
        <f t="shared" si="218"/>
        <v>0</v>
      </c>
      <c r="BP54" s="2179"/>
      <c r="BQ54" s="2180"/>
      <c r="BR54" s="1900"/>
      <c r="BS54" s="2179">
        <f t="shared" si="199"/>
        <v>0</v>
      </c>
      <c r="BT54" s="2181" t="e">
        <f t="shared" si="200"/>
        <v>#DIV/0!</v>
      </c>
      <c r="BU54" s="2353"/>
      <c r="BV54" s="4636"/>
      <c r="BX54" s="4627"/>
      <c r="BY54" s="2943"/>
      <c r="BZ54" s="1946"/>
      <c r="CA54" s="1946"/>
      <c r="CB54" s="1946"/>
      <c r="CC54" s="1946"/>
      <c r="CD54" s="1946"/>
      <c r="CE54" s="1946"/>
      <c r="CF54" s="1946"/>
      <c r="CG54" s="1946"/>
    </row>
    <row r="55" spans="1:85" s="1726" customFormat="1" ht="17.25" thickBot="1" x14ac:dyDescent="0.25">
      <c r="B55" s="2049"/>
      <c r="C55" s="2190" t="s">
        <v>192</v>
      </c>
      <c r="D55" s="2051"/>
      <c r="E55" s="2056">
        <f>SUM(E46:E54)</f>
        <v>336.5</v>
      </c>
      <c r="F55" s="2053"/>
      <c r="G55" s="2053"/>
      <c r="H55" s="2053"/>
      <c r="I55" s="2053"/>
      <c r="J55" s="2053">
        <f t="shared" ref="J55:K55" si="297">SUM(J46:J54)</f>
        <v>11.603448275862071</v>
      </c>
      <c r="K55" s="2191">
        <f t="shared" si="297"/>
        <v>1</v>
      </c>
      <c r="L55" s="1931"/>
      <c r="M55" s="1924"/>
      <c r="N55" s="2642">
        <f t="shared" ref="N55" si="298">SUM(N46:N54)</f>
        <v>10.684965517241388</v>
      </c>
      <c r="O55" s="2053">
        <f t="shared" ref="O55:T55" si="299">SUM(O46:O54)</f>
        <v>0</v>
      </c>
      <c r="P55" s="2053">
        <f t="shared" si="299"/>
        <v>11.603448275862071</v>
      </c>
      <c r="Q55" s="2053">
        <f t="shared" si="299"/>
        <v>11.603448275862071</v>
      </c>
      <c r="R55" s="2053">
        <f t="shared" si="299"/>
        <v>11.603448275862071</v>
      </c>
      <c r="S55" s="2053">
        <f t="shared" si="299"/>
        <v>11.603448275862071</v>
      </c>
      <c r="T55" s="2057">
        <f t="shared" si="299"/>
        <v>0</v>
      </c>
      <c r="U55" s="1814"/>
      <c r="V55" s="2056">
        <f>SUM(V46:V54)</f>
        <v>57.098758620689658</v>
      </c>
      <c r="W55" s="2052">
        <f t="shared" ref="W55" si="300">SUM(W46:W54)</f>
        <v>0</v>
      </c>
      <c r="X55" s="2192">
        <f>SUM(X46:X54)</f>
        <v>57.098758620689658</v>
      </c>
      <c r="Y55" s="1766"/>
      <c r="Z55" s="2056">
        <f t="shared" ref="Z55:AF55" si="301">SUM(Z46:Z54)</f>
        <v>10.32096551724139</v>
      </c>
      <c r="AA55" s="2052">
        <f t="shared" si="301"/>
        <v>0</v>
      </c>
      <c r="AB55" s="2052">
        <f t="shared" si="301"/>
        <v>0</v>
      </c>
      <c r="AC55" s="2052">
        <f t="shared" si="301"/>
        <v>1.2284655172413894</v>
      </c>
      <c r="AD55" s="2052">
        <f t="shared" si="301"/>
        <v>11.603448275862071</v>
      </c>
      <c r="AE55" s="2052">
        <f t="shared" si="301"/>
        <v>11.603448275862071</v>
      </c>
      <c r="AF55" s="2057">
        <f t="shared" si="301"/>
        <v>0</v>
      </c>
      <c r="AG55" s="1766"/>
      <c r="AH55" s="2056">
        <f>SUM(AH46:AH54)</f>
        <v>34.756327586206922</v>
      </c>
      <c r="AI55" s="2052">
        <f>SUM(AI46:AI54)</f>
        <v>0</v>
      </c>
      <c r="AJ55" s="2192">
        <f>SUM(AJ46:AJ54)</f>
        <v>34.756327586206922</v>
      </c>
      <c r="AK55" s="1766"/>
      <c r="AL55" s="2056">
        <f t="shared" ref="AL55:AM55" si="302">SUM(AL46:AL54)</f>
        <v>11.603448275862071</v>
      </c>
      <c r="AM55" s="2053">
        <f t="shared" si="302"/>
        <v>10.56946551724139</v>
      </c>
      <c r="AN55" s="2053">
        <f t="shared" ref="AN55:AO55" si="303">SUM(AN46:AN54)</f>
        <v>6.5949655172413912</v>
      </c>
      <c r="AO55" s="2053">
        <f t="shared" si="303"/>
        <v>11.603448275862071</v>
      </c>
      <c r="AP55" s="2053">
        <f t="shared" ref="AP55:AQ55" si="304">SUM(AP46:AP54)</f>
        <v>4.7689655172413907</v>
      </c>
      <c r="AQ55" s="2053">
        <f t="shared" si="304"/>
        <v>0</v>
      </c>
      <c r="AR55" s="2057">
        <f t="shared" ref="AR55" si="305">SUM(AR46:AR54)</f>
        <v>8.3764655172413924</v>
      </c>
      <c r="AS55" s="1814"/>
      <c r="AT55" s="2056">
        <f>SUM(AT46:AT54)</f>
        <v>53.516758620689707</v>
      </c>
      <c r="AU55" s="2052">
        <f>SUM(AU46:AU54)</f>
        <v>0</v>
      </c>
      <c r="AV55" s="2192">
        <f>SUM(AV46:AV54)</f>
        <v>53.516758620689707</v>
      </c>
      <c r="AW55" s="1814"/>
      <c r="AX55" s="2056">
        <f t="shared" ref="AX55:BB55" si="306">SUM(AX46:AX54)</f>
        <v>0</v>
      </c>
      <c r="AY55" s="2056">
        <f t="shared" si="306"/>
        <v>0</v>
      </c>
      <c r="AZ55" s="2056">
        <f t="shared" si="306"/>
        <v>11.603448275862071</v>
      </c>
      <c r="BA55" s="2056">
        <f t="shared" si="306"/>
        <v>0</v>
      </c>
      <c r="BB55" s="2056">
        <f t="shared" si="306"/>
        <v>11.603448275862071</v>
      </c>
      <c r="BC55" s="2056">
        <f t="shared" ref="BC55:BD55" si="307">SUM(BC46:BC54)</f>
        <v>11.603448275862071</v>
      </c>
      <c r="BD55" s="2057">
        <f t="shared" si="307"/>
        <v>11.603448275862071</v>
      </c>
      <c r="BE55" s="1814"/>
      <c r="BF55" s="2056">
        <f>SUM(BF46:BF54)</f>
        <v>46.413793103448285</v>
      </c>
      <c r="BG55" s="2052">
        <f>SUM(BG46:BG54)</f>
        <v>0</v>
      </c>
      <c r="BH55" s="2192">
        <f>SUM(BH46:BH54)</f>
        <v>46.413793103448285</v>
      </c>
      <c r="BI55" s="1814"/>
      <c r="BJ55" s="2976">
        <f t="shared" ref="BJ55" si="308">SUM(BJ46:BJ54)</f>
        <v>11.603448275862071</v>
      </c>
      <c r="BK55" s="1814"/>
      <c r="BL55" s="2056">
        <f>SUM(BL46:BL54)</f>
        <v>11.603448275862071</v>
      </c>
      <c r="BM55" s="2052">
        <f>SUM(BM46:BM54)</f>
        <v>0</v>
      </c>
      <c r="BN55" s="2192">
        <f>SUM(BN46:BN54)</f>
        <v>11.603448275862071</v>
      </c>
      <c r="BP55" s="2056">
        <f>X55+AJ55+AV55</f>
        <v>145.37184482758627</v>
      </c>
      <c r="BQ55" s="2253"/>
      <c r="BR55" s="1740"/>
      <c r="BS55" s="2056">
        <f>SUM(BS46:BS54)</f>
        <v>203.38908620689662</v>
      </c>
      <c r="BT55" s="2054">
        <f t="shared" si="200"/>
        <v>0.60442521903981161</v>
      </c>
      <c r="BU55" s="2351"/>
      <c r="BV55" s="4637"/>
      <c r="BX55" s="4627"/>
      <c r="BY55" s="2946"/>
      <c r="BZ55" s="1860"/>
      <c r="CA55" s="1860"/>
      <c r="CB55" s="1860"/>
      <c r="CC55" s="1860"/>
      <c r="CD55" s="1860"/>
      <c r="CE55" s="1860"/>
      <c r="CF55" s="1860"/>
      <c r="CG55" s="1860"/>
    </row>
    <row r="56" spans="1:85" s="1810" customFormat="1" ht="4.5" customHeight="1" thickBot="1" x14ac:dyDescent="0.25">
      <c r="B56" s="1817"/>
      <c r="C56" s="1817"/>
      <c r="D56" s="1817"/>
      <c r="E56" s="1814"/>
      <c r="F56" s="1814"/>
      <c r="G56" s="1814"/>
      <c r="H56" s="1814"/>
      <c r="I56" s="1814"/>
      <c r="J56" s="1814"/>
      <c r="K56" s="2131"/>
      <c r="L56" s="1924"/>
      <c r="M56" s="1924"/>
      <c r="N56" s="2940"/>
      <c r="O56" s="2940"/>
      <c r="P56" s="2940"/>
      <c r="Q56" s="2940"/>
      <c r="R56" s="2940"/>
      <c r="S56" s="2940"/>
      <c r="T56" s="2940"/>
      <c r="U56" s="1814"/>
      <c r="V56" s="1814"/>
      <c r="W56" s="1814"/>
      <c r="X56" s="1814"/>
      <c r="Y56" s="1766"/>
      <c r="Z56" s="2940"/>
      <c r="AA56" s="2940"/>
      <c r="AB56" s="2940"/>
      <c r="AC56" s="2940"/>
      <c r="AD56" s="2940"/>
      <c r="AE56" s="2940"/>
      <c r="AF56" s="2940"/>
      <c r="AG56" s="1766"/>
      <c r="AH56" s="1814"/>
      <c r="AI56" s="1814"/>
      <c r="AJ56" s="1814"/>
      <c r="AK56" s="1766"/>
      <c r="AL56" s="2940"/>
      <c r="AM56" s="2940"/>
      <c r="AN56" s="2980"/>
      <c r="AO56" s="2996"/>
      <c r="AP56" s="2999"/>
      <c r="AQ56" s="2999"/>
      <c r="AR56" s="2940"/>
      <c r="AS56" s="1814"/>
      <c r="AT56" s="2137"/>
      <c r="AU56" s="2137"/>
      <c r="AV56" s="2137"/>
      <c r="AW56" s="1814"/>
      <c r="AX56" s="2948"/>
      <c r="AY56" s="3004"/>
      <c r="AZ56" s="3004"/>
      <c r="BA56" s="3004"/>
      <c r="BB56" s="3004"/>
      <c r="BC56" s="3007"/>
      <c r="BD56" s="2948"/>
      <c r="BE56" s="1814"/>
      <c r="BF56" s="2137"/>
      <c r="BG56" s="2137"/>
      <c r="BH56" s="2137"/>
      <c r="BI56" s="1814"/>
      <c r="BJ56" s="2940"/>
      <c r="BK56" s="1814"/>
      <c r="BL56" s="1814"/>
      <c r="BM56" s="1814"/>
      <c r="BN56" s="1814"/>
      <c r="BP56" s="1814"/>
      <c r="BQ56" s="2132"/>
      <c r="BR56" s="1817"/>
      <c r="BS56" s="1814"/>
      <c r="BT56" s="1830"/>
      <c r="BU56" s="1830"/>
      <c r="BV56" s="2643"/>
      <c r="BY56" s="1761"/>
    </row>
    <row r="57" spans="1:85" s="1906" customFormat="1" ht="17.25" thickBot="1" x14ac:dyDescent="0.25">
      <c r="B57" s="1960"/>
      <c r="C57" s="1960" t="s">
        <v>143</v>
      </c>
      <c r="D57" s="1960"/>
      <c r="E57" s="2687"/>
      <c r="F57" s="1951"/>
      <c r="G57" s="1951"/>
      <c r="H57" s="1951"/>
      <c r="I57" s="1951"/>
      <c r="J57" s="1951"/>
      <c r="K57" s="2339"/>
      <c r="L57" s="2003"/>
      <c r="M57" s="1950"/>
      <c r="N57" s="2120">
        <f t="shared" ref="N57" si="309">N44-N55</f>
        <v>0</v>
      </c>
      <c r="O57" s="2123">
        <f t="shared" ref="O57:T57" si="310">O44-O55</f>
        <v>-8.8900344827586082</v>
      </c>
      <c r="P57" s="2123">
        <f t="shared" si="310"/>
        <v>3.9245172413793199</v>
      </c>
      <c r="Q57" s="2123">
        <f t="shared" si="310"/>
        <v>15.955017241379323</v>
      </c>
      <c r="R57" s="2123">
        <f t="shared" si="310"/>
        <v>16.662517241379319</v>
      </c>
      <c r="S57" s="2123">
        <f t="shared" si="310"/>
        <v>10.209517241379316</v>
      </c>
      <c r="T57" s="2124">
        <f t="shared" si="310"/>
        <v>-18.44853448275861</v>
      </c>
      <c r="U57" s="1951"/>
      <c r="V57" s="1951"/>
      <c r="W57" s="1951"/>
      <c r="X57" s="1951"/>
      <c r="Y57" s="1956"/>
      <c r="Z57" s="2120">
        <f t="shared" ref="Z57:AF57" si="311">Z44-Z55</f>
        <v>0</v>
      </c>
      <c r="AA57" s="2123">
        <f t="shared" si="311"/>
        <v>-5.5145344827586058</v>
      </c>
      <c r="AB57" s="2123">
        <f t="shared" si="311"/>
        <v>-32.345534482758609</v>
      </c>
      <c r="AC57" s="2123">
        <f t="shared" si="311"/>
        <v>0</v>
      </c>
      <c r="AD57" s="2123">
        <f t="shared" si="311"/>
        <v>16.860517241379313</v>
      </c>
      <c r="AE57" s="2123">
        <f t="shared" si="311"/>
        <v>21.369517241379313</v>
      </c>
      <c r="AF57" s="2124">
        <f t="shared" si="311"/>
        <v>-6.2985344827586118</v>
      </c>
      <c r="AG57" s="1956"/>
      <c r="AH57" s="1951"/>
      <c r="AI57" s="1951"/>
      <c r="AJ57" s="1951"/>
      <c r="AK57" s="1956"/>
      <c r="AL57" s="2120">
        <f t="shared" ref="AL57:AM57" si="312">AL44-AL55</f>
        <v>18.923017241379313</v>
      </c>
      <c r="AM57" s="2123">
        <f t="shared" si="312"/>
        <v>0</v>
      </c>
      <c r="AN57" s="2123">
        <f t="shared" ref="AN57:AO57" si="313">AN44-AN55</f>
        <v>0</v>
      </c>
      <c r="AO57" s="2123">
        <f t="shared" si="313"/>
        <v>4.0745172413793185</v>
      </c>
      <c r="AP57" s="2123">
        <f t="shared" ref="AP57:AQ57" si="314">AP44-AP55</f>
        <v>0</v>
      </c>
      <c r="AQ57" s="2123">
        <f t="shared" si="314"/>
        <v>-4.0365344827586114</v>
      </c>
      <c r="AR57" s="2124">
        <f t="shared" ref="AR57" si="315">AR44-AR55</f>
        <v>0</v>
      </c>
      <c r="AS57" s="1951"/>
      <c r="AT57" s="1951"/>
      <c r="AU57" s="1951"/>
      <c r="AV57" s="1951"/>
      <c r="AW57" s="1951"/>
      <c r="AX57" s="2120">
        <f t="shared" ref="AX57:BB57" si="316">AX44-AX55</f>
        <v>-1.1080344827586117</v>
      </c>
      <c r="AY57" s="2120">
        <f t="shared" si="316"/>
        <v>-7.8460344827586113</v>
      </c>
      <c r="AZ57" s="2120">
        <f t="shared" si="316"/>
        <v>16.483517241379317</v>
      </c>
      <c r="BA57" s="2120">
        <f t="shared" si="316"/>
        <v>-13.288534482758607</v>
      </c>
      <c r="BB57" s="2120">
        <f t="shared" si="316"/>
        <v>8.9895172413793176</v>
      </c>
      <c r="BC57" s="2120">
        <f t="shared" ref="BC57:BD57" si="317">BC44-BC55</f>
        <v>8.9895172413793176</v>
      </c>
      <c r="BD57" s="2124">
        <f t="shared" si="317"/>
        <v>36.550017241379322</v>
      </c>
      <c r="BE57" s="1951"/>
      <c r="BF57" s="1951"/>
      <c r="BG57" s="1951"/>
      <c r="BH57" s="1951"/>
      <c r="BI57" s="1951"/>
      <c r="BJ57" s="2120">
        <f t="shared" ref="BJ57" si="318">BJ44-BJ55</f>
        <v>14.651017241379321</v>
      </c>
      <c r="BK57" s="1951"/>
      <c r="BL57" s="1951"/>
      <c r="BM57" s="1951"/>
      <c r="BN57" s="1951"/>
      <c r="BP57" s="2007"/>
      <c r="BQ57" s="2688"/>
      <c r="BR57" s="1960"/>
      <c r="BS57" s="2007"/>
      <c r="BT57" s="2008"/>
      <c r="BU57" s="1962"/>
      <c r="BV57" s="2689"/>
      <c r="BY57" s="1905"/>
    </row>
    <row r="58" spans="1:85" s="1810" customFormat="1" ht="4.5" customHeight="1" thickBot="1" x14ac:dyDescent="0.25">
      <c r="B58" s="1817"/>
      <c r="C58" s="1817"/>
      <c r="D58" s="1817"/>
      <c r="E58" s="1814"/>
      <c r="F58" s="1814"/>
      <c r="G58" s="1814"/>
      <c r="H58" s="1814"/>
      <c r="I58" s="1814"/>
      <c r="J58" s="1814"/>
      <c r="K58" s="2131"/>
      <c r="L58" s="1924"/>
      <c r="M58" s="1924"/>
      <c r="N58" s="2137"/>
      <c r="O58" s="2137"/>
      <c r="P58" s="2137"/>
      <c r="Q58" s="2137"/>
      <c r="R58" s="2137"/>
      <c r="S58" s="2137"/>
      <c r="T58" s="2137"/>
      <c r="U58" s="1814"/>
      <c r="V58" s="1814"/>
      <c r="W58" s="1814"/>
      <c r="X58" s="1814"/>
      <c r="Y58" s="1766"/>
      <c r="Z58" s="2948"/>
      <c r="AA58" s="2948"/>
      <c r="AB58" s="2948"/>
      <c r="AC58" s="2948"/>
      <c r="AD58" s="2948"/>
      <c r="AE58" s="2948"/>
      <c r="AF58" s="2948"/>
      <c r="AG58" s="1766"/>
      <c r="AH58" s="1814"/>
      <c r="AI58" s="1814"/>
      <c r="AJ58" s="1814"/>
      <c r="AK58" s="1766"/>
      <c r="AL58" s="2137"/>
      <c r="AM58" s="2137"/>
      <c r="AN58" s="2137"/>
      <c r="AO58" s="2137"/>
      <c r="AP58" s="2137"/>
      <c r="AQ58" s="2137"/>
      <c r="AR58" s="2137"/>
      <c r="AS58" s="1814"/>
      <c r="AT58" s="1814"/>
      <c r="AU58" s="1814"/>
      <c r="AV58" s="1814"/>
      <c r="AW58" s="1814"/>
      <c r="AX58" s="2137"/>
      <c r="AY58" s="2137"/>
      <c r="AZ58" s="2137"/>
      <c r="BA58" s="2137"/>
      <c r="BB58" s="2137"/>
      <c r="BC58" s="2137"/>
      <c r="BD58" s="2137"/>
      <c r="BE58" s="1814"/>
      <c r="BF58" s="1814"/>
      <c r="BG58" s="1814"/>
      <c r="BH58" s="1814"/>
      <c r="BI58" s="1814"/>
      <c r="BJ58" s="2137"/>
      <c r="BK58" s="1814"/>
      <c r="BL58" s="1814"/>
      <c r="BM58" s="1814"/>
      <c r="BN58" s="1814"/>
      <c r="BP58" s="2137"/>
      <c r="BQ58" s="2138"/>
      <c r="BR58" s="1817"/>
      <c r="BS58" s="2137"/>
      <c r="BT58" s="2139"/>
      <c r="BU58" s="1830"/>
      <c r="BV58" s="2644"/>
      <c r="BY58" s="1761"/>
    </row>
    <row r="59" spans="1:85" s="1740" customFormat="1" ht="15.75" x14ac:dyDescent="0.2">
      <c r="A59" s="2466"/>
      <c r="B59" s="2444">
        <v>47</v>
      </c>
      <c r="C59" s="2281" t="s">
        <v>132</v>
      </c>
      <c r="D59" s="1817"/>
      <c r="E59" s="2067">
        <v>465</v>
      </c>
      <c r="F59" s="2065">
        <f>E59/10</f>
        <v>46.5</v>
      </c>
      <c r="G59" s="2065">
        <f>E59/15</f>
        <v>31</v>
      </c>
      <c r="H59" s="2065">
        <f>E59/20</f>
        <v>23.25</v>
      </c>
      <c r="I59" s="2065">
        <f>E59/25</f>
        <v>18.600000000000001</v>
      </c>
      <c r="J59" s="2065">
        <f t="shared" ref="J59:J67" si="319">E59/29</f>
        <v>16.03448275862069</v>
      </c>
      <c r="K59" s="2066">
        <f t="shared" ref="K59:K67" si="320">E59/$E$68</f>
        <v>0.27944711538461536</v>
      </c>
      <c r="L59" s="2465"/>
      <c r="M59" s="2131"/>
      <c r="N59" s="2067">
        <f t="shared" ref="N59" si="321">IF(N57&gt;$J$68,$J$59,IF(N57&lt;$J$68,(IF(N57&lt;0,0,N57*$K$59))))</f>
        <v>0</v>
      </c>
      <c r="O59" s="2065">
        <f t="shared" ref="O59:T59" si="322">IF(O57&gt;$J$68,$J$59,IF(O57&lt;$J$68,(IF(O57&lt;0,0,O57*$K$59))))</f>
        <v>0</v>
      </c>
      <c r="P59" s="2065">
        <f t="shared" si="322"/>
        <v>1.0966950223806391</v>
      </c>
      <c r="Q59" s="2065">
        <f t="shared" si="322"/>
        <v>4.458583544015255</v>
      </c>
      <c r="R59" s="2065">
        <f t="shared" si="322"/>
        <v>4.6562923781498693</v>
      </c>
      <c r="S59" s="2065">
        <f t="shared" si="322"/>
        <v>2.8530201425729458</v>
      </c>
      <c r="T59" s="2069">
        <f t="shared" si="322"/>
        <v>0</v>
      </c>
      <c r="U59" s="1814"/>
      <c r="V59" s="2067">
        <f t="shared" si="288"/>
        <v>13.064591087118709</v>
      </c>
      <c r="W59" s="2068">
        <f>$J$59*0</f>
        <v>0</v>
      </c>
      <c r="X59" s="2070">
        <f t="shared" si="247"/>
        <v>13.064591087118709</v>
      </c>
      <c r="Y59" s="1814"/>
      <c r="Z59" s="2090">
        <f t="shared" ref="Z59:AF59" si="323">IF(Z57&gt;$J$68,$J$59,IF(Z57&lt;$J$68,(IF(Z57&lt;0,0,Z57*$K$59))))</f>
        <v>0</v>
      </c>
      <c r="AA59" s="2087">
        <f t="shared" si="323"/>
        <v>0</v>
      </c>
      <c r="AB59" s="2087">
        <f t="shared" si="323"/>
        <v>0</v>
      </c>
      <c r="AC59" s="2087">
        <f t="shared" si="323"/>
        <v>0</v>
      </c>
      <c r="AD59" s="2087">
        <f t="shared" si="323"/>
        <v>4.7116229069960216</v>
      </c>
      <c r="AE59" s="2087">
        <f t="shared" si="323"/>
        <v>5.9716499502652525</v>
      </c>
      <c r="AF59" s="2091">
        <f t="shared" si="323"/>
        <v>0</v>
      </c>
      <c r="AG59" s="1814"/>
      <c r="AH59" s="2067">
        <f t="shared" si="205"/>
        <v>10.683272857261274</v>
      </c>
      <c r="AI59" s="2068">
        <f>$J$59*0</f>
        <v>0</v>
      </c>
      <c r="AJ59" s="2070">
        <f>AH59-AI59</f>
        <v>10.683272857261274</v>
      </c>
      <c r="AK59" s="1814"/>
      <c r="AL59" s="2067">
        <f t="shared" ref="AL59:AM59" si="324">IF(AL57&gt;$J$68,$J$59,IF(AL57&lt;$J$68,(IF(AL57&lt;0,0,AL57*$K$59))))</f>
        <v>5.2879825824767908</v>
      </c>
      <c r="AM59" s="2065">
        <f t="shared" si="324"/>
        <v>0</v>
      </c>
      <c r="AN59" s="2065">
        <f t="shared" ref="AN59:AO59" si="325">IF(AN57&gt;$J$68,$J$59,IF(AN57&lt;$J$68,(IF(AN57&lt;0,0,AN57*$K$59))))</f>
        <v>0</v>
      </c>
      <c r="AO59" s="2065">
        <f t="shared" si="325"/>
        <v>1.1386120896883312</v>
      </c>
      <c r="AP59" s="2065">
        <f t="shared" ref="AP59:AQ59" si="326">IF(AP57&gt;$J$68,$J$59,IF(AP57&lt;$J$68,(IF(AP57&lt;0,0,AP57*$K$59))))</f>
        <v>0</v>
      </c>
      <c r="AQ59" s="2065">
        <f t="shared" si="326"/>
        <v>0</v>
      </c>
      <c r="AR59" s="2069">
        <f t="shared" ref="AR59" si="327">IF(AR57&gt;$J$68,$J$59,IF(AR57&lt;$J$68,(IF(AR57&lt;0,0,AR57*$K$59))))</f>
        <v>0</v>
      </c>
      <c r="AS59" s="1814"/>
      <c r="AT59" s="2067">
        <f>SUM(AL59:AR59)</f>
        <v>6.4265946721651215</v>
      </c>
      <c r="AU59" s="2068">
        <f>$J$59*0</f>
        <v>0</v>
      </c>
      <c r="AV59" s="2070">
        <f>AT59-AU59</f>
        <v>6.4265946721651215</v>
      </c>
      <c r="AW59" s="1814"/>
      <c r="AX59" s="2067">
        <f t="shared" ref="AX59:BB59" si="328">IF(AX57&gt;$J$68,$J$59,IF(AX57&lt;$J$68,(IF(AX57&lt;0,0,AX57*$K$59))))</f>
        <v>0</v>
      </c>
      <c r="AY59" s="2067">
        <f t="shared" si="328"/>
        <v>0</v>
      </c>
      <c r="AZ59" s="2067">
        <f t="shared" si="328"/>
        <v>4.6062713444960233</v>
      </c>
      <c r="BA59" s="2067">
        <f t="shared" si="328"/>
        <v>0</v>
      </c>
      <c r="BB59" s="2067">
        <f t="shared" si="328"/>
        <v>2.5120946618037152</v>
      </c>
      <c r="BC59" s="2067">
        <f t="shared" ref="BC59:BD59" si="329">IF(BC57&gt;$J$68,$J$59,IF(BC57&lt;$J$68,(IF(BC57&lt;0,0,BC57*$K$59))))</f>
        <v>2.5120946618037152</v>
      </c>
      <c r="BD59" s="2069">
        <f t="shared" si="329"/>
        <v>10.213796885361408</v>
      </c>
      <c r="BE59" s="1814"/>
      <c r="BF59" s="2067">
        <f t="shared" ref="BF59:BF67" si="330">SUM(AX59:BD59)</f>
        <v>19.84425755346486</v>
      </c>
      <c r="BG59" s="2068">
        <f>$J$59*0</f>
        <v>0</v>
      </c>
      <c r="BH59" s="2070">
        <f t="shared" ref="BH59:BH67" si="331">BF59-BG59</f>
        <v>19.84425755346486</v>
      </c>
      <c r="BI59" s="1814"/>
      <c r="BJ59" s="2977">
        <f t="shared" ref="BJ59" si="332">IF(BJ57&gt;$J$68,$J$59,IF(BJ57&lt;$J$68,(IF(BJ57&lt;0,0,BJ57*$K$59))))</f>
        <v>4.0941845055537165</v>
      </c>
      <c r="BK59" s="1814"/>
      <c r="BL59" s="2067">
        <f t="shared" ref="BL59:BL68" si="333">SUM(BJ59:BJ59)</f>
        <v>4.0941845055537165</v>
      </c>
      <c r="BM59" s="2068">
        <f>$J$59*0</f>
        <v>0</v>
      </c>
      <c r="BN59" s="2070">
        <f t="shared" ref="BN59:BN67" si="334">BL59-BM59</f>
        <v>4.0941845055537165</v>
      </c>
      <c r="BP59" s="2067"/>
      <c r="BQ59" s="2071"/>
      <c r="BS59" s="2067">
        <f t="shared" ref="BS59:BS67" si="335">SUM(N59:T59)+SUM(Z59:AF59)+SUM(AL59:AR59)+SUM(AX59:BD59)+SUM(BJ59:BJ59)</f>
        <v>54.112900675563679</v>
      </c>
      <c r="BT59" s="2072">
        <f t="shared" ref="BT59:BT68" si="336">BS59/E59</f>
        <v>0.11637182940981436</v>
      </c>
      <c r="BU59" s="2351"/>
      <c r="BV59" s="4635">
        <f>BT68-BS1</f>
        <v>-0.88362817059018561</v>
      </c>
      <c r="BY59" s="1997"/>
      <c r="BZ59" s="1861"/>
      <c r="CA59" s="1861"/>
      <c r="CB59" s="1861"/>
      <c r="CC59" s="1861"/>
      <c r="CD59" s="1861"/>
      <c r="CE59" s="1861"/>
      <c r="CF59" s="1861"/>
      <c r="CG59" s="1861"/>
    </row>
    <row r="60" spans="1:85" s="1900" customFormat="1" ht="15.75" x14ac:dyDescent="0.2">
      <c r="A60" s="2464"/>
      <c r="B60" s="2161">
        <v>48</v>
      </c>
      <c r="C60" s="2162" t="s">
        <v>232</v>
      </c>
      <c r="D60" s="1960"/>
      <c r="E60" s="2163">
        <v>345</v>
      </c>
      <c r="F60" s="2164">
        <f>E60/10</f>
        <v>34.5</v>
      </c>
      <c r="G60" s="2164">
        <f>E60/15</f>
        <v>23</v>
      </c>
      <c r="H60" s="2164">
        <f>E60/20</f>
        <v>17.25</v>
      </c>
      <c r="I60" s="2164">
        <f>E60/25</f>
        <v>13.8</v>
      </c>
      <c r="J60" s="2164">
        <f t="shared" si="319"/>
        <v>11.896551724137931</v>
      </c>
      <c r="K60" s="2165">
        <f t="shared" si="320"/>
        <v>0.20733173076923078</v>
      </c>
      <c r="L60" s="2468"/>
      <c r="M60" s="2339"/>
      <c r="N60" s="2163">
        <f t="shared" ref="N60" si="337">IF(N57&gt;$J$68,$J$60,IF(N57&lt;$J$68,(IF(N57&lt;0,0,N57*$K$60))))</f>
        <v>0</v>
      </c>
      <c r="O60" s="2164">
        <f t="shared" ref="O60:T60" si="338">IF(O57&gt;$J$68,$J$60,IF(O57&lt;$J$68,(IF(O57&lt;0,0,O57*$K$60))))</f>
        <v>0</v>
      </c>
      <c r="P60" s="2164">
        <f t="shared" si="338"/>
        <v>0.81367695208886148</v>
      </c>
      <c r="Q60" s="2164">
        <f t="shared" si="338"/>
        <v>3.307981339108093</v>
      </c>
      <c r="R60" s="2164">
        <f t="shared" si="338"/>
        <v>3.454668538627323</v>
      </c>
      <c r="S60" s="2164">
        <f t="shared" si="338"/>
        <v>2.1167568799734764</v>
      </c>
      <c r="T60" s="2166">
        <f t="shared" si="338"/>
        <v>0</v>
      </c>
      <c r="U60" s="1951"/>
      <c r="V60" s="2163">
        <f t="shared" si="288"/>
        <v>9.6930837097977545</v>
      </c>
      <c r="W60" s="2167">
        <f>$J$60*0</f>
        <v>0</v>
      </c>
      <c r="X60" s="2168">
        <f t="shared" si="247"/>
        <v>9.6930837097977545</v>
      </c>
      <c r="Y60" s="1951"/>
      <c r="Z60" s="2169">
        <f t="shared" ref="Z60:AF60" si="339">IF(Z57&gt;$J$68,$J$60,IF(Z57&lt;$J$68,(IF(Z57&lt;0,0,Z57*$K$60))))</f>
        <v>0</v>
      </c>
      <c r="AA60" s="2170">
        <f t="shared" si="339"/>
        <v>0</v>
      </c>
      <c r="AB60" s="2170">
        <f t="shared" si="339"/>
        <v>0</v>
      </c>
      <c r="AC60" s="2170">
        <f t="shared" si="339"/>
        <v>0</v>
      </c>
      <c r="AD60" s="2170">
        <f t="shared" si="339"/>
        <v>3.4957202213196292</v>
      </c>
      <c r="AE60" s="2170">
        <f t="shared" si="339"/>
        <v>4.4305789953580907</v>
      </c>
      <c r="AF60" s="2171">
        <f t="shared" si="339"/>
        <v>0</v>
      </c>
      <c r="AG60" s="1951"/>
      <c r="AH60" s="2163">
        <f>SUM(Z60:AF60)</f>
        <v>7.9262992166777195</v>
      </c>
      <c r="AI60" s="2167">
        <f>$J$60*0</f>
        <v>0</v>
      </c>
      <c r="AJ60" s="2168">
        <f t="shared" ref="AJ60:AJ61" si="340">AH60-AI60</f>
        <v>7.9262992166777195</v>
      </c>
      <c r="AK60" s="1951"/>
      <c r="AL60" s="2163">
        <f t="shared" ref="AL60:AM60" si="341">IF(AL57&gt;$J$68,$J$60,IF(AL57&lt;$J$68,(IF(AL57&lt;0,0,AL57*$K$60))))</f>
        <v>3.923341916031168</v>
      </c>
      <c r="AM60" s="2164">
        <f t="shared" si="341"/>
        <v>0</v>
      </c>
      <c r="AN60" s="2164">
        <f t="shared" ref="AN60:AO60" si="342">IF(AN57&gt;$J$68,$J$60,IF(AN57&lt;$J$68,(IF(AN57&lt;0,0,AN57*$K$60))))</f>
        <v>0</v>
      </c>
      <c r="AO60" s="2164">
        <f t="shared" si="342"/>
        <v>0.84477671170424573</v>
      </c>
      <c r="AP60" s="2164">
        <f t="shared" ref="AP60:AQ60" si="343">IF(AP57&gt;$J$68,$J$60,IF(AP57&lt;$J$68,(IF(AP57&lt;0,0,AP57*$K$60))))</f>
        <v>0</v>
      </c>
      <c r="AQ60" s="2164">
        <f t="shared" si="343"/>
        <v>0</v>
      </c>
      <c r="AR60" s="2166">
        <f t="shared" ref="AR60" si="344">IF(AR57&gt;$J$68,$J$60,IF(AR57&lt;$J$68,(IF(AR57&lt;0,0,AR57*$K$60))))</f>
        <v>0</v>
      </c>
      <c r="AS60" s="1951"/>
      <c r="AT60" s="2163">
        <f t="shared" ref="AT60:AT67" si="345">SUM(AL60:AR60)</f>
        <v>4.7681186277354133</v>
      </c>
      <c r="AU60" s="2167">
        <f>$J$60*0</f>
        <v>0</v>
      </c>
      <c r="AV60" s="2168">
        <f t="shared" ref="AV60:AV67" si="346">AT60-AU60</f>
        <v>4.7681186277354133</v>
      </c>
      <c r="AW60" s="1951"/>
      <c r="AX60" s="2163">
        <f t="shared" ref="AX60:BB60" si="347">IF(AX57&gt;$J$68,$J$60,IF(AX57&lt;$J$68,(IF(AX57&lt;0,0,AX57*$K$60))))</f>
        <v>0</v>
      </c>
      <c r="AY60" s="2163">
        <f t="shared" si="347"/>
        <v>0</v>
      </c>
      <c r="AZ60" s="2163">
        <f t="shared" si="347"/>
        <v>3.4175561588196302</v>
      </c>
      <c r="BA60" s="2163">
        <f t="shared" si="347"/>
        <v>0</v>
      </c>
      <c r="BB60" s="2163">
        <f t="shared" si="347"/>
        <v>1.8638121684350148</v>
      </c>
      <c r="BC60" s="2163">
        <f t="shared" ref="BC60:BD60" si="348">IF(BC57&gt;$J$68,$J$60,IF(BC57&lt;$J$68,(IF(BC57&lt;0,0,BC57*$K$60))))</f>
        <v>1.8638121684350148</v>
      </c>
      <c r="BD60" s="2166">
        <f t="shared" si="348"/>
        <v>7.5779783343004006</v>
      </c>
      <c r="BE60" s="1951"/>
      <c r="BF60" s="2163">
        <f t="shared" si="330"/>
        <v>14.72315882999006</v>
      </c>
      <c r="BG60" s="2167">
        <f>$J$60*0</f>
        <v>0</v>
      </c>
      <c r="BH60" s="2168">
        <f t="shared" si="331"/>
        <v>14.72315882999006</v>
      </c>
      <c r="BI60" s="1951"/>
      <c r="BJ60" s="2974">
        <f t="shared" ref="BJ60" si="349">IF(BJ57&gt;$J$68,$J$60,IF(BJ57&lt;$J$68,(IF(BJ57&lt;0,0,BJ57*$K$60))))</f>
        <v>3.0376207621850155</v>
      </c>
      <c r="BK60" s="1951"/>
      <c r="BL60" s="2169">
        <f t="shared" si="333"/>
        <v>3.0376207621850155</v>
      </c>
      <c r="BM60" s="2170">
        <f>$J$60*0</f>
        <v>0</v>
      </c>
      <c r="BN60" s="2178">
        <f t="shared" si="334"/>
        <v>3.0376207621850155</v>
      </c>
      <c r="BP60" s="2169"/>
      <c r="BQ60" s="2172"/>
      <c r="BS60" s="2169">
        <f t="shared" si="335"/>
        <v>40.148281146385962</v>
      </c>
      <c r="BT60" s="2173">
        <f t="shared" si="336"/>
        <v>0.11637182940981439</v>
      </c>
      <c r="BU60" s="2353"/>
      <c r="BV60" s="4636"/>
      <c r="BY60" s="2010"/>
      <c r="BZ60" s="2011"/>
      <c r="CA60" s="2011"/>
      <c r="CB60" s="2011"/>
      <c r="CC60" s="2011"/>
      <c r="CD60" s="2011"/>
      <c r="CE60" s="2011"/>
      <c r="CF60" s="2011"/>
      <c r="CG60" s="2011"/>
    </row>
    <row r="61" spans="1:85" s="1726" customFormat="1" x14ac:dyDescent="0.2">
      <c r="A61" s="1756"/>
      <c r="B61" s="2151">
        <v>49</v>
      </c>
      <c r="C61" s="2152" t="s">
        <v>4</v>
      </c>
      <c r="D61" s="1817"/>
      <c r="E61" s="2153">
        <v>300</v>
      </c>
      <c r="F61" s="2154"/>
      <c r="G61" s="2154"/>
      <c r="H61" s="2154"/>
      <c r="I61" s="2154"/>
      <c r="J61" s="2154">
        <f t="shared" si="319"/>
        <v>10.344827586206897</v>
      </c>
      <c r="K61" s="2155">
        <f t="shared" si="320"/>
        <v>0.18028846153846154</v>
      </c>
      <c r="L61" s="1931"/>
      <c r="M61" s="1924"/>
      <c r="N61" s="2153">
        <f t="shared" ref="N61" si="350">IF(N57&gt;$J$68,$J$61,IF(N57&lt;$J$68,(IF(N57&lt;0,0,N57*$K$61))))</f>
        <v>0</v>
      </c>
      <c r="O61" s="2154">
        <f t="shared" ref="O61:T61" si="351">IF(O57&gt;$J$68,$J$61,IF(O57&lt;$J$68,(IF(O57&lt;0,0,O57*$K$61))))</f>
        <v>0</v>
      </c>
      <c r="P61" s="2154">
        <f t="shared" si="351"/>
        <v>0.70754517572944464</v>
      </c>
      <c r="Q61" s="2154">
        <f t="shared" si="351"/>
        <v>2.8765055122679066</v>
      </c>
      <c r="R61" s="2154">
        <f t="shared" si="351"/>
        <v>3.0040595988063679</v>
      </c>
      <c r="S61" s="2154">
        <f t="shared" si="351"/>
        <v>1.8406581564986748</v>
      </c>
      <c r="T61" s="2156">
        <f t="shared" si="351"/>
        <v>0</v>
      </c>
      <c r="U61" s="1814"/>
      <c r="V61" s="2153">
        <f t="shared" si="288"/>
        <v>8.4287684433023937</v>
      </c>
      <c r="W61" s="2157">
        <f>$J$61*0</f>
        <v>0</v>
      </c>
      <c r="X61" s="2158">
        <f t="shared" si="247"/>
        <v>8.4287684433023937</v>
      </c>
      <c r="Y61" s="1766"/>
      <c r="Z61" s="2090">
        <f t="shared" ref="Z61:AF61" si="352">IF(Z57&gt;$J$68,$J$61,IF(Z57&lt;$J$68,(IF(Z57&lt;0,0,Z57*$K$61))))</f>
        <v>0</v>
      </c>
      <c r="AA61" s="2087">
        <f t="shared" si="352"/>
        <v>0</v>
      </c>
      <c r="AB61" s="2087">
        <f t="shared" si="352"/>
        <v>0</v>
      </c>
      <c r="AC61" s="2087">
        <f t="shared" si="352"/>
        <v>0</v>
      </c>
      <c r="AD61" s="2087">
        <f t="shared" si="352"/>
        <v>3.039756714190982</v>
      </c>
      <c r="AE61" s="2087">
        <f t="shared" si="352"/>
        <v>3.8526773872679048</v>
      </c>
      <c r="AF61" s="2091">
        <f t="shared" si="352"/>
        <v>0</v>
      </c>
      <c r="AG61" s="1766"/>
      <c r="AH61" s="2153">
        <f t="shared" ref="AH61" si="353">SUM(Z61:AF61)</f>
        <v>6.8924341014588872</v>
      </c>
      <c r="AI61" s="2157">
        <f>$J$61*0</f>
        <v>0</v>
      </c>
      <c r="AJ61" s="2158">
        <f t="shared" si="340"/>
        <v>6.8924341014588872</v>
      </c>
      <c r="AK61" s="1766"/>
      <c r="AL61" s="2153">
        <f t="shared" ref="AL61:AM61" si="354">IF(AL57&gt;$J$68,$J$61,IF(AL57&lt;$J$68,(IF(AL57&lt;0,0,AL57*$K$61))))</f>
        <v>3.4116016661140587</v>
      </c>
      <c r="AM61" s="2154">
        <f t="shared" si="354"/>
        <v>0</v>
      </c>
      <c r="AN61" s="2154">
        <f t="shared" ref="AN61:AO61" si="355">IF(AN57&gt;$J$68,$J$61,IF(AN57&lt;$J$68,(IF(AN57&lt;0,0,AN57*$K$61))))</f>
        <v>0</v>
      </c>
      <c r="AO61" s="2154">
        <f t="shared" si="355"/>
        <v>0.73458844496021369</v>
      </c>
      <c r="AP61" s="2154">
        <f t="shared" ref="AP61:AQ61" si="356">IF(AP57&gt;$J$68,$J$61,IF(AP57&lt;$J$68,(IF(AP57&lt;0,0,AP57*$K$61))))</f>
        <v>0</v>
      </c>
      <c r="AQ61" s="2154">
        <f t="shared" si="356"/>
        <v>0</v>
      </c>
      <c r="AR61" s="2156">
        <f t="shared" ref="AR61" si="357">IF(AR57&gt;$J$68,$J$61,IF(AR57&lt;$J$68,(IF(AR57&lt;0,0,AR57*$K$61))))</f>
        <v>0</v>
      </c>
      <c r="AS61" s="1814"/>
      <c r="AT61" s="2153">
        <f t="shared" si="345"/>
        <v>4.1461901110742723</v>
      </c>
      <c r="AU61" s="2157">
        <f>$J$61*0</f>
        <v>0</v>
      </c>
      <c r="AV61" s="2158">
        <f t="shared" si="346"/>
        <v>4.1461901110742723</v>
      </c>
      <c r="AW61" s="1814"/>
      <c r="AX61" s="2153">
        <f t="shared" ref="AX61:BB61" si="358">IF(AX57&gt;$J$68,$J$61,IF(AX57&lt;$J$68,(IF(AX57&lt;0,0,AX57*$K$61))))</f>
        <v>0</v>
      </c>
      <c r="AY61" s="2153">
        <f t="shared" si="358"/>
        <v>0</v>
      </c>
      <c r="AZ61" s="2153">
        <f t="shared" si="358"/>
        <v>2.9717879641909826</v>
      </c>
      <c r="BA61" s="2153">
        <f t="shared" si="358"/>
        <v>0</v>
      </c>
      <c r="BB61" s="2153">
        <f t="shared" si="358"/>
        <v>1.6207062334217519</v>
      </c>
      <c r="BC61" s="2153">
        <f t="shared" ref="BC61:BD61" si="359">IF(BC57&gt;$J$68,$J$61,IF(BC57&lt;$J$68,(IF(BC57&lt;0,0,BC57*$K$61))))</f>
        <v>1.6207062334217519</v>
      </c>
      <c r="BD61" s="2156">
        <f t="shared" si="359"/>
        <v>6.589546377652522</v>
      </c>
      <c r="BE61" s="1814"/>
      <c r="BF61" s="2153">
        <f t="shared" si="330"/>
        <v>12.802746808687008</v>
      </c>
      <c r="BG61" s="2157">
        <f>$J$61*0</f>
        <v>0</v>
      </c>
      <c r="BH61" s="2158">
        <f t="shared" si="331"/>
        <v>12.802746808687008</v>
      </c>
      <c r="BI61" s="1814"/>
      <c r="BJ61" s="2973">
        <f t="shared" ref="BJ61" si="360">IF(BJ57&gt;$J$68,$J$61,IF(BJ57&lt;$J$68,(IF(BJ57&lt;0,0,BJ57*$K$61))))</f>
        <v>2.6414093584217526</v>
      </c>
      <c r="BK61" s="1814"/>
      <c r="BL61" s="2090">
        <f t="shared" si="333"/>
        <v>2.6414093584217526</v>
      </c>
      <c r="BM61" s="2087">
        <f>$J$61*0</f>
        <v>0</v>
      </c>
      <c r="BN61" s="2174">
        <f t="shared" si="334"/>
        <v>2.6414093584217526</v>
      </c>
      <c r="BP61" s="2090"/>
      <c r="BQ61" s="2159"/>
      <c r="BR61" s="1740"/>
      <c r="BS61" s="2090">
        <f t="shared" si="335"/>
        <v>34.911548822944312</v>
      </c>
      <c r="BT61" s="2160">
        <f t="shared" si="336"/>
        <v>0.11637182940981437</v>
      </c>
      <c r="BU61" s="2351"/>
      <c r="BV61" s="4636"/>
      <c r="BY61" s="2946"/>
      <c r="BZ61" s="1860"/>
      <c r="CA61" s="1860"/>
      <c r="CB61" s="1860"/>
      <c r="CC61" s="1860"/>
      <c r="CD61" s="1860"/>
      <c r="CE61" s="1860"/>
      <c r="CF61" s="1860"/>
      <c r="CG61" s="1860"/>
    </row>
    <row r="62" spans="1:85" s="1900" customFormat="1" ht="15.75" x14ac:dyDescent="0.2">
      <c r="A62" s="2464"/>
      <c r="B62" s="2161">
        <v>50</v>
      </c>
      <c r="C62" s="2175" t="s">
        <v>121</v>
      </c>
      <c r="D62" s="1960"/>
      <c r="E62" s="2169">
        <v>270</v>
      </c>
      <c r="F62" s="2176">
        <f>E62/10</f>
        <v>27</v>
      </c>
      <c r="G62" s="2176">
        <f>E62/15</f>
        <v>18</v>
      </c>
      <c r="H62" s="2176">
        <f>E62/20</f>
        <v>13.5</v>
      </c>
      <c r="I62" s="2176">
        <f>E62/25</f>
        <v>10.8</v>
      </c>
      <c r="J62" s="2176">
        <f t="shared" si="319"/>
        <v>9.3103448275862064</v>
      </c>
      <c r="K62" s="2177">
        <f t="shared" si="320"/>
        <v>0.16225961538461539</v>
      </c>
      <c r="L62" s="2468"/>
      <c r="M62" s="2339"/>
      <c r="N62" s="2169">
        <f t="shared" ref="N62" si="361">IF(N57&gt;$J$68,$J$62,IF(N57&lt;$J$68,(IF(N57&lt;0,0,N57*$K$62))))</f>
        <v>0</v>
      </c>
      <c r="O62" s="2176">
        <f t="shared" ref="O62:T62" si="362">IF(O57&gt;$J$68,$J$62,IF(O57&lt;$J$68,(IF(O57&lt;0,0,O57*$K$62))))</f>
        <v>0</v>
      </c>
      <c r="P62" s="2176">
        <f t="shared" si="362"/>
        <v>0.63679065815650027</v>
      </c>
      <c r="Q62" s="2176">
        <f t="shared" si="362"/>
        <v>2.5888549610411165</v>
      </c>
      <c r="R62" s="2176">
        <f t="shared" si="362"/>
        <v>2.7036536389257311</v>
      </c>
      <c r="S62" s="2176">
        <f t="shared" si="362"/>
        <v>1.6565923408488075</v>
      </c>
      <c r="T62" s="2171">
        <f t="shared" si="362"/>
        <v>0</v>
      </c>
      <c r="U62" s="1951"/>
      <c r="V62" s="2169">
        <f t="shared" si="288"/>
        <v>7.5858915989721556</v>
      </c>
      <c r="W62" s="2170">
        <f>$J$62*0</f>
        <v>0</v>
      </c>
      <c r="X62" s="2178">
        <f t="shared" si="247"/>
        <v>7.5858915989721556</v>
      </c>
      <c r="Y62" s="1951"/>
      <c r="Z62" s="2169">
        <f t="shared" ref="Z62:AF62" si="363">IF(Z57&gt;$J$68,$J$62,IF(Z57&lt;$J$68,(IF(Z57&lt;0,0,Z57*$K$62))))</f>
        <v>0</v>
      </c>
      <c r="AA62" s="2170">
        <f t="shared" si="363"/>
        <v>0</v>
      </c>
      <c r="AB62" s="2170">
        <f t="shared" si="363"/>
        <v>0</v>
      </c>
      <c r="AC62" s="2170">
        <f t="shared" si="363"/>
        <v>0</v>
      </c>
      <c r="AD62" s="2170">
        <f t="shared" si="363"/>
        <v>2.7357810427718836</v>
      </c>
      <c r="AE62" s="2170">
        <f t="shared" si="363"/>
        <v>3.4674096485411146</v>
      </c>
      <c r="AF62" s="2171">
        <f t="shared" si="363"/>
        <v>0</v>
      </c>
      <c r="AG62" s="1951"/>
      <c r="AH62" s="2169">
        <f t="shared" si="205"/>
        <v>6.2031906913129982</v>
      </c>
      <c r="AI62" s="2170">
        <f>$J$62*0</f>
        <v>0</v>
      </c>
      <c r="AJ62" s="2178">
        <f t="shared" si="206"/>
        <v>6.2031906913129982</v>
      </c>
      <c r="AK62" s="1951"/>
      <c r="AL62" s="2169">
        <f t="shared" ref="AL62:AM62" si="364">IF(AL57&gt;$J$68,$J$62,IF(AL57&lt;$J$68,(IF(AL57&lt;0,0,AL57*$K$62))))</f>
        <v>3.0704414995026532</v>
      </c>
      <c r="AM62" s="2176">
        <f t="shared" si="364"/>
        <v>0</v>
      </c>
      <c r="AN62" s="2176">
        <f t="shared" ref="AN62:AO62" si="365">IF(AN57&gt;$J$68,$J$62,IF(AN57&lt;$J$68,(IF(AN57&lt;0,0,AN57*$K$62))))</f>
        <v>0</v>
      </c>
      <c r="AO62" s="2176">
        <f t="shared" si="365"/>
        <v>0.66112960046419234</v>
      </c>
      <c r="AP62" s="2176">
        <f t="shared" ref="AP62:AQ62" si="366">IF(AP57&gt;$J$68,$J$62,IF(AP57&lt;$J$68,(IF(AP57&lt;0,0,AP57*$K$62))))</f>
        <v>0</v>
      </c>
      <c r="AQ62" s="2176">
        <f t="shared" si="366"/>
        <v>0</v>
      </c>
      <c r="AR62" s="2171">
        <f t="shared" ref="AR62" si="367">IF(AR57&gt;$J$68,$J$62,IF(AR57&lt;$J$68,(IF(AR57&lt;0,0,AR57*$K$62))))</f>
        <v>0</v>
      </c>
      <c r="AS62" s="1951"/>
      <c r="AT62" s="2169">
        <f t="shared" si="345"/>
        <v>3.7315710999668457</v>
      </c>
      <c r="AU62" s="2170">
        <f>$J$62*0</f>
        <v>0</v>
      </c>
      <c r="AV62" s="2178">
        <f t="shared" si="346"/>
        <v>3.7315710999668457</v>
      </c>
      <c r="AW62" s="1951"/>
      <c r="AX62" s="2169">
        <f t="shared" ref="AX62:BB62" si="368">IF(AX57&gt;$J$68,$J$62,IF(AX57&lt;$J$68,(IF(AX57&lt;0,0,AX57*$K$62))))</f>
        <v>0</v>
      </c>
      <c r="AY62" s="2169">
        <f t="shared" si="368"/>
        <v>0</v>
      </c>
      <c r="AZ62" s="2169">
        <f t="shared" si="368"/>
        <v>2.6746091677718846</v>
      </c>
      <c r="BA62" s="2169">
        <f t="shared" si="368"/>
        <v>0</v>
      </c>
      <c r="BB62" s="2169">
        <f t="shared" si="368"/>
        <v>1.4586356100795768</v>
      </c>
      <c r="BC62" s="2169">
        <f t="shared" ref="BC62:BD62" si="369">IF(BC57&gt;$J$68,$J$62,IF(BC57&lt;$J$68,(IF(BC57&lt;0,0,BC57*$K$62))))</f>
        <v>1.4586356100795768</v>
      </c>
      <c r="BD62" s="2171">
        <f t="shared" si="369"/>
        <v>5.9305917398872703</v>
      </c>
      <c r="BE62" s="1951"/>
      <c r="BF62" s="2169">
        <f t="shared" si="330"/>
        <v>11.522472127818308</v>
      </c>
      <c r="BG62" s="2170">
        <f>$J$62*0</f>
        <v>0</v>
      </c>
      <c r="BH62" s="2178">
        <f t="shared" si="331"/>
        <v>11.522472127818308</v>
      </c>
      <c r="BI62" s="1951"/>
      <c r="BJ62" s="2974">
        <f t="shared" ref="BJ62" si="370">IF(BJ57&gt;$J$68,$J$62,IF(BJ57&lt;$J$68,(IF(BJ57&lt;0,0,BJ57*$K$62))))</f>
        <v>2.3772684225795775</v>
      </c>
      <c r="BK62" s="1951"/>
      <c r="BL62" s="2169">
        <f t="shared" si="333"/>
        <v>2.3772684225795775</v>
      </c>
      <c r="BM62" s="2170">
        <f>$J$62*0</f>
        <v>0</v>
      </c>
      <c r="BN62" s="2178">
        <f t="shared" si="334"/>
        <v>2.3772684225795775</v>
      </c>
      <c r="BP62" s="2179"/>
      <c r="BQ62" s="2180"/>
      <c r="BS62" s="2179">
        <f t="shared" si="335"/>
        <v>31.420393940649888</v>
      </c>
      <c r="BT62" s="2181">
        <f t="shared" si="336"/>
        <v>0.1163718294098144</v>
      </c>
      <c r="BU62" s="2353"/>
      <c r="BV62" s="4636"/>
      <c r="BY62" s="2010"/>
      <c r="BZ62" s="2011"/>
      <c r="CA62" s="2011"/>
      <c r="CB62" s="2011"/>
      <c r="CC62" s="2011"/>
      <c r="CD62" s="2011"/>
      <c r="CE62" s="2011"/>
      <c r="CF62" s="2011"/>
      <c r="CG62" s="2011"/>
    </row>
    <row r="63" spans="1:85" s="1740" customFormat="1" ht="15.75" x14ac:dyDescent="0.2">
      <c r="A63" s="2466"/>
      <c r="B63" s="2151">
        <v>51</v>
      </c>
      <c r="C63" s="2086" t="s">
        <v>229</v>
      </c>
      <c r="D63" s="1817"/>
      <c r="E63" s="2090">
        <v>209</v>
      </c>
      <c r="F63" s="2088">
        <f>E63/10</f>
        <v>20.9</v>
      </c>
      <c r="G63" s="2088">
        <f>E63/15</f>
        <v>13.933333333333334</v>
      </c>
      <c r="H63" s="2088">
        <f>E63/20</f>
        <v>10.45</v>
      </c>
      <c r="I63" s="2088">
        <f>E63/25</f>
        <v>8.36</v>
      </c>
      <c r="J63" s="2088">
        <f t="shared" si="319"/>
        <v>7.2068965517241379</v>
      </c>
      <c r="K63" s="2089">
        <f t="shared" si="320"/>
        <v>0.12560096153846154</v>
      </c>
      <c r="L63" s="2465"/>
      <c r="M63" s="2131"/>
      <c r="N63" s="2090">
        <f t="shared" ref="N63" si="371">IF(N57&gt;$J$68,$J$63,IF(N57&lt;$J$68,(IF(N57&lt;0,0,N57*$K$63))))</f>
        <v>0</v>
      </c>
      <c r="O63" s="2088">
        <f t="shared" ref="O63:T63" si="372">IF(O57&gt;$J$68,$J$63,IF(O57&lt;$J$68,(IF(O57&lt;0,0,O57*$K$63))))</f>
        <v>0</v>
      </c>
      <c r="P63" s="2088">
        <f t="shared" si="372"/>
        <v>0.49292313909151314</v>
      </c>
      <c r="Q63" s="2088">
        <f t="shared" si="372"/>
        <v>2.0039655068799749</v>
      </c>
      <c r="R63" s="2088">
        <f t="shared" si="372"/>
        <v>2.0928281871684362</v>
      </c>
      <c r="S63" s="2088">
        <f t="shared" si="372"/>
        <v>1.2823251823607436</v>
      </c>
      <c r="T63" s="2091">
        <f t="shared" si="372"/>
        <v>0</v>
      </c>
      <c r="U63" s="1814"/>
      <c r="V63" s="2090">
        <f t="shared" si="288"/>
        <v>5.8720420155006678</v>
      </c>
      <c r="W63" s="2087">
        <f>$J$63*0</f>
        <v>0</v>
      </c>
      <c r="X63" s="2174">
        <f t="shared" si="247"/>
        <v>5.8720420155006678</v>
      </c>
      <c r="Y63" s="1814"/>
      <c r="Z63" s="2090">
        <f t="shared" ref="Z63:AF63" si="373">IF(Z57&gt;$J$68,$J$63,IF(Z57&lt;$J$68,(IF(Z57&lt;0,0,Z57*$K$63))))</f>
        <v>0</v>
      </c>
      <c r="AA63" s="2087">
        <f t="shared" si="373"/>
        <v>0</v>
      </c>
      <c r="AB63" s="2087">
        <f t="shared" si="373"/>
        <v>0</v>
      </c>
      <c r="AC63" s="2087">
        <f t="shared" si="373"/>
        <v>0</v>
      </c>
      <c r="AD63" s="2087">
        <f t="shared" si="373"/>
        <v>2.1176971775530506</v>
      </c>
      <c r="AE63" s="2087">
        <f t="shared" si="373"/>
        <v>2.6840319131299739</v>
      </c>
      <c r="AF63" s="2091">
        <f t="shared" si="373"/>
        <v>0</v>
      </c>
      <c r="AG63" s="1814"/>
      <c r="AH63" s="2090">
        <f t="shared" si="205"/>
        <v>4.8017290906830246</v>
      </c>
      <c r="AI63" s="2087">
        <f>$J$63*0</f>
        <v>0</v>
      </c>
      <c r="AJ63" s="2174">
        <f t="shared" si="206"/>
        <v>4.8017290906830246</v>
      </c>
      <c r="AK63" s="1814"/>
      <c r="AL63" s="2090">
        <f t="shared" ref="AL63:AM63" si="374">IF(AL57&gt;$J$68,$J$63,IF(AL57&lt;$J$68,(IF(AL57&lt;0,0,AL57*$K$63))))</f>
        <v>2.3767491607261277</v>
      </c>
      <c r="AM63" s="2088">
        <f t="shared" si="374"/>
        <v>0</v>
      </c>
      <c r="AN63" s="2088">
        <f t="shared" ref="AN63:AO63" si="375">IF(AN57&gt;$J$68,$J$63,IF(AN57&lt;$J$68,(IF(AN57&lt;0,0,AN57*$K$63))))</f>
        <v>0</v>
      </c>
      <c r="AO63" s="2088">
        <f t="shared" si="375"/>
        <v>0.51176328332228216</v>
      </c>
      <c r="AP63" s="2088">
        <f t="shared" ref="AP63:AQ63" si="376">IF(AP57&gt;$J$68,$J$63,IF(AP57&lt;$J$68,(IF(AP57&lt;0,0,AP57*$K$63))))</f>
        <v>0</v>
      </c>
      <c r="AQ63" s="2088">
        <f t="shared" si="376"/>
        <v>0</v>
      </c>
      <c r="AR63" s="2091">
        <f t="shared" ref="AR63" si="377">IF(AR57&gt;$J$68,$J$63,IF(AR57&lt;$J$68,(IF(AR57&lt;0,0,AR57*$K$63))))</f>
        <v>0</v>
      </c>
      <c r="AS63" s="1814"/>
      <c r="AT63" s="2090">
        <f t="shared" si="345"/>
        <v>2.88851244404841</v>
      </c>
      <c r="AU63" s="2087">
        <f>$J$63*0</f>
        <v>0</v>
      </c>
      <c r="AV63" s="2174">
        <f t="shared" si="346"/>
        <v>2.88851244404841</v>
      </c>
      <c r="AW63" s="1814"/>
      <c r="AX63" s="2090">
        <f t="shared" ref="AX63:BB63" si="378">IF(AX57&gt;$J$68,$J$63,IF(AX57&lt;$J$68,(IF(AX57&lt;0,0,AX57*$K$63))))</f>
        <v>0</v>
      </c>
      <c r="AY63" s="2090">
        <f t="shared" si="378"/>
        <v>0</v>
      </c>
      <c r="AZ63" s="2090">
        <f t="shared" si="378"/>
        <v>2.0703456150530513</v>
      </c>
      <c r="BA63" s="2090">
        <f t="shared" si="378"/>
        <v>0</v>
      </c>
      <c r="BB63" s="2090">
        <f t="shared" si="378"/>
        <v>1.1290920092838206</v>
      </c>
      <c r="BC63" s="2090">
        <f t="shared" ref="BC63:BD63" si="379">IF(BC57&gt;$J$68,$J$63,IF(BC57&lt;$J$68,(IF(BC57&lt;0,0,BC57*$K$63))))</f>
        <v>1.1290920092838206</v>
      </c>
      <c r="BD63" s="2091">
        <f t="shared" si="379"/>
        <v>4.5907173097645906</v>
      </c>
      <c r="BE63" s="1814"/>
      <c r="BF63" s="2090">
        <f t="shared" si="330"/>
        <v>8.9192469433852821</v>
      </c>
      <c r="BG63" s="2087">
        <f>$J$63*0</f>
        <v>0</v>
      </c>
      <c r="BH63" s="2174">
        <f t="shared" si="331"/>
        <v>8.9192469433852821</v>
      </c>
      <c r="BI63" s="1814"/>
      <c r="BJ63" s="2973">
        <f t="shared" ref="BJ63" si="380">IF(BJ57&gt;$J$68,$J$63,IF(BJ57&lt;$J$68,(IF(BJ57&lt;0,0,BJ57*$K$63))))</f>
        <v>1.840181853033821</v>
      </c>
      <c r="BK63" s="1814"/>
      <c r="BL63" s="2090">
        <f t="shared" si="333"/>
        <v>1.840181853033821</v>
      </c>
      <c r="BM63" s="2087">
        <f>$J$63*0</f>
        <v>0</v>
      </c>
      <c r="BN63" s="2174">
        <f t="shared" si="334"/>
        <v>1.840181853033821</v>
      </c>
      <c r="BP63" s="2092"/>
      <c r="BQ63" s="2093"/>
      <c r="BS63" s="2092">
        <f t="shared" si="335"/>
        <v>24.321712346651207</v>
      </c>
      <c r="BT63" s="2094">
        <f t="shared" si="336"/>
        <v>0.11637182940981439</v>
      </c>
      <c r="BU63" s="2351"/>
      <c r="BV63" s="4636"/>
      <c r="BY63" s="1997"/>
      <c r="BZ63" s="1861"/>
      <c r="CA63" s="1861"/>
      <c r="CB63" s="1861"/>
      <c r="CC63" s="1861"/>
      <c r="CD63" s="1861"/>
      <c r="CE63" s="1861"/>
      <c r="CF63" s="1861"/>
      <c r="CG63" s="1861"/>
    </row>
    <row r="64" spans="1:85" s="1885" customFormat="1" x14ac:dyDescent="0.2">
      <c r="A64" s="1947"/>
      <c r="B64" s="2690">
        <v>52</v>
      </c>
      <c r="C64" s="2417" t="s">
        <v>122</v>
      </c>
      <c r="D64" s="1960"/>
      <c r="E64" s="2179">
        <v>75</v>
      </c>
      <c r="F64" s="2418">
        <f>E64/10</f>
        <v>7.5</v>
      </c>
      <c r="G64" s="2418">
        <f>E64/15</f>
        <v>5</v>
      </c>
      <c r="H64" s="2418">
        <f>E64/20</f>
        <v>3.75</v>
      </c>
      <c r="I64" s="2418">
        <f>E64/25</f>
        <v>3</v>
      </c>
      <c r="J64" s="2418">
        <f t="shared" si="319"/>
        <v>2.5862068965517242</v>
      </c>
      <c r="K64" s="2419">
        <f t="shared" si="320"/>
        <v>4.5072115384615384E-2</v>
      </c>
      <c r="L64" s="2003"/>
      <c r="M64" s="1950"/>
      <c r="N64" s="2169">
        <f t="shared" ref="N64" si="381">IF(N57&gt;$J$68,$J$64,IF(N57&lt;$J$68,(IF(N57&lt;0,0,N57*$K$64))))</f>
        <v>0</v>
      </c>
      <c r="O64" s="2176">
        <f t="shared" ref="O64:T64" si="382">IF(O57&gt;$J$68,$J$64,IF(O57&lt;$J$68,(IF(O57&lt;0,0,O57*$K$64))))</f>
        <v>0</v>
      </c>
      <c r="P64" s="2176">
        <f t="shared" si="382"/>
        <v>0.17688629393236116</v>
      </c>
      <c r="Q64" s="2176">
        <f t="shared" si="382"/>
        <v>0.71912637806697666</v>
      </c>
      <c r="R64" s="2176">
        <f t="shared" si="382"/>
        <v>0.75101489970159196</v>
      </c>
      <c r="S64" s="2176">
        <f t="shared" si="382"/>
        <v>0.4601645391246687</v>
      </c>
      <c r="T64" s="2171">
        <f t="shared" si="382"/>
        <v>0</v>
      </c>
      <c r="U64" s="1951"/>
      <c r="V64" s="2169">
        <f t="shared" si="288"/>
        <v>2.1071921108255984</v>
      </c>
      <c r="W64" s="2170">
        <f>$J$64*0</f>
        <v>0</v>
      </c>
      <c r="X64" s="2178">
        <f t="shared" si="247"/>
        <v>2.1071921108255984</v>
      </c>
      <c r="Y64" s="1956"/>
      <c r="Z64" s="2169">
        <f t="shared" ref="Z64:AF64" si="383">IF(Z57&gt;$J$68,$J$64,IF(Z57&lt;$J$68,(IF(Z57&lt;0,0,Z57*$K$64))))</f>
        <v>0</v>
      </c>
      <c r="AA64" s="2170">
        <f t="shared" si="383"/>
        <v>0</v>
      </c>
      <c r="AB64" s="2170">
        <f t="shared" si="383"/>
        <v>0</v>
      </c>
      <c r="AC64" s="2170">
        <f t="shared" si="383"/>
        <v>0</v>
      </c>
      <c r="AD64" s="2170">
        <f t="shared" si="383"/>
        <v>0.75993917854774551</v>
      </c>
      <c r="AE64" s="2170">
        <f t="shared" si="383"/>
        <v>0.96316934681697619</v>
      </c>
      <c r="AF64" s="2171">
        <f t="shared" si="383"/>
        <v>0</v>
      </c>
      <c r="AG64" s="1956"/>
      <c r="AH64" s="2169">
        <f t="shared" si="205"/>
        <v>1.7231085253647218</v>
      </c>
      <c r="AI64" s="2170">
        <f>$J$64*0</f>
        <v>0</v>
      </c>
      <c r="AJ64" s="2178">
        <f t="shared" si="206"/>
        <v>1.7231085253647218</v>
      </c>
      <c r="AK64" s="1956"/>
      <c r="AL64" s="2169">
        <f t="shared" ref="AL64:AM64" si="384">IF(AL57&gt;$J$68,$J$64,IF(AL57&lt;$J$68,(IF(AL57&lt;0,0,AL57*$K$64))))</f>
        <v>0.85290041652851467</v>
      </c>
      <c r="AM64" s="2176">
        <f t="shared" si="384"/>
        <v>0</v>
      </c>
      <c r="AN64" s="2176">
        <f t="shared" ref="AN64:AO64" si="385">IF(AN57&gt;$J$68,$J$64,IF(AN57&lt;$J$68,(IF(AN57&lt;0,0,AN57*$K$64))))</f>
        <v>0</v>
      </c>
      <c r="AO64" s="2176">
        <f t="shared" si="385"/>
        <v>0.18364711124005342</v>
      </c>
      <c r="AP64" s="2176">
        <f t="shared" ref="AP64:AQ64" si="386">IF(AP57&gt;$J$68,$J$64,IF(AP57&lt;$J$68,(IF(AP57&lt;0,0,AP57*$K$64))))</f>
        <v>0</v>
      </c>
      <c r="AQ64" s="2176">
        <f t="shared" si="386"/>
        <v>0</v>
      </c>
      <c r="AR64" s="2171">
        <f t="shared" ref="AR64" si="387">IF(AR57&gt;$J$68,$J$64,IF(AR57&lt;$J$68,(IF(AR57&lt;0,0,AR57*$K$64))))</f>
        <v>0</v>
      </c>
      <c r="AS64" s="1951"/>
      <c r="AT64" s="2169">
        <f t="shared" si="345"/>
        <v>1.0365475277685681</v>
      </c>
      <c r="AU64" s="2170">
        <f>$J$64*0</f>
        <v>0</v>
      </c>
      <c r="AV64" s="2178">
        <f t="shared" si="346"/>
        <v>1.0365475277685681</v>
      </c>
      <c r="AW64" s="1951"/>
      <c r="AX64" s="2169">
        <f t="shared" ref="AX64:BB64" si="388">IF(AX57&gt;$J$68,$J$64,IF(AX57&lt;$J$68,(IF(AX57&lt;0,0,AX57*$K$64))))</f>
        <v>0</v>
      </c>
      <c r="AY64" s="2169">
        <f t="shared" si="388"/>
        <v>0</v>
      </c>
      <c r="AZ64" s="2169">
        <f t="shared" si="388"/>
        <v>0.74294699104774564</v>
      </c>
      <c r="BA64" s="2169">
        <f t="shared" si="388"/>
        <v>0</v>
      </c>
      <c r="BB64" s="2169">
        <f t="shared" si="388"/>
        <v>0.40517655835543798</v>
      </c>
      <c r="BC64" s="2169">
        <f t="shared" ref="BC64:BD64" si="389">IF(BC57&gt;$J$68,$J$64,IF(BC57&lt;$J$68,(IF(BC57&lt;0,0,BC57*$K$64))))</f>
        <v>0.40517655835543798</v>
      </c>
      <c r="BD64" s="2171">
        <f t="shared" si="389"/>
        <v>1.6473865944131305</v>
      </c>
      <c r="BE64" s="1951"/>
      <c r="BF64" s="2169">
        <f t="shared" si="330"/>
        <v>3.200686702171752</v>
      </c>
      <c r="BG64" s="2170">
        <f>$J$64*0</f>
        <v>0</v>
      </c>
      <c r="BH64" s="2178">
        <f t="shared" si="331"/>
        <v>3.200686702171752</v>
      </c>
      <c r="BI64" s="1951"/>
      <c r="BJ64" s="2974">
        <f t="shared" ref="BJ64" si="390">IF(BJ57&gt;$J$68,$J$64,IF(BJ57&lt;$J$68,(IF(BJ57&lt;0,0,BJ57*$K$64))))</f>
        <v>0.66035233960543815</v>
      </c>
      <c r="BK64" s="1951"/>
      <c r="BL64" s="2169">
        <f t="shared" si="333"/>
        <v>0.66035233960543815</v>
      </c>
      <c r="BM64" s="2170">
        <f>$J$64*0</f>
        <v>0</v>
      </c>
      <c r="BN64" s="2178">
        <f t="shared" si="334"/>
        <v>0.66035233960543815</v>
      </c>
      <c r="BP64" s="2179"/>
      <c r="BQ64" s="2180"/>
      <c r="BR64" s="1900"/>
      <c r="BS64" s="2179">
        <f t="shared" si="335"/>
        <v>8.7278872057360779</v>
      </c>
      <c r="BT64" s="2181">
        <f t="shared" si="336"/>
        <v>0.11637182940981437</v>
      </c>
      <c r="BU64" s="2353"/>
      <c r="BV64" s="4636"/>
      <c r="BY64" s="2943"/>
      <c r="BZ64" s="1946"/>
      <c r="CA64" s="1946"/>
      <c r="CB64" s="1946"/>
      <c r="CC64" s="1946"/>
      <c r="CD64" s="1946"/>
      <c r="CE64" s="1946"/>
      <c r="CF64" s="1946"/>
      <c r="CG64" s="1946"/>
    </row>
    <row r="65" spans="1:85" s="1726" customFormat="1" ht="17.25" thickBot="1" x14ac:dyDescent="0.25">
      <c r="A65" s="1756"/>
      <c r="B65" s="2107">
        <v>53</v>
      </c>
      <c r="C65" s="2108" t="s">
        <v>242</v>
      </c>
      <c r="D65" s="2646"/>
      <c r="E65" s="2092">
        <v>0</v>
      </c>
      <c r="F65" s="2111">
        <f>E65/10</f>
        <v>0</v>
      </c>
      <c r="G65" s="2111">
        <f>E65/15</f>
        <v>0</v>
      </c>
      <c r="H65" s="2111">
        <f>E65/20</f>
        <v>0</v>
      </c>
      <c r="I65" s="2111">
        <f>E65/25</f>
        <v>0</v>
      </c>
      <c r="J65" s="2111">
        <f t="shared" si="319"/>
        <v>0</v>
      </c>
      <c r="K65" s="2112">
        <f t="shared" si="320"/>
        <v>0</v>
      </c>
      <c r="L65" s="1931"/>
      <c r="M65" s="1924"/>
      <c r="N65" s="2090">
        <f t="shared" ref="N65" si="391">IF(N57&gt;$J$68,$J$65,IF(N57&lt;$J$68,(IF(N57&lt;0,0,N57*$K$65))))</f>
        <v>0</v>
      </c>
      <c r="O65" s="2088">
        <f t="shared" ref="O65:T65" si="392">IF(O57&gt;$J$68,$J$65,IF(O57&lt;$J$68,(IF(O57&lt;0,0,O57*$K$65))))</f>
        <v>0</v>
      </c>
      <c r="P65" s="2088">
        <f t="shared" si="392"/>
        <v>0</v>
      </c>
      <c r="Q65" s="2088">
        <f t="shared" si="392"/>
        <v>0</v>
      </c>
      <c r="R65" s="2088">
        <f t="shared" si="392"/>
        <v>0</v>
      </c>
      <c r="S65" s="2088">
        <f t="shared" si="392"/>
        <v>0</v>
      </c>
      <c r="T65" s="2091">
        <f t="shared" si="392"/>
        <v>0</v>
      </c>
      <c r="U65" s="1814"/>
      <c r="V65" s="2090">
        <f t="shared" si="288"/>
        <v>0</v>
      </c>
      <c r="W65" s="2087">
        <f>$J$65*0</f>
        <v>0</v>
      </c>
      <c r="X65" s="2174">
        <f t="shared" si="247"/>
        <v>0</v>
      </c>
      <c r="Y65" s="1766"/>
      <c r="Z65" s="2090">
        <f t="shared" ref="Z65:AF65" si="393">IF(Z57&gt;$J$68,$J$65,IF(Z57&lt;$J$68,(IF(Z57&lt;0,0,Z57*$K$65))))</f>
        <v>0</v>
      </c>
      <c r="AA65" s="2087">
        <f t="shared" si="393"/>
        <v>0</v>
      </c>
      <c r="AB65" s="2087">
        <f t="shared" si="393"/>
        <v>0</v>
      </c>
      <c r="AC65" s="2087">
        <f t="shared" si="393"/>
        <v>0</v>
      </c>
      <c r="AD65" s="2087">
        <f t="shared" si="393"/>
        <v>0</v>
      </c>
      <c r="AE65" s="2087">
        <f t="shared" si="393"/>
        <v>0</v>
      </c>
      <c r="AF65" s="2091">
        <f t="shared" si="393"/>
        <v>0</v>
      </c>
      <c r="AG65" s="1766"/>
      <c r="AH65" s="2090">
        <f t="shared" si="205"/>
        <v>0</v>
      </c>
      <c r="AI65" s="2087">
        <f>$J$65*0</f>
        <v>0</v>
      </c>
      <c r="AJ65" s="2174">
        <f t="shared" si="206"/>
        <v>0</v>
      </c>
      <c r="AK65" s="1766"/>
      <c r="AL65" s="2090">
        <f t="shared" ref="AL65:AM65" si="394">IF(AL57&gt;$J$68,$J$65,IF(AL57&lt;$J$68,(IF(AL57&lt;0,0,AL57*$K$65))))</f>
        <v>0</v>
      </c>
      <c r="AM65" s="2088">
        <f t="shared" si="394"/>
        <v>0</v>
      </c>
      <c r="AN65" s="2088">
        <f t="shared" ref="AN65:AO65" si="395">IF(AN57&gt;$J$68,$J$65,IF(AN57&lt;$J$68,(IF(AN57&lt;0,0,AN57*$K$65))))</f>
        <v>0</v>
      </c>
      <c r="AO65" s="2088">
        <f t="shared" si="395"/>
        <v>0</v>
      </c>
      <c r="AP65" s="2088">
        <f t="shared" ref="AP65:AQ65" si="396">IF(AP57&gt;$J$68,$J$65,IF(AP57&lt;$J$68,(IF(AP57&lt;0,0,AP57*$K$65))))</f>
        <v>0</v>
      </c>
      <c r="AQ65" s="2088">
        <f t="shared" si="396"/>
        <v>0</v>
      </c>
      <c r="AR65" s="2091">
        <f t="shared" ref="AR65" si="397">IF(AR57&gt;$J$68,$J$65,IF(AR57&lt;$J$68,(IF(AR57&lt;0,0,AR57*$K$65))))</f>
        <v>0</v>
      </c>
      <c r="AS65" s="1814"/>
      <c r="AT65" s="2090">
        <f t="shared" si="345"/>
        <v>0</v>
      </c>
      <c r="AU65" s="2087">
        <f>$J$65*0</f>
        <v>0</v>
      </c>
      <c r="AV65" s="2174">
        <f t="shared" si="346"/>
        <v>0</v>
      </c>
      <c r="AW65" s="1814"/>
      <c r="AX65" s="2090">
        <f t="shared" ref="AX65:BB65" si="398">IF(AX57&gt;$J$68,$J$65,IF(AX57&lt;$J$68,(IF(AX57&lt;0,0,AX57*$K$65))))</f>
        <v>0</v>
      </c>
      <c r="AY65" s="2090">
        <f t="shared" si="398"/>
        <v>0</v>
      </c>
      <c r="AZ65" s="2090">
        <f t="shared" si="398"/>
        <v>0</v>
      </c>
      <c r="BA65" s="2090">
        <f t="shared" si="398"/>
        <v>0</v>
      </c>
      <c r="BB65" s="2090">
        <f t="shared" si="398"/>
        <v>0</v>
      </c>
      <c r="BC65" s="2090">
        <f t="shared" ref="BC65:BD65" si="399">IF(BC57&gt;$J$68,$J$65,IF(BC57&lt;$J$68,(IF(BC57&lt;0,0,BC57*$K$65))))</f>
        <v>0</v>
      </c>
      <c r="BD65" s="2091">
        <f t="shared" si="399"/>
        <v>0</v>
      </c>
      <c r="BE65" s="1814"/>
      <c r="BF65" s="2090">
        <f t="shared" si="330"/>
        <v>0</v>
      </c>
      <c r="BG65" s="2087">
        <f>$J$65*0</f>
        <v>0</v>
      </c>
      <c r="BH65" s="2174">
        <f t="shared" si="331"/>
        <v>0</v>
      </c>
      <c r="BI65" s="1814"/>
      <c r="BJ65" s="2973">
        <f t="shared" ref="BJ65" si="400">IF(BJ57&gt;$J$68,$J$65,IF(BJ57&lt;$J$68,(IF(BJ57&lt;0,0,BJ57*$K$65))))</f>
        <v>0</v>
      </c>
      <c r="BK65" s="1814"/>
      <c r="BL65" s="2090">
        <f t="shared" si="333"/>
        <v>0</v>
      </c>
      <c r="BM65" s="2087">
        <f>$J$65*0</f>
        <v>0</v>
      </c>
      <c r="BN65" s="2174">
        <f t="shared" si="334"/>
        <v>0</v>
      </c>
      <c r="BP65" s="2092"/>
      <c r="BQ65" s="2093"/>
      <c r="BR65" s="1740"/>
      <c r="BS65" s="2092">
        <f t="shared" si="335"/>
        <v>0</v>
      </c>
      <c r="BT65" s="2094" t="e">
        <f t="shared" si="336"/>
        <v>#DIV/0!</v>
      </c>
      <c r="BU65" s="2351"/>
      <c r="BV65" s="4636"/>
      <c r="BY65" s="2946"/>
      <c r="BZ65" s="1860"/>
      <c r="CA65" s="1860"/>
      <c r="CB65" s="1860"/>
      <c r="CC65" s="1860"/>
      <c r="CD65" s="1860"/>
      <c r="CE65" s="1860"/>
      <c r="CF65" s="1860"/>
      <c r="CG65" s="1860"/>
    </row>
    <row r="66" spans="1:85" s="1885" customFormat="1" x14ac:dyDescent="0.2">
      <c r="B66" s="2691">
        <v>54</v>
      </c>
      <c r="C66" s="2692" t="s">
        <v>227</v>
      </c>
      <c r="D66" s="2693"/>
      <c r="E66" s="2694">
        <v>0</v>
      </c>
      <c r="F66" s="2695"/>
      <c r="G66" s="2695"/>
      <c r="H66" s="2695"/>
      <c r="I66" s="2695"/>
      <c r="J66" s="2695">
        <f t="shared" si="319"/>
        <v>0</v>
      </c>
      <c r="K66" s="2696">
        <f t="shared" si="320"/>
        <v>0</v>
      </c>
      <c r="L66" s="2003"/>
      <c r="M66" s="1950"/>
      <c r="N66" s="2169">
        <f t="shared" ref="N66" si="401">IF(N57&gt;$J$68,$J$66,IF(N57&lt;$J$68,(IF(N57&lt;0,0,N57*$K$66))))</f>
        <v>0</v>
      </c>
      <c r="O66" s="2176">
        <f t="shared" ref="O66:T66" si="402">IF(O57&gt;$J$68,$J$66,IF(O57&lt;$J$68,(IF(O57&lt;0,0,O57*$K$66))))</f>
        <v>0</v>
      </c>
      <c r="P66" s="2176">
        <f t="shared" si="402"/>
        <v>0</v>
      </c>
      <c r="Q66" s="2176">
        <f t="shared" si="402"/>
        <v>0</v>
      </c>
      <c r="R66" s="2176">
        <f t="shared" si="402"/>
        <v>0</v>
      </c>
      <c r="S66" s="2176">
        <f t="shared" si="402"/>
        <v>0</v>
      </c>
      <c r="T66" s="2171">
        <f t="shared" si="402"/>
        <v>0</v>
      </c>
      <c r="U66" s="1951"/>
      <c r="V66" s="2169">
        <f t="shared" si="288"/>
        <v>0</v>
      </c>
      <c r="W66" s="2170">
        <f>$J$66*0</f>
        <v>0</v>
      </c>
      <c r="X66" s="2178">
        <f t="shared" si="247"/>
        <v>0</v>
      </c>
      <c r="Y66" s="1956"/>
      <c r="Z66" s="2169">
        <f t="shared" ref="Z66:AF66" si="403">IF(Z57&gt;$J$68,$J$66,IF(Z57&lt;$J$68,(IF(Z57&lt;0,0,Z57*$K$66))))</f>
        <v>0</v>
      </c>
      <c r="AA66" s="2170">
        <f t="shared" si="403"/>
        <v>0</v>
      </c>
      <c r="AB66" s="2170">
        <f t="shared" si="403"/>
        <v>0</v>
      </c>
      <c r="AC66" s="2170">
        <f t="shared" si="403"/>
        <v>0</v>
      </c>
      <c r="AD66" s="2170">
        <f t="shared" si="403"/>
        <v>0</v>
      </c>
      <c r="AE66" s="2170">
        <f t="shared" si="403"/>
        <v>0</v>
      </c>
      <c r="AF66" s="2171">
        <f t="shared" si="403"/>
        <v>0</v>
      </c>
      <c r="AG66" s="1956"/>
      <c r="AH66" s="2169">
        <f t="shared" si="205"/>
        <v>0</v>
      </c>
      <c r="AI66" s="2170">
        <f>$J$66*0</f>
        <v>0</v>
      </c>
      <c r="AJ66" s="2178">
        <f t="shared" si="206"/>
        <v>0</v>
      </c>
      <c r="AK66" s="1956"/>
      <c r="AL66" s="2169">
        <f t="shared" ref="AL66:AM66" si="404">IF(AL57&gt;$J$68,$J$66,IF(AL57&lt;$J$68,(IF(AL57&lt;0,0,AL57*$K$66))))</f>
        <v>0</v>
      </c>
      <c r="AM66" s="2176">
        <f t="shared" si="404"/>
        <v>0</v>
      </c>
      <c r="AN66" s="2176">
        <f t="shared" ref="AN66:AO66" si="405">IF(AN57&gt;$J$68,$J$66,IF(AN57&lt;$J$68,(IF(AN57&lt;0,0,AN57*$K$66))))</f>
        <v>0</v>
      </c>
      <c r="AO66" s="2176">
        <f t="shared" si="405"/>
        <v>0</v>
      </c>
      <c r="AP66" s="2176">
        <f t="shared" ref="AP66:AQ66" si="406">IF(AP57&gt;$J$68,$J$66,IF(AP57&lt;$J$68,(IF(AP57&lt;0,0,AP57*$K$66))))</f>
        <v>0</v>
      </c>
      <c r="AQ66" s="2176">
        <f t="shared" si="406"/>
        <v>0</v>
      </c>
      <c r="AR66" s="2171">
        <f t="shared" ref="AR66" si="407">IF(AR57&gt;$J$68,$J$66,IF(AR57&lt;$J$68,(IF(AR57&lt;0,0,AR57*$K$66))))</f>
        <v>0</v>
      </c>
      <c r="AS66" s="1951"/>
      <c r="AT66" s="2169">
        <f t="shared" si="345"/>
        <v>0</v>
      </c>
      <c r="AU66" s="2170">
        <f>$J$66*0</f>
        <v>0</v>
      </c>
      <c r="AV66" s="2178">
        <f t="shared" si="346"/>
        <v>0</v>
      </c>
      <c r="AW66" s="1951"/>
      <c r="AX66" s="2169">
        <f t="shared" ref="AX66:BB66" si="408">IF(AX57&gt;$J$68,$J$66,IF(AX57&lt;$J$68,(IF(AX57&lt;0,0,AX57*$K$66))))</f>
        <v>0</v>
      </c>
      <c r="AY66" s="2169">
        <f t="shared" si="408"/>
        <v>0</v>
      </c>
      <c r="AZ66" s="2169">
        <f t="shared" si="408"/>
        <v>0</v>
      </c>
      <c r="BA66" s="2169">
        <f t="shared" si="408"/>
        <v>0</v>
      </c>
      <c r="BB66" s="2169">
        <f t="shared" si="408"/>
        <v>0</v>
      </c>
      <c r="BC66" s="2169">
        <f t="shared" ref="BC66:BD66" si="409">IF(BC57&gt;$J$68,$J$66,IF(BC57&lt;$J$68,(IF(BC57&lt;0,0,BC57*$K$66))))</f>
        <v>0</v>
      </c>
      <c r="BD66" s="2171">
        <f t="shared" si="409"/>
        <v>0</v>
      </c>
      <c r="BE66" s="1951"/>
      <c r="BF66" s="2169">
        <f t="shared" si="330"/>
        <v>0</v>
      </c>
      <c r="BG66" s="2170">
        <f>$J$66*0</f>
        <v>0</v>
      </c>
      <c r="BH66" s="2178">
        <f t="shared" si="331"/>
        <v>0</v>
      </c>
      <c r="BI66" s="1951"/>
      <c r="BJ66" s="2974">
        <f t="shared" ref="BJ66" si="410">IF(BJ57&gt;$J$68,$J$66,IF(BJ57&lt;$J$68,(IF(BJ57&lt;0,0,BJ57*$K$66))))</f>
        <v>0</v>
      </c>
      <c r="BK66" s="1951"/>
      <c r="BL66" s="2169">
        <f t="shared" si="333"/>
        <v>0</v>
      </c>
      <c r="BM66" s="2170">
        <f>$J$66*0</f>
        <v>0</v>
      </c>
      <c r="BN66" s="2178">
        <f t="shared" si="334"/>
        <v>0</v>
      </c>
      <c r="BP66" s="2179"/>
      <c r="BQ66" s="2180"/>
      <c r="BR66" s="1900"/>
      <c r="BS66" s="2179">
        <f t="shared" si="335"/>
        <v>0</v>
      </c>
      <c r="BT66" s="2181" t="e">
        <f t="shared" si="336"/>
        <v>#DIV/0!</v>
      </c>
      <c r="BU66" s="2353"/>
      <c r="BV66" s="4636"/>
      <c r="BY66" s="2943"/>
      <c r="BZ66" s="1946"/>
      <c r="CA66" s="1946"/>
      <c r="CB66" s="1946"/>
      <c r="CC66" s="1946"/>
      <c r="CD66" s="1946"/>
      <c r="CE66" s="1946"/>
      <c r="CF66" s="1946"/>
      <c r="CG66" s="1946"/>
    </row>
    <row r="67" spans="1:85" s="1726" customFormat="1" ht="17.25" thickBot="1" x14ac:dyDescent="0.25">
      <c r="B67" s="2647">
        <v>55</v>
      </c>
      <c r="C67" s="2648" t="s">
        <v>228</v>
      </c>
      <c r="D67" s="2649"/>
      <c r="E67" s="2193">
        <v>0</v>
      </c>
      <c r="F67" s="2313">
        <f>E67/10</f>
        <v>0</v>
      </c>
      <c r="G67" s="2313">
        <f>E67/15</f>
        <v>0</v>
      </c>
      <c r="H67" s="2313">
        <f>E67/20</f>
        <v>0</v>
      </c>
      <c r="I67" s="2313">
        <f>E67/25</f>
        <v>0</v>
      </c>
      <c r="J67" s="2313">
        <f t="shared" si="319"/>
        <v>0</v>
      </c>
      <c r="K67" s="2194">
        <f t="shared" si="320"/>
        <v>0</v>
      </c>
      <c r="L67" s="1931"/>
      <c r="M67" s="1924"/>
      <c r="N67" s="2090">
        <f t="shared" ref="N67" si="411">IF(N57&gt;$J$68,$J$67,IF(N57&lt;$J$68,(IF(N57&lt;0,0,N57*$K$67))))</f>
        <v>0</v>
      </c>
      <c r="O67" s="2088">
        <f t="shared" ref="O67:T67" si="412">IF(O57&gt;$J$68,$J$67,IF(O57&lt;$J$68,(IF(O57&lt;0,0,O57*$K$67))))</f>
        <v>0</v>
      </c>
      <c r="P67" s="2088">
        <f t="shared" si="412"/>
        <v>0</v>
      </c>
      <c r="Q67" s="2088">
        <f t="shared" si="412"/>
        <v>0</v>
      </c>
      <c r="R67" s="2088">
        <f t="shared" si="412"/>
        <v>0</v>
      </c>
      <c r="S67" s="2088">
        <f t="shared" si="412"/>
        <v>0</v>
      </c>
      <c r="T67" s="2091">
        <f t="shared" si="412"/>
        <v>0</v>
      </c>
      <c r="U67" s="1814"/>
      <c r="V67" s="2445">
        <f t="shared" si="58"/>
        <v>0</v>
      </c>
      <c r="W67" s="2650">
        <f>$J$67*0</f>
        <v>0</v>
      </c>
      <c r="X67" s="2651">
        <f t="shared" si="247"/>
        <v>0</v>
      </c>
      <c r="Y67" s="1766"/>
      <c r="Z67" s="2445">
        <f t="shared" ref="Z67:AF67" si="413">IF(Z57&gt;$J$68,$J$67,IF(Z57&lt;$J$68,(IF(Z57&lt;0,0,Z57*$K$67))))</f>
        <v>0</v>
      </c>
      <c r="AA67" s="2650">
        <f t="shared" si="413"/>
        <v>0</v>
      </c>
      <c r="AB67" s="2650">
        <f t="shared" si="413"/>
        <v>0</v>
      </c>
      <c r="AC67" s="2650">
        <f t="shared" si="413"/>
        <v>0</v>
      </c>
      <c r="AD67" s="2650">
        <f t="shared" si="413"/>
        <v>0</v>
      </c>
      <c r="AE67" s="2650">
        <f t="shared" si="413"/>
        <v>0</v>
      </c>
      <c r="AF67" s="2652">
        <f t="shared" si="413"/>
        <v>0</v>
      </c>
      <c r="AG67" s="1766"/>
      <c r="AH67" s="2445">
        <f t="shared" si="205"/>
        <v>0</v>
      </c>
      <c r="AI67" s="2650">
        <f>$J$67*0</f>
        <v>0</v>
      </c>
      <c r="AJ67" s="2651">
        <f t="shared" si="206"/>
        <v>0</v>
      </c>
      <c r="AK67" s="1766"/>
      <c r="AL67" s="2193">
        <f t="shared" ref="AL67:AM67" si="414">IF(AL57&gt;$J$68,$J$67,IF(AL57&lt;$J$68,(IF(AL57&lt;0,0,AL57*$K$67))))</f>
        <v>0</v>
      </c>
      <c r="AM67" s="2313">
        <f t="shared" si="414"/>
        <v>0</v>
      </c>
      <c r="AN67" s="2313">
        <f t="shared" ref="AN67:AO67" si="415">IF(AN57&gt;$J$68,$J$67,IF(AN57&lt;$J$68,(IF(AN57&lt;0,0,AN57*$K$67))))</f>
        <v>0</v>
      </c>
      <c r="AO67" s="2313">
        <f t="shared" si="415"/>
        <v>0</v>
      </c>
      <c r="AP67" s="2313">
        <f t="shared" ref="AP67:AQ67" si="416">IF(AP57&gt;$J$68,$J$67,IF(AP57&lt;$J$68,(IF(AP57&lt;0,0,AP57*$K$67))))</f>
        <v>0</v>
      </c>
      <c r="AQ67" s="2313">
        <f t="shared" si="416"/>
        <v>0</v>
      </c>
      <c r="AR67" s="2314">
        <f t="shared" ref="AR67" si="417">IF(AR57&gt;$J$68,$J$67,IF(AR57&lt;$J$68,(IF(AR57&lt;0,0,AR57*$K$67))))</f>
        <v>0</v>
      </c>
      <c r="AS67" s="1814"/>
      <c r="AT67" s="2445">
        <f t="shared" si="345"/>
        <v>0</v>
      </c>
      <c r="AU67" s="2650">
        <f>$J$67*0</f>
        <v>0</v>
      </c>
      <c r="AV67" s="2651">
        <f t="shared" si="346"/>
        <v>0</v>
      </c>
      <c r="AW67" s="1814"/>
      <c r="AX67" s="2445">
        <f t="shared" ref="AX67:BB67" si="418">IF(AX57&gt;$J$68,$J$67,IF(AX57&lt;$J$68,(IF(AX57&lt;0,0,AX57*$K$67))))</f>
        <v>0</v>
      </c>
      <c r="AY67" s="2445">
        <f t="shared" si="418"/>
        <v>0</v>
      </c>
      <c r="AZ67" s="2445">
        <f t="shared" si="418"/>
        <v>0</v>
      </c>
      <c r="BA67" s="2445">
        <f t="shared" si="418"/>
        <v>0</v>
      </c>
      <c r="BB67" s="2445">
        <f t="shared" si="418"/>
        <v>0</v>
      </c>
      <c r="BC67" s="2445">
        <f t="shared" ref="BC67:BD67" si="419">IF(BC57&gt;$J$68,$J$67,IF(BC57&lt;$J$68,(IF(BC57&lt;0,0,BC57*$K$67))))</f>
        <v>0</v>
      </c>
      <c r="BD67" s="2652">
        <f t="shared" si="419"/>
        <v>0</v>
      </c>
      <c r="BE67" s="1814"/>
      <c r="BF67" s="2445">
        <f t="shared" si="330"/>
        <v>0</v>
      </c>
      <c r="BG67" s="2650">
        <f>$J$67*0</f>
        <v>0</v>
      </c>
      <c r="BH67" s="2651">
        <f t="shared" si="331"/>
        <v>0</v>
      </c>
      <c r="BI67" s="1814"/>
      <c r="BJ67" s="2978">
        <f t="shared" ref="BJ67" si="420">IF(BJ57&gt;$J$68,$J$67,IF(BJ57&lt;$J$68,(IF(BJ57&lt;0,0,BJ57*$K$67))))</f>
        <v>0</v>
      </c>
      <c r="BK67" s="1814"/>
      <c r="BL67" s="2445">
        <f t="shared" si="333"/>
        <v>0</v>
      </c>
      <c r="BM67" s="2650">
        <f>$J$67*0</f>
        <v>0</v>
      </c>
      <c r="BN67" s="2651">
        <f t="shared" si="334"/>
        <v>0</v>
      </c>
      <c r="BP67" s="2193"/>
      <c r="BQ67" s="2654"/>
      <c r="BR67" s="1740"/>
      <c r="BS67" s="2193">
        <f t="shared" si="335"/>
        <v>0</v>
      </c>
      <c r="BT67" s="2195" t="e">
        <f t="shared" si="336"/>
        <v>#DIV/0!</v>
      </c>
      <c r="BU67" s="2351"/>
      <c r="BV67" s="4636"/>
      <c r="BY67" s="2946"/>
      <c r="BZ67" s="2946"/>
      <c r="CA67" s="1860"/>
      <c r="CB67" s="1860"/>
      <c r="CC67" s="1860"/>
      <c r="CD67" s="1860"/>
      <c r="CE67" s="1860"/>
      <c r="CF67" s="1860"/>
      <c r="CG67" s="1860"/>
    </row>
    <row r="68" spans="1:85" s="1885" customFormat="1" ht="17.25" thickBot="1" x14ac:dyDescent="0.25">
      <c r="B68" s="2697"/>
      <c r="C68" s="2698" t="s">
        <v>194</v>
      </c>
      <c r="D68" s="2119"/>
      <c r="E68" s="2183">
        <f>SUM(E59:E67)</f>
        <v>1664</v>
      </c>
      <c r="F68" s="2311">
        <f>SUM(F46:F67)</f>
        <v>153.15</v>
      </c>
      <c r="G68" s="2311">
        <f>SUM(G46:G67)</f>
        <v>102.10000000000001</v>
      </c>
      <c r="H68" s="2311">
        <f>SUM(H46:H67)</f>
        <v>76.575000000000003</v>
      </c>
      <c r="I68" s="2311">
        <f>SUM(I46:I67)</f>
        <v>61.260000000000005</v>
      </c>
      <c r="J68" s="2311">
        <f>SUM(J59:J67)</f>
        <v>57.37931034482758</v>
      </c>
      <c r="K68" s="2699">
        <f>SUM(K59:K67)</f>
        <v>1</v>
      </c>
      <c r="L68" s="2003"/>
      <c r="M68" s="1950"/>
      <c r="N68" s="2120">
        <f t="shared" ref="N68" si="421">SUM(N59:N67)</f>
        <v>0</v>
      </c>
      <c r="O68" s="2123">
        <f t="shared" ref="O68:T68" si="422">SUM(O59:O67)</f>
        <v>0</v>
      </c>
      <c r="P68" s="2123">
        <f t="shared" si="422"/>
        <v>3.9245172413793199</v>
      </c>
      <c r="Q68" s="2123">
        <f t="shared" si="422"/>
        <v>15.955017241379322</v>
      </c>
      <c r="R68" s="2123">
        <f t="shared" si="422"/>
        <v>16.662517241379319</v>
      </c>
      <c r="S68" s="2123">
        <f t="shared" si="422"/>
        <v>10.209517241379316</v>
      </c>
      <c r="T68" s="2124">
        <f t="shared" si="422"/>
        <v>0</v>
      </c>
      <c r="U68" s="1951"/>
      <c r="V68" s="2120">
        <f>SUM(V59:V67)</f>
        <v>46.751568965517279</v>
      </c>
      <c r="W68" s="2123">
        <f>SUM(W59:W67)</f>
        <v>0</v>
      </c>
      <c r="X68" s="2125">
        <f>SUM(X59:X67)</f>
        <v>46.751568965517279</v>
      </c>
      <c r="Y68" s="1956"/>
      <c r="Z68" s="2120">
        <f t="shared" ref="Z68:AF68" si="423">SUM(Z59:Z67)</f>
        <v>0</v>
      </c>
      <c r="AA68" s="2123">
        <f t="shared" si="423"/>
        <v>0</v>
      </c>
      <c r="AB68" s="2123">
        <f t="shared" si="423"/>
        <v>0</v>
      </c>
      <c r="AC68" s="2123">
        <f t="shared" si="423"/>
        <v>0</v>
      </c>
      <c r="AD68" s="2123">
        <f t="shared" si="423"/>
        <v>16.860517241379313</v>
      </c>
      <c r="AE68" s="2123">
        <f t="shared" si="423"/>
        <v>21.369517241379313</v>
      </c>
      <c r="AF68" s="2124">
        <f t="shared" si="423"/>
        <v>0</v>
      </c>
      <c r="AG68" s="1956"/>
      <c r="AH68" s="2120">
        <f>SUM(Z68:AF68)</f>
        <v>38.230034482758626</v>
      </c>
      <c r="AI68" s="2123">
        <f>SUM(AI59:AI67)</f>
        <v>0</v>
      </c>
      <c r="AJ68" s="2125">
        <f>SUM(AJ46:AJ67)</f>
        <v>107.74268965517247</v>
      </c>
      <c r="AK68" s="1956"/>
      <c r="AL68" s="2120">
        <f t="shared" ref="AL68:AM68" si="424">SUM(AL59:AL67)</f>
        <v>18.923017241379313</v>
      </c>
      <c r="AM68" s="2121">
        <f t="shared" si="424"/>
        <v>0</v>
      </c>
      <c r="AN68" s="2121">
        <f t="shared" ref="AN68:AO68" si="425">SUM(AN59:AN67)</f>
        <v>0</v>
      </c>
      <c r="AO68" s="2121">
        <f t="shared" si="425"/>
        <v>4.0745172413793185</v>
      </c>
      <c r="AP68" s="2121">
        <f t="shared" ref="AP68:AQ68" si="426">SUM(AP59:AP67)</f>
        <v>0</v>
      </c>
      <c r="AQ68" s="2121">
        <f t="shared" si="426"/>
        <v>0</v>
      </c>
      <c r="AR68" s="2124">
        <f t="shared" ref="AR68" si="427">SUM(AR59:AR67)</f>
        <v>0</v>
      </c>
      <c r="AS68" s="1951"/>
      <c r="AT68" s="2120">
        <f>SUM(AL68:AR68)</f>
        <v>22.997534482758631</v>
      </c>
      <c r="AU68" s="2123">
        <f>SUM(AU59:AU67)</f>
        <v>0</v>
      </c>
      <c r="AV68" s="2125">
        <f>SUM(AV46:AV67)</f>
        <v>130.03105172413805</v>
      </c>
      <c r="AW68" s="1951"/>
      <c r="AX68" s="2187">
        <f t="shared" ref="AX68:BB68" si="428">SUM(AX59:AX67)</f>
        <v>0</v>
      </c>
      <c r="AY68" s="2187">
        <f t="shared" si="428"/>
        <v>0</v>
      </c>
      <c r="AZ68" s="2187">
        <f t="shared" si="428"/>
        <v>16.483517241379317</v>
      </c>
      <c r="BA68" s="2187">
        <f t="shared" si="428"/>
        <v>0</v>
      </c>
      <c r="BB68" s="2187">
        <f t="shared" si="428"/>
        <v>8.9895172413793158</v>
      </c>
      <c r="BC68" s="2187">
        <f t="shared" ref="BC68:BD68" si="429">SUM(BC59:BC67)</f>
        <v>8.9895172413793158</v>
      </c>
      <c r="BD68" s="2309">
        <f t="shared" si="429"/>
        <v>36.550017241379315</v>
      </c>
      <c r="BE68" s="1951"/>
      <c r="BF68" s="2187">
        <f>SUM(AX68:BD68)</f>
        <v>71.012568965517261</v>
      </c>
      <c r="BG68" s="2701">
        <f>SUM(BG59:BG67)</f>
        <v>0</v>
      </c>
      <c r="BH68" s="2702">
        <f>SUM(BH46:BH67)</f>
        <v>163.84015517241383</v>
      </c>
      <c r="BI68" s="1951"/>
      <c r="BJ68" s="2979">
        <f t="shared" ref="BJ68" si="430">SUM(BJ59:BJ67)</f>
        <v>14.651017241379321</v>
      </c>
      <c r="BK68" s="1951"/>
      <c r="BL68" s="2187">
        <f t="shared" si="333"/>
        <v>14.651017241379321</v>
      </c>
      <c r="BM68" s="2701">
        <f>SUM(BM46:BM67)</f>
        <v>0</v>
      </c>
      <c r="BN68" s="2702">
        <f>SUM(BN46:BN67)</f>
        <v>37.857913793103457</v>
      </c>
      <c r="BP68" s="2187">
        <f>X68+AJ68+AV68</f>
        <v>284.5253103448278</v>
      </c>
      <c r="BQ68" s="2427"/>
      <c r="BR68" s="1900"/>
      <c r="BS68" s="2187">
        <f>SUM(BS59:BS67)</f>
        <v>193.64272413793108</v>
      </c>
      <c r="BT68" s="2189">
        <f t="shared" si="336"/>
        <v>0.11637182940981436</v>
      </c>
      <c r="BU68" s="2353"/>
      <c r="BV68" s="4637"/>
      <c r="BY68" s="2943"/>
      <c r="BZ68" s="1946"/>
      <c r="CA68" s="1946"/>
      <c r="CB68" s="1946"/>
      <c r="CC68" s="1946"/>
      <c r="CD68" s="1946"/>
      <c r="CE68" s="1946"/>
      <c r="CF68" s="1946"/>
      <c r="CG68" s="1946"/>
    </row>
    <row r="69" spans="1:85" s="1860" customFormat="1" ht="4.5" customHeight="1" x14ac:dyDescent="0.2">
      <c r="B69" s="2196"/>
      <c r="C69" s="2196"/>
      <c r="D69" s="1861"/>
      <c r="E69" s="2197"/>
      <c r="F69" s="2197"/>
      <c r="G69" s="2197"/>
      <c r="H69" s="2197"/>
      <c r="I69" s="2197"/>
      <c r="J69" s="2197"/>
      <c r="K69" s="2198"/>
      <c r="L69" s="1760"/>
      <c r="M69" s="2946"/>
      <c r="N69" s="2197"/>
      <c r="O69" s="2197"/>
      <c r="P69" s="2197"/>
      <c r="Q69" s="2197"/>
      <c r="R69" s="2197"/>
      <c r="S69" s="2197"/>
      <c r="T69" s="2197"/>
      <c r="U69" s="2947"/>
      <c r="V69" s="2947"/>
      <c r="W69" s="2947"/>
      <c r="X69" s="2947"/>
      <c r="Y69" s="1862"/>
      <c r="Z69" s="2199"/>
      <c r="AA69" s="2199"/>
      <c r="AB69" s="2199"/>
      <c r="AC69" s="2199"/>
      <c r="AD69" s="2199"/>
      <c r="AE69" s="2199"/>
      <c r="AF69" s="2199"/>
      <c r="AG69" s="1862"/>
      <c r="AH69" s="2947"/>
      <c r="AI69" s="2947"/>
      <c r="AJ69" s="2947"/>
      <c r="AK69" s="1862"/>
      <c r="AL69" s="2197"/>
      <c r="AM69" s="2197"/>
      <c r="AN69" s="2197"/>
      <c r="AO69" s="2197"/>
      <c r="AP69" s="2197"/>
      <c r="AQ69" s="2197"/>
      <c r="AR69" s="2197"/>
      <c r="AS69" s="2947"/>
      <c r="AT69" s="2947"/>
      <c r="AU69" s="2947"/>
      <c r="AV69" s="2947"/>
      <c r="AW69" s="2947"/>
      <c r="AX69" s="2197"/>
      <c r="AY69" s="2197"/>
      <c r="AZ69" s="2197"/>
      <c r="BA69" s="2197"/>
      <c r="BB69" s="2197"/>
      <c r="BC69" s="2197"/>
      <c r="BD69" s="2197"/>
      <c r="BE69" s="2947"/>
      <c r="BF69" s="2947"/>
      <c r="BG69" s="2947"/>
      <c r="BH69" s="2947"/>
      <c r="BI69" s="2947"/>
      <c r="BJ69" s="2197"/>
      <c r="BK69" s="2947"/>
      <c r="BL69" s="2947"/>
      <c r="BM69" s="2947"/>
      <c r="BN69" s="2947"/>
      <c r="BP69" s="2197"/>
      <c r="BQ69" s="2200"/>
      <c r="BR69" s="1861"/>
      <c r="BS69" s="2197"/>
      <c r="BT69" s="2198"/>
      <c r="BU69" s="1997"/>
      <c r="BV69" s="2946"/>
    </row>
    <row r="70" spans="1:85" s="1860" customFormat="1" ht="15.75" customHeight="1" x14ac:dyDescent="0.2">
      <c r="B70" s="2196"/>
      <c r="C70" s="2197"/>
      <c r="D70" s="1861"/>
      <c r="E70" s="1732">
        <f>E55+E68</f>
        <v>2000.5</v>
      </c>
      <c r="F70" s="1732">
        <f t="shared" ref="F70:I70" si="431">F55+F68</f>
        <v>153.15</v>
      </c>
      <c r="G70" s="1732">
        <f t="shared" si="431"/>
        <v>102.10000000000001</v>
      </c>
      <c r="H70" s="1732">
        <f t="shared" si="431"/>
        <v>76.575000000000003</v>
      </c>
      <c r="I70" s="1732">
        <f t="shared" si="431"/>
        <v>61.260000000000005</v>
      </c>
      <c r="J70" s="1732">
        <f>J55+J68</f>
        <v>68.982758620689651</v>
      </c>
      <c r="K70" s="1882">
        <f>E70/E89</f>
        <v>0.39585250264660199</v>
      </c>
      <c r="L70" s="1760"/>
      <c r="M70" s="2946"/>
      <c r="N70" s="1732">
        <f>N57-N68</f>
        <v>0</v>
      </c>
      <c r="O70" s="1732">
        <f t="shared" ref="O70:T70" si="432">O57-O68</f>
        <v>-8.8900344827586082</v>
      </c>
      <c r="P70" s="1732">
        <f t="shared" si="432"/>
        <v>0</v>
      </c>
      <c r="Q70" s="1732">
        <f t="shared" si="432"/>
        <v>0</v>
      </c>
      <c r="R70" s="1732">
        <f t="shared" si="432"/>
        <v>0</v>
      </c>
      <c r="S70" s="1732">
        <f t="shared" si="432"/>
        <v>0</v>
      </c>
      <c r="T70" s="1732">
        <f t="shared" si="432"/>
        <v>-18.44853448275861</v>
      </c>
      <c r="U70" s="2947"/>
      <c r="V70" s="2947"/>
      <c r="W70" s="2947"/>
      <c r="X70" s="2947"/>
      <c r="Y70" s="1862"/>
      <c r="Z70" s="1732">
        <f t="shared" ref="Z70:AF70" si="433">Z57-Z68</f>
        <v>0</v>
      </c>
      <c r="AA70" s="1732">
        <f t="shared" si="433"/>
        <v>-5.5145344827586058</v>
      </c>
      <c r="AB70" s="1732">
        <f t="shared" si="433"/>
        <v>-32.345534482758609</v>
      </c>
      <c r="AC70" s="1732">
        <f t="shared" si="433"/>
        <v>0</v>
      </c>
      <c r="AD70" s="1732">
        <f t="shared" si="433"/>
        <v>0</v>
      </c>
      <c r="AE70" s="1732">
        <f t="shared" si="433"/>
        <v>0</v>
      </c>
      <c r="AF70" s="1732">
        <f t="shared" si="433"/>
        <v>-6.2985344827586118</v>
      </c>
      <c r="AG70" s="1862"/>
      <c r="AH70" s="2947"/>
      <c r="AI70" s="2947"/>
      <c r="AJ70" s="2947"/>
      <c r="AK70" s="1862"/>
      <c r="AL70" s="1732">
        <f t="shared" ref="AL70:AM70" si="434">AL57-AL68</f>
        <v>0</v>
      </c>
      <c r="AM70" s="1732">
        <f t="shared" si="434"/>
        <v>0</v>
      </c>
      <c r="AN70" s="1732">
        <f t="shared" ref="AN70:AO70" si="435">AN57-AN68</f>
        <v>0</v>
      </c>
      <c r="AO70" s="1732">
        <f t="shared" si="435"/>
        <v>0</v>
      </c>
      <c r="AP70" s="1732">
        <f t="shared" ref="AP70:AQ70" si="436">AP57-AP68</f>
        <v>0</v>
      </c>
      <c r="AQ70" s="1732">
        <f t="shared" si="436"/>
        <v>-4.0365344827586114</v>
      </c>
      <c r="AR70" s="1732">
        <f t="shared" ref="AR70" si="437">AR57-AR68</f>
        <v>0</v>
      </c>
      <c r="AS70" s="2947"/>
      <c r="AT70" s="2947"/>
      <c r="AU70" s="2947"/>
      <c r="AV70" s="2947"/>
      <c r="AW70" s="2947"/>
      <c r="AX70" s="1732">
        <f t="shared" ref="AX70:BB70" si="438">AX57-AX68</f>
        <v>-1.1080344827586117</v>
      </c>
      <c r="AY70" s="1732">
        <f t="shared" si="438"/>
        <v>-7.8460344827586113</v>
      </c>
      <c r="AZ70" s="1732">
        <f t="shared" si="438"/>
        <v>0</v>
      </c>
      <c r="BA70" s="1732">
        <f t="shared" si="438"/>
        <v>-13.288534482758607</v>
      </c>
      <c r="BB70" s="1732">
        <f t="shared" si="438"/>
        <v>0</v>
      </c>
      <c r="BC70" s="1732">
        <f t="shared" ref="BC70:BD70" si="439">BC57-BC68</f>
        <v>0</v>
      </c>
      <c r="BD70" s="1732">
        <f t="shared" si="439"/>
        <v>0</v>
      </c>
      <c r="BE70" s="2947"/>
      <c r="BF70" s="2947"/>
      <c r="BG70" s="2947"/>
      <c r="BH70" s="2947"/>
      <c r="BI70" s="2947"/>
      <c r="BJ70" s="1732">
        <f t="shared" ref="BJ70" si="440">BJ57-BJ68</f>
        <v>0</v>
      </c>
      <c r="BK70" s="2947"/>
      <c r="BL70" s="2947"/>
      <c r="BM70" s="2947"/>
      <c r="BN70" s="2947"/>
      <c r="BP70" s="1732"/>
      <c r="BQ70" s="2211"/>
      <c r="BR70" s="1861"/>
      <c r="BS70" s="1732"/>
      <c r="BT70" s="1882"/>
      <c r="BU70" s="1997"/>
      <c r="BV70" s="2946"/>
    </row>
    <row r="71" spans="1:85" s="1860" customFormat="1" ht="4.5" customHeight="1" thickBot="1" x14ac:dyDescent="0.25">
      <c r="B71" s="2196"/>
      <c r="C71" s="2196"/>
      <c r="D71" s="1861"/>
      <c r="E71" s="2197"/>
      <c r="F71" s="2197"/>
      <c r="G71" s="2197"/>
      <c r="H71" s="2197"/>
      <c r="I71" s="2197"/>
      <c r="J71" s="2197"/>
      <c r="K71" s="2198"/>
      <c r="L71" s="1760"/>
      <c r="M71" s="2946"/>
      <c r="N71" s="2947"/>
      <c r="O71" s="2947"/>
      <c r="P71" s="2947"/>
      <c r="Q71" s="2947"/>
      <c r="R71" s="2947"/>
      <c r="S71" s="2947"/>
      <c r="T71" s="2947"/>
      <c r="U71" s="2947"/>
      <c r="V71" s="2947"/>
      <c r="W71" s="2947"/>
      <c r="X71" s="2947"/>
      <c r="Y71" s="1862"/>
      <c r="Z71" s="2232"/>
      <c r="AA71" s="2232"/>
      <c r="AB71" s="2232"/>
      <c r="AC71" s="2232"/>
      <c r="AD71" s="2232"/>
      <c r="AE71" s="2232"/>
      <c r="AF71" s="2232"/>
      <c r="AG71" s="1862"/>
      <c r="AH71" s="2947"/>
      <c r="AI71" s="2947"/>
      <c r="AJ71" s="2947"/>
      <c r="AK71" s="1862"/>
      <c r="AL71" s="2232"/>
      <c r="AM71" s="2232"/>
      <c r="AN71" s="2232"/>
      <c r="AO71" s="2232"/>
      <c r="AP71" s="2232"/>
      <c r="AQ71" s="2232"/>
      <c r="AR71" s="2232"/>
      <c r="AS71" s="2947"/>
      <c r="AT71" s="2947"/>
      <c r="AU71" s="2947"/>
      <c r="AV71" s="2947"/>
      <c r="AW71" s="2947"/>
      <c r="AX71" s="2232"/>
      <c r="AY71" s="2232"/>
      <c r="AZ71" s="2232"/>
      <c r="BA71" s="2232"/>
      <c r="BB71" s="2232"/>
      <c r="BC71" s="2232"/>
      <c r="BD71" s="2232"/>
      <c r="BE71" s="2947"/>
      <c r="BF71" s="2947"/>
      <c r="BG71" s="2947"/>
      <c r="BH71" s="2947"/>
      <c r="BI71" s="2947"/>
      <c r="BJ71" s="2199"/>
      <c r="BK71" s="2947"/>
      <c r="BL71" s="2947"/>
      <c r="BM71" s="2947"/>
      <c r="BN71" s="2947"/>
      <c r="BP71" s="2199"/>
      <c r="BQ71" s="2203"/>
      <c r="BR71" s="1861"/>
      <c r="BS71" s="2199"/>
      <c r="BT71" s="2204"/>
      <c r="BU71" s="1997"/>
      <c r="BV71" s="2946"/>
    </row>
    <row r="72" spans="1:85" s="1885" customFormat="1" ht="17.25" thickBot="1" x14ac:dyDescent="0.25">
      <c r="B72" s="2401"/>
      <c r="C72" s="2401" t="s">
        <v>151</v>
      </c>
      <c r="D72" s="2402"/>
      <c r="E72" s="1898">
        <f>(E68+E55)*100/20</f>
        <v>10002.5</v>
      </c>
      <c r="F72" s="1898" t="e">
        <f>#REF!+F68</f>
        <v>#REF!</v>
      </c>
      <c r="G72" s="1898" t="e">
        <f>#REF!+G68</f>
        <v>#REF!</v>
      </c>
      <c r="H72" s="1898" t="e">
        <f>#REF!+H68</f>
        <v>#REF!</v>
      </c>
      <c r="I72" s="1898" t="e">
        <f>#REF!+I68</f>
        <v>#REF!</v>
      </c>
      <c r="J72" s="1898">
        <f>(J68+J55)*100/20</f>
        <v>344.91379310344826</v>
      </c>
      <c r="K72" s="1899">
        <f>E72/E87</f>
        <v>0.39585250264660204</v>
      </c>
      <c r="L72" s="1949"/>
      <c r="M72" s="2943"/>
      <c r="N72" s="2941"/>
      <c r="O72" s="2941"/>
      <c r="P72" s="2941"/>
      <c r="Q72" s="2941"/>
      <c r="R72" s="2941"/>
      <c r="S72" s="2941"/>
      <c r="T72" s="2941"/>
      <c r="U72" s="2944"/>
      <c r="V72" s="2319"/>
      <c r="W72" s="2321"/>
      <c r="X72" s="2433"/>
      <c r="Y72" s="1897"/>
      <c r="Z72" s="2941"/>
      <c r="AA72" s="2941"/>
      <c r="AB72" s="2941"/>
      <c r="AC72" s="2941"/>
      <c r="AD72" s="2941"/>
      <c r="AE72" s="2941"/>
      <c r="AF72" s="2941"/>
      <c r="AG72" s="1896"/>
      <c r="AH72" s="2319"/>
      <c r="AI72" s="2321"/>
      <c r="AJ72" s="2433"/>
      <c r="AK72" s="1897"/>
      <c r="AL72" s="2941"/>
      <c r="AM72" s="2941"/>
      <c r="AN72" s="2981"/>
      <c r="AO72" s="2997"/>
      <c r="AP72" s="3000"/>
      <c r="AQ72" s="3000"/>
      <c r="AR72" s="2941"/>
      <c r="AS72" s="2295"/>
      <c r="AT72" s="2319"/>
      <c r="AU72" s="2321"/>
      <c r="AV72" s="2433"/>
      <c r="AW72" s="2944"/>
      <c r="AX72" s="2941"/>
      <c r="AY72" s="3002"/>
      <c r="AZ72" s="3002"/>
      <c r="BA72" s="3002"/>
      <c r="BB72" s="3002"/>
      <c r="BC72" s="3005"/>
      <c r="BD72" s="2941"/>
      <c r="BE72" s="2295"/>
      <c r="BF72" s="2319">
        <f t="shared" ref="BF72:BF73" si="441">SUM(AX72:BD72)</f>
        <v>0</v>
      </c>
      <c r="BG72" s="2321"/>
      <c r="BH72" s="2433"/>
      <c r="BI72" s="2944"/>
      <c r="BJ72" s="1898"/>
      <c r="BK72" s="2944"/>
      <c r="BL72" s="2319">
        <f>SUM(BJ72:BJ72)</f>
        <v>0</v>
      </c>
      <c r="BM72" s="2321"/>
      <c r="BN72" s="2433"/>
      <c r="BP72" s="1898"/>
      <c r="BQ72" s="2202"/>
      <c r="BR72" s="1900"/>
      <c r="BS72" s="1898"/>
      <c r="BT72" s="1899"/>
      <c r="BU72" s="2010"/>
      <c r="BV72" s="2943"/>
    </row>
    <row r="73" spans="1:85" s="1726" customFormat="1" ht="17.25" thickBot="1" x14ac:dyDescent="0.25">
      <c r="B73" s="2049"/>
      <c r="C73" s="2050" t="s">
        <v>149</v>
      </c>
      <c r="D73" s="2051"/>
      <c r="E73" s="2052"/>
      <c r="F73" s="2053"/>
      <c r="G73" s="2053"/>
      <c r="H73" s="2053"/>
      <c r="I73" s="2053"/>
      <c r="J73" s="2053"/>
      <c r="K73" s="2253"/>
      <c r="L73" s="2216"/>
      <c r="M73" s="2055"/>
      <c r="N73" s="2056">
        <f>IF(N70&gt;$J$70,N70,IF(N70&lt;$J$70,(IF(N70&lt;0,-68.983,N57-$J$68))))</f>
        <v>-57.37931034482758</v>
      </c>
      <c r="O73" s="2053">
        <f t="shared" ref="O73:T73" si="442">IF(O70&gt;$J$70,O70,IF(O70&lt;$J$70,(IF(O70&lt;0,-68.983,O57-$J$68))))</f>
        <v>-68.983000000000004</v>
      </c>
      <c r="P73" s="2053">
        <f t="shared" si="442"/>
        <v>-53.45479310344826</v>
      </c>
      <c r="Q73" s="2053">
        <f t="shared" si="442"/>
        <v>-41.424293103448257</v>
      </c>
      <c r="R73" s="2053">
        <f t="shared" si="442"/>
        <v>-40.716793103448261</v>
      </c>
      <c r="S73" s="2053">
        <f t="shared" si="442"/>
        <v>-47.169793103448264</v>
      </c>
      <c r="T73" s="2057">
        <f t="shared" si="442"/>
        <v>-68.983000000000004</v>
      </c>
      <c r="U73" s="1814"/>
      <c r="V73" s="2056">
        <f>SUM(N73:T73)</f>
        <v>-378.11098275862065</v>
      </c>
      <c r="W73" s="2052"/>
      <c r="X73" s="2057"/>
      <c r="Y73" s="1766"/>
      <c r="Z73" s="2056">
        <f t="shared" ref="Z73:AF73" si="443">IF(Z70&gt;$J$70,Z70,IF(Z70&lt;$J$70,(IF(Z70&lt;0,-68.983,Z57-$J$68))))</f>
        <v>-57.37931034482758</v>
      </c>
      <c r="AA73" s="2053">
        <f t="shared" si="443"/>
        <v>-68.983000000000004</v>
      </c>
      <c r="AB73" s="2053">
        <f t="shared" si="443"/>
        <v>-68.983000000000004</v>
      </c>
      <c r="AC73" s="2053">
        <f t="shared" si="443"/>
        <v>-57.37931034482758</v>
      </c>
      <c r="AD73" s="2053">
        <f t="shared" si="443"/>
        <v>-40.518793103448267</v>
      </c>
      <c r="AE73" s="2053">
        <f t="shared" si="443"/>
        <v>-36.009793103448267</v>
      </c>
      <c r="AF73" s="2053">
        <f t="shared" si="443"/>
        <v>-68.983000000000004</v>
      </c>
      <c r="AG73" s="1766"/>
      <c r="AH73" s="2056">
        <f>SUM(Z73:AF73)</f>
        <v>-398.23620689655172</v>
      </c>
      <c r="AI73" s="2052"/>
      <c r="AJ73" s="2057"/>
      <c r="AK73" s="1764"/>
      <c r="AL73" s="2056">
        <f t="shared" ref="AL73:AM73" si="444">IF(AL70&gt;$J$70,AL70,IF(AL70&lt;$J$70,(IF(AL70&lt;0,-68.983,AL57-$J$68))))</f>
        <v>-38.456293103448267</v>
      </c>
      <c r="AM73" s="2053">
        <f t="shared" si="444"/>
        <v>-57.37931034482758</v>
      </c>
      <c r="AN73" s="2053">
        <f t="shared" ref="AN73:AO73" si="445">IF(AN70&gt;$J$70,AN70,IF(AN70&lt;$J$70,(IF(AN70&lt;0,-68.983,AN57-$J$68))))</f>
        <v>-57.37931034482758</v>
      </c>
      <c r="AO73" s="2053">
        <f t="shared" si="445"/>
        <v>-53.304793103448262</v>
      </c>
      <c r="AP73" s="2053">
        <f t="shared" ref="AP73:AQ73" si="446">IF(AP70&gt;$J$70,AP70,IF(AP70&lt;$J$70,(IF(AP70&lt;0,-68.983,AP57-$J$68))))</f>
        <v>-57.37931034482758</v>
      </c>
      <c r="AQ73" s="2053">
        <f t="shared" si="446"/>
        <v>-68.983000000000004</v>
      </c>
      <c r="AR73" s="2057">
        <f t="shared" ref="AR73" si="447">IF(AR70&gt;$J$70,AR70,IF(AR70&lt;$J$70,(IF(AR70&lt;0,-68.983,AR57-$J$68))))</f>
        <v>-57.37931034482758</v>
      </c>
      <c r="AS73" s="2300"/>
      <c r="AT73" s="2056">
        <f t="shared" ref="AT73" si="448">SUM(AL73:AR73)</f>
        <v>-390.26132758620679</v>
      </c>
      <c r="AU73" s="2052"/>
      <c r="AV73" s="2057"/>
      <c r="AW73" s="1814"/>
      <c r="AX73" s="2056">
        <f t="shared" ref="AX73:BB73" si="449">IF(AX70&gt;$J$70,AX70,IF(AX70&lt;$J$70,(IF(AX70&lt;0,-68.983,AX57-$J$68))))</f>
        <v>-68.983000000000004</v>
      </c>
      <c r="AY73" s="2056">
        <f t="shared" si="449"/>
        <v>-68.983000000000004</v>
      </c>
      <c r="AZ73" s="2056">
        <f t="shared" si="449"/>
        <v>-40.895793103448263</v>
      </c>
      <c r="BA73" s="2056">
        <f t="shared" si="449"/>
        <v>-68.983000000000004</v>
      </c>
      <c r="BB73" s="2056">
        <f t="shared" si="449"/>
        <v>-48.389793103448262</v>
      </c>
      <c r="BC73" s="2056">
        <f t="shared" ref="BC73:BD73" si="450">IF(BC70&gt;$J$70,BC70,IF(BC70&lt;$J$70,(IF(BC70&lt;0,-68.983,BC57-$J$68))))</f>
        <v>-48.389793103448262</v>
      </c>
      <c r="BD73" s="2057">
        <f t="shared" si="450"/>
        <v>-20.829293103448258</v>
      </c>
      <c r="BE73" s="1814"/>
      <c r="BF73" s="2056">
        <f t="shared" si="441"/>
        <v>-365.45367241379307</v>
      </c>
      <c r="BG73" s="2052"/>
      <c r="BH73" s="2057"/>
      <c r="BI73" s="1740"/>
      <c r="BJ73" s="2976">
        <f t="shared" ref="BJ73" si="451">IF(BJ70&gt;$J$70,BJ70,IF(BJ70&lt;$J$70,(IF(BJ70&lt;0,-68.983,BJ57-$J$68))))</f>
        <v>-42.728293103448259</v>
      </c>
      <c r="BK73" s="2301"/>
      <c r="BL73" s="2058">
        <f>SUM(BJ73:BJ73)</f>
        <v>-42.728293103448259</v>
      </c>
      <c r="BM73" s="2324"/>
      <c r="BN73" s="2190"/>
      <c r="BO73" s="1862"/>
      <c r="BP73" s="2058">
        <f>SUM(N73:T73)+SUM(Z73:AF73)+SUM(AL73:AR73)+SUM(AX73:BD73)+SUM(BJ73:BJ73)</f>
        <v>-1574.7904827586206</v>
      </c>
      <c r="BQ73" s="2054"/>
      <c r="BR73" s="1740"/>
      <c r="BS73" s="1740"/>
      <c r="BT73" s="1740"/>
      <c r="BU73" s="1861"/>
    </row>
    <row r="74" spans="1:85" s="1756" customFormat="1" ht="17.25" thickBot="1" x14ac:dyDescent="0.25">
      <c r="B74" s="1817"/>
      <c r="C74" s="1817"/>
      <c r="D74" s="1817"/>
      <c r="E74" s="1814"/>
      <c r="F74" s="1814"/>
      <c r="G74" s="1814"/>
      <c r="H74" s="1814"/>
      <c r="I74" s="1814"/>
      <c r="J74" s="1814"/>
      <c r="K74" s="1818"/>
      <c r="L74" s="2216"/>
      <c r="M74" s="2055"/>
      <c r="N74" s="1814"/>
      <c r="O74" s="1814"/>
      <c r="P74" s="1814"/>
      <c r="Q74" s="1814"/>
      <c r="R74" s="1814"/>
      <c r="S74" s="1814"/>
      <c r="T74" s="1814"/>
      <c r="U74" s="1814"/>
      <c r="V74" s="1814"/>
      <c r="W74" s="1814"/>
      <c r="X74" s="1814"/>
      <c r="Y74" s="1766"/>
      <c r="Z74" s="1814"/>
      <c r="AA74" s="1814"/>
      <c r="AB74" s="1814"/>
      <c r="AC74" s="1814"/>
      <c r="AD74" s="1814"/>
      <c r="AE74" s="1814"/>
      <c r="AF74" s="1814"/>
      <c r="AG74" s="1766"/>
      <c r="AH74" s="1814"/>
      <c r="AI74" s="1814"/>
      <c r="AJ74" s="1814"/>
      <c r="AK74" s="1766"/>
      <c r="AL74" s="1814"/>
      <c r="AM74" s="1814"/>
      <c r="AN74" s="1814"/>
      <c r="AO74" s="1814"/>
      <c r="AP74" s="1814"/>
      <c r="AQ74" s="1814"/>
      <c r="AR74" s="1814"/>
      <c r="AS74" s="1814"/>
      <c r="AT74" s="1814"/>
      <c r="AU74" s="1814"/>
      <c r="AV74" s="1814"/>
      <c r="AW74" s="1814"/>
      <c r="AX74" s="1814"/>
      <c r="AY74" s="1814"/>
      <c r="AZ74" s="1814"/>
      <c r="BA74" s="1814"/>
      <c r="BB74" s="1814"/>
      <c r="BC74" s="1814"/>
      <c r="BD74" s="1814"/>
      <c r="BE74" s="1814"/>
      <c r="BF74" s="1814"/>
      <c r="BG74" s="1814"/>
      <c r="BH74" s="1814"/>
      <c r="BI74" s="1814"/>
      <c r="BJ74" s="1814"/>
      <c r="BK74" s="1814"/>
      <c r="BL74" s="1814"/>
      <c r="BM74" s="1814"/>
      <c r="BN74" s="1814"/>
      <c r="BO74" s="1766"/>
      <c r="BP74" s="1814"/>
      <c r="BQ74" s="1830"/>
      <c r="BR74" s="2942"/>
      <c r="BS74" s="2942"/>
      <c r="BT74" s="2942"/>
      <c r="BU74" s="1817"/>
    </row>
    <row r="75" spans="1:85" s="1947" customFormat="1" x14ac:dyDescent="0.2">
      <c r="A75" s="2217"/>
      <c r="B75" s="2218">
        <v>56</v>
      </c>
      <c r="C75" s="2218" t="s">
        <v>74</v>
      </c>
      <c r="D75" s="2219"/>
      <c r="E75" s="2007">
        <v>350</v>
      </c>
      <c r="F75" s="2007">
        <f t="shared" ref="F75:F84" si="452">E75/10</f>
        <v>35</v>
      </c>
      <c r="G75" s="2007">
        <f t="shared" ref="G75:G76" si="453">E75/15</f>
        <v>23.333333333333332</v>
      </c>
      <c r="H75" s="2007">
        <f t="shared" ref="H75:H76" si="454">E75/20</f>
        <v>17.5</v>
      </c>
      <c r="I75" s="2007">
        <f t="shared" ref="I75:I76" si="455">E75/25</f>
        <v>14</v>
      </c>
      <c r="J75" s="2007">
        <f>E75/29</f>
        <v>12.068965517241379</v>
      </c>
      <c r="K75" s="2008">
        <f>E75/E89</f>
        <v>6.9256873744719172E-2</v>
      </c>
      <c r="L75" s="1949"/>
      <c r="M75" s="1905"/>
      <c r="N75" s="2007">
        <f>$E$75/31</f>
        <v>11.290322580645162</v>
      </c>
      <c r="O75" s="2007">
        <f t="shared" ref="O75:T75" si="456">$E$75/31</f>
        <v>11.290322580645162</v>
      </c>
      <c r="P75" s="2007">
        <f t="shared" si="456"/>
        <v>11.290322580645162</v>
      </c>
      <c r="Q75" s="2007">
        <f t="shared" si="456"/>
        <v>11.290322580645162</v>
      </c>
      <c r="R75" s="2007">
        <f t="shared" si="456"/>
        <v>11.290322580645162</v>
      </c>
      <c r="S75" s="2007">
        <f t="shared" si="456"/>
        <v>11.290322580645162</v>
      </c>
      <c r="T75" s="2007">
        <f t="shared" si="456"/>
        <v>11.290322580645162</v>
      </c>
      <c r="U75" s="1951"/>
      <c r="V75" s="2220">
        <f t="shared" si="58"/>
        <v>79.032258064516142</v>
      </c>
      <c r="W75" s="2221"/>
      <c r="X75" s="2222"/>
      <c r="Y75" s="1955"/>
      <c r="Z75" s="2223">
        <f t="shared" ref="Z75:AF75" si="457">$E$75/31</f>
        <v>11.290322580645162</v>
      </c>
      <c r="AA75" s="2223">
        <f t="shared" si="457"/>
        <v>11.290322580645162</v>
      </c>
      <c r="AB75" s="2223">
        <f t="shared" si="457"/>
        <v>11.290322580645162</v>
      </c>
      <c r="AC75" s="2223">
        <f t="shared" si="457"/>
        <v>11.290322580645162</v>
      </c>
      <c r="AD75" s="2223">
        <f t="shared" si="457"/>
        <v>11.290322580645162</v>
      </c>
      <c r="AE75" s="2223">
        <f t="shared" si="457"/>
        <v>11.290322580645162</v>
      </c>
      <c r="AF75" s="2223">
        <f t="shared" si="457"/>
        <v>11.290322580645162</v>
      </c>
      <c r="AG75" s="1955"/>
      <c r="AH75" s="2220">
        <f t="shared" ref="AH75:AH76" si="458">SUM(Z75:AF75)</f>
        <v>79.032258064516142</v>
      </c>
      <c r="AI75" s="2221"/>
      <c r="AJ75" s="2222"/>
      <c r="AK75" s="1955"/>
      <c r="AL75" s="2223">
        <f t="shared" ref="AL75:AR75" si="459">$E$75/31</f>
        <v>11.290322580645162</v>
      </c>
      <c r="AM75" s="2223">
        <f t="shared" si="459"/>
        <v>11.290322580645162</v>
      </c>
      <c r="AN75" s="2223">
        <f t="shared" si="459"/>
        <v>11.290322580645162</v>
      </c>
      <c r="AO75" s="2223">
        <f t="shared" si="459"/>
        <v>11.290322580645162</v>
      </c>
      <c r="AP75" s="2223">
        <f t="shared" si="459"/>
        <v>11.290322580645162</v>
      </c>
      <c r="AQ75" s="2223">
        <f t="shared" si="459"/>
        <v>11.290322580645162</v>
      </c>
      <c r="AR75" s="2223">
        <f t="shared" si="459"/>
        <v>11.290322580645162</v>
      </c>
      <c r="AS75" s="2299"/>
      <c r="AT75" s="2220">
        <f t="shared" ref="AT75:AT78" si="460">SUM(AL75:AR75)</f>
        <v>79.032258064516142</v>
      </c>
      <c r="AU75" s="2221"/>
      <c r="AV75" s="2222"/>
      <c r="AW75" s="2299"/>
      <c r="AX75" s="2223">
        <f t="shared" ref="AX75:BD75" si="461">$E$75/31</f>
        <v>11.290322580645162</v>
      </c>
      <c r="AY75" s="2223">
        <f t="shared" si="461"/>
        <v>11.290322580645162</v>
      </c>
      <c r="AZ75" s="2223">
        <f t="shared" si="461"/>
        <v>11.290322580645162</v>
      </c>
      <c r="BA75" s="2223">
        <f t="shared" si="461"/>
        <v>11.290322580645162</v>
      </c>
      <c r="BB75" s="2223">
        <f t="shared" si="461"/>
        <v>11.290322580645162</v>
      </c>
      <c r="BC75" s="2223">
        <f t="shared" si="461"/>
        <v>11.290322580645162</v>
      </c>
      <c r="BD75" s="2223">
        <f t="shared" si="461"/>
        <v>11.290322580645162</v>
      </c>
      <c r="BE75" s="2299"/>
      <c r="BF75" s="2220">
        <f t="shared" ref="BF75:BF76" si="462">SUM(AX75:BD75)</f>
        <v>79.032258064516142</v>
      </c>
      <c r="BG75" s="2221"/>
      <c r="BH75" s="2222"/>
      <c r="BI75" s="1951"/>
      <c r="BJ75" s="2007">
        <f t="shared" ref="BJ75" si="463">$E$75/31</f>
        <v>11.290322580645162</v>
      </c>
      <c r="BK75" s="1951"/>
      <c r="BL75" s="2220">
        <f>SUM(BJ75:BJ75)</f>
        <v>11.290322580645162</v>
      </c>
      <c r="BM75" s="2221"/>
      <c r="BN75" s="2222"/>
      <c r="BP75" s="2007">
        <f>SUM(N75:T75)+SUM(Z75:AF75)+SUM(AL75:AR75)+SUM(AX75:BD75)+SUM(BJ75:BJ75)</f>
        <v>327.41935483870975</v>
      </c>
      <c r="BQ75" s="2008">
        <f>BP75/E75</f>
        <v>0.9354838709677421</v>
      </c>
      <c r="BR75" s="1959"/>
      <c r="BS75" s="2224"/>
      <c r="BT75" s="2225"/>
      <c r="BU75" s="2339"/>
      <c r="BV75" s="1950"/>
    </row>
    <row r="76" spans="1:85" s="1860" customFormat="1" ht="17.25" thickBot="1" x14ac:dyDescent="0.25">
      <c r="B76" s="1739"/>
      <c r="C76" s="1739" t="s">
        <v>153</v>
      </c>
      <c r="D76" s="2205"/>
      <c r="E76" s="1732">
        <f>E75*100/20</f>
        <v>1750</v>
      </c>
      <c r="F76" s="1732">
        <f t="shared" si="452"/>
        <v>175</v>
      </c>
      <c r="G76" s="1732">
        <f t="shared" si="453"/>
        <v>116.66666666666667</v>
      </c>
      <c r="H76" s="1732">
        <f t="shared" si="454"/>
        <v>87.5</v>
      </c>
      <c r="I76" s="1732">
        <f t="shared" si="455"/>
        <v>70</v>
      </c>
      <c r="J76" s="1732">
        <f>J75*100/20</f>
        <v>60.344827586206897</v>
      </c>
      <c r="K76" s="1882">
        <f>E76/E87</f>
        <v>6.9256873744719172E-2</v>
      </c>
      <c r="L76" s="1760"/>
      <c r="M76" s="2946"/>
      <c r="N76" s="1732">
        <f>N75*100/20</f>
        <v>56.451612903225808</v>
      </c>
      <c r="O76" s="1732">
        <f t="shared" ref="O76:T76" si="464">O75*100/20</f>
        <v>56.451612903225808</v>
      </c>
      <c r="P76" s="1732">
        <f t="shared" si="464"/>
        <v>56.451612903225808</v>
      </c>
      <c r="Q76" s="1732">
        <f t="shared" si="464"/>
        <v>56.451612903225808</v>
      </c>
      <c r="R76" s="1732">
        <f t="shared" si="464"/>
        <v>56.451612903225808</v>
      </c>
      <c r="S76" s="1732">
        <f t="shared" si="464"/>
        <v>56.451612903225808</v>
      </c>
      <c r="T76" s="1732">
        <f t="shared" si="464"/>
        <v>56.451612903225808</v>
      </c>
      <c r="U76" s="2947"/>
      <c r="V76" s="2226">
        <f t="shared" si="58"/>
        <v>395.16129032258061</v>
      </c>
      <c r="W76" s="2227"/>
      <c r="X76" s="2228"/>
      <c r="Y76" s="1881"/>
      <c r="Z76" s="2210">
        <f t="shared" ref="Z76" si="465">Z75*100/20</f>
        <v>56.451612903225808</v>
      </c>
      <c r="AA76" s="2210">
        <f t="shared" ref="AA76" si="466">AA75*100/20</f>
        <v>56.451612903225808</v>
      </c>
      <c r="AB76" s="2210">
        <f t="shared" ref="AB76" si="467">AB75*100/20</f>
        <v>56.451612903225808</v>
      </c>
      <c r="AC76" s="2210">
        <f t="shared" ref="AC76" si="468">AC75*100/20</f>
        <v>56.451612903225808</v>
      </c>
      <c r="AD76" s="2210">
        <f t="shared" ref="AD76" si="469">AD75*100/20</f>
        <v>56.451612903225808</v>
      </c>
      <c r="AE76" s="2210">
        <f t="shared" ref="AE76" si="470">AE75*100/20</f>
        <v>56.451612903225808</v>
      </c>
      <c r="AF76" s="2210">
        <f t="shared" ref="AF76" si="471">AF75*100/20</f>
        <v>56.451612903225808</v>
      </c>
      <c r="AG76" s="1881"/>
      <c r="AH76" s="2226">
        <f t="shared" si="458"/>
        <v>395.16129032258061</v>
      </c>
      <c r="AI76" s="2227"/>
      <c r="AJ76" s="2228"/>
      <c r="AK76" s="1881"/>
      <c r="AL76" s="2210">
        <f t="shared" ref="AL76" si="472">AL75*100/20</f>
        <v>56.451612903225808</v>
      </c>
      <c r="AM76" s="2210">
        <f t="shared" ref="AM76:AN76" si="473">AM75*100/20</f>
        <v>56.451612903225808</v>
      </c>
      <c r="AN76" s="2210">
        <f t="shared" si="473"/>
        <v>56.451612903225808</v>
      </c>
      <c r="AO76" s="2210">
        <f t="shared" ref="AO76:AP76" si="474">AO75*100/20</f>
        <v>56.451612903225808</v>
      </c>
      <c r="AP76" s="2210">
        <f t="shared" si="474"/>
        <v>56.451612903225808</v>
      </c>
      <c r="AQ76" s="2210">
        <f t="shared" ref="AQ76:AR76" si="475">AQ75*100/20</f>
        <v>56.451612903225808</v>
      </c>
      <c r="AR76" s="2210">
        <f t="shared" si="475"/>
        <v>56.451612903225808</v>
      </c>
      <c r="AS76" s="2293"/>
      <c r="AT76" s="2226">
        <f t="shared" si="460"/>
        <v>395.16129032258061</v>
      </c>
      <c r="AU76" s="2227"/>
      <c r="AV76" s="2228"/>
      <c r="AW76" s="2293"/>
      <c r="AX76" s="2210">
        <f t="shared" ref="AX76:BB76" si="476">AX75*100/20</f>
        <v>56.451612903225808</v>
      </c>
      <c r="AY76" s="2210">
        <f t="shared" si="476"/>
        <v>56.451612903225808</v>
      </c>
      <c r="AZ76" s="2210">
        <f t="shared" si="476"/>
        <v>56.451612903225808</v>
      </c>
      <c r="BA76" s="2210">
        <f t="shared" si="476"/>
        <v>56.451612903225808</v>
      </c>
      <c r="BB76" s="2210">
        <f t="shared" si="476"/>
        <v>56.451612903225808</v>
      </c>
      <c r="BC76" s="2210">
        <f t="shared" ref="BC76:BD76" si="477">BC75*100/20</f>
        <v>56.451612903225808</v>
      </c>
      <c r="BD76" s="2210">
        <f t="shared" si="477"/>
        <v>56.451612903225808</v>
      </c>
      <c r="BE76" s="2293"/>
      <c r="BF76" s="2226">
        <f t="shared" si="462"/>
        <v>395.16129032258061</v>
      </c>
      <c r="BG76" s="2227"/>
      <c r="BH76" s="2228"/>
      <c r="BI76" s="2947"/>
      <c r="BJ76" s="1732">
        <f t="shared" ref="BJ76" si="478">BJ75*100/20</f>
        <v>56.451612903225808</v>
      </c>
      <c r="BK76" s="2947"/>
      <c r="BL76" s="2226">
        <f>SUM(BJ76:BJ76)</f>
        <v>56.451612903225808</v>
      </c>
      <c r="BM76" s="2227"/>
      <c r="BN76" s="2228"/>
      <c r="BO76" s="1726"/>
      <c r="BP76" s="1732">
        <f>SUM(N76:T76)+SUM(Z76:AF76)+SUM(AL76:AR76)+SUM(AX76:BD76)+SUM(BJ76:BJ76)</f>
        <v>1637.0967741935483</v>
      </c>
      <c r="BQ76" s="1882">
        <f>BP76/E76</f>
        <v>0.93548387096774188</v>
      </c>
      <c r="BR76" s="1740"/>
      <c r="BS76" s="2229"/>
      <c r="BT76" s="2230"/>
      <c r="BU76" s="2059"/>
      <c r="BV76" s="1877"/>
      <c r="BW76" s="1726"/>
    </row>
    <row r="77" spans="1:85" s="1860" customFormat="1" ht="4.5" customHeight="1" thickBot="1" x14ac:dyDescent="0.25">
      <c r="B77" s="2231"/>
      <c r="C77" s="2231"/>
      <c r="D77" s="1861"/>
      <c r="E77" s="2232"/>
      <c r="F77" s="2232"/>
      <c r="G77" s="2232"/>
      <c r="H77" s="2232"/>
      <c r="I77" s="2232"/>
      <c r="J77" s="2232"/>
      <c r="K77" s="2233"/>
      <c r="L77" s="1760"/>
      <c r="M77" s="2946"/>
      <c r="N77" s="2232"/>
      <c r="O77" s="2232"/>
      <c r="P77" s="2232"/>
      <c r="Q77" s="2232"/>
      <c r="R77" s="2232"/>
      <c r="S77" s="2232"/>
      <c r="T77" s="2232"/>
      <c r="U77" s="2947"/>
      <c r="V77" s="2947"/>
      <c r="W77" s="2947"/>
      <c r="X77" s="2947"/>
      <c r="Y77" s="1862"/>
      <c r="Z77" s="2232"/>
      <c r="AA77" s="2232"/>
      <c r="AB77" s="2232"/>
      <c r="AC77" s="2232"/>
      <c r="AD77" s="2232"/>
      <c r="AE77" s="2232"/>
      <c r="AF77" s="2232"/>
      <c r="AG77" s="1862"/>
      <c r="AH77" s="2947"/>
      <c r="AI77" s="2947"/>
      <c r="AJ77" s="2947"/>
      <c r="AK77" s="1862"/>
      <c r="AL77" s="2232"/>
      <c r="AM77" s="2232"/>
      <c r="AN77" s="2232"/>
      <c r="AO77" s="2232"/>
      <c r="AP77" s="2232"/>
      <c r="AQ77" s="2232"/>
      <c r="AR77" s="2232"/>
      <c r="AS77" s="2947"/>
      <c r="AT77" s="2947"/>
      <c r="AU77" s="2947"/>
      <c r="AV77" s="2947"/>
      <c r="AW77" s="2947"/>
      <c r="AX77" s="2232"/>
      <c r="AY77" s="2232"/>
      <c r="AZ77" s="2232"/>
      <c r="BA77" s="2232"/>
      <c r="BB77" s="2232"/>
      <c r="BC77" s="2232"/>
      <c r="BD77" s="2232"/>
      <c r="BE77" s="2947"/>
      <c r="BF77" s="2947"/>
      <c r="BG77" s="2947"/>
      <c r="BH77" s="2947"/>
      <c r="BI77" s="2947"/>
      <c r="BJ77" s="2232"/>
      <c r="BK77" s="2947"/>
      <c r="BL77" s="2947"/>
      <c r="BM77" s="2947"/>
      <c r="BN77" s="2947"/>
      <c r="BO77" s="1726"/>
      <c r="BP77" s="2232"/>
      <c r="BQ77" s="2233"/>
      <c r="BR77" s="1740"/>
      <c r="BS77" s="2947"/>
      <c r="BT77" s="2059"/>
      <c r="BU77" s="2059"/>
      <c r="BV77" s="1877"/>
      <c r="BW77" s="1726"/>
    </row>
    <row r="78" spans="1:85" s="1885" customFormat="1" ht="17.25" thickBot="1" x14ac:dyDescent="0.25">
      <c r="B78" s="2117"/>
      <c r="C78" s="2212" t="s">
        <v>154</v>
      </c>
      <c r="D78" s="2119"/>
      <c r="E78" s="2123"/>
      <c r="F78" s="2121"/>
      <c r="G78" s="2121"/>
      <c r="H78" s="2121"/>
      <c r="I78" s="2121"/>
      <c r="J78" s="2121"/>
      <c r="K78" s="2129"/>
      <c r="L78" s="2213"/>
      <c r="M78" s="2214"/>
      <c r="N78" s="2120">
        <f>IF(N73&gt;$J$75,N73-N75,IF(N73&lt;$J$75,(IF(N73&lt;0,-12.069,N73-N75))))</f>
        <v>-12.069000000000001</v>
      </c>
      <c r="O78" s="2121">
        <f t="shared" ref="O78:T78" si="479">IF(O73&gt;$J$75,O73-O75,IF(O73&lt;$J$75,(IF(O73&lt;0,-12.069,O73-O75))))</f>
        <v>-12.069000000000001</v>
      </c>
      <c r="P78" s="2121">
        <f t="shared" si="479"/>
        <v>-12.069000000000001</v>
      </c>
      <c r="Q78" s="2121">
        <f t="shared" si="479"/>
        <v>-12.069000000000001</v>
      </c>
      <c r="R78" s="2121">
        <f t="shared" si="479"/>
        <v>-12.069000000000001</v>
      </c>
      <c r="S78" s="2121">
        <f t="shared" si="479"/>
        <v>-12.069000000000001</v>
      </c>
      <c r="T78" s="2124">
        <f t="shared" si="479"/>
        <v>-12.069000000000001</v>
      </c>
      <c r="U78" s="1951"/>
      <c r="V78" s="2120">
        <f>SUM(N78:T78)</f>
        <v>-84.483000000000004</v>
      </c>
      <c r="W78" s="2123"/>
      <c r="X78" s="2124"/>
      <c r="Y78" s="1956"/>
      <c r="Z78" s="2120">
        <f t="shared" ref="Z78:AF78" si="480">IF(Z73&gt;$J$75,Z73-Z75,IF(Z73&lt;$J$75,(IF(Z73&lt;0,-12.069,Z73-Z75))))</f>
        <v>-12.069000000000001</v>
      </c>
      <c r="AA78" s="2121">
        <f t="shared" si="480"/>
        <v>-12.069000000000001</v>
      </c>
      <c r="AB78" s="2121">
        <f t="shared" si="480"/>
        <v>-12.069000000000001</v>
      </c>
      <c r="AC78" s="2121">
        <f t="shared" si="480"/>
        <v>-12.069000000000001</v>
      </c>
      <c r="AD78" s="2121">
        <f t="shared" si="480"/>
        <v>-12.069000000000001</v>
      </c>
      <c r="AE78" s="2121">
        <f t="shared" si="480"/>
        <v>-12.069000000000001</v>
      </c>
      <c r="AF78" s="2121">
        <f t="shared" si="480"/>
        <v>-12.069000000000001</v>
      </c>
      <c r="AG78" s="1956"/>
      <c r="AH78" s="2120">
        <f>SUM(Z78:AF78)</f>
        <v>-84.483000000000004</v>
      </c>
      <c r="AI78" s="2123"/>
      <c r="AJ78" s="2124"/>
      <c r="AK78" s="1955"/>
      <c r="AL78" s="2120">
        <f t="shared" ref="AL78:AM78" si="481">IF(AL73&gt;$J$75,AL73-AL75,IF(AL73&lt;$J$75,(IF(AL73&lt;0,-12.069,AL73-AL75))))</f>
        <v>-12.069000000000001</v>
      </c>
      <c r="AM78" s="2121">
        <f t="shared" si="481"/>
        <v>-12.069000000000001</v>
      </c>
      <c r="AN78" s="2121">
        <f t="shared" ref="AN78:AO78" si="482">IF(AN73&gt;$J$75,AN73-AN75,IF(AN73&lt;$J$75,(IF(AN73&lt;0,-12.069,AN73-AN75))))</f>
        <v>-12.069000000000001</v>
      </c>
      <c r="AO78" s="2121">
        <f t="shared" si="482"/>
        <v>-12.069000000000001</v>
      </c>
      <c r="AP78" s="2121">
        <f t="shared" ref="AP78:AQ78" si="483">IF(AP73&gt;$J$75,AP73-AP75,IF(AP73&lt;$J$75,(IF(AP73&lt;0,-12.069,AP73-AP75))))</f>
        <v>-12.069000000000001</v>
      </c>
      <c r="AQ78" s="2121">
        <f t="shared" si="483"/>
        <v>-12.069000000000001</v>
      </c>
      <c r="AR78" s="2124">
        <f t="shared" ref="AR78" si="484">IF(AR73&gt;$J$75,AR73-AR75,IF(AR73&lt;$J$75,(IF(AR73&lt;0,-12.069,AR73-AR75))))</f>
        <v>-12.069000000000001</v>
      </c>
      <c r="AS78" s="2254"/>
      <c r="AT78" s="2120">
        <f t="shared" si="460"/>
        <v>-84.483000000000004</v>
      </c>
      <c r="AU78" s="2123"/>
      <c r="AV78" s="2124"/>
      <c r="AW78" s="1951"/>
      <c r="AX78" s="2120">
        <f t="shared" ref="AX78:BB78" si="485">IF(AX73&gt;$J$75,AX73-AX75,IF(AX73&lt;$J$75,(IF(AX73&lt;0,-12.069,AX73-AX75))))</f>
        <v>-12.069000000000001</v>
      </c>
      <c r="AY78" s="2120">
        <f t="shared" si="485"/>
        <v>-12.069000000000001</v>
      </c>
      <c r="AZ78" s="2120">
        <f t="shared" si="485"/>
        <v>-12.069000000000001</v>
      </c>
      <c r="BA78" s="2120">
        <f t="shared" si="485"/>
        <v>-12.069000000000001</v>
      </c>
      <c r="BB78" s="2120">
        <f t="shared" si="485"/>
        <v>-12.069000000000001</v>
      </c>
      <c r="BC78" s="2120">
        <f t="shared" ref="BC78:BD78" si="486">IF(BC73&gt;$J$75,BC73-BC75,IF(BC73&lt;$J$75,(IF(BC73&lt;0,-12.069,BC73-BC75))))</f>
        <v>-12.069000000000001</v>
      </c>
      <c r="BD78" s="2124">
        <f t="shared" si="486"/>
        <v>-12.069000000000001</v>
      </c>
      <c r="BE78" s="1951"/>
      <c r="BF78" s="2120">
        <f t="shared" ref="BF78" si="487">SUM(AX78:BD78)</f>
        <v>-84.483000000000004</v>
      </c>
      <c r="BG78" s="2123"/>
      <c r="BH78" s="2124"/>
      <c r="BI78" s="1900"/>
      <c r="BJ78" s="2969">
        <f t="shared" ref="BJ78" si="488">IF(BJ73&gt;$J$75,BJ73-BJ75,IF(BJ73&lt;$J$75,(IF(BJ73&lt;0,-12.069,BJ73-BJ75))))</f>
        <v>-12.069000000000001</v>
      </c>
      <c r="BK78" s="2317"/>
      <c r="BL78" s="2215">
        <f>SUM(BJ78:BJ78)</f>
        <v>-12.069000000000001</v>
      </c>
      <c r="BM78" s="2318"/>
      <c r="BN78" s="2118"/>
      <c r="BO78" s="1897"/>
      <c r="BP78" s="2215">
        <f>SUM(N78:T78)+SUM(Z78:AF78)+SUM(AL78:AR78)+SUM(AX78:BD78)+SUM(BJ78:BJ78)</f>
        <v>-350.00100000000003</v>
      </c>
      <c r="BQ78" s="2130">
        <f>BP78/E75</f>
        <v>-1.0000028571428572</v>
      </c>
      <c r="BR78" s="1900"/>
      <c r="BS78" s="1900"/>
      <c r="BT78" s="1900"/>
      <c r="BU78" s="2011"/>
    </row>
    <row r="79" spans="1:85" s="1756" customFormat="1" ht="17.25" thickBot="1" x14ac:dyDescent="0.25">
      <c r="B79" s="1817"/>
      <c r="C79" s="1817"/>
      <c r="D79" s="1817"/>
      <c r="E79" s="1814"/>
      <c r="F79" s="1814"/>
      <c r="G79" s="1814"/>
      <c r="H79" s="1814"/>
      <c r="I79" s="1814"/>
      <c r="J79" s="1814"/>
      <c r="K79" s="1818"/>
      <c r="L79" s="2216"/>
      <c r="M79" s="2055"/>
      <c r="N79" s="1814"/>
      <c r="O79" s="1814"/>
      <c r="P79" s="1814"/>
      <c r="Q79" s="1814"/>
      <c r="R79" s="1814"/>
      <c r="S79" s="1814"/>
      <c r="T79" s="1814"/>
      <c r="U79" s="1814"/>
      <c r="V79" s="1814"/>
      <c r="W79" s="1814"/>
      <c r="X79" s="1814"/>
      <c r="Y79" s="1766"/>
      <c r="Z79" s="1814"/>
      <c r="AA79" s="1814"/>
      <c r="AB79" s="1814"/>
      <c r="AC79" s="1814"/>
      <c r="AD79" s="1814"/>
      <c r="AE79" s="1814"/>
      <c r="AF79" s="1814"/>
      <c r="AG79" s="1766"/>
      <c r="AH79" s="1814"/>
      <c r="AI79" s="1814"/>
      <c r="AJ79" s="1814"/>
      <c r="AK79" s="1766"/>
      <c r="AL79" s="1814"/>
      <c r="AM79" s="1814"/>
      <c r="AN79" s="1814"/>
      <c r="AO79" s="1814"/>
      <c r="AP79" s="1814"/>
      <c r="AQ79" s="1814"/>
      <c r="AR79" s="1814"/>
      <c r="AS79" s="1814"/>
      <c r="AT79" s="1814"/>
      <c r="AU79" s="1814"/>
      <c r="AV79" s="1814"/>
      <c r="AW79" s="1814"/>
      <c r="AX79" s="1814"/>
      <c r="AY79" s="1814"/>
      <c r="AZ79" s="1814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766"/>
      <c r="BP79" s="1814"/>
      <c r="BQ79" s="1830"/>
      <c r="BR79" s="2942"/>
      <c r="BS79" s="2942"/>
      <c r="BT79" s="2942"/>
      <c r="BU79" s="1817"/>
    </row>
    <row r="80" spans="1:85" s="1860" customFormat="1" x14ac:dyDescent="0.2">
      <c r="B80" s="4649"/>
      <c r="C80" s="4647" t="s">
        <v>213</v>
      </c>
      <c r="D80" s="1861"/>
      <c r="E80" s="4645">
        <f>C40</f>
        <v>13515.749999999996</v>
      </c>
      <c r="F80" s="2657"/>
      <c r="G80" s="2658"/>
      <c r="H80" s="2659"/>
      <c r="I80" s="2660"/>
      <c r="J80" s="4643">
        <f>E80/29</f>
        <v>466.06034482758611</v>
      </c>
      <c r="K80" s="4641">
        <f>J80*20%</f>
        <v>93.212068965517233</v>
      </c>
      <c r="L80" s="2216"/>
      <c r="M80" s="2055"/>
      <c r="N80" s="4628" t="str">
        <f>IF(N44&gt;0,"0.000",N44)</f>
        <v>0.000</v>
      </c>
      <c r="O80" s="4630">
        <f t="shared" ref="O80:T80" si="489">IF(O44&gt;0,"0.000",O44)</f>
        <v>-8.8900344827586082</v>
      </c>
      <c r="P80" s="4630" t="str">
        <f t="shared" si="489"/>
        <v>0.000</v>
      </c>
      <c r="Q80" s="4630" t="str">
        <f t="shared" si="489"/>
        <v>0.000</v>
      </c>
      <c r="R80" s="4630" t="str">
        <f t="shared" si="489"/>
        <v>0.000</v>
      </c>
      <c r="S80" s="4630" t="str">
        <f t="shared" si="489"/>
        <v>0.000</v>
      </c>
      <c r="T80" s="4632">
        <f t="shared" si="489"/>
        <v>-18.44853448275861</v>
      </c>
      <c r="U80" s="2947"/>
      <c r="V80" s="4628">
        <f t="shared" si="58"/>
        <v>-27.338568965517219</v>
      </c>
      <c r="W80" s="4630"/>
      <c r="X80" s="4632"/>
      <c r="Y80" s="1862"/>
      <c r="Z80" s="4628" t="str">
        <f t="shared" ref="Z80:AF80" si="490">IF(Z44&gt;0,"0.000",Z44)</f>
        <v>0.000</v>
      </c>
      <c r="AA80" s="4630">
        <f t="shared" si="490"/>
        <v>-5.5145344827586058</v>
      </c>
      <c r="AB80" s="4630">
        <f t="shared" si="490"/>
        <v>-32.345534482758609</v>
      </c>
      <c r="AC80" s="4630" t="str">
        <f t="shared" si="490"/>
        <v>0.000</v>
      </c>
      <c r="AD80" s="4630" t="str">
        <f t="shared" si="490"/>
        <v>0.000</v>
      </c>
      <c r="AE80" s="4630" t="str">
        <f t="shared" si="490"/>
        <v>0.000</v>
      </c>
      <c r="AF80" s="4632">
        <f t="shared" si="490"/>
        <v>-6.2985344827586118</v>
      </c>
      <c r="AG80" s="1862"/>
      <c r="AH80" s="4628">
        <f t="shared" ref="AH80:AH85" si="491">SUM(Z80:AF80)</f>
        <v>-44.158603448275827</v>
      </c>
      <c r="AI80" s="4630"/>
      <c r="AJ80" s="4632"/>
      <c r="AK80" s="1862"/>
      <c r="AL80" s="4628" t="str">
        <f t="shared" ref="AL80:AR80" si="492">IF(AL44&gt;0,"0.000",AL44)</f>
        <v>0.000</v>
      </c>
      <c r="AM80" s="4630" t="str">
        <f t="shared" si="492"/>
        <v>0.000</v>
      </c>
      <c r="AN80" s="4630" t="str">
        <f t="shared" si="492"/>
        <v>0.000</v>
      </c>
      <c r="AO80" s="4630" t="str">
        <f t="shared" si="492"/>
        <v>0.000</v>
      </c>
      <c r="AP80" s="4630" t="str">
        <f t="shared" si="492"/>
        <v>0.000</v>
      </c>
      <c r="AQ80" s="4630">
        <f t="shared" si="492"/>
        <v>-4.0365344827586114</v>
      </c>
      <c r="AR80" s="4632" t="str">
        <f t="shared" si="492"/>
        <v>0.000</v>
      </c>
      <c r="AS80" s="2947"/>
      <c r="AT80" s="4628">
        <f t="shared" ref="AT80:AT85" si="493">SUM(AL80:AR80)</f>
        <v>-4.0365344827586114</v>
      </c>
      <c r="AU80" s="4630"/>
      <c r="AV80" s="4632"/>
      <c r="AW80" s="2947"/>
      <c r="AX80" s="4628">
        <f t="shared" ref="AX80:BD80" si="494">IF(AX44&gt;0,"0.000",AX44)</f>
        <v>-1.1080344827586117</v>
      </c>
      <c r="AY80" s="4630">
        <f t="shared" si="494"/>
        <v>-7.8460344827586113</v>
      </c>
      <c r="AZ80" s="4630" t="str">
        <f t="shared" si="494"/>
        <v>0.000</v>
      </c>
      <c r="BA80" s="4630">
        <f t="shared" si="494"/>
        <v>-13.288534482758607</v>
      </c>
      <c r="BB80" s="4630" t="str">
        <f t="shared" si="494"/>
        <v>0.000</v>
      </c>
      <c r="BC80" s="4630" t="str">
        <f t="shared" si="494"/>
        <v>0.000</v>
      </c>
      <c r="BD80" s="4632" t="str">
        <f t="shared" si="494"/>
        <v>0.000</v>
      </c>
      <c r="BE80" s="2947"/>
      <c r="BF80" s="4628">
        <f t="shared" ref="BF80:BF85" si="495">SUM(AX80:BD80)</f>
        <v>-22.24260344827583</v>
      </c>
      <c r="BG80" s="4630"/>
      <c r="BH80" s="4632"/>
      <c r="BI80" s="2947"/>
      <c r="BJ80" s="4628" t="str">
        <f>IF(BJ44&gt;0,"0.000",BJ44)</f>
        <v>0.000</v>
      </c>
      <c r="BK80" s="2947"/>
      <c r="BL80" s="4628">
        <f>SUM(BJ80:BJ80)</f>
        <v>0</v>
      </c>
      <c r="BM80" s="4630"/>
      <c r="BN80" s="4632"/>
      <c r="BO80" s="1726"/>
      <c r="BP80" s="4628">
        <f>SUM(N80:T80)+SUM(Z80:AF80)+SUM(AL80:AR80)+SUM(AX80:BD80)+SUM(BJ80:BJ80)</f>
        <v>-97.776310344827479</v>
      </c>
      <c r="BQ80" s="4632"/>
      <c r="BR80" s="1740"/>
      <c r="BS80" s="2947"/>
      <c r="BT80" s="1997"/>
      <c r="BU80" s="1997"/>
      <c r="BV80" s="2946"/>
    </row>
    <row r="81" spans="2:74" s="1946" customFormat="1" ht="17.25" thickBot="1" x14ac:dyDescent="0.25">
      <c r="B81" s="4650"/>
      <c r="C81" s="4648"/>
      <c r="D81" s="2011"/>
      <c r="E81" s="4646"/>
      <c r="F81" s="2375"/>
      <c r="G81" s="2376"/>
      <c r="H81" s="2377"/>
      <c r="I81" s="2378"/>
      <c r="J81" s="4644"/>
      <c r="K81" s="4642"/>
      <c r="L81" s="2213"/>
      <c r="M81" s="2214"/>
      <c r="N81" s="4629"/>
      <c r="O81" s="4631"/>
      <c r="P81" s="4631"/>
      <c r="Q81" s="4631"/>
      <c r="R81" s="4631"/>
      <c r="S81" s="4631"/>
      <c r="T81" s="4633"/>
      <c r="U81" s="2944"/>
      <c r="V81" s="4629"/>
      <c r="W81" s="4631"/>
      <c r="X81" s="4633"/>
      <c r="Y81" s="1897"/>
      <c r="Z81" s="4629"/>
      <c r="AA81" s="4631"/>
      <c r="AB81" s="4631"/>
      <c r="AC81" s="4631"/>
      <c r="AD81" s="4631"/>
      <c r="AE81" s="4631"/>
      <c r="AF81" s="4633"/>
      <c r="AG81" s="1897"/>
      <c r="AH81" s="4629"/>
      <c r="AI81" s="4631"/>
      <c r="AJ81" s="4633"/>
      <c r="AK81" s="1897"/>
      <c r="AL81" s="4629"/>
      <c r="AM81" s="4631"/>
      <c r="AN81" s="4631"/>
      <c r="AO81" s="4631"/>
      <c r="AP81" s="4631"/>
      <c r="AQ81" s="4631"/>
      <c r="AR81" s="4633"/>
      <c r="AS81" s="2944"/>
      <c r="AT81" s="4629"/>
      <c r="AU81" s="4631"/>
      <c r="AV81" s="4633"/>
      <c r="AW81" s="2944"/>
      <c r="AX81" s="4629"/>
      <c r="AY81" s="4631"/>
      <c r="AZ81" s="4631"/>
      <c r="BA81" s="4631"/>
      <c r="BB81" s="4631"/>
      <c r="BC81" s="4631"/>
      <c r="BD81" s="4633"/>
      <c r="BE81" s="2944"/>
      <c r="BF81" s="4629"/>
      <c r="BG81" s="4631"/>
      <c r="BH81" s="4633"/>
      <c r="BI81" s="2944"/>
      <c r="BJ81" s="4629"/>
      <c r="BK81" s="2944"/>
      <c r="BL81" s="4629"/>
      <c r="BM81" s="4631"/>
      <c r="BN81" s="4633"/>
      <c r="BO81" s="1885"/>
      <c r="BP81" s="4629"/>
      <c r="BQ81" s="4633"/>
      <c r="BR81" s="1900"/>
      <c r="BS81" s="2944"/>
      <c r="BT81" s="2010"/>
      <c r="BU81" s="2010"/>
      <c r="BV81" s="2943"/>
    </row>
    <row r="82" spans="2:74" s="1860" customFormat="1" ht="5.25" customHeight="1" thickBot="1" x14ac:dyDescent="0.25">
      <c r="B82" s="1861"/>
      <c r="C82" s="1861"/>
      <c r="D82" s="1861"/>
      <c r="E82" s="1814"/>
      <c r="F82" s="2367"/>
      <c r="G82" s="2368"/>
      <c r="H82" s="2369"/>
      <c r="I82" s="2370"/>
      <c r="J82" s="1814"/>
      <c r="K82" s="1818"/>
      <c r="L82" s="2055"/>
      <c r="M82" s="2055"/>
      <c r="N82" s="2947"/>
      <c r="O82" s="2947"/>
      <c r="P82" s="2947"/>
      <c r="Q82" s="2947"/>
      <c r="R82" s="2947"/>
      <c r="S82" s="2947"/>
      <c r="T82" s="2947"/>
      <c r="U82" s="2947"/>
      <c r="V82" s="2947"/>
      <c r="W82" s="2947"/>
      <c r="X82" s="2947"/>
      <c r="Y82" s="1862"/>
      <c r="Z82" s="2947"/>
      <c r="AA82" s="2947"/>
      <c r="AB82" s="2947"/>
      <c r="AC82" s="2947"/>
      <c r="AD82" s="2947"/>
      <c r="AE82" s="2947"/>
      <c r="AF82" s="2947"/>
      <c r="AG82" s="1862"/>
      <c r="AH82" s="2947"/>
      <c r="AI82" s="2947"/>
      <c r="AJ82" s="2947"/>
      <c r="AK82" s="1862"/>
      <c r="AL82" s="2947"/>
      <c r="AM82" s="2947"/>
      <c r="AN82" s="2947"/>
      <c r="AO82" s="2947"/>
      <c r="AP82" s="2947"/>
      <c r="AQ82" s="2947"/>
      <c r="AR82" s="2947"/>
      <c r="AS82" s="2947"/>
      <c r="AT82" s="2947"/>
      <c r="AU82" s="2947"/>
      <c r="AV82" s="2947"/>
      <c r="AW82" s="2947"/>
      <c r="AX82" s="2947"/>
      <c r="AY82" s="2947"/>
      <c r="AZ82" s="2947"/>
      <c r="BA82" s="2947"/>
      <c r="BB82" s="2947"/>
      <c r="BC82" s="2947"/>
      <c r="BD82" s="2947"/>
      <c r="BE82" s="2947"/>
      <c r="BF82" s="2947"/>
      <c r="BG82" s="2947"/>
      <c r="BH82" s="2947"/>
      <c r="BI82" s="2947"/>
      <c r="BJ82" s="2947"/>
      <c r="BK82" s="2947"/>
      <c r="BL82" s="2947"/>
      <c r="BM82" s="2947"/>
      <c r="BN82" s="2947"/>
      <c r="BP82" s="2947"/>
      <c r="BQ82" s="2947"/>
      <c r="BR82" s="1861"/>
      <c r="BS82" s="2947"/>
      <c r="BT82" s="1997"/>
      <c r="BU82" s="1997"/>
      <c r="BV82" s="2946"/>
    </row>
    <row r="83" spans="2:74" s="1726" customFormat="1" x14ac:dyDescent="0.2">
      <c r="B83" s="2655"/>
      <c r="C83" s="2656" t="s">
        <v>143</v>
      </c>
      <c r="D83" s="1861"/>
      <c r="E83" s="1771">
        <f>E72</f>
        <v>10002.5</v>
      </c>
      <c r="F83" s="2657">
        <f t="shared" si="452"/>
        <v>1000.25</v>
      </c>
      <c r="G83" s="2658">
        <f t="shared" ref="G83:G84" si="496">E83/15</f>
        <v>666.83333333333337</v>
      </c>
      <c r="H83" s="2659">
        <f t="shared" ref="H83:H84" si="497">E83/20</f>
        <v>500.125</v>
      </c>
      <c r="I83" s="2660">
        <f t="shared" ref="I83:I84" si="498">E83/25</f>
        <v>400.1</v>
      </c>
      <c r="J83" s="2661">
        <f>E83/29</f>
        <v>344.91379310344826</v>
      </c>
      <c r="K83" s="1773">
        <f>J83*20%</f>
        <v>68.982758620689651</v>
      </c>
      <c r="L83" s="2216"/>
      <c r="M83" s="2055"/>
      <c r="N83" s="2207">
        <f>IF(N73&gt;0,"0.000",N73)</f>
        <v>-57.37931034482758</v>
      </c>
      <c r="O83" s="2662">
        <f>IF(O73&gt;0,"0.000",O73)</f>
        <v>-68.983000000000004</v>
      </c>
      <c r="P83" s="2662">
        <f t="shared" ref="P83:T83" si="499">IF(P73&gt;0,"0.000",P73)</f>
        <v>-53.45479310344826</v>
      </c>
      <c r="Q83" s="2662">
        <f t="shared" si="499"/>
        <v>-41.424293103448257</v>
      </c>
      <c r="R83" s="2662">
        <f t="shared" si="499"/>
        <v>-40.716793103448261</v>
      </c>
      <c r="S83" s="2662">
        <f t="shared" si="499"/>
        <v>-47.169793103448264</v>
      </c>
      <c r="T83" s="2277">
        <f t="shared" si="499"/>
        <v>-68.983000000000004</v>
      </c>
      <c r="U83" s="2947"/>
      <c r="V83" s="2207">
        <f t="shared" ref="V83:V85" si="500">SUM(N83:T83)</f>
        <v>-378.11098275862065</v>
      </c>
      <c r="W83" s="2662"/>
      <c r="X83" s="2277"/>
      <c r="Y83" s="1862"/>
      <c r="Z83" s="2207">
        <f t="shared" ref="Z83:AF83" si="501">IF(Z73&gt;0,"0.000",Z73)</f>
        <v>-57.37931034482758</v>
      </c>
      <c r="AA83" s="2662">
        <f t="shared" si="501"/>
        <v>-68.983000000000004</v>
      </c>
      <c r="AB83" s="2662">
        <f t="shared" si="501"/>
        <v>-68.983000000000004</v>
      </c>
      <c r="AC83" s="2662">
        <f t="shared" si="501"/>
        <v>-57.37931034482758</v>
      </c>
      <c r="AD83" s="2662">
        <f t="shared" si="501"/>
        <v>-40.518793103448267</v>
      </c>
      <c r="AE83" s="2662">
        <f t="shared" si="501"/>
        <v>-36.009793103448267</v>
      </c>
      <c r="AF83" s="2277">
        <f t="shared" si="501"/>
        <v>-68.983000000000004</v>
      </c>
      <c r="AG83" s="1862"/>
      <c r="AH83" s="2207">
        <f>SUM(Z83:AF83)</f>
        <v>-398.23620689655172</v>
      </c>
      <c r="AI83" s="2662"/>
      <c r="AJ83" s="2277"/>
      <c r="AK83" s="1862"/>
      <c r="AL83" s="2207">
        <f t="shared" ref="AL83:AR83" si="502">IF(AL73&gt;0,"0.000",AL73)</f>
        <v>-38.456293103448267</v>
      </c>
      <c r="AM83" s="2662">
        <f t="shared" si="502"/>
        <v>-57.37931034482758</v>
      </c>
      <c r="AN83" s="2662">
        <f t="shared" si="502"/>
        <v>-57.37931034482758</v>
      </c>
      <c r="AO83" s="2662">
        <f t="shared" si="502"/>
        <v>-53.304793103448262</v>
      </c>
      <c r="AP83" s="2662">
        <f t="shared" si="502"/>
        <v>-57.37931034482758</v>
      </c>
      <c r="AQ83" s="2662">
        <f t="shared" si="502"/>
        <v>-68.983000000000004</v>
      </c>
      <c r="AR83" s="2277">
        <f t="shared" si="502"/>
        <v>-57.37931034482758</v>
      </c>
      <c r="AS83" s="2947"/>
      <c r="AT83" s="2207">
        <f t="shared" si="493"/>
        <v>-390.26132758620679</v>
      </c>
      <c r="AU83" s="2662"/>
      <c r="AV83" s="2277"/>
      <c r="AW83" s="2947"/>
      <c r="AX83" s="2207">
        <f t="shared" ref="AX83:BD83" si="503">IF(AX73&gt;0,"0.000",AX73)</f>
        <v>-68.983000000000004</v>
      </c>
      <c r="AY83" s="2662">
        <f t="shared" si="503"/>
        <v>-68.983000000000004</v>
      </c>
      <c r="AZ83" s="2662">
        <f t="shared" si="503"/>
        <v>-40.895793103448263</v>
      </c>
      <c r="BA83" s="2662">
        <f t="shared" si="503"/>
        <v>-68.983000000000004</v>
      </c>
      <c r="BB83" s="2662">
        <f t="shared" si="503"/>
        <v>-48.389793103448262</v>
      </c>
      <c r="BC83" s="2662">
        <f t="shared" si="503"/>
        <v>-48.389793103448262</v>
      </c>
      <c r="BD83" s="2277">
        <f t="shared" si="503"/>
        <v>-20.829293103448258</v>
      </c>
      <c r="BE83" s="2947"/>
      <c r="BF83" s="2207">
        <f t="shared" si="495"/>
        <v>-365.45367241379307</v>
      </c>
      <c r="BG83" s="2662"/>
      <c r="BH83" s="2277"/>
      <c r="BI83" s="2947"/>
      <c r="BJ83" s="2207">
        <f>IF(BJ73&gt;0,"0.000",BJ73)</f>
        <v>-42.728293103448259</v>
      </c>
      <c r="BK83" s="2947"/>
      <c r="BL83" s="2207">
        <f>SUM(BJ83:BJ83)</f>
        <v>-42.728293103448259</v>
      </c>
      <c r="BM83" s="2662"/>
      <c r="BN83" s="2277"/>
      <c r="BP83" s="2663">
        <f>SUM(N83:T83)+SUM(Z83:AF83)+SUM(AL83:AR83)+SUM(AX83:BD83)+SUM(BJ83:BJ83)</f>
        <v>-1574.7904827586206</v>
      </c>
      <c r="BQ83" s="2277"/>
      <c r="BR83" s="1740"/>
      <c r="BS83" s="2947"/>
      <c r="BT83" s="2246"/>
      <c r="BU83" s="2246"/>
      <c r="BV83" s="2247"/>
    </row>
    <row r="84" spans="2:74" s="1885" customFormat="1" ht="17.25" thickBot="1" x14ac:dyDescent="0.25">
      <c r="B84" s="2703"/>
      <c r="C84" s="2704" t="s">
        <v>178</v>
      </c>
      <c r="D84" s="2011"/>
      <c r="E84" s="2705">
        <f>E76</f>
        <v>1750</v>
      </c>
      <c r="F84" s="2706">
        <f t="shared" si="452"/>
        <v>175</v>
      </c>
      <c r="G84" s="2707">
        <f t="shared" si="496"/>
        <v>116.66666666666667</v>
      </c>
      <c r="H84" s="2708">
        <f t="shared" si="497"/>
        <v>87.5</v>
      </c>
      <c r="I84" s="2709">
        <f t="shared" si="498"/>
        <v>70</v>
      </c>
      <c r="J84" s="2710">
        <f>E84/29</f>
        <v>60.344827586206897</v>
      </c>
      <c r="K84" s="2711">
        <f>J84*20%</f>
        <v>12.068965517241381</v>
      </c>
      <c r="L84" s="2213"/>
      <c r="M84" s="2214"/>
      <c r="N84" s="2244">
        <f>IF(N78&gt;0,"0.000",N78)</f>
        <v>-12.069000000000001</v>
      </c>
      <c r="O84" s="1898">
        <f t="shared" ref="O84:T84" si="504">IF(O78&gt;0,"0.000",O78)</f>
        <v>-12.069000000000001</v>
      </c>
      <c r="P84" s="1898">
        <f t="shared" si="504"/>
        <v>-12.069000000000001</v>
      </c>
      <c r="Q84" s="1898">
        <f t="shared" si="504"/>
        <v>-12.069000000000001</v>
      </c>
      <c r="R84" s="1898">
        <f t="shared" si="504"/>
        <v>-12.069000000000001</v>
      </c>
      <c r="S84" s="1898">
        <f t="shared" si="504"/>
        <v>-12.069000000000001</v>
      </c>
      <c r="T84" s="2245">
        <f t="shared" si="504"/>
        <v>-12.069000000000001</v>
      </c>
      <c r="U84" s="2944"/>
      <c r="V84" s="2244">
        <f t="shared" si="500"/>
        <v>-84.483000000000004</v>
      </c>
      <c r="W84" s="1898"/>
      <c r="X84" s="2245"/>
      <c r="Y84" s="1897"/>
      <c r="Z84" s="2244">
        <f t="shared" ref="Z84:AF84" si="505">IF(Z78&gt;0,"0.000",Z78)</f>
        <v>-12.069000000000001</v>
      </c>
      <c r="AA84" s="1898">
        <f t="shared" si="505"/>
        <v>-12.069000000000001</v>
      </c>
      <c r="AB84" s="1898">
        <f t="shared" si="505"/>
        <v>-12.069000000000001</v>
      </c>
      <c r="AC84" s="1898">
        <f t="shared" si="505"/>
        <v>-12.069000000000001</v>
      </c>
      <c r="AD84" s="1898">
        <f t="shared" si="505"/>
        <v>-12.069000000000001</v>
      </c>
      <c r="AE84" s="1898">
        <f t="shared" si="505"/>
        <v>-12.069000000000001</v>
      </c>
      <c r="AF84" s="2245">
        <f t="shared" si="505"/>
        <v>-12.069000000000001</v>
      </c>
      <c r="AG84" s="1897"/>
      <c r="AH84" s="2244">
        <f t="shared" si="491"/>
        <v>-84.483000000000004</v>
      </c>
      <c r="AI84" s="1898"/>
      <c r="AJ84" s="2245"/>
      <c r="AK84" s="1897"/>
      <c r="AL84" s="2244">
        <f t="shared" ref="AL84:AR84" si="506">IF(AL78&gt;0,"0.000",AL78)</f>
        <v>-12.069000000000001</v>
      </c>
      <c r="AM84" s="1898">
        <f t="shared" si="506"/>
        <v>-12.069000000000001</v>
      </c>
      <c r="AN84" s="1898">
        <f t="shared" si="506"/>
        <v>-12.069000000000001</v>
      </c>
      <c r="AO84" s="1898">
        <f t="shared" si="506"/>
        <v>-12.069000000000001</v>
      </c>
      <c r="AP84" s="1898">
        <f t="shared" si="506"/>
        <v>-12.069000000000001</v>
      </c>
      <c r="AQ84" s="1898">
        <f t="shared" si="506"/>
        <v>-12.069000000000001</v>
      </c>
      <c r="AR84" s="2245">
        <f t="shared" si="506"/>
        <v>-12.069000000000001</v>
      </c>
      <c r="AS84" s="2944"/>
      <c r="AT84" s="2244">
        <f t="shared" si="493"/>
        <v>-84.483000000000004</v>
      </c>
      <c r="AU84" s="1898"/>
      <c r="AV84" s="2245"/>
      <c r="AW84" s="2944"/>
      <c r="AX84" s="2244">
        <f t="shared" ref="AX84:BD84" si="507">IF(AX78&gt;0,"0.000",AX78)</f>
        <v>-12.069000000000001</v>
      </c>
      <c r="AY84" s="1898">
        <f t="shared" si="507"/>
        <v>-12.069000000000001</v>
      </c>
      <c r="AZ84" s="1898">
        <f t="shared" si="507"/>
        <v>-12.069000000000001</v>
      </c>
      <c r="BA84" s="1898">
        <f t="shared" si="507"/>
        <v>-12.069000000000001</v>
      </c>
      <c r="BB84" s="1898">
        <f t="shared" si="507"/>
        <v>-12.069000000000001</v>
      </c>
      <c r="BC84" s="1898">
        <f t="shared" si="507"/>
        <v>-12.069000000000001</v>
      </c>
      <c r="BD84" s="2245">
        <f t="shared" si="507"/>
        <v>-12.069000000000001</v>
      </c>
      <c r="BE84" s="2944"/>
      <c r="BF84" s="2244">
        <f t="shared" si="495"/>
        <v>-84.483000000000004</v>
      </c>
      <c r="BG84" s="1898"/>
      <c r="BH84" s="2245"/>
      <c r="BI84" s="2944"/>
      <c r="BJ84" s="2244">
        <f>IF(BJ78&gt;0,"0.000",BJ78)</f>
        <v>-12.069000000000001</v>
      </c>
      <c r="BK84" s="2944"/>
      <c r="BL84" s="2244">
        <f>SUM(BJ84:BJ84)</f>
        <v>-12.069000000000001</v>
      </c>
      <c r="BM84" s="1898"/>
      <c r="BN84" s="2245"/>
      <c r="BP84" s="2244">
        <f>SUM(N84:T84)+SUM(Z84:AF84)+SUM(AL84:AR84)+SUM(AX84:BD84)+SUM(BJ84:BJ84)</f>
        <v>-350.00100000000003</v>
      </c>
      <c r="BQ84" s="2245"/>
      <c r="BR84" s="1900"/>
      <c r="BS84" s="2944"/>
      <c r="BT84" s="2251"/>
      <c r="BU84" s="2251"/>
      <c r="BV84" s="2252"/>
    </row>
    <row r="85" spans="2:74" s="1726" customFormat="1" ht="17.25" thickBot="1" x14ac:dyDescent="0.25">
      <c r="B85" s="2355"/>
      <c r="C85" s="2356" t="s">
        <v>272</v>
      </c>
      <c r="D85" s="1861"/>
      <c r="E85" s="2664">
        <f>E83+E84</f>
        <v>11752.5</v>
      </c>
      <c r="F85" s="2665"/>
      <c r="G85" s="2666"/>
      <c r="H85" s="2667"/>
      <c r="I85" s="2668"/>
      <c r="J85" s="2669">
        <f>J83+J84</f>
        <v>405.25862068965517</v>
      </c>
      <c r="K85" s="2670">
        <f>K83+K84</f>
        <v>81.051724137931032</v>
      </c>
      <c r="L85" s="2216"/>
      <c r="M85" s="2055"/>
      <c r="N85" s="2226" t="str">
        <f>IF(N78&lt;0,"0.000",N78)</f>
        <v>0.000</v>
      </c>
      <c r="O85" s="2671" t="str">
        <f t="shared" ref="O85:T85" si="508">IF(O78&lt;0,"0.000",O78)</f>
        <v>0.000</v>
      </c>
      <c r="P85" s="2671" t="str">
        <f t="shared" si="508"/>
        <v>0.000</v>
      </c>
      <c r="Q85" s="2671" t="str">
        <f t="shared" si="508"/>
        <v>0.000</v>
      </c>
      <c r="R85" s="2671" t="str">
        <f t="shared" si="508"/>
        <v>0.000</v>
      </c>
      <c r="S85" s="2671" t="str">
        <f t="shared" si="508"/>
        <v>0.000</v>
      </c>
      <c r="T85" s="2672" t="str">
        <f t="shared" si="508"/>
        <v>0.000</v>
      </c>
      <c r="U85" s="2947"/>
      <c r="V85" s="2226">
        <f t="shared" si="500"/>
        <v>0</v>
      </c>
      <c r="W85" s="2671"/>
      <c r="X85" s="2672"/>
      <c r="Y85" s="1862"/>
      <c r="Z85" s="2226" t="str">
        <f t="shared" ref="Z85:AF85" si="509">IF(Z78&lt;0,"0.000",Z78)</f>
        <v>0.000</v>
      </c>
      <c r="AA85" s="2671" t="str">
        <f t="shared" si="509"/>
        <v>0.000</v>
      </c>
      <c r="AB85" s="2671" t="str">
        <f t="shared" si="509"/>
        <v>0.000</v>
      </c>
      <c r="AC85" s="2671" t="str">
        <f t="shared" si="509"/>
        <v>0.000</v>
      </c>
      <c r="AD85" s="2671" t="str">
        <f t="shared" si="509"/>
        <v>0.000</v>
      </c>
      <c r="AE85" s="2671" t="str">
        <f t="shared" si="509"/>
        <v>0.000</v>
      </c>
      <c r="AF85" s="2672" t="str">
        <f t="shared" si="509"/>
        <v>0.000</v>
      </c>
      <c r="AG85" s="1862"/>
      <c r="AH85" s="2226">
        <f t="shared" si="491"/>
        <v>0</v>
      </c>
      <c r="AI85" s="2671"/>
      <c r="AJ85" s="2672"/>
      <c r="AK85" s="1862"/>
      <c r="AL85" s="2226" t="str">
        <f t="shared" ref="AL85:AR85" si="510">IF(AL78&lt;0,"0.000",AL78)</f>
        <v>0.000</v>
      </c>
      <c r="AM85" s="2671" t="str">
        <f t="shared" si="510"/>
        <v>0.000</v>
      </c>
      <c r="AN85" s="2671" t="str">
        <f t="shared" si="510"/>
        <v>0.000</v>
      </c>
      <c r="AO85" s="2671" t="str">
        <f t="shared" si="510"/>
        <v>0.000</v>
      </c>
      <c r="AP85" s="2671" t="str">
        <f t="shared" si="510"/>
        <v>0.000</v>
      </c>
      <c r="AQ85" s="2671" t="str">
        <f t="shared" si="510"/>
        <v>0.000</v>
      </c>
      <c r="AR85" s="2672" t="str">
        <f t="shared" si="510"/>
        <v>0.000</v>
      </c>
      <c r="AS85" s="2947"/>
      <c r="AT85" s="2226">
        <f t="shared" si="493"/>
        <v>0</v>
      </c>
      <c r="AU85" s="2671"/>
      <c r="AV85" s="2672"/>
      <c r="AW85" s="2947"/>
      <c r="AX85" s="2226" t="str">
        <f t="shared" ref="AX85:BD85" si="511">IF(AX78&lt;0,"0.000",AX78)</f>
        <v>0.000</v>
      </c>
      <c r="AY85" s="2671" t="str">
        <f t="shared" si="511"/>
        <v>0.000</v>
      </c>
      <c r="AZ85" s="2671" t="str">
        <f t="shared" si="511"/>
        <v>0.000</v>
      </c>
      <c r="BA85" s="2671" t="str">
        <f t="shared" si="511"/>
        <v>0.000</v>
      </c>
      <c r="BB85" s="2671" t="str">
        <f t="shared" si="511"/>
        <v>0.000</v>
      </c>
      <c r="BC85" s="2671" t="str">
        <f t="shared" si="511"/>
        <v>0.000</v>
      </c>
      <c r="BD85" s="2672" t="str">
        <f t="shared" si="511"/>
        <v>0.000</v>
      </c>
      <c r="BE85" s="2947"/>
      <c r="BF85" s="2226">
        <f t="shared" si="495"/>
        <v>0</v>
      </c>
      <c r="BG85" s="2671"/>
      <c r="BH85" s="2672"/>
      <c r="BI85" s="2947"/>
      <c r="BJ85" s="2226" t="str">
        <f>IF(BJ78&lt;0,"0.000",BJ78)</f>
        <v>0.000</v>
      </c>
      <c r="BK85" s="2947"/>
      <c r="BL85" s="2226">
        <f>SUM(BJ85:BJ85)</f>
        <v>0</v>
      </c>
      <c r="BM85" s="2671"/>
      <c r="BN85" s="2672"/>
      <c r="BP85" s="2226">
        <f>SUM(N85:T85)+SUM(Z85:AF85)+SUM(AL85:AR85)+SUM(AX85:BD85)+SUM(BJ85:BJ85)</f>
        <v>0</v>
      </c>
      <c r="BQ85" s="2672"/>
      <c r="BR85" s="1740"/>
      <c r="BS85" s="2947"/>
      <c r="BT85" s="2246"/>
      <c r="BU85" s="2246"/>
      <c r="BV85" s="2247"/>
    </row>
    <row r="86" spans="2:74" s="1726" customFormat="1" ht="4.5" customHeight="1" thickBot="1" x14ac:dyDescent="0.25">
      <c r="B86" s="1740"/>
      <c r="C86" s="1740"/>
      <c r="D86" s="1861"/>
      <c r="E86" s="1740"/>
      <c r="F86" s="1740"/>
      <c r="G86" s="1740"/>
      <c r="H86" s="1740"/>
      <c r="I86" s="1740"/>
      <c r="J86" s="1740"/>
      <c r="K86" s="1997"/>
      <c r="L86" s="1760"/>
      <c r="M86" s="2946"/>
      <c r="N86" s="1740"/>
      <c r="O86" s="1740"/>
      <c r="P86" s="1740"/>
      <c r="Q86" s="1740"/>
      <c r="R86" s="1740"/>
      <c r="S86" s="1740"/>
      <c r="T86" s="1740"/>
      <c r="U86" s="1861"/>
      <c r="V86" s="1740"/>
      <c r="W86" s="1740"/>
      <c r="X86" s="1740"/>
      <c r="Y86" s="1860"/>
      <c r="Z86" s="1740"/>
      <c r="AA86" s="1740"/>
      <c r="AB86" s="1740"/>
      <c r="AC86" s="1740"/>
      <c r="AD86" s="1740"/>
      <c r="AE86" s="1740"/>
      <c r="AF86" s="1740"/>
      <c r="AG86" s="1860"/>
      <c r="AH86" s="1740"/>
      <c r="AI86" s="1740"/>
      <c r="AJ86" s="1740"/>
      <c r="AK86" s="1860"/>
      <c r="AL86" s="1740"/>
      <c r="AM86" s="1740"/>
      <c r="AN86" s="1740"/>
      <c r="AO86" s="1740"/>
      <c r="AP86" s="1740"/>
      <c r="AQ86" s="1740"/>
      <c r="AR86" s="1740"/>
      <c r="AS86" s="1861"/>
      <c r="AT86" s="1740"/>
      <c r="AU86" s="1740"/>
      <c r="AV86" s="1740"/>
      <c r="AW86" s="1861"/>
      <c r="AX86" s="1740"/>
      <c r="AY86" s="1740"/>
      <c r="AZ86" s="1740"/>
      <c r="BA86" s="1740"/>
      <c r="BB86" s="1740"/>
      <c r="BC86" s="1740"/>
      <c r="BD86" s="1740"/>
      <c r="BE86" s="1861"/>
      <c r="BF86" s="1740"/>
      <c r="BG86" s="1740"/>
      <c r="BH86" s="1740"/>
      <c r="BI86" s="1740"/>
      <c r="BJ86" s="1740"/>
      <c r="BK86" s="1740"/>
      <c r="BL86" s="1740"/>
      <c r="BM86" s="1740"/>
      <c r="BN86" s="1740"/>
      <c r="BP86" s="1740"/>
      <c r="BQ86" s="1740"/>
      <c r="BR86" s="1740"/>
      <c r="BS86" s="1740"/>
      <c r="BT86" s="1740"/>
      <c r="BU86" s="1861"/>
    </row>
    <row r="87" spans="2:74" s="1885" customFormat="1" ht="17.25" thickBot="1" x14ac:dyDescent="0.25">
      <c r="B87" s="2117"/>
      <c r="C87" s="2212"/>
      <c r="D87" s="2119"/>
      <c r="E87" s="2123">
        <f>SUM(E80:E84)</f>
        <v>25268.249999999996</v>
      </c>
      <c r="F87" s="2121"/>
      <c r="G87" s="2121"/>
      <c r="H87" s="2121"/>
      <c r="I87" s="2121"/>
      <c r="J87" s="2121">
        <f>E87/29</f>
        <v>871.31896551724128</v>
      </c>
      <c r="K87" s="2129">
        <f>J87*20%</f>
        <v>174.26379310344828</v>
      </c>
      <c r="L87" s="2213"/>
      <c r="M87" s="2214"/>
      <c r="N87" s="2120">
        <f>SUM(N80:N85)</f>
        <v>-69.448310344827576</v>
      </c>
      <c r="O87" s="2123">
        <f t="shared" ref="O87:T87" si="512">SUM(O80:O85)</f>
        <v>-89.942034482758615</v>
      </c>
      <c r="P87" s="2123">
        <f t="shared" si="512"/>
        <v>-65.523793103448256</v>
      </c>
      <c r="Q87" s="2123">
        <f t="shared" si="512"/>
        <v>-53.493293103448259</v>
      </c>
      <c r="R87" s="2123">
        <f t="shared" si="512"/>
        <v>-52.785793103448263</v>
      </c>
      <c r="S87" s="2123">
        <f t="shared" si="512"/>
        <v>-59.238793103448266</v>
      </c>
      <c r="T87" s="2124">
        <f t="shared" si="512"/>
        <v>-99.500534482758624</v>
      </c>
      <c r="U87" s="1951"/>
      <c r="V87" s="2120">
        <f>SUM(N87:T87)</f>
        <v>-489.93255172413785</v>
      </c>
      <c r="W87" s="2123"/>
      <c r="X87" s="2124"/>
      <c r="Y87" s="1956"/>
      <c r="Z87" s="2120">
        <f t="shared" ref="Z87:AF87" si="513">SUM(Z80:Z85)</f>
        <v>-69.448310344827576</v>
      </c>
      <c r="AA87" s="2123">
        <f t="shared" si="513"/>
        <v>-86.566534482758613</v>
      </c>
      <c r="AB87" s="2123">
        <f t="shared" si="513"/>
        <v>-113.39753448275862</v>
      </c>
      <c r="AC87" s="2123">
        <f t="shared" si="513"/>
        <v>-69.448310344827576</v>
      </c>
      <c r="AD87" s="2123">
        <f t="shared" si="513"/>
        <v>-52.58779310344827</v>
      </c>
      <c r="AE87" s="2123">
        <f t="shared" si="513"/>
        <v>-48.07879310344827</v>
      </c>
      <c r="AF87" s="2124">
        <f t="shared" si="513"/>
        <v>-87.350534482758619</v>
      </c>
      <c r="AG87" s="1956"/>
      <c r="AH87" s="2120">
        <f>SUM(Z87:AF87)</f>
        <v>-526.87781034482759</v>
      </c>
      <c r="AI87" s="2123"/>
      <c r="AJ87" s="2124"/>
      <c r="AK87" s="1955"/>
      <c r="AL87" s="2120">
        <f t="shared" ref="AL87:AR87" si="514">SUM(AL80:AL85)</f>
        <v>-50.52529310344827</v>
      </c>
      <c r="AM87" s="2121">
        <f t="shared" si="514"/>
        <v>-69.448310344827576</v>
      </c>
      <c r="AN87" s="2121">
        <f t="shared" si="514"/>
        <v>-69.448310344827576</v>
      </c>
      <c r="AO87" s="2121">
        <f t="shared" si="514"/>
        <v>-65.373793103448264</v>
      </c>
      <c r="AP87" s="2121">
        <f t="shared" si="514"/>
        <v>-69.448310344827576</v>
      </c>
      <c r="AQ87" s="2121">
        <f t="shared" si="514"/>
        <v>-85.088534482758618</v>
      </c>
      <c r="AR87" s="2124">
        <f t="shared" si="514"/>
        <v>-69.448310344827576</v>
      </c>
      <c r="AS87" s="2254"/>
      <c r="AT87" s="2120">
        <f>SUM(AL87:AR87)</f>
        <v>-478.78086206896546</v>
      </c>
      <c r="AU87" s="2123"/>
      <c r="AV87" s="2124"/>
      <c r="AW87" s="1951"/>
      <c r="AX87" s="2120">
        <f t="shared" ref="AX87:BD87" si="515">SUM(AX80:AX85)</f>
        <v>-82.160034482758618</v>
      </c>
      <c r="AY87" s="2121">
        <f t="shared" si="515"/>
        <v>-88.898034482758618</v>
      </c>
      <c r="AZ87" s="2121">
        <f t="shared" si="515"/>
        <v>-52.964793103448265</v>
      </c>
      <c r="BA87" s="2121">
        <f t="shared" si="515"/>
        <v>-94.340534482758613</v>
      </c>
      <c r="BB87" s="2121">
        <f t="shared" si="515"/>
        <v>-60.458793103448265</v>
      </c>
      <c r="BC87" s="2121">
        <f t="shared" si="515"/>
        <v>-60.458793103448265</v>
      </c>
      <c r="BD87" s="2124">
        <f t="shared" si="515"/>
        <v>-32.89829310344826</v>
      </c>
      <c r="BE87" s="1951"/>
      <c r="BF87" s="2120">
        <f>SUM(AX87:BD87)</f>
        <v>-472.17927586206895</v>
      </c>
      <c r="BG87" s="2123"/>
      <c r="BH87" s="2124"/>
      <c r="BI87" s="1900"/>
      <c r="BJ87" s="2969">
        <f t="shared" ref="BJ87" si="516">SUM(BJ80:BJ85)</f>
        <v>-54.797293103448261</v>
      </c>
      <c r="BK87" s="2317"/>
      <c r="BL87" s="2215">
        <f>SUM(BJ87:BJ87)</f>
        <v>-54.797293103448261</v>
      </c>
      <c r="BM87" s="2318"/>
      <c r="BN87" s="2118"/>
      <c r="BO87" s="1897"/>
      <c r="BP87" s="2215">
        <f>SUM(N87:T87)+SUM(Z87:AF87)+SUM(AL87:AR87)+SUM(AX87:BD87)+SUM(BJ87:BJ87)</f>
        <v>-2022.5677931034484</v>
      </c>
      <c r="BQ87" s="2130"/>
      <c r="BR87" s="1900"/>
      <c r="BS87" s="1900"/>
      <c r="BT87" s="1900"/>
      <c r="BU87" s="2011"/>
    </row>
    <row r="88" spans="2:74" s="1726" customFormat="1" ht="4.5" customHeight="1" thickBot="1" x14ac:dyDescent="0.25">
      <c r="B88" s="1740"/>
      <c r="C88" s="1740"/>
      <c r="D88" s="1861"/>
      <c r="E88" s="1740"/>
      <c r="F88" s="1740"/>
      <c r="G88" s="1740"/>
      <c r="H88" s="1740"/>
      <c r="I88" s="1740"/>
      <c r="J88" s="1740"/>
      <c r="K88" s="1861"/>
      <c r="L88" s="1827"/>
      <c r="M88" s="1810"/>
      <c r="N88" s="1740"/>
      <c r="O88" s="1740"/>
      <c r="P88" s="1740"/>
      <c r="Q88" s="1740"/>
      <c r="R88" s="1740"/>
      <c r="S88" s="1740"/>
      <c r="T88" s="1740"/>
      <c r="U88" s="1861"/>
      <c r="V88" s="1740"/>
      <c r="W88" s="1740"/>
      <c r="X88" s="1740"/>
      <c r="Y88" s="1860"/>
      <c r="AG88" s="1860"/>
      <c r="AH88" s="1740"/>
      <c r="AI88" s="1740"/>
      <c r="AJ88" s="1740"/>
      <c r="AK88" s="1860"/>
      <c r="AL88" s="1740"/>
      <c r="AM88" s="1740"/>
      <c r="AN88" s="1740"/>
      <c r="AO88" s="1740"/>
      <c r="AP88" s="1740"/>
      <c r="AQ88" s="1740"/>
      <c r="AR88" s="1740"/>
      <c r="AS88" s="1861"/>
      <c r="AT88" s="1740"/>
      <c r="AU88" s="1740"/>
      <c r="AV88" s="1740"/>
      <c r="AW88" s="1861"/>
      <c r="AX88" s="1740"/>
      <c r="AY88" s="1740"/>
      <c r="AZ88" s="1740"/>
      <c r="BA88" s="1740"/>
      <c r="BB88" s="1740"/>
      <c r="BC88" s="1740"/>
      <c r="BD88" s="1740"/>
      <c r="BE88" s="1861"/>
      <c r="BF88" s="1740"/>
      <c r="BG88" s="1740"/>
      <c r="BH88" s="1740"/>
      <c r="BI88" s="1740"/>
      <c r="BJ88" s="1740"/>
      <c r="BK88" s="1740"/>
      <c r="BL88" s="1740"/>
      <c r="BM88" s="1740"/>
      <c r="BN88" s="1740"/>
      <c r="BP88" s="1740"/>
      <c r="BQ88" s="1740"/>
      <c r="BR88" s="1740"/>
      <c r="BS88" s="1740"/>
      <c r="BT88" s="1740"/>
      <c r="BU88" s="1861"/>
    </row>
    <row r="89" spans="2:74" s="1726" customFormat="1" ht="17.25" thickBot="1" x14ac:dyDescent="0.25">
      <c r="B89" s="2049"/>
      <c r="C89" s="2050"/>
      <c r="D89" s="2051"/>
      <c r="E89" s="2052">
        <f>E87*20%</f>
        <v>5053.6499999999996</v>
      </c>
      <c r="F89" s="2053"/>
      <c r="G89" s="2053"/>
      <c r="H89" s="2053"/>
      <c r="I89" s="2053"/>
      <c r="J89" s="2053"/>
      <c r="K89" s="2253"/>
      <c r="L89" s="2216"/>
      <c r="M89" s="2055"/>
      <c r="N89" s="2056">
        <f>N87*100/20</f>
        <v>-347.24155172413788</v>
      </c>
      <c r="O89" s="2052">
        <f t="shared" ref="O89:T89" si="517">O87*100/30</f>
        <v>-299.80678160919535</v>
      </c>
      <c r="P89" s="2052">
        <f t="shared" si="517"/>
        <v>-218.41264367816083</v>
      </c>
      <c r="Q89" s="2052">
        <f t="shared" si="517"/>
        <v>-178.3109770114942</v>
      </c>
      <c r="R89" s="2052">
        <f t="shared" si="517"/>
        <v>-175.95264367816085</v>
      </c>
      <c r="S89" s="2052">
        <f t="shared" si="517"/>
        <v>-197.4626436781609</v>
      </c>
      <c r="T89" s="2192">
        <f t="shared" si="517"/>
        <v>-331.66844827586209</v>
      </c>
      <c r="U89" s="2300"/>
      <c r="V89" s="2056">
        <f>SUM(N89:T89)</f>
        <v>-1748.8556896551722</v>
      </c>
      <c r="W89" s="2052"/>
      <c r="X89" s="2057"/>
      <c r="Y89" s="1766"/>
      <c r="Z89" s="2673">
        <f t="shared" ref="Z89:AF89" si="518">Z87*100/30</f>
        <v>-231.49436781609194</v>
      </c>
      <c r="AA89" s="2674">
        <f t="shared" si="518"/>
        <v>-288.55511494252875</v>
      </c>
      <c r="AB89" s="2674">
        <f t="shared" si="518"/>
        <v>-377.99178160919541</v>
      </c>
      <c r="AC89" s="2052">
        <f t="shared" si="518"/>
        <v>-231.49436781609194</v>
      </c>
      <c r="AD89" s="2674">
        <f t="shared" si="518"/>
        <v>-175.29264367816089</v>
      </c>
      <c r="AE89" s="2674">
        <f t="shared" si="518"/>
        <v>-160.26264367816091</v>
      </c>
      <c r="AF89" s="2675">
        <f t="shared" si="518"/>
        <v>-291.16844827586203</v>
      </c>
      <c r="AG89" s="1766"/>
      <c r="AH89" s="2056">
        <f>SUM(Z89:AF89)</f>
        <v>-1756.259367816092</v>
      </c>
      <c r="AI89" s="2052"/>
      <c r="AJ89" s="2057"/>
      <c r="AK89" s="1764"/>
      <c r="AL89" s="2056">
        <f t="shared" ref="AL89:AR89" si="519">AL87*100/30</f>
        <v>-168.41764367816089</v>
      </c>
      <c r="AM89" s="2053">
        <f t="shared" si="519"/>
        <v>-231.49436781609194</v>
      </c>
      <c r="AN89" s="2053">
        <f t="shared" si="519"/>
        <v>-231.49436781609194</v>
      </c>
      <c r="AO89" s="2053">
        <f t="shared" si="519"/>
        <v>-217.91264367816086</v>
      </c>
      <c r="AP89" s="2053">
        <f t="shared" si="519"/>
        <v>-231.49436781609194</v>
      </c>
      <c r="AQ89" s="2053">
        <f t="shared" si="519"/>
        <v>-283.62844827586207</v>
      </c>
      <c r="AR89" s="2057">
        <f t="shared" si="519"/>
        <v>-231.49436781609194</v>
      </c>
      <c r="AS89" s="2300"/>
      <c r="AT89" s="2056">
        <f>SUM(AL89:AR89)</f>
        <v>-1595.9362068965518</v>
      </c>
      <c r="AU89" s="2052"/>
      <c r="AV89" s="2057"/>
      <c r="AW89" s="1814"/>
      <c r="AX89" s="2056">
        <f t="shared" ref="AX89:BD89" si="520">AX87*100/30</f>
        <v>-273.86678160919541</v>
      </c>
      <c r="AY89" s="2053">
        <f t="shared" si="520"/>
        <v>-296.32678160919539</v>
      </c>
      <c r="AZ89" s="2053">
        <f t="shared" si="520"/>
        <v>-176.54931034482755</v>
      </c>
      <c r="BA89" s="2053">
        <f t="shared" si="520"/>
        <v>-314.46844827586204</v>
      </c>
      <c r="BB89" s="2053">
        <f t="shared" si="520"/>
        <v>-201.52931034482754</v>
      </c>
      <c r="BC89" s="2053">
        <f t="shared" si="520"/>
        <v>-201.52931034482754</v>
      </c>
      <c r="BD89" s="2057">
        <f t="shared" si="520"/>
        <v>-109.6609770114942</v>
      </c>
      <c r="BE89" s="1814"/>
      <c r="BF89" s="2056">
        <f>SUM(AX89:BD89)</f>
        <v>-1573.9309195402298</v>
      </c>
      <c r="BG89" s="2052"/>
      <c r="BH89" s="2057"/>
      <c r="BI89" s="1740"/>
      <c r="BJ89" s="2976">
        <f t="shared" ref="BJ89" si="521">BJ87*100/30</f>
        <v>-182.65764367816089</v>
      </c>
      <c r="BK89" s="2301"/>
      <c r="BL89" s="2058">
        <f>SUM(BJ89:BJ89)</f>
        <v>-182.65764367816089</v>
      </c>
      <c r="BM89" s="2324"/>
      <c r="BN89" s="2190"/>
      <c r="BO89" s="1862"/>
      <c r="BP89" s="2058">
        <f>SUM(N89:T89)+SUM(Z89:AF89)+SUM(AL89:AR89)+SUM(AX89:BD89)+SUM(BJ89:BJ89)</f>
        <v>-6857.6398275862057</v>
      </c>
      <c r="BQ89" s="2676">
        <f>BP89/BY18</f>
        <v>-236.47033888228296</v>
      </c>
      <c r="BR89" s="1740"/>
      <c r="BS89" s="1740"/>
      <c r="BT89" s="1740"/>
      <c r="BU89" s="1861"/>
    </row>
    <row r="91" spans="2:74" ht="20.25" x14ac:dyDescent="0.2">
      <c r="C91" s="2448"/>
      <c r="D91" s="2450"/>
      <c r="E91" s="2449"/>
      <c r="F91" s="2449"/>
      <c r="G91" s="2449"/>
      <c r="H91" s="2449"/>
      <c r="I91" s="2449"/>
      <c r="J91" s="2449"/>
      <c r="K91" s="2983">
        <f>K92/29</f>
        <v>262.06896551724139</v>
      </c>
    </row>
    <row r="92" spans="2:74" ht="18" x14ac:dyDescent="0.2">
      <c r="C92" s="2448">
        <f>E92*20%</f>
        <v>9000</v>
      </c>
      <c r="D92" s="2450"/>
      <c r="E92" s="2449">
        <v>45000</v>
      </c>
      <c r="F92" s="2449"/>
      <c r="G92" s="2449"/>
      <c r="H92" s="2449"/>
      <c r="I92" s="2449"/>
      <c r="J92" s="2449">
        <v>38000</v>
      </c>
      <c r="K92" s="2449">
        <f>J92*20%</f>
        <v>7600</v>
      </c>
      <c r="P92" s="2255"/>
      <c r="Q92" s="2256"/>
      <c r="R92" s="2256"/>
      <c r="S92" s="2257"/>
      <c r="T92" s="2257"/>
      <c r="U92" s="1915"/>
    </row>
    <row r="93" spans="2:74" ht="18" x14ac:dyDescent="0.2">
      <c r="C93" s="2451">
        <f>C92-E40</f>
        <v>6296.85</v>
      </c>
      <c r="D93" s="2949"/>
      <c r="E93" s="2771"/>
      <c r="F93" s="2771"/>
      <c r="G93" s="2771"/>
      <c r="H93" s="2771"/>
      <c r="I93" s="2771"/>
      <c r="J93" s="2449">
        <f>J92/29</f>
        <v>1310.344827586207</v>
      </c>
      <c r="K93" s="2449">
        <f>K92-E40</f>
        <v>4896.8500000000004</v>
      </c>
      <c r="AM93" s="2257"/>
    </row>
    <row r="94" spans="2:74" ht="18" x14ac:dyDescent="0.2">
      <c r="C94" s="2452">
        <f>C93/2</f>
        <v>3148.4250000000002</v>
      </c>
      <c r="D94" s="2949"/>
      <c r="E94" s="2771"/>
      <c r="F94" s="2771"/>
      <c r="G94" s="2771"/>
      <c r="H94" s="2771"/>
      <c r="I94" s="2771"/>
      <c r="J94" s="2450"/>
      <c r="K94" s="2771">
        <f>K93/2</f>
        <v>2448.4250000000002</v>
      </c>
    </row>
    <row r="95" spans="2:74" ht="18" x14ac:dyDescent="0.2">
      <c r="K95" s="2449"/>
    </row>
  </sheetData>
  <mergeCells count="86">
    <mergeCell ref="BL1:BN2"/>
    <mergeCell ref="BP1:BP12"/>
    <mergeCell ref="C1:K2"/>
    <mergeCell ref="N1:T2"/>
    <mergeCell ref="V1:X2"/>
    <mergeCell ref="Z1:AF2"/>
    <mergeCell ref="AH1:AJ2"/>
    <mergeCell ref="AL1:AR2"/>
    <mergeCell ref="C3:C6"/>
    <mergeCell ref="CG1:CG2"/>
    <mergeCell ref="CH1:CH2"/>
    <mergeCell ref="K8:K9"/>
    <mergeCell ref="BX8:BY9"/>
    <mergeCell ref="BY11:BY12"/>
    <mergeCell ref="BZ11:BZ12"/>
    <mergeCell ref="BQ1:BQ12"/>
    <mergeCell ref="BS1:BV2"/>
    <mergeCell ref="CB1:CB2"/>
    <mergeCell ref="CC1:CC2"/>
    <mergeCell ref="CD1:CD2"/>
    <mergeCell ref="CF1:CF2"/>
    <mergeCell ref="AT1:AV2"/>
    <mergeCell ref="AX1:BD2"/>
    <mergeCell ref="BF1:BH2"/>
    <mergeCell ref="BJ1:BJ2"/>
    <mergeCell ref="V14:X14"/>
    <mergeCell ref="AH14:AJ14"/>
    <mergeCell ref="AT14:AV14"/>
    <mergeCell ref="AZ14:BD14"/>
    <mergeCell ref="BF14:BH14"/>
    <mergeCell ref="B80:B81"/>
    <mergeCell ref="C80:C81"/>
    <mergeCell ref="E80:E81"/>
    <mergeCell ref="J80:J81"/>
    <mergeCell ref="K80:K81"/>
    <mergeCell ref="BL14:BN14"/>
    <mergeCell ref="BS45:BT45"/>
    <mergeCell ref="BV46:BV55"/>
    <mergeCell ref="BX46:BX55"/>
    <mergeCell ref="BV59:BV68"/>
    <mergeCell ref="AA80:AA81"/>
    <mergeCell ref="N80:N81"/>
    <mergeCell ref="O80:O81"/>
    <mergeCell ref="P80:P81"/>
    <mergeCell ref="Q80:Q81"/>
    <mergeCell ref="R80:R81"/>
    <mergeCell ref="S80:S81"/>
    <mergeCell ref="T80:T81"/>
    <mergeCell ref="V80:V81"/>
    <mergeCell ref="W80:W81"/>
    <mergeCell ref="X80:X81"/>
    <mergeCell ref="Z80:Z81"/>
    <mergeCell ref="AO80:AO81"/>
    <mergeCell ref="AB80:AB81"/>
    <mergeCell ref="AC80:AC81"/>
    <mergeCell ref="AD80:AD81"/>
    <mergeCell ref="AE80:AE81"/>
    <mergeCell ref="AF80:AF81"/>
    <mergeCell ref="AH80:AH81"/>
    <mergeCell ref="AI80:AI81"/>
    <mergeCell ref="AJ80:AJ81"/>
    <mergeCell ref="AL80:AL81"/>
    <mergeCell ref="AM80:AM81"/>
    <mergeCell ref="AN80:AN81"/>
    <mergeCell ref="BC80:BC81"/>
    <mergeCell ref="AP80:AP81"/>
    <mergeCell ref="AQ80:AQ81"/>
    <mergeCell ref="AR80:AR81"/>
    <mergeCell ref="AT80:AT81"/>
    <mergeCell ref="AU80:AU81"/>
    <mergeCell ref="AV80:AV81"/>
    <mergeCell ref="AX80:AX81"/>
    <mergeCell ref="AY80:AY81"/>
    <mergeCell ref="AZ80:AZ81"/>
    <mergeCell ref="BA80:BA81"/>
    <mergeCell ref="BB80:BB81"/>
    <mergeCell ref="BD80:BD81"/>
    <mergeCell ref="BF80:BF81"/>
    <mergeCell ref="BG80:BG81"/>
    <mergeCell ref="BH80:BH81"/>
    <mergeCell ref="BJ80:BJ81"/>
    <mergeCell ref="BL80:BL81"/>
    <mergeCell ref="BM80:BM81"/>
    <mergeCell ref="BN80:BN81"/>
    <mergeCell ref="BP80:BP81"/>
    <mergeCell ref="BQ80:BQ81"/>
  </mergeCells>
  <conditionalFormatting sqref="BQ83">
    <cfRule type="cellIs" dxfId="338" priority="69" operator="greaterThan">
      <formula>0</formula>
    </cfRule>
    <cfRule type="cellIs" dxfId="337" priority="70" operator="lessThan">
      <formula>0</formula>
    </cfRule>
  </conditionalFormatting>
  <conditionalFormatting sqref="AL3">
    <cfRule type="cellIs" dxfId="336" priority="54" operator="lessThan">
      <formula>$J$80</formula>
    </cfRule>
    <cfRule type="cellIs" dxfId="335" priority="55" operator="between">
      <formula>$J$80</formula>
      <formula>$J$87</formula>
    </cfRule>
    <cfRule type="cellIs" dxfId="334" priority="56" operator="greaterThan">
      <formula>$J$93</formula>
    </cfRule>
  </conditionalFormatting>
  <conditionalFormatting sqref="AM3:AR3">
    <cfRule type="cellIs" dxfId="333" priority="47" operator="lessThan">
      <formula>$J$80</formula>
    </cfRule>
    <cfRule type="cellIs" dxfId="332" priority="48" operator="between">
      <formula>$J$80</formula>
      <formula>$J$87</formula>
    </cfRule>
    <cfRule type="cellIs" dxfId="331" priority="49" operator="greaterThan">
      <formula>$J$93</formula>
    </cfRule>
  </conditionalFormatting>
  <conditionalFormatting sqref="AL4:AR4">
    <cfRule type="cellIs" dxfId="330" priority="71" operator="lessThan">
      <formula>$K$80</formula>
    </cfRule>
    <cfRule type="cellIs" dxfId="329" priority="72" operator="between">
      <formula>$K$80</formula>
      <formula>$K$87</formula>
    </cfRule>
    <cfRule type="cellIs" dxfId="328" priority="73" operator="greaterThan">
      <formula>$K$91</formula>
    </cfRule>
    <cfRule type="cellIs" dxfId="327" priority="74" operator="greaterThan">
      <formula>$J$93</formula>
    </cfRule>
  </conditionalFormatting>
  <conditionalFormatting sqref="AX3:BC3">
    <cfRule type="cellIs" dxfId="326" priority="37" operator="lessThan">
      <formula>$J$80</formula>
    </cfRule>
    <cfRule type="cellIs" dxfId="325" priority="38" operator="between">
      <formula>$J$80</formula>
      <formula>$J$87</formula>
    </cfRule>
    <cfRule type="cellIs" dxfId="324" priority="39" operator="greaterThan">
      <formula>$J$93</formula>
    </cfRule>
  </conditionalFormatting>
  <conditionalFormatting sqref="AX4:BC4">
    <cfRule type="cellIs" dxfId="323" priority="40" operator="lessThan">
      <formula>$K$80</formula>
    </cfRule>
    <cfRule type="cellIs" dxfId="322" priority="41" operator="between">
      <formula>$K$80</formula>
      <formula>$K$87</formula>
    </cfRule>
    <cfRule type="cellIs" dxfId="321" priority="42" operator="greaterThan">
      <formula>$K$91</formula>
    </cfRule>
    <cfRule type="cellIs" dxfId="320" priority="43" operator="greaterThan">
      <formula>$J$93</formula>
    </cfRule>
  </conditionalFormatting>
  <conditionalFormatting sqref="N3">
    <cfRule type="cellIs" dxfId="319" priority="34" operator="between">
      <formula>$J$14</formula>
      <formula>$J$93</formula>
    </cfRule>
    <cfRule type="cellIs" dxfId="318" priority="35" operator="lessThan">
      <formula>$J$14</formula>
    </cfRule>
    <cfRule type="cellIs" dxfId="317" priority="36" operator="greaterThan">
      <formula>$J$93</formula>
    </cfRule>
  </conditionalFormatting>
  <conditionalFormatting sqref="N3:T3">
    <cfRule type="cellIs" dxfId="316" priority="31" operator="between">
      <formula>$J$14</formula>
      <formula>$J$93</formula>
    </cfRule>
    <cfRule type="cellIs" dxfId="315" priority="32" operator="lessThan">
      <formula>$J$14</formula>
    </cfRule>
    <cfRule type="cellIs" dxfId="314" priority="33" operator="greaterThan">
      <formula>$J$93</formula>
    </cfRule>
  </conditionalFormatting>
  <conditionalFormatting sqref="N4:T4">
    <cfRule type="cellIs" dxfId="313" priority="28" operator="between">
      <formula>$J$40</formula>
      <formula>$K$91</formula>
    </cfRule>
    <cfRule type="cellIs" dxfId="312" priority="29" operator="lessThan">
      <formula>$J$40</formula>
    </cfRule>
    <cfRule type="cellIs" dxfId="311" priority="30" operator="greaterThan">
      <formula>$K$91</formula>
    </cfRule>
  </conditionalFormatting>
  <conditionalFormatting sqref="Z3:AF3">
    <cfRule type="cellIs" dxfId="310" priority="25" operator="between">
      <formula>$J$14</formula>
      <formula>$J$93</formula>
    </cfRule>
    <cfRule type="cellIs" dxfId="309" priority="26" operator="lessThan">
      <formula>$J$14</formula>
    </cfRule>
    <cfRule type="cellIs" dxfId="308" priority="27" operator="greaterThan">
      <formula>$J$93</formula>
    </cfRule>
  </conditionalFormatting>
  <conditionalFormatting sqref="Z4:AF4">
    <cfRule type="cellIs" dxfId="307" priority="21" operator="between">
      <formula>$J$40</formula>
      <formula>$K$91</formula>
    </cfRule>
    <cfRule type="cellIs" dxfId="306" priority="22" operator="lessThan">
      <formula>$J$40</formula>
    </cfRule>
    <cfRule type="cellIs" dxfId="305" priority="23" operator="greaterThan">
      <formula>$K$91</formula>
    </cfRule>
    <cfRule type="cellIs" dxfId="304" priority="24" operator="greaterThan">
      <formula>$K$91</formula>
    </cfRule>
  </conditionalFormatting>
  <conditionalFormatting sqref="AL3:AR3">
    <cfRule type="cellIs" dxfId="303" priority="18" operator="between">
      <formula>$J$14</formula>
      <formula>$J$93</formula>
    </cfRule>
    <cfRule type="cellIs" dxfId="302" priority="19" operator="lessThan">
      <formula>$J$14</formula>
    </cfRule>
    <cfRule type="cellIs" dxfId="301" priority="20" operator="greaterThan">
      <formula>$J$93</formula>
    </cfRule>
  </conditionalFormatting>
  <conditionalFormatting sqref="AL4:AR4">
    <cfRule type="cellIs" dxfId="300" priority="15" operator="between">
      <formula>$J$40</formula>
      <formula>$K$91</formula>
    </cfRule>
    <cfRule type="cellIs" dxfId="299" priority="16" operator="lessThan">
      <formula>$J$40</formula>
    </cfRule>
    <cfRule type="cellIs" dxfId="298" priority="17" operator="greaterThan">
      <formula>$K$91</formula>
    </cfRule>
  </conditionalFormatting>
  <conditionalFormatting sqref="AX3:BD3">
    <cfRule type="cellIs" dxfId="297" priority="10" operator="between">
      <formula>$J$93</formula>
      <formula>635</formula>
    </cfRule>
    <cfRule type="cellIs" dxfId="296" priority="11" operator="lessThan">
      <formula>$J$14</formula>
    </cfRule>
    <cfRule type="cellIs" dxfId="295" priority="12" operator="greaterThan">
      <formula>$J$93</formula>
    </cfRule>
    <cfRule type="cellIs" dxfId="294" priority="13" operator="lessThan">
      <formula>$J$14</formula>
    </cfRule>
    <cfRule type="cellIs" dxfId="293" priority="14" operator="greaterThan">
      <formula>$J$93</formula>
    </cfRule>
  </conditionalFormatting>
  <conditionalFormatting sqref="AX4:BD4">
    <cfRule type="cellIs" dxfId="292" priority="7" operator="between">
      <formula>$J$40</formula>
      <formula>$K$91</formula>
    </cfRule>
    <cfRule type="cellIs" dxfId="291" priority="8" operator="lessThan">
      <formula>$J$40</formula>
    </cfRule>
    <cfRule type="cellIs" dxfId="290" priority="9" operator="greaterThan">
      <formula>$K$91</formula>
    </cfRule>
  </conditionalFormatting>
  <conditionalFormatting sqref="BJ3">
    <cfRule type="cellIs" dxfId="289" priority="4" operator="between">
      <formula>$J$14</formula>
      <formula>$J$93</formula>
    </cfRule>
    <cfRule type="cellIs" dxfId="288" priority="5" operator="lessThan">
      <formula>$J$14</formula>
    </cfRule>
    <cfRule type="cellIs" dxfId="287" priority="6" operator="greaterThan">
      <formula>$J$93</formula>
    </cfRule>
  </conditionalFormatting>
  <conditionalFormatting sqref="BJ4">
    <cfRule type="cellIs" dxfId="286" priority="1" operator="between">
      <formula>$J$40</formula>
      <formula>$K$91</formula>
    </cfRule>
    <cfRule type="cellIs" dxfId="285" priority="2" operator="lessThan">
      <formula>$J$40</formula>
    </cfRule>
    <cfRule type="cellIs" dxfId="284" priority="3" operator="greaterThan">
      <formula>$K$91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900-0000D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2-2020'!BP84:BP84</xm:f>
              <xm:sqref>BQ84</xm:sqref>
            </x14:sparkline>
          </x14:sparklines>
        </x14:sparklineGroup>
        <x14:sparklineGroup type="stacked" displayEmptyCellsAs="gap" negative="1" xr2:uid="{00000000-0003-0000-1900-0000D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2-2020'!BP44:BP44</xm:f>
              <xm:sqref>BQ44</xm:sqref>
            </x14:sparkline>
          </x14:sparklines>
        </x14:sparklineGroup>
        <x14:sparklineGroup type="stacked" displayEmptyCellsAs="gap" negative="1" xr2:uid="{00000000-0003-0000-1900-0000D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2-2020'!BP44:BP44</xm:f>
              <xm:sqref>BP45</xm:sqref>
            </x14:sparkline>
          </x14:sparklines>
        </x14:sparklineGroup>
        <x14:sparklineGroup type="stacked" displayEmptyCellsAs="gap" negative="1" xr2:uid="{00000000-0003-0000-1900-0000D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2-2020'!U73:U73</xm:f>
              <xm:sqref>U74</xm:sqref>
            </x14:sparkline>
          </x14:sparklines>
        </x14:sparklineGroup>
        <x14:sparklineGroup type="stacked" displayEmptyCellsAs="gap" negative="1" xr2:uid="{00000000-0003-0000-1900-0000D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2-2020'!Y44:Y44</xm:f>
              <xm:sqref>Y45</xm:sqref>
            </x14:sparkline>
            <x14:sparkline>
              <xm:f>'RAWABI INCOME 2-2020'!AG44:AG44</xm:f>
              <xm:sqref>AG45</xm:sqref>
            </x14:sparkline>
            <x14:sparkline>
              <xm:f>'RAWABI INCOME 2-2020'!AI44:AI44</xm:f>
              <xm:sqref>AI45</xm:sqref>
            </x14:sparkline>
            <x14:sparkline>
              <xm:f>'RAWABI INCOME 2-2020'!AJ44:AJ44</xm:f>
              <xm:sqref>AJ45</xm:sqref>
            </x14:sparkline>
            <x14:sparkline>
              <xm:f>'RAWABI INCOME 2-2020'!AK44:AK44</xm:f>
              <xm:sqref>AK45</xm:sqref>
            </x14:sparkline>
            <x14:sparkline>
              <xm:f>'RAWABI INCOME 2-2020'!AL44:AL44</xm:f>
              <xm:sqref>AL45</xm:sqref>
            </x14:sparkline>
            <x14:sparkline>
              <xm:f>'RAWABI INCOME 2-2020'!AM44:AM44</xm:f>
              <xm:sqref>AM45</xm:sqref>
            </x14:sparkline>
            <x14:sparkline>
              <xm:f>'RAWABI INCOME 2-2020'!AR44:AR44</xm:f>
              <xm:sqref>AR45</xm:sqref>
            </x14:sparkline>
            <x14:sparkline>
              <xm:f>'RAWABI INCOME 2-2020'!AS44:AS44</xm:f>
              <xm:sqref>AS45</xm:sqref>
            </x14:sparkline>
            <x14:sparkline>
              <xm:f>'RAWABI INCOME 2-2020'!AT44:AT44</xm:f>
              <xm:sqref>AT45</xm:sqref>
            </x14:sparkline>
            <x14:sparkline>
              <xm:f>'RAWABI INCOME 2-2020'!AU44:AU44</xm:f>
              <xm:sqref>AU45</xm:sqref>
            </x14:sparkline>
            <x14:sparkline>
              <xm:f>'RAWABI INCOME 2-2020'!AV44:AV44</xm:f>
              <xm:sqref>AV45</xm:sqref>
            </x14:sparkline>
            <x14:sparkline>
              <xm:f>'RAWABI INCOME 2-2020'!AW44:AW44</xm:f>
              <xm:sqref>AW45</xm:sqref>
            </x14:sparkline>
            <x14:sparkline>
              <xm:f>'RAWABI INCOME 2-2020'!AX44:AX44</xm:f>
              <xm:sqref>AX45</xm:sqref>
            </x14:sparkline>
            <x14:sparkline>
              <xm:f>'RAWABI INCOME 2-2020'!BD44:BD44</xm:f>
              <xm:sqref>BD45</xm:sqref>
            </x14:sparkline>
            <x14:sparkline>
              <xm:f>'RAWABI INCOME 2-2020'!BE44:BE44</xm:f>
              <xm:sqref>BE45</xm:sqref>
            </x14:sparkline>
            <x14:sparkline>
              <xm:f>'RAWABI INCOME 2-2020'!BF44:BF44</xm:f>
              <xm:sqref>BF45</xm:sqref>
            </x14:sparkline>
            <x14:sparkline>
              <xm:f>'RAWABI INCOME 2-2020'!BG44:BG44</xm:f>
              <xm:sqref>BG45</xm:sqref>
            </x14:sparkline>
            <x14:sparkline>
              <xm:f>'RAWABI INCOME 2-2020'!BH44:BH44</xm:f>
              <xm:sqref>BH45</xm:sqref>
            </x14:sparkline>
            <x14:sparkline>
              <xm:f>'RAWABI INCOME 2-2020'!BI44:BI44</xm:f>
              <xm:sqref>BI45</xm:sqref>
            </x14:sparkline>
            <x14:sparkline>
              <xm:f>'RAWABI INCOME 2-2020'!BJ44:BJ44</xm:f>
              <xm:sqref>BJ45</xm:sqref>
            </x14:sparkline>
            <x14:sparkline>
              <xm:f>'RAWABI INCOME 2-2020'!BK44:BK44</xm:f>
              <xm:sqref>BK45</xm:sqref>
            </x14:sparkline>
            <x14:sparkline>
              <xm:f>'RAWABI INCOME 2-2020'!BL44:BL44</xm:f>
              <xm:sqref>BL45</xm:sqref>
            </x14:sparkline>
            <x14:sparkline>
              <xm:f>'RAWABI INCOME 2-2020'!BM44:BM44</xm:f>
              <xm:sqref>BM45</xm:sqref>
            </x14:sparkline>
            <x14:sparkline>
              <xm:f>'RAWABI INCOME 2-2020'!BN44:BN44</xm:f>
              <xm:sqref>BN45</xm:sqref>
            </x14:sparkline>
            <x14:sparkline>
              <xm:f>'RAWABI INCOME 2-2020'!AN44:AN44</xm:f>
              <xm:sqref>AN45</xm:sqref>
            </x14:sparkline>
            <x14:sparkline>
              <xm:f>'RAWABI INCOME 2-2020'!AO44:AO44</xm:f>
              <xm:sqref>AO45</xm:sqref>
            </x14:sparkline>
            <x14:sparkline>
              <xm:f>'RAWABI INCOME 2-2020'!AP44:AP44</xm:f>
              <xm:sqref>AP45</xm:sqref>
            </x14:sparkline>
            <x14:sparkline>
              <xm:f>'RAWABI INCOME 2-2020'!AQ44:AQ44</xm:f>
              <xm:sqref>AQ45</xm:sqref>
            </x14:sparkline>
            <x14:sparkline>
              <xm:f>'RAWABI INCOME 2-2020'!AY44:AY44</xm:f>
              <xm:sqref>AY45</xm:sqref>
            </x14:sparkline>
            <x14:sparkline>
              <xm:f>'RAWABI INCOME 2-2020'!AZ44:AZ44</xm:f>
              <xm:sqref>AZ45</xm:sqref>
            </x14:sparkline>
            <x14:sparkline>
              <xm:f>'RAWABI INCOME 2-2020'!BA44:BA44</xm:f>
              <xm:sqref>BA45</xm:sqref>
            </x14:sparkline>
            <x14:sparkline>
              <xm:f>'RAWABI INCOME 2-2020'!BB44:BB44</xm:f>
              <xm:sqref>BB45</xm:sqref>
            </x14:sparkline>
            <x14:sparkline>
              <xm:f>'RAWABI INCOME 2-2020'!BC44:BC44</xm:f>
              <xm:sqref>BC45</xm:sqref>
            </x14:sparkline>
          </x14:sparklines>
        </x14:sparklineGroup>
        <x14:sparklineGroup type="stacked" displayEmptyCellsAs="gap" negative="1" xr2:uid="{00000000-0003-0000-1900-0000D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2-2020'!N73:N73</xm:f>
              <xm:sqref>N74</xm:sqref>
            </x14:sparkline>
            <x14:sparkline>
              <xm:f>'RAWABI INCOME 2-2020'!V73:V73</xm:f>
              <xm:sqref>V74</xm:sqref>
            </x14:sparkline>
            <x14:sparkline>
              <xm:f>'RAWABI INCOME 2-2020'!W73:W73</xm:f>
              <xm:sqref>W74</xm:sqref>
            </x14:sparkline>
            <x14:sparkline>
              <xm:f>'RAWABI INCOME 2-2020'!X73:X73</xm:f>
              <xm:sqref>X74</xm:sqref>
            </x14:sparkline>
            <x14:sparkline>
              <xm:f>'RAWABI INCOME 2-2020'!Y73:Y73</xm:f>
              <xm:sqref>Y74</xm:sqref>
            </x14:sparkline>
            <x14:sparkline>
              <xm:f>'RAWABI INCOME 2-2020'!Z73:Z73</xm:f>
              <xm:sqref>Z74</xm:sqref>
            </x14:sparkline>
            <x14:sparkline>
              <xm:f>'RAWABI INCOME 2-2020'!AG73:AG73</xm:f>
              <xm:sqref>AG74</xm:sqref>
            </x14:sparkline>
            <x14:sparkline>
              <xm:f>'RAWABI INCOME 2-2020'!AH73:AH73</xm:f>
              <xm:sqref>AH74</xm:sqref>
            </x14:sparkline>
            <x14:sparkline>
              <xm:f>'RAWABI INCOME 2-2020'!AI73:AI73</xm:f>
              <xm:sqref>AI74</xm:sqref>
            </x14:sparkline>
            <x14:sparkline>
              <xm:f>'RAWABI INCOME 2-2020'!AJ73:AJ73</xm:f>
              <xm:sqref>AJ74</xm:sqref>
            </x14:sparkline>
            <x14:sparkline>
              <xm:f>'RAWABI INCOME 2-2020'!AK73:AK73</xm:f>
              <xm:sqref>AK74</xm:sqref>
            </x14:sparkline>
            <x14:sparkline>
              <xm:f>'RAWABI INCOME 2-2020'!AL73:AL73</xm:f>
              <xm:sqref>AL74</xm:sqref>
            </x14:sparkline>
            <x14:sparkline>
              <xm:f>'RAWABI INCOME 2-2020'!AS73:AS73</xm:f>
              <xm:sqref>AS74</xm:sqref>
            </x14:sparkline>
            <x14:sparkline>
              <xm:f>'RAWABI INCOME 2-2020'!AT73:AT73</xm:f>
              <xm:sqref>AT74</xm:sqref>
            </x14:sparkline>
            <x14:sparkline>
              <xm:f>'RAWABI INCOME 2-2020'!AU73:AU73</xm:f>
              <xm:sqref>AU74</xm:sqref>
            </x14:sparkline>
            <x14:sparkline>
              <xm:f>'RAWABI INCOME 2-2020'!AV73:AV73</xm:f>
              <xm:sqref>AV74</xm:sqref>
            </x14:sparkline>
            <x14:sparkline>
              <xm:f>'RAWABI INCOME 2-2020'!AW73:AW73</xm:f>
              <xm:sqref>AW74</xm:sqref>
            </x14:sparkline>
            <x14:sparkline>
              <xm:f>'RAWABI INCOME 2-2020'!AX73:AX73</xm:f>
              <xm:sqref>AX74</xm:sqref>
            </x14:sparkline>
            <x14:sparkline>
              <xm:f>'RAWABI INCOME 2-2020'!BE73:BE73</xm:f>
              <xm:sqref>BE74</xm:sqref>
            </x14:sparkline>
            <x14:sparkline>
              <xm:f>'RAWABI INCOME 2-2020'!BF73:BF73</xm:f>
              <xm:sqref>BF74</xm:sqref>
            </x14:sparkline>
            <x14:sparkline>
              <xm:f>'RAWABI INCOME 2-2020'!BG73:BG73</xm:f>
              <xm:sqref>BG74</xm:sqref>
            </x14:sparkline>
            <x14:sparkline>
              <xm:f>'RAWABI INCOME 2-2020'!BH73:BH73</xm:f>
              <xm:sqref>BH74</xm:sqref>
            </x14:sparkline>
            <x14:sparkline>
              <xm:f>'RAWABI INCOME 2-2020'!BI73:BI73</xm:f>
              <xm:sqref>BI74</xm:sqref>
            </x14:sparkline>
            <x14:sparkline>
              <xm:f>'RAWABI INCOME 2-2020'!BJ73:BJ73</xm:f>
              <xm:sqref>BJ74</xm:sqref>
            </x14:sparkline>
            <x14:sparkline>
              <xm:f>'RAWABI INCOME 2-2020'!BK73:BK73</xm:f>
              <xm:sqref>BK74</xm:sqref>
            </x14:sparkline>
            <x14:sparkline>
              <xm:f>'RAWABI INCOME 2-2020'!BL73:BL73</xm:f>
              <xm:sqref>BL74</xm:sqref>
            </x14:sparkline>
            <x14:sparkline>
              <xm:f>'RAWABI INCOME 2-2020'!BM73:BM73</xm:f>
              <xm:sqref>BM74</xm:sqref>
            </x14:sparkline>
            <x14:sparkline>
              <xm:f>'RAWABI INCOME 2-2020'!BN73:BN73</xm:f>
              <xm:sqref>BN74</xm:sqref>
            </x14:sparkline>
            <x14:sparkline>
              <xm:f>'RAWABI INCOME 2-2020'!BP73:BP73</xm:f>
              <xm:sqref>BP74</xm:sqref>
            </x14:sparkline>
            <x14:sparkline>
              <xm:f>'RAWABI INCOME 2-2020'!AR73:AR73</xm:f>
              <xm:sqref>AR74</xm:sqref>
            </x14:sparkline>
            <x14:sparkline>
              <xm:f>'RAWABI INCOME 2-2020'!BD73:BD73</xm:f>
              <xm:sqref>BD74</xm:sqref>
            </x14:sparkline>
            <x14:sparkline>
              <xm:f>'RAWABI INCOME 2-2020'!T73:T73</xm:f>
              <xm:sqref>T74</xm:sqref>
            </x14:sparkline>
            <x14:sparkline>
              <xm:f>'RAWABI INCOME 2-2020'!O73:O73</xm:f>
              <xm:sqref>O74</xm:sqref>
            </x14:sparkline>
            <x14:sparkline>
              <xm:f>'RAWABI INCOME 2-2020'!AA73:AA73</xm:f>
              <xm:sqref>AA74</xm:sqref>
            </x14:sparkline>
            <x14:sparkline>
              <xm:f>'RAWABI INCOME 2-2020'!AF73:AF73</xm:f>
              <xm:sqref>AF74</xm:sqref>
            </x14:sparkline>
            <x14:sparkline>
              <xm:f>'RAWABI INCOME 2-2020'!AM73:AM73</xm:f>
              <xm:sqref>AM74</xm:sqref>
            </x14:sparkline>
            <x14:sparkline>
              <xm:f>'RAWABI INCOME 2-2020'!P73:P73</xm:f>
              <xm:sqref>P74</xm:sqref>
            </x14:sparkline>
            <x14:sparkline>
              <xm:f>'RAWABI INCOME 2-2020'!Q73:Q73</xm:f>
              <xm:sqref>Q74</xm:sqref>
            </x14:sparkline>
            <x14:sparkline>
              <xm:f>'RAWABI INCOME 2-2020'!R73:R73</xm:f>
              <xm:sqref>R74</xm:sqref>
            </x14:sparkline>
            <x14:sparkline>
              <xm:f>'RAWABI INCOME 2-2020'!S73:S73</xm:f>
              <xm:sqref>S74</xm:sqref>
            </x14:sparkline>
            <x14:sparkline>
              <xm:f>'RAWABI INCOME 2-2020'!AB73:AB73</xm:f>
              <xm:sqref>AB74</xm:sqref>
            </x14:sparkline>
            <x14:sparkline>
              <xm:f>'RAWABI INCOME 2-2020'!AC73:AC73</xm:f>
              <xm:sqref>AC74</xm:sqref>
            </x14:sparkline>
            <x14:sparkline>
              <xm:f>'RAWABI INCOME 2-2020'!AD73:AD73</xm:f>
              <xm:sqref>AD74</xm:sqref>
            </x14:sparkline>
            <x14:sparkline>
              <xm:f>'RAWABI INCOME 2-2020'!AE73:AE73</xm:f>
              <xm:sqref>AE74</xm:sqref>
            </x14:sparkline>
            <x14:sparkline>
              <xm:f>'RAWABI INCOME 2-2020'!AN73:AN73</xm:f>
              <xm:sqref>AN74</xm:sqref>
            </x14:sparkline>
            <x14:sparkline>
              <xm:f>'RAWABI INCOME 2-2020'!AO73:AO73</xm:f>
              <xm:sqref>AO74</xm:sqref>
            </x14:sparkline>
            <x14:sparkline>
              <xm:f>'RAWABI INCOME 2-2020'!AP73:AP73</xm:f>
              <xm:sqref>AP74</xm:sqref>
            </x14:sparkline>
            <x14:sparkline>
              <xm:f>'RAWABI INCOME 2-2020'!AQ73:AQ73</xm:f>
              <xm:sqref>AQ74</xm:sqref>
            </x14:sparkline>
            <x14:sparkline>
              <xm:f>'RAWABI INCOME 2-2020'!AY73:AY73</xm:f>
              <xm:sqref>AY74</xm:sqref>
            </x14:sparkline>
            <x14:sparkline>
              <xm:f>'RAWABI INCOME 2-2020'!AZ73:AZ73</xm:f>
              <xm:sqref>AZ74</xm:sqref>
            </x14:sparkline>
            <x14:sparkline>
              <xm:f>'RAWABI INCOME 2-2020'!BA73:BA73</xm:f>
              <xm:sqref>BA74</xm:sqref>
            </x14:sparkline>
            <x14:sparkline>
              <xm:f>'RAWABI INCOME 2-2020'!BB73:BB73</xm:f>
              <xm:sqref>BB74</xm:sqref>
            </x14:sparkline>
            <x14:sparkline>
              <xm:f>'RAWABI INCOME 2-2020'!BC73:BC73</xm:f>
              <xm:sqref>BC74</xm:sqref>
            </x14:sparkline>
          </x14:sparklines>
        </x14:sparklineGroup>
        <x14:sparklineGroup type="stacked" displayEmptyCellsAs="gap" negative="1" xr2:uid="{00000000-0003-0000-1900-0000D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2-2020'!N44:N44</xm:f>
              <xm:sqref>N45</xm:sqref>
            </x14:sparkline>
            <x14:sparkline>
              <xm:f>'RAWABI INCOME 2-2020'!O44:O44</xm:f>
              <xm:sqref>O45</xm:sqref>
            </x14:sparkline>
            <x14:sparkline>
              <xm:f>'RAWABI INCOME 2-2020'!P44:P44</xm:f>
              <xm:sqref>P45</xm:sqref>
            </x14:sparkline>
            <x14:sparkline>
              <xm:f>'RAWABI INCOME 2-2020'!Q44:Q44</xm:f>
              <xm:sqref>Q45</xm:sqref>
            </x14:sparkline>
            <x14:sparkline>
              <xm:f>'RAWABI INCOME 2-2020'!R44:R44</xm:f>
              <xm:sqref>R45</xm:sqref>
            </x14:sparkline>
            <x14:sparkline>
              <xm:f>'RAWABI INCOME 2-2020'!S44:S44</xm:f>
              <xm:sqref>S45</xm:sqref>
            </x14:sparkline>
            <x14:sparkline>
              <xm:f>'RAWABI INCOME 2-2020'!T44:T44</xm:f>
              <xm:sqref>T45</xm:sqref>
            </x14:sparkline>
          </x14:sparklines>
        </x14:sparklineGroup>
        <x14:sparklineGroup type="stacked" displayEmptyCellsAs="gap" negative="1" xr2:uid="{00000000-0003-0000-1900-0000D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2-2020'!U44:U44</xm:f>
              <xm:sqref>U45</xm:sqref>
            </x14:sparkline>
          </x14:sparklines>
        </x14:sparklineGroup>
        <x14:sparklineGroup type="stacked" displayEmptyCellsAs="gap" negative="1" xr2:uid="{00000000-0003-0000-1900-0000D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2-2020'!BO73:BO73</xm:f>
              <xm:sqref>BO74</xm:sqref>
            </x14:sparkline>
          </x14:sparklines>
        </x14:sparklineGroup>
        <x14:sparklineGroup type="stacked" displayEmptyCellsAs="gap" negative="1" xr2:uid="{00000000-0003-0000-1900-0000D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2-2020'!BP80:BP80</xm:f>
              <xm:sqref>BQ80</xm:sqref>
            </x14:sparkline>
            <x14:sparkline>
              <xm:f>'RAWABI INCOME 2-2020'!BP82:BP82</xm:f>
              <xm:sqref>BQ82</xm:sqref>
            </x14:sparkline>
          </x14:sparklines>
        </x14:sparklineGroup>
        <x14:sparklineGroup type="stacked" displayEmptyCellsAs="gap" negative="1" xr2:uid="{00000000-0003-0000-1900-0000D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2-2020'!BO78:BO78</xm:f>
              <xm:sqref>BO79</xm:sqref>
            </x14:sparkline>
          </x14:sparklines>
        </x14:sparklineGroup>
        <x14:sparklineGroup type="stacked" displayEmptyCellsAs="gap" negative="1" xr2:uid="{00000000-0003-0000-1900-0000D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2-2020'!U78:U78</xm:f>
              <xm:sqref>U79</xm:sqref>
            </x14:sparkline>
          </x14:sparklines>
        </x14:sparklineGroup>
        <x14:sparklineGroup type="stacked" displayEmptyCellsAs="gap" negative="1" xr2:uid="{00000000-0003-0000-1900-0000D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2-2020'!BP83:BP83</xm:f>
              <xm:sqref>BQ83</xm:sqref>
            </x14:sparkline>
          </x14:sparklines>
        </x14:sparklineGroup>
        <x14:sparklineGroup type="stacked" displayEmptyCellsAs="gap" negative="1" xr2:uid="{00000000-0003-0000-1900-0000D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2-2020'!BP85:BP85</xm:f>
              <xm:sqref>BQ85</xm:sqref>
            </x14:sparkline>
          </x14:sparklines>
        </x14:sparklineGroup>
        <x14:sparklineGroup type="stacked" displayEmptyCellsAs="gap" negative="1" xr2:uid="{00000000-0003-0000-1900-0000D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2-2020'!BO44:BO44</xm:f>
              <xm:sqref>BO45</xm:sqref>
            </x14:sparkline>
          </x14:sparklines>
        </x14:sparklineGroup>
        <x14:sparklineGroup type="stacked" displayEmptyCellsAs="gap" negative="1" xr2:uid="{00000000-0003-0000-1900-0000C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2-2020'!Z44:Z44</xm:f>
              <xm:sqref>Z45</xm:sqref>
            </x14:sparkline>
            <x14:sparkline>
              <xm:f>'RAWABI INCOME 2-2020'!AA44:AA44</xm:f>
              <xm:sqref>AA45</xm:sqref>
            </x14:sparkline>
            <x14:sparkline>
              <xm:f>'RAWABI INCOME 2-2020'!AB44:AB44</xm:f>
              <xm:sqref>AB45</xm:sqref>
            </x14:sparkline>
            <x14:sparkline>
              <xm:f>'RAWABI INCOME 2-2020'!AC44:AC44</xm:f>
              <xm:sqref>AC45</xm:sqref>
            </x14:sparkline>
            <x14:sparkline>
              <xm:f>'RAWABI INCOME 2-2020'!AD44:AD44</xm:f>
              <xm:sqref>AD45</xm:sqref>
            </x14:sparkline>
            <x14:sparkline>
              <xm:f>'RAWABI INCOME 2-2020'!AE44:AE44</xm:f>
              <xm:sqref>AE45</xm:sqref>
            </x14:sparkline>
            <x14:sparkline>
              <xm:f>'RAWABI INCOME 2-2020'!AF44:AF44</xm:f>
              <xm:sqref>AF45</xm:sqref>
            </x14:sparkline>
          </x14:sparklines>
        </x14:sparklineGroup>
        <x14:sparklineGroup type="stacked" displayEmptyCellsAs="gap" negative="1" xr2:uid="{00000000-0003-0000-1900-0000C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2-2020'!V44:V44</xm:f>
              <xm:sqref>V45</xm:sqref>
            </x14:sparkline>
            <x14:sparkline>
              <xm:f>'RAWABI INCOME 2-2020'!W44:W44</xm:f>
              <xm:sqref>W45</xm:sqref>
            </x14:sparkline>
            <x14:sparkline>
              <xm:f>'RAWABI INCOME 2-2020'!X44:X44</xm:f>
              <xm:sqref>X45</xm:sqref>
            </x14:sparkline>
          </x14:sparklines>
        </x14:sparklineGroup>
        <x14:sparklineGroup type="stacked" displayEmptyCellsAs="gap" negative="1" xr2:uid="{00000000-0003-0000-1900-0000C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2-2020'!AH44:AH44</xm:f>
              <xm:sqref>AH45</xm:sqref>
            </x14:sparkline>
          </x14:sparklines>
        </x14:sparklineGroup>
        <x14:sparklineGroup type="stacked" displayEmptyCellsAs="gap" negative="1" xr2:uid="{00000000-0003-0000-1900-0000C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2-2020'!N78:N78</xm:f>
              <xm:sqref>N79</xm:sqref>
            </x14:sparkline>
            <x14:sparkline>
              <xm:f>'RAWABI INCOME 2-2020'!O78:O78</xm:f>
              <xm:sqref>O79</xm:sqref>
            </x14:sparkline>
            <x14:sparkline>
              <xm:f>'RAWABI INCOME 2-2020'!P78:P78</xm:f>
              <xm:sqref>P79</xm:sqref>
            </x14:sparkline>
            <x14:sparkline>
              <xm:f>'RAWABI INCOME 2-2020'!Q78:Q78</xm:f>
              <xm:sqref>Q79</xm:sqref>
            </x14:sparkline>
            <x14:sparkline>
              <xm:f>'RAWABI INCOME 2-2020'!R78:R78</xm:f>
              <xm:sqref>R79</xm:sqref>
            </x14:sparkline>
            <x14:sparkline>
              <xm:f>'RAWABI INCOME 2-2020'!S78:S78</xm:f>
              <xm:sqref>S79</xm:sqref>
            </x14:sparkline>
            <x14:sparkline>
              <xm:f>'RAWABI INCOME 2-2020'!T78:T78</xm:f>
              <xm:sqref>T79</xm:sqref>
            </x14:sparkline>
            <x14:sparkline>
              <xm:f>'RAWABI INCOME 2-2020'!V78:V78</xm:f>
              <xm:sqref>V79</xm:sqref>
            </x14:sparkline>
            <x14:sparkline>
              <xm:f>'RAWABI INCOME 2-2020'!W78:W78</xm:f>
              <xm:sqref>W79</xm:sqref>
            </x14:sparkline>
            <x14:sparkline>
              <xm:f>'RAWABI INCOME 2-2020'!X78:X78</xm:f>
              <xm:sqref>X79</xm:sqref>
            </x14:sparkline>
            <x14:sparkline>
              <xm:f>'RAWABI INCOME 2-2020'!Y78:Y78</xm:f>
              <xm:sqref>Y79</xm:sqref>
            </x14:sparkline>
            <x14:sparkline>
              <xm:f>'RAWABI INCOME 2-2020'!Z78:Z78</xm:f>
              <xm:sqref>Z79</xm:sqref>
            </x14:sparkline>
            <x14:sparkline>
              <xm:f>'RAWABI INCOME 2-2020'!AA78:AA78</xm:f>
              <xm:sqref>AA79</xm:sqref>
            </x14:sparkline>
            <x14:sparkline>
              <xm:f>'RAWABI INCOME 2-2020'!AB78:AB78</xm:f>
              <xm:sqref>AB79</xm:sqref>
            </x14:sparkline>
            <x14:sparkline>
              <xm:f>'RAWABI INCOME 2-2020'!AC78:AC78</xm:f>
              <xm:sqref>AC79</xm:sqref>
            </x14:sparkline>
            <x14:sparkline>
              <xm:f>'RAWABI INCOME 2-2020'!AD78:AD78</xm:f>
              <xm:sqref>AD79</xm:sqref>
            </x14:sparkline>
            <x14:sparkline>
              <xm:f>'RAWABI INCOME 2-2020'!AE78:AE78</xm:f>
              <xm:sqref>AE79</xm:sqref>
            </x14:sparkline>
            <x14:sparkline>
              <xm:f>'RAWABI INCOME 2-2020'!AF78:AF78</xm:f>
              <xm:sqref>AF79</xm:sqref>
            </x14:sparkline>
            <x14:sparkline>
              <xm:f>'RAWABI INCOME 2-2020'!AG78:AG78</xm:f>
              <xm:sqref>AG79</xm:sqref>
            </x14:sparkline>
            <x14:sparkline>
              <xm:f>'RAWABI INCOME 2-2020'!AH78:AH78</xm:f>
              <xm:sqref>AH79</xm:sqref>
            </x14:sparkline>
            <x14:sparkline>
              <xm:f>'RAWABI INCOME 2-2020'!AI78:AI78</xm:f>
              <xm:sqref>AI79</xm:sqref>
            </x14:sparkline>
            <x14:sparkline>
              <xm:f>'RAWABI INCOME 2-2020'!AJ78:AJ78</xm:f>
              <xm:sqref>AJ79</xm:sqref>
            </x14:sparkline>
            <x14:sparkline>
              <xm:f>'RAWABI INCOME 2-2020'!AK78:AK78</xm:f>
              <xm:sqref>AK79</xm:sqref>
            </x14:sparkline>
            <x14:sparkline>
              <xm:f>'RAWABI INCOME 2-2020'!AL78:AL78</xm:f>
              <xm:sqref>AL79</xm:sqref>
            </x14:sparkline>
            <x14:sparkline>
              <xm:f>'RAWABI INCOME 2-2020'!AM78:AM78</xm:f>
              <xm:sqref>AM79</xm:sqref>
            </x14:sparkline>
            <x14:sparkline>
              <xm:f>'RAWABI INCOME 2-2020'!AN78:AN78</xm:f>
              <xm:sqref>AN79</xm:sqref>
            </x14:sparkline>
            <x14:sparkline>
              <xm:f>'RAWABI INCOME 2-2020'!AO78:AO78</xm:f>
              <xm:sqref>AO79</xm:sqref>
            </x14:sparkline>
            <x14:sparkline>
              <xm:f>'RAWABI INCOME 2-2020'!AP78:AP78</xm:f>
              <xm:sqref>AP79</xm:sqref>
            </x14:sparkline>
            <x14:sparkline>
              <xm:f>'RAWABI INCOME 2-2020'!AQ78:AQ78</xm:f>
              <xm:sqref>AQ79</xm:sqref>
            </x14:sparkline>
            <x14:sparkline>
              <xm:f>'RAWABI INCOME 2-2020'!AR78:AR78</xm:f>
              <xm:sqref>AR79</xm:sqref>
            </x14:sparkline>
            <x14:sparkline>
              <xm:f>'RAWABI INCOME 2-2020'!AS78:AS78</xm:f>
              <xm:sqref>AS79</xm:sqref>
            </x14:sparkline>
            <x14:sparkline>
              <xm:f>'RAWABI INCOME 2-2020'!AT78:AT78</xm:f>
              <xm:sqref>AT79</xm:sqref>
            </x14:sparkline>
            <x14:sparkline>
              <xm:f>'RAWABI INCOME 2-2020'!AU78:AU78</xm:f>
              <xm:sqref>AU79</xm:sqref>
            </x14:sparkline>
            <x14:sparkline>
              <xm:f>'RAWABI INCOME 2-2020'!AV78:AV78</xm:f>
              <xm:sqref>AV79</xm:sqref>
            </x14:sparkline>
            <x14:sparkline>
              <xm:f>'RAWABI INCOME 2-2020'!AW78:AW78</xm:f>
              <xm:sqref>AW79</xm:sqref>
            </x14:sparkline>
            <x14:sparkline>
              <xm:f>'RAWABI INCOME 2-2020'!AX78:AX78</xm:f>
              <xm:sqref>AX79</xm:sqref>
            </x14:sparkline>
            <x14:sparkline>
              <xm:f>'RAWABI INCOME 2-2020'!AY78:AY78</xm:f>
              <xm:sqref>AY79</xm:sqref>
            </x14:sparkline>
            <x14:sparkline>
              <xm:f>'RAWABI INCOME 2-2020'!AZ78:AZ78</xm:f>
              <xm:sqref>AZ79</xm:sqref>
            </x14:sparkline>
            <x14:sparkline>
              <xm:f>'RAWABI INCOME 2-2020'!BA78:BA78</xm:f>
              <xm:sqref>BA79</xm:sqref>
            </x14:sparkline>
            <x14:sparkline>
              <xm:f>'RAWABI INCOME 2-2020'!BB78:BB78</xm:f>
              <xm:sqref>BB79</xm:sqref>
            </x14:sparkline>
            <x14:sparkline>
              <xm:f>'RAWABI INCOME 2-2020'!BC78:BC78</xm:f>
              <xm:sqref>BC79</xm:sqref>
            </x14:sparkline>
            <x14:sparkline>
              <xm:f>'RAWABI INCOME 2-2020'!BD78:BD78</xm:f>
              <xm:sqref>BD79</xm:sqref>
            </x14:sparkline>
            <x14:sparkline>
              <xm:f>'RAWABI INCOME 2-2020'!BE78:BE78</xm:f>
              <xm:sqref>BE79</xm:sqref>
            </x14:sparkline>
            <x14:sparkline>
              <xm:f>'RAWABI INCOME 2-2020'!BF78:BF78</xm:f>
              <xm:sqref>BF79</xm:sqref>
            </x14:sparkline>
            <x14:sparkline>
              <xm:f>'RAWABI INCOME 2-2020'!BG78:BG78</xm:f>
              <xm:sqref>BG79</xm:sqref>
            </x14:sparkline>
            <x14:sparkline>
              <xm:f>'RAWABI INCOME 2-2020'!BH78:BH78</xm:f>
              <xm:sqref>BH79</xm:sqref>
            </x14:sparkline>
            <x14:sparkline>
              <xm:f>'RAWABI INCOME 2-2020'!BI78:BI78</xm:f>
              <xm:sqref>BI79</xm:sqref>
            </x14:sparkline>
            <x14:sparkline>
              <xm:f>'RAWABI INCOME 2-2020'!BJ78:BJ78</xm:f>
              <xm:sqref>BJ79</xm:sqref>
            </x14:sparkline>
            <x14:sparkline>
              <xm:f>'RAWABI INCOME 2-2020'!BK78:BK78</xm:f>
              <xm:sqref>BK79</xm:sqref>
            </x14:sparkline>
            <x14:sparkline>
              <xm:f>'RAWABI INCOME 2-2020'!BL78:BL78</xm:f>
              <xm:sqref>BL79</xm:sqref>
            </x14:sparkline>
            <x14:sparkline>
              <xm:f>'RAWABI INCOME 2-2020'!BM78:BM78</xm:f>
              <xm:sqref>BM79</xm:sqref>
            </x14:sparkline>
            <x14:sparkline>
              <xm:f>'RAWABI INCOME 2-2020'!BN78:BN78</xm:f>
              <xm:sqref>BN79</xm:sqref>
            </x14:sparkline>
            <x14:sparkline>
              <xm:f>'RAWABI INCOME 2-2020'!BP78:BP78</xm:f>
              <xm:sqref>BP79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FR97"/>
  <sheetViews>
    <sheetView zoomScale="80" zoomScaleNormal="80" zoomScaleSheetLayoutView="80" workbookViewId="0">
      <pane xSplit="12" ySplit="14" topLeftCell="BX15" activePane="bottomRight" state="frozen"/>
      <selection pane="topRight" activeCell="M1" sqref="M1"/>
      <selection pane="bottomLeft" activeCell="A13" sqref="A13"/>
      <selection pane="bottomRight" activeCell="CC3" sqref="CC3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7.25" style="1719" bestFit="1" customWidth="1"/>
    <col min="4" max="4" width="0.875" style="1923" customWidth="1"/>
    <col min="5" max="5" width="12.125" style="1719" customWidth="1"/>
    <col min="6" max="9" width="10.875" style="1719" hidden="1" customWidth="1"/>
    <col min="10" max="10" width="12.125" style="1719" bestFit="1" customWidth="1"/>
    <col min="11" max="11" width="11.625" style="1719" bestFit="1" customWidth="1"/>
    <col min="12" max="12" width="0.875" style="1719" customWidth="1"/>
    <col min="13" max="13" width="0.875" style="1923" customWidth="1"/>
    <col min="14" max="16" width="10.875" style="1719" bestFit="1" customWidth="1"/>
    <col min="17" max="17" width="12.25" style="1719" bestFit="1" customWidth="1"/>
    <col min="18" max="20" width="10.875" style="1719" bestFit="1" customWidth="1"/>
    <col min="21" max="21" width="0.875" style="1923" customWidth="1"/>
    <col min="22" max="22" width="10.625" style="1719" bestFit="1" customWidth="1"/>
    <col min="23" max="23" width="9.25" style="1719" bestFit="1" customWidth="1"/>
    <col min="24" max="24" width="10" style="1719" bestFit="1" customWidth="1"/>
    <col min="25" max="25" width="0.875" style="1923" customWidth="1"/>
    <col min="26" max="28" width="10.875" style="1719" bestFit="1" customWidth="1"/>
    <col min="29" max="29" width="12.25" style="1719" bestFit="1" customWidth="1"/>
    <col min="30" max="32" width="10.875" style="1719" bestFit="1" customWidth="1"/>
    <col min="33" max="33" width="0.875" style="1923" customWidth="1"/>
    <col min="34" max="34" width="10" style="1719" customWidth="1"/>
    <col min="35" max="35" width="9.25" style="1719" customWidth="1"/>
    <col min="36" max="36" width="10" style="1719" customWidth="1"/>
    <col min="37" max="37" width="0.875" style="1923" customWidth="1"/>
    <col min="38" max="40" width="10.875" style="1719" bestFit="1" customWidth="1"/>
    <col min="41" max="41" width="12.25" style="1719" bestFit="1" customWidth="1"/>
    <col min="42" max="44" width="10.875" style="1719" bestFit="1" customWidth="1"/>
    <col min="45" max="45" width="0.875" style="1923" customWidth="1"/>
    <col min="46" max="46" width="10" style="1719" customWidth="1"/>
    <col min="47" max="47" width="9.25" style="1719" customWidth="1"/>
    <col min="48" max="48" width="10" style="1719" customWidth="1"/>
    <col min="49" max="49" width="0.875" style="1923" customWidth="1"/>
    <col min="50" max="52" width="10.875" style="1719" bestFit="1" customWidth="1"/>
    <col min="53" max="53" width="12.25" style="1719" bestFit="1" customWidth="1"/>
    <col min="54" max="56" width="10.875" style="1719" bestFit="1" customWidth="1"/>
    <col min="57" max="57" width="0.875" style="1923" customWidth="1"/>
    <col min="58" max="58" width="10" style="1719" customWidth="1"/>
    <col min="59" max="59" width="10" style="1719" bestFit="1" customWidth="1"/>
    <col min="60" max="60" width="9.25" style="1719" customWidth="1"/>
    <col min="61" max="61" width="0.875" style="1719" customWidth="1"/>
    <col min="62" max="64" width="10.875" style="1719" bestFit="1" customWidth="1"/>
    <col min="65" max="65" width="0.875" style="1719" customWidth="1"/>
    <col min="66" max="66" width="10.625" style="1719" bestFit="1" customWidth="1"/>
    <col min="67" max="67" width="10" style="1719" bestFit="1" customWidth="1"/>
    <col min="68" max="68" width="9.25" style="1719" customWidth="1"/>
    <col min="69" max="69" width="0.875" style="1719" customWidth="1"/>
    <col min="70" max="71" width="10" style="1719" bestFit="1" customWidth="1"/>
    <col min="72" max="72" width="0.875" style="1719" customWidth="1"/>
    <col min="73" max="73" width="10.25" style="1719" bestFit="1" customWidth="1"/>
    <col min="74" max="74" width="9.875" style="1719" bestFit="1" customWidth="1"/>
    <col min="75" max="75" width="0.875" style="1923" customWidth="1"/>
    <col min="76" max="76" width="10.25" style="1719" bestFit="1" customWidth="1"/>
    <col min="77" max="77" width="1.875" style="1719" customWidth="1"/>
    <col min="78" max="79" width="12.25" style="1719" bestFit="1" customWidth="1"/>
    <col min="80" max="80" width="13" style="1719" bestFit="1" customWidth="1"/>
    <col min="81" max="81" width="15.625" style="1719" bestFit="1" customWidth="1"/>
    <col min="82" max="82" width="12.125" style="1719" customWidth="1"/>
    <col min="83" max="83" width="12" style="1719" customWidth="1"/>
    <col min="84" max="84" width="10.875" style="1719" customWidth="1"/>
    <col min="85" max="85" width="10" style="1719" bestFit="1" customWidth="1"/>
    <col min="86" max="86" width="13" style="1719" bestFit="1" customWidth="1"/>
    <col min="87" max="87" width="12" style="1719" bestFit="1" customWidth="1"/>
    <col min="88" max="88" width="12.125" style="1719" bestFit="1" customWidth="1"/>
    <col min="89" max="89" width="11" style="1719" bestFit="1" customWidth="1"/>
    <col min="90" max="91" width="9.125" style="1719" customWidth="1"/>
    <col min="92" max="16384" width="9.125" style="1719"/>
  </cols>
  <sheetData>
    <row r="1" spans="2:174" s="1726" customFormat="1" ht="18" customHeight="1" x14ac:dyDescent="0.2">
      <c r="C1" s="4558" t="s">
        <v>273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664" t="s">
        <v>145</v>
      </c>
      <c r="BK1" s="4678"/>
      <c r="BL1" s="4679"/>
      <c r="BN1" s="4541" t="s">
        <v>146</v>
      </c>
      <c r="BO1" s="4542"/>
      <c r="BP1" s="4543"/>
      <c r="BR1" s="4613" t="s">
        <v>54</v>
      </c>
      <c r="BS1" s="4579" t="s">
        <v>61</v>
      </c>
      <c r="BU1" s="4582">
        <f>CA20/31</f>
        <v>0.87096774193548387</v>
      </c>
      <c r="BV1" s="4583"/>
      <c r="BW1" s="4583"/>
      <c r="BX1" s="4584"/>
      <c r="BZ1" s="2454">
        <f>BU5/CA20*27</f>
        <v>23766.383000000002</v>
      </c>
      <c r="CA1" s="2455">
        <f>BZ1*BU7</f>
        <v>5196.4599999999991</v>
      </c>
      <c r="CB1" s="2456">
        <f>CA1-E42</f>
        <v>2451.2599999999993</v>
      </c>
      <c r="CC1" s="2762">
        <f>CB1/2</f>
        <v>1225.6299999999997</v>
      </c>
      <c r="CD1" s="4676"/>
      <c r="CE1" s="4676"/>
      <c r="CF1" s="4676"/>
      <c r="CH1" s="4676"/>
      <c r="CI1" s="4676"/>
      <c r="CJ1" s="4676"/>
    </row>
    <row r="2" spans="2:174" ht="20.25" customHeight="1" thickBot="1" x14ac:dyDescent="0.25">
      <c r="C2" s="4561"/>
      <c r="D2" s="4652"/>
      <c r="E2" s="4562"/>
      <c r="F2" s="4562"/>
      <c r="G2" s="4562"/>
      <c r="H2" s="4562"/>
      <c r="I2" s="4562"/>
      <c r="J2" s="4562"/>
      <c r="K2" s="4563"/>
      <c r="L2" s="1720"/>
      <c r="M2" s="3021"/>
      <c r="N2" s="4575"/>
      <c r="O2" s="4576"/>
      <c r="P2" s="4576"/>
      <c r="Q2" s="4576"/>
      <c r="R2" s="4576"/>
      <c r="S2" s="4576"/>
      <c r="T2" s="4577"/>
      <c r="U2" s="3022"/>
      <c r="V2" s="4544"/>
      <c r="W2" s="4545"/>
      <c r="X2" s="4546"/>
      <c r="Y2" s="3022"/>
      <c r="Z2" s="4575"/>
      <c r="AA2" s="4576"/>
      <c r="AB2" s="4576"/>
      <c r="AC2" s="4576"/>
      <c r="AD2" s="4576"/>
      <c r="AE2" s="4576"/>
      <c r="AF2" s="4577"/>
      <c r="AG2" s="3022"/>
      <c r="AH2" s="4544"/>
      <c r="AI2" s="4545"/>
      <c r="AJ2" s="4546"/>
      <c r="AK2" s="3022"/>
      <c r="AL2" s="4575"/>
      <c r="AM2" s="4576"/>
      <c r="AN2" s="4576"/>
      <c r="AO2" s="4576"/>
      <c r="AP2" s="4576"/>
      <c r="AQ2" s="4576"/>
      <c r="AR2" s="4577"/>
      <c r="AS2" s="3022"/>
      <c r="AT2" s="4544"/>
      <c r="AU2" s="4545"/>
      <c r="AV2" s="4546"/>
      <c r="AW2" s="3022"/>
      <c r="AX2" s="4575"/>
      <c r="AY2" s="4576"/>
      <c r="AZ2" s="4576"/>
      <c r="BA2" s="4576"/>
      <c r="BB2" s="4576"/>
      <c r="BC2" s="4576"/>
      <c r="BD2" s="4577"/>
      <c r="BE2" s="3022"/>
      <c r="BF2" s="4544"/>
      <c r="BG2" s="4545"/>
      <c r="BH2" s="4546"/>
      <c r="BI2" s="1724"/>
      <c r="BJ2" s="4665"/>
      <c r="BK2" s="4680"/>
      <c r="BL2" s="4681"/>
      <c r="BM2" s="1724"/>
      <c r="BN2" s="4544"/>
      <c r="BO2" s="4545"/>
      <c r="BP2" s="4546"/>
      <c r="BR2" s="4614"/>
      <c r="BS2" s="4580"/>
      <c r="BU2" s="4585"/>
      <c r="BV2" s="4586"/>
      <c r="BW2" s="4586"/>
      <c r="BX2" s="4587"/>
      <c r="BZ2" s="2744"/>
      <c r="CA2" s="2833">
        <f>CA1/BZ1</f>
        <v>0.21864749044900939</v>
      </c>
      <c r="CB2" s="2745"/>
      <c r="CC2" s="2746"/>
      <c r="CD2" s="4676"/>
      <c r="CE2" s="4676"/>
      <c r="CF2" s="4676"/>
      <c r="CG2" s="1725"/>
      <c r="CH2" s="4676"/>
      <c r="CI2" s="4676"/>
      <c r="CJ2" s="4676"/>
      <c r="CK2" s="1725"/>
    </row>
    <row r="3" spans="2:174" ht="20.25" customHeight="1" x14ac:dyDescent="0.2">
      <c r="C3" s="4666" t="s">
        <v>189</v>
      </c>
      <c r="D3" s="3034"/>
      <c r="E3" s="3027"/>
      <c r="F3" s="3027"/>
      <c r="G3" s="3027"/>
      <c r="H3" s="3027"/>
      <c r="I3" s="3027"/>
      <c r="J3" s="4669" t="s">
        <v>274</v>
      </c>
      <c r="K3" s="4669"/>
      <c r="L3" s="1720"/>
      <c r="M3" s="3032"/>
      <c r="N3" s="1752">
        <f>(N5-N4)/N4</f>
        <v>5.6124696287245422E-3</v>
      </c>
      <c r="O3" s="1752">
        <f t="shared" ref="O3:T3" si="0">(O5-O4)/O4</f>
        <v>2.5252333946970793E-4</v>
      </c>
      <c r="P3" s="1752">
        <f t="shared" si="0"/>
        <v>3.6443495153014424E-3</v>
      </c>
      <c r="Q3" s="1752">
        <f t="shared" si="0"/>
        <v>3.7127610070982365E-4</v>
      </c>
      <c r="R3" s="1752">
        <f t="shared" si="0"/>
        <v>3.2675467259181807E-3</v>
      </c>
      <c r="S3" s="1752">
        <f t="shared" si="0"/>
        <v>4.8051280326375222E-4</v>
      </c>
      <c r="T3" s="1752">
        <f t="shared" si="0"/>
        <v>3.5382033289229442E-3</v>
      </c>
      <c r="U3" s="3033"/>
      <c r="V3" s="3039">
        <f>(V5-V4)/V4</f>
        <v>2.552291382475284E-3</v>
      </c>
      <c r="W3" s="3036"/>
      <c r="X3" s="3037"/>
      <c r="Y3" s="3033"/>
      <c r="Z3" s="3075">
        <f t="shared" ref="Z3:AA3" si="1">(Z5-Z4)/Z4</f>
        <v>6.3038585918443065E-4</v>
      </c>
      <c r="AA3" s="3075">
        <f t="shared" si="1"/>
        <v>1.0459663605986642E-2</v>
      </c>
      <c r="AB3" s="3075">
        <f t="shared" ref="AB3:AC3" si="2">(AB5-AB4)/AB4</f>
        <v>3.6524121138334763E-3</v>
      </c>
      <c r="AC3" s="3075">
        <f t="shared" si="2"/>
        <v>5.5559726706208143E-3</v>
      </c>
      <c r="AD3" s="3075">
        <f t="shared" ref="AD3:AE3" si="3">(AD5-AD4)/AD4</f>
        <v>6.80457267283622E-3</v>
      </c>
      <c r="AE3" s="3075">
        <f t="shared" si="3"/>
        <v>0</v>
      </c>
      <c r="AF3" s="3075">
        <f t="shared" ref="AF3" si="4">(AF5-AF4)/AF4</f>
        <v>1.4092341506289918E-3</v>
      </c>
      <c r="AG3" s="3033"/>
      <c r="AH3" s="3087">
        <f>(AH5-AH4)/AH4</f>
        <v>4.4622109759430385E-3</v>
      </c>
      <c r="AI3" s="3071"/>
      <c r="AJ3" s="3072"/>
      <c r="AK3" s="3033"/>
      <c r="AL3" s="1752">
        <f t="shared" ref="AL3:AM3" si="5">(AL5-AL4)/AL4</f>
        <v>8.0814322614973337E-3</v>
      </c>
      <c r="AM3" s="1752">
        <f t="shared" si="5"/>
        <v>1.1042178735270085E-3</v>
      </c>
      <c r="AN3" s="1752">
        <f t="shared" ref="AN3:AO3" si="6">(AN5-AN4)/AN4</f>
        <v>4.2449084532599054E-4</v>
      </c>
      <c r="AO3" s="1752">
        <f t="shared" si="6"/>
        <v>0</v>
      </c>
      <c r="AP3" s="1752">
        <f t="shared" ref="AP3:AR3" si="7">(AP5-AP4)/AP4</f>
        <v>1.4734501956152478E-3</v>
      </c>
      <c r="AQ3" s="1752">
        <f t="shared" si="7"/>
        <v>7.4471896266139473E-4</v>
      </c>
      <c r="AR3" s="1752" t="e">
        <f t="shared" si="7"/>
        <v>#DIV/0!</v>
      </c>
      <c r="AS3" s="3033"/>
      <c r="AT3" s="3099">
        <f>(AT5-AT4)/AT4</f>
        <v>2.2724115324941384E-3</v>
      </c>
      <c r="AU3" s="3100"/>
      <c r="AV3" s="3101"/>
      <c r="AW3" s="3033"/>
      <c r="AX3" s="1752" t="e">
        <f t="shared" ref="AX3:AZ3" si="8">(AX5-AX4)/AX4</f>
        <v>#DIV/0!</v>
      </c>
      <c r="AY3" s="1752" t="e">
        <f t="shared" si="8"/>
        <v>#DIV/0!</v>
      </c>
      <c r="AZ3" s="1752" t="e">
        <f t="shared" si="8"/>
        <v>#DIV/0!</v>
      </c>
      <c r="BA3" s="1752">
        <f t="shared" ref="BA3:BD3" si="9">(BA5-BA4)/BA4</f>
        <v>0</v>
      </c>
      <c r="BB3" s="1752">
        <f t="shared" si="9"/>
        <v>0</v>
      </c>
      <c r="BC3" s="1752">
        <f t="shared" si="9"/>
        <v>0</v>
      </c>
      <c r="BD3" s="1752">
        <f t="shared" si="9"/>
        <v>0</v>
      </c>
      <c r="BE3" s="3033"/>
      <c r="BF3" s="3123">
        <f>(BF5-BF4)/BF4</f>
        <v>0</v>
      </c>
      <c r="BG3" s="3036"/>
      <c r="BH3" s="3037"/>
      <c r="BI3" s="1724"/>
      <c r="BJ3" s="3125">
        <f t="shared" ref="BJ3:BK3" si="10">(BJ5-BJ4)/BJ4</f>
        <v>0</v>
      </c>
      <c r="BK3" s="3125">
        <f t="shared" si="10"/>
        <v>1.7306321897587759E-3</v>
      </c>
      <c r="BL3" s="3125">
        <f t="shared" ref="BL3" si="11">(BL5-BL4)/BL4</f>
        <v>9.4668410167951886E-3</v>
      </c>
      <c r="BM3" s="1724"/>
      <c r="BN3" s="3099">
        <f>(BN5-BN4)/BN4</f>
        <v>3.8440406716805449E-3</v>
      </c>
      <c r="BO3" s="3036"/>
      <c r="BP3" s="3037"/>
      <c r="BR3" s="4614"/>
      <c r="BS3" s="4580"/>
      <c r="BU3" s="3028"/>
      <c r="BV3" s="3029"/>
      <c r="BW3" s="3035"/>
      <c r="BX3" s="3043"/>
      <c r="BZ3" s="3127"/>
      <c r="CA3" s="3129">
        <f>BV7</f>
        <v>4818.7449999999999</v>
      </c>
      <c r="CB3" s="3128">
        <f>CA3-E42</f>
        <v>2073.5450000000001</v>
      </c>
      <c r="CC3" s="3126">
        <f>CB3/2</f>
        <v>1036.7725</v>
      </c>
      <c r="CD3" s="2447"/>
      <c r="CE3" s="2447"/>
      <c r="CF3" s="2447"/>
      <c r="CG3" s="1725"/>
      <c r="CH3" s="2447"/>
      <c r="CI3" s="2447"/>
      <c r="CJ3" s="2447"/>
      <c r="CK3" s="1725"/>
    </row>
    <row r="4" spans="2:174" ht="20.25" customHeight="1" thickBot="1" x14ac:dyDescent="0.25">
      <c r="C4" s="4667"/>
      <c r="D4" s="3032"/>
      <c r="E4" s="3027"/>
      <c r="F4" s="3027"/>
      <c r="G4" s="3027"/>
      <c r="H4" s="3027"/>
      <c r="I4" s="3027"/>
      <c r="J4" s="4677"/>
      <c r="K4" s="4677"/>
      <c r="L4" s="1720"/>
      <c r="M4" s="3032"/>
      <c r="N4" s="1747">
        <v>703.79</v>
      </c>
      <c r="O4" s="1751">
        <v>792.00599999999997</v>
      </c>
      <c r="P4" s="1751">
        <v>946.67100000000005</v>
      </c>
      <c r="Q4" s="1751">
        <v>808.024</v>
      </c>
      <c r="R4" s="1751">
        <v>688.59</v>
      </c>
      <c r="S4" s="1751">
        <v>416.22199999999998</v>
      </c>
      <c r="T4" s="1751">
        <v>776.94799999999998</v>
      </c>
      <c r="U4" s="3033"/>
      <c r="V4" s="2021">
        <f>SUM(N4:T4)</f>
        <v>5132.2510000000002</v>
      </c>
      <c r="W4" s="3058">
        <f>V5-V4</f>
        <v>13.09900000000016</v>
      </c>
      <c r="X4" s="3038"/>
      <c r="Y4" s="3033"/>
      <c r="Z4" s="3070">
        <v>475.899</v>
      </c>
      <c r="AA4" s="3076">
        <v>712.26</v>
      </c>
      <c r="AB4" s="3081">
        <v>657.1</v>
      </c>
      <c r="AC4" s="3086">
        <v>665.95</v>
      </c>
      <c r="AD4" s="3092">
        <v>617.23199999999997</v>
      </c>
      <c r="AE4" s="3097">
        <v>310.24799999999999</v>
      </c>
      <c r="AF4" s="3098">
        <v>886.29700000000003</v>
      </c>
      <c r="AG4" s="3033"/>
      <c r="AH4" s="2956">
        <f>SUM(Z4:AF4)</f>
        <v>4324.9859999999999</v>
      </c>
      <c r="AI4" s="3073">
        <f>AH5-AH4</f>
        <v>19.298999999999978</v>
      </c>
      <c r="AJ4" s="3074"/>
      <c r="AK4" s="3033"/>
      <c r="AL4" s="1747">
        <v>1886.9179999999999</v>
      </c>
      <c r="AM4" s="1747">
        <v>1675.394</v>
      </c>
      <c r="AN4" s="1747">
        <v>2240.3310000000001</v>
      </c>
      <c r="AO4" s="1747">
        <v>984.59699999999998</v>
      </c>
      <c r="AP4" s="1747">
        <v>848.34900000000005</v>
      </c>
      <c r="AQ4" s="1747">
        <v>1275.6489999999999</v>
      </c>
      <c r="AR4" s="1747">
        <v>0</v>
      </c>
      <c r="AS4" s="3033"/>
      <c r="AT4" s="3102">
        <f>SUM(AL4:AR4)</f>
        <v>8911.2379999999994</v>
      </c>
      <c r="AU4" s="3103">
        <f>AT5-AT4</f>
        <v>20.25</v>
      </c>
      <c r="AV4" s="3104"/>
      <c r="AW4" s="3033"/>
      <c r="AX4" s="1747">
        <v>0</v>
      </c>
      <c r="AY4" s="1747">
        <v>0</v>
      </c>
      <c r="AZ4" s="1747">
        <v>0</v>
      </c>
      <c r="BA4" s="1747">
        <v>637.87</v>
      </c>
      <c r="BB4" s="1747">
        <v>1741.4960000000001</v>
      </c>
      <c r="BC4" s="1747">
        <v>919.49800000000005</v>
      </c>
      <c r="BD4" s="1747">
        <v>491.55099999999999</v>
      </c>
      <c r="BE4" s="3033"/>
      <c r="BF4" s="2021">
        <f>SUM(AX4:BD4)</f>
        <v>3790.415</v>
      </c>
      <c r="BG4" s="3058">
        <f>BF5-BF4</f>
        <v>0</v>
      </c>
      <c r="BH4" s="3038"/>
      <c r="BI4" s="1724"/>
      <c r="BJ4" s="3124">
        <v>518.596</v>
      </c>
      <c r="BK4" s="3124">
        <v>491.15</v>
      </c>
      <c r="BL4" s="3124">
        <v>539.14499999999998</v>
      </c>
      <c r="BM4" s="1724"/>
      <c r="BN4" s="2021">
        <f>SUM(BJ4:BL4)</f>
        <v>1548.8910000000001</v>
      </c>
      <c r="BO4" s="3058">
        <f>BN5-BN4</f>
        <v>5.9539999999999509</v>
      </c>
      <c r="BP4" s="3038"/>
      <c r="BR4" s="4614"/>
      <c r="BS4" s="4580"/>
      <c r="BU4" s="3030"/>
      <c r="BV4" s="3031"/>
      <c r="BW4" s="3035"/>
      <c r="BX4" s="3044"/>
      <c r="BZ4" s="2744"/>
      <c r="CA4" s="2833">
        <f>CA3/BU5</f>
        <v>0.20275466401429276</v>
      </c>
      <c r="CB4" s="2745"/>
      <c r="CC4" s="2746"/>
      <c r="CD4" s="2447"/>
      <c r="CE4" s="2447"/>
      <c r="CF4" s="2447"/>
      <c r="CG4" s="1725"/>
      <c r="CH4" s="2447"/>
      <c r="CI4" s="2447"/>
      <c r="CJ4" s="2447"/>
      <c r="CK4" s="1725"/>
    </row>
    <row r="5" spans="2:174" s="1726" customFormat="1" ht="23.25" x14ac:dyDescent="0.2">
      <c r="C5" s="4667"/>
      <c r="D5" s="3055"/>
      <c r="E5" s="2260"/>
      <c r="F5" s="2260"/>
      <c r="G5" s="2260"/>
      <c r="H5" s="2260"/>
      <c r="I5" s="3048"/>
      <c r="J5" s="1728">
        <f>BU5</f>
        <v>23766.383000000002</v>
      </c>
      <c r="K5" s="2383">
        <f>BU5/CA20</f>
        <v>880.23640740740746</v>
      </c>
      <c r="L5" s="1730"/>
      <c r="M5" s="1731"/>
      <c r="N5" s="1732">
        <v>707.74</v>
      </c>
      <c r="O5" s="1732">
        <v>792.20600000000002</v>
      </c>
      <c r="P5" s="1732">
        <v>950.12099999999998</v>
      </c>
      <c r="Q5" s="1732">
        <v>808.32399999999996</v>
      </c>
      <c r="R5" s="1732">
        <v>690.84</v>
      </c>
      <c r="S5" s="1732">
        <v>416.42200000000003</v>
      </c>
      <c r="T5" s="1732">
        <v>779.697</v>
      </c>
      <c r="U5" s="1733"/>
      <c r="V5" s="2207">
        <f>SUM(N5:T5)</f>
        <v>5145.3500000000004</v>
      </c>
      <c r="W5" s="2275">
        <f>($J$42*100/20)*7</f>
        <v>3558.5925925925917</v>
      </c>
      <c r="X5" s="2277">
        <f>V5-W5</f>
        <v>1586.7574074074087</v>
      </c>
      <c r="Y5" s="1737"/>
      <c r="Z5" s="1732">
        <v>476.19900000000001</v>
      </c>
      <c r="AA5" s="1732">
        <v>719.71</v>
      </c>
      <c r="AB5" s="1732">
        <v>659.5</v>
      </c>
      <c r="AC5" s="1732">
        <v>669.65</v>
      </c>
      <c r="AD5" s="1732">
        <v>621.43200000000002</v>
      </c>
      <c r="AE5" s="1732">
        <v>310.24799999999999</v>
      </c>
      <c r="AF5" s="1732">
        <v>887.54600000000005</v>
      </c>
      <c r="AG5" s="1738"/>
      <c r="AH5" s="2207">
        <f>SUM(Z5:AF5)</f>
        <v>4344.2849999999999</v>
      </c>
      <c r="AI5" s="2275">
        <f>($J$42*100/20)*7</f>
        <v>3558.5925925925917</v>
      </c>
      <c r="AJ5" s="2277">
        <f>AH5-AI5</f>
        <v>785.69240740740815</v>
      </c>
      <c r="AK5" s="1738"/>
      <c r="AL5" s="1732">
        <v>1902.1669999999999</v>
      </c>
      <c r="AM5" s="1732">
        <v>1677.2439999999999</v>
      </c>
      <c r="AN5" s="1732">
        <v>2241.2820000000002</v>
      </c>
      <c r="AO5" s="1732">
        <v>984.59699999999998</v>
      </c>
      <c r="AP5" s="1732">
        <v>849.59900000000005</v>
      </c>
      <c r="AQ5" s="1732">
        <v>1276.5989999999999</v>
      </c>
      <c r="AR5" s="1732">
        <v>0</v>
      </c>
      <c r="AS5" s="3008">
        <v>417.84800000000001</v>
      </c>
      <c r="AT5" s="2207">
        <f>SUM(AL5:AR5)</f>
        <v>8931.4879999999994</v>
      </c>
      <c r="AU5" s="2275">
        <f>($J$42*100/24)*6</f>
        <v>2541.8518518518513</v>
      </c>
      <c r="AV5" s="2277">
        <f>AT5-AU5</f>
        <v>6389.6361481481481</v>
      </c>
      <c r="AW5" s="2205"/>
      <c r="AX5" s="1732">
        <v>0</v>
      </c>
      <c r="AY5" s="1732">
        <v>0</v>
      </c>
      <c r="AZ5" s="1732">
        <v>0</v>
      </c>
      <c r="BA5" s="1732">
        <v>637.87</v>
      </c>
      <c r="BB5" s="1732">
        <v>1741.4960000000001</v>
      </c>
      <c r="BC5" s="1732">
        <v>919.49800000000005</v>
      </c>
      <c r="BD5" s="1732">
        <v>491.55099999999999</v>
      </c>
      <c r="BE5" s="2205"/>
      <c r="BF5" s="2207">
        <f>SUM(AX5:BD5)</f>
        <v>3790.415</v>
      </c>
      <c r="BG5" s="2275">
        <f>($J$42*100/24)*4</f>
        <v>1694.5679012345674</v>
      </c>
      <c r="BH5" s="2277">
        <f>BF5-BG5</f>
        <v>2095.8470987654327</v>
      </c>
      <c r="BI5" s="1861"/>
      <c r="BJ5" s="3024">
        <v>518.596</v>
      </c>
      <c r="BK5" s="3024">
        <v>492</v>
      </c>
      <c r="BL5" s="3024">
        <v>544.24900000000002</v>
      </c>
      <c r="BM5" s="1861"/>
      <c r="BN5" s="2207">
        <f>SUM(BJ5:BL5)</f>
        <v>1554.845</v>
      </c>
      <c r="BO5" s="2275">
        <f>($J$42*100/24)*3</f>
        <v>1270.9259259259256</v>
      </c>
      <c r="BP5" s="2277">
        <f>BN5-BO5</f>
        <v>283.91907407407439</v>
      </c>
      <c r="BR5" s="4614"/>
      <c r="BS5" s="4580"/>
      <c r="BU5" s="3040">
        <f>SUM(N5:T5)+SUM(Z5:AF5)+SUM(AL5:AR5)+SUM(AX5:BD5)+SUM(BJ5:BL5)</f>
        <v>23766.383000000002</v>
      </c>
      <c r="BV5" s="3041">
        <f>BU5/BZ5</f>
        <v>1.7314864490747488</v>
      </c>
      <c r="BW5" s="1997"/>
      <c r="BX5" s="2797">
        <f>BU5/CA20*31</f>
        <v>27287.328629629632</v>
      </c>
      <c r="BY5" s="1740"/>
      <c r="BZ5" s="2747">
        <f>C42</f>
        <v>13726</v>
      </c>
      <c r="CA5" s="2748">
        <f>BZ5-BU5</f>
        <v>-10040.383000000002</v>
      </c>
      <c r="CB5" s="2749">
        <f>CA5/CA23</f>
        <v>2510.0957500000004</v>
      </c>
      <c r="CC5" s="3111">
        <f>BZ1/'RAWABI INCOME 2-2020'!BX1-1</f>
        <v>0.49228649253840517</v>
      </c>
      <c r="CD5" s="3108"/>
      <c r="CE5" s="3108"/>
      <c r="CF5" s="3108"/>
      <c r="CG5" s="1742"/>
      <c r="CH5" s="3108"/>
      <c r="CI5" s="3108"/>
      <c r="CJ5" s="3108"/>
      <c r="CK5" s="1742"/>
    </row>
    <row r="6" spans="2:174" s="2713" customFormat="1" ht="24" thickBot="1" x14ac:dyDescent="0.25">
      <c r="C6" s="4667"/>
      <c r="D6" s="3056"/>
      <c r="E6" s="2716"/>
      <c r="F6" s="2716"/>
      <c r="G6" s="2716"/>
      <c r="H6" s="2716"/>
      <c r="I6" s="3049"/>
      <c r="J6" s="3052">
        <f>BU6</f>
        <v>5196.4599999999991</v>
      </c>
      <c r="K6" s="3053">
        <f>C42/K5</f>
        <v>15.593538150083671</v>
      </c>
      <c r="L6" s="2719"/>
      <c r="M6" s="2720"/>
      <c r="N6" s="2782">
        <v>149.33799999999999</v>
      </c>
      <c r="O6" s="2782">
        <v>180.85900000000001</v>
      </c>
      <c r="P6" s="2782">
        <v>245.554</v>
      </c>
      <c r="Q6" s="2782">
        <v>194.845</v>
      </c>
      <c r="R6" s="2782">
        <v>144.90299999999999</v>
      </c>
      <c r="S6" s="2782">
        <v>86.069000000000003</v>
      </c>
      <c r="T6" s="2782">
        <v>181.56399999999999</v>
      </c>
      <c r="U6" s="2722"/>
      <c r="V6" s="2781">
        <f>SUM(N6:T6)</f>
        <v>1183.1320000000001</v>
      </c>
      <c r="W6" s="2782">
        <f>W5*V7</f>
        <v>818.26984972047728</v>
      </c>
      <c r="X6" s="2783">
        <f>X5*V7</f>
        <v>364.86215027952267</v>
      </c>
      <c r="Y6" s="2723"/>
      <c r="Z6" s="2721">
        <v>92.006</v>
      </c>
      <c r="AA6" s="2721">
        <v>173.65899999999999</v>
      </c>
      <c r="AB6" s="2721">
        <v>156.596</v>
      </c>
      <c r="AC6" s="2721">
        <v>152.71299999999999</v>
      </c>
      <c r="AD6" s="2721">
        <v>130.52799999999999</v>
      </c>
      <c r="AE6" s="2721">
        <v>64.521000000000001</v>
      </c>
      <c r="AF6" s="2721">
        <v>181.53100000000001</v>
      </c>
      <c r="AG6" s="2724"/>
      <c r="AH6" s="2781">
        <f>SUM(Z6:AF6)</f>
        <v>951.55399999999986</v>
      </c>
      <c r="AI6" s="2782">
        <f>AI5*AH7</f>
        <v>779.45922421108435</v>
      </c>
      <c r="AJ6" s="2783">
        <f>AJ5*25%</f>
        <v>196.42310185185204</v>
      </c>
      <c r="AK6" s="2724"/>
      <c r="AL6" s="2721">
        <v>402.97899999999998</v>
      </c>
      <c r="AM6" s="2721">
        <v>394.65300000000002</v>
      </c>
      <c r="AN6" s="2721">
        <v>465.07799999999997</v>
      </c>
      <c r="AO6" s="2721">
        <v>236.346</v>
      </c>
      <c r="AP6" s="2721">
        <v>180.62899999999999</v>
      </c>
      <c r="AQ6" s="2721">
        <v>233.37899999999999</v>
      </c>
      <c r="AR6" s="2721">
        <v>0</v>
      </c>
      <c r="AS6" s="3009">
        <v>85.138999999999996</v>
      </c>
      <c r="AT6" s="2781">
        <f>SUM(AL6:AR6)</f>
        <v>1913.0639999999999</v>
      </c>
      <c r="AU6" s="2782">
        <f>AU5*AT7</f>
        <v>544.44738335998545</v>
      </c>
      <c r="AV6" s="2783">
        <f>AV5*25%</f>
        <v>1597.409037037037</v>
      </c>
      <c r="AW6" s="2725"/>
      <c r="AX6" s="2721">
        <v>0</v>
      </c>
      <c r="AY6" s="2721">
        <v>0</v>
      </c>
      <c r="AZ6" s="2721">
        <v>0</v>
      </c>
      <c r="BA6" s="2721">
        <v>121.682</v>
      </c>
      <c r="BB6" s="2721">
        <v>349.15300000000002</v>
      </c>
      <c r="BC6" s="2721">
        <v>196.80699999999999</v>
      </c>
      <c r="BD6" s="2721">
        <v>121.226</v>
      </c>
      <c r="BE6" s="2725"/>
      <c r="BF6" s="2781">
        <f>SUM(AX6:BD6)</f>
        <v>788.86800000000005</v>
      </c>
      <c r="BG6" s="2782">
        <f>BG5*BF7</f>
        <v>352.67652515914767</v>
      </c>
      <c r="BH6" s="2783">
        <f>BH5*25%</f>
        <v>523.96177469135819</v>
      </c>
      <c r="BI6" s="2726"/>
      <c r="BJ6" s="2721">
        <v>108.98699999999999</v>
      </c>
      <c r="BK6" s="2721">
        <v>118.045</v>
      </c>
      <c r="BL6" s="2721">
        <v>132.81</v>
      </c>
      <c r="BM6" s="2726"/>
      <c r="BN6" s="2781">
        <f>SUM(BJ6:BL6)</f>
        <v>359.84199999999998</v>
      </c>
      <c r="BO6" s="2782">
        <f>BO5*BN7</f>
        <v>294.13383780186251</v>
      </c>
      <c r="BP6" s="2783">
        <f>BP5*25%</f>
        <v>70.979768518518597</v>
      </c>
      <c r="BR6" s="4614"/>
      <c r="BS6" s="4580"/>
      <c r="BU6" s="2727">
        <f>SUM(N6:T6)+SUM(Z6:AF6)+SUM(AL6:AR6)+SUM(AX6:BD6)+SUM(BJ6:BL6)</f>
        <v>5196.4599999999991</v>
      </c>
      <c r="BV6" s="2728">
        <f>BU6/E42</f>
        <v>1.8929258341833015</v>
      </c>
      <c r="BW6" s="2729"/>
      <c r="BX6" s="2798"/>
      <c r="BY6" s="2730"/>
      <c r="BZ6" s="2750"/>
      <c r="CA6" s="2751">
        <f>CA5/K5</f>
        <v>-11.406461849916331</v>
      </c>
      <c r="CB6" s="2752" t="s">
        <v>251</v>
      </c>
      <c r="CC6" s="3112" t="s">
        <v>253</v>
      </c>
      <c r="CD6" s="3109"/>
      <c r="CE6" s="3109"/>
      <c r="CF6" s="3109"/>
      <c r="CG6" s="2734"/>
      <c r="CH6" s="3109"/>
      <c r="CI6" s="3109"/>
      <c r="CJ6" s="3109"/>
      <c r="CK6" s="2734"/>
    </row>
    <row r="7" spans="2:174" s="1885" customFormat="1" ht="23.25" x14ac:dyDescent="0.2">
      <c r="C7" s="4667"/>
      <c r="D7" s="3057"/>
      <c r="E7" s="2813"/>
      <c r="F7" s="2813"/>
      <c r="G7" s="2813"/>
      <c r="H7" s="2813"/>
      <c r="I7" s="3050"/>
      <c r="J7" s="2001">
        <f>J6-E42</f>
        <v>2451.2599999999993</v>
      </c>
      <c r="K7" s="3054"/>
      <c r="L7" s="2816"/>
      <c r="M7" s="2817"/>
      <c r="N7" s="2818">
        <f t="shared" ref="N7:T7" si="12">N6/N5</f>
        <v>0.21100686692853307</v>
      </c>
      <c r="O7" s="2818">
        <f t="shared" si="12"/>
        <v>0.22829794270682122</v>
      </c>
      <c r="P7" s="2818">
        <f t="shared" si="12"/>
        <v>0.25844497700819158</v>
      </c>
      <c r="Q7" s="2818">
        <f t="shared" si="12"/>
        <v>0.24104814406104483</v>
      </c>
      <c r="R7" s="2818">
        <f t="shared" si="12"/>
        <v>0.20974900121591103</v>
      </c>
      <c r="S7" s="2818">
        <f t="shared" si="12"/>
        <v>0.20668696658677976</v>
      </c>
      <c r="T7" s="2818">
        <f t="shared" si="12"/>
        <v>0.23286481799981273</v>
      </c>
      <c r="U7" s="2819"/>
      <c r="V7" s="2820">
        <f>V6/V5</f>
        <v>0.22994198645378836</v>
      </c>
      <c r="W7" s="2821">
        <v>1183.04</v>
      </c>
      <c r="X7" s="2245">
        <f>W7-V6</f>
        <v>-9.2000000000098225E-2</v>
      </c>
      <c r="Y7" s="2822"/>
      <c r="Z7" s="2818">
        <f t="shared" ref="Z7" si="13">Z6/Z5</f>
        <v>0.19320914155636615</v>
      </c>
      <c r="AA7" s="2818">
        <f t="shared" ref="AA7:AB7" si="14">AA6/AA5</f>
        <v>0.24129024190298867</v>
      </c>
      <c r="AB7" s="2818">
        <f t="shared" si="14"/>
        <v>0.23744655041698257</v>
      </c>
      <c r="AC7" s="2818">
        <f t="shared" ref="AC7:AD7" si="15">AC6/AC5</f>
        <v>0.22804898081087135</v>
      </c>
      <c r="AD7" s="2818">
        <f t="shared" si="15"/>
        <v>0.21004389860837547</v>
      </c>
      <c r="AE7" s="2818">
        <f t="shared" ref="AE7:AF7" si="16">AE6/AE5</f>
        <v>0.20796588535623114</v>
      </c>
      <c r="AF7" s="2818">
        <f t="shared" si="16"/>
        <v>0.20453137076838834</v>
      </c>
      <c r="AG7" s="2823"/>
      <c r="AH7" s="2820">
        <f>AH6/AH5</f>
        <v>0.21903581371848299</v>
      </c>
      <c r="AI7" s="2821">
        <v>947.54</v>
      </c>
      <c r="AJ7" s="2245">
        <f>AI7-AH6</f>
        <v>-4.0139999999998963</v>
      </c>
      <c r="AK7" s="2823"/>
      <c r="AL7" s="2818">
        <f t="shared" ref="AL7:AM7" si="17">AL6/AL5</f>
        <v>0.21185258707568788</v>
      </c>
      <c r="AM7" s="2818">
        <f t="shared" si="17"/>
        <v>0.23529850158951235</v>
      </c>
      <c r="AN7" s="2818">
        <f t="shared" ref="AN7:AO7" si="18">AN6/AN5</f>
        <v>0.20750534738600496</v>
      </c>
      <c r="AO7" s="2818">
        <f t="shared" si="18"/>
        <v>0.2400433883101411</v>
      </c>
      <c r="AP7" s="2818">
        <f t="shared" ref="AP7:AR7" si="19">AP6/AP5</f>
        <v>0.21260500542020411</v>
      </c>
      <c r="AQ7" s="2818">
        <f t="shared" si="19"/>
        <v>0.18281308382663625</v>
      </c>
      <c r="AR7" s="2818" t="e">
        <f t="shared" si="19"/>
        <v>#DIV/0!</v>
      </c>
      <c r="AS7" s="3010">
        <f t="shared" ref="AS7" si="20">AS6/AS5</f>
        <v>0.20375591124045106</v>
      </c>
      <c r="AT7" s="2820">
        <f>AT6/AT5</f>
        <v>0.21419320050589555</v>
      </c>
      <c r="AU7" s="2821">
        <v>1807.4960000000001</v>
      </c>
      <c r="AV7" s="2245">
        <f>AU7-AT6</f>
        <v>-105.56799999999976</v>
      </c>
      <c r="AW7" s="2402"/>
      <c r="AX7" s="2818" t="e">
        <f t="shared" ref="AX7:AZ7" si="21">AX6/AX5</f>
        <v>#DIV/0!</v>
      </c>
      <c r="AY7" s="2818" t="e">
        <f t="shared" si="21"/>
        <v>#DIV/0!</v>
      </c>
      <c r="AZ7" s="2818" t="e">
        <f t="shared" si="21"/>
        <v>#DIV/0!</v>
      </c>
      <c r="BA7" s="2818">
        <f t="shared" ref="BA7:BD7" si="22">BA6/BA5</f>
        <v>0.19076300813645414</v>
      </c>
      <c r="BB7" s="2818">
        <f t="shared" si="22"/>
        <v>0.20049026813727966</v>
      </c>
      <c r="BC7" s="2818">
        <f t="shared" si="22"/>
        <v>0.21403744216953161</v>
      </c>
      <c r="BD7" s="2818">
        <f t="shared" si="22"/>
        <v>0.24661937418497776</v>
      </c>
      <c r="BE7" s="2823"/>
      <c r="BF7" s="2820">
        <f>BF6/BF5</f>
        <v>0.20812180196627547</v>
      </c>
      <c r="BG7" s="2821">
        <v>788.31399999999996</v>
      </c>
      <c r="BH7" s="2245">
        <f>BG7-BF6</f>
        <v>-0.55400000000008731</v>
      </c>
      <c r="BI7" s="2011"/>
      <c r="BJ7" s="2818">
        <f t="shared" ref="BJ7:BK7" si="23">BJ6/BJ5</f>
        <v>0.21015781070428619</v>
      </c>
      <c r="BK7" s="2818">
        <f t="shared" si="23"/>
        <v>0.23992886178861789</v>
      </c>
      <c r="BL7" s="2818">
        <f t="shared" ref="BL7" si="24">BL6/BL5</f>
        <v>0.24402433444985658</v>
      </c>
      <c r="BM7" s="2823"/>
      <c r="BN7" s="2820">
        <f>BN6/BN5</f>
        <v>0.23143271515810257</v>
      </c>
      <c r="BO7" s="2821">
        <v>360.00200000000001</v>
      </c>
      <c r="BP7" s="2245">
        <f>BO7-BN6</f>
        <v>0.16000000000002501</v>
      </c>
      <c r="BR7" s="4614"/>
      <c r="BS7" s="4580"/>
      <c r="BU7" s="2820">
        <f>BU6/BU5</f>
        <v>0.21864749044900939</v>
      </c>
      <c r="BV7" s="3042">
        <v>4818.7449999999999</v>
      </c>
      <c r="BW7" s="2010"/>
      <c r="BX7" s="2824">
        <f>BV7-BU6</f>
        <v>-377.71499999999924</v>
      </c>
      <c r="BY7" s="1900"/>
      <c r="BZ7" s="2825"/>
      <c r="CA7" s="2826"/>
      <c r="CB7" s="2752"/>
      <c r="CC7" s="2828"/>
      <c r="CD7" s="3110"/>
      <c r="CE7" s="3110"/>
      <c r="CF7" s="3110"/>
      <c r="CG7" s="2832"/>
      <c r="CH7" s="3110"/>
      <c r="CI7" s="3110"/>
      <c r="CJ7" s="3110"/>
      <c r="CK7" s="2832"/>
    </row>
    <row r="8" spans="2:174" ht="24" thickBot="1" x14ac:dyDescent="0.25">
      <c r="C8" s="4668"/>
      <c r="D8" s="1847"/>
      <c r="E8" s="1745"/>
      <c r="F8" s="1745"/>
      <c r="G8" s="1745"/>
      <c r="H8" s="1745"/>
      <c r="I8" s="3051"/>
      <c r="J8" s="1746"/>
      <c r="K8" s="2382"/>
      <c r="L8" s="1720"/>
      <c r="M8" s="3021"/>
      <c r="N8" s="1747"/>
      <c r="O8" s="1747"/>
      <c r="P8" s="1747"/>
      <c r="Q8" s="1747"/>
      <c r="R8" s="1747"/>
      <c r="S8" s="1747"/>
      <c r="T8" s="1747"/>
      <c r="U8" s="1748"/>
      <c r="V8" s="2021"/>
      <c r="W8" s="1786"/>
      <c r="X8" s="2278"/>
      <c r="Y8" s="3023"/>
      <c r="Z8" s="1747"/>
      <c r="AA8" s="1747"/>
      <c r="AB8" s="1747"/>
      <c r="AC8" s="1747"/>
      <c r="AD8" s="1747"/>
      <c r="AE8" s="1747"/>
      <c r="AF8" s="1747"/>
      <c r="AG8" s="1723"/>
      <c r="AH8" s="2021"/>
      <c r="AI8" s="1786"/>
      <c r="AJ8" s="2278"/>
      <c r="AK8" s="1723"/>
      <c r="AL8" s="1747"/>
      <c r="AM8" s="1747"/>
      <c r="AN8" s="1747"/>
      <c r="AO8" s="1747"/>
      <c r="AP8" s="1747"/>
      <c r="AQ8" s="1747"/>
      <c r="AR8" s="1747"/>
      <c r="AS8" s="3011"/>
      <c r="AT8" s="2021"/>
      <c r="AU8" s="1786"/>
      <c r="AV8" s="2278"/>
      <c r="AW8" s="2039"/>
      <c r="AX8" s="1747"/>
      <c r="AY8" s="1747"/>
      <c r="AZ8" s="1747"/>
      <c r="BA8" s="1747"/>
      <c r="BB8" s="1747"/>
      <c r="BC8" s="1747"/>
      <c r="BD8" s="1747"/>
      <c r="BE8" s="2039"/>
      <c r="BF8" s="2021"/>
      <c r="BG8" s="1786"/>
      <c r="BH8" s="2278"/>
      <c r="BI8" s="1994"/>
      <c r="BJ8" s="1747"/>
      <c r="BK8" s="1747"/>
      <c r="BL8" s="1747"/>
      <c r="BM8" s="1994"/>
      <c r="BN8" s="2021"/>
      <c r="BO8" s="1786"/>
      <c r="BP8" s="2278"/>
      <c r="BR8" s="4614"/>
      <c r="BS8" s="4580"/>
      <c r="BU8" s="2326"/>
      <c r="BV8" s="2022">
        <f>BV7/BU5</f>
        <v>0.20275466401429276</v>
      </c>
      <c r="BW8" s="1993"/>
      <c r="BX8" s="3026">
        <f>BX7/BU6</f>
        <v>-7.2686983061545613E-2</v>
      </c>
      <c r="BY8" s="1754"/>
      <c r="BZ8" s="2753"/>
      <c r="CA8" s="2754"/>
      <c r="CB8" s="2755"/>
      <c r="CC8" s="1755"/>
      <c r="CD8" s="2271"/>
      <c r="CE8" s="2271"/>
      <c r="CF8" s="2271"/>
      <c r="CG8" s="1725"/>
      <c r="CH8" s="2271"/>
      <c r="CI8" s="2271"/>
      <c r="CJ8" s="2271"/>
      <c r="CK8" s="1725"/>
    </row>
    <row r="9" spans="2:174" s="1923" customFormat="1" ht="5.25" customHeight="1" thickBot="1" x14ac:dyDescent="0.25">
      <c r="C9" s="2273"/>
      <c r="D9" s="1800"/>
      <c r="E9" s="1804"/>
      <c r="F9" s="1804"/>
      <c r="G9" s="1804"/>
      <c r="H9" s="1804"/>
      <c r="I9" s="1804"/>
      <c r="J9" s="1803"/>
      <c r="K9" s="2272"/>
      <c r="L9" s="3021"/>
      <c r="M9" s="3021"/>
      <c r="N9" s="2026"/>
      <c r="O9" s="2026"/>
      <c r="P9" s="2026"/>
      <c r="Q9" s="2026"/>
      <c r="R9" s="2026"/>
      <c r="S9" s="2026"/>
      <c r="T9" s="2026"/>
      <c r="U9" s="1994"/>
      <c r="V9" s="3017"/>
      <c r="W9" s="1801"/>
      <c r="X9" s="3017"/>
      <c r="Y9" s="3022"/>
      <c r="Z9" s="2026"/>
      <c r="AA9" s="2026"/>
      <c r="AB9" s="2026"/>
      <c r="AC9" s="2026"/>
      <c r="AD9" s="2026"/>
      <c r="AE9" s="2026"/>
      <c r="AF9" s="2026"/>
      <c r="AG9" s="3022"/>
      <c r="AH9" s="3017"/>
      <c r="AI9" s="1801"/>
      <c r="AJ9" s="3017"/>
      <c r="AK9" s="3022"/>
      <c r="AL9" s="2026"/>
      <c r="AM9" s="2026"/>
      <c r="AN9" s="2026"/>
      <c r="AO9" s="2026"/>
      <c r="AP9" s="2026"/>
      <c r="AQ9" s="2026"/>
      <c r="AR9" s="2026"/>
      <c r="AS9" s="1994"/>
      <c r="AT9" s="3017"/>
      <c r="AU9" s="1801"/>
      <c r="AV9" s="3017"/>
      <c r="AW9" s="1994"/>
      <c r="AX9" s="2026"/>
      <c r="AY9" s="2026"/>
      <c r="AZ9" s="2026"/>
      <c r="BA9" s="2026"/>
      <c r="BB9" s="2026"/>
      <c r="BC9" s="2026"/>
      <c r="BD9" s="2026"/>
      <c r="BE9" s="1994"/>
      <c r="BF9" s="3017"/>
      <c r="BG9" s="1801"/>
      <c r="BH9" s="3017"/>
      <c r="BI9" s="1994"/>
      <c r="BJ9" s="2023"/>
      <c r="BK9" s="2023"/>
      <c r="BL9" s="2023"/>
      <c r="BM9" s="1994"/>
      <c r="BN9" s="3017"/>
      <c r="BO9" s="1801"/>
      <c r="BP9" s="3017"/>
      <c r="BR9" s="4614"/>
      <c r="BS9" s="4580"/>
      <c r="BU9" s="1805"/>
      <c r="BV9" s="1993"/>
      <c r="BW9" s="1993"/>
      <c r="BX9" s="2325"/>
      <c r="BY9" s="1994"/>
      <c r="BZ9" s="2270"/>
      <c r="CA9" s="2270"/>
      <c r="CB9" s="2270"/>
      <c r="CC9" s="1755"/>
      <c r="CD9" s="2271"/>
      <c r="CE9" s="2271"/>
      <c r="CF9" s="2271"/>
      <c r="CG9" s="1725"/>
      <c r="CH9" s="2271"/>
      <c r="CI9" s="2271"/>
      <c r="CJ9" s="2271"/>
      <c r="CK9" s="1725"/>
    </row>
    <row r="10" spans="2:174" s="1810" customFormat="1" ht="17.25" customHeight="1" x14ac:dyDescent="0.2">
      <c r="C10" s="1811" t="s">
        <v>190</v>
      </c>
      <c r="D10" s="1727"/>
      <c r="E10" s="1812"/>
      <c r="F10" s="1812"/>
      <c r="G10" s="1812"/>
      <c r="H10" s="1812"/>
      <c r="I10" s="1812"/>
      <c r="J10" s="1813">
        <f>BU10</f>
        <v>1241.5658518518519</v>
      </c>
      <c r="K10" s="4564">
        <f>CC1-J10</f>
        <v>-15.935851851852249</v>
      </c>
      <c r="L10" s="1760"/>
      <c r="M10" s="1761"/>
      <c r="N10" s="1735">
        <f>(N6-N42)/2</f>
        <v>23.831962962962969</v>
      </c>
      <c r="O10" s="1735">
        <f t="shared" ref="O10:T10" si="25">(O6-O42)/2</f>
        <v>39.592462962962976</v>
      </c>
      <c r="P10" s="1735">
        <f t="shared" si="25"/>
        <v>71.939962962962966</v>
      </c>
      <c r="Q10" s="1735">
        <f t="shared" si="25"/>
        <v>46.585462962962971</v>
      </c>
      <c r="R10" s="1735">
        <f t="shared" si="25"/>
        <v>21.614462962962968</v>
      </c>
      <c r="S10" s="1735">
        <f t="shared" si="25"/>
        <v>-7.8025370370370268</v>
      </c>
      <c r="T10" s="1735">
        <f t="shared" si="25"/>
        <v>39.944962962962968</v>
      </c>
      <c r="U10" s="1814"/>
      <c r="V10" s="1771">
        <f>SUM(N10:T10)</f>
        <v>235.70674074074077</v>
      </c>
      <c r="W10" s="1815"/>
      <c r="X10" s="1816"/>
      <c r="Y10" s="1764"/>
      <c r="Z10" s="1735">
        <f t="shared" ref="Z10:AF10" si="26">(Z6-Z42)/2</f>
        <v>-4.834037037037028</v>
      </c>
      <c r="AA10" s="1735">
        <f t="shared" si="26"/>
        <v>35.992462962962968</v>
      </c>
      <c r="AB10" s="1735">
        <f t="shared" si="26"/>
        <v>27.460962962962974</v>
      </c>
      <c r="AC10" s="1735">
        <f t="shared" si="26"/>
        <v>25.519462962962969</v>
      </c>
      <c r="AD10" s="1735">
        <f t="shared" si="26"/>
        <v>14.426962962962968</v>
      </c>
      <c r="AE10" s="1735">
        <f t="shared" si="26"/>
        <v>-18.576537037037028</v>
      </c>
      <c r="AF10" s="1735">
        <f t="shared" si="26"/>
        <v>39.928462962962975</v>
      </c>
      <c r="AG10" s="1764"/>
      <c r="AH10" s="1771">
        <f>SUM(Z10:AF10)</f>
        <v>119.91774074074078</v>
      </c>
      <c r="AI10" s="1815"/>
      <c r="AJ10" s="1816"/>
      <c r="AK10" s="1764"/>
      <c r="AL10" s="1735">
        <f>(AL6-AL42)/2</f>
        <v>150.65246296296297</v>
      </c>
      <c r="AM10" s="1735">
        <f t="shared" ref="AM10:AQ10" si="27">(AM6-AM42)/2</f>
        <v>146.48946296296299</v>
      </c>
      <c r="AN10" s="1735">
        <f t="shared" si="27"/>
        <v>181.70196296296297</v>
      </c>
      <c r="AO10" s="1735">
        <f t="shared" si="27"/>
        <v>67.335962962962981</v>
      </c>
      <c r="AP10" s="1735">
        <f t="shared" si="27"/>
        <v>39.477462962962967</v>
      </c>
      <c r="AQ10" s="1735">
        <f t="shared" si="27"/>
        <v>65.85246296296296</v>
      </c>
      <c r="AR10" s="1735">
        <f>(AR6-AR42)/2</f>
        <v>0</v>
      </c>
      <c r="AS10" s="2289"/>
      <c r="AT10" s="1771">
        <f>SUM(AL10:AR10)</f>
        <v>651.5097777777778</v>
      </c>
      <c r="AU10" s="1815"/>
      <c r="AV10" s="1816"/>
      <c r="AW10" s="2289"/>
      <c r="AX10" s="1735">
        <f>(AX6-AX42)/2</f>
        <v>0</v>
      </c>
      <c r="AY10" s="1735">
        <f t="shared" ref="AY10:BD10" si="28">(AY6-AY42)/2</f>
        <v>0</v>
      </c>
      <c r="AZ10" s="1735">
        <f t="shared" si="28"/>
        <v>0</v>
      </c>
      <c r="BA10" s="1735">
        <f t="shared" si="28"/>
        <v>10.003962962962973</v>
      </c>
      <c r="BB10" s="1735">
        <f t="shared" si="28"/>
        <v>123.73946296296299</v>
      </c>
      <c r="BC10" s="1735">
        <f t="shared" si="28"/>
        <v>47.566462962962966</v>
      </c>
      <c r="BD10" s="1735">
        <f t="shared" si="28"/>
        <v>9.7759629629629714</v>
      </c>
      <c r="BE10" s="2289"/>
      <c r="BF10" s="1771">
        <f>SUM(AX10:BD10)</f>
        <v>191.08585185185191</v>
      </c>
      <c r="BG10" s="1815"/>
      <c r="BH10" s="1816"/>
      <c r="BI10" s="1814"/>
      <c r="BJ10" s="1735">
        <f t="shared" ref="BJ10" si="29">(BJ6-BJ42)/2</f>
        <v>3.6564629629629692</v>
      </c>
      <c r="BK10" s="1735">
        <f>(BK6-BK42)/2</f>
        <v>8.1854629629629727</v>
      </c>
      <c r="BL10" s="1735">
        <f t="shared" ref="BL10" si="30">(BL6-BL42)/2</f>
        <v>43.345740740740737</v>
      </c>
      <c r="BM10" s="1814"/>
      <c r="BN10" s="1771">
        <f>SUM(BJ10:BL10)</f>
        <v>55.187666666666679</v>
      </c>
      <c r="BO10" s="1815"/>
      <c r="BP10" s="1816"/>
      <c r="BQ10" s="1766"/>
      <c r="BR10" s="4614"/>
      <c r="BS10" s="4580"/>
      <c r="BT10" s="1766"/>
      <c r="BU10" s="1771">
        <f>SUM(N10:T10)+SUM(Z10:AF10)+SUM(AL10:AR10)+SUM(AX10:BD10)+SUM(BL10:BL10)</f>
        <v>1241.5658518518519</v>
      </c>
      <c r="BV10" s="2340"/>
      <c r="BW10" s="1830"/>
      <c r="BX10" s="2348">
        <v>0</v>
      </c>
      <c r="BY10" s="1817"/>
      <c r="BZ10" s="4578" t="s">
        <v>226</v>
      </c>
      <c r="CA10" s="4578"/>
      <c r="CB10" s="1818"/>
      <c r="CC10" s="1774"/>
      <c r="CD10" s="1766"/>
      <c r="CE10" s="1766"/>
      <c r="CF10" s="1819"/>
      <c r="CG10" s="1820"/>
      <c r="CH10" s="1766"/>
      <c r="CI10" s="1766"/>
      <c r="CJ10" s="1819"/>
      <c r="CK10" s="1820"/>
      <c r="CL10" s="1821"/>
      <c r="CM10" s="1821"/>
      <c r="CN10" s="1821"/>
      <c r="CO10" s="1821"/>
      <c r="CP10" s="1821"/>
      <c r="CQ10" s="1821"/>
      <c r="CR10" s="1821"/>
      <c r="CS10" s="1821"/>
      <c r="CT10" s="1821"/>
      <c r="CU10" s="1821"/>
      <c r="CV10" s="1821"/>
      <c r="CW10" s="1821"/>
      <c r="CX10" s="1821"/>
      <c r="CY10" s="1821"/>
      <c r="CZ10" s="1821"/>
      <c r="DA10" s="1821"/>
      <c r="DB10" s="1821"/>
      <c r="DC10" s="1821"/>
      <c r="DD10" s="1821"/>
      <c r="DE10" s="1821"/>
      <c r="DF10" s="1821"/>
      <c r="DG10" s="1821"/>
      <c r="DH10" s="1821"/>
      <c r="DI10" s="1821"/>
      <c r="DJ10" s="1821"/>
      <c r="DK10" s="1821"/>
      <c r="DL10" s="1821"/>
      <c r="DM10" s="1821"/>
      <c r="DN10" s="1821"/>
      <c r="DO10" s="1821"/>
      <c r="DP10" s="1821"/>
      <c r="DQ10" s="1821"/>
      <c r="DR10" s="1821"/>
      <c r="DS10" s="1821"/>
      <c r="DT10" s="1821"/>
      <c r="DU10" s="1821"/>
      <c r="DV10" s="1821"/>
      <c r="DW10" s="1821"/>
      <c r="DX10" s="1821"/>
      <c r="DY10" s="1821"/>
      <c r="DZ10" s="1821"/>
      <c r="EA10" s="1821"/>
      <c r="EB10" s="1821"/>
      <c r="EC10" s="1821"/>
      <c r="ED10" s="1821"/>
      <c r="EE10" s="1821"/>
      <c r="EF10" s="1821"/>
      <c r="EG10" s="1821"/>
      <c r="EH10" s="1821"/>
      <c r="EI10" s="1821"/>
      <c r="EJ10" s="1821"/>
      <c r="EK10" s="1821"/>
      <c r="EL10" s="1821"/>
      <c r="EM10" s="1821"/>
      <c r="EN10" s="1821"/>
      <c r="EO10" s="1821"/>
      <c r="EP10" s="1821"/>
      <c r="EQ10" s="1821"/>
      <c r="ER10" s="1821"/>
      <c r="ES10" s="1821"/>
      <c r="ET10" s="1821"/>
      <c r="EU10" s="1821"/>
      <c r="EV10" s="1821"/>
      <c r="EW10" s="1821"/>
      <c r="EX10" s="1821"/>
      <c r="EY10" s="1821"/>
      <c r="EZ10" s="1821"/>
      <c r="FA10" s="1821"/>
      <c r="FB10" s="1821"/>
      <c r="FC10" s="1821"/>
      <c r="FD10" s="1821"/>
      <c r="FE10" s="1821"/>
      <c r="FF10" s="1821"/>
      <c r="FG10" s="1821"/>
      <c r="FH10" s="1821"/>
      <c r="FI10" s="1821"/>
      <c r="FJ10" s="1821"/>
      <c r="FK10" s="1821"/>
      <c r="FL10" s="1821"/>
      <c r="FM10" s="1821"/>
      <c r="FN10" s="1821"/>
      <c r="FO10" s="1821"/>
      <c r="FP10" s="1821"/>
      <c r="FQ10" s="1821"/>
      <c r="FR10" s="1821"/>
    </row>
    <row r="11" spans="2:174" s="1777" customFormat="1" ht="17.25" customHeight="1" thickBot="1" x14ac:dyDescent="0.25">
      <c r="C11" s="1822" t="s">
        <v>169</v>
      </c>
      <c r="D11" s="1744"/>
      <c r="E11" s="1823"/>
      <c r="F11" s="1823"/>
      <c r="G11" s="1823"/>
      <c r="H11" s="1823"/>
      <c r="I11" s="1823"/>
      <c r="J11" s="1824"/>
      <c r="K11" s="4565">
        <f t="shared" ref="K11" si="31">BR51</f>
        <v>0</v>
      </c>
      <c r="L11" s="1782"/>
      <c r="M11" s="1783"/>
      <c r="N11" s="1750">
        <f t="shared" ref="N11:T11" si="32">N10</f>
        <v>23.831962962962969</v>
      </c>
      <c r="O11" s="1750">
        <f t="shared" si="32"/>
        <v>39.592462962962976</v>
      </c>
      <c r="P11" s="1750">
        <f t="shared" si="32"/>
        <v>71.939962962962966</v>
      </c>
      <c r="Q11" s="1750">
        <f t="shared" si="32"/>
        <v>46.585462962962971</v>
      </c>
      <c r="R11" s="1750">
        <f t="shared" si="32"/>
        <v>21.614462962962968</v>
      </c>
      <c r="S11" s="1750">
        <f t="shared" si="32"/>
        <v>-7.8025370370370268</v>
      </c>
      <c r="T11" s="1750">
        <f t="shared" si="32"/>
        <v>39.944962962962968</v>
      </c>
      <c r="U11" s="1801"/>
      <c r="V11" s="1785">
        <f>SUM(N11:T11)</f>
        <v>235.70674074074077</v>
      </c>
      <c r="W11" s="1825"/>
      <c r="X11" s="1826"/>
      <c r="Y11" s="1788"/>
      <c r="Z11" s="1750">
        <f t="shared" ref="Z11:AF11" si="33">Z10</f>
        <v>-4.834037037037028</v>
      </c>
      <c r="AA11" s="1750">
        <f t="shared" si="33"/>
        <v>35.992462962962968</v>
      </c>
      <c r="AB11" s="1750">
        <f t="shared" si="33"/>
        <v>27.460962962962974</v>
      </c>
      <c r="AC11" s="1750">
        <f t="shared" si="33"/>
        <v>25.519462962962969</v>
      </c>
      <c r="AD11" s="1750">
        <f t="shared" si="33"/>
        <v>14.426962962962968</v>
      </c>
      <c r="AE11" s="1750">
        <f t="shared" si="33"/>
        <v>-18.576537037037028</v>
      </c>
      <c r="AF11" s="1750">
        <f t="shared" si="33"/>
        <v>39.928462962962975</v>
      </c>
      <c r="AG11" s="1788"/>
      <c r="AH11" s="1785">
        <f>SUM(Z11:AF11)</f>
        <v>119.91774074074078</v>
      </c>
      <c r="AI11" s="1825"/>
      <c r="AJ11" s="1826"/>
      <c r="AK11" s="1788"/>
      <c r="AL11" s="1750">
        <f t="shared" ref="AL11:AR11" si="34">AL10</f>
        <v>150.65246296296297</v>
      </c>
      <c r="AM11" s="1750">
        <f t="shared" si="34"/>
        <v>146.48946296296299</v>
      </c>
      <c r="AN11" s="1750">
        <f t="shared" si="34"/>
        <v>181.70196296296297</v>
      </c>
      <c r="AO11" s="1750">
        <f t="shared" si="34"/>
        <v>67.335962962962981</v>
      </c>
      <c r="AP11" s="1750">
        <f t="shared" si="34"/>
        <v>39.477462962962967</v>
      </c>
      <c r="AQ11" s="1750">
        <f t="shared" si="34"/>
        <v>65.85246296296296</v>
      </c>
      <c r="AR11" s="1750">
        <f t="shared" si="34"/>
        <v>0</v>
      </c>
      <c r="AS11" s="2290"/>
      <c r="AT11" s="1785">
        <f>SUM(AL11:AR11)</f>
        <v>651.5097777777778</v>
      </c>
      <c r="AU11" s="1825"/>
      <c r="AV11" s="1826"/>
      <c r="AW11" s="2290"/>
      <c r="AX11" s="1750">
        <f t="shared" ref="AX11:BD11" si="35">AX10</f>
        <v>0</v>
      </c>
      <c r="AY11" s="1750">
        <f t="shared" si="35"/>
        <v>0</v>
      </c>
      <c r="AZ11" s="1750">
        <f t="shared" si="35"/>
        <v>0</v>
      </c>
      <c r="BA11" s="1750">
        <f t="shared" si="35"/>
        <v>10.003962962962973</v>
      </c>
      <c r="BB11" s="1750">
        <f t="shared" si="35"/>
        <v>123.73946296296299</v>
      </c>
      <c r="BC11" s="1750">
        <f t="shared" si="35"/>
        <v>47.566462962962966</v>
      </c>
      <c r="BD11" s="1750">
        <f t="shared" si="35"/>
        <v>9.7759629629629714</v>
      </c>
      <c r="BE11" s="2290"/>
      <c r="BF11" s="1785">
        <f>SUM(AX11:BD11)</f>
        <v>191.08585185185191</v>
      </c>
      <c r="BG11" s="1825"/>
      <c r="BH11" s="1826"/>
      <c r="BI11" s="1801"/>
      <c r="BJ11" s="1750">
        <f t="shared" ref="BJ11:BK11" si="36">BJ10</f>
        <v>3.6564629629629692</v>
      </c>
      <c r="BK11" s="1750">
        <f t="shared" si="36"/>
        <v>8.1854629629629727</v>
      </c>
      <c r="BL11" s="1750">
        <f t="shared" ref="BL11" si="37">BL10</f>
        <v>43.345740740740737</v>
      </c>
      <c r="BM11" s="1801"/>
      <c r="BN11" s="1785">
        <f>SUM(BJ11:BL11)</f>
        <v>55.187666666666679</v>
      </c>
      <c r="BO11" s="1825"/>
      <c r="BP11" s="1826"/>
      <c r="BQ11" s="1792"/>
      <c r="BR11" s="4614"/>
      <c r="BS11" s="4580"/>
      <c r="BT11" s="1792"/>
      <c r="BU11" s="1793"/>
      <c r="BV11" s="2341"/>
      <c r="BW11" s="1802"/>
      <c r="BX11" s="2349"/>
      <c r="BY11" s="1795"/>
      <c r="BZ11" s="4578"/>
      <c r="CA11" s="4578"/>
      <c r="CB11" s="1805"/>
      <c r="CC11" s="1797"/>
      <c r="CD11" s="1791"/>
      <c r="CE11" s="1791"/>
      <c r="CF11" s="1807"/>
      <c r="CG11" s="1798"/>
      <c r="CH11" s="1791"/>
      <c r="CI11" s="1791"/>
      <c r="CJ11" s="1807"/>
      <c r="CK11" s="1798"/>
      <c r="CL11" s="1799"/>
      <c r="CM11" s="1799"/>
      <c r="CN11" s="1799"/>
      <c r="CO11" s="1799"/>
      <c r="CP11" s="1799"/>
      <c r="CQ11" s="1799"/>
      <c r="CR11" s="1799"/>
      <c r="CS11" s="1799"/>
      <c r="CT11" s="1799"/>
      <c r="CU11" s="1799"/>
      <c r="CV11" s="1799"/>
      <c r="CW11" s="1799"/>
      <c r="CX11" s="1799"/>
      <c r="CY11" s="1799"/>
      <c r="CZ11" s="1799"/>
      <c r="DA11" s="1799"/>
      <c r="DB11" s="1799"/>
      <c r="DC11" s="1799"/>
      <c r="DD11" s="1799"/>
      <c r="DE11" s="1799"/>
      <c r="DF11" s="1799"/>
      <c r="DG11" s="1799"/>
      <c r="DH11" s="1799"/>
      <c r="DI11" s="1799"/>
      <c r="DJ11" s="1799"/>
      <c r="DK11" s="1799"/>
      <c r="DL11" s="1799"/>
      <c r="DM11" s="1799"/>
      <c r="DN11" s="1799"/>
      <c r="DO11" s="1799"/>
      <c r="DP11" s="1799"/>
      <c r="DQ11" s="1799"/>
      <c r="DR11" s="1799"/>
      <c r="DS11" s="1799"/>
      <c r="DT11" s="1799"/>
      <c r="DU11" s="1799"/>
      <c r="DV11" s="1799"/>
      <c r="DW11" s="1799"/>
      <c r="DX11" s="1799"/>
      <c r="DY11" s="1799"/>
      <c r="DZ11" s="1799"/>
      <c r="EA11" s="1799"/>
      <c r="EB11" s="1799"/>
      <c r="EC11" s="1799"/>
      <c r="ED11" s="1799"/>
      <c r="EE11" s="1799"/>
      <c r="EF11" s="1799"/>
      <c r="EG11" s="1799"/>
      <c r="EH11" s="1799"/>
      <c r="EI11" s="1799"/>
      <c r="EJ11" s="1799"/>
      <c r="EK11" s="1799"/>
      <c r="EL11" s="1799"/>
      <c r="EM11" s="1799"/>
      <c r="EN11" s="1799"/>
      <c r="EO11" s="1799"/>
      <c r="EP11" s="1799"/>
      <c r="EQ11" s="1799"/>
      <c r="ER11" s="1799"/>
      <c r="ES11" s="1799"/>
      <c r="ET11" s="1799"/>
      <c r="EU11" s="1799"/>
      <c r="EV11" s="1799"/>
      <c r="EW11" s="1799"/>
      <c r="EX11" s="1799"/>
      <c r="EY11" s="1799"/>
      <c r="EZ11" s="1799"/>
      <c r="FA11" s="1799"/>
      <c r="FB11" s="1799"/>
      <c r="FC11" s="1799"/>
      <c r="FD11" s="1799"/>
      <c r="FE11" s="1799"/>
      <c r="FF11" s="1799"/>
      <c r="FG11" s="1799"/>
      <c r="FH11" s="1799"/>
      <c r="FI11" s="1799"/>
      <c r="FJ11" s="1799"/>
      <c r="FK11" s="1799"/>
      <c r="FL11" s="1799"/>
      <c r="FM11" s="1799"/>
      <c r="FN11" s="1799"/>
      <c r="FO11" s="1799"/>
      <c r="FP11" s="1799"/>
      <c r="FQ11" s="1799"/>
      <c r="FR11" s="1799"/>
    </row>
    <row r="12" spans="2:174" s="1800" customFormat="1" ht="4.5" customHeight="1" thickBot="1" x14ac:dyDescent="0.25">
      <c r="E12" s="1791"/>
      <c r="F12" s="1791"/>
      <c r="G12" s="1791"/>
      <c r="H12" s="1791"/>
      <c r="I12" s="1791"/>
      <c r="J12" s="1791"/>
      <c r="K12" s="1783"/>
      <c r="L12" s="1782"/>
      <c r="M12" s="1783"/>
      <c r="N12" s="1803"/>
      <c r="O12" s="1803"/>
      <c r="P12" s="1803"/>
      <c r="Q12" s="1803"/>
      <c r="R12" s="1803"/>
      <c r="S12" s="1803"/>
      <c r="T12" s="1803"/>
      <c r="U12" s="1801"/>
      <c r="V12" s="1801"/>
      <c r="W12" s="1801"/>
      <c r="X12" s="1801"/>
      <c r="Y12" s="1791"/>
      <c r="Z12" s="1803"/>
      <c r="AA12" s="1803"/>
      <c r="AB12" s="1803"/>
      <c r="AC12" s="1803"/>
      <c r="AD12" s="1803"/>
      <c r="AE12" s="1803"/>
      <c r="AF12" s="1803"/>
      <c r="AG12" s="1791"/>
      <c r="AH12" s="1801"/>
      <c r="AI12" s="1801"/>
      <c r="AJ12" s="1801"/>
      <c r="AK12" s="1791"/>
      <c r="AL12" s="1803"/>
      <c r="AM12" s="1803"/>
      <c r="AN12" s="1803"/>
      <c r="AO12" s="1803"/>
      <c r="AP12" s="1803"/>
      <c r="AQ12" s="1803"/>
      <c r="AR12" s="1803"/>
      <c r="AS12" s="1801"/>
      <c r="AT12" s="1801"/>
      <c r="AU12" s="1801"/>
      <c r="AV12" s="1801"/>
      <c r="AW12" s="1801"/>
      <c r="AX12" s="1803"/>
      <c r="AY12" s="1803"/>
      <c r="AZ12" s="1803"/>
      <c r="BA12" s="1803"/>
      <c r="BB12" s="1803"/>
      <c r="BC12" s="1803"/>
      <c r="BD12" s="1803"/>
      <c r="BE12" s="1801"/>
      <c r="BF12" s="1801"/>
      <c r="BG12" s="1801"/>
      <c r="BH12" s="1801"/>
      <c r="BI12" s="1801"/>
      <c r="BJ12" s="1803"/>
      <c r="BK12" s="1803"/>
      <c r="BL12" s="1803"/>
      <c r="BM12" s="1801"/>
      <c r="BN12" s="1801"/>
      <c r="BO12" s="1801"/>
      <c r="BP12" s="1801"/>
      <c r="BQ12" s="1791"/>
      <c r="BR12" s="4614"/>
      <c r="BS12" s="4580"/>
      <c r="BT12" s="1791"/>
      <c r="BU12" s="1801"/>
      <c r="BV12" s="1802"/>
      <c r="BW12" s="1802"/>
      <c r="BX12" s="1805"/>
      <c r="BY12" s="1806"/>
      <c r="BZ12" s="1801"/>
      <c r="CA12" s="1805"/>
      <c r="CB12" s="1805"/>
      <c r="CC12" s="1797"/>
      <c r="CD12" s="1791"/>
      <c r="CE12" s="1791"/>
      <c r="CF12" s="1807"/>
      <c r="CG12" s="1808"/>
      <c r="CH12" s="1791"/>
      <c r="CI12" s="1791"/>
      <c r="CJ12" s="1807"/>
      <c r="CK12" s="1808"/>
      <c r="CL12" s="1809"/>
      <c r="CM12" s="1809"/>
      <c r="CN12" s="1809"/>
      <c r="CO12" s="1809"/>
      <c r="CP12" s="1809"/>
      <c r="CQ12" s="1809"/>
      <c r="CR12" s="1809"/>
      <c r="CS12" s="1809"/>
      <c r="CT12" s="1809"/>
      <c r="CU12" s="1809"/>
      <c r="CV12" s="1809"/>
      <c r="CW12" s="1809"/>
      <c r="CX12" s="1809"/>
      <c r="CY12" s="1809"/>
      <c r="CZ12" s="1809"/>
      <c r="DA12" s="1809"/>
      <c r="DB12" s="1809"/>
      <c r="DC12" s="1809"/>
      <c r="DD12" s="1809"/>
      <c r="DE12" s="1809"/>
      <c r="DF12" s="1809"/>
      <c r="DG12" s="1809"/>
      <c r="DH12" s="1809"/>
      <c r="DI12" s="1809"/>
      <c r="DJ12" s="1809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  <c r="FR12" s="1809"/>
    </row>
    <row r="13" spans="2:174" s="1756" customFormat="1" ht="15" customHeight="1" x14ac:dyDescent="0.2">
      <c r="C13" s="1810"/>
      <c r="D13" s="1810"/>
      <c r="K13" s="1810"/>
      <c r="L13" s="1827"/>
      <c r="M13" s="1810"/>
      <c r="N13" s="1735" t="str">
        <f>TEXT(N14,"DDDD")</f>
        <v>الأحد</v>
      </c>
      <c r="O13" s="1735" t="str">
        <f t="shared" ref="O13:T13" si="38">TEXT(O14,"DDDD")</f>
        <v>الإثنين</v>
      </c>
      <c r="P13" s="1735" t="str">
        <f t="shared" si="38"/>
        <v>الثلاثاء</v>
      </c>
      <c r="Q13" s="1735" t="str">
        <f t="shared" si="38"/>
        <v>الأربعاء</v>
      </c>
      <c r="R13" s="1735" t="str">
        <f t="shared" si="38"/>
        <v>الخميس</v>
      </c>
      <c r="S13" s="1728" t="str">
        <f t="shared" si="38"/>
        <v>الجمعة</v>
      </c>
      <c r="T13" s="1735" t="str">
        <f t="shared" si="38"/>
        <v>السبت</v>
      </c>
      <c r="U13" s="1814"/>
      <c r="V13" s="1771"/>
      <c r="W13" s="1815"/>
      <c r="X13" s="1816"/>
      <c r="Y13" s="1764"/>
      <c r="Z13" s="1735" t="str">
        <f>TEXT(Z14,"DDDD")</f>
        <v>الأحد</v>
      </c>
      <c r="AA13" s="1735" t="str">
        <f t="shared" ref="AA13" si="39">TEXT(AA14,"DDDD")</f>
        <v>الإثنين</v>
      </c>
      <c r="AB13" s="1735" t="str">
        <f t="shared" ref="AB13" si="40">TEXT(AB14,"DDDD")</f>
        <v>الثلاثاء</v>
      </c>
      <c r="AC13" s="1735" t="str">
        <f t="shared" ref="AC13" si="41">TEXT(AC14,"DDDD")</f>
        <v>الأربعاء</v>
      </c>
      <c r="AD13" s="1735" t="str">
        <f t="shared" ref="AD13" si="42">TEXT(AD14,"DDDD")</f>
        <v>الخميس</v>
      </c>
      <c r="AE13" s="1728" t="str">
        <f t="shared" ref="AE13" si="43">TEXT(AE14,"DDDD")</f>
        <v>الجمعة</v>
      </c>
      <c r="AF13" s="1735" t="str">
        <f t="shared" ref="AF13" si="44">TEXT(AF14,"DDDD")</f>
        <v>السبت</v>
      </c>
      <c r="AG13" s="1764"/>
      <c r="AH13" s="1771"/>
      <c r="AI13" s="1815"/>
      <c r="AJ13" s="1829"/>
      <c r="AK13" s="1764"/>
      <c r="AL13" s="1735" t="str">
        <f>TEXT(AL14,"DDDD")</f>
        <v>الأحد</v>
      </c>
      <c r="AM13" s="1735" t="str">
        <f t="shared" ref="AM13" si="45">TEXT(AM14,"DDDD")</f>
        <v>الإثنين</v>
      </c>
      <c r="AN13" s="1735" t="str">
        <f t="shared" ref="AN13" si="46">TEXT(AN14,"DDDD")</f>
        <v>الثلاثاء</v>
      </c>
      <c r="AO13" s="1735" t="str">
        <f t="shared" ref="AO13" si="47">TEXT(AO14,"DDDD")</f>
        <v>الأربعاء</v>
      </c>
      <c r="AP13" s="1735" t="str">
        <f t="shared" ref="AP13" si="48">TEXT(AP14,"DDDD")</f>
        <v>الخميس</v>
      </c>
      <c r="AQ13" s="1728" t="str">
        <f t="shared" ref="AQ13" si="49">TEXT(AQ14,"DDDD")</f>
        <v>الجمعة</v>
      </c>
      <c r="AR13" s="1735" t="str">
        <f t="shared" ref="AR13" si="50">TEXT(AR14,"DDDD")</f>
        <v>السبت</v>
      </c>
      <c r="AS13" s="2289"/>
      <c r="AT13" s="1771"/>
      <c r="AU13" s="1815"/>
      <c r="AV13" s="1816"/>
      <c r="AW13" s="2289"/>
      <c r="AX13" s="1735" t="str">
        <f>TEXT(AX14,"DDDD")</f>
        <v>الأحد</v>
      </c>
      <c r="AY13" s="1735" t="str">
        <f t="shared" ref="AY13" si="51">TEXT(AY14,"DDDD")</f>
        <v>الإثنين</v>
      </c>
      <c r="AZ13" s="1735" t="str">
        <f t="shared" ref="AZ13" si="52">TEXT(AZ14,"DDDD")</f>
        <v>الثلاثاء</v>
      </c>
      <c r="BA13" s="1735" t="str">
        <f t="shared" ref="BA13" si="53">TEXT(BA14,"DDDD")</f>
        <v>الأربعاء</v>
      </c>
      <c r="BB13" s="1735" t="str">
        <f t="shared" ref="BB13" si="54">TEXT(BB14,"DDDD")</f>
        <v>الخميس</v>
      </c>
      <c r="BC13" s="1728" t="str">
        <f t="shared" ref="BC13" si="55">TEXT(BC14,"DDDD")</f>
        <v>الجمعة</v>
      </c>
      <c r="BD13" s="1735" t="str">
        <f t="shared" ref="BD13" si="56">TEXT(BD14,"DDDD")</f>
        <v>السبت</v>
      </c>
      <c r="BE13" s="2289"/>
      <c r="BF13" s="1771"/>
      <c r="BG13" s="1815"/>
      <c r="BH13" s="1816"/>
      <c r="BI13" s="1814"/>
      <c r="BJ13" s="1735" t="str">
        <f>TEXT(BJ14,"DDDD")</f>
        <v>الأحد</v>
      </c>
      <c r="BK13" s="1735" t="str">
        <f t="shared" ref="BK13" si="57">TEXT(BK14,"DDDD")</f>
        <v>الإثنين</v>
      </c>
      <c r="BL13" s="1735" t="str">
        <f t="shared" ref="BL13" si="58">TEXT(BL14,"DDDD")</f>
        <v>الثلاثاء</v>
      </c>
      <c r="BM13" s="1814"/>
      <c r="BN13" s="1771"/>
      <c r="BO13" s="1815"/>
      <c r="BP13" s="1816"/>
      <c r="BR13" s="4614"/>
      <c r="BS13" s="4580"/>
      <c r="BU13" s="1814"/>
      <c r="BV13" s="1830"/>
      <c r="BW13" s="1830"/>
      <c r="BX13" s="1818"/>
      <c r="BY13" s="3014"/>
      <c r="BZ13" s="2742">
        <f>BV5-BU1</f>
        <v>0.86051870713926493</v>
      </c>
      <c r="CA13" s="4607"/>
      <c r="CB13" s="4608" t="s">
        <v>101</v>
      </c>
      <c r="CC13" s="1831"/>
      <c r="CD13" s="1832"/>
      <c r="CE13" s="1832" t="s">
        <v>252</v>
      </c>
      <c r="CF13" s="1833"/>
      <c r="CG13" s="1776"/>
      <c r="CH13" s="1776"/>
      <c r="CI13" s="1776"/>
      <c r="CJ13" s="1834"/>
      <c r="CK13" s="1776"/>
      <c r="CL13" s="1776"/>
      <c r="CM13" s="1776"/>
      <c r="CN13" s="1776"/>
      <c r="CO13" s="1776"/>
      <c r="CP13" s="1776"/>
      <c r="CQ13" s="1776"/>
      <c r="CR13" s="1776"/>
      <c r="CS13" s="1776"/>
      <c r="CT13" s="1776"/>
      <c r="CU13" s="1776"/>
      <c r="CV13" s="1776"/>
      <c r="CW13" s="1776"/>
      <c r="CX13" s="1776"/>
      <c r="CY13" s="1776"/>
      <c r="CZ13" s="1776"/>
      <c r="DA13" s="1776"/>
      <c r="DB13" s="1776"/>
      <c r="DC13" s="1776"/>
      <c r="DD13" s="1776"/>
      <c r="DE13" s="1776"/>
      <c r="DF13" s="1776"/>
      <c r="DG13" s="1776"/>
      <c r="DH13" s="1776"/>
      <c r="DI13" s="1776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  <c r="FR13" s="1776"/>
    </row>
    <row r="14" spans="2:174" s="1777" customFormat="1" ht="18.75" thickBot="1" x14ac:dyDescent="0.25">
      <c r="B14" s="1835" t="s">
        <v>0</v>
      </c>
      <c r="C14" s="1836" t="s">
        <v>1</v>
      </c>
      <c r="D14" s="1744"/>
      <c r="E14" s="1836" t="s">
        <v>24</v>
      </c>
      <c r="F14" s="1837" t="s">
        <v>108</v>
      </c>
      <c r="G14" s="1838" t="s">
        <v>109</v>
      </c>
      <c r="H14" s="1839" t="s">
        <v>110</v>
      </c>
      <c r="I14" s="1840" t="s">
        <v>111</v>
      </c>
      <c r="J14" s="1841" t="s">
        <v>107</v>
      </c>
      <c r="K14" s="1836" t="s">
        <v>2</v>
      </c>
      <c r="L14" s="1842"/>
      <c r="M14" s="1800"/>
      <c r="N14" s="3130">
        <v>43891</v>
      </c>
      <c r="O14" s="3130">
        <v>43892</v>
      </c>
      <c r="P14" s="3130">
        <v>43893</v>
      </c>
      <c r="Q14" s="3130">
        <v>43894</v>
      </c>
      <c r="R14" s="3130">
        <v>43895</v>
      </c>
      <c r="S14" s="3130">
        <v>43896</v>
      </c>
      <c r="T14" s="3130">
        <v>43897</v>
      </c>
      <c r="U14" s="1843"/>
      <c r="V14" s="1844"/>
      <c r="W14" s="1845"/>
      <c r="X14" s="1846"/>
      <c r="Y14" s="1847"/>
      <c r="Z14" s="3130">
        <v>43898</v>
      </c>
      <c r="AA14" s="3130">
        <v>43899</v>
      </c>
      <c r="AB14" s="3130">
        <v>43900</v>
      </c>
      <c r="AC14" s="3130">
        <v>43901</v>
      </c>
      <c r="AD14" s="3130">
        <v>43902</v>
      </c>
      <c r="AE14" s="3130">
        <v>43903</v>
      </c>
      <c r="AF14" s="3130">
        <v>43904</v>
      </c>
      <c r="AG14" s="1744"/>
      <c r="AH14" s="1844"/>
      <c r="AI14" s="1845"/>
      <c r="AJ14" s="1846"/>
      <c r="AK14" s="1744"/>
      <c r="AL14" s="3130">
        <v>43905</v>
      </c>
      <c r="AM14" s="3130">
        <v>43906</v>
      </c>
      <c r="AN14" s="3130">
        <v>43907</v>
      </c>
      <c r="AO14" s="3130">
        <v>43908</v>
      </c>
      <c r="AP14" s="3130">
        <v>43909</v>
      </c>
      <c r="AQ14" s="3130">
        <v>43910</v>
      </c>
      <c r="AR14" s="3130">
        <v>43911</v>
      </c>
      <c r="AS14" s="2291"/>
      <c r="AT14" s="1844"/>
      <c r="AU14" s="1845"/>
      <c r="AV14" s="1846"/>
      <c r="AW14" s="2291"/>
      <c r="AX14" s="3130">
        <v>43912</v>
      </c>
      <c r="AY14" s="3130">
        <v>43913</v>
      </c>
      <c r="AZ14" s="3130">
        <v>43914</v>
      </c>
      <c r="BA14" s="3130">
        <v>43915</v>
      </c>
      <c r="BB14" s="3130">
        <v>43916</v>
      </c>
      <c r="BC14" s="3130">
        <v>43917</v>
      </c>
      <c r="BD14" s="3130">
        <v>43918</v>
      </c>
      <c r="BE14" s="2291"/>
      <c r="BF14" s="1844"/>
      <c r="BG14" s="1845"/>
      <c r="BH14" s="1846"/>
      <c r="BI14" s="1806"/>
      <c r="BJ14" s="3130">
        <v>43919</v>
      </c>
      <c r="BK14" s="3130">
        <v>43920</v>
      </c>
      <c r="BL14" s="3130">
        <v>43921</v>
      </c>
      <c r="BM14" s="1806"/>
      <c r="BN14" s="1844"/>
      <c r="BO14" s="1845"/>
      <c r="BP14" s="1846"/>
      <c r="BR14" s="4615"/>
      <c r="BS14" s="4581"/>
      <c r="BU14" s="1835" t="s">
        <v>7</v>
      </c>
      <c r="BV14" s="1835" t="s">
        <v>2</v>
      </c>
      <c r="BW14" s="1806"/>
      <c r="BX14" s="1806"/>
      <c r="BY14" s="1795"/>
      <c r="BZ14" s="2743">
        <f>BV6-BU1</f>
        <v>1.0219580922478175</v>
      </c>
      <c r="CA14" s="4607"/>
      <c r="CB14" s="4608"/>
      <c r="CC14" s="1848"/>
      <c r="CD14" s="1799"/>
      <c r="CE14" s="1799"/>
      <c r="CF14" s="1799"/>
      <c r="CG14" s="1799"/>
      <c r="CH14" s="1799"/>
      <c r="CI14" s="1799"/>
      <c r="CJ14" s="1799"/>
      <c r="CK14" s="1799"/>
      <c r="CL14" s="1799"/>
      <c r="CM14" s="1799"/>
      <c r="CN14" s="1799"/>
      <c r="CO14" s="1799"/>
      <c r="CP14" s="1799"/>
      <c r="CQ14" s="1799"/>
      <c r="CR14" s="1799"/>
      <c r="CS14" s="1799"/>
      <c r="CT14" s="1799"/>
      <c r="CU14" s="1799"/>
      <c r="CV14" s="1799"/>
      <c r="CW14" s="1799"/>
      <c r="CX14" s="1799"/>
      <c r="CY14" s="1799"/>
      <c r="CZ14" s="1799"/>
      <c r="DA14" s="1799"/>
      <c r="DB14" s="1799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  <c r="FR14" s="1799"/>
    </row>
    <row r="15" spans="2:174" s="1777" customFormat="1" ht="4.5" customHeight="1" x14ac:dyDescent="0.2">
      <c r="B15" s="1806"/>
      <c r="C15" s="1800"/>
      <c r="D15" s="1800"/>
      <c r="E15" s="1800"/>
      <c r="F15" s="1849"/>
      <c r="G15" s="1850"/>
      <c r="H15" s="1851"/>
      <c r="I15" s="1852"/>
      <c r="J15" s="1800"/>
      <c r="K15" s="1800"/>
      <c r="L15" s="1842"/>
      <c r="M15" s="1800"/>
      <c r="N15" s="1806"/>
      <c r="O15" s="1806"/>
      <c r="P15" s="1806"/>
      <c r="Q15" s="1806"/>
      <c r="R15" s="1806"/>
      <c r="S15" s="1806"/>
      <c r="T15" s="1806"/>
      <c r="U15" s="1806"/>
      <c r="V15" s="1806"/>
      <c r="W15" s="1806"/>
      <c r="X15" s="1806"/>
      <c r="Y15" s="1800"/>
      <c r="Z15" s="1806"/>
      <c r="AA15" s="1806"/>
      <c r="AB15" s="1806"/>
      <c r="AC15" s="1806"/>
      <c r="AD15" s="1806"/>
      <c r="AE15" s="1806"/>
      <c r="AF15" s="1806"/>
      <c r="AG15" s="1800"/>
      <c r="AH15" s="1806"/>
      <c r="AI15" s="1806"/>
      <c r="AJ15" s="1806"/>
      <c r="AK15" s="1800"/>
      <c r="AL15" s="1806"/>
      <c r="AM15" s="1806"/>
      <c r="AN15" s="1806"/>
      <c r="AO15" s="1806"/>
      <c r="AP15" s="1806"/>
      <c r="AQ15" s="1806"/>
      <c r="AR15" s="1806"/>
      <c r="AS15" s="1806"/>
      <c r="AT15" s="1806"/>
      <c r="AU15" s="1806"/>
      <c r="AV15" s="1806"/>
      <c r="AW15" s="1806"/>
      <c r="AX15" s="1806"/>
      <c r="AY15" s="1806"/>
      <c r="AZ15" s="1806"/>
      <c r="BA15" s="1806"/>
      <c r="BB15" s="1806"/>
      <c r="BC15" s="1806"/>
      <c r="BD15" s="1806"/>
      <c r="BE15" s="1806"/>
      <c r="BF15" s="1806"/>
      <c r="BG15" s="1806"/>
      <c r="BH15" s="1806"/>
      <c r="BI15" s="1806"/>
      <c r="BJ15" s="1806"/>
      <c r="BK15" s="1806"/>
      <c r="BL15" s="1806"/>
      <c r="BM15" s="1806"/>
      <c r="BN15" s="1806"/>
      <c r="BO15" s="1806"/>
      <c r="BP15" s="1806"/>
      <c r="BR15" s="1853"/>
      <c r="BS15" s="1854"/>
      <c r="BU15" s="1800"/>
      <c r="BV15" s="1800"/>
      <c r="BW15" s="1800"/>
      <c r="BX15" s="1800"/>
      <c r="BZ15" s="1855"/>
      <c r="CA15" s="1800"/>
      <c r="CB15" s="1800"/>
      <c r="CC15" s="1856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  <c r="CY15" s="1800"/>
      <c r="CZ15" s="1800"/>
      <c r="DA15" s="1800"/>
      <c r="DB15" s="1800"/>
      <c r="DC15" s="1800"/>
      <c r="DD15" s="1800"/>
      <c r="DE15" s="1800"/>
      <c r="DF15" s="1800"/>
      <c r="DG15" s="1800"/>
      <c r="DH15" s="1800"/>
      <c r="DI15" s="1800"/>
      <c r="DJ15" s="1800"/>
      <c r="DK15" s="1800"/>
      <c r="DL15" s="1800"/>
      <c r="DM15" s="1800"/>
      <c r="DN15" s="1800"/>
      <c r="DO15" s="1800"/>
      <c r="DP15" s="1800"/>
      <c r="DQ15" s="1800"/>
      <c r="DR15" s="1800"/>
      <c r="DS15" s="1800"/>
      <c r="DT15" s="1800"/>
      <c r="DU15" s="1800"/>
      <c r="DV15" s="1800"/>
      <c r="DW15" s="1800"/>
      <c r="DX15" s="1800"/>
      <c r="DY15" s="1800"/>
      <c r="DZ15" s="1800"/>
      <c r="EA15" s="1800"/>
      <c r="EB15" s="1800"/>
      <c r="EC15" s="1800"/>
      <c r="ED15" s="1800"/>
      <c r="EE15" s="1800"/>
      <c r="EF15" s="1800"/>
      <c r="EG15" s="1800"/>
      <c r="EH15" s="1800"/>
      <c r="EI15" s="1800"/>
      <c r="EJ15" s="1800"/>
      <c r="EK15" s="1800"/>
      <c r="EL15" s="1800"/>
      <c r="EM15" s="1800"/>
      <c r="EN15" s="1800"/>
      <c r="EO15" s="1800"/>
      <c r="EP15" s="1800"/>
      <c r="EQ15" s="1800"/>
      <c r="ER15" s="1800"/>
      <c r="ES15" s="1800"/>
      <c r="ET15" s="1800"/>
      <c r="EU15" s="1800"/>
      <c r="EV15" s="1800"/>
      <c r="EW15" s="1800"/>
      <c r="EX15" s="1800"/>
      <c r="EY15" s="1800"/>
      <c r="EZ15" s="1800"/>
      <c r="FA15" s="1800"/>
      <c r="FB15" s="1800"/>
      <c r="FC15" s="1800"/>
      <c r="FD15" s="1800"/>
      <c r="FE15" s="1800"/>
      <c r="FF15" s="1800"/>
      <c r="FG15" s="1800"/>
      <c r="FH15" s="1800"/>
      <c r="FI15" s="1800"/>
      <c r="FJ15" s="1800"/>
      <c r="FK15" s="1800"/>
      <c r="FL15" s="1800"/>
      <c r="FM15" s="1800"/>
      <c r="FN15" s="1800"/>
      <c r="FO15" s="1800"/>
      <c r="FP15" s="1800"/>
      <c r="FQ15" s="1800"/>
      <c r="FR15" s="1800"/>
    </row>
    <row r="16" spans="2:174" s="1810" customFormat="1" ht="21" thickBot="1" x14ac:dyDescent="0.25">
      <c r="B16" s="1963"/>
      <c r="C16" s="1964" t="s">
        <v>188</v>
      </c>
      <c r="D16" s="2578"/>
      <c r="E16" s="1728"/>
      <c r="F16" s="1728"/>
      <c r="G16" s="1728"/>
      <c r="H16" s="1728"/>
      <c r="I16" s="1728"/>
      <c r="J16" s="1728">
        <f>J42*100/20</f>
        <v>508.37037037037027</v>
      </c>
      <c r="K16" s="2383">
        <f>J16*CA20</f>
        <v>13725.999999999996</v>
      </c>
      <c r="L16" s="1924"/>
      <c r="M16" s="1966"/>
      <c r="N16" s="2266"/>
      <c r="O16" s="2266"/>
      <c r="P16" s="2266"/>
      <c r="Q16" s="2266"/>
      <c r="R16" s="2266"/>
      <c r="S16" s="2266"/>
      <c r="T16" s="2266"/>
      <c r="U16" s="1814"/>
      <c r="V16" s="4588"/>
      <c r="W16" s="4588"/>
      <c r="X16" s="4588"/>
      <c r="Y16" s="1766"/>
      <c r="Z16" s="2266"/>
      <c r="AA16" s="2266"/>
      <c r="AB16" s="2266"/>
      <c r="AC16" s="2266"/>
      <c r="AD16" s="2266"/>
      <c r="AE16" s="2266"/>
      <c r="AF16" s="2266"/>
      <c r="AG16" s="1766"/>
      <c r="AH16" s="4588"/>
      <c r="AI16" s="4588"/>
      <c r="AJ16" s="4588"/>
      <c r="AK16" s="1766"/>
      <c r="AL16" s="2266"/>
      <c r="AM16" s="2266"/>
      <c r="AN16" s="2266"/>
      <c r="AO16" s="2266"/>
      <c r="AP16" s="2266"/>
      <c r="AQ16" s="2266"/>
      <c r="AR16" s="3119" t="s">
        <v>275</v>
      </c>
      <c r="AS16" s="1814"/>
      <c r="AT16" s="4588"/>
      <c r="AU16" s="4588"/>
      <c r="AV16" s="4588"/>
      <c r="AW16" s="1814"/>
      <c r="AX16" s="2266" t="s">
        <v>275</v>
      </c>
      <c r="AY16" s="2266" t="s">
        <v>275</v>
      </c>
      <c r="AZ16" s="2266" t="s">
        <v>275</v>
      </c>
      <c r="BA16" s="2266"/>
      <c r="BB16" s="2266"/>
      <c r="BC16" s="2266"/>
      <c r="BD16" s="2266"/>
      <c r="BE16" s="1814"/>
      <c r="BF16" s="4588"/>
      <c r="BG16" s="4588"/>
      <c r="BH16" s="4588"/>
      <c r="BI16" s="1814"/>
      <c r="BJ16" s="3012"/>
      <c r="BK16" s="3012"/>
      <c r="BL16" s="3012"/>
      <c r="BM16" s="1814"/>
      <c r="BN16" s="4588"/>
      <c r="BO16" s="4588"/>
      <c r="BP16" s="4588"/>
      <c r="BR16" s="3012"/>
      <c r="BS16" s="1968"/>
      <c r="BT16" s="1817"/>
      <c r="BU16" s="1814"/>
      <c r="BV16" s="1830"/>
      <c r="BW16" s="1830"/>
      <c r="BX16" s="1761"/>
      <c r="BZ16" s="1860"/>
      <c r="CA16" s="3018"/>
      <c r="CB16" s="1860"/>
      <c r="CC16" s="1860"/>
      <c r="CD16" s="1860"/>
      <c r="CE16" s="1860"/>
      <c r="CF16" s="1860"/>
      <c r="CG16" s="1860"/>
      <c r="CH16" s="1860"/>
    </row>
    <row r="17" spans="1:87" x14ac:dyDescent="0.2">
      <c r="A17" s="1777"/>
      <c r="B17" s="1987">
        <v>13</v>
      </c>
      <c r="C17" s="1987" t="s">
        <v>197</v>
      </c>
      <c r="D17" s="1836"/>
      <c r="E17" s="1746">
        <v>1500</v>
      </c>
      <c r="F17" s="1746">
        <v>108.33333333333333</v>
      </c>
      <c r="G17" s="1746">
        <v>72.222222222222214</v>
      </c>
      <c r="H17" s="1746">
        <v>54.166666666666664</v>
      </c>
      <c r="I17" s="1746">
        <v>43.333333333333329</v>
      </c>
      <c r="J17" s="1746">
        <f>E17/27</f>
        <v>55.555555555555557</v>
      </c>
      <c r="K17" s="2583">
        <f t="shared" ref="K17:K40" si="59">E17/$E$42</f>
        <v>0.54640827626402455</v>
      </c>
      <c r="L17" s="1909"/>
      <c r="M17" s="1910"/>
      <c r="N17" s="1746">
        <f t="shared" ref="N17:T17" si="60">$J$17</f>
        <v>55.555555555555557</v>
      </c>
      <c r="O17" s="1746">
        <f t="shared" si="60"/>
        <v>55.555555555555557</v>
      </c>
      <c r="P17" s="1746">
        <f t="shared" si="60"/>
        <v>55.555555555555557</v>
      </c>
      <c r="Q17" s="1746">
        <f t="shared" si="60"/>
        <v>55.555555555555557</v>
      </c>
      <c r="R17" s="1746">
        <f t="shared" si="60"/>
        <v>55.555555555555557</v>
      </c>
      <c r="S17" s="1746">
        <f t="shared" si="60"/>
        <v>55.555555555555557</v>
      </c>
      <c r="T17" s="1746">
        <f t="shared" si="60"/>
        <v>55.555555555555557</v>
      </c>
      <c r="U17" s="3017"/>
      <c r="V17" s="1972">
        <f>SUM(N17:T17)</f>
        <v>388.88888888888886</v>
      </c>
      <c r="W17" s="1973">
        <f t="shared" ref="W17:W40" si="61">($V$5*K17)*$V$7</f>
        <v>646.47311671280795</v>
      </c>
      <c r="X17" s="1974">
        <f>W17-V17</f>
        <v>257.58422782391909</v>
      </c>
      <c r="Y17" s="1914"/>
      <c r="Z17" s="1746">
        <f t="shared" ref="Z17:AF17" si="62">$J$17</f>
        <v>55.555555555555557</v>
      </c>
      <c r="AA17" s="1746">
        <f t="shared" si="62"/>
        <v>55.555555555555557</v>
      </c>
      <c r="AB17" s="1746">
        <f t="shared" si="62"/>
        <v>55.555555555555557</v>
      </c>
      <c r="AC17" s="1746">
        <f t="shared" si="62"/>
        <v>55.555555555555557</v>
      </c>
      <c r="AD17" s="1746">
        <f t="shared" si="62"/>
        <v>55.555555555555557</v>
      </c>
      <c r="AE17" s="1746">
        <f t="shared" si="62"/>
        <v>55.555555555555557</v>
      </c>
      <c r="AF17" s="1746">
        <f t="shared" si="62"/>
        <v>55.555555555555557</v>
      </c>
      <c r="AG17" s="1914"/>
      <c r="AH17" s="1972">
        <f>SUM(Z17:AF17)</f>
        <v>388.88888888888886</v>
      </c>
      <c r="AI17" s="1973">
        <f t="shared" ref="AI17:AI40" si="63">($AH$5*K17)*$AH$7</f>
        <v>519.93698091213753</v>
      </c>
      <c r="AJ17" s="1974">
        <f>AI17-AH17</f>
        <v>131.04809202324867</v>
      </c>
      <c r="AK17" s="1914"/>
      <c r="AL17" s="1990">
        <f t="shared" ref="AL17:AQ17" si="64">$J$17</f>
        <v>55.555555555555557</v>
      </c>
      <c r="AM17" s="1990">
        <f t="shared" si="64"/>
        <v>55.555555555555557</v>
      </c>
      <c r="AN17" s="1990">
        <f t="shared" si="64"/>
        <v>55.555555555555557</v>
      </c>
      <c r="AO17" s="1990">
        <f t="shared" si="64"/>
        <v>55.555555555555557</v>
      </c>
      <c r="AP17" s="1990">
        <f t="shared" si="64"/>
        <v>55.555555555555557</v>
      </c>
      <c r="AQ17" s="1990">
        <f t="shared" si="64"/>
        <v>55.555555555555557</v>
      </c>
      <c r="AR17" s="1990"/>
      <c r="AS17" s="2297"/>
      <c r="AT17" s="1972">
        <f>SUM(AL17:AR17)</f>
        <v>333.33333333333331</v>
      </c>
      <c r="AU17" s="1973">
        <f t="shared" ref="AU17:AU40" si="65">($AT$5*K17)*$AT$7</f>
        <v>1045.3140026227597</v>
      </c>
      <c r="AV17" s="1974">
        <f>AU17-AT17</f>
        <v>711.98066928942649</v>
      </c>
      <c r="AW17" s="2297"/>
      <c r="AX17" s="1990"/>
      <c r="AY17" s="1990"/>
      <c r="AZ17" s="1990"/>
      <c r="BA17" s="1990">
        <f t="shared" ref="BA17:BD17" si="66">$J$17</f>
        <v>55.555555555555557</v>
      </c>
      <c r="BB17" s="1990">
        <f t="shared" si="66"/>
        <v>55.555555555555557</v>
      </c>
      <c r="BC17" s="1990">
        <f t="shared" si="66"/>
        <v>55.555555555555557</v>
      </c>
      <c r="BD17" s="1990">
        <f t="shared" si="66"/>
        <v>55.555555555555557</v>
      </c>
      <c r="BE17" s="2297"/>
      <c r="BF17" s="1972">
        <f>SUM(AX17:BD17)</f>
        <v>222.22222222222223</v>
      </c>
      <c r="BG17" s="1973">
        <f t="shared" ref="BG17:BG40" si="67">($BF$5*K17)*$BF$7</f>
        <v>431.04400407984855</v>
      </c>
      <c r="BH17" s="1974">
        <f>BG17-BF17</f>
        <v>208.82178185762632</v>
      </c>
      <c r="BI17" s="3017"/>
      <c r="BJ17" s="1746">
        <f t="shared" ref="BJ17:BK17" si="68">$J$17</f>
        <v>55.555555555555557</v>
      </c>
      <c r="BK17" s="1746">
        <f t="shared" si="68"/>
        <v>55.555555555555557</v>
      </c>
      <c r="BL17" s="1746">
        <v>0</v>
      </c>
      <c r="BM17" s="3017"/>
      <c r="BN17" s="1972">
        <f>SUM(BJ17:BL17)</f>
        <v>111.11111111111111</v>
      </c>
      <c r="BO17" s="1973">
        <f t="shared" ref="BO17:BO40" si="69">($BN$5*K17)*$BN$7</f>
        <v>196.62064694739911</v>
      </c>
      <c r="BP17" s="1974">
        <f>BO17-BN17</f>
        <v>85.509535836287995</v>
      </c>
      <c r="BR17" s="1747">
        <v>0</v>
      </c>
      <c r="BS17" s="1752">
        <f t="shared" ref="BS17:BS40" si="70">BR17/E17</f>
        <v>0</v>
      </c>
      <c r="BT17" s="1754"/>
      <c r="BU17" s="1975">
        <f t="shared" ref="BU17:BU40" si="71">SUM(N17:T17)+SUM(Z17:AF17)+SUM(AL17:AR17)+SUM(AX17:BD17)+SUM(BL17:BL17)</f>
        <v>1333.3333333333333</v>
      </c>
      <c r="BV17" s="1976">
        <f t="shared" ref="BV17:BV40" si="72">BU17/E17</f>
        <v>0.88888888888888884</v>
      </c>
      <c r="BW17" s="1993"/>
      <c r="BX17" s="1977"/>
      <c r="BZ17" s="1923"/>
      <c r="CA17" s="1978"/>
      <c r="CB17" s="1979"/>
      <c r="CC17" s="1980"/>
      <c r="CD17" s="1980"/>
      <c r="CE17" s="1980"/>
      <c r="CF17" s="1980"/>
      <c r="CG17" s="1980"/>
      <c r="CH17" s="1981"/>
      <c r="CI17" s="1923"/>
    </row>
    <row r="18" spans="1:87" s="1726" customFormat="1" x14ac:dyDescent="0.2">
      <c r="B18" s="1963">
        <v>14</v>
      </c>
      <c r="C18" s="1963" t="s">
        <v>198</v>
      </c>
      <c r="D18" s="2578"/>
      <c r="E18" s="1728">
        <v>450</v>
      </c>
      <c r="F18" s="1728">
        <v>45</v>
      </c>
      <c r="G18" s="1728">
        <v>30</v>
      </c>
      <c r="H18" s="1728">
        <v>22.5</v>
      </c>
      <c r="I18" s="1728">
        <v>18</v>
      </c>
      <c r="J18" s="1728">
        <f t="shared" ref="J18:J40" si="73">E18/27</f>
        <v>16.666666666666668</v>
      </c>
      <c r="K18" s="1729">
        <f t="shared" si="59"/>
        <v>0.16392248287920735</v>
      </c>
      <c r="L18" s="1876"/>
      <c r="M18" s="1877"/>
      <c r="N18" s="1728">
        <f t="shared" ref="N18:T18" si="74">$J$18</f>
        <v>16.666666666666668</v>
      </c>
      <c r="O18" s="1728">
        <f t="shared" si="74"/>
        <v>16.666666666666668</v>
      </c>
      <c r="P18" s="1728">
        <f t="shared" si="74"/>
        <v>16.666666666666668</v>
      </c>
      <c r="Q18" s="1728">
        <f t="shared" si="74"/>
        <v>16.666666666666668</v>
      </c>
      <c r="R18" s="1728">
        <f t="shared" si="74"/>
        <v>16.666666666666668</v>
      </c>
      <c r="S18" s="1728">
        <f t="shared" si="74"/>
        <v>16.666666666666668</v>
      </c>
      <c r="T18" s="1728">
        <f t="shared" si="74"/>
        <v>16.666666666666668</v>
      </c>
      <c r="U18" s="3019"/>
      <c r="V18" s="1982">
        <f>SUM(N18:T18)</f>
        <v>116.66666666666669</v>
      </c>
      <c r="W18" s="2268">
        <f t="shared" si="61"/>
        <v>193.94193501384234</v>
      </c>
      <c r="X18" s="1984">
        <f>W18-V18</f>
        <v>77.275268347175654</v>
      </c>
      <c r="Y18" s="1881"/>
      <c r="Z18" s="1728">
        <f t="shared" ref="Z18:AF18" si="75">$J$18</f>
        <v>16.666666666666668</v>
      </c>
      <c r="AA18" s="1728">
        <f t="shared" si="75"/>
        <v>16.666666666666668</v>
      </c>
      <c r="AB18" s="1728">
        <f t="shared" si="75"/>
        <v>16.666666666666668</v>
      </c>
      <c r="AC18" s="1728">
        <f t="shared" si="75"/>
        <v>16.666666666666668</v>
      </c>
      <c r="AD18" s="1728">
        <f t="shared" si="75"/>
        <v>16.666666666666668</v>
      </c>
      <c r="AE18" s="1728">
        <f t="shared" si="75"/>
        <v>16.666666666666668</v>
      </c>
      <c r="AF18" s="1728">
        <f t="shared" si="75"/>
        <v>16.666666666666668</v>
      </c>
      <c r="AG18" s="1881"/>
      <c r="AH18" s="1982">
        <f>SUM(Z18:AF18)</f>
        <v>116.66666666666669</v>
      </c>
      <c r="AI18" s="2268">
        <f t="shared" si="63"/>
        <v>155.98109427364125</v>
      </c>
      <c r="AJ18" s="1984">
        <f>AI18-AH18</f>
        <v>39.314427606974562</v>
      </c>
      <c r="AK18" s="1881"/>
      <c r="AL18" s="2268">
        <f t="shared" ref="AL18:AQ18" si="76">$J$18</f>
        <v>16.666666666666668</v>
      </c>
      <c r="AM18" s="2268">
        <f t="shared" si="76"/>
        <v>16.666666666666668</v>
      </c>
      <c r="AN18" s="2268">
        <f t="shared" si="76"/>
        <v>16.666666666666668</v>
      </c>
      <c r="AO18" s="2268">
        <f t="shared" si="76"/>
        <v>16.666666666666668</v>
      </c>
      <c r="AP18" s="2268">
        <f t="shared" si="76"/>
        <v>16.666666666666668</v>
      </c>
      <c r="AQ18" s="2268">
        <f t="shared" si="76"/>
        <v>16.666666666666668</v>
      </c>
      <c r="AR18" s="2268"/>
      <c r="AS18" s="2293"/>
      <c r="AT18" s="1982">
        <f>SUM(AL18:AR18)</f>
        <v>100.00000000000001</v>
      </c>
      <c r="AU18" s="2268">
        <f t="shared" si="65"/>
        <v>313.59420078682791</v>
      </c>
      <c r="AV18" s="1984">
        <f>AU18-AT18</f>
        <v>213.59420078682791</v>
      </c>
      <c r="AW18" s="2293"/>
      <c r="AX18" s="2268"/>
      <c r="AY18" s="2268"/>
      <c r="AZ18" s="2268"/>
      <c r="BA18" s="2268">
        <f t="shared" ref="BA18:BD18" si="77">$J$18</f>
        <v>16.666666666666668</v>
      </c>
      <c r="BB18" s="2268">
        <f t="shared" si="77"/>
        <v>16.666666666666668</v>
      </c>
      <c r="BC18" s="2268">
        <f t="shared" si="77"/>
        <v>16.666666666666668</v>
      </c>
      <c r="BD18" s="2268">
        <f t="shared" si="77"/>
        <v>16.666666666666668</v>
      </c>
      <c r="BE18" s="2293"/>
      <c r="BF18" s="1982">
        <f>SUM(AX18:BD18)</f>
        <v>66.666666666666671</v>
      </c>
      <c r="BG18" s="2268">
        <f t="shared" si="67"/>
        <v>129.31320122395456</v>
      </c>
      <c r="BH18" s="1984">
        <f>BG18-BF18</f>
        <v>62.646534557287893</v>
      </c>
      <c r="BI18" s="3019"/>
      <c r="BJ18" s="1728">
        <f t="shared" ref="BJ18:BL18" si="78">$J$18</f>
        <v>16.666666666666668</v>
      </c>
      <c r="BK18" s="1728">
        <f t="shared" si="78"/>
        <v>16.666666666666668</v>
      </c>
      <c r="BL18" s="1728">
        <f t="shared" si="78"/>
        <v>16.666666666666668</v>
      </c>
      <c r="BM18" s="3019"/>
      <c r="BN18" s="1982">
        <f t="shared" ref="BN18:BN40" si="79">SUM(BJ18:BL18)</f>
        <v>50</v>
      </c>
      <c r="BO18" s="2268">
        <f t="shared" si="69"/>
        <v>58.986194084219733</v>
      </c>
      <c r="BP18" s="1984">
        <f>BO18-BN18</f>
        <v>8.9861940842197328</v>
      </c>
      <c r="BR18" s="1732">
        <v>0</v>
      </c>
      <c r="BS18" s="1882">
        <f t="shared" si="70"/>
        <v>0</v>
      </c>
      <c r="BT18" s="1740"/>
      <c r="BU18" s="1734">
        <f t="shared" si="71"/>
        <v>416.66666666666674</v>
      </c>
      <c r="BV18" s="1918">
        <f t="shared" si="72"/>
        <v>0.92592592592592604</v>
      </c>
      <c r="BW18" s="1997"/>
      <c r="BX18" s="3018"/>
      <c r="BZ18" s="1860"/>
      <c r="CA18" s="1985">
        <v>43921</v>
      </c>
      <c r="CB18" s="1830"/>
      <c r="CC18" s="1817"/>
      <c r="CD18" s="1810"/>
      <c r="CE18" s="1810"/>
      <c r="CF18" s="1810"/>
      <c r="CG18" s="1810"/>
      <c r="CH18" s="1986"/>
      <c r="CI18" s="1810"/>
    </row>
    <row r="19" spans="1:87" s="1777" customFormat="1" x14ac:dyDescent="0.2">
      <c r="B19" s="1987">
        <v>15</v>
      </c>
      <c r="C19" s="1963" t="s">
        <v>239</v>
      </c>
      <c r="D19" s="2578"/>
      <c r="E19" s="1728">
        <v>200</v>
      </c>
      <c r="F19" s="1728"/>
      <c r="G19" s="1728"/>
      <c r="H19" s="1728"/>
      <c r="I19" s="1728"/>
      <c r="J19" s="1728">
        <f t="shared" si="73"/>
        <v>7.4074074074074074</v>
      </c>
      <c r="K19" s="1729">
        <f t="shared" si="59"/>
        <v>7.2854436835203262E-2</v>
      </c>
      <c r="L19" s="1866"/>
      <c r="M19" s="1867"/>
      <c r="N19" s="1746">
        <f t="shared" ref="N19:T19" si="80">$J$19</f>
        <v>7.4074074074074074</v>
      </c>
      <c r="O19" s="1746">
        <f t="shared" si="80"/>
        <v>7.4074074074074074</v>
      </c>
      <c r="P19" s="1746">
        <f t="shared" si="80"/>
        <v>7.4074074074074074</v>
      </c>
      <c r="Q19" s="1746">
        <f t="shared" si="80"/>
        <v>7.4074074074074074</v>
      </c>
      <c r="R19" s="1746">
        <f t="shared" si="80"/>
        <v>7.4074074074074074</v>
      </c>
      <c r="S19" s="1746">
        <f t="shared" si="80"/>
        <v>7.4074074074074074</v>
      </c>
      <c r="T19" s="1746">
        <f t="shared" si="80"/>
        <v>7.4074074074074074</v>
      </c>
      <c r="U19" s="1801"/>
      <c r="V19" s="1989">
        <f>SUM(N19:T19)</f>
        <v>51.851851851851848</v>
      </c>
      <c r="W19" s="1990">
        <f t="shared" si="61"/>
        <v>86.19641556170771</v>
      </c>
      <c r="X19" s="1991">
        <f t="shared" ref="X19:X39" si="81">W19-V19</f>
        <v>34.344563709855862</v>
      </c>
      <c r="Y19" s="1788"/>
      <c r="Z19" s="1746">
        <f t="shared" ref="Z19:AF19" si="82">$J$19</f>
        <v>7.4074074074074074</v>
      </c>
      <c r="AA19" s="1746">
        <f t="shared" si="82"/>
        <v>7.4074074074074074</v>
      </c>
      <c r="AB19" s="1746">
        <f t="shared" si="82"/>
        <v>7.4074074074074074</v>
      </c>
      <c r="AC19" s="1746">
        <f t="shared" si="82"/>
        <v>7.4074074074074074</v>
      </c>
      <c r="AD19" s="1746">
        <f t="shared" si="82"/>
        <v>7.4074074074074074</v>
      </c>
      <c r="AE19" s="1746">
        <f t="shared" si="82"/>
        <v>7.4074074074074074</v>
      </c>
      <c r="AF19" s="1746">
        <f t="shared" si="82"/>
        <v>7.4074074074074074</v>
      </c>
      <c r="AG19" s="1788"/>
      <c r="AH19" s="1989">
        <f t="shared" ref="AH19:AH40" si="83">SUM(Z19:AF19)</f>
        <v>51.851851851851848</v>
      </c>
      <c r="AI19" s="1990">
        <f t="shared" si="63"/>
        <v>69.324930788284988</v>
      </c>
      <c r="AJ19" s="1991">
        <f t="shared" ref="AJ19:AJ40" si="84">AI19-AH19</f>
        <v>17.47307893643314</v>
      </c>
      <c r="AK19" s="1788"/>
      <c r="AL19" s="1990">
        <f t="shared" ref="AL19:AQ19" si="85">$J$19</f>
        <v>7.4074074074074074</v>
      </c>
      <c r="AM19" s="1990">
        <f t="shared" si="85"/>
        <v>7.4074074074074074</v>
      </c>
      <c r="AN19" s="1990">
        <f t="shared" si="85"/>
        <v>7.4074074074074074</v>
      </c>
      <c r="AO19" s="1990">
        <f t="shared" si="85"/>
        <v>7.4074074074074074</v>
      </c>
      <c r="AP19" s="1990">
        <f t="shared" si="85"/>
        <v>7.4074074074074074</v>
      </c>
      <c r="AQ19" s="1990">
        <f t="shared" si="85"/>
        <v>7.4074074074074074</v>
      </c>
      <c r="AR19" s="1990"/>
      <c r="AS19" s="2290"/>
      <c r="AT19" s="1989">
        <f t="shared" ref="AT19:AT40" si="86">SUM(AL19:AR19)</f>
        <v>44.444444444444443</v>
      </c>
      <c r="AU19" s="1990">
        <f t="shared" si="65"/>
        <v>139.37520034970129</v>
      </c>
      <c r="AV19" s="1991">
        <f t="shared" ref="AV19:AV40" si="87">AU19-AT19</f>
        <v>94.930755905256845</v>
      </c>
      <c r="AW19" s="2290"/>
      <c r="AX19" s="1990"/>
      <c r="AY19" s="1990"/>
      <c r="AZ19" s="1990"/>
      <c r="BA19" s="1990">
        <f t="shared" ref="BA19:BD19" si="88">$J$19</f>
        <v>7.4074074074074074</v>
      </c>
      <c r="BB19" s="1990">
        <f t="shared" si="88"/>
        <v>7.4074074074074074</v>
      </c>
      <c r="BC19" s="1990">
        <f t="shared" si="88"/>
        <v>7.4074074074074074</v>
      </c>
      <c r="BD19" s="1990">
        <f t="shared" si="88"/>
        <v>7.4074074074074074</v>
      </c>
      <c r="BE19" s="2290"/>
      <c r="BF19" s="1989">
        <f t="shared" ref="BF19:BF40" si="89">SUM(AX19:BD19)</f>
        <v>29.62962962962963</v>
      </c>
      <c r="BG19" s="1990">
        <f t="shared" si="67"/>
        <v>57.472533877313133</v>
      </c>
      <c r="BH19" s="1991">
        <f t="shared" ref="BH19:BH40" si="90">BG19-BF19</f>
        <v>27.842904247683503</v>
      </c>
      <c r="BI19" s="1801"/>
      <c r="BJ19" s="1746">
        <f t="shared" ref="BJ19:BL19" si="91">$J$19</f>
        <v>7.4074074074074074</v>
      </c>
      <c r="BK19" s="1746">
        <f t="shared" si="91"/>
        <v>7.4074074074074074</v>
      </c>
      <c r="BL19" s="1746">
        <f t="shared" si="91"/>
        <v>7.4074074074074074</v>
      </c>
      <c r="BM19" s="1801"/>
      <c r="BN19" s="1989">
        <f t="shared" si="79"/>
        <v>22.222222222222221</v>
      </c>
      <c r="BO19" s="1990">
        <f t="shared" si="69"/>
        <v>26.216086259653213</v>
      </c>
      <c r="BP19" s="1991">
        <f t="shared" ref="BP19" si="92">BO19-BN19</f>
        <v>3.9938640374309919</v>
      </c>
      <c r="BR19" s="1750">
        <v>0</v>
      </c>
      <c r="BS19" s="1871">
        <f t="shared" si="70"/>
        <v>0</v>
      </c>
      <c r="BT19" s="1795"/>
      <c r="BU19" s="1935">
        <f t="shared" si="71"/>
        <v>185.18518518518519</v>
      </c>
      <c r="BV19" s="1930">
        <f t="shared" si="72"/>
        <v>0.92592592592592593</v>
      </c>
      <c r="BW19" s="1802"/>
      <c r="BX19" s="1783"/>
      <c r="BZ19" s="1916"/>
      <c r="CA19" s="1992">
        <v>43890</v>
      </c>
      <c r="CB19" s="1993"/>
      <c r="CC19" s="1994"/>
      <c r="CD19" s="1923"/>
      <c r="CE19" s="1923"/>
      <c r="CF19" s="1923"/>
      <c r="CG19" s="1923"/>
      <c r="CH19" s="1995"/>
      <c r="CI19" s="1923"/>
    </row>
    <row r="20" spans="1:87" s="1756" customFormat="1" x14ac:dyDescent="0.2">
      <c r="B20" s="1963">
        <v>16</v>
      </c>
      <c r="C20" s="1987" t="s">
        <v>268</v>
      </c>
      <c r="D20" s="1836"/>
      <c r="E20" s="1746">
        <v>0</v>
      </c>
      <c r="F20" s="1746"/>
      <c r="G20" s="1746"/>
      <c r="H20" s="1746"/>
      <c r="I20" s="1746"/>
      <c r="J20" s="1746">
        <f t="shared" si="73"/>
        <v>0</v>
      </c>
      <c r="K20" s="2583">
        <f t="shared" si="59"/>
        <v>0</v>
      </c>
      <c r="L20" s="1931"/>
      <c r="M20" s="1924"/>
      <c r="N20" s="1728">
        <f t="shared" ref="N20:T20" si="93">$J$20</f>
        <v>0</v>
      </c>
      <c r="O20" s="1728">
        <f t="shared" si="93"/>
        <v>0</v>
      </c>
      <c r="P20" s="1728">
        <f t="shared" si="93"/>
        <v>0</v>
      </c>
      <c r="Q20" s="1728">
        <f t="shared" si="93"/>
        <v>0</v>
      </c>
      <c r="R20" s="1728">
        <f t="shared" si="93"/>
        <v>0</v>
      </c>
      <c r="S20" s="1728">
        <f t="shared" si="93"/>
        <v>0</v>
      </c>
      <c r="T20" s="1728">
        <f t="shared" si="93"/>
        <v>0</v>
      </c>
      <c r="U20" s="1814"/>
      <c r="V20" s="1982">
        <f t="shared" ref="V20:V82" si="94">SUM(N20:T20)</f>
        <v>0</v>
      </c>
      <c r="W20" s="2268">
        <f t="shared" si="61"/>
        <v>0</v>
      </c>
      <c r="X20" s="1984">
        <f t="shared" si="81"/>
        <v>0</v>
      </c>
      <c r="Y20" s="1764"/>
      <c r="Z20" s="1728">
        <f t="shared" ref="Z20:AF20" si="95">$J$20</f>
        <v>0</v>
      </c>
      <c r="AA20" s="1728">
        <f t="shared" si="95"/>
        <v>0</v>
      </c>
      <c r="AB20" s="1728">
        <f t="shared" si="95"/>
        <v>0</v>
      </c>
      <c r="AC20" s="1728">
        <f t="shared" si="95"/>
        <v>0</v>
      </c>
      <c r="AD20" s="1728">
        <f t="shared" si="95"/>
        <v>0</v>
      </c>
      <c r="AE20" s="1728">
        <f t="shared" si="95"/>
        <v>0</v>
      </c>
      <c r="AF20" s="1728">
        <f t="shared" si="95"/>
        <v>0</v>
      </c>
      <c r="AG20" s="1764"/>
      <c r="AH20" s="1982">
        <f t="shared" si="83"/>
        <v>0</v>
      </c>
      <c r="AI20" s="2268">
        <f t="shared" si="63"/>
        <v>0</v>
      </c>
      <c r="AJ20" s="1984">
        <f t="shared" si="84"/>
        <v>0</v>
      </c>
      <c r="AK20" s="1764"/>
      <c r="AL20" s="2268">
        <f t="shared" ref="AL20:AQ20" si="96">$J$20</f>
        <v>0</v>
      </c>
      <c r="AM20" s="2268">
        <f t="shared" si="96"/>
        <v>0</v>
      </c>
      <c r="AN20" s="2268">
        <f t="shared" si="96"/>
        <v>0</v>
      </c>
      <c r="AO20" s="2268">
        <f t="shared" si="96"/>
        <v>0</v>
      </c>
      <c r="AP20" s="2268">
        <f t="shared" si="96"/>
        <v>0</v>
      </c>
      <c r="AQ20" s="2268">
        <f t="shared" si="96"/>
        <v>0</v>
      </c>
      <c r="AR20" s="2268"/>
      <c r="AS20" s="2289"/>
      <c r="AT20" s="1982">
        <f t="shared" si="86"/>
        <v>0</v>
      </c>
      <c r="AU20" s="2268">
        <f t="shared" si="65"/>
        <v>0</v>
      </c>
      <c r="AV20" s="1984">
        <f t="shared" si="87"/>
        <v>0</v>
      </c>
      <c r="AW20" s="2289"/>
      <c r="AX20" s="2268"/>
      <c r="AY20" s="2268"/>
      <c r="AZ20" s="2268"/>
      <c r="BA20" s="2268">
        <f t="shared" ref="BA20:BD20" si="97">$J$20</f>
        <v>0</v>
      </c>
      <c r="BB20" s="2268">
        <f t="shared" si="97"/>
        <v>0</v>
      </c>
      <c r="BC20" s="2268">
        <f t="shared" si="97"/>
        <v>0</v>
      </c>
      <c r="BD20" s="2268">
        <f t="shared" si="97"/>
        <v>0</v>
      </c>
      <c r="BE20" s="2289"/>
      <c r="BF20" s="1982">
        <f t="shared" si="89"/>
        <v>0</v>
      </c>
      <c r="BG20" s="2268">
        <f t="shared" si="67"/>
        <v>0</v>
      </c>
      <c r="BH20" s="1984">
        <f t="shared" si="90"/>
        <v>0</v>
      </c>
      <c r="BI20" s="1814"/>
      <c r="BJ20" s="1728">
        <f t="shared" ref="BJ20:BL20" si="98">$J$20</f>
        <v>0</v>
      </c>
      <c r="BK20" s="1728">
        <f t="shared" si="98"/>
        <v>0</v>
      </c>
      <c r="BL20" s="1728">
        <f t="shared" si="98"/>
        <v>0</v>
      </c>
      <c r="BM20" s="1814"/>
      <c r="BN20" s="1982">
        <f t="shared" si="79"/>
        <v>0</v>
      </c>
      <c r="BO20" s="2268">
        <f t="shared" si="69"/>
        <v>0</v>
      </c>
      <c r="BP20" s="1984">
        <f>BO20-BN20</f>
        <v>0</v>
      </c>
      <c r="BR20" s="1735">
        <v>0</v>
      </c>
      <c r="BS20" s="1768" t="e">
        <f t="shared" si="70"/>
        <v>#DIV/0!</v>
      </c>
      <c r="BT20" s="3014"/>
      <c r="BU20" s="1763">
        <f t="shared" si="71"/>
        <v>0</v>
      </c>
      <c r="BV20" s="1883" t="e">
        <f t="shared" si="72"/>
        <v>#DIV/0!</v>
      </c>
      <c r="BW20" s="1830"/>
      <c r="BX20" s="1761"/>
      <c r="BZ20" s="3018"/>
      <c r="CA20" s="1996">
        <f>CA18-CA19-4</f>
        <v>27</v>
      </c>
      <c r="CB20" s="1997"/>
      <c r="CC20" s="1861"/>
      <c r="CD20" s="1860"/>
      <c r="CE20" s="1860"/>
      <c r="CF20" s="1860"/>
      <c r="CG20" s="1860"/>
      <c r="CH20" s="1998"/>
      <c r="CI20" s="1860"/>
    </row>
    <row r="21" spans="1:87" s="1777" customFormat="1" x14ac:dyDescent="0.2">
      <c r="B21" s="1987">
        <v>17</v>
      </c>
      <c r="C21" s="1987" t="s">
        <v>257</v>
      </c>
      <c r="D21" s="1836"/>
      <c r="E21" s="1746">
        <v>100</v>
      </c>
      <c r="F21" s="1746">
        <v>5</v>
      </c>
      <c r="G21" s="1746">
        <v>3.3333333333333335</v>
      </c>
      <c r="H21" s="1746">
        <v>2.5</v>
      </c>
      <c r="I21" s="1746">
        <v>2</v>
      </c>
      <c r="J21" s="1746">
        <f t="shared" si="73"/>
        <v>3.7037037037037037</v>
      </c>
      <c r="K21" s="2583">
        <f t="shared" si="59"/>
        <v>3.6427218417601631E-2</v>
      </c>
      <c r="L21" s="1866"/>
      <c r="M21" s="1867"/>
      <c r="N21" s="1746">
        <f t="shared" ref="N21:T21" si="99">$J$21</f>
        <v>3.7037037037037037</v>
      </c>
      <c r="O21" s="1746">
        <f t="shared" si="99"/>
        <v>3.7037037037037037</v>
      </c>
      <c r="P21" s="1746">
        <f t="shared" si="99"/>
        <v>3.7037037037037037</v>
      </c>
      <c r="Q21" s="1746">
        <f t="shared" si="99"/>
        <v>3.7037037037037037</v>
      </c>
      <c r="R21" s="1746">
        <f t="shared" si="99"/>
        <v>3.7037037037037037</v>
      </c>
      <c r="S21" s="1746">
        <f t="shared" si="99"/>
        <v>3.7037037037037037</v>
      </c>
      <c r="T21" s="1746">
        <f t="shared" si="99"/>
        <v>3.7037037037037037</v>
      </c>
      <c r="U21" s="1801"/>
      <c r="V21" s="1989">
        <f t="shared" si="94"/>
        <v>25.925925925925924</v>
      </c>
      <c r="W21" s="1990">
        <f t="shared" si="61"/>
        <v>43.098207780853855</v>
      </c>
      <c r="X21" s="1991">
        <f t="shared" si="81"/>
        <v>17.172281854927931</v>
      </c>
      <c r="Y21" s="1788"/>
      <c r="Z21" s="1746">
        <f t="shared" ref="Z21:AF21" si="100">$J$21</f>
        <v>3.7037037037037037</v>
      </c>
      <c r="AA21" s="1746">
        <f t="shared" si="100"/>
        <v>3.7037037037037037</v>
      </c>
      <c r="AB21" s="1746">
        <f t="shared" si="100"/>
        <v>3.7037037037037037</v>
      </c>
      <c r="AC21" s="1746">
        <f t="shared" si="100"/>
        <v>3.7037037037037037</v>
      </c>
      <c r="AD21" s="1746">
        <f t="shared" si="100"/>
        <v>3.7037037037037037</v>
      </c>
      <c r="AE21" s="1746">
        <f t="shared" si="100"/>
        <v>3.7037037037037037</v>
      </c>
      <c r="AF21" s="1746">
        <f t="shared" si="100"/>
        <v>3.7037037037037037</v>
      </c>
      <c r="AG21" s="1788"/>
      <c r="AH21" s="1989">
        <f t="shared" si="83"/>
        <v>25.925925925925924</v>
      </c>
      <c r="AI21" s="1990">
        <f t="shared" si="63"/>
        <v>34.662465394142494</v>
      </c>
      <c r="AJ21" s="1991">
        <f t="shared" si="84"/>
        <v>8.73653946821657</v>
      </c>
      <c r="AK21" s="1788"/>
      <c r="AL21" s="1990">
        <f t="shared" ref="AL21:AQ21" si="101">$J$21</f>
        <v>3.7037037037037037</v>
      </c>
      <c r="AM21" s="1990">
        <f t="shared" si="101"/>
        <v>3.7037037037037037</v>
      </c>
      <c r="AN21" s="1990">
        <f t="shared" si="101"/>
        <v>3.7037037037037037</v>
      </c>
      <c r="AO21" s="1990">
        <f t="shared" si="101"/>
        <v>3.7037037037037037</v>
      </c>
      <c r="AP21" s="1990">
        <f t="shared" si="101"/>
        <v>3.7037037037037037</v>
      </c>
      <c r="AQ21" s="1990">
        <f t="shared" si="101"/>
        <v>3.7037037037037037</v>
      </c>
      <c r="AR21" s="1990"/>
      <c r="AS21" s="2290"/>
      <c r="AT21" s="1989">
        <f t="shared" si="86"/>
        <v>22.222222222222221</v>
      </c>
      <c r="AU21" s="1990">
        <f t="shared" si="65"/>
        <v>69.687600174850644</v>
      </c>
      <c r="AV21" s="1991">
        <f t="shared" si="87"/>
        <v>47.465377952628423</v>
      </c>
      <c r="AW21" s="2290"/>
      <c r="AX21" s="1990"/>
      <c r="AY21" s="1990"/>
      <c r="AZ21" s="1990"/>
      <c r="BA21" s="1990">
        <f t="shared" ref="BA21:BD21" si="102">$J$21</f>
        <v>3.7037037037037037</v>
      </c>
      <c r="BB21" s="1990">
        <f t="shared" si="102"/>
        <v>3.7037037037037037</v>
      </c>
      <c r="BC21" s="1990">
        <f t="shared" si="102"/>
        <v>3.7037037037037037</v>
      </c>
      <c r="BD21" s="1990">
        <f t="shared" si="102"/>
        <v>3.7037037037037037</v>
      </c>
      <c r="BE21" s="2290"/>
      <c r="BF21" s="1989">
        <f t="shared" si="89"/>
        <v>14.814814814814815</v>
      </c>
      <c r="BG21" s="1990">
        <f t="shared" si="67"/>
        <v>28.736266938656566</v>
      </c>
      <c r="BH21" s="1991">
        <f t="shared" si="90"/>
        <v>13.921452123841751</v>
      </c>
      <c r="BI21" s="1801"/>
      <c r="BJ21" s="1746">
        <f t="shared" ref="BJ21:BL21" si="103">$J$21</f>
        <v>3.7037037037037037</v>
      </c>
      <c r="BK21" s="1746">
        <f t="shared" si="103"/>
        <v>3.7037037037037037</v>
      </c>
      <c r="BL21" s="1746">
        <f t="shared" si="103"/>
        <v>3.7037037037037037</v>
      </c>
      <c r="BM21" s="1801"/>
      <c r="BN21" s="1989">
        <f t="shared" si="79"/>
        <v>11.111111111111111</v>
      </c>
      <c r="BO21" s="1990">
        <f t="shared" si="69"/>
        <v>13.108043129826607</v>
      </c>
      <c r="BP21" s="1991">
        <f>BO21-BN21</f>
        <v>1.996932018715496</v>
      </c>
      <c r="BR21" s="1750">
        <v>0</v>
      </c>
      <c r="BS21" s="1871">
        <f t="shared" si="70"/>
        <v>0</v>
      </c>
      <c r="BT21" s="1795"/>
      <c r="BU21" s="1935">
        <f t="shared" si="71"/>
        <v>92.592592592592595</v>
      </c>
      <c r="BV21" s="1930">
        <f t="shared" si="72"/>
        <v>0.92592592592592593</v>
      </c>
      <c r="BW21" s="1802"/>
      <c r="BX21" s="1783"/>
      <c r="BZ21" s="1916"/>
      <c r="CA21" s="1992">
        <v>43921</v>
      </c>
      <c r="CB21" s="1993"/>
      <c r="CC21" s="1994"/>
      <c r="CD21" s="1923"/>
      <c r="CE21" s="1923"/>
      <c r="CF21" s="1923"/>
      <c r="CG21" s="1923"/>
      <c r="CH21" s="1995"/>
      <c r="CI21" s="1923"/>
    </row>
    <row r="22" spans="1:87" s="1756" customFormat="1" x14ac:dyDescent="0.2">
      <c r="B22" s="1963">
        <v>18</v>
      </c>
      <c r="C22" s="1963" t="s">
        <v>211</v>
      </c>
      <c r="D22" s="2578"/>
      <c r="E22" s="1728">
        <v>73.650000000000006</v>
      </c>
      <c r="F22" s="1728"/>
      <c r="G22" s="1728"/>
      <c r="H22" s="1728"/>
      <c r="I22" s="1728"/>
      <c r="J22" s="1728">
        <f t="shared" si="73"/>
        <v>2.7277777777777779</v>
      </c>
      <c r="K22" s="1729">
        <f t="shared" si="59"/>
        <v>2.6828646364563606E-2</v>
      </c>
      <c r="L22" s="1931"/>
      <c r="M22" s="1924"/>
      <c r="N22" s="1728">
        <f t="shared" ref="N22:T22" si="104">$J$22</f>
        <v>2.7277777777777779</v>
      </c>
      <c r="O22" s="1728">
        <f t="shared" si="104"/>
        <v>2.7277777777777779</v>
      </c>
      <c r="P22" s="1728">
        <f t="shared" si="104"/>
        <v>2.7277777777777779</v>
      </c>
      <c r="Q22" s="1728">
        <f t="shared" si="104"/>
        <v>2.7277777777777779</v>
      </c>
      <c r="R22" s="1728">
        <f t="shared" si="104"/>
        <v>2.7277777777777779</v>
      </c>
      <c r="S22" s="1728">
        <f t="shared" si="104"/>
        <v>2.7277777777777779</v>
      </c>
      <c r="T22" s="1728">
        <f t="shared" si="104"/>
        <v>2.7277777777777779</v>
      </c>
      <c r="U22" s="1814"/>
      <c r="V22" s="1982">
        <f t="shared" si="94"/>
        <v>19.094444444444445</v>
      </c>
      <c r="W22" s="2268">
        <f t="shared" si="61"/>
        <v>31.741830030598866</v>
      </c>
      <c r="X22" s="1984">
        <f t="shared" si="81"/>
        <v>12.647385586154421</v>
      </c>
      <c r="Y22" s="1764"/>
      <c r="Z22" s="1728">
        <f t="shared" ref="Z22:AF22" si="105">$J$22</f>
        <v>2.7277777777777779</v>
      </c>
      <c r="AA22" s="1728">
        <f t="shared" si="105"/>
        <v>2.7277777777777779</v>
      </c>
      <c r="AB22" s="1728">
        <f t="shared" si="105"/>
        <v>2.7277777777777779</v>
      </c>
      <c r="AC22" s="1728">
        <f t="shared" si="105"/>
        <v>2.7277777777777779</v>
      </c>
      <c r="AD22" s="1728">
        <f t="shared" si="105"/>
        <v>2.7277777777777779</v>
      </c>
      <c r="AE22" s="1728">
        <f t="shared" si="105"/>
        <v>2.7277777777777779</v>
      </c>
      <c r="AF22" s="1728">
        <f t="shared" si="105"/>
        <v>2.7277777777777779</v>
      </c>
      <c r="AG22" s="1764"/>
      <c r="AH22" s="1982">
        <f t="shared" si="83"/>
        <v>19.094444444444445</v>
      </c>
      <c r="AI22" s="2268">
        <f t="shared" si="63"/>
        <v>25.528905762785953</v>
      </c>
      <c r="AJ22" s="1984">
        <f t="shared" si="84"/>
        <v>6.4344613183415085</v>
      </c>
      <c r="AK22" s="1764"/>
      <c r="AL22" s="2268">
        <f t="shared" ref="AL22:AQ22" si="106">$J$22</f>
        <v>2.7277777777777779</v>
      </c>
      <c r="AM22" s="2268">
        <f t="shared" si="106"/>
        <v>2.7277777777777779</v>
      </c>
      <c r="AN22" s="2268">
        <f t="shared" si="106"/>
        <v>2.7277777777777779</v>
      </c>
      <c r="AO22" s="2268">
        <f t="shared" si="106"/>
        <v>2.7277777777777779</v>
      </c>
      <c r="AP22" s="2268">
        <f t="shared" si="106"/>
        <v>2.7277777777777779</v>
      </c>
      <c r="AQ22" s="2268">
        <f t="shared" si="106"/>
        <v>2.7277777777777779</v>
      </c>
      <c r="AR22" s="2268"/>
      <c r="AS22" s="2289"/>
      <c r="AT22" s="1982">
        <f t="shared" si="86"/>
        <v>16.366666666666667</v>
      </c>
      <c r="AU22" s="2268">
        <f t="shared" si="65"/>
        <v>51.324917528777505</v>
      </c>
      <c r="AV22" s="1984">
        <f t="shared" si="87"/>
        <v>34.958250862110837</v>
      </c>
      <c r="AW22" s="2289"/>
      <c r="AX22" s="2268"/>
      <c r="AY22" s="2268"/>
      <c r="AZ22" s="2268"/>
      <c r="BA22" s="2268">
        <f t="shared" ref="BA22:BD22" si="107">$J$22</f>
        <v>2.7277777777777779</v>
      </c>
      <c r="BB22" s="2268">
        <f t="shared" si="107"/>
        <v>2.7277777777777779</v>
      </c>
      <c r="BC22" s="2268">
        <f t="shared" si="107"/>
        <v>2.7277777777777779</v>
      </c>
      <c r="BD22" s="2268">
        <f t="shared" si="107"/>
        <v>2.7277777777777779</v>
      </c>
      <c r="BE22" s="2289"/>
      <c r="BF22" s="1982">
        <f t="shared" si="89"/>
        <v>10.911111111111111</v>
      </c>
      <c r="BG22" s="2268">
        <f t="shared" si="67"/>
        <v>21.164260600320564</v>
      </c>
      <c r="BH22" s="1984">
        <f t="shared" si="90"/>
        <v>10.253149489209452</v>
      </c>
      <c r="BI22" s="1814"/>
      <c r="BJ22" s="1728">
        <f t="shared" ref="BJ22:BL22" si="108">$J$22</f>
        <v>2.7277777777777779</v>
      </c>
      <c r="BK22" s="1728">
        <f t="shared" si="108"/>
        <v>2.7277777777777779</v>
      </c>
      <c r="BL22" s="1728">
        <f t="shared" si="108"/>
        <v>2.7277777777777779</v>
      </c>
      <c r="BM22" s="1814"/>
      <c r="BN22" s="1982">
        <f t="shared" si="79"/>
        <v>8.1833333333333336</v>
      </c>
      <c r="BO22" s="2268">
        <f t="shared" si="69"/>
        <v>9.6540737651172961</v>
      </c>
      <c r="BP22" s="1984">
        <f>BO22-BN22</f>
        <v>1.4707404317839625</v>
      </c>
      <c r="BR22" s="1735">
        <v>0</v>
      </c>
      <c r="BS22" s="1768">
        <f t="shared" si="70"/>
        <v>0</v>
      </c>
      <c r="BT22" s="3014"/>
      <c r="BU22" s="1763">
        <f t="shared" si="71"/>
        <v>68.194444444444443</v>
      </c>
      <c r="BV22" s="1883">
        <f t="shared" si="72"/>
        <v>0.92592592592592582</v>
      </c>
      <c r="BW22" s="1830"/>
      <c r="BX22" s="1761"/>
      <c r="BZ22" s="3018"/>
      <c r="CA22" s="2015">
        <v>43921</v>
      </c>
      <c r="CB22" s="1997"/>
      <c r="CC22" s="1861"/>
      <c r="CD22" s="1860"/>
      <c r="CE22" s="1860"/>
      <c r="CF22" s="1860"/>
      <c r="CG22" s="1860"/>
      <c r="CH22" s="1998"/>
      <c r="CI22" s="1860"/>
    </row>
    <row r="23" spans="1:87" s="1947" customFormat="1" x14ac:dyDescent="0.2">
      <c r="B23" s="2000">
        <v>19</v>
      </c>
      <c r="C23" s="1987" t="s">
        <v>255</v>
      </c>
      <c r="D23" s="1836"/>
      <c r="E23" s="1746">
        <v>75</v>
      </c>
      <c r="F23" s="1746"/>
      <c r="G23" s="1746"/>
      <c r="H23" s="1746"/>
      <c r="I23" s="1746"/>
      <c r="J23" s="1746">
        <f t="shared" si="73"/>
        <v>2.7777777777777777</v>
      </c>
      <c r="K23" s="2583">
        <f t="shared" si="59"/>
        <v>2.7320413813201227E-2</v>
      </c>
      <c r="L23" s="2003"/>
      <c r="M23" s="1950"/>
      <c r="N23" s="2001">
        <f t="shared" ref="N23:T23" si="109">$J$23</f>
        <v>2.7777777777777777</v>
      </c>
      <c r="O23" s="2001">
        <f t="shared" si="109"/>
        <v>2.7777777777777777</v>
      </c>
      <c r="P23" s="2001">
        <f t="shared" si="109"/>
        <v>2.7777777777777777</v>
      </c>
      <c r="Q23" s="2001">
        <f t="shared" si="109"/>
        <v>2.7777777777777777</v>
      </c>
      <c r="R23" s="2001">
        <f t="shared" si="109"/>
        <v>2.7777777777777777</v>
      </c>
      <c r="S23" s="2001">
        <f t="shared" si="109"/>
        <v>2.7777777777777777</v>
      </c>
      <c r="T23" s="2001">
        <f t="shared" si="109"/>
        <v>2.7777777777777777</v>
      </c>
      <c r="U23" s="1951"/>
      <c r="V23" s="2004">
        <f t="shared" si="94"/>
        <v>19.444444444444446</v>
      </c>
      <c r="W23" s="2005">
        <f t="shared" si="61"/>
        <v>32.323655835640395</v>
      </c>
      <c r="X23" s="2006">
        <f t="shared" si="81"/>
        <v>12.879211391195948</v>
      </c>
      <c r="Y23" s="1955"/>
      <c r="Z23" s="2001">
        <f t="shared" ref="Z23:AF23" si="110">$J$23</f>
        <v>2.7777777777777777</v>
      </c>
      <c r="AA23" s="2001">
        <f t="shared" si="110"/>
        <v>2.7777777777777777</v>
      </c>
      <c r="AB23" s="2001">
        <f t="shared" si="110"/>
        <v>2.7777777777777777</v>
      </c>
      <c r="AC23" s="2001">
        <f t="shared" si="110"/>
        <v>2.7777777777777777</v>
      </c>
      <c r="AD23" s="2001">
        <f t="shared" si="110"/>
        <v>2.7777777777777777</v>
      </c>
      <c r="AE23" s="2001">
        <f t="shared" si="110"/>
        <v>2.7777777777777777</v>
      </c>
      <c r="AF23" s="2001">
        <f t="shared" si="110"/>
        <v>2.7777777777777777</v>
      </c>
      <c r="AG23" s="1955"/>
      <c r="AH23" s="2004">
        <f t="shared" si="83"/>
        <v>19.444444444444446</v>
      </c>
      <c r="AI23" s="2005">
        <f t="shared" si="63"/>
        <v>25.996849045606876</v>
      </c>
      <c r="AJ23" s="2006">
        <f t="shared" si="84"/>
        <v>6.5524046011624293</v>
      </c>
      <c r="AK23" s="1955"/>
      <c r="AL23" s="2005">
        <f t="shared" ref="AL23:AQ23" si="111">$J$23</f>
        <v>2.7777777777777777</v>
      </c>
      <c r="AM23" s="2005">
        <f t="shared" si="111"/>
        <v>2.7777777777777777</v>
      </c>
      <c r="AN23" s="2005">
        <f t="shared" si="111"/>
        <v>2.7777777777777777</v>
      </c>
      <c r="AO23" s="2005">
        <f t="shared" si="111"/>
        <v>2.7777777777777777</v>
      </c>
      <c r="AP23" s="2005">
        <f t="shared" si="111"/>
        <v>2.7777777777777777</v>
      </c>
      <c r="AQ23" s="2005">
        <f t="shared" si="111"/>
        <v>2.7777777777777777</v>
      </c>
      <c r="AR23" s="2005"/>
      <c r="AS23" s="2299"/>
      <c r="AT23" s="2004">
        <f t="shared" si="86"/>
        <v>16.666666666666668</v>
      </c>
      <c r="AU23" s="2005">
        <f t="shared" si="65"/>
        <v>52.26570013113799</v>
      </c>
      <c r="AV23" s="2006">
        <f t="shared" si="87"/>
        <v>35.599033464471319</v>
      </c>
      <c r="AW23" s="2299"/>
      <c r="AX23" s="2005"/>
      <c r="AY23" s="2005"/>
      <c r="AZ23" s="2005"/>
      <c r="BA23" s="2005">
        <f t="shared" ref="BA23:BD23" si="112">$J$23</f>
        <v>2.7777777777777777</v>
      </c>
      <c r="BB23" s="2005">
        <f t="shared" si="112"/>
        <v>2.7777777777777777</v>
      </c>
      <c r="BC23" s="2005">
        <f t="shared" si="112"/>
        <v>2.7777777777777777</v>
      </c>
      <c r="BD23" s="2005">
        <f t="shared" si="112"/>
        <v>2.7777777777777777</v>
      </c>
      <c r="BE23" s="2299"/>
      <c r="BF23" s="2004">
        <f t="shared" si="89"/>
        <v>11.111111111111111</v>
      </c>
      <c r="BG23" s="2005">
        <f t="shared" si="67"/>
        <v>21.552200203992424</v>
      </c>
      <c r="BH23" s="2006">
        <f t="shared" si="90"/>
        <v>10.441089092881313</v>
      </c>
      <c r="BI23" s="1951"/>
      <c r="BJ23" s="2001">
        <f t="shared" ref="BJ23:BL23" si="113">$J$23</f>
        <v>2.7777777777777777</v>
      </c>
      <c r="BK23" s="2001">
        <f t="shared" si="113"/>
        <v>2.7777777777777777</v>
      </c>
      <c r="BL23" s="2001">
        <f t="shared" si="113"/>
        <v>2.7777777777777777</v>
      </c>
      <c r="BM23" s="1951"/>
      <c r="BN23" s="2004">
        <f t="shared" si="79"/>
        <v>8.3333333333333321</v>
      </c>
      <c r="BO23" s="2005">
        <f t="shared" si="69"/>
        <v>9.8310323473699555</v>
      </c>
      <c r="BP23" s="2006">
        <f>BO23-BN23</f>
        <v>1.4976990140366233</v>
      </c>
      <c r="BR23" s="2007">
        <v>0</v>
      </c>
      <c r="BS23" s="2008">
        <f t="shared" si="70"/>
        <v>0</v>
      </c>
      <c r="BT23" s="1959"/>
      <c r="BU23" s="1901">
        <f t="shared" si="71"/>
        <v>69.444444444444443</v>
      </c>
      <c r="BV23" s="1902">
        <f t="shared" si="72"/>
        <v>0.92592592592592593</v>
      </c>
      <c r="BW23" s="1962"/>
      <c r="BX23" s="1905"/>
      <c r="BZ23" s="3015"/>
      <c r="CA23" s="2479">
        <f>CA22-CA21-4</f>
        <v>-4</v>
      </c>
      <c r="CB23" s="2010"/>
      <c r="CC23" s="2011"/>
      <c r="CD23" s="1946"/>
      <c r="CE23" s="1946"/>
      <c r="CF23" s="1946"/>
      <c r="CG23" s="1946"/>
      <c r="CH23" s="2012"/>
      <c r="CI23" s="1946"/>
    </row>
    <row r="24" spans="1:87" s="1756" customFormat="1" x14ac:dyDescent="0.2">
      <c r="B24" s="1963">
        <v>20</v>
      </c>
      <c r="C24" s="2000" t="s">
        <v>235</v>
      </c>
      <c r="D24" s="2579"/>
      <c r="E24" s="2001">
        <v>50</v>
      </c>
      <c r="F24" s="2001">
        <v>10</v>
      </c>
      <c r="G24" s="2001">
        <v>6.666666666666667</v>
      </c>
      <c r="H24" s="2001">
        <v>5</v>
      </c>
      <c r="I24" s="2001">
        <v>4</v>
      </c>
      <c r="J24" s="2001">
        <f t="shared" si="73"/>
        <v>1.8518518518518519</v>
      </c>
      <c r="K24" s="2584">
        <f t="shared" si="59"/>
        <v>1.8213609208800816E-2</v>
      </c>
      <c r="L24" s="1931"/>
      <c r="M24" s="1924"/>
      <c r="N24" s="1728">
        <f t="shared" ref="N24:T24" si="114">$J$24</f>
        <v>1.8518518518518519</v>
      </c>
      <c r="O24" s="1728">
        <f t="shared" si="114"/>
        <v>1.8518518518518519</v>
      </c>
      <c r="P24" s="1728">
        <f t="shared" si="114"/>
        <v>1.8518518518518519</v>
      </c>
      <c r="Q24" s="1728">
        <f t="shared" si="114"/>
        <v>1.8518518518518519</v>
      </c>
      <c r="R24" s="1728">
        <f t="shared" si="114"/>
        <v>1.8518518518518519</v>
      </c>
      <c r="S24" s="1728">
        <f t="shared" si="114"/>
        <v>1.8518518518518519</v>
      </c>
      <c r="T24" s="1728">
        <f t="shared" si="114"/>
        <v>1.8518518518518519</v>
      </c>
      <c r="U24" s="1814"/>
      <c r="V24" s="1982">
        <f t="shared" si="94"/>
        <v>12.962962962962962</v>
      </c>
      <c r="W24" s="2268">
        <f t="shared" si="61"/>
        <v>21.549103890426927</v>
      </c>
      <c r="X24" s="1984">
        <f t="shared" si="81"/>
        <v>8.5861409274639655</v>
      </c>
      <c r="Y24" s="1764"/>
      <c r="Z24" s="1728">
        <f t="shared" ref="Z24:AF24" si="115">$J$24</f>
        <v>1.8518518518518519</v>
      </c>
      <c r="AA24" s="1728">
        <f t="shared" si="115"/>
        <v>1.8518518518518519</v>
      </c>
      <c r="AB24" s="1728">
        <f t="shared" si="115"/>
        <v>1.8518518518518519</v>
      </c>
      <c r="AC24" s="1728">
        <f t="shared" si="115"/>
        <v>1.8518518518518519</v>
      </c>
      <c r="AD24" s="1728">
        <f t="shared" si="115"/>
        <v>1.8518518518518519</v>
      </c>
      <c r="AE24" s="1728">
        <f t="shared" si="115"/>
        <v>1.8518518518518519</v>
      </c>
      <c r="AF24" s="1728">
        <f t="shared" si="115"/>
        <v>1.8518518518518519</v>
      </c>
      <c r="AG24" s="1764"/>
      <c r="AH24" s="1982">
        <f t="shared" si="83"/>
        <v>12.962962962962962</v>
      </c>
      <c r="AI24" s="2268">
        <f t="shared" si="63"/>
        <v>17.331232697071247</v>
      </c>
      <c r="AJ24" s="1984">
        <f t="shared" si="84"/>
        <v>4.368269734108285</v>
      </c>
      <c r="AK24" s="1764"/>
      <c r="AL24" s="2268">
        <f t="shared" ref="AL24:AQ24" si="116">$J$24</f>
        <v>1.8518518518518519</v>
      </c>
      <c r="AM24" s="2268">
        <f t="shared" si="116"/>
        <v>1.8518518518518519</v>
      </c>
      <c r="AN24" s="2268">
        <f t="shared" si="116"/>
        <v>1.8518518518518519</v>
      </c>
      <c r="AO24" s="2268">
        <f t="shared" si="116"/>
        <v>1.8518518518518519</v>
      </c>
      <c r="AP24" s="2268">
        <f t="shared" si="116"/>
        <v>1.8518518518518519</v>
      </c>
      <c r="AQ24" s="2268">
        <f t="shared" si="116"/>
        <v>1.8518518518518519</v>
      </c>
      <c r="AR24" s="2268"/>
      <c r="AS24" s="2289"/>
      <c r="AT24" s="1982">
        <f t="shared" si="86"/>
        <v>11.111111111111111</v>
      </c>
      <c r="AU24" s="2268">
        <f t="shared" si="65"/>
        <v>34.843800087425322</v>
      </c>
      <c r="AV24" s="1984">
        <f t="shared" si="87"/>
        <v>23.732688976314211</v>
      </c>
      <c r="AW24" s="2289"/>
      <c r="AX24" s="2268"/>
      <c r="AY24" s="2268"/>
      <c r="AZ24" s="2268"/>
      <c r="BA24" s="2268">
        <f t="shared" ref="BA24:BD24" si="117">$J$24</f>
        <v>1.8518518518518519</v>
      </c>
      <c r="BB24" s="2268">
        <f t="shared" si="117"/>
        <v>1.8518518518518519</v>
      </c>
      <c r="BC24" s="2268">
        <f t="shared" si="117"/>
        <v>1.8518518518518519</v>
      </c>
      <c r="BD24" s="2268">
        <f t="shared" si="117"/>
        <v>1.8518518518518519</v>
      </c>
      <c r="BE24" s="2289"/>
      <c r="BF24" s="1982">
        <f t="shared" si="89"/>
        <v>7.4074074074074074</v>
      </c>
      <c r="BG24" s="2268">
        <f t="shared" si="67"/>
        <v>14.368133469328283</v>
      </c>
      <c r="BH24" s="1984">
        <f t="shared" si="90"/>
        <v>6.9607260619208757</v>
      </c>
      <c r="BI24" s="1814"/>
      <c r="BJ24" s="1728">
        <f t="shared" ref="BJ24:BL24" si="118">$J$24</f>
        <v>1.8518518518518519</v>
      </c>
      <c r="BK24" s="1728">
        <f t="shared" si="118"/>
        <v>1.8518518518518519</v>
      </c>
      <c r="BL24" s="1728">
        <f t="shared" si="118"/>
        <v>1.8518518518518519</v>
      </c>
      <c r="BM24" s="1814"/>
      <c r="BN24" s="1982">
        <f t="shared" si="79"/>
        <v>5.5555555555555554</v>
      </c>
      <c r="BO24" s="2268">
        <f t="shared" si="69"/>
        <v>6.5540215649133033</v>
      </c>
      <c r="BP24" s="1984">
        <f t="shared" ref="BP24:BP40" si="119">BO24-BN24</f>
        <v>0.99846600935774799</v>
      </c>
      <c r="BR24" s="1735">
        <v>0</v>
      </c>
      <c r="BS24" s="1768">
        <f t="shared" si="70"/>
        <v>0</v>
      </c>
      <c r="BT24" s="3014"/>
      <c r="BU24" s="1763">
        <f t="shared" si="71"/>
        <v>46.296296296296298</v>
      </c>
      <c r="BV24" s="1883">
        <f t="shared" si="72"/>
        <v>0.92592592592592593</v>
      </c>
      <c r="BW24" s="1830"/>
      <c r="BX24" s="1761"/>
      <c r="BZ24" s="3018"/>
      <c r="CA24" s="1985"/>
      <c r="CB24" s="1997"/>
      <c r="CC24" s="1861"/>
      <c r="CD24" s="1860"/>
      <c r="CE24" s="1860"/>
      <c r="CF24" s="1860"/>
      <c r="CG24" s="1860"/>
      <c r="CH24" s="1998"/>
      <c r="CI24" s="1860"/>
    </row>
    <row r="25" spans="1:87" s="1777" customFormat="1" x14ac:dyDescent="0.2">
      <c r="B25" s="1987">
        <v>21</v>
      </c>
      <c r="C25" s="1963" t="s">
        <v>202</v>
      </c>
      <c r="D25" s="2578"/>
      <c r="E25" s="1728">
        <v>50</v>
      </c>
      <c r="F25" s="1728"/>
      <c r="G25" s="1728"/>
      <c r="H25" s="1728"/>
      <c r="I25" s="1728"/>
      <c r="J25" s="1728">
        <f t="shared" si="73"/>
        <v>1.8518518518518519</v>
      </c>
      <c r="K25" s="1729">
        <f t="shared" si="59"/>
        <v>1.8213609208800816E-2</v>
      </c>
      <c r="L25" s="1866"/>
      <c r="M25" s="1867"/>
      <c r="N25" s="1746">
        <f t="shared" ref="N25:T25" si="120">$J$25</f>
        <v>1.8518518518518519</v>
      </c>
      <c r="O25" s="1746">
        <f t="shared" si="120"/>
        <v>1.8518518518518519</v>
      </c>
      <c r="P25" s="1746">
        <f t="shared" si="120"/>
        <v>1.8518518518518519</v>
      </c>
      <c r="Q25" s="1746">
        <f t="shared" si="120"/>
        <v>1.8518518518518519</v>
      </c>
      <c r="R25" s="1746">
        <f t="shared" si="120"/>
        <v>1.8518518518518519</v>
      </c>
      <c r="S25" s="1746">
        <f t="shared" si="120"/>
        <v>1.8518518518518519</v>
      </c>
      <c r="T25" s="1746">
        <f t="shared" si="120"/>
        <v>1.8518518518518519</v>
      </c>
      <c r="U25" s="1801"/>
      <c r="V25" s="1989">
        <f t="shared" si="94"/>
        <v>12.962962962962962</v>
      </c>
      <c r="W25" s="1990">
        <f t="shared" si="61"/>
        <v>21.549103890426927</v>
      </c>
      <c r="X25" s="1991">
        <f t="shared" si="81"/>
        <v>8.5861409274639655</v>
      </c>
      <c r="Y25" s="1788"/>
      <c r="Z25" s="1746">
        <f t="shared" ref="Z25:AF25" si="121">$J$25</f>
        <v>1.8518518518518519</v>
      </c>
      <c r="AA25" s="1746">
        <f t="shared" si="121"/>
        <v>1.8518518518518519</v>
      </c>
      <c r="AB25" s="1746">
        <f t="shared" si="121"/>
        <v>1.8518518518518519</v>
      </c>
      <c r="AC25" s="1746">
        <f t="shared" si="121"/>
        <v>1.8518518518518519</v>
      </c>
      <c r="AD25" s="1746">
        <f t="shared" si="121"/>
        <v>1.8518518518518519</v>
      </c>
      <c r="AE25" s="1746">
        <f t="shared" si="121"/>
        <v>1.8518518518518519</v>
      </c>
      <c r="AF25" s="1746">
        <f t="shared" si="121"/>
        <v>1.8518518518518519</v>
      </c>
      <c r="AG25" s="1788"/>
      <c r="AH25" s="1989">
        <f t="shared" si="83"/>
        <v>12.962962962962962</v>
      </c>
      <c r="AI25" s="1990">
        <f t="shared" si="63"/>
        <v>17.331232697071247</v>
      </c>
      <c r="AJ25" s="1991">
        <f t="shared" si="84"/>
        <v>4.368269734108285</v>
      </c>
      <c r="AK25" s="1788"/>
      <c r="AL25" s="1990">
        <f t="shared" ref="AL25:AQ25" si="122">$J$25</f>
        <v>1.8518518518518519</v>
      </c>
      <c r="AM25" s="1990">
        <f t="shared" si="122"/>
        <v>1.8518518518518519</v>
      </c>
      <c r="AN25" s="1990">
        <f t="shared" si="122"/>
        <v>1.8518518518518519</v>
      </c>
      <c r="AO25" s="1990">
        <f t="shared" si="122"/>
        <v>1.8518518518518519</v>
      </c>
      <c r="AP25" s="1990">
        <f t="shared" si="122"/>
        <v>1.8518518518518519</v>
      </c>
      <c r="AQ25" s="1990">
        <f t="shared" si="122"/>
        <v>1.8518518518518519</v>
      </c>
      <c r="AR25" s="1990"/>
      <c r="AS25" s="2290"/>
      <c r="AT25" s="1989">
        <f t="shared" si="86"/>
        <v>11.111111111111111</v>
      </c>
      <c r="AU25" s="1990">
        <f t="shared" si="65"/>
        <v>34.843800087425322</v>
      </c>
      <c r="AV25" s="1991">
        <f t="shared" si="87"/>
        <v>23.732688976314211</v>
      </c>
      <c r="AW25" s="2290"/>
      <c r="AX25" s="1990"/>
      <c r="AY25" s="1990"/>
      <c r="AZ25" s="1990"/>
      <c r="BA25" s="1990">
        <f t="shared" ref="BA25:BD25" si="123">$J$25</f>
        <v>1.8518518518518519</v>
      </c>
      <c r="BB25" s="1990">
        <f t="shared" si="123"/>
        <v>1.8518518518518519</v>
      </c>
      <c r="BC25" s="1990">
        <f t="shared" si="123"/>
        <v>1.8518518518518519</v>
      </c>
      <c r="BD25" s="1990">
        <f t="shared" si="123"/>
        <v>1.8518518518518519</v>
      </c>
      <c r="BE25" s="2290"/>
      <c r="BF25" s="1989">
        <f t="shared" si="89"/>
        <v>7.4074074074074074</v>
      </c>
      <c r="BG25" s="1990">
        <f t="shared" si="67"/>
        <v>14.368133469328283</v>
      </c>
      <c r="BH25" s="1991">
        <f t="shared" si="90"/>
        <v>6.9607260619208757</v>
      </c>
      <c r="BI25" s="1801"/>
      <c r="BJ25" s="1746">
        <f t="shared" ref="BJ25:BL25" si="124">$J$25</f>
        <v>1.8518518518518519</v>
      </c>
      <c r="BK25" s="1746">
        <f t="shared" si="124"/>
        <v>1.8518518518518519</v>
      </c>
      <c r="BL25" s="1746">
        <f t="shared" si="124"/>
        <v>1.8518518518518519</v>
      </c>
      <c r="BM25" s="1801"/>
      <c r="BN25" s="1989">
        <f t="shared" si="79"/>
        <v>5.5555555555555554</v>
      </c>
      <c r="BO25" s="1990">
        <f t="shared" si="69"/>
        <v>6.5540215649133033</v>
      </c>
      <c r="BP25" s="1991">
        <f t="shared" si="119"/>
        <v>0.99846600935774799</v>
      </c>
      <c r="BR25" s="1750">
        <v>0</v>
      </c>
      <c r="BS25" s="1871">
        <f t="shared" si="70"/>
        <v>0</v>
      </c>
      <c r="BT25" s="1795"/>
      <c r="BU25" s="1935">
        <f t="shared" si="71"/>
        <v>46.296296296296298</v>
      </c>
      <c r="BV25" s="1930">
        <f t="shared" si="72"/>
        <v>0.92592592592592593</v>
      </c>
      <c r="BW25" s="1802"/>
      <c r="BX25" s="1783"/>
      <c r="BZ25" s="1916"/>
      <c r="CA25" s="2029"/>
      <c r="CB25" s="1993" t="s">
        <v>157</v>
      </c>
      <c r="CC25" s="2952">
        <f>BU1</f>
        <v>0.87096774193548387</v>
      </c>
      <c r="CD25" s="1923"/>
      <c r="CE25" s="1923"/>
      <c r="CF25" s="1923"/>
      <c r="CG25" s="1923"/>
      <c r="CH25" s="1995"/>
      <c r="CI25" s="1923"/>
    </row>
    <row r="26" spans="1:87" s="1726" customFormat="1" x14ac:dyDescent="0.2">
      <c r="A26" s="1756"/>
      <c r="B26" s="1963">
        <v>22</v>
      </c>
      <c r="C26" s="2000" t="s">
        <v>262</v>
      </c>
      <c r="D26" s="2579"/>
      <c r="E26" s="2001">
        <v>50</v>
      </c>
      <c r="F26" s="2001">
        <v>0.5</v>
      </c>
      <c r="G26" s="2001">
        <v>0.33333333333333331</v>
      </c>
      <c r="H26" s="2001">
        <v>0.25</v>
      </c>
      <c r="I26" s="2001">
        <v>0.2</v>
      </c>
      <c r="J26" s="2001">
        <f t="shared" si="73"/>
        <v>1.8518518518518519</v>
      </c>
      <c r="K26" s="2584">
        <f t="shared" si="59"/>
        <v>1.8213609208800816E-2</v>
      </c>
      <c r="L26" s="1931"/>
      <c r="M26" s="1877"/>
      <c r="N26" s="1728">
        <f t="shared" ref="N26:T26" si="125">$J$26</f>
        <v>1.8518518518518519</v>
      </c>
      <c r="O26" s="1728">
        <f t="shared" si="125"/>
        <v>1.8518518518518519</v>
      </c>
      <c r="P26" s="1728">
        <f t="shared" si="125"/>
        <v>1.8518518518518519</v>
      </c>
      <c r="Q26" s="1728">
        <f t="shared" si="125"/>
        <v>1.8518518518518519</v>
      </c>
      <c r="R26" s="1728">
        <f t="shared" si="125"/>
        <v>1.8518518518518519</v>
      </c>
      <c r="S26" s="1728">
        <f t="shared" si="125"/>
        <v>1.8518518518518519</v>
      </c>
      <c r="T26" s="1728">
        <f t="shared" si="125"/>
        <v>1.8518518518518519</v>
      </c>
      <c r="U26" s="3019"/>
      <c r="V26" s="1982">
        <f t="shared" si="94"/>
        <v>12.962962962962962</v>
      </c>
      <c r="W26" s="2268">
        <f t="shared" si="61"/>
        <v>21.549103890426927</v>
      </c>
      <c r="X26" s="1984">
        <f t="shared" si="81"/>
        <v>8.5861409274639655</v>
      </c>
      <c r="Y26" s="1881"/>
      <c r="Z26" s="1728">
        <f t="shared" ref="Z26:AF26" si="126">$J$26</f>
        <v>1.8518518518518519</v>
      </c>
      <c r="AA26" s="1728">
        <f t="shared" si="126"/>
        <v>1.8518518518518519</v>
      </c>
      <c r="AB26" s="1728">
        <f t="shared" si="126"/>
        <v>1.8518518518518519</v>
      </c>
      <c r="AC26" s="1728">
        <f t="shared" si="126"/>
        <v>1.8518518518518519</v>
      </c>
      <c r="AD26" s="1728">
        <f t="shared" si="126"/>
        <v>1.8518518518518519</v>
      </c>
      <c r="AE26" s="1728">
        <f t="shared" si="126"/>
        <v>1.8518518518518519</v>
      </c>
      <c r="AF26" s="1728">
        <f t="shared" si="126"/>
        <v>1.8518518518518519</v>
      </c>
      <c r="AG26" s="1881"/>
      <c r="AH26" s="1982">
        <f t="shared" si="83"/>
        <v>12.962962962962962</v>
      </c>
      <c r="AI26" s="2268">
        <f t="shared" si="63"/>
        <v>17.331232697071247</v>
      </c>
      <c r="AJ26" s="1984">
        <f t="shared" si="84"/>
        <v>4.368269734108285</v>
      </c>
      <c r="AK26" s="1881"/>
      <c r="AL26" s="2268">
        <f t="shared" ref="AL26:AQ26" si="127">$J$26</f>
        <v>1.8518518518518519</v>
      </c>
      <c r="AM26" s="2268">
        <f t="shared" si="127"/>
        <v>1.8518518518518519</v>
      </c>
      <c r="AN26" s="2268">
        <f t="shared" si="127"/>
        <v>1.8518518518518519</v>
      </c>
      <c r="AO26" s="2268">
        <f t="shared" si="127"/>
        <v>1.8518518518518519</v>
      </c>
      <c r="AP26" s="2268">
        <f t="shared" si="127"/>
        <v>1.8518518518518519</v>
      </c>
      <c r="AQ26" s="2268">
        <f t="shared" si="127"/>
        <v>1.8518518518518519</v>
      </c>
      <c r="AR26" s="2268"/>
      <c r="AS26" s="2293"/>
      <c r="AT26" s="1982">
        <f t="shared" si="86"/>
        <v>11.111111111111111</v>
      </c>
      <c r="AU26" s="2268">
        <f t="shared" si="65"/>
        <v>34.843800087425322</v>
      </c>
      <c r="AV26" s="1984">
        <f t="shared" si="87"/>
        <v>23.732688976314211</v>
      </c>
      <c r="AW26" s="2293"/>
      <c r="AX26" s="2268"/>
      <c r="AY26" s="2268"/>
      <c r="AZ26" s="2268"/>
      <c r="BA26" s="2268">
        <f t="shared" ref="BA26:BD26" si="128">$J$26</f>
        <v>1.8518518518518519</v>
      </c>
      <c r="BB26" s="2268">
        <f t="shared" si="128"/>
        <v>1.8518518518518519</v>
      </c>
      <c r="BC26" s="2268">
        <f t="shared" si="128"/>
        <v>1.8518518518518519</v>
      </c>
      <c r="BD26" s="2268">
        <f t="shared" si="128"/>
        <v>1.8518518518518519</v>
      </c>
      <c r="BE26" s="2293"/>
      <c r="BF26" s="1982">
        <f t="shared" si="89"/>
        <v>7.4074074074074074</v>
      </c>
      <c r="BG26" s="2268">
        <f t="shared" si="67"/>
        <v>14.368133469328283</v>
      </c>
      <c r="BH26" s="1984">
        <f t="shared" si="90"/>
        <v>6.9607260619208757</v>
      </c>
      <c r="BI26" s="3019"/>
      <c r="BJ26" s="1728">
        <f t="shared" ref="BJ26:BL26" si="129">$J$26</f>
        <v>1.8518518518518519</v>
      </c>
      <c r="BK26" s="1728">
        <f t="shared" si="129"/>
        <v>1.8518518518518519</v>
      </c>
      <c r="BL26" s="1728">
        <f t="shared" si="129"/>
        <v>1.8518518518518519</v>
      </c>
      <c r="BM26" s="3019"/>
      <c r="BN26" s="1982">
        <f t="shared" si="79"/>
        <v>5.5555555555555554</v>
      </c>
      <c r="BO26" s="2268">
        <f t="shared" si="69"/>
        <v>6.5540215649133033</v>
      </c>
      <c r="BP26" s="1984">
        <f t="shared" si="119"/>
        <v>0.99846600935774799</v>
      </c>
      <c r="BR26" s="1732">
        <v>0</v>
      </c>
      <c r="BS26" s="1882">
        <f t="shared" si="70"/>
        <v>0</v>
      </c>
      <c r="BT26" s="1740"/>
      <c r="BU26" s="1734">
        <f t="shared" si="71"/>
        <v>46.296296296296298</v>
      </c>
      <c r="BV26" s="1918">
        <f t="shared" si="72"/>
        <v>0.92592592592592593</v>
      </c>
      <c r="BW26" s="1997"/>
      <c r="BX26" s="3018"/>
      <c r="BZ26" s="2014"/>
      <c r="CA26" s="2637"/>
      <c r="CB26" s="1962"/>
      <c r="CC26" s="2638"/>
      <c r="CD26" s="1810"/>
      <c r="CE26" s="1810"/>
      <c r="CF26" s="1810"/>
      <c r="CG26" s="1810"/>
      <c r="CH26" s="1986"/>
      <c r="CI26" s="1810"/>
    </row>
    <row r="27" spans="1:87" s="1885" customFormat="1" x14ac:dyDescent="0.2">
      <c r="A27" s="1947"/>
      <c r="B27" s="2000">
        <v>23</v>
      </c>
      <c r="C27" s="1963" t="s">
        <v>240</v>
      </c>
      <c r="D27" s="2578"/>
      <c r="E27" s="1728">
        <v>30</v>
      </c>
      <c r="F27" s="1728">
        <v>5</v>
      </c>
      <c r="G27" s="1728">
        <v>3.3333333333333335</v>
      </c>
      <c r="H27" s="1728">
        <v>2.5</v>
      </c>
      <c r="I27" s="1728">
        <v>2</v>
      </c>
      <c r="J27" s="1728">
        <f t="shared" si="73"/>
        <v>1.1111111111111112</v>
      </c>
      <c r="K27" s="1729">
        <f t="shared" si="59"/>
        <v>1.0928165525280491E-2</v>
      </c>
      <c r="L27" s="1891"/>
      <c r="M27" s="1950"/>
      <c r="N27" s="2001">
        <f t="shared" ref="N27:T27" si="130">$J$27</f>
        <v>1.1111111111111112</v>
      </c>
      <c r="O27" s="2001">
        <f t="shared" si="130"/>
        <v>1.1111111111111112</v>
      </c>
      <c r="P27" s="2001">
        <f t="shared" si="130"/>
        <v>1.1111111111111112</v>
      </c>
      <c r="Q27" s="2001">
        <f t="shared" si="130"/>
        <v>1.1111111111111112</v>
      </c>
      <c r="R27" s="2001">
        <f t="shared" si="130"/>
        <v>1.1111111111111112</v>
      </c>
      <c r="S27" s="2001">
        <f t="shared" si="130"/>
        <v>1.1111111111111112</v>
      </c>
      <c r="T27" s="2001">
        <f t="shared" si="130"/>
        <v>1.1111111111111112</v>
      </c>
      <c r="U27" s="3016"/>
      <c r="V27" s="2004">
        <f t="shared" si="94"/>
        <v>7.7777777777777768</v>
      </c>
      <c r="W27" s="2005">
        <f t="shared" si="61"/>
        <v>12.929462334256158</v>
      </c>
      <c r="X27" s="2006">
        <f t="shared" si="81"/>
        <v>5.1516845564783811</v>
      </c>
      <c r="Y27" s="1896"/>
      <c r="Z27" s="2001">
        <f t="shared" ref="Z27:AF27" si="131">$J$27</f>
        <v>1.1111111111111112</v>
      </c>
      <c r="AA27" s="2001">
        <f t="shared" si="131"/>
        <v>1.1111111111111112</v>
      </c>
      <c r="AB27" s="2001">
        <f t="shared" si="131"/>
        <v>1.1111111111111112</v>
      </c>
      <c r="AC27" s="2001">
        <f t="shared" si="131"/>
        <v>1.1111111111111112</v>
      </c>
      <c r="AD27" s="2001">
        <f t="shared" si="131"/>
        <v>1.1111111111111112</v>
      </c>
      <c r="AE27" s="2001">
        <f t="shared" si="131"/>
        <v>1.1111111111111112</v>
      </c>
      <c r="AF27" s="2001">
        <f t="shared" si="131"/>
        <v>1.1111111111111112</v>
      </c>
      <c r="AG27" s="1896"/>
      <c r="AH27" s="2004">
        <f t="shared" si="83"/>
        <v>7.7777777777777768</v>
      </c>
      <c r="AI27" s="2005">
        <f t="shared" si="63"/>
        <v>10.398739618242752</v>
      </c>
      <c r="AJ27" s="2006">
        <f t="shared" si="84"/>
        <v>2.6209618404649753</v>
      </c>
      <c r="AK27" s="1896"/>
      <c r="AL27" s="2005">
        <f t="shared" ref="AL27:AQ27" si="132">$J$27</f>
        <v>1.1111111111111112</v>
      </c>
      <c r="AM27" s="2005">
        <f t="shared" si="132"/>
        <v>1.1111111111111112</v>
      </c>
      <c r="AN27" s="2005">
        <f t="shared" si="132"/>
        <v>1.1111111111111112</v>
      </c>
      <c r="AO27" s="2005">
        <f t="shared" si="132"/>
        <v>1.1111111111111112</v>
      </c>
      <c r="AP27" s="2005">
        <f t="shared" si="132"/>
        <v>1.1111111111111112</v>
      </c>
      <c r="AQ27" s="2005">
        <f t="shared" si="132"/>
        <v>1.1111111111111112</v>
      </c>
      <c r="AR27" s="2005"/>
      <c r="AS27" s="2295"/>
      <c r="AT27" s="2004">
        <f t="shared" si="86"/>
        <v>6.6666666666666661</v>
      </c>
      <c r="AU27" s="2005">
        <f t="shared" si="65"/>
        <v>20.906280052455198</v>
      </c>
      <c r="AV27" s="2006">
        <f t="shared" si="87"/>
        <v>14.239613385788532</v>
      </c>
      <c r="AW27" s="2295"/>
      <c r="AX27" s="2005"/>
      <c r="AY27" s="2005"/>
      <c r="AZ27" s="2005"/>
      <c r="BA27" s="2005">
        <f t="shared" ref="BA27:BD27" si="133">$J$27</f>
        <v>1.1111111111111112</v>
      </c>
      <c r="BB27" s="2005">
        <f t="shared" si="133"/>
        <v>1.1111111111111112</v>
      </c>
      <c r="BC27" s="2005">
        <f t="shared" si="133"/>
        <v>1.1111111111111112</v>
      </c>
      <c r="BD27" s="2005">
        <f t="shared" si="133"/>
        <v>1.1111111111111112</v>
      </c>
      <c r="BE27" s="2295"/>
      <c r="BF27" s="2004">
        <f t="shared" si="89"/>
        <v>4.4444444444444446</v>
      </c>
      <c r="BG27" s="2005">
        <f t="shared" si="67"/>
        <v>8.6208800815969706</v>
      </c>
      <c r="BH27" s="2006">
        <f t="shared" si="90"/>
        <v>4.176435637152526</v>
      </c>
      <c r="BI27" s="3016"/>
      <c r="BJ27" s="2001">
        <f t="shared" ref="BJ27:BL27" si="134">$J$27</f>
        <v>1.1111111111111112</v>
      </c>
      <c r="BK27" s="2001">
        <f t="shared" si="134"/>
        <v>1.1111111111111112</v>
      </c>
      <c r="BL27" s="2001">
        <f t="shared" si="134"/>
        <v>1.1111111111111112</v>
      </c>
      <c r="BM27" s="3016"/>
      <c r="BN27" s="2004">
        <f t="shared" si="79"/>
        <v>3.3333333333333335</v>
      </c>
      <c r="BO27" s="2005">
        <f t="shared" si="69"/>
        <v>3.9324129389479823</v>
      </c>
      <c r="BP27" s="2006">
        <f t="shared" si="119"/>
        <v>0.59907960561464879</v>
      </c>
      <c r="BR27" s="1898">
        <v>0</v>
      </c>
      <c r="BS27" s="1899">
        <f t="shared" si="70"/>
        <v>0</v>
      </c>
      <c r="BT27" s="1900"/>
      <c r="BU27" s="2244">
        <f t="shared" si="71"/>
        <v>27.777777777777775</v>
      </c>
      <c r="BV27" s="2387">
        <f t="shared" si="72"/>
        <v>0.92592592592592582</v>
      </c>
      <c r="BW27" s="2010"/>
      <c r="BX27" s="3015"/>
      <c r="BZ27" s="3015"/>
      <c r="CA27" s="2036"/>
      <c r="CB27" s="1997"/>
      <c r="CC27" s="2037"/>
      <c r="CD27" s="1906"/>
      <c r="CE27" s="1906"/>
      <c r="CF27" s="1906"/>
      <c r="CG27" s="1906"/>
      <c r="CH27" s="2386"/>
      <c r="CI27" s="1906"/>
    </row>
    <row r="28" spans="1:87" s="1726" customFormat="1" x14ac:dyDescent="0.2">
      <c r="B28" s="1963">
        <v>24</v>
      </c>
      <c r="C28" s="1987" t="s">
        <v>254</v>
      </c>
      <c r="D28" s="1836"/>
      <c r="E28" s="1746">
        <v>26.35</v>
      </c>
      <c r="F28" s="1746">
        <v>5</v>
      </c>
      <c r="G28" s="1746">
        <v>3.3333333333333335</v>
      </c>
      <c r="H28" s="1746">
        <v>2.5</v>
      </c>
      <c r="I28" s="1746">
        <v>2</v>
      </c>
      <c r="J28" s="1746">
        <f t="shared" si="73"/>
        <v>0.97592592592592597</v>
      </c>
      <c r="K28" s="2583">
        <f t="shared" si="59"/>
        <v>9.598572053038032E-3</v>
      </c>
      <c r="L28" s="1931"/>
      <c r="M28" s="1924"/>
      <c r="N28" s="1728">
        <f t="shared" ref="N28:T28" si="135">$J$28</f>
        <v>0.97592592592592597</v>
      </c>
      <c r="O28" s="1728">
        <f t="shared" si="135"/>
        <v>0.97592592592592597</v>
      </c>
      <c r="P28" s="1728">
        <f t="shared" si="135"/>
        <v>0.97592592592592597</v>
      </c>
      <c r="Q28" s="1728">
        <f t="shared" si="135"/>
        <v>0.97592592592592597</v>
      </c>
      <c r="R28" s="1728">
        <f t="shared" si="135"/>
        <v>0.97592592592592597</v>
      </c>
      <c r="S28" s="1728">
        <f t="shared" si="135"/>
        <v>0.97592592592592597</v>
      </c>
      <c r="T28" s="1728">
        <f t="shared" si="135"/>
        <v>0.97592592592592597</v>
      </c>
      <c r="U28" s="3019"/>
      <c r="V28" s="1982">
        <f t="shared" si="94"/>
        <v>6.8314814814814824</v>
      </c>
      <c r="W28" s="2268">
        <f t="shared" si="61"/>
        <v>11.356377750254993</v>
      </c>
      <c r="X28" s="1984">
        <f>W28-V28</f>
        <v>4.5248962687735101</v>
      </c>
      <c r="Y28" s="1881"/>
      <c r="Z28" s="1728">
        <f t="shared" ref="Z28:AF28" si="136">$J$28</f>
        <v>0.97592592592592597</v>
      </c>
      <c r="AA28" s="1728">
        <f t="shared" si="136"/>
        <v>0.97592592592592597</v>
      </c>
      <c r="AB28" s="1728">
        <f t="shared" si="136"/>
        <v>0.97592592592592597</v>
      </c>
      <c r="AC28" s="1728">
        <f t="shared" si="136"/>
        <v>0.97592592592592597</v>
      </c>
      <c r="AD28" s="1728">
        <f t="shared" si="136"/>
        <v>0.97592592592592597</v>
      </c>
      <c r="AE28" s="1728">
        <f t="shared" si="136"/>
        <v>0.97592592592592597</v>
      </c>
      <c r="AF28" s="1728">
        <f t="shared" si="136"/>
        <v>0.97592592592592597</v>
      </c>
      <c r="AG28" s="1881"/>
      <c r="AH28" s="1982">
        <f t="shared" si="83"/>
        <v>6.8314814814814824</v>
      </c>
      <c r="AI28" s="2268">
        <f t="shared" si="63"/>
        <v>9.1335596313565492</v>
      </c>
      <c r="AJ28" s="1984">
        <f t="shared" si="84"/>
        <v>2.3020781498750669</v>
      </c>
      <c r="AK28" s="1881"/>
      <c r="AL28" s="2268">
        <f t="shared" ref="AL28:AQ28" si="137">$J$28</f>
        <v>0.97592592592592597</v>
      </c>
      <c r="AM28" s="2268">
        <f t="shared" si="137"/>
        <v>0.97592592592592597</v>
      </c>
      <c r="AN28" s="2268">
        <f t="shared" si="137"/>
        <v>0.97592592592592597</v>
      </c>
      <c r="AO28" s="2268">
        <f t="shared" si="137"/>
        <v>0.97592592592592597</v>
      </c>
      <c r="AP28" s="2268">
        <f t="shared" si="137"/>
        <v>0.97592592592592597</v>
      </c>
      <c r="AQ28" s="2268">
        <f t="shared" si="137"/>
        <v>0.97592592592592597</v>
      </c>
      <c r="AR28" s="2268"/>
      <c r="AS28" s="2293"/>
      <c r="AT28" s="1982">
        <f t="shared" si="86"/>
        <v>5.8555555555555561</v>
      </c>
      <c r="AU28" s="2268">
        <f t="shared" si="65"/>
        <v>18.36268264607315</v>
      </c>
      <c r="AV28" s="1984">
        <f t="shared" si="87"/>
        <v>12.507127090517594</v>
      </c>
      <c r="AW28" s="2293"/>
      <c r="AX28" s="2268"/>
      <c r="AY28" s="2268"/>
      <c r="AZ28" s="2268"/>
      <c r="BA28" s="2268">
        <f t="shared" ref="BA28:BD28" si="138">$J$28</f>
        <v>0.97592592592592597</v>
      </c>
      <c r="BB28" s="2268">
        <f t="shared" si="138"/>
        <v>0.97592592592592597</v>
      </c>
      <c r="BC28" s="2268">
        <f t="shared" si="138"/>
        <v>0.97592592592592597</v>
      </c>
      <c r="BD28" s="2268">
        <f t="shared" si="138"/>
        <v>0.97592592592592597</v>
      </c>
      <c r="BE28" s="2293"/>
      <c r="BF28" s="1982">
        <f t="shared" si="89"/>
        <v>3.9037037037037039</v>
      </c>
      <c r="BG28" s="2268">
        <f t="shared" si="67"/>
        <v>7.5720063383360072</v>
      </c>
      <c r="BH28" s="1984">
        <f t="shared" si="90"/>
        <v>3.6683026346323033</v>
      </c>
      <c r="BI28" s="3019"/>
      <c r="BJ28" s="1728">
        <f t="shared" ref="BJ28:BL28" si="139">$J$28</f>
        <v>0.97592592592592597</v>
      </c>
      <c r="BK28" s="1728">
        <f t="shared" si="139"/>
        <v>0.97592592592592597</v>
      </c>
      <c r="BL28" s="1728">
        <f t="shared" si="139"/>
        <v>0.97592592592592597</v>
      </c>
      <c r="BM28" s="3019"/>
      <c r="BN28" s="1982">
        <f t="shared" si="79"/>
        <v>2.927777777777778</v>
      </c>
      <c r="BO28" s="2268">
        <f t="shared" si="69"/>
        <v>3.4539693647093115</v>
      </c>
      <c r="BP28" s="1984">
        <f t="shared" si="119"/>
        <v>0.52619158693153345</v>
      </c>
      <c r="BR28" s="1732">
        <v>0</v>
      </c>
      <c r="BS28" s="1882">
        <f t="shared" si="70"/>
        <v>0</v>
      </c>
      <c r="BT28" s="1740"/>
      <c r="BU28" s="1734">
        <f t="shared" si="71"/>
        <v>24.398148148148149</v>
      </c>
      <c r="BV28" s="1918">
        <f t="shared" si="72"/>
        <v>0.92592592592592593</v>
      </c>
      <c r="BW28" s="1997"/>
      <c r="BX28" s="3018"/>
      <c r="BZ28" s="3018"/>
      <c r="CA28" s="2961"/>
      <c r="CB28" s="1861"/>
      <c r="CC28" s="1861"/>
      <c r="CD28" s="1810"/>
      <c r="CE28" s="1810"/>
      <c r="CF28" s="1810"/>
      <c r="CG28" s="1810"/>
      <c r="CH28" s="1986"/>
      <c r="CI28" s="1810"/>
    </row>
    <row r="29" spans="1:87" s="1885" customFormat="1" x14ac:dyDescent="0.2">
      <c r="B29" s="2580">
        <v>25</v>
      </c>
      <c r="C29" s="2508" t="s">
        <v>205</v>
      </c>
      <c r="D29" s="3068"/>
      <c r="E29" s="2509">
        <v>25.5</v>
      </c>
      <c r="F29" s="2509"/>
      <c r="G29" s="2509"/>
      <c r="H29" s="2509"/>
      <c r="I29" s="2509"/>
      <c r="J29" s="2509">
        <f t="shared" si="73"/>
        <v>0.94444444444444442</v>
      </c>
      <c r="K29" s="3069">
        <f t="shared" si="59"/>
        <v>9.2889406964884163E-3</v>
      </c>
      <c r="L29" s="2003"/>
      <c r="M29" s="1950"/>
      <c r="N29" s="2001">
        <f t="shared" ref="N29:T29" si="140">$J$29</f>
        <v>0.94444444444444442</v>
      </c>
      <c r="O29" s="2001">
        <f t="shared" si="140"/>
        <v>0.94444444444444442</v>
      </c>
      <c r="P29" s="2001">
        <f t="shared" si="140"/>
        <v>0.94444444444444442</v>
      </c>
      <c r="Q29" s="2001">
        <f t="shared" si="140"/>
        <v>0.94444444444444442</v>
      </c>
      <c r="R29" s="2001">
        <f t="shared" si="140"/>
        <v>0.94444444444444442</v>
      </c>
      <c r="S29" s="2001">
        <f t="shared" si="140"/>
        <v>0.94444444444444442</v>
      </c>
      <c r="T29" s="2001">
        <f t="shared" si="140"/>
        <v>0.94444444444444442</v>
      </c>
      <c r="U29" s="3016"/>
      <c r="V29" s="2481">
        <f t="shared" si="94"/>
        <v>6.6111111111111116</v>
      </c>
      <c r="W29" s="2482">
        <f t="shared" si="61"/>
        <v>10.990042984117732</v>
      </c>
      <c r="X29" s="2483">
        <f t="shared" si="81"/>
        <v>4.3789318730066205</v>
      </c>
      <c r="Y29" s="1896"/>
      <c r="Z29" s="2001">
        <f t="shared" ref="Z29:AF29" si="141">$J$29</f>
        <v>0.94444444444444442</v>
      </c>
      <c r="AA29" s="2001">
        <f t="shared" si="141"/>
        <v>0.94444444444444442</v>
      </c>
      <c r="AB29" s="2001">
        <f t="shared" si="141"/>
        <v>0.94444444444444442</v>
      </c>
      <c r="AC29" s="2001">
        <f t="shared" si="141"/>
        <v>0.94444444444444442</v>
      </c>
      <c r="AD29" s="2001">
        <f t="shared" si="141"/>
        <v>0.94444444444444442</v>
      </c>
      <c r="AE29" s="2001">
        <f t="shared" si="141"/>
        <v>0.94444444444444442</v>
      </c>
      <c r="AF29" s="2001">
        <f t="shared" si="141"/>
        <v>0.94444444444444442</v>
      </c>
      <c r="AG29" s="1896"/>
      <c r="AH29" s="2481">
        <f t="shared" si="83"/>
        <v>6.6111111111111116</v>
      </c>
      <c r="AI29" s="2482">
        <f t="shared" si="63"/>
        <v>8.8389286755063381</v>
      </c>
      <c r="AJ29" s="2483">
        <f t="shared" si="84"/>
        <v>2.2278175643952265</v>
      </c>
      <c r="AK29" s="1896"/>
      <c r="AL29" s="2005">
        <f t="shared" ref="AL29:AQ29" si="142">$J$29</f>
        <v>0.94444444444444442</v>
      </c>
      <c r="AM29" s="2005">
        <f t="shared" si="142"/>
        <v>0.94444444444444442</v>
      </c>
      <c r="AN29" s="2005">
        <f t="shared" si="142"/>
        <v>0.94444444444444442</v>
      </c>
      <c r="AO29" s="2005">
        <f t="shared" si="142"/>
        <v>0.94444444444444442</v>
      </c>
      <c r="AP29" s="2005">
        <f t="shared" si="142"/>
        <v>0.94444444444444442</v>
      </c>
      <c r="AQ29" s="2005">
        <f t="shared" si="142"/>
        <v>0.94444444444444442</v>
      </c>
      <c r="AR29" s="2005"/>
      <c r="AS29" s="2295"/>
      <c r="AT29" s="2481">
        <f t="shared" si="86"/>
        <v>5.666666666666667</v>
      </c>
      <c r="AU29" s="2482">
        <f t="shared" si="65"/>
        <v>17.770338044586914</v>
      </c>
      <c r="AV29" s="2483">
        <f t="shared" si="87"/>
        <v>12.103671377920246</v>
      </c>
      <c r="AW29" s="2295"/>
      <c r="AX29" s="2005"/>
      <c r="AY29" s="2005"/>
      <c r="AZ29" s="2005"/>
      <c r="BA29" s="2005">
        <f t="shared" ref="BA29:BD29" si="143">$J$29</f>
        <v>0.94444444444444442</v>
      </c>
      <c r="BB29" s="2005">
        <f t="shared" si="143"/>
        <v>0.94444444444444442</v>
      </c>
      <c r="BC29" s="2005">
        <f t="shared" si="143"/>
        <v>0.94444444444444442</v>
      </c>
      <c r="BD29" s="2005">
        <f t="shared" si="143"/>
        <v>0.94444444444444442</v>
      </c>
      <c r="BE29" s="2295"/>
      <c r="BF29" s="2481">
        <f t="shared" si="89"/>
        <v>3.7777777777777777</v>
      </c>
      <c r="BG29" s="2482">
        <f t="shared" si="67"/>
        <v>7.3277480693574244</v>
      </c>
      <c r="BH29" s="2483">
        <f t="shared" si="90"/>
        <v>3.5499702915796467</v>
      </c>
      <c r="BI29" s="3016"/>
      <c r="BJ29" s="2001">
        <f t="shared" ref="BJ29:BL29" si="144">$J$29</f>
        <v>0.94444444444444442</v>
      </c>
      <c r="BK29" s="2001">
        <f t="shared" si="144"/>
        <v>0.94444444444444442</v>
      </c>
      <c r="BL29" s="2001">
        <f t="shared" si="144"/>
        <v>0.94444444444444442</v>
      </c>
      <c r="BM29" s="3016"/>
      <c r="BN29" s="2481">
        <f t="shared" si="79"/>
        <v>2.833333333333333</v>
      </c>
      <c r="BO29" s="2482">
        <f t="shared" si="69"/>
        <v>3.3425509981057844</v>
      </c>
      <c r="BP29" s="2483">
        <f t="shared" si="119"/>
        <v>0.50921766477245134</v>
      </c>
      <c r="BR29" s="1898">
        <v>0</v>
      </c>
      <c r="BS29" s="1899">
        <f t="shared" si="70"/>
        <v>0</v>
      </c>
      <c r="BT29" s="1900"/>
      <c r="BU29" s="2388">
        <f t="shared" si="71"/>
        <v>23.611111111111111</v>
      </c>
      <c r="BV29" s="2389">
        <f t="shared" si="72"/>
        <v>0.92592592592592593</v>
      </c>
      <c r="BW29" s="2010"/>
      <c r="BX29" s="3015"/>
      <c r="BZ29" s="3015"/>
      <c r="CA29" s="2488"/>
      <c r="CB29" s="2404" t="s">
        <v>155</v>
      </c>
      <c r="CC29" s="2010" t="s">
        <v>156</v>
      </c>
      <c r="CD29" s="1906"/>
      <c r="CE29" s="1906"/>
      <c r="CF29" s="1906"/>
      <c r="CG29" s="1906"/>
      <c r="CH29" s="2386"/>
      <c r="CI29" s="1906"/>
    </row>
    <row r="30" spans="1:87" s="1726" customFormat="1" x14ac:dyDescent="0.2">
      <c r="B30" s="1963">
        <v>26</v>
      </c>
      <c r="C30" s="1963" t="s">
        <v>206</v>
      </c>
      <c r="D30" s="2578"/>
      <c r="E30" s="1728">
        <v>16.7</v>
      </c>
      <c r="F30" s="1728"/>
      <c r="G30" s="1728"/>
      <c r="H30" s="1728"/>
      <c r="I30" s="1728"/>
      <c r="J30" s="1728">
        <f t="shared" si="73"/>
        <v>0.61851851851851847</v>
      </c>
      <c r="K30" s="1729">
        <f t="shared" si="59"/>
        <v>6.0833454757394725E-3</v>
      </c>
      <c r="L30" s="1931"/>
      <c r="M30" s="1924"/>
      <c r="N30" s="1728">
        <f t="shared" ref="N30:T30" si="145">$J$30</f>
        <v>0.61851851851851847</v>
      </c>
      <c r="O30" s="1728">
        <f t="shared" si="145"/>
        <v>0.61851851851851847</v>
      </c>
      <c r="P30" s="1728">
        <f t="shared" si="145"/>
        <v>0.61851851851851847</v>
      </c>
      <c r="Q30" s="1728">
        <f t="shared" si="145"/>
        <v>0.61851851851851847</v>
      </c>
      <c r="R30" s="1728">
        <f t="shared" si="145"/>
        <v>0.61851851851851847</v>
      </c>
      <c r="S30" s="1728">
        <f t="shared" si="145"/>
        <v>0.61851851851851847</v>
      </c>
      <c r="T30" s="1728">
        <f t="shared" si="145"/>
        <v>0.61851851851851847</v>
      </c>
      <c r="U30" s="3019"/>
      <c r="V30" s="2016">
        <f t="shared" si="94"/>
        <v>4.3296296296296299</v>
      </c>
      <c r="W30" s="2017">
        <f t="shared" si="61"/>
        <v>7.1974006994025936</v>
      </c>
      <c r="X30" s="2018">
        <f t="shared" si="81"/>
        <v>2.8677710697729637</v>
      </c>
      <c r="Y30" s="1881"/>
      <c r="Z30" s="1728">
        <f t="shared" ref="Z30:AF30" si="146">$J$30</f>
        <v>0.61851851851851847</v>
      </c>
      <c r="AA30" s="1728">
        <f t="shared" si="146"/>
        <v>0.61851851851851847</v>
      </c>
      <c r="AB30" s="1728">
        <f t="shared" si="146"/>
        <v>0.61851851851851847</v>
      </c>
      <c r="AC30" s="1728">
        <f t="shared" si="146"/>
        <v>0.61851851851851847</v>
      </c>
      <c r="AD30" s="1728">
        <f t="shared" si="146"/>
        <v>0.61851851851851847</v>
      </c>
      <c r="AE30" s="1728">
        <f t="shared" si="146"/>
        <v>0.61851851851851847</v>
      </c>
      <c r="AF30" s="1728">
        <f t="shared" si="146"/>
        <v>0.61851851851851847</v>
      </c>
      <c r="AG30" s="1881"/>
      <c r="AH30" s="2016">
        <f>SUM(Z30:AF30)</f>
        <v>4.3296296296296299</v>
      </c>
      <c r="AI30" s="2017">
        <f t="shared" si="63"/>
        <v>5.7886317208217974</v>
      </c>
      <c r="AJ30" s="2018">
        <f>AI30-AH30</f>
        <v>1.4590020911921675</v>
      </c>
      <c r="AK30" s="1881"/>
      <c r="AL30" s="2268">
        <f t="shared" ref="AL30:AQ30" si="147">$J$30</f>
        <v>0.61851851851851847</v>
      </c>
      <c r="AM30" s="2268">
        <f t="shared" si="147"/>
        <v>0.61851851851851847</v>
      </c>
      <c r="AN30" s="2268">
        <f t="shared" si="147"/>
        <v>0.61851851851851847</v>
      </c>
      <c r="AO30" s="2268">
        <f t="shared" si="147"/>
        <v>0.61851851851851847</v>
      </c>
      <c r="AP30" s="2268">
        <f t="shared" si="147"/>
        <v>0.61851851851851847</v>
      </c>
      <c r="AQ30" s="2268">
        <f t="shared" si="147"/>
        <v>0.61851851851851847</v>
      </c>
      <c r="AR30" s="2268"/>
      <c r="AS30" s="2293"/>
      <c r="AT30" s="2016">
        <f t="shared" si="86"/>
        <v>3.7111111111111112</v>
      </c>
      <c r="AU30" s="2017">
        <f t="shared" si="65"/>
        <v>11.637829229200058</v>
      </c>
      <c r="AV30" s="2018">
        <f t="shared" si="87"/>
        <v>7.9267181180889468</v>
      </c>
      <c r="AW30" s="2293"/>
      <c r="AX30" s="2268"/>
      <c r="AY30" s="2268"/>
      <c r="AZ30" s="2268"/>
      <c r="BA30" s="2268">
        <f t="shared" ref="BA30:BD30" si="148">$J$30</f>
        <v>0.61851851851851847</v>
      </c>
      <c r="BB30" s="2268">
        <f t="shared" si="148"/>
        <v>0.61851851851851847</v>
      </c>
      <c r="BC30" s="2268">
        <f t="shared" si="148"/>
        <v>0.61851851851851847</v>
      </c>
      <c r="BD30" s="2268">
        <f t="shared" si="148"/>
        <v>0.61851851851851847</v>
      </c>
      <c r="BE30" s="2293"/>
      <c r="BF30" s="2016">
        <f t="shared" si="89"/>
        <v>2.4740740740740739</v>
      </c>
      <c r="BG30" s="2017">
        <f t="shared" si="67"/>
        <v>4.7989565787556465</v>
      </c>
      <c r="BH30" s="2018">
        <f t="shared" si="90"/>
        <v>2.3248825046815726</v>
      </c>
      <c r="BI30" s="3019"/>
      <c r="BJ30" s="1728">
        <f t="shared" ref="BJ30:BL30" si="149">$J$30</f>
        <v>0.61851851851851847</v>
      </c>
      <c r="BK30" s="1728">
        <f t="shared" si="149"/>
        <v>0.61851851851851847</v>
      </c>
      <c r="BL30" s="1728">
        <f t="shared" si="149"/>
        <v>0.61851851851851847</v>
      </c>
      <c r="BM30" s="3019"/>
      <c r="BN30" s="2016">
        <f t="shared" si="79"/>
        <v>1.8555555555555554</v>
      </c>
      <c r="BO30" s="2017">
        <f t="shared" si="69"/>
        <v>2.1890432026810429</v>
      </c>
      <c r="BP30" s="2018">
        <f t="shared" si="119"/>
        <v>0.33348764712548751</v>
      </c>
      <c r="BR30" s="1732">
        <v>0</v>
      </c>
      <c r="BS30" s="1882">
        <f t="shared" si="70"/>
        <v>0</v>
      </c>
      <c r="BT30" s="1740"/>
      <c r="BU30" s="2019">
        <f t="shared" si="71"/>
        <v>15.462962962962964</v>
      </c>
      <c r="BV30" s="2020">
        <f t="shared" si="72"/>
        <v>0.92592592592592604</v>
      </c>
      <c r="BW30" s="1997"/>
      <c r="BX30" s="3018"/>
      <c r="BZ30" s="3018"/>
      <c r="CA30" s="2036" t="s">
        <v>159</v>
      </c>
      <c r="CB30" s="2059">
        <v>0.5</v>
      </c>
      <c r="CC30" s="1997" t="str">
        <f>IF(CC25&lt;=CB30,CC25," ")</f>
        <v xml:space="preserve"> </v>
      </c>
      <c r="CD30" s="1810"/>
      <c r="CE30" s="1810"/>
      <c r="CF30" s="1810"/>
      <c r="CG30" s="1810"/>
      <c r="CH30" s="1986"/>
      <c r="CI30" s="1810"/>
    </row>
    <row r="31" spans="1:87" x14ac:dyDescent="0.2">
      <c r="B31" s="1987">
        <v>27</v>
      </c>
      <c r="C31" s="2000" t="s">
        <v>258</v>
      </c>
      <c r="D31" s="2579"/>
      <c r="E31" s="2001">
        <v>15</v>
      </c>
      <c r="F31" s="2001">
        <v>5</v>
      </c>
      <c r="G31" s="2001">
        <v>3.3333333333333335</v>
      </c>
      <c r="H31" s="2001">
        <v>2.5</v>
      </c>
      <c r="I31" s="2001">
        <v>2</v>
      </c>
      <c r="J31" s="2001">
        <f t="shared" si="73"/>
        <v>0.55555555555555558</v>
      </c>
      <c r="K31" s="2584">
        <f t="shared" si="59"/>
        <v>5.4640827626402455E-3</v>
      </c>
      <c r="L31" s="1866"/>
      <c r="M31" s="1867"/>
      <c r="N31" s="1746">
        <f t="shared" ref="N31:T31" si="150">$J$31</f>
        <v>0.55555555555555558</v>
      </c>
      <c r="O31" s="1746">
        <f t="shared" si="150"/>
        <v>0.55555555555555558</v>
      </c>
      <c r="P31" s="1746">
        <f t="shared" si="150"/>
        <v>0.55555555555555558</v>
      </c>
      <c r="Q31" s="1746">
        <f t="shared" si="150"/>
        <v>0.55555555555555558</v>
      </c>
      <c r="R31" s="1746">
        <f t="shared" si="150"/>
        <v>0.55555555555555558</v>
      </c>
      <c r="S31" s="1746">
        <f t="shared" si="150"/>
        <v>0.55555555555555558</v>
      </c>
      <c r="T31" s="1746">
        <f t="shared" si="150"/>
        <v>0.55555555555555558</v>
      </c>
      <c r="U31" s="3017"/>
      <c r="V31" s="2953">
        <f t="shared" si="94"/>
        <v>3.8888888888888884</v>
      </c>
      <c r="W31" s="2954">
        <f t="shared" si="61"/>
        <v>6.4647311671280789</v>
      </c>
      <c r="X31" s="2955">
        <f t="shared" si="81"/>
        <v>2.5758422782391905</v>
      </c>
      <c r="Y31" s="1914"/>
      <c r="Z31" s="1746">
        <f t="shared" ref="Z31:AF31" si="151">$J$31</f>
        <v>0.55555555555555558</v>
      </c>
      <c r="AA31" s="1746">
        <f t="shared" si="151"/>
        <v>0.55555555555555558</v>
      </c>
      <c r="AB31" s="1746">
        <f t="shared" si="151"/>
        <v>0.55555555555555558</v>
      </c>
      <c r="AC31" s="1746">
        <f t="shared" si="151"/>
        <v>0.55555555555555558</v>
      </c>
      <c r="AD31" s="1746">
        <f t="shared" si="151"/>
        <v>0.55555555555555558</v>
      </c>
      <c r="AE31" s="1746">
        <f t="shared" si="151"/>
        <v>0.55555555555555558</v>
      </c>
      <c r="AF31" s="1746">
        <f t="shared" si="151"/>
        <v>0.55555555555555558</v>
      </c>
      <c r="AG31" s="1914"/>
      <c r="AH31" s="2953">
        <f t="shared" ref="AH31:AH37" si="152">SUM(Z31:AF31)</f>
        <v>3.8888888888888884</v>
      </c>
      <c r="AI31" s="2954">
        <f t="shared" si="63"/>
        <v>5.199369809121376</v>
      </c>
      <c r="AJ31" s="2955">
        <f t="shared" ref="AJ31:AJ37" si="153">AI31-AH31</f>
        <v>1.3104809202324876</v>
      </c>
      <c r="AK31" s="1914"/>
      <c r="AL31" s="1990">
        <f t="shared" ref="AL31:AQ31" si="154">$J$31</f>
        <v>0.55555555555555558</v>
      </c>
      <c r="AM31" s="1990">
        <f t="shared" si="154"/>
        <v>0.55555555555555558</v>
      </c>
      <c r="AN31" s="1990">
        <f t="shared" si="154"/>
        <v>0.55555555555555558</v>
      </c>
      <c r="AO31" s="1990">
        <f t="shared" si="154"/>
        <v>0.55555555555555558</v>
      </c>
      <c r="AP31" s="1990">
        <f t="shared" si="154"/>
        <v>0.55555555555555558</v>
      </c>
      <c r="AQ31" s="1990">
        <f t="shared" si="154"/>
        <v>0.55555555555555558</v>
      </c>
      <c r="AR31" s="1990"/>
      <c r="AS31" s="2297"/>
      <c r="AT31" s="2953">
        <f t="shared" si="86"/>
        <v>3.333333333333333</v>
      </c>
      <c r="AU31" s="2954">
        <f t="shared" si="65"/>
        <v>10.453140026227599</v>
      </c>
      <c r="AV31" s="2955">
        <f t="shared" si="87"/>
        <v>7.119806692894266</v>
      </c>
      <c r="AW31" s="2297"/>
      <c r="AX31" s="1990"/>
      <c r="AY31" s="1990"/>
      <c r="AZ31" s="1990"/>
      <c r="BA31" s="1990">
        <f t="shared" ref="BA31:BD31" si="155">$J$31</f>
        <v>0.55555555555555558</v>
      </c>
      <c r="BB31" s="1990">
        <f t="shared" si="155"/>
        <v>0.55555555555555558</v>
      </c>
      <c r="BC31" s="1990">
        <f t="shared" si="155"/>
        <v>0.55555555555555558</v>
      </c>
      <c r="BD31" s="1990">
        <f t="shared" si="155"/>
        <v>0.55555555555555558</v>
      </c>
      <c r="BE31" s="2297"/>
      <c r="BF31" s="2953">
        <f t="shared" si="89"/>
        <v>2.2222222222222223</v>
      </c>
      <c r="BG31" s="2954">
        <f t="shared" si="67"/>
        <v>4.3104400407984853</v>
      </c>
      <c r="BH31" s="2955">
        <f t="shared" si="90"/>
        <v>2.088217818576263</v>
      </c>
      <c r="BI31" s="3017"/>
      <c r="BJ31" s="1746">
        <f t="shared" ref="BJ31:BL31" si="156">$J$31</f>
        <v>0.55555555555555558</v>
      </c>
      <c r="BK31" s="1746">
        <f t="shared" si="156"/>
        <v>0.55555555555555558</v>
      </c>
      <c r="BL31" s="1746">
        <f t="shared" si="156"/>
        <v>0.55555555555555558</v>
      </c>
      <c r="BM31" s="3017"/>
      <c r="BN31" s="2953">
        <f t="shared" si="79"/>
        <v>1.6666666666666667</v>
      </c>
      <c r="BO31" s="2954">
        <f t="shared" si="69"/>
        <v>1.9662064694739911</v>
      </c>
      <c r="BP31" s="2955">
        <f t="shared" si="119"/>
        <v>0.2995398028073244</v>
      </c>
      <c r="BR31" s="1747">
        <v>0</v>
      </c>
      <c r="BS31" s="1752">
        <f t="shared" si="70"/>
        <v>0</v>
      </c>
      <c r="BT31" s="1754"/>
      <c r="BU31" s="2956">
        <f t="shared" si="71"/>
        <v>13.888888888888888</v>
      </c>
      <c r="BV31" s="2957">
        <f t="shared" si="72"/>
        <v>0.92592592592592582</v>
      </c>
      <c r="BW31" s="1993"/>
      <c r="BX31" s="1916"/>
      <c r="BZ31" s="1916"/>
      <c r="CA31" s="2958" t="s">
        <v>160</v>
      </c>
      <c r="CB31" s="2463">
        <v>0.75</v>
      </c>
      <c r="CC31" s="1802" t="str">
        <f>IF(AND(CC25&gt;CB30,CC25&lt;=CB31),CC25," ")</f>
        <v xml:space="preserve"> </v>
      </c>
      <c r="CD31" s="1800"/>
      <c r="CE31" s="1800"/>
      <c r="CF31" s="1800"/>
      <c r="CG31" s="1800"/>
      <c r="CH31" s="2959"/>
      <c r="CI31" s="1800"/>
    </row>
    <row r="32" spans="1:87" s="1726" customFormat="1" x14ac:dyDescent="0.2">
      <c r="B32" s="2508">
        <v>28</v>
      </c>
      <c r="C32" s="1963" t="s">
        <v>259</v>
      </c>
      <c r="D32" s="2578"/>
      <c r="E32" s="1728">
        <v>15</v>
      </c>
      <c r="F32" s="1728">
        <v>5</v>
      </c>
      <c r="G32" s="1728">
        <v>3.3333333333333335</v>
      </c>
      <c r="H32" s="1728">
        <v>2.5</v>
      </c>
      <c r="I32" s="1728">
        <v>2</v>
      </c>
      <c r="J32" s="1728">
        <f t="shared" si="73"/>
        <v>0.55555555555555558</v>
      </c>
      <c r="K32" s="1729">
        <f t="shared" si="59"/>
        <v>5.4640827626402455E-3</v>
      </c>
      <c r="L32" s="1931"/>
      <c r="M32" s="1924"/>
      <c r="N32" s="1728">
        <f t="shared" ref="N32:T32" si="157">$J$32</f>
        <v>0.55555555555555558</v>
      </c>
      <c r="O32" s="1728">
        <f t="shared" si="157"/>
        <v>0.55555555555555558</v>
      </c>
      <c r="P32" s="1728">
        <f t="shared" si="157"/>
        <v>0.55555555555555558</v>
      </c>
      <c r="Q32" s="1728">
        <f t="shared" si="157"/>
        <v>0.55555555555555558</v>
      </c>
      <c r="R32" s="1728">
        <f t="shared" si="157"/>
        <v>0.55555555555555558</v>
      </c>
      <c r="S32" s="1728">
        <f t="shared" si="157"/>
        <v>0.55555555555555558</v>
      </c>
      <c r="T32" s="1728">
        <f t="shared" si="157"/>
        <v>0.55555555555555558</v>
      </c>
      <c r="U32" s="3019"/>
      <c r="V32" s="2016">
        <f t="shared" si="94"/>
        <v>3.8888888888888884</v>
      </c>
      <c r="W32" s="2017">
        <f t="shared" si="61"/>
        <v>6.4647311671280789</v>
      </c>
      <c r="X32" s="2018">
        <f t="shared" si="81"/>
        <v>2.5758422782391905</v>
      </c>
      <c r="Y32" s="1881"/>
      <c r="Z32" s="1728">
        <f t="shared" ref="Z32:AF32" si="158">$J$32</f>
        <v>0.55555555555555558</v>
      </c>
      <c r="AA32" s="1728">
        <f t="shared" si="158"/>
        <v>0.55555555555555558</v>
      </c>
      <c r="AB32" s="1728">
        <f t="shared" si="158"/>
        <v>0.55555555555555558</v>
      </c>
      <c r="AC32" s="1728">
        <f t="shared" si="158"/>
        <v>0.55555555555555558</v>
      </c>
      <c r="AD32" s="1728">
        <f t="shared" si="158"/>
        <v>0.55555555555555558</v>
      </c>
      <c r="AE32" s="1728">
        <f t="shared" si="158"/>
        <v>0.55555555555555558</v>
      </c>
      <c r="AF32" s="1728">
        <f t="shared" si="158"/>
        <v>0.55555555555555558</v>
      </c>
      <c r="AG32" s="1881"/>
      <c r="AH32" s="2016">
        <f t="shared" si="152"/>
        <v>3.8888888888888884</v>
      </c>
      <c r="AI32" s="2017">
        <f t="shared" si="63"/>
        <v>5.199369809121376</v>
      </c>
      <c r="AJ32" s="2018">
        <f t="shared" si="153"/>
        <v>1.3104809202324876</v>
      </c>
      <c r="AK32" s="1881"/>
      <c r="AL32" s="2268">
        <f t="shared" ref="AL32:AQ32" si="159">$J$32</f>
        <v>0.55555555555555558</v>
      </c>
      <c r="AM32" s="2268">
        <f t="shared" si="159"/>
        <v>0.55555555555555558</v>
      </c>
      <c r="AN32" s="2268">
        <f t="shared" si="159"/>
        <v>0.55555555555555558</v>
      </c>
      <c r="AO32" s="2268">
        <f t="shared" si="159"/>
        <v>0.55555555555555558</v>
      </c>
      <c r="AP32" s="2268">
        <f t="shared" si="159"/>
        <v>0.55555555555555558</v>
      </c>
      <c r="AQ32" s="2268">
        <f t="shared" si="159"/>
        <v>0.55555555555555558</v>
      </c>
      <c r="AR32" s="2268"/>
      <c r="AS32" s="2293"/>
      <c r="AT32" s="2016">
        <f t="shared" si="86"/>
        <v>3.333333333333333</v>
      </c>
      <c r="AU32" s="2017">
        <f t="shared" si="65"/>
        <v>10.453140026227599</v>
      </c>
      <c r="AV32" s="2018">
        <f t="shared" si="87"/>
        <v>7.119806692894266</v>
      </c>
      <c r="AW32" s="2293"/>
      <c r="AX32" s="2268"/>
      <c r="AY32" s="2268"/>
      <c r="AZ32" s="2268"/>
      <c r="BA32" s="2268">
        <f t="shared" ref="BA32:BD32" si="160">$J$32</f>
        <v>0.55555555555555558</v>
      </c>
      <c r="BB32" s="2268">
        <f t="shared" si="160"/>
        <v>0.55555555555555558</v>
      </c>
      <c r="BC32" s="2268">
        <f t="shared" si="160"/>
        <v>0.55555555555555558</v>
      </c>
      <c r="BD32" s="2268">
        <f t="shared" si="160"/>
        <v>0.55555555555555558</v>
      </c>
      <c r="BE32" s="2293"/>
      <c r="BF32" s="2016">
        <f t="shared" si="89"/>
        <v>2.2222222222222223</v>
      </c>
      <c r="BG32" s="2017">
        <f t="shared" si="67"/>
        <v>4.3104400407984853</v>
      </c>
      <c r="BH32" s="2018">
        <f t="shared" si="90"/>
        <v>2.088217818576263</v>
      </c>
      <c r="BI32" s="3019"/>
      <c r="BJ32" s="1728">
        <f t="shared" ref="BJ32:BL32" si="161">$J$32</f>
        <v>0.55555555555555558</v>
      </c>
      <c r="BK32" s="1728">
        <f t="shared" si="161"/>
        <v>0.55555555555555558</v>
      </c>
      <c r="BL32" s="1728">
        <f t="shared" si="161"/>
        <v>0.55555555555555558</v>
      </c>
      <c r="BM32" s="3019"/>
      <c r="BN32" s="2016">
        <f t="shared" si="79"/>
        <v>1.6666666666666667</v>
      </c>
      <c r="BO32" s="2017">
        <f t="shared" si="69"/>
        <v>1.9662064694739911</v>
      </c>
      <c r="BP32" s="2018">
        <f t="shared" si="119"/>
        <v>0.2995398028073244</v>
      </c>
      <c r="BR32" s="1732">
        <v>0</v>
      </c>
      <c r="BS32" s="1882">
        <f t="shared" si="70"/>
        <v>0</v>
      </c>
      <c r="BT32" s="1740"/>
      <c r="BU32" s="2019">
        <f t="shared" si="71"/>
        <v>13.888888888888888</v>
      </c>
      <c r="BV32" s="2020">
        <f t="shared" si="72"/>
        <v>0.92592592592592582</v>
      </c>
      <c r="BW32" s="1997"/>
      <c r="BX32" s="3018"/>
      <c r="BZ32" s="3018"/>
      <c r="CA32" s="2036" t="s">
        <v>161</v>
      </c>
      <c r="CB32" s="2059">
        <v>1</v>
      </c>
      <c r="CC32" s="2037">
        <f>IF(CC25&gt;CB31,CC25," ")</f>
        <v>0.87096774193548387</v>
      </c>
      <c r="CD32" s="1810"/>
      <c r="CE32" s="1810"/>
      <c r="CF32" s="1810"/>
      <c r="CG32" s="1810"/>
      <c r="CH32" s="1986"/>
      <c r="CI32" s="1810"/>
    </row>
    <row r="33" spans="1:87" x14ac:dyDescent="0.2">
      <c r="B33" s="1987">
        <v>29</v>
      </c>
      <c r="C33" s="2000" t="s">
        <v>244</v>
      </c>
      <c r="D33" s="2579"/>
      <c r="E33" s="2001">
        <v>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73"/>
        <v>0.18518518518518517</v>
      </c>
      <c r="K33" s="2584">
        <f t="shared" si="59"/>
        <v>1.8213609208800818E-3</v>
      </c>
      <c r="L33" s="1866"/>
      <c r="M33" s="1867"/>
      <c r="N33" s="1746">
        <f t="shared" ref="N33:T33" si="162">$J$33</f>
        <v>0.18518518518518517</v>
      </c>
      <c r="O33" s="1746">
        <f t="shared" si="162"/>
        <v>0.18518518518518517</v>
      </c>
      <c r="P33" s="1746">
        <f t="shared" si="162"/>
        <v>0.18518518518518517</v>
      </c>
      <c r="Q33" s="1746">
        <f t="shared" si="162"/>
        <v>0.18518518518518517</v>
      </c>
      <c r="R33" s="1746">
        <f t="shared" si="162"/>
        <v>0.18518518518518517</v>
      </c>
      <c r="S33" s="1746">
        <f t="shared" si="162"/>
        <v>0.18518518518518517</v>
      </c>
      <c r="T33" s="1746">
        <f t="shared" si="162"/>
        <v>0.18518518518518517</v>
      </c>
      <c r="U33" s="3017"/>
      <c r="V33" s="2953">
        <f t="shared" si="94"/>
        <v>1.2962962962962961</v>
      </c>
      <c r="W33" s="2954">
        <f t="shared" si="61"/>
        <v>2.1549103890426928</v>
      </c>
      <c r="X33" s="2955">
        <f t="shared" si="81"/>
        <v>0.85861409274639677</v>
      </c>
      <c r="Y33" s="1914"/>
      <c r="Z33" s="1746">
        <f t="shared" ref="Z33:AF33" si="163">$J$33</f>
        <v>0.18518518518518517</v>
      </c>
      <c r="AA33" s="1746">
        <f t="shared" si="163"/>
        <v>0.18518518518518517</v>
      </c>
      <c r="AB33" s="1746">
        <f t="shared" si="163"/>
        <v>0.18518518518518517</v>
      </c>
      <c r="AC33" s="1746">
        <f t="shared" si="163"/>
        <v>0.18518518518518517</v>
      </c>
      <c r="AD33" s="1746">
        <f t="shared" si="163"/>
        <v>0.18518518518518517</v>
      </c>
      <c r="AE33" s="1746">
        <f t="shared" si="163"/>
        <v>0.18518518518518517</v>
      </c>
      <c r="AF33" s="1746">
        <f t="shared" si="163"/>
        <v>0.18518518518518517</v>
      </c>
      <c r="AG33" s="1914"/>
      <c r="AH33" s="2953">
        <f t="shared" si="152"/>
        <v>1.2962962962962961</v>
      </c>
      <c r="AI33" s="2954">
        <f t="shared" si="63"/>
        <v>1.733123269707125</v>
      </c>
      <c r="AJ33" s="2955">
        <f t="shared" si="153"/>
        <v>0.43682697341082899</v>
      </c>
      <c r="AK33" s="1914"/>
      <c r="AL33" s="1990">
        <f t="shared" ref="AL33:AQ33" si="164">$J$33</f>
        <v>0.18518518518518517</v>
      </c>
      <c r="AM33" s="1990">
        <f t="shared" si="164"/>
        <v>0.18518518518518517</v>
      </c>
      <c r="AN33" s="1990">
        <f t="shared" si="164"/>
        <v>0.18518518518518517</v>
      </c>
      <c r="AO33" s="1990">
        <f t="shared" si="164"/>
        <v>0.18518518518518517</v>
      </c>
      <c r="AP33" s="1990">
        <f t="shared" si="164"/>
        <v>0.18518518518518517</v>
      </c>
      <c r="AQ33" s="1990">
        <f t="shared" si="164"/>
        <v>0.18518518518518517</v>
      </c>
      <c r="AR33" s="1990"/>
      <c r="AS33" s="2297"/>
      <c r="AT33" s="2953">
        <f t="shared" si="86"/>
        <v>1.1111111111111109</v>
      </c>
      <c r="AU33" s="2954">
        <f t="shared" si="65"/>
        <v>3.4843800087425323</v>
      </c>
      <c r="AV33" s="2955">
        <f t="shared" si="87"/>
        <v>2.3732688976314211</v>
      </c>
      <c r="AW33" s="2297"/>
      <c r="AX33" s="1990"/>
      <c r="AY33" s="1990"/>
      <c r="AZ33" s="1990"/>
      <c r="BA33" s="1990">
        <f t="shared" ref="BA33:BD33" si="165">$J$33</f>
        <v>0.18518518518518517</v>
      </c>
      <c r="BB33" s="1990">
        <f t="shared" si="165"/>
        <v>0.18518518518518517</v>
      </c>
      <c r="BC33" s="1990">
        <f t="shared" si="165"/>
        <v>0.18518518518518517</v>
      </c>
      <c r="BD33" s="1990">
        <f t="shared" si="165"/>
        <v>0.18518518518518517</v>
      </c>
      <c r="BE33" s="2297"/>
      <c r="BF33" s="2953">
        <f t="shared" si="89"/>
        <v>0.7407407407407407</v>
      </c>
      <c r="BG33" s="2954">
        <f t="shared" si="67"/>
        <v>1.4368133469328284</v>
      </c>
      <c r="BH33" s="2955">
        <f t="shared" si="90"/>
        <v>0.69607260619208766</v>
      </c>
      <c r="BI33" s="3017"/>
      <c r="BJ33" s="1746">
        <f t="shared" ref="BJ33:BL33" si="166">$J$33</f>
        <v>0.18518518518518517</v>
      </c>
      <c r="BK33" s="1746">
        <f t="shared" si="166"/>
        <v>0.18518518518518517</v>
      </c>
      <c r="BL33" s="1746">
        <f t="shared" si="166"/>
        <v>0.18518518518518517</v>
      </c>
      <c r="BM33" s="3017"/>
      <c r="BN33" s="2953">
        <f t="shared" si="79"/>
        <v>0.55555555555555558</v>
      </c>
      <c r="BO33" s="2954">
        <f t="shared" si="69"/>
        <v>0.65540215649133038</v>
      </c>
      <c r="BP33" s="2955">
        <f t="shared" si="119"/>
        <v>9.9846600935774799E-2</v>
      </c>
      <c r="BR33" s="1747">
        <v>0</v>
      </c>
      <c r="BS33" s="1752">
        <f t="shared" si="70"/>
        <v>0</v>
      </c>
      <c r="BT33" s="1754"/>
      <c r="BU33" s="2956">
        <f t="shared" si="71"/>
        <v>4.6296296296296289</v>
      </c>
      <c r="BV33" s="2957">
        <f t="shared" si="72"/>
        <v>0.92592592592592582</v>
      </c>
      <c r="BW33" s="1993"/>
      <c r="BX33" s="1916"/>
      <c r="BZ33" s="1916"/>
      <c r="CA33" s="2029"/>
      <c r="CB33" s="2047" t="s">
        <v>158</v>
      </c>
      <c r="CC33" s="2952">
        <f>MAX(100%,CC25)-CC25</f>
        <v>0.12903225806451613</v>
      </c>
      <c r="CD33" s="1800"/>
      <c r="CE33" s="1800"/>
      <c r="CF33" s="1800"/>
      <c r="CG33" s="1800"/>
      <c r="CH33" s="2959"/>
      <c r="CI33" s="1800"/>
    </row>
    <row r="34" spans="1:87" s="1726" customFormat="1" ht="17.25" thickBot="1" x14ac:dyDescent="0.25">
      <c r="B34" s="1963">
        <v>30</v>
      </c>
      <c r="C34" s="1963" t="s">
        <v>230</v>
      </c>
      <c r="D34" s="2578"/>
      <c r="E34" s="1728">
        <v>0</v>
      </c>
      <c r="F34" s="1728"/>
      <c r="G34" s="1728"/>
      <c r="H34" s="1728"/>
      <c r="I34" s="1728"/>
      <c r="J34" s="1728">
        <f t="shared" si="73"/>
        <v>0</v>
      </c>
      <c r="K34" s="1729">
        <f t="shared" si="59"/>
        <v>0</v>
      </c>
      <c r="L34" s="1931"/>
      <c r="M34" s="1924"/>
      <c r="N34" s="1728">
        <f t="shared" ref="N34:T34" si="167">$J$34</f>
        <v>0</v>
      </c>
      <c r="O34" s="1728">
        <f t="shared" si="167"/>
        <v>0</v>
      </c>
      <c r="P34" s="1728">
        <f t="shared" si="167"/>
        <v>0</v>
      </c>
      <c r="Q34" s="1728">
        <f t="shared" si="167"/>
        <v>0</v>
      </c>
      <c r="R34" s="1728">
        <f t="shared" si="167"/>
        <v>0</v>
      </c>
      <c r="S34" s="1728">
        <f t="shared" si="167"/>
        <v>0</v>
      </c>
      <c r="T34" s="1728">
        <f t="shared" si="167"/>
        <v>0</v>
      </c>
      <c r="U34" s="3019"/>
      <c r="V34" s="2016">
        <f t="shared" si="94"/>
        <v>0</v>
      </c>
      <c r="W34" s="2017">
        <f t="shared" si="61"/>
        <v>0</v>
      </c>
      <c r="X34" s="2018">
        <f t="shared" si="81"/>
        <v>0</v>
      </c>
      <c r="Y34" s="1881"/>
      <c r="Z34" s="1728">
        <f t="shared" ref="Z34:AF34" si="168">$J$34</f>
        <v>0</v>
      </c>
      <c r="AA34" s="1728">
        <f t="shared" si="168"/>
        <v>0</v>
      </c>
      <c r="AB34" s="1728">
        <f t="shared" si="168"/>
        <v>0</v>
      </c>
      <c r="AC34" s="1728">
        <f t="shared" si="168"/>
        <v>0</v>
      </c>
      <c r="AD34" s="1728">
        <f t="shared" si="168"/>
        <v>0</v>
      </c>
      <c r="AE34" s="1728">
        <f t="shared" si="168"/>
        <v>0</v>
      </c>
      <c r="AF34" s="1728">
        <f t="shared" si="168"/>
        <v>0</v>
      </c>
      <c r="AG34" s="1881"/>
      <c r="AH34" s="2016">
        <f t="shared" si="152"/>
        <v>0</v>
      </c>
      <c r="AI34" s="2017">
        <f t="shared" si="63"/>
        <v>0</v>
      </c>
      <c r="AJ34" s="2018">
        <f t="shared" si="153"/>
        <v>0</v>
      </c>
      <c r="AK34" s="1881"/>
      <c r="AL34" s="2268">
        <f t="shared" ref="AL34:AQ34" si="169">$J$34</f>
        <v>0</v>
      </c>
      <c r="AM34" s="2268">
        <f t="shared" si="169"/>
        <v>0</v>
      </c>
      <c r="AN34" s="2268">
        <f t="shared" si="169"/>
        <v>0</v>
      </c>
      <c r="AO34" s="2268">
        <f t="shared" si="169"/>
        <v>0</v>
      </c>
      <c r="AP34" s="2268">
        <f t="shared" si="169"/>
        <v>0</v>
      </c>
      <c r="AQ34" s="2268">
        <f t="shared" si="169"/>
        <v>0</v>
      </c>
      <c r="AR34" s="2268"/>
      <c r="AS34" s="2293"/>
      <c r="AT34" s="2016">
        <f t="shared" si="86"/>
        <v>0</v>
      </c>
      <c r="AU34" s="2017">
        <f t="shared" si="65"/>
        <v>0</v>
      </c>
      <c r="AV34" s="2018">
        <f t="shared" si="87"/>
        <v>0</v>
      </c>
      <c r="AW34" s="2293"/>
      <c r="AX34" s="2268"/>
      <c r="AY34" s="2268"/>
      <c r="AZ34" s="2268"/>
      <c r="BA34" s="2268">
        <f t="shared" ref="BA34:BD34" si="170">$J$34</f>
        <v>0</v>
      </c>
      <c r="BB34" s="2268">
        <f t="shared" si="170"/>
        <v>0</v>
      </c>
      <c r="BC34" s="2268">
        <f t="shared" si="170"/>
        <v>0</v>
      </c>
      <c r="BD34" s="2268">
        <f t="shared" si="170"/>
        <v>0</v>
      </c>
      <c r="BE34" s="2293"/>
      <c r="BF34" s="2016">
        <f t="shared" si="89"/>
        <v>0</v>
      </c>
      <c r="BG34" s="2017">
        <f t="shared" si="67"/>
        <v>0</v>
      </c>
      <c r="BH34" s="2018">
        <f t="shared" si="90"/>
        <v>0</v>
      </c>
      <c r="BI34" s="3019"/>
      <c r="BJ34" s="1728">
        <f t="shared" ref="BJ34:BL34" si="171">$J$34</f>
        <v>0</v>
      </c>
      <c r="BK34" s="1728">
        <f t="shared" si="171"/>
        <v>0</v>
      </c>
      <c r="BL34" s="1728">
        <f t="shared" si="171"/>
        <v>0</v>
      </c>
      <c r="BM34" s="3019"/>
      <c r="BN34" s="2016">
        <f t="shared" si="79"/>
        <v>0</v>
      </c>
      <c r="BO34" s="2017">
        <f t="shared" si="69"/>
        <v>0</v>
      </c>
      <c r="BP34" s="2018">
        <f t="shared" si="119"/>
        <v>0</v>
      </c>
      <c r="BR34" s="1732">
        <v>0</v>
      </c>
      <c r="BS34" s="1882" t="e">
        <f t="shared" si="70"/>
        <v>#DIV/0!</v>
      </c>
      <c r="BT34" s="1740"/>
      <c r="BU34" s="2019">
        <f t="shared" si="71"/>
        <v>0</v>
      </c>
      <c r="BV34" s="2020" t="e">
        <f t="shared" si="72"/>
        <v>#DIV/0!</v>
      </c>
      <c r="BW34" s="1997"/>
      <c r="BX34" s="3018"/>
      <c r="BZ34" s="3018"/>
      <c r="CA34" s="2984"/>
      <c r="CB34" s="2985"/>
      <c r="CC34" s="2649"/>
      <c r="CD34" s="2986"/>
      <c r="CE34" s="2986"/>
      <c r="CF34" s="2986"/>
      <c r="CG34" s="2986"/>
      <c r="CH34" s="2987"/>
      <c r="CI34" s="1810"/>
    </row>
    <row r="35" spans="1:87" s="1885" customFormat="1" x14ac:dyDescent="0.2">
      <c r="B35" s="2580">
        <v>31</v>
      </c>
      <c r="C35" s="2000" t="s">
        <v>199</v>
      </c>
      <c r="D35" s="2579"/>
      <c r="E35" s="2001">
        <v>0</v>
      </c>
      <c r="F35" s="2001">
        <v>0</v>
      </c>
      <c r="G35" s="2001">
        <v>0</v>
      </c>
      <c r="H35" s="2001">
        <v>0</v>
      </c>
      <c r="I35" s="2001">
        <v>0</v>
      </c>
      <c r="J35" s="2001">
        <f t="shared" si="73"/>
        <v>0</v>
      </c>
      <c r="K35" s="2584">
        <f t="shared" si="59"/>
        <v>0</v>
      </c>
      <c r="L35" s="2003"/>
      <c r="M35" s="1950"/>
      <c r="N35" s="2001">
        <f t="shared" ref="N35:T35" si="172">$J$35</f>
        <v>0</v>
      </c>
      <c r="O35" s="2001">
        <f t="shared" si="172"/>
        <v>0</v>
      </c>
      <c r="P35" s="2001">
        <f t="shared" si="172"/>
        <v>0</v>
      </c>
      <c r="Q35" s="2001">
        <f t="shared" si="172"/>
        <v>0</v>
      </c>
      <c r="R35" s="2001">
        <f t="shared" si="172"/>
        <v>0</v>
      </c>
      <c r="S35" s="2001">
        <f t="shared" si="172"/>
        <v>0</v>
      </c>
      <c r="T35" s="2001">
        <f t="shared" si="172"/>
        <v>0</v>
      </c>
      <c r="U35" s="3016"/>
      <c r="V35" s="2481">
        <f t="shared" si="94"/>
        <v>0</v>
      </c>
      <c r="W35" s="2482">
        <f t="shared" si="61"/>
        <v>0</v>
      </c>
      <c r="X35" s="2483">
        <f t="shared" si="81"/>
        <v>0</v>
      </c>
      <c r="Y35" s="1896"/>
      <c r="Z35" s="2001">
        <f t="shared" ref="Z35:AF35" si="173">$J$35</f>
        <v>0</v>
      </c>
      <c r="AA35" s="2001">
        <f t="shared" si="173"/>
        <v>0</v>
      </c>
      <c r="AB35" s="2001">
        <f t="shared" si="173"/>
        <v>0</v>
      </c>
      <c r="AC35" s="2001">
        <f t="shared" si="173"/>
        <v>0</v>
      </c>
      <c r="AD35" s="2001">
        <f t="shared" si="173"/>
        <v>0</v>
      </c>
      <c r="AE35" s="2001">
        <f t="shared" si="173"/>
        <v>0</v>
      </c>
      <c r="AF35" s="2001">
        <f t="shared" si="173"/>
        <v>0</v>
      </c>
      <c r="AG35" s="1896"/>
      <c r="AH35" s="2481">
        <f t="shared" si="152"/>
        <v>0</v>
      </c>
      <c r="AI35" s="2482">
        <f t="shared" si="63"/>
        <v>0</v>
      </c>
      <c r="AJ35" s="2483">
        <f t="shared" si="153"/>
        <v>0</v>
      </c>
      <c r="AK35" s="1896"/>
      <c r="AL35" s="2005">
        <f t="shared" ref="AL35:AQ35" si="174">$J$35</f>
        <v>0</v>
      </c>
      <c r="AM35" s="2005">
        <f t="shared" si="174"/>
        <v>0</v>
      </c>
      <c r="AN35" s="2005">
        <f t="shared" si="174"/>
        <v>0</v>
      </c>
      <c r="AO35" s="2005">
        <f t="shared" si="174"/>
        <v>0</v>
      </c>
      <c r="AP35" s="2005">
        <f t="shared" si="174"/>
        <v>0</v>
      </c>
      <c r="AQ35" s="2005">
        <f t="shared" si="174"/>
        <v>0</v>
      </c>
      <c r="AR35" s="2005"/>
      <c r="AS35" s="2295"/>
      <c r="AT35" s="2481">
        <f t="shared" si="86"/>
        <v>0</v>
      </c>
      <c r="AU35" s="2482">
        <f t="shared" si="65"/>
        <v>0</v>
      </c>
      <c r="AV35" s="2483">
        <f t="shared" si="87"/>
        <v>0</v>
      </c>
      <c r="AW35" s="2295"/>
      <c r="AX35" s="2005"/>
      <c r="AY35" s="2005"/>
      <c r="AZ35" s="2005"/>
      <c r="BA35" s="2005">
        <f t="shared" ref="BA35:BD35" si="175">$J$35</f>
        <v>0</v>
      </c>
      <c r="BB35" s="2005">
        <f t="shared" si="175"/>
        <v>0</v>
      </c>
      <c r="BC35" s="2005">
        <f t="shared" si="175"/>
        <v>0</v>
      </c>
      <c r="BD35" s="2005">
        <f t="shared" si="175"/>
        <v>0</v>
      </c>
      <c r="BE35" s="2295"/>
      <c r="BF35" s="2481">
        <f t="shared" si="89"/>
        <v>0</v>
      </c>
      <c r="BG35" s="2482">
        <f t="shared" si="67"/>
        <v>0</v>
      </c>
      <c r="BH35" s="2483">
        <f t="shared" si="90"/>
        <v>0</v>
      </c>
      <c r="BI35" s="3016"/>
      <c r="BJ35" s="2001">
        <f t="shared" ref="BJ35:BL35" si="176">$J$35</f>
        <v>0</v>
      </c>
      <c r="BK35" s="2001">
        <f t="shared" si="176"/>
        <v>0</v>
      </c>
      <c r="BL35" s="2001">
        <f t="shared" si="176"/>
        <v>0</v>
      </c>
      <c r="BM35" s="3016"/>
      <c r="BN35" s="2481">
        <f t="shared" si="79"/>
        <v>0</v>
      </c>
      <c r="BO35" s="2482">
        <f t="shared" si="69"/>
        <v>0</v>
      </c>
      <c r="BP35" s="2483">
        <f t="shared" si="119"/>
        <v>0</v>
      </c>
      <c r="BR35" s="1898">
        <v>0</v>
      </c>
      <c r="BS35" s="1899" t="e">
        <f t="shared" si="70"/>
        <v>#DIV/0!</v>
      </c>
      <c r="BT35" s="1900"/>
      <c r="BU35" s="2388">
        <f t="shared" si="71"/>
        <v>0</v>
      </c>
      <c r="BV35" s="2389" t="e">
        <f t="shared" si="72"/>
        <v>#DIV/0!</v>
      </c>
      <c r="BW35" s="2010"/>
      <c r="BX35" s="3015"/>
      <c r="BZ35" s="3015"/>
      <c r="CA35" s="2988"/>
      <c r="CB35" s="2989"/>
      <c r="CC35" s="2990"/>
      <c r="CD35" s="2991"/>
      <c r="CE35" s="2991"/>
      <c r="CF35" s="2991"/>
      <c r="CG35" s="2991"/>
      <c r="CH35" s="2991"/>
      <c r="CI35" s="1906"/>
    </row>
    <row r="36" spans="1:87" s="1726" customFormat="1" x14ac:dyDescent="0.2">
      <c r="B36" s="1963">
        <v>32</v>
      </c>
      <c r="C36" s="1963" t="s">
        <v>247</v>
      </c>
      <c r="D36" s="2578"/>
      <c r="E36" s="1728">
        <v>0</v>
      </c>
      <c r="F36" s="1728">
        <v>0</v>
      </c>
      <c r="G36" s="1728">
        <v>0</v>
      </c>
      <c r="H36" s="1728">
        <v>0</v>
      </c>
      <c r="I36" s="1728">
        <v>0</v>
      </c>
      <c r="J36" s="1728">
        <f t="shared" si="73"/>
        <v>0</v>
      </c>
      <c r="K36" s="1729">
        <f t="shared" si="59"/>
        <v>0</v>
      </c>
      <c r="L36" s="1931"/>
      <c r="M36" s="1924"/>
      <c r="N36" s="1728">
        <f t="shared" ref="N36:T36" si="177">$J$36</f>
        <v>0</v>
      </c>
      <c r="O36" s="1728">
        <f t="shared" si="177"/>
        <v>0</v>
      </c>
      <c r="P36" s="1728">
        <f t="shared" si="177"/>
        <v>0</v>
      </c>
      <c r="Q36" s="1728">
        <f t="shared" si="177"/>
        <v>0</v>
      </c>
      <c r="R36" s="1728">
        <f t="shared" si="177"/>
        <v>0</v>
      </c>
      <c r="S36" s="1728">
        <f t="shared" si="177"/>
        <v>0</v>
      </c>
      <c r="T36" s="1728">
        <f t="shared" si="177"/>
        <v>0</v>
      </c>
      <c r="U36" s="3019"/>
      <c r="V36" s="2016">
        <f t="shared" si="94"/>
        <v>0</v>
      </c>
      <c r="W36" s="2017">
        <f t="shared" si="61"/>
        <v>0</v>
      </c>
      <c r="X36" s="2018">
        <f t="shared" si="81"/>
        <v>0</v>
      </c>
      <c r="Y36" s="1881"/>
      <c r="Z36" s="1728">
        <f t="shared" ref="Z36:AF36" si="178">$J$36</f>
        <v>0</v>
      </c>
      <c r="AA36" s="1728">
        <f t="shared" si="178"/>
        <v>0</v>
      </c>
      <c r="AB36" s="1728">
        <f t="shared" si="178"/>
        <v>0</v>
      </c>
      <c r="AC36" s="1728">
        <f t="shared" si="178"/>
        <v>0</v>
      </c>
      <c r="AD36" s="1728">
        <f t="shared" si="178"/>
        <v>0</v>
      </c>
      <c r="AE36" s="1728">
        <f t="shared" si="178"/>
        <v>0</v>
      </c>
      <c r="AF36" s="1728">
        <f t="shared" si="178"/>
        <v>0</v>
      </c>
      <c r="AG36" s="1881"/>
      <c r="AH36" s="2016">
        <f t="shared" si="152"/>
        <v>0</v>
      </c>
      <c r="AI36" s="2017">
        <f t="shared" si="63"/>
        <v>0</v>
      </c>
      <c r="AJ36" s="2018">
        <f t="shared" si="153"/>
        <v>0</v>
      </c>
      <c r="AK36" s="1881"/>
      <c r="AL36" s="2268">
        <f t="shared" ref="AL36:AQ36" si="179">$J$36</f>
        <v>0</v>
      </c>
      <c r="AM36" s="2268">
        <f t="shared" si="179"/>
        <v>0</v>
      </c>
      <c r="AN36" s="2268">
        <f t="shared" si="179"/>
        <v>0</v>
      </c>
      <c r="AO36" s="2268">
        <f t="shared" si="179"/>
        <v>0</v>
      </c>
      <c r="AP36" s="2268">
        <f t="shared" si="179"/>
        <v>0</v>
      </c>
      <c r="AQ36" s="2268">
        <f t="shared" si="179"/>
        <v>0</v>
      </c>
      <c r="AR36" s="2268"/>
      <c r="AS36" s="2293"/>
      <c r="AT36" s="2016">
        <f t="shared" si="86"/>
        <v>0</v>
      </c>
      <c r="AU36" s="2017">
        <f t="shared" si="65"/>
        <v>0</v>
      </c>
      <c r="AV36" s="2018">
        <f t="shared" si="87"/>
        <v>0</v>
      </c>
      <c r="AW36" s="2293"/>
      <c r="AX36" s="2268"/>
      <c r="AY36" s="2268"/>
      <c r="AZ36" s="2268"/>
      <c r="BA36" s="2268">
        <f t="shared" ref="BA36:BD36" si="180">$J$36</f>
        <v>0</v>
      </c>
      <c r="BB36" s="2268">
        <f t="shared" si="180"/>
        <v>0</v>
      </c>
      <c r="BC36" s="2268">
        <f t="shared" si="180"/>
        <v>0</v>
      </c>
      <c r="BD36" s="2268">
        <f t="shared" si="180"/>
        <v>0</v>
      </c>
      <c r="BE36" s="2293"/>
      <c r="BF36" s="2016">
        <f t="shared" si="89"/>
        <v>0</v>
      </c>
      <c r="BG36" s="2017">
        <f t="shared" si="67"/>
        <v>0</v>
      </c>
      <c r="BH36" s="2018">
        <f t="shared" si="90"/>
        <v>0</v>
      </c>
      <c r="BI36" s="3019"/>
      <c r="BJ36" s="1728">
        <f t="shared" ref="BJ36:BL36" si="181">$J$36</f>
        <v>0</v>
      </c>
      <c r="BK36" s="1728">
        <f t="shared" si="181"/>
        <v>0</v>
      </c>
      <c r="BL36" s="1728">
        <f t="shared" si="181"/>
        <v>0</v>
      </c>
      <c r="BM36" s="3019"/>
      <c r="BN36" s="2016">
        <f t="shared" si="79"/>
        <v>0</v>
      </c>
      <c r="BO36" s="2017">
        <f t="shared" si="69"/>
        <v>0</v>
      </c>
      <c r="BP36" s="2018">
        <f t="shared" si="119"/>
        <v>0</v>
      </c>
      <c r="BR36" s="1732">
        <v>0</v>
      </c>
      <c r="BS36" s="1882" t="e">
        <f t="shared" si="70"/>
        <v>#DIV/0!</v>
      </c>
      <c r="BT36" s="1740"/>
      <c r="BU36" s="2019">
        <f t="shared" si="71"/>
        <v>0</v>
      </c>
      <c r="BV36" s="2020" t="e">
        <f t="shared" si="72"/>
        <v>#DIV/0!</v>
      </c>
      <c r="BW36" s="1997"/>
      <c r="BX36" s="3018"/>
      <c r="BZ36" s="3018"/>
      <c r="CA36" s="2992"/>
      <c r="CB36" s="1830"/>
      <c r="CC36" s="1817"/>
      <c r="CD36" s="1810"/>
      <c r="CE36" s="1810"/>
      <c r="CF36" s="1810"/>
      <c r="CG36" s="1810"/>
      <c r="CH36" s="1810"/>
      <c r="CI36" s="1810"/>
    </row>
    <row r="37" spans="1:87" s="1885" customFormat="1" x14ac:dyDescent="0.2">
      <c r="B37" s="2000">
        <v>33</v>
      </c>
      <c r="C37" s="1987" t="s">
        <v>260</v>
      </c>
      <c r="D37" s="1836"/>
      <c r="E37" s="1746">
        <v>0</v>
      </c>
      <c r="F37" s="1746">
        <v>5</v>
      </c>
      <c r="G37" s="1746">
        <v>3.3333333333333335</v>
      </c>
      <c r="H37" s="1746">
        <v>2.5</v>
      </c>
      <c r="I37" s="1746">
        <v>2</v>
      </c>
      <c r="J37" s="1746">
        <f t="shared" si="73"/>
        <v>0</v>
      </c>
      <c r="K37" s="2583">
        <f t="shared" si="59"/>
        <v>0</v>
      </c>
      <c r="L37" s="2003"/>
      <c r="M37" s="1950"/>
      <c r="N37" s="2001">
        <f t="shared" ref="N37:T37" si="182">$J$37</f>
        <v>0</v>
      </c>
      <c r="O37" s="2001">
        <f t="shared" si="182"/>
        <v>0</v>
      </c>
      <c r="P37" s="2001">
        <f t="shared" si="182"/>
        <v>0</v>
      </c>
      <c r="Q37" s="2001">
        <f t="shared" si="182"/>
        <v>0</v>
      </c>
      <c r="R37" s="2001">
        <f t="shared" si="182"/>
        <v>0</v>
      </c>
      <c r="S37" s="2001">
        <f t="shared" si="182"/>
        <v>0</v>
      </c>
      <c r="T37" s="2001">
        <f t="shared" si="182"/>
        <v>0</v>
      </c>
      <c r="U37" s="3016"/>
      <c r="V37" s="2481">
        <f t="shared" si="94"/>
        <v>0</v>
      </c>
      <c r="W37" s="2482">
        <f t="shared" si="61"/>
        <v>0</v>
      </c>
      <c r="X37" s="2483">
        <f t="shared" si="81"/>
        <v>0</v>
      </c>
      <c r="Y37" s="1896"/>
      <c r="Z37" s="2001">
        <f t="shared" ref="Z37:AF37" si="183">$J$37</f>
        <v>0</v>
      </c>
      <c r="AA37" s="2001">
        <f t="shared" si="183"/>
        <v>0</v>
      </c>
      <c r="AB37" s="2001">
        <f t="shared" si="183"/>
        <v>0</v>
      </c>
      <c r="AC37" s="2001">
        <f t="shared" si="183"/>
        <v>0</v>
      </c>
      <c r="AD37" s="2001">
        <f t="shared" si="183"/>
        <v>0</v>
      </c>
      <c r="AE37" s="2001">
        <f t="shared" si="183"/>
        <v>0</v>
      </c>
      <c r="AF37" s="2001">
        <f t="shared" si="183"/>
        <v>0</v>
      </c>
      <c r="AG37" s="1896"/>
      <c r="AH37" s="2481">
        <f t="shared" si="152"/>
        <v>0</v>
      </c>
      <c r="AI37" s="2482">
        <f t="shared" si="63"/>
        <v>0</v>
      </c>
      <c r="AJ37" s="2483">
        <f t="shared" si="153"/>
        <v>0</v>
      </c>
      <c r="AK37" s="1896"/>
      <c r="AL37" s="2005">
        <f t="shared" ref="AL37:AQ37" si="184">$J$37</f>
        <v>0</v>
      </c>
      <c r="AM37" s="2005">
        <f t="shared" si="184"/>
        <v>0</v>
      </c>
      <c r="AN37" s="2005">
        <f t="shared" si="184"/>
        <v>0</v>
      </c>
      <c r="AO37" s="2005">
        <f t="shared" si="184"/>
        <v>0</v>
      </c>
      <c r="AP37" s="2005">
        <f t="shared" si="184"/>
        <v>0</v>
      </c>
      <c r="AQ37" s="2005">
        <f t="shared" si="184"/>
        <v>0</v>
      </c>
      <c r="AR37" s="2005"/>
      <c r="AS37" s="2295"/>
      <c r="AT37" s="2481">
        <f t="shared" si="86"/>
        <v>0</v>
      </c>
      <c r="AU37" s="2482">
        <f t="shared" si="65"/>
        <v>0</v>
      </c>
      <c r="AV37" s="2483">
        <f t="shared" si="87"/>
        <v>0</v>
      </c>
      <c r="AW37" s="2295"/>
      <c r="AX37" s="2005"/>
      <c r="AY37" s="2005"/>
      <c r="AZ37" s="2005"/>
      <c r="BA37" s="2005">
        <f t="shared" ref="BA37:BD37" si="185">$J$37</f>
        <v>0</v>
      </c>
      <c r="BB37" s="2005">
        <f t="shared" si="185"/>
        <v>0</v>
      </c>
      <c r="BC37" s="2005">
        <f t="shared" si="185"/>
        <v>0</v>
      </c>
      <c r="BD37" s="2005">
        <f t="shared" si="185"/>
        <v>0</v>
      </c>
      <c r="BE37" s="2295"/>
      <c r="BF37" s="2481">
        <f t="shared" si="89"/>
        <v>0</v>
      </c>
      <c r="BG37" s="2482">
        <f t="shared" si="67"/>
        <v>0</v>
      </c>
      <c r="BH37" s="2483">
        <f t="shared" si="90"/>
        <v>0</v>
      </c>
      <c r="BI37" s="3016"/>
      <c r="BJ37" s="2001">
        <f t="shared" ref="BJ37:BL37" si="186">$J$37</f>
        <v>0</v>
      </c>
      <c r="BK37" s="2001">
        <f t="shared" si="186"/>
        <v>0</v>
      </c>
      <c r="BL37" s="2001">
        <f t="shared" si="186"/>
        <v>0</v>
      </c>
      <c r="BM37" s="3016"/>
      <c r="BN37" s="2481">
        <f t="shared" si="79"/>
        <v>0</v>
      </c>
      <c r="BO37" s="2482">
        <f t="shared" si="69"/>
        <v>0</v>
      </c>
      <c r="BP37" s="2483">
        <f t="shared" si="119"/>
        <v>0</v>
      </c>
      <c r="BR37" s="1898">
        <v>0</v>
      </c>
      <c r="BS37" s="1899" t="e">
        <f t="shared" si="70"/>
        <v>#DIV/0!</v>
      </c>
      <c r="BT37" s="1900"/>
      <c r="BU37" s="2388">
        <f t="shared" si="71"/>
        <v>0</v>
      </c>
      <c r="BV37" s="2389" t="e">
        <f t="shared" si="72"/>
        <v>#DIV/0!</v>
      </c>
      <c r="BW37" s="2010"/>
      <c r="BX37" s="3015"/>
      <c r="BZ37" s="3015"/>
      <c r="CA37" s="2993"/>
      <c r="CB37" s="1962"/>
      <c r="CC37" s="1960"/>
      <c r="CD37" s="1906"/>
      <c r="CE37" s="1906"/>
      <c r="CF37" s="1906"/>
      <c r="CG37" s="1906"/>
      <c r="CH37" s="1906"/>
      <c r="CI37" s="1906"/>
    </row>
    <row r="38" spans="1:87" s="1726" customFormat="1" x14ac:dyDescent="0.2">
      <c r="B38" s="2508">
        <v>34</v>
      </c>
      <c r="C38" s="1963" t="s">
        <v>214</v>
      </c>
      <c r="D38" s="2578"/>
      <c r="E38" s="1728">
        <v>63</v>
      </c>
      <c r="F38" s="1728">
        <v>75.3</v>
      </c>
      <c r="G38" s="1728">
        <v>50.2</v>
      </c>
      <c r="H38" s="1728">
        <v>37.65</v>
      </c>
      <c r="I38" s="1728">
        <v>30.12</v>
      </c>
      <c r="J38" s="1728">
        <f t="shared" si="73"/>
        <v>2.3333333333333335</v>
      </c>
      <c r="K38" s="1729">
        <f t="shared" si="59"/>
        <v>2.294914760308903E-2</v>
      </c>
      <c r="L38" s="1931"/>
      <c r="M38" s="1924"/>
      <c r="N38" s="1728">
        <f t="shared" ref="N38:T38" si="187">$J$38</f>
        <v>2.3333333333333335</v>
      </c>
      <c r="O38" s="1728">
        <f t="shared" si="187"/>
        <v>2.3333333333333335</v>
      </c>
      <c r="P38" s="1728">
        <f t="shared" si="187"/>
        <v>2.3333333333333335</v>
      </c>
      <c r="Q38" s="1728">
        <f t="shared" si="187"/>
        <v>2.3333333333333335</v>
      </c>
      <c r="R38" s="1728">
        <f t="shared" si="187"/>
        <v>2.3333333333333335</v>
      </c>
      <c r="S38" s="1728">
        <f t="shared" si="187"/>
        <v>2.3333333333333335</v>
      </c>
      <c r="T38" s="1728">
        <f t="shared" si="187"/>
        <v>2.3333333333333335</v>
      </c>
      <c r="U38" s="3019"/>
      <c r="V38" s="2016">
        <f t="shared" si="94"/>
        <v>16.333333333333336</v>
      </c>
      <c r="W38" s="2017">
        <f t="shared" si="61"/>
        <v>27.151870901937929</v>
      </c>
      <c r="X38" s="2018">
        <f t="shared" si="81"/>
        <v>10.818537568604594</v>
      </c>
      <c r="Y38" s="1881"/>
      <c r="Z38" s="1728">
        <f t="shared" ref="Z38:AF38" si="188">$J$38</f>
        <v>2.3333333333333335</v>
      </c>
      <c r="AA38" s="1728">
        <f t="shared" si="188"/>
        <v>2.3333333333333335</v>
      </c>
      <c r="AB38" s="1728">
        <f t="shared" si="188"/>
        <v>2.3333333333333335</v>
      </c>
      <c r="AC38" s="1728">
        <f t="shared" si="188"/>
        <v>2.3333333333333335</v>
      </c>
      <c r="AD38" s="1728">
        <f t="shared" si="188"/>
        <v>2.3333333333333335</v>
      </c>
      <c r="AE38" s="1728">
        <f t="shared" si="188"/>
        <v>2.3333333333333335</v>
      </c>
      <c r="AF38" s="1728">
        <f t="shared" si="188"/>
        <v>2.3333333333333335</v>
      </c>
      <c r="AG38" s="1881"/>
      <c r="AH38" s="2016">
        <f t="shared" si="83"/>
        <v>16.333333333333336</v>
      </c>
      <c r="AI38" s="2017">
        <f t="shared" si="63"/>
        <v>21.837353198309778</v>
      </c>
      <c r="AJ38" s="2018">
        <f t="shared" si="84"/>
        <v>5.504019864976442</v>
      </c>
      <c r="AK38" s="1881"/>
      <c r="AL38" s="2268">
        <f t="shared" ref="AL38:AQ38" si="189">$J$38</f>
        <v>2.3333333333333335</v>
      </c>
      <c r="AM38" s="2268">
        <f t="shared" si="189"/>
        <v>2.3333333333333335</v>
      </c>
      <c r="AN38" s="2268">
        <f t="shared" si="189"/>
        <v>2.3333333333333335</v>
      </c>
      <c r="AO38" s="2268">
        <f t="shared" si="189"/>
        <v>2.3333333333333335</v>
      </c>
      <c r="AP38" s="2268">
        <f t="shared" si="189"/>
        <v>2.3333333333333335</v>
      </c>
      <c r="AQ38" s="2268">
        <f t="shared" si="189"/>
        <v>2.3333333333333335</v>
      </c>
      <c r="AR38" s="2268"/>
      <c r="AS38" s="2293"/>
      <c r="AT38" s="2016">
        <f t="shared" si="86"/>
        <v>14.000000000000002</v>
      </c>
      <c r="AU38" s="2017">
        <f t="shared" si="65"/>
        <v>43.903188110155909</v>
      </c>
      <c r="AV38" s="2018">
        <f t="shared" si="87"/>
        <v>29.903188110155909</v>
      </c>
      <c r="AW38" s="2293"/>
      <c r="AX38" s="2268"/>
      <c r="AY38" s="2268"/>
      <c r="AZ38" s="2268"/>
      <c r="BA38" s="2268">
        <f t="shared" ref="BA38:BD38" si="190">$J$38</f>
        <v>2.3333333333333335</v>
      </c>
      <c r="BB38" s="2268">
        <f t="shared" si="190"/>
        <v>2.3333333333333335</v>
      </c>
      <c r="BC38" s="2268">
        <f t="shared" si="190"/>
        <v>2.3333333333333335</v>
      </c>
      <c r="BD38" s="2268">
        <f t="shared" si="190"/>
        <v>2.3333333333333335</v>
      </c>
      <c r="BE38" s="2293"/>
      <c r="BF38" s="2016">
        <f t="shared" si="89"/>
        <v>9.3333333333333339</v>
      </c>
      <c r="BG38" s="2017">
        <f t="shared" si="67"/>
        <v>18.103848171353636</v>
      </c>
      <c r="BH38" s="2018">
        <f t="shared" si="90"/>
        <v>8.7705148380203024</v>
      </c>
      <c r="BI38" s="3019"/>
      <c r="BJ38" s="1728">
        <f t="shared" ref="BJ38:BL38" si="191">$J$38</f>
        <v>2.3333333333333335</v>
      </c>
      <c r="BK38" s="1728">
        <f t="shared" si="191"/>
        <v>2.3333333333333335</v>
      </c>
      <c r="BL38" s="1728">
        <f t="shared" si="191"/>
        <v>2.3333333333333335</v>
      </c>
      <c r="BM38" s="3019"/>
      <c r="BN38" s="2016">
        <f t="shared" si="79"/>
        <v>7</v>
      </c>
      <c r="BO38" s="2017">
        <f t="shared" si="69"/>
        <v>8.2580671717907617</v>
      </c>
      <c r="BP38" s="2018">
        <f t="shared" si="119"/>
        <v>1.2580671717907617</v>
      </c>
      <c r="BR38" s="1732">
        <v>0</v>
      </c>
      <c r="BS38" s="1882">
        <f t="shared" si="70"/>
        <v>0</v>
      </c>
      <c r="BT38" s="1740"/>
      <c r="BU38" s="2019">
        <f t="shared" si="71"/>
        <v>58.333333333333343</v>
      </c>
      <c r="BV38" s="2020">
        <f t="shared" si="72"/>
        <v>0.92592592592592604</v>
      </c>
      <c r="BW38" s="1997"/>
      <c r="BX38" s="3018"/>
      <c r="BZ38" s="3018"/>
      <c r="CA38" s="2992"/>
      <c r="CB38" s="1830"/>
      <c r="CC38" s="1817"/>
      <c r="CD38" s="1810"/>
      <c r="CE38" s="1810"/>
      <c r="CF38" s="1810"/>
      <c r="CG38" s="1810"/>
      <c r="CH38" s="1810"/>
      <c r="CI38" s="1810"/>
    </row>
    <row r="39" spans="1:87" x14ac:dyDescent="0.2">
      <c r="B39" s="1987">
        <v>35</v>
      </c>
      <c r="C39" s="1987" t="s">
        <v>208</v>
      </c>
      <c r="D39" s="1836"/>
      <c r="E39" s="1746">
        <v>0</v>
      </c>
      <c r="F39" s="1746"/>
      <c r="G39" s="1746"/>
      <c r="H39" s="1746"/>
      <c r="I39" s="1746"/>
      <c r="J39" s="1746">
        <f t="shared" si="73"/>
        <v>0</v>
      </c>
      <c r="K39" s="2583">
        <f t="shared" si="59"/>
        <v>0</v>
      </c>
      <c r="L39" s="1866"/>
      <c r="M39" s="1867"/>
      <c r="N39" s="1746">
        <f t="shared" ref="N39:T39" si="192">$J$39</f>
        <v>0</v>
      </c>
      <c r="O39" s="1746">
        <f t="shared" si="192"/>
        <v>0</v>
      </c>
      <c r="P39" s="1746">
        <f t="shared" si="192"/>
        <v>0</v>
      </c>
      <c r="Q39" s="1746">
        <f t="shared" si="192"/>
        <v>0</v>
      </c>
      <c r="R39" s="1746">
        <f t="shared" si="192"/>
        <v>0</v>
      </c>
      <c r="S39" s="1746">
        <f t="shared" si="192"/>
        <v>0</v>
      </c>
      <c r="T39" s="1746">
        <f t="shared" si="192"/>
        <v>0</v>
      </c>
      <c r="U39" s="3017"/>
      <c r="V39" s="2953">
        <f t="shared" si="94"/>
        <v>0</v>
      </c>
      <c r="W39" s="2954">
        <f t="shared" si="61"/>
        <v>0</v>
      </c>
      <c r="X39" s="2955">
        <f t="shared" si="81"/>
        <v>0</v>
      </c>
      <c r="Y39" s="1914"/>
      <c r="Z39" s="1746">
        <f t="shared" ref="Z39:AF39" si="193">$J$39</f>
        <v>0</v>
      </c>
      <c r="AA39" s="1746">
        <f t="shared" si="193"/>
        <v>0</v>
      </c>
      <c r="AB39" s="1746">
        <f t="shared" si="193"/>
        <v>0</v>
      </c>
      <c r="AC39" s="1746">
        <f t="shared" si="193"/>
        <v>0</v>
      </c>
      <c r="AD39" s="1746">
        <f t="shared" si="193"/>
        <v>0</v>
      </c>
      <c r="AE39" s="1746">
        <f t="shared" si="193"/>
        <v>0</v>
      </c>
      <c r="AF39" s="1746">
        <f t="shared" si="193"/>
        <v>0</v>
      </c>
      <c r="AG39" s="1914"/>
      <c r="AH39" s="2953">
        <f t="shared" si="83"/>
        <v>0</v>
      </c>
      <c r="AI39" s="2954">
        <f t="shared" si="63"/>
        <v>0</v>
      </c>
      <c r="AJ39" s="2955">
        <f t="shared" si="84"/>
        <v>0</v>
      </c>
      <c r="AK39" s="1914"/>
      <c r="AL39" s="1990">
        <f t="shared" ref="AL39:AQ39" si="194">$J$39</f>
        <v>0</v>
      </c>
      <c r="AM39" s="1990">
        <f t="shared" si="194"/>
        <v>0</v>
      </c>
      <c r="AN39" s="1990">
        <f t="shared" si="194"/>
        <v>0</v>
      </c>
      <c r="AO39" s="1990">
        <f t="shared" si="194"/>
        <v>0</v>
      </c>
      <c r="AP39" s="1990">
        <f t="shared" si="194"/>
        <v>0</v>
      </c>
      <c r="AQ39" s="1990">
        <f t="shared" si="194"/>
        <v>0</v>
      </c>
      <c r="AR39" s="1990"/>
      <c r="AS39" s="2297"/>
      <c r="AT39" s="2953">
        <f t="shared" si="86"/>
        <v>0</v>
      </c>
      <c r="AU39" s="2954">
        <f t="shared" si="65"/>
        <v>0</v>
      </c>
      <c r="AV39" s="2955">
        <f t="shared" si="87"/>
        <v>0</v>
      </c>
      <c r="AW39" s="2297"/>
      <c r="AX39" s="1990"/>
      <c r="AY39" s="1990"/>
      <c r="AZ39" s="1990"/>
      <c r="BA39" s="1990">
        <f t="shared" ref="BA39:BD39" si="195">$J$39</f>
        <v>0</v>
      </c>
      <c r="BB39" s="1990">
        <f t="shared" si="195"/>
        <v>0</v>
      </c>
      <c r="BC39" s="1990">
        <f t="shared" si="195"/>
        <v>0</v>
      </c>
      <c r="BD39" s="1990">
        <f t="shared" si="195"/>
        <v>0</v>
      </c>
      <c r="BE39" s="2297"/>
      <c r="BF39" s="2953">
        <f t="shared" si="89"/>
        <v>0</v>
      </c>
      <c r="BG39" s="2954">
        <f t="shared" si="67"/>
        <v>0</v>
      </c>
      <c r="BH39" s="2955">
        <f t="shared" si="90"/>
        <v>0</v>
      </c>
      <c r="BI39" s="3017"/>
      <c r="BJ39" s="1746">
        <f t="shared" ref="BJ39:BL39" si="196">$J$39</f>
        <v>0</v>
      </c>
      <c r="BK39" s="1746">
        <f t="shared" si="196"/>
        <v>0</v>
      </c>
      <c r="BL39" s="1746">
        <f t="shared" si="196"/>
        <v>0</v>
      </c>
      <c r="BM39" s="3017"/>
      <c r="BN39" s="2953">
        <f t="shared" si="79"/>
        <v>0</v>
      </c>
      <c r="BO39" s="2954">
        <f t="shared" si="69"/>
        <v>0</v>
      </c>
      <c r="BP39" s="2955">
        <f t="shared" si="119"/>
        <v>0</v>
      </c>
      <c r="BR39" s="1747">
        <v>0</v>
      </c>
      <c r="BS39" s="1752" t="e">
        <f t="shared" si="70"/>
        <v>#DIV/0!</v>
      </c>
      <c r="BT39" s="1754"/>
      <c r="BU39" s="2956">
        <f t="shared" si="71"/>
        <v>0</v>
      </c>
      <c r="BV39" s="2957" t="e">
        <f t="shared" si="72"/>
        <v>#DIV/0!</v>
      </c>
      <c r="BW39" s="1993"/>
      <c r="BX39" s="1916"/>
      <c r="BZ39" s="1916"/>
      <c r="CA39" s="2994"/>
      <c r="CB39" s="1802"/>
      <c r="CC39" s="1806"/>
      <c r="CD39" s="1800"/>
      <c r="CE39" s="1800"/>
      <c r="CF39" s="1800"/>
      <c r="CG39" s="1800"/>
      <c r="CH39" s="1800"/>
      <c r="CI39" s="1800"/>
    </row>
    <row r="40" spans="1:87" s="1726" customFormat="1" ht="17.25" thickBot="1" x14ac:dyDescent="0.25">
      <c r="B40" s="1963">
        <v>36</v>
      </c>
      <c r="C40" s="1963" t="s">
        <v>261</v>
      </c>
      <c r="D40" s="2578"/>
      <c r="E40" s="1728">
        <v>0</v>
      </c>
      <c r="F40" s="1728">
        <v>5</v>
      </c>
      <c r="G40" s="1728">
        <v>3.3333333333333335</v>
      </c>
      <c r="H40" s="1728">
        <v>2.5</v>
      </c>
      <c r="I40" s="1728">
        <v>2</v>
      </c>
      <c r="J40" s="1728">
        <f t="shared" si="73"/>
        <v>0</v>
      </c>
      <c r="K40" s="1729">
        <f t="shared" si="59"/>
        <v>0</v>
      </c>
      <c r="L40" s="1931"/>
      <c r="M40" s="1924"/>
      <c r="N40" s="1728">
        <f t="shared" ref="N40:T40" si="197">$J$40</f>
        <v>0</v>
      </c>
      <c r="O40" s="1728">
        <f t="shared" si="197"/>
        <v>0</v>
      </c>
      <c r="P40" s="1728">
        <f t="shared" si="197"/>
        <v>0</v>
      </c>
      <c r="Q40" s="1728">
        <f t="shared" si="197"/>
        <v>0</v>
      </c>
      <c r="R40" s="1728">
        <f t="shared" si="197"/>
        <v>0</v>
      </c>
      <c r="S40" s="1728">
        <f t="shared" si="197"/>
        <v>0</v>
      </c>
      <c r="T40" s="1728">
        <f t="shared" si="197"/>
        <v>0</v>
      </c>
      <c r="U40" s="3019"/>
      <c r="V40" s="2799">
        <f>SUM(N40:T40)</f>
        <v>0</v>
      </c>
      <c r="W40" s="2800">
        <f t="shared" si="61"/>
        <v>0</v>
      </c>
      <c r="X40" s="2801">
        <f>W40-V40</f>
        <v>0</v>
      </c>
      <c r="Y40" s="1881"/>
      <c r="Z40" s="1728">
        <f t="shared" ref="Z40:AF40" si="198">$J$40</f>
        <v>0</v>
      </c>
      <c r="AA40" s="1728">
        <f t="shared" si="198"/>
        <v>0</v>
      </c>
      <c r="AB40" s="1728">
        <f t="shared" si="198"/>
        <v>0</v>
      </c>
      <c r="AC40" s="1728">
        <f t="shared" si="198"/>
        <v>0</v>
      </c>
      <c r="AD40" s="1728">
        <f t="shared" si="198"/>
        <v>0</v>
      </c>
      <c r="AE40" s="1728">
        <f t="shared" si="198"/>
        <v>0</v>
      </c>
      <c r="AF40" s="1728">
        <f t="shared" si="198"/>
        <v>0</v>
      </c>
      <c r="AG40" s="1881"/>
      <c r="AH40" s="2799">
        <f t="shared" si="83"/>
        <v>0</v>
      </c>
      <c r="AI40" s="2800">
        <f t="shared" si="63"/>
        <v>0</v>
      </c>
      <c r="AJ40" s="2801">
        <f t="shared" si="84"/>
        <v>0</v>
      </c>
      <c r="AK40" s="1881"/>
      <c r="AL40" s="2268">
        <f t="shared" ref="AL40:AQ40" si="199">$J$40</f>
        <v>0</v>
      </c>
      <c r="AM40" s="2268">
        <f t="shared" si="199"/>
        <v>0</v>
      </c>
      <c r="AN40" s="2268">
        <f t="shared" si="199"/>
        <v>0</v>
      </c>
      <c r="AO40" s="2268">
        <f t="shared" si="199"/>
        <v>0</v>
      </c>
      <c r="AP40" s="2268">
        <f t="shared" si="199"/>
        <v>0</v>
      </c>
      <c r="AQ40" s="2268">
        <f t="shared" si="199"/>
        <v>0</v>
      </c>
      <c r="AR40" s="2268"/>
      <c r="AS40" s="2293"/>
      <c r="AT40" s="2799">
        <f t="shared" si="86"/>
        <v>0</v>
      </c>
      <c r="AU40" s="2800">
        <f t="shared" si="65"/>
        <v>0</v>
      </c>
      <c r="AV40" s="2801">
        <f t="shared" si="87"/>
        <v>0</v>
      </c>
      <c r="AW40" s="2293"/>
      <c r="AX40" s="2268"/>
      <c r="AY40" s="2268"/>
      <c r="AZ40" s="2268"/>
      <c r="BA40" s="2268">
        <f t="shared" ref="BA40:BD40" si="200">$J$40</f>
        <v>0</v>
      </c>
      <c r="BB40" s="2268">
        <f t="shared" si="200"/>
        <v>0</v>
      </c>
      <c r="BC40" s="2268">
        <f t="shared" si="200"/>
        <v>0</v>
      </c>
      <c r="BD40" s="2268">
        <f t="shared" si="200"/>
        <v>0</v>
      </c>
      <c r="BE40" s="2293"/>
      <c r="BF40" s="2799">
        <f t="shared" si="89"/>
        <v>0</v>
      </c>
      <c r="BG40" s="2800">
        <f t="shared" si="67"/>
        <v>0</v>
      </c>
      <c r="BH40" s="2801">
        <f t="shared" si="90"/>
        <v>0</v>
      </c>
      <c r="BI40" s="3019"/>
      <c r="BJ40" s="1728">
        <f t="shared" ref="BJ40:BL40" si="201">$J$40</f>
        <v>0</v>
      </c>
      <c r="BK40" s="1728">
        <f t="shared" si="201"/>
        <v>0</v>
      </c>
      <c r="BL40" s="1728">
        <f t="shared" si="201"/>
        <v>0</v>
      </c>
      <c r="BM40" s="3019"/>
      <c r="BN40" s="2799">
        <f t="shared" si="79"/>
        <v>0</v>
      </c>
      <c r="BO40" s="2800">
        <f t="shared" si="69"/>
        <v>0</v>
      </c>
      <c r="BP40" s="2801">
        <f t="shared" si="119"/>
        <v>0</v>
      </c>
      <c r="BR40" s="1732">
        <v>0</v>
      </c>
      <c r="BS40" s="1882" t="e">
        <f t="shared" si="70"/>
        <v>#DIV/0!</v>
      </c>
      <c r="BT40" s="1740"/>
      <c r="BU40" s="2226">
        <f t="shared" si="71"/>
        <v>0</v>
      </c>
      <c r="BV40" s="2802" t="e">
        <f t="shared" si="72"/>
        <v>#DIV/0!</v>
      </c>
      <c r="BW40" s="1997"/>
      <c r="BX40" s="3018"/>
      <c r="BZ40" s="3018"/>
      <c r="CA40" s="2992"/>
      <c r="CB40" s="1997"/>
      <c r="CC40" s="1861"/>
      <c r="CD40" s="1860"/>
      <c r="CE40" s="1860"/>
      <c r="CF40" s="1860"/>
      <c r="CG40" s="1860"/>
      <c r="CH40" s="1860"/>
      <c r="CI40" s="1860"/>
    </row>
    <row r="41" spans="1:87" s="1923" customFormat="1" ht="4.5" customHeight="1" thickBot="1" x14ac:dyDescent="0.25">
      <c r="B41" s="2525"/>
      <c r="C41" s="2526"/>
      <c r="D41" s="1800"/>
      <c r="E41" s="2527"/>
      <c r="F41" s="2527"/>
      <c r="G41" s="2527"/>
      <c r="H41" s="2527"/>
      <c r="I41" s="2527"/>
      <c r="J41" s="2527"/>
      <c r="K41" s="2528"/>
      <c r="L41" s="1866"/>
      <c r="M41" s="1867"/>
      <c r="N41" s="2026"/>
      <c r="O41" s="2026"/>
      <c r="P41" s="2026"/>
      <c r="Q41" s="2026"/>
      <c r="R41" s="2026"/>
      <c r="S41" s="2026"/>
      <c r="T41" s="2026"/>
      <c r="U41" s="3017"/>
      <c r="V41" s="3017"/>
      <c r="W41" s="3017"/>
      <c r="X41" s="3017"/>
      <c r="Y41" s="1915"/>
      <c r="Z41" s="2026"/>
      <c r="AA41" s="2026"/>
      <c r="AB41" s="2026"/>
      <c r="AC41" s="2026"/>
      <c r="AD41" s="2026"/>
      <c r="AE41" s="2026"/>
      <c r="AF41" s="2026"/>
      <c r="AG41" s="1915"/>
      <c r="AH41" s="3017"/>
      <c r="AI41" s="3017"/>
      <c r="AJ41" s="3017"/>
      <c r="AK41" s="1915"/>
      <c r="AL41" s="2026"/>
      <c r="AM41" s="2026"/>
      <c r="AN41" s="2026"/>
      <c r="AO41" s="2026"/>
      <c r="AP41" s="2026"/>
      <c r="AQ41" s="2026"/>
      <c r="AR41" s="2026"/>
      <c r="AS41" s="3017"/>
      <c r="AT41" s="3017"/>
      <c r="AU41" s="3017"/>
      <c r="AV41" s="3017"/>
      <c r="AW41" s="3017"/>
      <c r="AX41" s="2026"/>
      <c r="AY41" s="2026"/>
      <c r="AZ41" s="2026"/>
      <c r="BA41" s="2026"/>
      <c r="BB41" s="2026"/>
      <c r="BC41" s="2026"/>
      <c r="BD41" s="2026"/>
      <c r="BE41" s="3017"/>
      <c r="BF41" s="3017"/>
      <c r="BG41" s="3017"/>
      <c r="BH41" s="3017"/>
      <c r="BI41" s="3017"/>
      <c r="BJ41" s="2026"/>
      <c r="BK41" s="2026"/>
      <c r="BL41" s="2026"/>
      <c r="BM41" s="3017"/>
      <c r="BN41" s="3017"/>
      <c r="BO41" s="3017"/>
      <c r="BP41" s="3017"/>
      <c r="BR41" s="3017"/>
      <c r="BS41" s="1993"/>
      <c r="BT41" s="1994"/>
      <c r="BU41" s="2027"/>
      <c r="BV41" s="2028"/>
      <c r="BW41" s="1993"/>
      <c r="BX41" s="1916"/>
      <c r="BZ41" s="1916"/>
      <c r="CA41" s="1993"/>
      <c r="CB41" s="2030"/>
      <c r="CC41" s="1994"/>
    </row>
    <row r="42" spans="1:87" s="1885" customFormat="1" ht="17.25" thickBot="1" x14ac:dyDescent="0.25">
      <c r="B42" s="2000"/>
      <c r="C42" s="2803">
        <f>E42*100/20</f>
        <v>13726</v>
      </c>
      <c r="D42" s="1888"/>
      <c r="E42" s="2001">
        <f>SUM(E17:E40)</f>
        <v>2745.2</v>
      </c>
      <c r="F42" s="2001">
        <f t="shared" ref="F42:K42" si="202">SUM(F17:F40)</f>
        <v>279.13333333333333</v>
      </c>
      <c r="G42" s="2001">
        <f t="shared" si="202"/>
        <v>186.08888888888887</v>
      </c>
      <c r="H42" s="2001">
        <f t="shared" si="202"/>
        <v>139.56666666666666</v>
      </c>
      <c r="I42" s="2001">
        <f t="shared" si="202"/>
        <v>111.65333333333334</v>
      </c>
      <c r="J42" s="2001">
        <f>SUM(J17:J40)</f>
        <v>101.67407407407406</v>
      </c>
      <c r="K42" s="2584">
        <f t="shared" si="202"/>
        <v>1.0000000000000002</v>
      </c>
      <c r="L42" s="1949"/>
      <c r="M42" s="1950"/>
      <c r="N42" s="2001">
        <f t="shared" ref="N42" si="203">SUM(N17:N40)</f>
        <v>101.67407407407406</v>
      </c>
      <c r="O42" s="2001">
        <f t="shared" ref="O42:P42" si="204">SUM(O17:O40)</f>
        <v>101.67407407407406</v>
      </c>
      <c r="P42" s="2001">
        <f t="shared" si="204"/>
        <v>101.67407407407406</v>
      </c>
      <c r="Q42" s="2001">
        <f t="shared" ref="Q42:R42" si="205">SUM(Q17:Q40)</f>
        <v>101.67407407407406</v>
      </c>
      <c r="R42" s="2001">
        <f t="shared" si="205"/>
        <v>101.67407407407406</v>
      </c>
      <c r="S42" s="2001">
        <f t="shared" ref="S42" si="206">SUM(S17:S40)</f>
        <v>101.67407407407406</v>
      </c>
      <c r="T42" s="2001">
        <f t="shared" ref="T42" si="207">SUM(T17:T40)</f>
        <v>101.67407407407406</v>
      </c>
      <c r="U42" s="3016"/>
      <c r="V42" s="2804">
        <f>SUM(V17:V40)</f>
        <v>711.71851851851841</v>
      </c>
      <c r="W42" s="2805">
        <f>SUM(W17:W40)</f>
        <v>1183.1320000000003</v>
      </c>
      <c r="X42" s="2806">
        <f t="shared" ref="X42" si="208">SUM(X17:X40)</f>
        <v>471.4134814814816</v>
      </c>
      <c r="Y42" s="1896"/>
      <c r="Z42" s="2001">
        <f t="shared" ref="Z42:AA42" si="209">SUM(Z17:Z40)</f>
        <v>101.67407407407406</v>
      </c>
      <c r="AA42" s="2001">
        <f t="shared" si="209"/>
        <v>101.67407407407406</v>
      </c>
      <c r="AB42" s="2001">
        <f t="shared" ref="AB42:AC42" si="210">SUM(AB17:AB40)</f>
        <v>101.67407407407406</v>
      </c>
      <c r="AC42" s="2001">
        <f t="shared" si="210"/>
        <v>101.67407407407406</v>
      </c>
      <c r="AD42" s="2001">
        <f t="shared" ref="AD42:AE42" si="211">SUM(AD17:AD40)</f>
        <v>101.67407407407406</v>
      </c>
      <c r="AE42" s="2001">
        <f t="shared" si="211"/>
        <v>101.67407407407406</v>
      </c>
      <c r="AF42" s="2001">
        <f t="shared" ref="AF42" si="212">SUM(AF17:AF40)</f>
        <v>101.67407407407406</v>
      </c>
      <c r="AG42" s="1896"/>
      <c r="AH42" s="2804">
        <f>SUM(AH17:AH40)</f>
        <v>711.71851851851841</v>
      </c>
      <c r="AI42" s="2805">
        <f>SUM(AI17:AI40)</f>
        <v>951.55399999999975</v>
      </c>
      <c r="AJ42" s="2806">
        <f>SUM(AJ17:AJ40)</f>
        <v>239.83548148148139</v>
      </c>
      <c r="AK42" s="1896"/>
      <c r="AL42" s="2005">
        <f t="shared" ref="AL42" si="213">SUM(AL17:AL40)</f>
        <v>101.67407407407406</v>
      </c>
      <c r="AM42" s="2005">
        <f t="shared" ref="AM42:AN42" si="214">SUM(AM17:AM40)</f>
        <v>101.67407407407406</v>
      </c>
      <c r="AN42" s="2005">
        <f t="shared" si="214"/>
        <v>101.67407407407406</v>
      </c>
      <c r="AO42" s="2005">
        <f t="shared" ref="AO42:AP42" si="215">SUM(AO17:AO40)</f>
        <v>101.67407407407406</v>
      </c>
      <c r="AP42" s="2005">
        <f t="shared" si="215"/>
        <v>101.67407407407406</v>
      </c>
      <c r="AQ42" s="2005">
        <f t="shared" ref="AQ42" si="216">SUM(AQ17:AQ40)</f>
        <v>101.67407407407406</v>
      </c>
      <c r="AR42" s="2005">
        <f t="shared" ref="AR42" si="217">SUM(AR17:AR40)</f>
        <v>0</v>
      </c>
      <c r="AS42" s="2295"/>
      <c r="AT42" s="2804">
        <f>SUM(AT17:AT40)</f>
        <v>610.04444444444437</v>
      </c>
      <c r="AU42" s="2805">
        <f>SUM(AU17:AU40)</f>
        <v>1913.0639999999999</v>
      </c>
      <c r="AV42" s="2806">
        <f>SUM(AV17:AV40)</f>
        <v>1303.0195555555561</v>
      </c>
      <c r="AW42" s="2295"/>
      <c r="AX42" s="2005">
        <f t="shared" ref="AX42:BA42" si="218">SUM(AX17:AX40)</f>
        <v>0</v>
      </c>
      <c r="AY42" s="2005">
        <f t="shared" si="218"/>
        <v>0</v>
      </c>
      <c r="AZ42" s="2005">
        <f t="shared" si="218"/>
        <v>0</v>
      </c>
      <c r="BA42" s="2005">
        <f t="shared" si="218"/>
        <v>101.67407407407406</v>
      </c>
      <c r="BB42" s="2005">
        <f t="shared" ref="BB42:BC42" si="219">SUM(BB17:BB40)</f>
        <v>101.67407407407406</v>
      </c>
      <c r="BC42" s="2005">
        <f t="shared" si="219"/>
        <v>101.67407407407406</v>
      </c>
      <c r="BD42" s="2005">
        <f t="shared" ref="BD42" si="220">SUM(BD17:BD40)</f>
        <v>101.67407407407406</v>
      </c>
      <c r="BE42" s="2295"/>
      <c r="BF42" s="2804">
        <f>SUM(BF17:BF40)</f>
        <v>406.69629629629623</v>
      </c>
      <c r="BG42" s="2805">
        <f>SUM(BG17:BG40)</f>
        <v>788.86800000000028</v>
      </c>
      <c r="BH42" s="2806">
        <f>SUM(BH17:BH40)</f>
        <v>382.17170370370383</v>
      </c>
      <c r="BI42" s="3016"/>
      <c r="BJ42" s="2005">
        <f t="shared" ref="BJ42:BK42" si="221">SUM(BJ17:BJ40)</f>
        <v>101.67407407407406</v>
      </c>
      <c r="BK42" s="2005">
        <f t="shared" si="221"/>
        <v>101.67407407407406</v>
      </c>
      <c r="BL42" s="2005">
        <f t="shared" ref="BL42" si="222">SUM(BL17:BL40)</f>
        <v>46.118518518518535</v>
      </c>
      <c r="BM42" s="3016"/>
      <c r="BN42" s="2804">
        <f>SUM(BN17:BN40)</f>
        <v>249.46666666666664</v>
      </c>
      <c r="BO42" s="2805">
        <f>SUM(BO17:BO40)</f>
        <v>359.84199999999998</v>
      </c>
      <c r="BP42" s="2806">
        <f>SUM(BP17:BP40)</f>
        <v>110.37533333333336</v>
      </c>
      <c r="BR42" s="2397">
        <f>SUM(BR17:BR40)</f>
        <v>0</v>
      </c>
      <c r="BS42" s="2398">
        <f>BR42/E42</f>
        <v>0</v>
      </c>
      <c r="BT42" s="1900"/>
      <c r="BU42" s="2397">
        <f>SUM(BU17:BU40)</f>
        <v>2486.2962962962956</v>
      </c>
      <c r="BV42" s="2398">
        <f>BU42/E42</f>
        <v>0.90568858236059147</v>
      </c>
      <c r="BW42" s="2010"/>
      <c r="BX42" s="3015"/>
      <c r="BZ42" s="3015"/>
      <c r="CA42" s="1946"/>
      <c r="CB42" s="1946"/>
      <c r="CC42" s="1946"/>
      <c r="CD42" s="1946"/>
      <c r="CE42" s="1946"/>
      <c r="CF42" s="1946"/>
      <c r="CG42" s="1946"/>
      <c r="CH42" s="1946"/>
      <c r="CI42" s="1946"/>
    </row>
    <row r="43" spans="1:87" s="1947" customFormat="1" ht="4.5" customHeight="1" thickBot="1" x14ac:dyDescent="0.25">
      <c r="B43" s="2634"/>
      <c r="C43" s="2635"/>
      <c r="D43" s="1906"/>
      <c r="E43" s="2392"/>
      <c r="F43" s="2392"/>
      <c r="G43" s="2392"/>
      <c r="H43" s="2392"/>
      <c r="I43" s="2392"/>
      <c r="J43" s="2392"/>
      <c r="K43" s="2636"/>
      <c r="L43" s="1949"/>
      <c r="M43" s="1950"/>
      <c r="N43" s="2392"/>
      <c r="O43" s="2392"/>
      <c r="P43" s="2392"/>
      <c r="Q43" s="2392"/>
      <c r="R43" s="2392"/>
      <c r="S43" s="2392"/>
      <c r="T43" s="2392"/>
      <c r="U43" s="1951"/>
      <c r="V43" s="1951"/>
      <c r="W43" s="1951"/>
      <c r="X43" s="1951"/>
      <c r="Y43" s="1956"/>
      <c r="Z43" s="2392"/>
      <c r="AA43" s="2392"/>
      <c r="AB43" s="2392"/>
      <c r="AC43" s="2392"/>
      <c r="AD43" s="2392"/>
      <c r="AE43" s="2392"/>
      <c r="AF43" s="2392"/>
      <c r="AG43" s="1956"/>
      <c r="AH43" s="1951"/>
      <c r="AI43" s="1951"/>
      <c r="AJ43" s="1951"/>
      <c r="AK43" s="1956"/>
      <c r="AL43" s="2392"/>
      <c r="AM43" s="2392"/>
      <c r="AN43" s="2392"/>
      <c r="AO43" s="2392"/>
      <c r="AP43" s="2392"/>
      <c r="AQ43" s="2392"/>
      <c r="AR43" s="2392"/>
      <c r="AS43" s="1951"/>
      <c r="AT43" s="1951"/>
      <c r="AU43" s="1951"/>
      <c r="AV43" s="1951"/>
      <c r="AW43" s="1951"/>
      <c r="AX43" s="2392"/>
      <c r="AY43" s="2392"/>
      <c r="AZ43" s="2392"/>
      <c r="BA43" s="2392"/>
      <c r="BB43" s="2392"/>
      <c r="BC43" s="2392"/>
      <c r="BD43" s="2392"/>
      <c r="BE43" s="1951"/>
      <c r="BF43" s="1951"/>
      <c r="BG43" s="1951"/>
      <c r="BH43" s="1951"/>
      <c r="BI43" s="1951"/>
      <c r="BJ43" s="2392"/>
      <c r="BK43" s="2392"/>
      <c r="BL43" s="2392"/>
      <c r="BM43" s="1951"/>
      <c r="BN43" s="1951"/>
      <c r="BO43" s="1951"/>
      <c r="BP43" s="1951"/>
      <c r="BR43" s="1951"/>
      <c r="BS43" s="1962"/>
      <c r="BT43" s="1959"/>
      <c r="BU43" s="1951"/>
      <c r="BV43" s="1962"/>
      <c r="BW43" s="1962"/>
      <c r="BX43" s="1905"/>
      <c r="BZ43" s="1905"/>
      <c r="CA43" s="1906"/>
      <c r="CB43" s="1906"/>
      <c r="CC43" s="1906"/>
      <c r="CD43" s="1906"/>
      <c r="CE43" s="1906"/>
      <c r="CF43" s="1906"/>
      <c r="CG43" s="1906"/>
      <c r="CH43" s="1906"/>
      <c r="CI43" s="1906"/>
    </row>
    <row r="44" spans="1:87" s="1726" customFormat="1" ht="17.25" thickBot="1" x14ac:dyDescent="0.25">
      <c r="B44" s="1963">
        <v>37</v>
      </c>
      <c r="C44" s="1963"/>
      <c r="D44" s="1727"/>
      <c r="E44" s="1728"/>
      <c r="F44" s="1728"/>
      <c r="G44" s="1728"/>
      <c r="H44" s="1728"/>
      <c r="I44" s="1728"/>
      <c r="J44" s="1728"/>
      <c r="K44" s="1729"/>
      <c r="L44" s="1760"/>
      <c r="M44" s="1924"/>
      <c r="N44" s="1728"/>
      <c r="O44" s="1728"/>
      <c r="P44" s="1728"/>
      <c r="Q44" s="1728"/>
      <c r="R44" s="1728"/>
      <c r="S44" s="1728"/>
      <c r="T44" s="1728"/>
      <c r="U44" s="3019"/>
      <c r="V44" s="2031"/>
      <c r="W44" s="2032"/>
      <c r="X44" s="2033"/>
      <c r="Y44" s="1881"/>
      <c r="Z44" s="1728"/>
      <c r="AA44" s="1728"/>
      <c r="AB44" s="1728"/>
      <c r="AC44" s="1728"/>
      <c r="AD44" s="1728"/>
      <c r="AE44" s="1728"/>
      <c r="AF44" s="1728"/>
      <c r="AG44" s="1881"/>
      <c r="AH44" s="2031"/>
      <c r="AI44" s="2032"/>
      <c r="AJ44" s="2033"/>
      <c r="AK44" s="1881"/>
      <c r="AL44" s="2268"/>
      <c r="AM44" s="2268"/>
      <c r="AN44" s="2268"/>
      <c r="AO44" s="2268"/>
      <c r="AP44" s="2268"/>
      <c r="AQ44" s="2268"/>
      <c r="AR44" s="2268"/>
      <c r="AS44" s="2293"/>
      <c r="AT44" s="2031"/>
      <c r="AU44" s="2032"/>
      <c r="AV44" s="2033"/>
      <c r="AW44" s="2293"/>
      <c r="AX44" s="2268"/>
      <c r="AY44" s="2268"/>
      <c r="AZ44" s="2268"/>
      <c r="BA44" s="2268"/>
      <c r="BB44" s="2268"/>
      <c r="BC44" s="2268"/>
      <c r="BD44" s="2268"/>
      <c r="BE44" s="2293"/>
      <c r="BF44" s="2031"/>
      <c r="BG44" s="2032"/>
      <c r="BH44" s="2033"/>
      <c r="BI44" s="3019"/>
      <c r="BJ44" s="2268"/>
      <c r="BK44" s="2268"/>
      <c r="BL44" s="2268"/>
      <c r="BM44" s="3019"/>
      <c r="BN44" s="2031"/>
      <c r="BO44" s="2032"/>
      <c r="BP44" s="2033"/>
      <c r="BR44" s="2034"/>
      <c r="BS44" s="2035"/>
      <c r="BT44" s="1740"/>
      <c r="BU44" s="2034"/>
      <c r="BV44" s="2035"/>
      <c r="BW44" s="1997"/>
      <c r="BX44" s="3018"/>
      <c r="BZ44" s="3018"/>
      <c r="CA44" s="1860"/>
      <c r="CB44" s="1860"/>
      <c r="CC44" s="1860"/>
      <c r="CD44" s="1860"/>
      <c r="CE44" s="1860"/>
      <c r="CF44" s="1860"/>
      <c r="CG44" s="1860"/>
      <c r="CH44" s="1860"/>
      <c r="CI44" s="1860"/>
    </row>
    <row r="45" spans="1:87" s="1923" customFormat="1" ht="4.5" customHeight="1" thickBot="1" x14ac:dyDescent="0.25">
      <c r="B45" s="2023"/>
      <c r="C45" s="2024"/>
      <c r="D45" s="1800"/>
      <c r="E45" s="1803"/>
      <c r="F45" s="1803"/>
      <c r="G45" s="1803"/>
      <c r="H45" s="1803"/>
      <c r="I45" s="1803"/>
      <c r="J45" s="1803"/>
      <c r="K45" s="2025"/>
      <c r="L45" s="1866"/>
      <c r="M45" s="1867"/>
      <c r="N45" s="2026"/>
      <c r="O45" s="2026"/>
      <c r="P45" s="2026"/>
      <c r="Q45" s="2026"/>
      <c r="R45" s="2026"/>
      <c r="S45" s="2026"/>
      <c r="T45" s="2026"/>
      <c r="U45" s="3017"/>
      <c r="V45" s="3017"/>
      <c r="W45" s="3017"/>
      <c r="X45" s="3017"/>
      <c r="Y45" s="1915"/>
      <c r="Z45" s="2026"/>
      <c r="AA45" s="2026"/>
      <c r="AB45" s="2026"/>
      <c r="AC45" s="2026"/>
      <c r="AD45" s="2026"/>
      <c r="AE45" s="2026"/>
      <c r="AF45" s="2026"/>
      <c r="AG45" s="1915"/>
      <c r="AH45" s="3017"/>
      <c r="AI45" s="3017"/>
      <c r="AJ45" s="3017"/>
      <c r="AK45" s="1915"/>
      <c r="AL45" s="2026"/>
      <c r="AM45" s="2026"/>
      <c r="AN45" s="2026"/>
      <c r="AO45" s="2026"/>
      <c r="AP45" s="2026"/>
      <c r="AQ45" s="2026"/>
      <c r="AR45" s="2026"/>
      <c r="AS45" s="3017"/>
      <c r="AT45" s="3017"/>
      <c r="AU45" s="3017"/>
      <c r="AV45" s="3017"/>
      <c r="AW45" s="3017"/>
      <c r="AX45" s="2026"/>
      <c r="AY45" s="2026"/>
      <c r="AZ45" s="2026"/>
      <c r="BA45" s="2026"/>
      <c r="BB45" s="2026"/>
      <c r="BC45" s="2026"/>
      <c r="BD45" s="2026"/>
      <c r="BE45" s="3017"/>
      <c r="BF45" s="2274"/>
      <c r="BG45" s="2274"/>
      <c r="BH45" s="2274"/>
      <c r="BI45" s="3017"/>
      <c r="BJ45" s="2026"/>
      <c r="BK45" s="2026"/>
      <c r="BL45" s="2026"/>
      <c r="BM45" s="3017"/>
      <c r="BN45" s="2274"/>
      <c r="BO45" s="2274"/>
      <c r="BP45" s="2274"/>
      <c r="BR45" s="3017"/>
      <c r="BS45" s="1993"/>
      <c r="BT45" s="1994"/>
      <c r="BU45" s="3017"/>
      <c r="BV45" s="1993"/>
      <c r="BW45" s="1993"/>
      <c r="BX45" s="1916"/>
      <c r="BZ45" s="1916"/>
    </row>
    <row r="46" spans="1:87" s="1885" customFormat="1" ht="17.25" thickBot="1" x14ac:dyDescent="0.25">
      <c r="B46" s="2117"/>
      <c r="C46" s="2212" t="s">
        <v>150</v>
      </c>
      <c r="D46" s="2119"/>
      <c r="E46" s="2123">
        <f>E42*100/20</f>
        <v>13726</v>
      </c>
      <c r="F46" s="2121" t="e">
        <f>#REF!*100/30</f>
        <v>#REF!</v>
      </c>
      <c r="G46" s="2121" t="e">
        <f>#REF!*100/30</f>
        <v>#REF!</v>
      </c>
      <c r="H46" s="2121" t="e">
        <f>#REF!*100/30</f>
        <v>#REF!</v>
      </c>
      <c r="I46" s="2121" t="e">
        <f>#REF!*100/30</f>
        <v>#REF!</v>
      </c>
      <c r="J46" s="2121">
        <f>J42*100/20</f>
        <v>508.37037037037027</v>
      </c>
      <c r="K46" s="2130">
        <f>E46/E89</f>
        <v>0.53872873206821437</v>
      </c>
      <c r="L46" s="1949"/>
      <c r="M46" s="2214"/>
      <c r="N46" s="2120">
        <f t="shared" ref="N46:S46" si="223">N11</f>
        <v>23.831962962962969</v>
      </c>
      <c r="O46" s="2123">
        <f t="shared" si="223"/>
        <v>39.592462962962976</v>
      </c>
      <c r="P46" s="2123">
        <f t="shared" si="223"/>
        <v>71.939962962962966</v>
      </c>
      <c r="Q46" s="2123">
        <f t="shared" si="223"/>
        <v>46.585462962962971</v>
      </c>
      <c r="R46" s="2123">
        <f t="shared" si="223"/>
        <v>21.614462962962968</v>
      </c>
      <c r="S46" s="2123">
        <f t="shared" si="223"/>
        <v>-7.8025370370370268</v>
      </c>
      <c r="T46" s="2124">
        <f t="shared" ref="T46" si="224">T11</f>
        <v>39.944962962962968</v>
      </c>
      <c r="U46" s="1951"/>
      <c r="V46" s="2120">
        <f>SUM(N46:T46)</f>
        <v>235.70674074074077</v>
      </c>
      <c r="W46" s="2123"/>
      <c r="X46" s="2124"/>
      <c r="Y46" s="1956"/>
      <c r="Z46" s="2120">
        <f t="shared" ref="Z46:AA46" si="225">Z11</f>
        <v>-4.834037037037028</v>
      </c>
      <c r="AA46" s="2121">
        <f t="shared" si="225"/>
        <v>35.992462962962968</v>
      </c>
      <c r="AB46" s="2121">
        <f t="shared" ref="AB46:AC46" si="226">AB11</f>
        <v>27.460962962962974</v>
      </c>
      <c r="AC46" s="2121">
        <f t="shared" si="226"/>
        <v>25.519462962962969</v>
      </c>
      <c r="AD46" s="2121">
        <f t="shared" ref="AD46:AE46" si="227">AD11</f>
        <v>14.426962962962968</v>
      </c>
      <c r="AE46" s="2121">
        <f t="shared" si="227"/>
        <v>-18.576537037037028</v>
      </c>
      <c r="AF46" s="2121">
        <f t="shared" ref="AF46" si="228">AF11</f>
        <v>39.928462962962975</v>
      </c>
      <c r="AG46" s="1956"/>
      <c r="AH46" s="2120">
        <f>SUM(Z46:AF46)</f>
        <v>119.91774074074078</v>
      </c>
      <c r="AI46" s="2123"/>
      <c r="AJ46" s="2124"/>
      <c r="AK46" s="1955"/>
      <c r="AL46" s="2120">
        <f t="shared" ref="AL46" si="229">AL11</f>
        <v>150.65246296296297</v>
      </c>
      <c r="AM46" s="2121">
        <f t="shared" ref="AM46:AN46" si="230">AM11</f>
        <v>146.48946296296299</v>
      </c>
      <c r="AN46" s="2121">
        <f t="shared" si="230"/>
        <v>181.70196296296297</v>
      </c>
      <c r="AO46" s="2121">
        <f t="shared" ref="AO46:AP46" si="231">AO11</f>
        <v>67.335962962962981</v>
      </c>
      <c r="AP46" s="2121">
        <f t="shared" si="231"/>
        <v>39.477462962962967</v>
      </c>
      <c r="AQ46" s="2121">
        <f t="shared" ref="AQ46" si="232">AQ11</f>
        <v>65.85246296296296</v>
      </c>
      <c r="AR46" s="2124">
        <f t="shared" ref="AR46" si="233">AR11</f>
        <v>0</v>
      </c>
      <c r="AS46" s="2254"/>
      <c r="AT46" s="2120">
        <f>SUM(AL46:AR46)</f>
        <v>651.5097777777778</v>
      </c>
      <c r="AU46" s="2123"/>
      <c r="AV46" s="2124"/>
      <c r="AW46" s="1951"/>
      <c r="AX46" s="2120">
        <f t="shared" ref="AX46:BA46" si="234">AX11</f>
        <v>0</v>
      </c>
      <c r="AY46" s="2121">
        <f t="shared" si="234"/>
        <v>0</v>
      </c>
      <c r="AZ46" s="2121">
        <f t="shared" si="234"/>
        <v>0</v>
      </c>
      <c r="BA46" s="2121">
        <f t="shared" si="234"/>
        <v>10.003962962962973</v>
      </c>
      <c r="BB46" s="2121">
        <f t="shared" ref="BB46:BC46" si="235">BB11</f>
        <v>123.73946296296299</v>
      </c>
      <c r="BC46" s="2121">
        <f t="shared" si="235"/>
        <v>47.566462962962966</v>
      </c>
      <c r="BD46" s="2124">
        <f t="shared" ref="BD46" si="236">BD11</f>
        <v>9.7759629629629714</v>
      </c>
      <c r="BE46" s="1951"/>
      <c r="BF46" s="2120">
        <f>SUM(AX46:BD46)</f>
        <v>191.08585185185191</v>
      </c>
      <c r="BG46" s="2123"/>
      <c r="BH46" s="2124"/>
      <c r="BI46" s="1900"/>
      <c r="BJ46" s="2120">
        <f t="shared" ref="BJ46:BK46" si="237">BJ11</f>
        <v>3.6564629629629692</v>
      </c>
      <c r="BK46" s="2121">
        <f t="shared" si="237"/>
        <v>8.1854629629629727</v>
      </c>
      <c r="BL46" s="2124">
        <f t="shared" ref="BL46" si="238">BL11</f>
        <v>43.345740740740737</v>
      </c>
      <c r="BM46" s="2317"/>
      <c r="BN46" s="2215">
        <f>SUM(BJ46:BL46)</f>
        <v>55.187666666666679</v>
      </c>
      <c r="BO46" s="2677"/>
      <c r="BP46" s="2124"/>
      <c r="BQ46" s="1897"/>
      <c r="BR46" s="2215">
        <f>SUM(N46:T46)+SUM(Z46:AF46)+SUM(AL46:AR46)+SUM(AX46:BD46)+SUM(BL46:BL46)</f>
        <v>1241.5658518518519</v>
      </c>
      <c r="BS46" s="2130"/>
      <c r="BT46" s="1900"/>
      <c r="BU46" s="2011"/>
      <c r="BV46" s="2011"/>
      <c r="BW46" s="2011"/>
      <c r="BZ46" s="3015"/>
      <c r="CA46" s="1946"/>
      <c r="CB46" s="1946"/>
      <c r="CC46" s="1946"/>
      <c r="CD46" s="1946"/>
      <c r="CE46" s="1946"/>
      <c r="CF46" s="1946"/>
      <c r="CG46" s="1946"/>
      <c r="CH46" s="1946"/>
      <c r="CI46" s="1946"/>
    </row>
    <row r="47" spans="1:87" s="1860" customFormat="1" ht="17.25" thickBot="1" x14ac:dyDescent="0.25">
      <c r="B47" s="1861"/>
      <c r="C47" s="1861" t="s">
        <v>143</v>
      </c>
      <c r="D47" s="1861"/>
      <c r="E47" s="3019"/>
      <c r="F47" s="3019"/>
      <c r="G47" s="3019"/>
      <c r="H47" s="3019"/>
      <c r="I47" s="3019"/>
      <c r="J47" s="3019"/>
      <c r="K47" s="2059"/>
      <c r="L47" s="1931"/>
      <c r="M47" s="1877"/>
      <c r="N47" s="3019"/>
      <c r="O47" s="3019"/>
      <c r="P47" s="3047"/>
      <c r="Q47" s="3061"/>
      <c r="R47" s="3064"/>
      <c r="S47" s="3067"/>
      <c r="T47" s="3019"/>
      <c r="U47" s="3019"/>
      <c r="V47" s="3019"/>
      <c r="W47" s="3019"/>
      <c r="X47" s="3019"/>
      <c r="Y47" s="1862"/>
      <c r="Z47" s="3019"/>
      <c r="AA47" s="3019"/>
      <c r="AB47" s="3079"/>
      <c r="AC47" s="3084"/>
      <c r="AD47" s="3090"/>
      <c r="AE47" s="3095"/>
      <c r="AF47" s="3019"/>
      <c r="AG47" s="1862"/>
      <c r="AH47" s="3019"/>
      <c r="AI47" s="3019"/>
      <c r="AJ47" s="3019"/>
      <c r="AK47" s="1862"/>
      <c r="AL47" s="3019"/>
      <c r="AM47" s="3019"/>
      <c r="AN47" s="3107"/>
      <c r="AO47" s="3115"/>
      <c r="AP47" s="3118"/>
      <c r="AQ47" s="3019"/>
      <c r="AR47" s="3019"/>
      <c r="AS47" s="3019"/>
      <c r="AT47" s="3019"/>
      <c r="AU47" s="3019"/>
      <c r="AV47" s="3019"/>
      <c r="AW47" s="3019"/>
      <c r="AX47" s="3019"/>
      <c r="AY47" s="3019"/>
      <c r="AZ47" s="3019"/>
      <c r="BA47" s="3019"/>
      <c r="BB47" s="3121"/>
      <c r="BC47" s="3121"/>
      <c r="BD47" s="3019"/>
      <c r="BE47" s="3019"/>
      <c r="BF47" s="3019"/>
      <c r="BG47" s="3019"/>
      <c r="BH47" s="3019"/>
      <c r="BI47" s="3019"/>
      <c r="BJ47" s="3019"/>
      <c r="BK47" s="3019"/>
      <c r="BL47" s="3019"/>
      <c r="BM47" s="3019"/>
      <c r="BN47" s="3019"/>
      <c r="BO47" s="3019"/>
      <c r="BP47" s="3019"/>
      <c r="BQ47" s="1862"/>
      <c r="BR47" s="3019"/>
      <c r="BS47" s="2639"/>
      <c r="BT47" s="1861"/>
      <c r="BU47" s="4634" t="s">
        <v>99</v>
      </c>
      <c r="BV47" s="4634"/>
      <c r="BW47" s="3019"/>
      <c r="BX47" s="1862"/>
      <c r="BZ47" s="3018"/>
    </row>
    <row r="48" spans="1:87" s="1900" customFormat="1" ht="15.75" x14ac:dyDescent="0.2">
      <c r="A48" s="2464"/>
      <c r="B48" s="2280">
        <v>38</v>
      </c>
      <c r="C48" s="2405" t="s">
        <v>245</v>
      </c>
      <c r="D48" s="2119"/>
      <c r="E48" s="2410">
        <v>106</v>
      </c>
      <c r="F48" s="2678"/>
      <c r="G48" s="2678"/>
      <c r="H48" s="2678"/>
      <c r="I48" s="2678"/>
      <c r="J48" s="2406">
        <f>E48/27</f>
        <v>3.925925925925926</v>
      </c>
      <c r="K48" s="2407">
        <f>E48/$E$57</f>
        <v>0.31500742942050519</v>
      </c>
      <c r="L48" s="2468"/>
      <c r="M48" s="2339"/>
      <c r="N48" s="2679">
        <f t="shared" ref="N48" si="239">IF(N46&gt;$J$57,$J$48,IF(N46&lt;$J$57,(IF(N46&lt;0,0,N46*$K$48))))</f>
        <v>3.925925925925926</v>
      </c>
      <c r="O48" s="2406">
        <f t="shared" ref="O48:P48" si="240">IF(O46&gt;$J$57,$J$48,IF(O46&lt;$J$57,(IF(O46&lt;0,0,O46*$K$48))))</f>
        <v>3.925925925925926</v>
      </c>
      <c r="P48" s="2406">
        <f t="shared" si="240"/>
        <v>3.925925925925926</v>
      </c>
      <c r="Q48" s="2406">
        <f t="shared" ref="Q48:R48" si="241">IF(Q46&gt;$J$57,$J$48,IF(Q46&lt;$J$57,(IF(Q46&lt;0,0,Q46*$K$48))))</f>
        <v>3.925925925925926</v>
      </c>
      <c r="R48" s="2406">
        <f t="shared" si="241"/>
        <v>3.925925925925926</v>
      </c>
      <c r="S48" s="2406">
        <f t="shared" ref="S48" si="242">IF(S46&gt;$J$57,$J$48,IF(S46&lt;$J$57,(IF(S46&lt;0,0,S46*$K$48))))</f>
        <v>0</v>
      </c>
      <c r="T48" s="2409">
        <f t="shared" ref="T48" si="243">IF(T46&gt;$J$57,$J$48,IF(T46&lt;$J$57,(IF(T46&lt;0,0,T46*$K$48))))</f>
        <v>3.925925925925926</v>
      </c>
      <c r="U48" s="1951"/>
      <c r="V48" s="2410">
        <f t="shared" si="94"/>
        <v>23.555555555555557</v>
      </c>
      <c r="W48" s="2408">
        <f>$J$48*0</f>
        <v>0</v>
      </c>
      <c r="X48" s="2411">
        <f>V48-W48</f>
        <v>23.555555555555557</v>
      </c>
      <c r="Y48" s="1951"/>
      <c r="Z48" s="2410">
        <f t="shared" ref="Z48:AA48" si="244">IF(Z46&gt;$J$57,$J$48,IF(Z46&lt;$J$57,(IF(Z46&lt;0,0,Z46*$K$48))))</f>
        <v>0</v>
      </c>
      <c r="AA48" s="2408">
        <f t="shared" si="244"/>
        <v>3.925925925925926</v>
      </c>
      <c r="AB48" s="2408">
        <f t="shared" ref="AB48:AC48" si="245">IF(AB46&gt;$J$57,$J$48,IF(AB46&lt;$J$57,(IF(AB46&lt;0,0,AB46*$K$48))))</f>
        <v>3.925925925925926</v>
      </c>
      <c r="AC48" s="2408">
        <f t="shared" si="245"/>
        <v>3.925925925925926</v>
      </c>
      <c r="AD48" s="2408">
        <f t="shared" ref="AD48:AE48" si="246">IF(AD46&gt;$J$57,$J$48,IF(AD46&lt;$J$57,(IF(AD46&lt;0,0,AD46*$K$48))))</f>
        <v>3.925925925925926</v>
      </c>
      <c r="AE48" s="2408">
        <f t="shared" si="246"/>
        <v>0</v>
      </c>
      <c r="AF48" s="2409">
        <f t="shared" ref="AF48" si="247">IF(AF46&gt;$J$57,$J$48,IF(AF46&lt;$J$57,(IF(AF46&lt;0,0,AF46*$K$48))))</f>
        <v>3.925925925925926</v>
      </c>
      <c r="AG48" s="1951"/>
      <c r="AH48" s="2410">
        <f>SUM(Z48:AF48)</f>
        <v>19.62962962962963</v>
      </c>
      <c r="AI48" s="2408">
        <f>$J$48*0</f>
        <v>0</v>
      </c>
      <c r="AJ48" s="2411">
        <f>AH48-AI48</f>
        <v>19.62962962962963</v>
      </c>
      <c r="AK48" s="1951"/>
      <c r="AL48" s="2410">
        <f t="shared" ref="AL48" si="248">IF(AL46&gt;$J$57,$J$48,IF(AL46&lt;$J$57,(IF(AL46&lt;0,0,AL46*$K$48))))</f>
        <v>3.925925925925926</v>
      </c>
      <c r="AM48" s="2406">
        <f t="shared" ref="AM48:AN48" si="249">IF(AM46&gt;$J$57,$J$48,IF(AM46&lt;$J$57,(IF(AM46&lt;0,0,AM46*$K$48))))</f>
        <v>3.925925925925926</v>
      </c>
      <c r="AN48" s="2406">
        <f t="shared" si="249"/>
        <v>3.925925925925926</v>
      </c>
      <c r="AO48" s="2406">
        <f t="shared" ref="AO48:AP48" si="250">IF(AO46&gt;$J$57,$J$48,IF(AO46&lt;$J$57,(IF(AO46&lt;0,0,AO46*$K$48))))</f>
        <v>3.925925925925926</v>
      </c>
      <c r="AP48" s="2406">
        <f t="shared" si="250"/>
        <v>3.925925925925926</v>
      </c>
      <c r="AQ48" s="2406">
        <f t="shared" ref="AQ48" si="251">IF(AQ46&gt;$J$57,$J$48,IF(AQ46&lt;$J$57,(IF(AQ46&lt;0,0,AQ46*$K$48))))</f>
        <v>3.925925925925926</v>
      </c>
      <c r="AR48" s="2409">
        <f t="shared" ref="AR48" si="252">IF(AR46&gt;$J$57,$J$48,IF(AR46&lt;$J$57,(IF(AR46&lt;0,0,AR46*$K$48))))</f>
        <v>0</v>
      </c>
      <c r="AS48" s="1951"/>
      <c r="AT48" s="2410">
        <f>SUM(AL48:AR48)</f>
        <v>23.555555555555557</v>
      </c>
      <c r="AU48" s="2408">
        <f>$J$48*0</f>
        <v>0</v>
      </c>
      <c r="AV48" s="2411">
        <f>AT48-AU48</f>
        <v>23.555555555555557</v>
      </c>
      <c r="AW48" s="1951"/>
      <c r="AX48" s="2410">
        <f t="shared" ref="AX48:BA48" si="253">IF(AX46&gt;$J$57,$J$48,IF(AX46&lt;$J$57,(IF(AX46&lt;0,0,AX46*$K$48))))</f>
        <v>0</v>
      </c>
      <c r="AY48" s="2406">
        <f t="shared" si="253"/>
        <v>0</v>
      </c>
      <c r="AZ48" s="2406">
        <f t="shared" si="253"/>
        <v>0</v>
      </c>
      <c r="BA48" s="2406">
        <f t="shared" si="253"/>
        <v>3.1513226569809065</v>
      </c>
      <c r="BB48" s="2406">
        <f t="shared" ref="BB48:BC48" si="254">IF(BB46&gt;$J$57,$J$48,IF(BB46&lt;$J$57,(IF(BB46&lt;0,0,BB46*$K$48))))</f>
        <v>3.925925925925926</v>
      </c>
      <c r="BC48" s="2406">
        <f t="shared" si="254"/>
        <v>3.925925925925926</v>
      </c>
      <c r="BD48" s="2409">
        <f t="shared" ref="BD48" si="255">IF(BD46&gt;$J$57,$J$48,IF(BD46&lt;$J$57,(IF(BD46&lt;0,0,BD46*$K$48))))</f>
        <v>3.079500963073031</v>
      </c>
      <c r="BE48" s="1951"/>
      <c r="BF48" s="2410">
        <f>SUM(AX48:BD48)</f>
        <v>14.082675471905789</v>
      </c>
      <c r="BG48" s="2408">
        <f>$J$48*0</f>
        <v>0</v>
      </c>
      <c r="BH48" s="2411">
        <f>BF48-BG48</f>
        <v>14.082675471905789</v>
      </c>
      <c r="BI48" s="1951"/>
      <c r="BJ48" s="2410">
        <f t="shared" ref="BJ48:BK48" si="256">IF(BJ46&gt;$J$57,$J$48,IF(BJ46&lt;$J$57,(IF(BJ46&lt;0,0,BJ46*$K$48))))</f>
        <v>1.1518129987342489</v>
      </c>
      <c r="BK48" s="2406">
        <f t="shared" si="256"/>
        <v>2.5784816465797178</v>
      </c>
      <c r="BL48" s="2409">
        <f t="shared" ref="BL48" si="257">IF(BL46&gt;$J$57,$J$48,IF(BL46&lt;$J$57,(IF(BL46&lt;0,0,BL46*$K$48))))</f>
        <v>3.925925925925926</v>
      </c>
      <c r="BM48" s="1951"/>
      <c r="BN48" s="2410">
        <f>SUM(BJ48:BL48)</f>
        <v>7.6562205712398921</v>
      </c>
      <c r="BO48" s="2408">
        <f>$J$48*0</f>
        <v>0</v>
      </c>
      <c r="BP48" s="2411">
        <f>BN48-BO48</f>
        <v>7.6562205712398921</v>
      </c>
      <c r="BR48" s="2410"/>
      <c r="BS48" s="2412"/>
      <c r="BU48" s="2410">
        <f t="shared" ref="BU48:BU56" si="258">SUM(N48:T48)+SUM(Z48:AF48)+SUM(AL48:AR48)+SUM(AX48:BD48)+SUM(BL48:BL48)</f>
        <v>84.749342138572459</v>
      </c>
      <c r="BV48" s="2413">
        <f t="shared" ref="BV48:BV57" si="259">BU48/E48</f>
        <v>0.79952209564691001</v>
      </c>
      <c r="BW48" s="2353"/>
      <c r="BX48" s="4635">
        <f>BV57-BU1</f>
        <v>-7.1445646288573861E-2</v>
      </c>
      <c r="BZ48" s="4627"/>
      <c r="CA48" s="2011"/>
      <c r="CB48" s="2011"/>
      <c r="CC48" s="2011"/>
      <c r="CD48" s="2011"/>
      <c r="CE48" s="2011"/>
      <c r="CF48" s="2011"/>
      <c r="CG48" s="2011"/>
      <c r="CH48" s="2011"/>
      <c r="CI48" s="2011"/>
    </row>
    <row r="49" spans="1:87" s="1740" customFormat="1" ht="15.75" x14ac:dyDescent="0.2">
      <c r="A49" s="2466"/>
      <c r="B49" s="2151">
        <v>39</v>
      </c>
      <c r="C49" s="2152" t="s">
        <v>241</v>
      </c>
      <c r="D49" s="2051"/>
      <c r="E49" s="2090">
        <v>63</v>
      </c>
      <c r="F49" s="2154"/>
      <c r="G49" s="2154"/>
      <c r="H49" s="2154"/>
      <c r="I49" s="2154"/>
      <c r="J49" s="2154">
        <f t="shared" ref="J49:J56" si="260">E49/27</f>
        <v>2.3333333333333335</v>
      </c>
      <c r="K49" s="2155">
        <f>E49/$E$57</f>
        <v>0.18722139673105498</v>
      </c>
      <c r="L49" s="2465"/>
      <c r="M49" s="2131"/>
      <c r="N49" s="2615">
        <f t="shared" ref="N49" si="261">IF(N46&gt;$J$57,$J$49,IF(N46&lt;$J$57,(IF(N46&lt;0,0,N46*$K$49))))</f>
        <v>2.3333333333333335</v>
      </c>
      <c r="O49" s="2154">
        <f t="shared" ref="O49:P49" si="262">IF(O46&gt;$J$57,$J$49,IF(O46&lt;$J$57,(IF(O46&lt;0,0,O46*$K$49))))</f>
        <v>2.3333333333333335</v>
      </c>
      <c r="P49" s="2154">
        <f t="shared" si="262"/>
        <v>2.3333333333333335</v>
      </c>
      <c r="Q49" s="2154">
        <f t="shared" ref="Q49:R49" si="263">IF(Q46&gt;$J$57,$J$49,IF(Q46&lt;$J$57,(IF(Q46&lt;0,0,Q46*$K$49))))</f>
        <v>2.3333333333333335</v>
      </c>
      <c r="R49" s="2154">
        <f t="shared" si="263"/>
        <v>2.3333333333333335</v>
      </c>
      <c r="S49" s="2154">
        <f t="shared" ref="S49" si="264">IF(S46&gt;$J$57,$J$49,IF(S46&lt;$J$57,(IF(S46&lt;0,0,S46*$K$49))))</f>
        <v>0</v>
      </c>
      <c r="T49" s="2154">
        <f t="shared" ref="T49" si="265">IF(T46&gt;$J$57,$J$49,IF(T46&lt;$J$57,(IF(T46&lt;0,0,T46*$K$49))))</f>
        <v>2.3333333333333335</v>
      </c>
      <c r="U49" s="1814"/>
      <c r="V49" s="2153">
        <f>SUM(N49:T49)</f>
        <v>14.000000000000002</v>
      </c>
      <c r="W49" s="2157">
        <f>$J$49*0</f>
        <v>0</v>
      </c>
      <c r="X49" s="2158">
        <f>V49-W49</f>
        <v>14.000000000000002</v>
      </c>
      <c r="Y49" s="1814"/>
      <c r="Z49" s="2153">
        <f t="shared" ref="Z49:AA49" si="266">IF(Z46&gt;$J$57,$J$49,IF(Z46&lt;$J$57,(IF(Z46&lt;0,0,Z46*$K$49))))</f>
        <v>0</v>
      </c>
      <c r="AA49" s="2157">
        <f t="shared" si="266"/>
        <v>2.3333333333333335</v>
      </c>
      <c r="AB49" s="2157">
        <f t="shared" ref="AB49:AC49" si="267">IF(AB46&gt;$J$57,$J$49,IF(AB46&lt;$J$57,(IF(AB46&lt;0,0,AB46*$K$49))))</f>
        <v>2.3333333333333335</v>
      </c>
      <c r="AC49" s="2157">
        <f t="shared" si="267"/>
        <v>2.3333333333333335</v>
      </c>
      <c r="AD49" s="2157">
        <f t="shared" ref="AD49:AE49" si="268">IF(AD46&gt;$J$57,$J$49,IF(AD46&lt;$J$57,(IF(AD46&lt;0,0,AD46*$K$49))))</f>
        <v>2.3333333333333335</v>
      </c>
      <c r="AE49" s="2157">
        <f t="shared" si="268"/>
        <v>0</v>
      </c>
      <c r="AF49" s="2156">
        <f t="shared" ref="AF49" si="269">IF(AF46&gt;$J$57,$J$49,IF(AF46&lt;$J$57,(IF(AF46&lt;0,0,AF46*$K$49))))</f>
        <v>2.3333333333333335</v>
      </c>
      <c r="AG49" s="1814"/>
      <c r="AH49" s="2153">
        <f t="shared" ref="AH49:AH69" si="270">SUM(Z49:AF49)</f>
        <v>11.666666666666668</v>
      </c>
      <c r="AI49" s="2157">
        <f>$J$49*0</f>
        <v>0</v>
      </c>
      <c r="AJ49" s="2158">
        <f t="shared" ref="AJ49:AJ69" si="271">AH49-AI49</f>
        <v>11.666666666666668</v>
      </c>
      <c r="AK49" s="1814"/>
      <c r="AL49" s="2153">
        <f t="shared" ref="AL49" si="272">IF(AL46&gt;$J$57,$J$49,IF(AL46&lt;$J$57,(IF(AL46&lt;0,0,AL46*$K$49))))</f>
        <v>2.3333333333333335</v>
      </c>
      <c r="AM49" s="2154">
        <f t="shared" ref="AM49:AN49" si="273">IF(AM46&gt;$J$57,$J$49,IF(AM46&lt;$J$57,(IF(AM46&lt;0,0,AM46*$K$49))))</f>
        <v>2.3333333333333335</v>
      </c>
      <c r="AN49" s="2154">
        <f t="shared" si="273"/>
        <v>2.3333333333333335</v>
      </c>
      <c r="AO49" s="2154">
        <f t="shared" ref="AO49:AP49" si="274">IF(AO46&gt;$J$57,$J$49,IF(AO46&lt;$J$57,(IF(AO46&lt;0,0,AO46*$K$49))))</f>
        <v>2.3333333333333335</v>
      </c>
      <c r="AP49" s="2154">
        <f t="shared" si="274"/>
        <v>2.3333333333333335</v>
      </c>
      <c r="AQ49" s="2154">
        <f t="shared" ref="AQ49" si="275">IF(AQ46&gt;$J$57,$J$49,IF(AQ46&lt;$J$57,(IF(AQ46&lt;0,0,AQ46*$K$49))))</f>
        <v>2.3333333333333335</v>
      </c>
      <c r="AR49" s="2154">
        <f t="shared" ref="AR49" si="276">IF(AR46&gt;$J$57,$J$49,IF(AR46&lt;$J$57,(IF(AR46&lt;0,0,AR46*$K$49))))</f>
        <v>0</v>
      </c>
      <c r="AS49" s="1814"/>
      <c r="AT49" s="2153">
        <f t="shared" ref="AT49:AT56" si="277">SUM(AL49:AR49)</f>
        <v>14.000000000000002</v>
      </c>
      <c r="AU49" s="2157">
        <f>$J$49*0</f>
        <v>0</v>
      </c>
      <c r="AV49" s="2158">
        <f t="shared" ref="AV49:AV56" si="278">AT49-AU49</f>
        <v>14.000000000000002</v>
      </c>
      <c r="AW49" s="1814"/>
      <c r="AX49" s="2090">
        <f t="shared" ref="AX49:BA49" si="279">IF(AX46&gt;$J$57,$J$49,IF(AX46&lt;$J$57,(IF(AX46&lt;0,0,AX46*$K$49))))</f>
        <v>0</v>
      </c>
      <c r="AY49" s="2088">
        <f t="shared" si="279"/>
        <v>0</v>
      </c>
      <c r="AZ49" s="2088">
        <f t="shared" si="279"/>
        <v>0</v>
      </c>
      <c r="BA49" s="2088">
        <f t="shared" si="279"/>
        <v>1.8729559187716711</v>
      </c>
      <c r="BB49" s="2088">
        <f t="shared" ref="BB49:BC49" si="280">IF(BB46&gt;$J$57,$J$49,IF(BB46&lt;$J$57,(IF(BB46&lt;0,0,BB46*$K$49))))</f>
        <v>2.3333333333333335</v>
      </c>
      <c r="BC49" s="2088">
        <f t="shared" si="280"/>
        <v>2.3333333333333335</v>
      </c>
      <c r="BD49" s="2091">
        <f t="shared" ref="BD49" si="281">IF(BD46&gt;$J$57,$J$49,IF(BD46&lt;$J$57,(IF(BD46&lt;0,0,BD46*$K$49))))</f>
        <v>1.8302694403169901</v>
      </c>
      <c r="BE49" s="1814"/>
      <c r="BF49" s="2153">
        <f t="shared" ref="BF49:BF56" si="282">SUM(AX49:BD49)</f>
        <v>8.3698920257553269</v>
      </c>
      <c r="BG49" s="2157">
        <f>$J$49*0</f>
        <v>0</v>
      </c>
      <c r="BH49" s="2158">
        <f t="shared" ref="BH49:BH56" si="283">BF49-BG49</f>
        <v>8.3698920257553269</v>
      </c>
      <c r="BI49" s="1814"/>
      <c r="BJ49" s="2090">
        <f t="shared" ref="BJ49:BK49" si="284">IF(BJ46&gt;$J$57,$J$49,IF(BJ46&lt;$J$57,(IF(BJ46&lt;0,0,BJ46*$K$49))))</f>
        <v>0.68456810302129889</v>
      </c>
      <c r="BK49" s="2088">
        <f t="shared" si="284"/>
        <v>1.5324938088162474</v>
      </c>
      <c r="BL49" s="2091">
        <f t="shared" ref="BL49" si="285">IF(BL46&gt;$J$57,$J$49,IF(BL46&lt;$J$57,(IF(BL46&lt;0,0,BL46*$K$49))))</f>
        <v>2.3333333333333335</v>
      </c>
      <c r="BM49" s="1814"/>
      <c r="BN49" s="2153">
        <f t="shared" ref="BN49:BN55" si="286">SUM(BJ49:BL49)</f>
        <v>4.5503952451708791</v>
      </c>
      <c r="BO49" s="2157">
        <f>$J$49*0</f>
        <v>0</v>
      </c>
      <c r="BP49" s="2158">
        <f t="shared" ref="BP49:BP56" si="287">BN49-BO49</f>
        <v>4.5503952451708791</v>
      </c>
      <c r="BR49" s="2153"/>
      <c r="BS49" s="2616"/>
      <c r="BU49" s="2153">
        <f t="shared" si="258"/>
        <v>50.369892025755334</v>
      </c>
      <c r="BV49" s="2617">
        <f t="shared" si="259"/>
        <v>0.79952209564691001</v>
      </c>
      <c r="BW49" s="2351"/>
      <c r="BX49" s="4636"/>
      <c r="BZ49" s="4627"/>
      <c r="CA49" s="1861"/>
      <c r="CB49" s="1861"/>
      <c r="CC49" s="1861"/>
      <c r="CD49" s="1861"/>
      <c r="CE49" s="1861"/>
      <c r="CF49" s="1861"/>
      <c r="CG49" s="1861"/>
      <c r="CH49" s="1861"/>
      <c r="CI49" s="1861"/>
    </row>
    <row r="50" spans="1:87" s="1900" customFormat="1" ht="15.75" x14ac:dyDescent="0.2">
      <c r="A50" s="2464"/>
      <c r="B50" s="2161">
        <v>40</v>
      </c>
      <c r="C50" s="2162" t="s">
        <v>117</v>
      </c>
      <c r="D50" s="2119"/>
      <c r="E50" s="2169">
        <v>37</v>
      </c>
      <c r="F50" s="2176">
        <f t="shared" ref="F50:F56" si="288">E50/10</f>
        <v>3.7</v>
      </c>
      <c r="G50" s="2176">
        <f t="shared" ref="G50:G56" si="289">E50/15</f>
        <v>2.4666666666666668</v>
      </c>
      <c r="H50" s="2176">
        <f t="shared" ref="H50:H56" si="290">E50/20</f>
        <v>1.85</v>
      </c>
      <c r="I50" s="2176">
        <f t="shared" ref="I50:I56" si="291">E50/25</f>
        <v>1.48</v>
      </c>
      <c r="J50" s="2176">
        <f t="shared" si="260"/>
        <v>1.3703703703703705</v>
      </c>
      <c r="K50" s="2177">
        <f t="shared" ref="K50:K56" si="292">E50/$E$57</f>
        <v>0.10995542347696879</v>
      </c>
      <c r="L50" s="2468"/>
      <c r="M50" s="2339"/>
      <c r="N50" s="2618">
        <f t="shared" ref="N50" si="293">IF(N46&gt;$J$57,$J$50,IF(N46&lt;$J$57,(IF(N46&lt;0,0,N46*$K$50))))</f>
        <v>1.3703703703703705</v>
      </c>
      <c r="O50" s="2164">
        <f t="shared" ref="O50:P50" si="294">IF(O46&gt;$J$57,$J$50,IF(O46&lt;$J$57,(IF(O46&lt;0,0,O46*$K$50))))</f>
        <v>1.3703703703703705</v>
      </c>
      <c r="P50" s="2164">
        <f t="shared" si="294"/>
        <v>1.3703703703703705</v>
      </c>
      <c r="Q50" s="2164">
        <f t="shared" ref="Q50:R50" si="295">IF(Q46&gt;$J$57,$J$50,IF(Q46&lt;$J$57,(IF(Q46&lt;0,0,Q46*$K$50))))</f>
        <v>1.3703703703703705</v>
      </c>
      <c r="R50" s="2164">
        <f t="shared" si="295"/>
        <v>1.3703703703703705</v>
      </c>
      <c r="S50" s="2164">
        <f t="shared" ref="S50" si="296">IF(S46&gt;$J$57,$J$50,IF(S46&lt;$J$57,(IF(S46&lt;0,0,S46*$K$50))))</f>
        <v>0</v>
      </c>
      <c r="T50" s="2164">
        <f t="shared" ref="T50" si="297">IF(T46&gt;$J$57,$J$50,IF(T46&lt;$J$57,(IF(T46&lt;0,0,T46*$K$50))))</f>
        <v>1.3703703703703705</v>
      </c>
      <c r="U50" s="1951"/>
      <c r="V50" s="2163">
        <f t="shared" ref="V50" si="298">SUM(N50:T50)</f>
        <v>8.2222222222222232</v>
      </c>
      <c r="W50" s="2167">
        <f>$J$50*0</f>
        <v>0</v>
      </c>
      <c r="X50" s="2168">
        <f>V50-W50</f>
        <v>8.2222222222222232</v>
      </c>
      <c r="Y50" s="1951"/>
      <c r="Z50" s="2163">
        <f t="shared" ref="Z50:AA50" si="299">IF(Z46&gt;$J$57,$J$50,IF(Z46&lt;$J$57,(IF(Z46&lt;0,0,Z46*$K$50))))</f>
        <v>0</v>
      </c>
      <c r="AA50" s="2167">
        <f t="shared" si="299"/>
        <v>1.3703703703703705</v>
      </c>
      <c r="AB50" s="2167">
        <f t="shared" ref="AB50:AC50" si="300">IF(AB46&gt;$J$57,$J$50,IF(AB46&lt;$J$57,(IF(AB46&lt;0,0,AB46*$K$50))))</f>
        <v>1.3703703703703705</v>
      </c>
      <c r="AC50" s="2167">
        <f t="shared" si="300"/>
        <v>1.3703703703703705</v>
      </c>
      <c r="AD50" s="2167">
        <f t="shared" ref="AD50:AE50" si="301">IF(AD46&gt;$J$57,$J$50,IF(AD46&lt;$J$57,(IF(AD46&lt;0,0,AD46*$K$50))))</f>
        <v>1.3703703703703705</v>
      </c>
      <c r="AE50" s="2167">
        <f t="shared" si="301"/>
        <v>0</v>
      </c>
      <c r="AF50" s="2166">
        <f t="shared" ref="AF50" si="302">IF(AF46&gt;$J$57,$J$50,IF(AF46&lt;$J$57,(IF(AF46&lt;0,0,AF46*$K$50))))</f>
        <v>1.3703703703703705</v>
      </c>
      <c r="AG50" s="1951"/>
      <c r="AH50" s="2163">
        <f t="shared" si="270"/>
        <v>6.8518518518518521</v>
      </c>
      <c r="AI50" s="2167">
        <f>$J$50*0</f>
        <v>0</v>
      </c>
      <c r="AJ50" s="2168">
        <f t="shared" si="271"/>
        <v>6.8518518518518521</v>
      </c>
      <c r="AK50" s="1951"/>
      <c r="AL50" s="2163">
        <f t="shared" ref="AL50" si="303">IF(AL46&gt;$J$57,$J$50,IF(AL46&lt;$J$57,(IF(AL46&lt;0,0,AL46*$K$50))))</f>
        <v>1.3703703703703705</v>
      </c>
      <c r="AM50" s="2164">
        <f t="shared" ref="AM50:AN50" si="304">IF(AM46&gt;$J$57,$J$50,IF(AM46&lt;$J$57,(IF(AM46&lt;0,0,AM46*$K$50))))</f>
        <v>1.3703703703703705</v>
      </c>
      <c r="AN50" s="2164">
        <f t="shared" si="304"/>
        <v>1.3703703703703705</v>
      </c>
      <c r="AO50" s="2164">
        <f t="shared" ref="AO50:AP50" si="305">IF(AO46&gt;$J$57,$J$50,IF(AO46&lt;$J$57,(IF(AO46&lt;0,0,AO46*$K$50))))</f>
        <v>1.3703703703703705</v>
      </c>
      <c r="AP50" s="2164">
        <f t="shared" si="305"/>
        <v>1.3703703703703705</v>
      </c>
      <c r="AQ50" s="2164">
        <f t="shared" ref="AQ50" si="306">IF(AQ46&gt;$J$57,$J$50,IF(AQ46&lt;$J$57,(IF(AQ46&lt;0,0,AQ46*$K$50))))</f>
        <v>1.3703703703703705</v>
      </c>
      <c r="AR50" s="2164">
        <f t="shared" ref="AR50" si="307">IF(AR46&gt;$J$57,$J$50,IF(AR46&lt;$J$57,(IF(AR46&lt;0,0,AR46*$K$50))))</f>
        <v>0</v>
      </c>
      <c r="AS50" s="1951"/>
      <c r="AT50" s="2163">
        <f t="shared" si="277"/>
        <v>8.2222222222222232</v>
      </c>
      <c r="AU50" s="2167">
        <f>$J$50*0</f>
        <v>0</v>
      </c>
      <c r="AV50" s="2168">
        <f t="shared" si="278"/>
        <v>8.2222222222222232</v>
      </c>
      <c r="AW50" s="1951"/>
      <c r="AX50" s="2169">
        <f t="shared" ref="AX50:BA50" si="308">IF(AX46&gt;$J$57,$J$50,IF(AX46&lt;$J$57,(IF(AX46&lt;0,0,AX46*$K$50))))</f>
        <v>0</v>
      </c>
      <c r="AY50" s="2176">
        <f t="shared" si="308"/>
        <v>0</v>
      </c>
      <c r="AZ50" s="2176">
        <f t="shared" si="308"/>
        <v>0</v>
      </c>
      <c r="BA50" s="2176">
        <f t="shared" si="308"/>
        <v>1.0999899840405052</v>
      </c>
      <c r="BB50" s="2176">
        <f t="shared" ref="BB50:BC50" si="309">IF(BB46&gt;$J$57,$J$50,IF(BB46&lt;$J$57,(IF(BB46&lt;0,0,BB46*$K$50))))</f>
        <v>1.3703703703703705</v>
      </c>
      <c r="BC50" s="2176">
        <f t="shared" si="309"/>
        <v>1.3703703703703705</v>
      </c>
      <c r="BD50" s="2171">
        <f t="shared" ref="BD50" si="310">IF(BD46&gt;$J$57,$J$50,IF(BD46&lt;$J$57,(IF(BD46&lt;0,0,BD46*$K$50))))</f>
        <v>1.0749201474877561</v>
      </c>
      <c r="BE50" s="1951"/>
      <c r="BF50" s="2163">
        <f t="shared" si="282"/>
        <v>4.9156508722690022</v>
      </c>
      <c r="BG50" s="2167">
        <f>$J$50*0</f>
        <v>0</v>
      </c>
      <c r="BH50" s="2168">
        <f t="shared" si="283"/>
        <v>4.9156508722690022</v>
      </c>
      <c r="BI50" s="1951"/>
      <c r="BJ50" s="2169">
        <f t="shared" ref="BJ50:BK50" si="311">IF(BJ46&gt;$J$57,$J$50,IF(BJ46&lt;$J$57,(IF(BJ46&lt;0,0,BJ46*$K$50))))</f>
        <v>0.40204793352044532</v>
      </c>
      <c r="BK50" s="2176">
        <f t="shared" si="311"/>
        <v>0.90003604644763735</v>
      </c>
      <c r="BL50" s="2171">
        <f t="shared" ref="BL50" si="312">IF(BL46&gt;$J$57,$J$50,IF(BL46&lt;$J$57,(IF(BL46&lt;0,0,BL46*$K$50))))</f>
        <v>1.3703703703703705</v>
      </c>
      <c r="BM50" s="1951"/>
      <c r="BN50" s="2163">
        <f t="shared" si="286"/>
        <v>2.6724543503384535</v>
      </c>
      <c r="BO50" s="2167">
        <f>$J$50*0</f>
        <v>0</v>
      </c>
      <c r="BP50" s="2168">
        <f t="shared" si="287"/>
        <v>2.6724543503384535</v>
      </c>
      <c r="BR50" s="2163"/>
      <c r="BS50" s="2619"/>
      <c r="BU50" s="2163">
        <f t="shared" si="258"/>
        <v>29.582317538935669</v>
      </c>
      <c r="BV50" s="2620">
        <f t="shared" si="259"/>
        <v>0.79952209564691001</v>
      </c>
      <c r="BW50" s="2353"/>
      <c r="BX50" s="4636"/>
      <c r="BZ50" s="4627"/>
      <c r="CA50" s="2011"/>
      <c r="CB50" s="2011"/>
      <c r="CC50" s="2011"/>
      <c r="CD50" s="2011"/>
      <c r="CE50" s="2011"/>
      <c r="CF50" s="2011"/>
      <c r="CG50" s="2011"/>
      <c r="CH50" s="2011"/>
      <c r="CI50" s="2011"/>
    </row>
    <row r="51" spans="1:87" s="1726" customFormat="1" x14ac:dyDescent="0.2">
      <c r="B51" s="2085">
        <v>41</v>
      </c>
      <c r="C51" s="2086" t="s">
        <v>246</v>
      </c>
      <c r="D51" s="2051"/>
      <c r="E51" s="2087">
        <v>37</v>
      </c>
      <c r="F51" s="2088">
        <f t="shared" si="288"/>
        <v>3.7</v>
      </c>
      <c r="G51" s="2088">
        <f t="shared" si="289"/>
        <v>2.4666666666666668</v>
      </c>
      <c r="H51" s="2088">
        <f t="shared" si="290"/>
        <v>1.85</v>
      </c>
      <c r="I51" s="2088">
        <f t="shared" si="291"/>
        <v>1.48</v>
      </c>
      <c r="J51" s="2088">
        <f t="shared" si="260"/>
        <v>1.3703703703703705</v>
      </c>
      <c r="K51" s="2089">
        <f t="shared" si="292"/>
        <v>0.10995542347696879</v>
      </c>
      <c r="L51" s="1931"/>
      <c r="M51" s="1924"/>
      <c r="N51" s="2284">
        <f t="shared" ref="N51" si="313">IF(N46&gt;$J$57,$J$51,IF(N46&lt;$J$57,(IF(N46&lt;0,0,N46*$K$51))))</f>
        <v>1.3703703703703705</v>
      </c>
      <c r="O51" s="2088">
        <f t="shared" ref="O51:P51" si="314">IF(O46&gt;$J$57,$J$51,IF(O46&lt;$J$57,(IF(O46&lt;0,0,O46*$K$51))))</f>
        <v>1.3703703703703705</v>
      </c>
      <c r="P51" s="2088">
        <f t="shared" si="314"/>
        <v>1.3703703703703705</v>
      </c>
      <c r="Q51" s="2088">
        <f t="shared" ref="Q51:R51" si="315">IF(Q46&gt;$J$57,$J$51,IF(Q46&lt;$J$57,(IF(Q46&lt;0,0,Q46*$K$51))))</f>
        <v>1.3703703703703705</v>
      </c>
      <c r="R51" s="2088">
        <f t="shared" si="315"/>
        <v>1.3703703703703705</v>
      </c>
      <c r="S51" s="2088">
        <f t="shared" ref="S51" si="316">IF(S46&gt;$J$57,$J$51,IF(S46&lt;$J$57,(IF(S46&lt;0,0,S46*$K$51))))</f>
        <v>0</v>
      </c>
      <c r="T51" s="2091">
        <f t="shared" ref="T51" si="317">IF(T46&gt;$J$57,$J$51,IF(T46&lt;$J$57,(IF(T46&lt;0,0,T46*$K$51))))</f>
        <v>1.3703703703703705</v>
      </c>
      <c r="U51" s="1814"/>
      <c r="V51" s="2090">
        <f t="shared" si="94"/>
        <v>8.2222222222222232</v>
      </c>
      <c r="W51" s="2087">
        <f>$J$51*0</f>
        <v>0</v>
      </c>
      <c r="X51" s="2174">
        <f>V51-W51</f>
        <v>8.2222222222222232</v>
      </c>
      <c r="Y51" s="1766"/>
      <c r="Z51" s="2090">
        <f t="shared" ref="Z51:AA51" si="318">IF(Z46&gt;$J$57,$J$51,IF(Z46&lt;$J$57,(IF(Z46&lt;0,0,Z46*$K$51))))</f>
        <v>0</v>
      </c>
      <c r="AA51" s="2087">
        <f t="shared" si="318"/>
        <v>1.3703703703703705</v>
      </c>
      <c r="AB51" s="2087">
        <f t="shared" ref="AB51:AC51" si="319">IF(AB46&gt;$J$57,$J$51,IF(AB46&lt;$J$57,(IF(AB46&lt;0,0,AB46*$K$51))))</f>
        <v>1.3703703703703705</v>
      </c>
      <c r="AC51" s="2087">
        <f t="shared" si="319"/>
        <v>1.3703703703703705</v>
      </c>
      <c r="AD51" s="2087">
        <f t="shared" ref="AD51:AE51" si="320">IF(AD46&gt;$J$57,$J$51,IF(AD46&lt;$J$57,(IF(AD46&lt;0,0,AD46*$K$51))))</f>
        <v>1.3703703703703705</v>
      </c>
      <c r="AE51" s="2087">
        <f t="shared" si="320"/>
        <v>0</v>
      </c>
      <c r="AF51" s="2091">
        <f t="shared" ref="AF51" si="321">IF(AF46&gt;$J$57,$J$51,IF(AF46&lt;$J$57,(IF(AF46&lt;0,0,AF46*$K$51))))</f>
        <v>1.3703703703703705</v>
      </c>
      <c r="AG51" s="1766"/>
      <c r="AH51" s="2090">
        <f t="shared" si="270"/>
        <v>6.8518518518518521</v>
      </c>
      <c r="AI51" s="2087">
        <f>$J$51*0</f>
        <v>0</v>
      </c>
      <c r="AJ51" s="2174">
        <f t="shared" si="271"/>
        <v>6.8518518518518521</v>
      </c>
      <c r="AK51" s="1766"/>
      <c r="AL51" s="2090">
        <f t="shared" ref="AL51" si="322">IF(AL46&gt;$J$57,$J$51,IF(AL46&lt;$J$57,(IF(AL46&lt;0,0,AL46*$K$51))))</f>
        <v>1.3703703703703705</v>
      </c>
      <c r="AM51" s="2088">
        <f t="shared" ref="AM51:AN51" si="323">IF(AM46&gt;$J$57,$J$51,IF(AM46&lt;$J$57,(IF(AM46&lt;0,0,AM46*$K$51))))</f>
        <v>1.3703703703703705</v>
      </c>
      <c r="AN51" s="2088">
        <f t="shared" si="323"/>
        <v>1.3703703703703705</v>
      </c>
      <c r="AO51" s="2088">
        <f t="shared" ref="AO51:AP51" si="324">IF(AO46&gt;$J$57,$J$51,IF(AO46&lt;$J$57,(IF(AO46&lt;0,0,AO46*$K$51))))</f>
        <v>1.3703703703703705</v>
      </c>
      <c r="AP51" s="2088">
        <f t="shared" si="324"/>
        <v>1.3703703703703705</v>
      </c>
      <c r="AQ51" s="2088">
        <f t="shared" ref="AQ51" si="325">IF(AQ46&gt;$J$57,$J$51,IF(AQ46&lt;$J$57,(IF(AQ46&lt;0,0,AQ46*$K$51))))</f>
        <v>1.3703703703703705</v>
      </c>
      <c r="AR51" s="2091">
        <f t="shared" ref="AR51" si="326">IF(AR46&gt;$J$57,$J$51,IF(AR46&lt;$J$57,(IF(AR46&lt;0,0,AR46*$K$51))))</f>
        <v>0</v>
      </c>
      <c r="AS51" s="1814"/>
      <c r="AT51" s="2090">
        <f t="shared" si="277"/>
        <v>8.2222222222222232</v>
      </c>
      <c r="AU51" s="2087">
        <f>$J$51*0</f>
        <v>0</v>
      </c>
      <c r="AV51" s="2174">
        <f t="shared" si="278"/>
        <v>8.2222222222222232</v>
      </c>
      <c r="AW51" s="1814"/>
      <c r="AX51" s="2284">
        <f t="shared" ref="AX51:BA51" si="327">IF(AX46&gt;$J$57,$J$51,IF(AX46&lt;$J$57,(IF(AX46&lt;0,0,AX46*$K$51))))</f>
        <v>0</v>
      </c>
      <c r="AY51" s="2088">
        <f t="shared" si="327"/>
        <v>0</v>
      </c>
      <c r="AZ51" s="2088">
        <f t="shared" si="327"/>
        <v>0</v>
      </c>
      <c r="BA51" s="2088">
        <f t="shared" si="327"/>
        <v>1.0999899840405052</v>
      </c>
      <c r="BB51" s="2088">
        <f t="shared" ref="BB51:BC51" si="328">IF(BB46&gt;$J$57,$J$51,IF(BB46&lt;$J$57,(IF(BB46&lt;0,0,BB46*$K$51))))</f>
        <v>1.3703703703703705</v>
      </c>
      <c r="BC51" s="2088">
        <f t="shared" si="328"/>
        <v>1.3703703703703705</v>
      </c>
      <c r="BD51" s="2091">
        <f t="shared" ref="BD51" si="329">IF(BD46&gt;$J$57,$J$51,IF(BD46&lt;$J$57,(IF(BD46&lt;0,0,BD46*$K$51))))</f>
        <v>1.0749201474877561</v>
      </c>
      <c r="BE51" s="1814"/>
      <c r="BF51" s="2090">
        <f t="shared" si="282"/>
        <v>4.9156508722690022</v>
      </c>
      <c r="BG51" s="2087">
        <f>$J$51*0</f>
        <v>0</v>
      </c>
      <c r="BH51" s="2174">
        <f t="shared" si="283"/>
        <v>4.9156508722690022</v>
      </c>
      <c r="BI51" s="1814"/>
      <c r="BJ51" s="2090">
        <f t="shared" ref="BJ51:BK51" si="330">IF(BJ46&gt;$J$57,$J$51,IF(BJ46&lt;$J$57,(IF(BJ46&lt;0,0,BJ46*$K$51))))</f>
        <v>0.40204793352044532</v>
      </c>
      <c r="BK51" s="2088">
        <f t="shared" si="330"/>
        <v>0.90003604644763735</v>
      </c>
      <c r="BL51" s="2091">
        <f t="shared" ref="BL51" si="331">IF(BL46&gt;$J$57,$J$51,IF(BL46&lt;$J$57,(IF(BL46&lt;0,0,BL46*$K$51))))</f>
        <v>1.3703703703703705</v>
      </c>
      <c r="BM51" s="1814"/>
      <c r="BN51" s="2090">
        <f t="shared" si="286"/>
        <v>2.6724543503384535</v>
      </c>
      <c r="BO51" s="2087">
        <f>$J$51*0</f>
        <v>0</v>
      </c>
      <c r="BP51" s="2174">
        <f t="shared" si="287"/>
        <v>2.6724543503384535</v>
      </c>
      <c r="BR51" s="2090"/>
      <c r="BS51" s="2159"/>
      <c r="BT51" s="1740"/>
      <c r="BU51" s="2090">
        <f t="shared" si="258"/>
        <v>29.582317538935669</v>
      </c>
      <c r="BV51" s="2160">
        <f t="shared" si="259"/>
        <v>0.79952209564691001</v>
      </c>
      <c r="BW51" s="2351"/>
      <c r="BX51" s="4636"/>
      <c r="BZ51" s="4627"/>
      <c r="CA51" s="1830"/>
      <c r="CB51" s="2131"/>
      <c r="CC51" s="1830"/>
      <c r="CD51" s="1860"/>
      <c r="CE51" s="1860"/>
      <c r="CF51" s="1860"/>
      <c r="CG51" s="1860"/>
      <c r="CH51" s="1860"/>
      <c r="CI51" s="1860"/>
    </row>
    <row r="52" spans="1:87" s="1885" customFormat="1" x14ac:dyDescent="0.2">
      <c r="B52" s="2182">
        <v>42</v>
      </c>
      <c r="C52" s="2175" t="s">
        <v>118</v>
      </c>
      <c r="D52" s="2119"/>
      <c r="E52" s="2170">
        <v>35</v>
      </c>
      <c r="F52" s="2176">
        <f t="shared" si="288"/>
        <v>3.5</v>
      </c>
      <c r="G52" s="2176">
        <f t="shared" si="289"/>
        <v>2.3333333333333335</v>
      </c>
      <c r="H52" s="2176">
        <f t="shared" si="290"/>
        <v>1.75</v>
      </c>
      <c r="I52" s="2176">
        <f t="shared" si="291"/>
        <v>1.4</v>
      </c>
      <c r="J52" s="2176">
        <f t="shared" si="260"/>
        <v>1.2962962962962963</v>
      </c>
      <c r="K52" s="2177">
        <f t="shared" si="292"/>
        <v>0.10401188707280833</v>
      </c>
      <c r="L52" s="2003"/>
      <c r="M52" s="1950"/>
      <c r="N52" s="2415">
        <f t="shared" ref="N52" si="332">IF(N46&gt;$J$57,$J$52,IF(N46&lt;$J$57,(IF(N46&lt;0,0,N46*$K$52))))</f>
        <v>1.2962962962962963</v>
      </c>
      <c r="O52" s="2176">
        <f t="shared" ref="O52:P52" si="333">IF(O46&gt;$J$57,$J$52,IF(O46&lt;$J$57,(IF(O46&lt;0,0,O46*$K$52))))</f>
        <v>1.2962962962962963</v>
      </c>
      <c r="P52" s="2176">
        <f t="shared" si="333"/>
        <v>1.2962962962962963</v>
      </c>
      <c r="Q52" s="2176">
        <f t="shared" ref="Q52:R52" si="334">IF(Q46&gt;$J$57,$J$52,IF(Q46&lt;$J$57,(IF(Q46&lt;0,0,Q46*$K$52))))</f>
        <v>1.2962962962962963</v>
      </c>
      <c r="R52" s="2176">
        <f t="shared" si="334"/>
        <v>1.2962962962962963</v>
      </c>
      <c r="S52" s="2176">
        <f t="shared" ref="S52" si="335">IF(S46&gt;$J$57,$J$52,IF(S46&lt;$J$57,(IF(S46&lt;0,0,S46*$K$52))))</f>
        <v>0</v>
      </c>
      <c r="T52" s="2171">
        <f t="shared" ref="T52" si="336">IF(T46&gt;$J$57,$J$52,IF(T46&lt;$J$57,(IF(T46&lt;0,0,T46*$K$52))))</f>
        <v>1.2962962962962963</v>
      </c>
      <c r="U52" s="1951"/>
      <c r="V52" s="2169">
        <f t="shared" si="94"/>
        <v>7.7777777777777768</v>
      </c>
      <c r="W52" s="2176">
        <f>$J$52*0</f>
        <v>0</v>
      </c>
      <c r="X52" s="2171">
        <f t="shared" ref="X52:X69" si="337">V52-W52</f>
        <v>7.7777777777777768</v>
      </c>
      <c r="Y52" s="1956"/>
      <c r="Z52" s="2169">
        <f t="shared" ref="Z52:AA52" si="338">IF(Z46&gt;$J$57,$J$52,IF(Z46&lt;$J$57,(IF(Z46&lt;0,0,Z46*$K$52))))</f>
        <v>0</v>
      </c>
      <c r="AA52" s="2176">
        <f t="shared" si="338"/>
        <v>1.2962962962962963</v>
      </c>
      <c r="AB52" s="2176">
        <f t="shared" ref="AB52:AC52" si="339">IF(AB46&gt;$J$57,$J$52,IF(AB46&lt;$J$57,(IF(AB46&lt;0,0,AB46*$K$52))))</f>
        <v>1.2962962962962963</v>
      </c>
      <c r="AC52" s="2176">
        <f t="shared" si="339"/>
        <v>1.2962962962962963</v>
      </c>
      <c r="AD52" s="2176">
        <f t="shared" ref="AD52:AE52" si="340">IF(AD46&gt;$J$57,$J$52,IF(AD46&lt;$J$57,(IF(AD46&lt;0,0,AD46*$K$52))))</f>
        <v>1.2962962962962963</v>
      </c>
      <c r="AE52" s="2176">
        <f t="shared" si="340"/>
        <v>0</v>
      </c>
      <c r="AF52" s="2171">
        <f t="shared" ref="AF52" si="341">IF(AF46&gt;$J$57,$J$52,IF(AF46&lt;$J$57,(IF(AF46&lt;0,0,AF46*$K$52))))</f>
        <v>1.2962962962962963</v>
      </c>
      <c r="AG52" s="1956"/>
      <c r="AH52" s="2169">
        <f t="shared" si="270"/>
        <v>6.481481481481481</v>
      </c>
      <c r="AI52" s="2176">
        <f>$J$52*0</f>
        <v>0</v>
      </c>
      <c r="AJ52" s="2171">
        <f t="shared" si="271"/>
        <v>6.481481481481481</v>
      </c>
      <c r="AK52" s="1956"/>
      <c r="AL52" s="2169">
        <f t="shared" ref="AL52" si="342">IF(AL46&gt;$J$57,$J$52,IF(AL46&lt;$J$57,(IF(AL46&lt;0,0,AL46*$K$52))))</f>
        <v>1.2962962962962963</v>
      </c>
      <c r="AM52" s="2176">
        <f t="shared" ref="AM52:AN52" si="343">IF(AM46&gt;$J$57,$J$52,IF(AM46&lt;$J$57,(IF(AM46&lt;0,0,AM46*$K$52))))</f>
        <v>1.2962962962962963</v>
      </c>
      <c r="AN52" s="2176">
        <f t="shared" si="343"/>
        <v>1.2962962962962963</v>
      </c>
      <c r="AO52" s="2176">
        <f t="shared" ref="AO52:AP52" si="344">IF(AO46&gt;$J$57,$J$52,IF(AO46&lt;$J$57,(IF(AO46&lt;0,0,AO46*$K$52))))</f>
        <v>1.2962962962962963</v>
      </c>
      <c r="AP52" s="2176">
        <f t="shared" si="344"/>
        <v>1.2962962962962963</v>
      </c>
      <c r="AQ52" s="2176">
        <f t="shared" ref="AQ52" si="345">IF(AQ46&gt;$J$57,$J$52,IF(AQ46&lt;$J$57,(IF(AQ46&lt;0,0,AQ46*$K$52))))</f>
        <v>1.2962962962962963</v>
      </c>
      <c r="AR52" s="2171">
        <f t="shared" ref="AR52" si="346">IF(AR46&gt;$J$57,$J$52,IF(AR46&lt;$J$57,(IF(AR46&lt;0,0,AR46*$K$52))))</f>
        <v>0</v>
      </c>
      <c r="AS52" s="1951"/>
      <c r="AT52" s="2169">
        <f t="shared" si="277"/>
        <v>7.7777777777777768</v>
      </c>
      <c r="AU52" s="2176">
        <f>$J$52*0</f>
        <v>0</v>
      </c>
      <c r="AV52" s="2171">
        <f t="shared" si="278"/>
        <v>7.7777777777777768</v>
      </c>
      <c r="AW52" s="1951"/>
      <c r="AX52" s="2415">
        <f t="shared" ref="AX52:BA52" si="347">IF(AX46&gt;$J$57,$J$52,IF(AX46&lt;$J$57,(IF(AX46&lt;0,0,AX46*$K$52))))</f>
        <v>0</v>
      </c>
      <c r="AY52" s="2176">
        <f t="shared" si="347"/>
        <v>0</v>
      </c>
      <c r="AZ52" s="2176">
        <f t="shared" si="347"/>
        <v>0</v>
      </c>
      <c r="BA52" s="2176">
        <f t="shared" si="347"/>
        <v>1.0405310659842617</v>
      </c>
      <c r="BB52" s="2176">
        <f t="shared" ref="BB52:BC52" si="348">IF(BB46&gt;$J$57,$J$52,IF(BB46&lt;$J$57,(IF(BB46&lt;0,0,BB46*$K$52))))</f>
        <v>1.2962962962962963</v>
      </c>
      <c r="BC52" s="2176">
        <f t="shared" si="348"/>
        <v>1.2962962962962963</v>
      </c>
      <c r="BD52" s="2171">
        <f t="shared" ref="BD52" si="349">IF(BD46&gt;$J$57,$J$52,IF(BD46&lt;$J$57,(IF(BD46&lt;0,0,BD46*$K$52))))</f>
        <v>1.0168163557316612</v>
      </c>
      <c r="BE52" s="1951"/>
      <c r="BF52" s="2169">
        <f t="shared" si="282"/>
        <v>4.6499400143085152</v>
      </c>
      <c r="BG52" s="2176">
        <f>$J$52*0</f>
        <v>0</v>
      </c>
      <c r="BH52" s="2171">
        <f t="shared" si="283"/>
        <v>4.6499400143085152</v>
      </c>
      <c r="BI52" s="1951"/>
      <c r="BJ52" s="2169">
        <f t="shared" ref="BJ52:BK52" si="350">IF(BJ46&gt;$J$57,$J$52,IF(BJ46&lt;$J$57,(IF(BJ46&lt;0,0,BJ46*$K$52))))</f>
        <v>0.38031561278961051</v>
      </c>
      <c r="BK52" s="2176">
        <f t="shared" si="350"/>
        <v>0.85138544934235971</v>
      </c>
      <c r="BL52" s="2171">
        <f t="shared" ref="BL52" si="351">IF(BL46&gt;$J$57,$J$52,IF(BL46&lt;$J$57,(IF(BL46&lt;0,0,BL46*$K$52))))</f>
        <v>1.2962962962962963</v>
      </c>
      <c r="BM52" s="1951"/>
      <c r="BN52" s="2169">
        <f t="shared" si="286"/>
        <v>2.5279973584282667</v>
      </c>
      <c r="BO52" s="2176">
        <f>$J$52*0</f>
        <v>0</v>
      </c>
      <c r="BP52" s="2171">
        <f t="shared" si="287"/>
        <v>2.5279973584282667</v>
      </c>
      <c r="BR52" s="2179"/>
      <c r="BS52" s="2180"/>
      <c r="BT52" s="1900"/>
      <c r="BU52" s="2179">
        <f t="shared" si="258"/>
        <v>27.983273347641848</v>
      </c>
      <c r="BV52" s="2181">
        <f t="shared" si="259"/>
        <v>0.7995220956469099</v>
      </c>
      <c r="BW52" s="2353"/>
      <c r="BX52" s="4636"/>
      <c r="BZ52" s="4627"/>
      <c r="CA52" s="1962"/>
      <c r="CB52" s="2339"/>
      <c r="CC52" s="1962"/>
      <c r="CD52" s="1946"/>
      <c r="CE52" s="1946"/>
      <c r="CF52" s="1946"/>
      <c r="CG52" s="1946"/>
      <c r="CH52" s="1946"/>
      <c r="CI52" s="1946"/>
    </row>
    <row r="53" spans="1:87" s="1726" customFormat="1" x14ac:dyDescent="0.2">
      <c r="A53" s="1756"/>
      <c r="B53" s="2085">
        <v>43</v>
      </c>
      <c r="C53" s="2086" t="s">
        <v>269</v>
      </c>
      <c r="D53" s="2051"/>
      <c r="E53" s="2087">
        <v>29.5</v>
      </c>
      <c r="F53" s="2088">
        <f t="shared" si="288"/>
        <v>2.95</v>
      </c>
      <c r="G53" s="2088">
        <f t="shared" si="289"/>
        <v>1.9666666666666666</v>
      </c>
      <c r="H53" s="2088">
        <f t="shared" si="290"/>
        <v>1.4750000000000001</v>
      </c>
      <c r="I53" s="2088">
        <f t="shared" si="291"/>
        <v>1.18</v>
      </c>
      <c r="J53" s="2088">
        <f t="shared" si="260"/>
        <v>1.0925925925925926</v>
      </c>
      <c r="K53" s="2089">
        <f t="shared" si="292"/>
        <v>8.7667161961367007E-2</v>
      </c>
      <c r="L53" s="1931"/>
      <c r="M53" s="1924"/>
      <c r="N53" s="2284">
        <f t="shared" ref="N53" si="352">IF(N46&gt;$J$57,$J$53,IF(N46&lt;$J$57,(IF(N46&lt;0,0,N46*$K$53))))</f>
        <v>1.0925925925925926</v>
      </c>
      <c r="O53" s="2088">
        <f t="shared" ref="O53:P53" si="353">IF(O46&gt;$J$57,$J$53,IF(O46&lt;$J$57,(IF(O46&lt;0,0,O46*$K$53))))</f>
        <v>1.0925925925925926</v>
      </c>
      <c r="P53" s="2088">
        <f t="shared" si="353"/>
        <v>1.0925925925925926</v>
      </c>
      <c r="Q53" s="2088">
        <f t="shared" ref="Q53:R53" si="354">IF(Q46&gt;$J$57,$J$53,IF(Q46&lt;$J$57,(IF(Q46&lt;0,0,Q46*$K$53))))</f>
        <v>1.0925925925925926</v>
      </c>
      <c r="R53" s="2088">
        <f t="shared" si="354"/>
        <v>1.0925925925925926</v>
      </c>
      <c r="S53" s="2088">
        <f t="shared" ref="S53" si="355">IF(S46&gt;$J$57,$J$53,IF(S46&lt;$J$57,(IF(S46&lt;0,0,S46*$K$53))))</f>
        <v>0</v>
      </c>
      <c r="T53" s="2091">
        <f t="shared" ref="T53" si="356">IF(T46&gt;$J$57,$J$53,IF(T46&lt;$J$57,(IF(T46&lt;0,0,T46*$K$53))))</f>
        <v>1.0925925925925926</v>
      </c>
      <c r="U53" s="1814"/>
      <c r="V53" s="2090">
        <f t="shared" si="94"/>
        <v>6.5555555555555554</v>
      </c>
      <c r="W53" s="2088">
        <f>$J$53*0</f>
        <v>0</v>
      </c>
      <c r="X53" s="2091">
        <f t="shared" si="337"/>
        <v>6.5555555555555554</v>
      </c>
      <c r="Y53" s="1766"/>
      <c r="Z53" s="2090">
        <f t="shared" ref="Z53:AA53" si="357">IF(Z46&gt;$J$57,$J$53,IF(Z46&lt;$J$57,(IF(Z46&lt;0,0,Z46*$K$53))))</f>
        <v>0</v>
      </c>
      <c r="AA53" s="2088">
        <f t="shared" si="357"/>
        <v>1.0925925925925926</v>
      </c>
      <c r="AB53" s="2088">
        <f t="shared" ref="AB53:AC53" si="358">IF(AB46&gt;$J$57,$J$53,IF(AB46&lt;$J$57,(IF(AB46&lt;0,0,AB46*$K$53))))</f>
        <v>1.0925925925925926</v>
      </c>
      <c r="AC53" s="2088">
        <f t="shared" si="358"/>
        <v>1.0925925925925926</v>
      </c>
      <c r="AD53" s="2088">
        <f t="shared" ref="AD53:AE53" si="359">IF(AD46&gt;$J$57,$J$53,IF(AD46&lt;$J$57,(IF(AD46&lt;0,0,AD46*$K$53))))</f>
        <v>1.0925925925925926</v>
      </c>
      <c r="AE53" s="2088">
        <f t="shared" si="359"/>
        <v>0</v>
      </c>
      <c r="AF53" s="2091">
        <f t="shared" ref="AF53" si="360">IF(AF46&gt;$J$57,$J$53,IF(AF46&lt;$J$57,(IF(AF46&lt;0,0,AF46*$K$53))))</f>
        <v>1.0925925925925926</v>
      </c>
      <c r="AG53" s="1766"/>
      <c r="AH53" s="2090">
        <f t="shared" si="270"/>
        <v>5.4629629629629628</v>
      </c>
      <c r="AI53" s="2088">
        <f>$J$53*0</f>
        <v>0</v>
      </c>
      <c r="AJ53" s="2091">
        <f t="shared" si="271"/>
        <v>5.4629629629629628</v>
      </c>
      <c r="AK53" s="1766"/>
      <c r="AL53" s="2090">
        <f t="shared" ref="AL53" si="361">IF(AL46&gt;$J$57,$J$53,IF(AL46&lt;$J$57,(IF(AL46&lt;0,0,AL46*$K$53))))</f>
        <v>1.0925925925925926</v>
      </c>
      <c r="AM53" s="2088">
        <f t="shared" ref="AM53:AN53" si="362">IF(AM46&gt;$J$57,$J$53,IF(AM46&lt;$J$57,(IF(AM46&lt;0,0,AM46*$K$53))))</f>
        <v>1.0925925925925926</v>
      </c>
      <c r="AN53" s="2088">
        <f t="shared" si="362"/>
        <v>1.0925925925925926</v>
      </c>
      <c r="AO53" s="2088">
        <f t="shared" ref="AO53:AP53" si="363">IF(AO46&gt;$J$57,$J$53,IF(AO46&lt;$J$57,(IF(AO46&lt;0,0,AO46*$K$53))))</f>
        <v>1.0925925925925926</v>
      </c>
      <c r="AP53" s="2088">
        <f t="shared" si="363"/>
        <v>1.0925925925925926</v>
      </c>
      <c r="AQ53" s="2088">
        <f t="shared" ref="AQ53" si="364">IF(AQ46&gt;$J$57,$J$53,IF(AQ46&lt;$J$57,(IF(AQ46&lt;0,0,AQ46*$K$53))))</f>
        <v>1.0925925925925926</v>
      </c>
      <c r="AR53" s="2091">
        <f t="shared" ref="AR53" si="365">IF(AR46&gt;$J$57,$J$53,IF(AR46&lt;$J$57,(IF(AR46&lt;0,0,AR46*$K$53))))</f>
        <v>0</v>
      </c>
      <c r="AS53" s="1814"/>
      <c r="AT53" s="2090">
        <f t="shared" si="277"/>
        <v>6.5555555555555554</v>
      </c>
      <c r="AU53" s="2088">
        <f>$J$53*0</f>
        <v>0</v>
      </c>
      <c r="AV53" s="2091">
        <f t="shared" si="278"/>
        <v>6.5555555555555554</v>
      </c>
      <c r="AW53" s="1814"/>
      <c r="AX53" s="2284">
        <f t="shared" ref="AX53:BA53" si="366">IF(AX46&gt;$J$57,$J$53,IF(AX46&lt;$J$57,(IF(AX46&lt;0,0,AX46*$K$53))))</f>
        <v>0</v>
      </c>
      <c r="AY53" s="2088">
        <f t="shared" si="366"/>
        <v>0</v>
      </c>
      <c r="AZ53" s="2088">
        <f t="shared" si="366"/>
        <v>0</v>
      </c>
      <c r="BA53" s="2088">
        <f t="shared" si="366"/>
        <v>0.87701904132959196</v>
      </c>
      <c r="BB53" s="2088">
        <f t="shared" ref="BB53:BC53" si="367">IF(BB46&gt;$J$57,$J$53,IF(BB46&lt;$J$57,(IF(BB46&lt;0,0,BB46*$K$53))))</f>
        <v>1.0925925925925926</v>
      </c>
      <c r="BC53" s="2088">
        <f t="shared" si="367"/>
        <v>1.0925925925925926</v>
      </c>
      <c r="BD53" s="2091">
        <f t="shared" ref="BD53" si="368">IF(BD46&gt;$J$57,$J$53,IF(BD46&lt;$J$57,(IF(BD46&lt;0,0,BD46*$K$53))))</f>
        <v>0.85703092840240014</v>
      </c>
      <c r="BE53" s="1814"/>
      <c r="BF53" s="2090">
        <f t="shared" si="282"/>
        <v>3.9192351549171773</v>
      </c>
      <c r="BG53" s="2088">
        <f>$J$53*0</f>
        <v>0</v>
      </c>
      <c r="BH53" s="2091">
        <f t="shared" si="283"/>
        <v>3.9192351549171773</v>
      </c>
      <c r="BI53" s="1814"/>
      <c r="BJ53" s="2090">
        <f t="shared" ref="BJ53:BK53" si="369">IF(BJ46&gt;$J$57,$J$53,IF(BJ46&lt;$J$57,(IF(BJ46&lt;0,0,BJ46*$K$53))))</f>
        <v>0.32055173077981453</v>
      </c>
      <c r="BK53" s="2088">
        <f t="shared" si="369"/>
        <v>0.71759630730284596</v>
      </c>
      <c r="BL53" s="2091">
        <f t="shared" ref="BL53" si="370">IF(BL46&gt;$J$57,$J$53,IF(BL46&lt;$J$57,(IF(BL46&lt;0,0,BL46*$K$53))))</f>
        <v>1.0925925925925926</v>
      </c>
      <c r="BM53" s="1814"/>
      <c r="BN53" s="2090">
        <f t="shared" si="286"/>
        <v>2.1307406306752528</v>
      </c>
      <c r="BO53" s="2088">
        <f>$J$53*0</f>
        <v>0</v>
      </c>
      <c r="BP53" s="2091">
        <f t="shared" si="287"/>
        <v>2.1307406306752528</v>
      </c>
      <c r="BR53" s="2092"/>
      <c r="BS53" s="2093"/>
      <c r="BT53" s="1740"/>
      <c r="BU53" s="2092">
        <f t="shared" si="258"/>
        <v>23.585901821583846</v>
      </c>
      <c r="BV53" s="2094">
        <f t="shared" si="259"/>
        <v>0.79952209564691001</v>
      </c>
      <c r="BW53" s="2351"/>
      <c r="BX53" s="4636"/>
      <c r="BZ53" s="4627"/>
      <c r="CA53" s="3018"/>
      <c r="CB53" s="3018"/>
      <c r="CC53" s="1860"/>
      <c r="CD53" s="1860"/>
      <c r="CE53" s="1860"/>
      <c r="CF53" s="1860"/>
      <c r="CG53" s="1860"/>
      <c r="CH53" s="1860"/>
      <c r="CI53" s="1860"/>
    </row>
    <row r="54" spans="1:87" s="1885" customFormat="1" x14ac:dyDescent="0.2">
      <c r="B54" s="2182">
        <v>44</v>
      </c>
      <c r="C54" s="2175" t="s">
        <v>123</v>
      </c>
      <c r="D54" s="2119"/>
      <c r="E54" s="2170">
        <v>25</v>
      </c>
      <c r="F54" s="2176">
        <f t="shared" si="288"/>
        <v>2.5</v>
      </c>
      <c r="G54" s="2176">
        <f t="shared" si="289"/>
        <v>1.6666666666666667</v>
      </c>
      <c r="H54" s="2176">
        <f t="shared" si="290"/>
        <v>1.25</v>
      </c>
      <c r="I54" s="2176">
        <f t="shared" si="291"/>
        <v>1</v>
      </c>
      <c r="J54" s="2176">
        <f t="shared" si="260"/>
        <v>0.92592592592592593</v>
      </c>
      <c r="K54" s="2177">
        <f t="shared" si="292"/>
        <v>7.4294205052005943E-2</v>
      </c>
      <c r="L54" s="2003"/>
      <c r="M54" s="1950"/>
      <c r="N54" s="2415">
        <f t="shared" ref="N54" si="371">IF(N46&gt;$J$57,$J$54,IF(N46&lt;$J$57,(IF(N46&lt;0,0,N46*$K$54))))</f>
        <v>0.92592592592592593</v>
      </c>
      <c r="O54" s="2176">
        <f t="shared" ref="O54:P54" si="372">IF(O46&gt;$J$57,$J$54,IF(O46&lt;$J$57,(IF(O46&lt;0,0,O46*$K$54))))</f>
        <v>0.92592592592592593</v>
      </c>
      <c r="P54" s="2176">
        <f t="shared" si="372"/>
        <v>0.92592592592592593</v>
      </c>
      <c r="Q54" s="2176">
        <f t="shared" ref="Q54:R54" si="373">IF(Q46&gt;$J$57,$J$54,IF(Q46&lt;$J$57,(IF(Q46&lt;0,0,Q46*$K$54))))</f>
        <v>0.92592592592592593</v>
      </c>
      <c r="R54" s="2176">
        <f t="shared" si="373"/>
        <v>0.92592592592592593</v>
      </c>
      <c r="S54" s="2176">
        <f t="shared" ref="S54" si="374">IF(S46&gt;$J$57,$J$54,IF(S46&lt;$J$57,(IF(S46&lt;0,0,S46*$K$54))))</f>
        <v>0</v>
      </c>
      <c r="T54" s="2171">
        <f t="shared" ref="T54" si="375">IF(T46&gt;$J$57,$J$54,IF(T46&lt;$J$57,(IF(T46&lt;0,0,T46*$K$54))))</f>
        <v>0.92592592592592593</v>
      </c>
      <c r="U54" s="1951"/>
      <c r="V54" s="2169">
        <f t="shared" si="94"/>
        <v>5.5555555555555554</v>
      </c>
      <c r="W54" s="2176">
        <f>$J$54*0</f>
        <v>0</v>
      </c>
      <c r="X54" s="2171">
        <f t="shared" si="337"/>
        <v>5.5555555555555554</v>
      </c>
      <c r="Y54" s="1956"/>
      <c r="Z54" s="2169">
        <f t="shared" ref="Z54:AA54" si="376">IF(Z46&gt;$J$57,$J$54,IF(Z46&lt;$J$57,(IF(Z46&lt;0,0,Z46*$K$54))))</f>
        <v>0</v>
      </c>
      <c r="AA54" s="2176">
        <f t="shared" si="376"/>
        <v>0.92592592592592593</v>
      </c>
      <c r="AB54" s="2176">
        <f t="shared" ref="AB54:AC54" si="377">IF(AB46&gt;$J$57,$J$54,IF(AB46&lt;$J$57,(IF(AB46&lt;0,0,AB46*$K$54))))</f>
        <v>0.92592592592592593</v>
      </c>
      <c r="AC54" s="2176">
        <f t="shared" si="377"/>
        <v>0.92592592592592593</v>
      </c>
      <c r="AD54" s="2176">
        <f t="shared" ref="AD54:AE54" si="378">IF(AD46&gt;$J$57,$J$54,IF(AD46&lt;$J$57,(IF(AD46&lt;0,0,AD46*$K$54))))</f>
        <v>0.92592592592592593</v>
      </c>
      <c r="AE54" s="2176">
        <f t="shared" si="378"/>
        <v>0</v>
      </c>
      <c r="AF54" s="2171">
        <f t="shared" ref="AF54" si="379">IF(AF46&gt;$J$57,$J$54,IF(AF46&lt;$J$57,(IF(AF46&lt;0,0,AF46*$K$54))))</f>
        <v>0.92592592592592593</v>
      </c>
      <c r="AG54" s="1956"/>
      <c r="AH54" s="2169">
        <f t="shared" si="270"/>
        <v>4.6296296296296298</v>
      </c>
      <c r="AI54" s="2176">
        <f>$J$54*0</f>
        <v>0</v>
      </c>
      <c r="AJ54" s="2171">
        <f t="shared" si="271"/>
        <v>4.6296296296296298</v>
      </c>
      <c r="AK54" s="1956"/>
      <c r="AL54" s="2169">
        <f t="shared" ref="AL54" si="380">IF(AL46&gt;$J$57,$J$54,IF(AL46&lt;$J$57,(IF(AL46&lt;0,0,AL46*$K$54))))</f>
        <v>0.92592592592592593</v>
      </c>
      <c r="AM54" s="2176">
        <f t="shared" ref="AM54:AN54" si="381">IF(AM46&gt;$J$57,$J$54,IF(AM46&lt;$J$57,(IF(AM46&lt;0,0,AM46*$K$54))))</f>
        <v>0.92592592592592593</v>
      </c>
      <c r="AN54" s="2176">
        <f t="shared" si="381"/>
        <v>0.92592592592592593</v>
      </c>
      <c r="AO54" s="2176">
        <f t="shared" ref="AO54:AP54" si="382">IF(AO46&gt;$J$57,$J$54,IF(AO46&lt;$J$57,(IF(AO46&lt;0,0,AO46*$K$54))))</f>
        <v>0.92592592592592593</v>
      </c>
      <c r="AP54" s="2176">
        <f t="shared" si="382"/>
        <v>0.92592592592592593</v>
      </c>
      <c r="AQ54" s="2176">
        <f t="shared" ref="AQ54" si="383">IF(AQ46&gt;$J$57,$J$54,IF(AQ46&lt;$J$57,(IF(AQ46&lt;0,0,AQ46*$K$54))))</f>
        <v>0.92592592592592593</v>
      </c>
      <c r="AR54" s="2171">
        <f t="shared" ref="AR54" si="384">IF(AR46&gt;$J$57,$J$54,IF(AR46&lt;$J$57,(IF(AR46&lt;0,0,AR46*$K$54))))</f>
        <v>0</v>
      </c>
      <c r="AS54" s="1951"/>
      <c r="AT54" s="2169">
        <f t="shared" si="277"/>
        <v>5.5555555555555554</v>
      </c>
      <c r="AU54" s="2176">
        <f>$J$54*0</f>
        <v>0</v>
      </c>
      <c r="AV54" s="2171">
        <f t="shared" si="278"/>
        <v>5.5555555555555554</v>
      </c>
      <c r="AW54" s="1951"/>
      <c r="AX54" s="2415">
        <f t="shared" ref="AX54:BA54" si="385">IF(AX46&gt;$J$57,$J$54,IF(AX46&lt;$J$57,(IF(AX46&lt;0,0,AX46*$K$54))))</f>
        <v>0</v>
      </c>
      <c r="AY54" s="2176">
        <f t="shared" si="385"/>
        <v>0</v>
      </c>
      <c r="AZ54" s="2176">
        <f t="shared" si="385"/>
        <v>0</v>
      </c>
      <c r="BA54" s="2176">
        <f t="shared" si="385"/>
        <v>0.74323647570304407</v>
      </c>
      <c r="BB54" s="2176">
        <f t="shared" ref="BB54:BC54" si="386">IF(BB46&gt;$J$57,$J$54,IF(BB46&lt;$J$57,(IF(BB46&lt;0,0,BB46*$K$54))))</f>
        <v>0.92592592592592593</v>
      </c>
      <c r="BC54" s="2176">
        <f t="shared" si="386"/>
        <v>0.92592592592592593</v>
      </c>
      <c r="BD54" s="2171">
        <f t="shared" ref="BD54" si="387">IF(BD46&gt;$J$57,$J$54,IF(BD46&lt;$J$57,(IF(BD46&lt;0,0,BD46*$K$54))))</f>
        <v>0.72629739695118656</v>
      </c>
      <c r="BE54" s="1951"/>
      <c r="BF54" s="2169">
        <f t="shared" si="282"/>
        <v>3.3213857245060829</v>
      </c>
      <c r="BG54" s="2176">
        <f>$J$54*0</f>
        <v>0</v>
      </c>
      <c r="BH54" s="2171">
        <f t="shared" si="283"/>
        <v>3.3213857245060829</v>
      </c>
      <c r="BI54" s="1951"/>
      <c r="BJ54" s="2169">
        <f t="shared" ref="BJ54:BK54" si="388">IF(BJ46&gt;$J$57,$J$54,IF(BJ46&lt;$J$57,(IF(BJ46&lt;0,0,BJ46*$K$54))))</f>
        <v>0.27165400913543603</v>
      </c>
      <c r="BK54" s="2176">
        <f t="shared" si="388"/>
        <v>0.60813246381597119</v>
      </c>
      <c r="BL54" s="2171">
        <f t="shared" ref="BL54" si="389">IF(BL46&gt;$J$57,$J$54,IF(BL46&lt;$J$57,(IF(BL46&lt;0,0,BL46*$K$54))))</f>
        <v>0.92592592592592593</v>
      </c>
      <c r="BM54" s="1951"/>
      <c r="BN54" s="2169">
        <f t="shared" si="286"/>
        <v>1.8057123988773331</v>
      </c>
      <c r="BO54" s="2176">
        <f>$J$54*0</f>
        <v>0</v>
      </c>
      <c r="BP54" s="2171">
        <f t="shared" si="287"/>
        <v>1.8057123988773331</v>
      </c>
      <c r="BR54" s="2179"/>
      <c r="BS54" s="2180"/>
      <c r="BT54" s="1900"/>
      <c r="BU54" s="2179">
        <f t="shared" si="258"/>
        <v>19.988052391172751</v>
      </c>
      <c r="BV54" s="2181">
        <f t="shared" si="259"/>
        <v>0.79952209564691001</v>
      </c>
      <c r="BW54" s="2353"/>
      <c r="BX54" s="4636"/>
      <c r="BZ54" s="4627"/>
      <c r="CA54" s="3015"/>
      <c r="CB54" s="3015"/>
      <c r="CC54" s="1946"/>
      <c r="CD54" s="1946"/>
      <c r="CE54" s="1946"/>
      <c r="CF54" s="1946"/>
      <c r="CG54" s="1946"/>
      <c r="CH54" s="1946"/>
      <c r="CI54" s="1946"/>
    </row>
    <row r="55" spans="1:87" s="1726" customFormat="1" x14ac:dyDescent="0.2">
      <c r="B55" s="2085">
        <v>45</v>
      </c>
      <c r="C55" s="2108" t="s">
        <v>119</v>
      </c>
      <c r="D55" s="2051"/>
      <c r="E55" s="2110">
        <v>4</v>
      </c>
      <c r="F55" s="2111">
        <f t="shared" si="288"/>
        <v>0.4</v>
      </c>
      <c r="G55" s="2111">
        <f t="shared" si="289"/>
        <v>0.26666666666666666</v>
      </c>
      <c r="H55" s="2111">
        <f t="shared" si="290"/>
        <v>0.2</v>
      </c>
      <c r="I55" s="2111">
        <f t="shared" si="291"/>
        <v>0.16</v>
      </c>
      <c r="J55" s="2111">
        <f t="shared" si="260"/>
        <v>0.14814814814814814</v>
      </c>
      <c r="K55" s="2112">
        <f t="shared" si="292"/>
        <v>1.188707280832095E-2</v>
      </c>
      <c r="L55" s="1931"/>
      <c r="M55" s="1924"/>
      <c r="N55" s="2284">
        <f t="shared" ref="N55" si="390">IF(N46&gt;$J$57,$J$55,IF(N46&lt;$J$57,(IF(N46&lt;0,0,N46*$K$55))))</f>
        <v>0.14814814814814814</v>
      </c>
      <c r="O55" s="2088">
        <f t="shared" ref="O55:P55" si="391">IF(O46&gt;$J$57,$J$55,IF(O46&lt;$J$57,(IF(O46&lt;0,0,O46*$K$55))))</f>
        <v>0.14814814814814814</v>
      </c>
      <c r="P55" s="2088">
        <f t="shared" si="391"/>
        <v>0.14814814814814814</v>
      </c>
      <c r="Q55" s="2088">
        <f t="shared" ref="Q55:R55" si="392">IF(Q46&gt;$J$57,$J$55,IF(Q46&lt;$J$57,(IF(Q46&lt;0,0,Q46*$K$55))))</f>
        <v>0.14814814814814814</v>
      </c>
      <c r="R55" s="2088">
        <f t="shared" si="392"/>
        <v>0.14814814814814814</v>
      </c>
      <c r="S55" s="2088">
        <f t="shared" ref="S55" si="393">IF(S46&gt;$J$57,$J$55,IF(S46&lt;$J$57,(IF(S46&lt;0,0,S46*$K$55))))</f>
        <v>0</v>
      </c>
      <c r="T55" s="2091">
        <f t="shared" ref="T55" si="394">IF(T46&gt;$J$57,$J$55,IF(T46&lt;$J$57,(IF(T46&lt;0,0,T46*$K$55))))</f>
        <v>0.14814814814814814</v>
      </c>
      <c r="U55" s="1814"/>
      <c r="V55" s="2090">
        <f>SUM(N55:T55)</f>
        <v>0.88888888888888884</v>
      </c>
      <c r="W55" s="2087">
        <f>$J$55*0</f>
        <v>0</v>
      </c>
      <c r="X55" s="2174">
        <f t="shared" si="337"/>
        <v>0.88888888888888884</v>
      </c>
      <c r="Y55" s="1766"/>
      <c r="Z55" s="2090">
        <f t="shared" ref="Z55:AA55" si="395">IF(Z46&gt;$J$57,$J$55,IF(Z46&lt;$J$57,(IF(Z46&lt;0,0,Z46*$K$55))))</f>
        <v>0</v>
      </c>
      <c r="AA55" s="2087">
        <f t="shared" si="395"/>
        <v>0.14814814814814814</v>
      </c>
      <c r="AB55" s="2087">
        <f t="shared" ref="AB55:AC55" si="396">IF(AB46&gt;$J$57,$J$55,IF(AB46&lt;$J$57,(IF(AB46&lt;0,0,AB46*$K$55))))</f>
        <v>0.14814814814814814</v>
      </c>
      <c r="AC55" s="2087">
        <f t="shared" si="396"/>
        <v>0.14814814814814814</v>
      </c>
      <c r="AD55" s="2087">
        <f t="shared" ref="AD55:AE55" si="397">IF(AD46&gt;$J$57,$J$55,IF(AD46&lt;$J$57,(IF(AD46&lt;0,0,AD46*$K$55))))</f>
        <v>0.14814814814814814</v>
      </c>
      <c r="AE55" s="2087">
        <f t="shared" si="397"/>
        <v>0</v>
      </c>
      <c r="AF55" s="2091">
        <f t="shared" ref="AF55" si="398">IF(AF46&gt;$J$57,$J$55,IF(AF46&lt;$J$57,(IF(AF46&lt;0,0,AF46*$K$55))))</f>
        <v>0.14814814814814814</v>
      </c>
      <c r="AG55" s="1766"/>
      <c r="AH55" s="2090">
        <f t="shared" si="270"/>
        <v>0.7407407407407407</v>
      </c>
      <c r="AI55" s="2087">
        <f>$J$55*0</f>
        <v>0</v>
      </c>
      <c r="AJ55" s="2174">
        <f t="shared" si="271"/>
        <v>0.7407407407407407</v>
      </c>
      <c r="AK55" s="1766"/>
      <c r="AL55" s="2090">
        <f t="shared" ref="AL55" si="399">IF(AL46&gt;$J$57,$J$55,IF(AL46&lt;$J$57,(IF(AL46&lt;0,0,AL46*$K$55))))</f>
        <v>0.14814814814814814</v>
      </c>
      <c r="AM55" s="2088">
        <f t="shared" ref="AM55:AN55" si="400">IF(AM46&gt;$J$57,$J$55,IF(AM46&lt;$J$57,(IF(AM46&lt;0,0,AM46*$K$55))))</f>
        <v>0.14814814814814814</v>
      </c>
      <c r="AN55" s="2088">
        <f t="shared" si="400"/>
        <v>0.14814814814814814</v>
      </c>
      <c r="AO55" s="2088">
        <f t="shared" ref="AO55:AP55" si="401">IF(AO46&gt;$J$57,$J$55,IF(AO46&lt;$J$57,(IF(AO46&lt;0,0,AO46*$K$55))))</f>
        <v>0.14814814814814814</v>
      </c>
      <c r="AP55" s="2088">
        <f t="shared" si="401"/>
        <v>0.14814814814814814</v>
      </c>
      <c r="AQ55" s="2088">
        <f t="shared" ref="AQ55" si="402">IF(AQ46&gt;$J$57,$J$55,IF(AQ46&lt;$J$57,(IF(AQ46&lt;0,0,AQ46*$K$55))))</f>
        <v>0.14814814814814814</v>
      </c>
      <c r="AR55" s="2091">
        <f t="shared" ref="AR55" si="403">IF(AR46&gt;$J$57,$J$55,IF(AR46&lt;$J$57,(IF(AR46&lt;0,0,AR46*$K$55))))</f>
        <v>0</v>
      </c>
      <c r="AS55" s="1814"/>
      <c r="AT55" s="2090">
        <f t="shared" si="277"/>
        <v>0.88888888888888884</v>
      </c>
      <c r="AU55" s="2087">
        <f>$J$55*0</f>
        <v>0</v>
      </c>
      <c r="AV55" s="2174">
        <f t="shared" si="278"/>
        <v>0.88888888888888884</v>
      </c>
      <c r="AW55" s="1814"/>
      <c r="AX55" s="2284">
        <f t="shared" ref="AX55:BA55" si="404">IF(AX46&gt;$J$57,$J$55,IF(AX46&lt;$J$57,(IF(AX46&lt;0,0,AX46*$K$55))))</f>
        <v>0</v>
      </c>
      <c r="AY55" s="2088">
        <f t="shared" si="404"/>
        <v>0</v>
      </c>
      <c r="AZ55" s="2088">
        <f t="shared" si="404"/>
        <v>0</v>
      </c>
      <c r="BA55" s="2088">
        <f t="shared" si="404"/>
        <v>0.11891783611248705</v>
      </c>
      <c r="BB55" s="2088">
        <f t="shared" ref="BB55:BC55" si="405">IF(BB46&gt;$J$57,$J$55,IF(BB46&lt;$J$57,(IF(BB46&lt;0,0,BB46*$K$55))))</f>
        <v>0.14814814814814814</v>
      </c>
      <c r="BC55" s="2088">
        <f t="shared" si="405"/>
        <v>0.14814814814814814</v>
      </c>
      <c r="BD55" s="2091">
        <f t="shared" ref="BD55" si="406">IF(BD46&gt;$J$57,$J$55,IF(BD46&lt;$J$57,(IF(BD46&lt;0,0,BD46*$K$55))))</f>
        <v>0.11620758351218985</v>
      </c>
      <c r="BE55" s="1814"/>
      <c r="BF55" s="2090">
        <f t="shared" si="282"/>
        <v>0.5314217159209732</v>
      </c>
      <c r="BG55" s="2087">
        <f>$J$55*0</f>
        <v>0</v>
      </c>
      <c r="BH55" s="2174">
        <f t="shared" si="283"/>
        <v>0.5314217159209732</v>
      </c>
      <c r="BI55" s="1814"/>
      <c r="BJ55" s="2090">
        <f t="shared" ref="BJ55:BK55" si="407">IF(BJ46&gt;$J$57,$J$55,IF(BJ46&lt;$J$57,(IF(BJ46&lt;0,0,BJ46*$K$55))))</f>
        <v>4.3464641461669763E-2</v>
      </c>
      <c r="BK55" s="2088">
        <f t="shared" si="407"/>
        <v>9.7301194210555386E-2</v>
      </c>
      <c r="BL55" s="2091">
        <f t="shared" ref="BL55" si="408">IF(BL46&gt;$J$57,$J$55,IF(BL46&lt;$J$57,(IF(BL46&lt;0,0,BL46*$K$55))))</f>
        <v>0.14814814814814814</v>
      </c>
      <c r="BM55" s="1814"/>
      <c r="BN55" s="2090">
        <f t="shared" si="286"/>
        <v>0.28891398382037325</v>
      </c>
      <c r="BO55" s="2087">
        <f>$J$55*0</f>
        <v>0</v>
      </c>
      <c r="BP55" s="2174">
        <f t="shared" si="287"/>
        <v>0.28891398382037325</v>
      </c>
      <c r="BR55" s="2092"/>
      <c r="BS55" s="2093"/>
      <c r="BT55" s="1740"/>
      <c r="BU55" s="2092">
        <f t="shared" si="258"/>
        <v>3.1980883825876392</v>
      </c>
      <c r="BV55" s="2094">
        <f t="shared" si="259"/>
        <v>0.79952209564690979</v>
      </c>
      <c r="BW55" s="2351"/>
      <c r="BX55" s="4636"/>
      <c r="BZ55" s="4627"/>
      <c r="CA55" s="3018"/>
      <c r="CB55" s="1860"/>
      <c r="CC55" s="1860"/>
      <c r="CD55" s="1860"/>
      <c r="CE55" s="1860"/>
      <c r="CF55" s="1860"/>
      <c r="CG55" s="1860"/>
      <c r="CH55" s="1860"/>
      <c r="CI55" s="1860"/>
    </row>
    <row r="56" spans="1:87" s="1885" customFormat="1" ht="17.25" thickBot="1" x14ac:dyDescent="0.25">
      <c r="B56" s="2420">
        <v>46</v>
      </c>
      <c r="C56" s="2417" t="s">
        <v>237</v>
      </c>
      <c r="D56" s="2680"/>
      <c r="E56" s="2681">
        <v>0</v>
      </c>
      <c r="F56" s="2418">
        <f t="shared" si="288"/>
        <v>0</v>
      </c>
      <c r="G56" s="2418">
        <f t="shared" si="289"/>
        <v>0</v>
      </c>
      <c r="H56" s="2418">
        <f t="shared" si="290"/>
        <v>0</v>
      </c>
      <c r="I56" s="2418">
        <f t="shared" si="291"/>
        <v>0</v>
      </c>
      <c r="J56" s="2418">
        <f t="shared" si="260"/>
        <v>0</v>
      </c>
      <c r="K56" s="2419">
        <f t="shared" si="292"/>
        <v>0</v>
      </c>
      <c r="L56" s="2003"/>
      <c r="M56" s="1950"/>
      <c r="N56" s="2682">
        <f t="shared" ref="N56" si="409">IF(N46&gt;$J$57,$J$56,IF(N46&lt;$J$57,(IF(N46&lt;0,0,N46*$K$56))))</f>
        <v>0</v>
      </c>
      <c r="O56" s="2418">
        <f t="shared" ref="O56:P56" si="410">IF(O46&gt;$J$57,$J$56,IF(O46&lt;$J$57,(IF(O46&lt;0,0,O46*$K$56))))</f>
        <v>0</v>
      </c>
      <c r="P56" s="2418">
        <f t="shared" si="410"/>
        <v>0</v>
      </c>
      <c r="Q56" s="2418">
        <f t="shared" ref="Q56:R56" si="411">IF(Q46&gt;$J$57,$J$56,IF(Q46&lt;$J$57,(IF(Q46&lt;0,0,Q46*$K$56))))</f>
        <v>0</v>
      </c>
      <c r="R56" s="2418">
        <f t="shared" si="411"/>
        <v>0</v>
      </c>
      <c r="S56" s="2418">
        <f t="shared" ref="S56" si="412">IF(S46&gt;$J$57,$J$56,IF(S46&lt;$J$57,(IF(S46&lt;0,0,S46*$K$56))))</f>
        <v>0</v>
      </c>
      <c r="T56" s="2683">
        <f t="shared" ref="T56" si="413">IF(T46&gt;$J$57,$J$56,IF(T46&lt;$J$57,(IF(T46&lt;0,0,T46*$K$56))))</f>
        <v>0</v>
      </c>
      <c r="U56" s="1951"/>
      <c r="V56" s="2179">
        <f t="shared" ref="V56:V68" si="414">SUM(N56:T56)</f>
        <v>0</v>
      </c>
      <c r="W56" s="2681">
        <f>$J$56*0</f>
        <v>0</v>
      </c>
      <c r="X56" s="2684">
        <f t="shared" si="337"/>
        <v>0</v>
      </c>
      <c r="Y56" s="1956"/>
      <c r="Z56" s="2179">
        <f t="shared" ref="Z56:AA56" si="415">IF(Z46&gt;$J$57,$J$56,IF(Z46&lt;$J$57,(IF(Z46&lt;0,0,Z46*$K$56))))</f>
        <v>0</v>
      </c>
      <c r="AA56" s="2681">
        <f t="shared" si="415"/>
        <v>0</v>
      </c>
      <c r="AB56" s="2681">
        <f t="shared" ref="AB56:AC56" si="416">IF(AB46&gt;$J$57,$J$56,IF(AB46&lt;$J$57,(IF(AB46&lt;0,0,AB46*$K$56))))</f>
        <v>0</v>
      </c>
      <c r="AC56" s="2681">
        <f t="shared" si="416"/>
        <v>0</v>
      </c>
      <c r="AD56" s="2681">
        <f t="shared" ref="AD56:AE56" si="417">IF(AD46&gt;$J$57,$J$56,IF(AD46&lt;$J$57,(IF(AD46&lt;0,0,AD46*$K$56))))</f>
        <v>0</v>
      </c>
      <c r="AE56" s="2681">
        <f t="shared" si="417"/>
        <v>0</v>
      </c>
      <c r="AF56" s="2683">
        <f t="shared" ref="AF56" si="418">IF(AF46&gt;$J$57,$J$56,IF(AF46&lt;$J$57,(IF(AF46&lt;0,0,AF46*$K$56))))</f>
        <v>0</v>
      </c>
      <c r="AG56" s="1956"/>
      <c r="AH56" s="2179">
        <f t="shared" si="270"/>
        <v>0</v>
      </c>
      <c r="AI56" s="2681">
        <f>$J$56*0</f>
        <v>0</v>
      </c>
      <c r="AJ56" s="2684">
        <f t="shared" si="271"/>
        <v>0</v>
      </c>
      <c r="AK56" s="1956"/>
      <c r="AL56" s="2179">
        <f t="shared" ref="AL56" si="419">IF(AL46&gt;$J$57,$J$56,IF(AL46&lt;$J$57,(IF(AL46&lt;0,0,AL46*$K$56))))</f>
        <v>0</v>
      </c>
      <c r="AM56" s="2418">
        <f t="shared" ref="AM56:AN56" si="420">IF(AM46&gt;$J$57,$J$56,IF(AM46&lt;$J$57,(IF(AM46&lt;0,0,AM46*$K$56))))</f>
        <v>0</v>
      </c>
      <c r="AN56" s="2418">
        <f t="shared" si="420"/>
        <v>0</v>
      </c>
      <c r="AO56" s="2418">
        <f t="shared" ref="AO56:AP56" si="421">IF(AO46&gt;$J$57,$J$56,IF(AO46&lt;$J$57,(IF(AO46&lt;0,0,AO46*$K$56))))</f>
        <v>0</v>
      </c>
      <c r="AP56" s="2418">
        <f t="shared" si="421"/>
        <v>0</v>
      </c>
      <c r="AQ56" s="2418">
        <f t="shared" ref="AQ56" si="422">IF(AQ46&gt;$J$57,$J$56,IF(AQ46&lt;$J$57,(IF(AQ46&lt;0,0,AQ46*$K$56))))</f>
        <v>0</v>
      </c>
      <c r="AR56" s="2683">
        <f t="shared" ref="AR56" si="423">IF(AR46&gt;$J$57,$J$56,IF(AR46&lt;$J$57,(IF(AR46&lt;0,0,AR46*$K$56))))</f>
        <v>0</v>
      </c>
      <c r="AS56" s="1951"/>
      <c r="AT56" s="2169">
        <f t="shared" si="277"/>
        <v>0</v>
      </c>
      <c r="AU56" s="2170">
        <f>$J$56*0</f>
        <v>0</v>
      </c>
      <c r="AV56" s="2178">
        <f t="shared" si="278"/>
        <v>0</v>
      </c>
      <c r="AW56" s="1951"/>
      <c r="AX56" s="2187">
        <f t="shared" ref="AX56:BA56" si="424">IF(AX46&gt;$J$57,$J$56,IF(AX46&lt;$J$57,(IF(AX46&lt;0,0,AX46*$K$56))))</f>
        <v>0</v>
      </c>
      <c r="AY56" s="2308">
        <f t="shared" si="424"/>
        <v>0</v>
      </c>
      <c r="AZ56" s="2308">
        <f t="shared" si="424"/>
        <v>0</v>
      </c>
      <c r="BA56" s="2308">
        <f t="shared" si="424"/>
        <v>0</v>
      </c>
      <c r="BB56" s="2308">
        <f t="shared" ref="BB56:BC56" si="425">IF(BB46&gt;$J$57,$J$56,IF(BB46&lt;$J$57,(IF(BB46&lt;0,0,BB46*$K$56))))</f>
        <v>0</v>
      </c>
      <c r="BC56" s="2308">
        <f t="shared" si="425"/>
        <v>0</v>
      </c>
      <c r="BD56" s="2309">
        <f t="shared" ref="BD56" si="426">IF(BD46&gt;$J$57,$J$56,IF(BD46&lt;$J$57,(IF(BD46&lt;0,0,BD46*$K$56))))</f>
        <v>0</v>
      </c>
      <c r="BE56" s="1951"/>
      <c r="BF56" s="2169">
        <f t="shared" si="282"/>
        <v>0</v>
      </c>
      <c r="BG56" s="2170">
        <f>$J$56*0</f>
        <v>0</v>
      </c>
      <c r="BH56" s="2178">
        <f t="shared" si="283"/>
        <v>0</v>
      </c>
      <c r="BI56" s="1951"/>
      <c r="BJ56" s="2187">
        <f t="shared" ref="BJ56:BK56" si="427">IF(BJ46&gt;$J$57,$J$56,IF(BJ46&lt;$J$57,(IF(BJ46&lt;0,0,BJ46*$K$56))))</f>
        <v>0</v>
      </c>
      <c r="BK56" s="2308">
        <f t="shared" si="427"/>
        <v>0</v>
      </c>
      <c r="BL56" s="2309">
        <f t="shared" ref="BL56" si="428">IF(BL46&gt;$J$57,$J$56,IF(BL46&lt;$J$57,(IF(BL46&lt;0,0,BL46*$K$56))))</f>
        <v>0</v>
      </c>
      <c r="BM56" s="1951"/>
      <c r="BN56" s="2179">
        <f>SUM(BJ56:BL56)</f>
        <v>0</v>
      </c>
      <c r="BO56" s="2681">
        <f>$J$56*0</f>
        <v>0</v>
      </c>
      <c r="BP56" s="2684">
        <f t="shared" si="287"/>
        <v>0</v>
      </c>
      <c r="BR56" s="2179"/>
      <c r="BS56" s="2180"/>
      <c r="BT56" s="1900"/>
      <c r="BU56" s="2179">
        <f t="shared" si="258"/>
        <v>0</v>
      </c>
      <c r="BV56" s="2181" t="e">
        <f t="shared" si="259"/>
        <v>#DIV/0!</v>
      </c>
      <c r="BW56" s="2353"/>
      <c r="BX56" s="4636"/>
      <c r="BZ56" s="4627"/>
      <c r="CA56" s="3015"/>
      <c r="CB56" s="1946"/>
      <c r="CC56" s="1946"/>
      <c r="CD56" s="1946"/>
      <c r="CE56" s="1946"/>
      <c r="CF56" s="1946"/>
      <c r="CG56" s="1946"/>
      <c r="CH56" s="1946"/>
      <c r="CI56" s="1946"/>
    </row>
    <row r="57" spans="1:87" s="1726" customFormat="1" ht="17.25" thickBot="1" x14ac:dyDescent="0.25">
      <c r="B57" s="2049"/>
      <c r="C57" s="2190" t="s">
        <v>192</v>
      </c>
      <c r="D57" s="2051"/>
      <c r="E57" s="2056">
        <f>SUM(E48:E56)</f>
        <v>336.5</v>
      </c>
      <c r="F57" s="2053"/>
      <c r="G57" s="2053"/>
      <c r="H57" s="2053"/>
      <c r="I57" s="2053"/>
      <c r="J57" s="2053">
        <f t="shared" ref="J57:K57" si="429">SUM(J48:J56)</f>
        <v>12.462962962962964</v>
      </c>
      <c r="K57" s="2191">
        <f t="shared" si="429"/>
        <v>1</v>
      </c>
      <c r="L57" s="1931"/>
      <c r="M57" s="1924"/>
      <c r="N57" s="2642">
        <f t="shared" ref="N57" si="430">SUM(N48:N56)</f>
        <v>12.462962962962964</v>
      </c>
      <c r="O57" s="2053">
        <f t="shared" ref="O57:P57" si="431">SUM(O48:O56)</f>
        <v>12.462962962962964</v>
      </c>
      <c r="P57" s="2053">
        <f t="shared" si="431"/>
        <v>12.462962962962964</v>
      </c>
      <c r="Q57" s="2053">
        <f t="shared" ref="Q57:R57" si="432">SUM(Q48:Q56)</f>
        <v>12.462962962962964</v>
      </c>
      <c r="R57" s="2053">
        <f t="shared" si="432"/>
        <v>12.462962962962964</v>
      </c>
      <c r="S57" s="2053">
        <f t="shared" ref="S57" si="433">SUM(S48:S56)</f>
        <v>0</v>
      </c>
      <c r="T57" s="2057">
        <f t="shared" ref="T57" si="434">SUM(T48:T56)</f>
        <v>12.462962962962964</v>
      </c>
      <c r="U57" s="1814"/>
      <c r="V57" s="2056">
        <f>SUM(V48:V56)</f>
        <v>74.777777777777771</v>
      </c>
      <c r="W57" s="2052">
        <f t="shared" ref="W57" si="435">SUM(W48:W56)</f>
        <v>0</v>
      </c>
      <c r="X57" s="2192">
        <f>SUM(X48:X56)</f>
        <v>74.777777777777771</v>
      </c>
      <c r="Y57" s="1766"/>
      <c r="Z57" s="2056">
        <f t="shared" ref="Z57:AA57" si="436">SUM(Z48:Z56)</f>
        <v>0</v>
      </c>
      <c r="AA57" s="2052">
        <f t="shared" si="436"/>
        <v>12.462962962962964</v>
      </c>
      <c r="AB57" s="2052">
        <f t="shared" ref="AB57:AC57" si="437">SUM(AB48:AB56)</f>
        <v>12.462962962962964</v>
      </c>
      <c r="AC57" s="2052">
        <f t="shared" si="437"/>
        <v>12.462962962962964</v>
      </c>
      <c r="AD57" s="2052">
        <f t="shared" ref="AD57:AE57" si="438">SUM(AD48:AD56)</f>
        <v>12.462962962962964</v>
      </c>
      <c r="AE57" s="2052">
        <f t="shared" si="438"/>
        <v>0</v>
      </c>
      <c r="AF57" s="2057">
        <f t="shared" ref="AF57" si="439">SUM(AF48:AF56)</f>
        <v>12.462962962962964</v>
      </c>
      <c r="AG57" s="1766"/>
      <c r="AH57" s="2056">
        <f>SUM(AH48:AH56)</f>
        <v>62.314814814814817</v>
      </c>
      <c r="AI57" s="2052">
        <f>SUM(AI48:AI56)</f>
        <v>0</v>
      </c>
      <c r="AJ57" s="2192">
        <f>SUM(AJ48:AJ56)</f>
        <v>62.314814814814817</v>
      </c>
      <c r="AK57" s="1766"/>
      <c r="AL57" s="2056">
        <f t="shared" ref="AL57" si="440">SUM(AL48:AL56)</f>
        <v>12.462962962962964</v>
      </c>
      <c r="AM57" s="2053">
        <f t="shared" ref="AM57:AN57" si="441">SUM(AM48:AM56)</f>
        <v>12.462962962962964</v>
      </c>
      <c r="AN57" s="2053">
        <f t="shared" si="441"/>
        <v>12.462962962962964</v>
      </c>
      <c r="AO57" s="2053">
        <f t="shared" ref="AO57:AP57" si="442">SUM(AO48:AO56)</f>
        <v>12.462962962962964</v>
      </c>
      <c r="AP57" s="2053">
        <f t="shared" si="442"/>
        <v>12.462962962962964</v>
      </c>
      <c r="AQ57" s="2053">
        <f t="shared" ref="AQ57" si="443">SUM(AQ48:AQ56)</f>
        <v>12.462962962962964</v>
      </c>
      <c r="AR57" s="2057">
        <f t="shared" ref="AR57" si="444">SUM(AR48:AR56)</f>
        <v>0</v>
      </c>
      <c r="AS57" s="1814"/>
      <c r="AT57" s="2056">
        <f>SUM(AT48:AT56)</f>
        <v>74.777777777777771</v>
      </c>
      <c r="AU57" s="2052">
        <f>SUM(AU48:AU56)</f>
        <v>0</v>
      </c>
      <c r="AV57" s="2192">
        <f>SUM(AV48:AV56)</f>
        <v>74.777777777777771</v>
      </c>
      <c r="AW57" s="1814"/>
      <c r="AX57" s="2056">
        <f t="shared" ref="AX57:BA57" si="445">SUM(AX48:AX56)</f>
        <v>0</v>
      </c>
      <c r="AY57" s="2053">
        <f t="shared" si="445"/>
        <v>0</v>
      </c>
      <c r="AZ57" s="2053">
        <f t="shared" si="445"/>
        <v>0</v>
      </c>
      <c r="BA57" s="2053">
        <f t="shared" si="445"/>
        <v>10.003962962962975</v>
      </c>
      <c r="BB57" s="2053">
        <f t="shared" ref="BB57:BC57" si="446">SUM(BB48:BB56)</f>
        <v>12.462962962962964</v>
      </c>
      <c r="BC57" s="2053">
        <f t="shared" si="446"/>
        <v>12.462962962962964</v>
      </c>
      <c r="BD57" s="2057">
        <f t="shared" ref="BD57" si="447">SUM(BD48:BD56)</f>
        <v>9.7759629629629714</v>
      </c>
      <c r="BE57" s="1814"/>
      <c r="BF57" s="2056">
        <f>SUM(BF48:BF56)</f>
        <v>44.705851851851861</v>
      </c>
      <c r="BG57" s="2052">
        <f>SUM(BG48:BG56)</f>
        <v>0</v>
      </c>
      <c r="BH57" s="2192">
        <f>SUM(BH48:BH56)</f>
        <v>44.705851851851861</v>
      </c>
      <c r="BI57" s="1814"/>
      <c r="BJ57" s="2056">
        <f t="shared" ref="BJ57:BK57" si="448">SUM(BJ48:BJ56)</f>
        <v>3.6564629629629692</v>
      </c>
      <c r="BK57" s="2053">
        <f t="shared" si="448"/>
        <v>8.1854629629629709</v>
      </c>
      <c r="BL57" s="2057">
        <f t="shared" ref="BL57" si="449">SUM(BL48:BL56)</f>
        <v>12.462962962962964</v>
      </c>
      <c r="BM57" s="1814"/>
      <c r="BN57" s="2056">
        <f>SUM(BN48:BN56)</f>
        <v>24.3048888888889</v>
      </c>
      <c r="BO57" s="2052">
        <f>SUM(BO48:BO56)</f>
        <v>0</v>
      </c>
      <c r="BP57" s="2192">
        <f>SUM(BP48:BP56)</f>
        <v>24.3048888888889</v>
      </c>
      <c r="BR57" s="2056">
        <f>X57+AJ57+AV57</f>
        <v>211.87037037037035</v>
      </c>
      <c r="BS57" s="2253"/>
      <c r="BT57" s="1740"/>
      <c r="BU57" s="2056">
        <f>SUM(BU48:BU56)</f>
        <v>269.0391851851852</v>
      </c>
      <c r="BV57" s="2054">
        <f t="shared" si="259"/>
        <v>0.79952209564691001</v>
      </c>
      <c r="BW57" s="2351"/>
      <c r="BX57" s="4637"/>
      <c r="BZ57" s="4627"/>
      <c r="CA57" s="3018"/>
      <c r="CB57" s="1860"/>
      <c r="CC57" s="1860"/>
      <c r="CD57" s="1860"/>
      <c r="CE57" s="1860"/>
      <c r="CF57" s="1860"/>
      <c r="CG57" s="1860"/>
      <c r="CH57" s="1860"/>
      <c r="CI57" s="1860"/>
    </row>
    <row r="58" spans="1:87" s="1810" customFormat="1" ht="4.5" customHeight="1" thickBot="1" x14ac:dyDescent="0.25">
      <c r="B58" s="1817"/>
      <c r="C58" s="1817"/>
      <c r="D58" s="1817"/>
      <c r="E58" s="1814"/>
      <c r="F58" s="1814"/>
      <c r="G58" s="1814"/>
      <c r="H58" s="1814"/>
      <c r="I58" s="1814"/>
      <c r="J58" s="1814"/>
      <c r="K58" s="2131"/>
      <c r="L58" s="1924"/>
      <c r="M58" s="1924"/>
      <c r="N58" s="3012"/>
      <c r="O58" s="3012"/>
      <c r="P58" s="3045"/>
      <c r="Q58" s="3059"/>
      <c r="R58" s="3062"/>
      <c r="S58" s="3065"/>
      <c r="T58" s="3012"/>
      <c r="U58" s="1814"/>
      <c r="V58" s="1814"/>
      <c r="W58" s="1814"/>
      <c r="X58" s="1814"/>
      <c r="Y58" s="1766"/>
      <c r="Z58" s="3012"/>
      <c r="AA58" s="3012"/>
      <c r="AB58" s="3077"/>
      <c r="AC58" s="3082"/>
      <c r="AD58" s="3088"/>
      <c r="AE58" s="3093"/>
      <c r="AF58" s="3012"/>
      <c r="AG58" s="1766"/>
      <c r="AH58" s="1814"/>
      <c r="AI58" s="1814"/>
      <c r="AJ58" s="1814"/>
      <c r="AK58" s="1766"/>
      <c r="AL58" s="3012"/>
      <c r="AM58" s="3012"/>
      <c r="AN58" s="3105"/>
      <c r="AO58" s="3113"/>
      <c r="AP58" s="3116"/>
      <c r="AQ58" s="3012"/>
      <c r="AR58" s="3012"/>
      <c r="AS58" s="1814"/>
      <c r="AT58" s="2137"/>
      <c r="AU58" s="2137"/>
      <c r="AV58" s="2137"/>
      <c r="AW58" s="1814"/>
      <c r="AX58" s="3020"/>
      <c r="AY58" s="3020"/>
      <c r="AZ58" s="3020"/>
      <c r="BA58" s="3020"/>
      <c r="BB58" s="3122"/>
      <c r="BC58" s="3122"/>
      <c r="BD58" s="3020"/>
      <c r="BE58" s="1814"/>
      <c r="BF58" s="2137"/>
      <c r="BG58" s="2137"/>
      <c r="BH58" s="2137"/>
      <c r="BI58" s="1814"/>
      <c r="BJ58" s="3012"/>
      <c r="BK58" s="3012"/>
      <c r="BL58" s="3012"/>
      <c r="BM58" s="1814"/>
      <c r="BN58" s="1814"/>
      <c r="BO58" s="1814"/>
      <c r="BP58" s="1814"/>
      <c r="BR58" s="1814"/>
      <c r="BS58" s="2132"/>
      <c r="BT58" s="1817"/>
      <c r="BU58" s="1814"/>
      <c r="BV58" s="1830"/>
      <c r="BW58" s="1830"/>
      <c r="BX58" s="2643"/>
      <c r="CA58" s="1761"/>
    </row>
    <row r="59" spans="1:87" s="1906" customFormat="1" ht="17.25" thickBot="1" x14ac:dyDescent="0.25">
      <c r="B59" s="1960"/>
      <c r="C59" s="1960" t="s">
        <v>143</v>
      </c>
      <c r="D59" s="1960"/>
      <c r="E59" s="2687"/>
      <c r="F59" s="1951"/>
      <c r="G59" s="1951"/>
      <c r="H59" s="1951"/>
      <c r="I59" s="1951"/>
      <c r="J59" s="1951"/>
      <c r="K59" s="2339"/>
      <c r="L59" s="2003"/>
      <c r="M59" s="1950"/>
      <c r="N59" s="2120">
        <f t="shared" ref="N59" si="450">N46-N57</f>
        <v>11.369000000000005</v>
      </c>
      <c r="O59" s="2123">
        <f t="shared" ref="O59:P59" si="451">O46-O57</f>
        <v>27.129500000000014</v>
      </c>
      <c r="P59" s="2123">
        <f t="shared" si="451"/>
        <v>59.477000000000004</v>
      </c>
      <c r="Q59" s="2123">
        <f t="shared" ref="Q59:R59" si="452">Q46-Q57</f>
        <v>34.122500000000009</v>
      </c>
      <c r="R59" s="2123">
        <f t="shared" si="452"/>
        <v>9.151500000000004</v>
      </c>
      <c r="S59" s="2123">
        <f t="shared" ref="S59" si="453">S46-S57</f>
        <v>-7.8025370370370268</v>
      </c>
      <c r="T59" s="2124">
        <f t="shared" ref="T59" si="454">T46-T57</f>
        <v>27.482000000000006</v>
      </c>
      <c r="U59" s="1951"/>
      <c r="V59" s="1951"/>
      <c r="W59" s="1951"/>
      <c r="X59" s="1951"/>
      <c r="Y59" s="1956"/>
      <c r="Z59" s="2120">
        <f t="shared" ref="Z59:AA59" si="455">Z46-Z57</f>
        <v>-4.834037037037028</v>
      </c>
      <c r="AA59" s="2123">
        <f t="shared" si="455"/>
        <v>23.529500000000006</v>
      </c>
      <c r="AB59" s="2123">
        <f t="shared" ref="AB59:AC59" si="456">AB46-AB57</f>
        <v>14.99800000000001</v>
      </c>
      <c r="AC59" s="2123">
        <f t="shared" si="456"/>
        <v>13.056500000000005</v>
      </c>
      <c r="AD59" s="2123">
        <f t="shared" ref="AD59:AE59" si="457">AD46-AD57</f>
        <v>1.964000000000004</v>
      </c>
      <c r="AE59" s="2123">
        <f t="shared" si="457"/>
        <v>-18.576537037037028</v>
      </c>
      <c r="AF59" s="2124">
        <f t="shared" ref="AF59" si="458">AF46-AF57</f>
        <v>27.465500000000013</v>
      </c>
      <c r="AG59" s="1956"/>
      <c r="AH59" s="1951"/>
      <c r="AI59" s="1951"/>
      <c r="AJ59" s="1951"/>
      <c r="AK59" s="1956"/>
      <c r="AL59" s="2120">
        <f t="shared" ref="AL59" si="459">AL46-AL57</f>
        <v>138.18950000000001</v>
      </c>
      <c r="AM59" s="2123">
        <f t="shared" ref="AM59:AN59" si="460">AM46-AM57</f>
        <v>134.02650000000003</v>
      </c>
      <c r="AN59" s="2123">
        <f t="shared" si="460"/>
        <v>169.239</v>
      </c>
      <c r="AO59" s="2123">
        <f t="shared" ref="AO59:AP59" si="461">AO46-AO57</f>
        <v>54.873000000000019</v>
      </c>
      <c r="AP59" s="2123">
        <f t="shared" si="461"/>
        <v>27.014500000000005</v>
      </c>
      <c r="AQ59" s="2123">
        <f t="shared" ref="AQ59" si="462">AQ46-AQ57</f>
        <v>53.389499999999998</v>
      </c>
      <c r="AR59" s="2124">
        <f t="shared" ref="AR59" si="463">AR46-AR57</f>
        <v>0</v>
      </c>
      <c r="AS59" s="1951"/>
      <c r="AT59" s="1951"/>
      <c r="AU59" s="1951"/>
      <c r="AV59" s="1951"/>
      <c r="AW59" s="1951"/>
      <c r="AX59" s="2120">
        <f t="shared" ref="AX59:BA59" si="464">AX46-AX57</f>
        <v>0</v>
      </c>
      <c r="AY59" s="2121">
        <f t="shared" si="464"/>
        <v>0</v>
      </c>
      <c r="AZ59" s="2121">
        <f t="shared" si="464"/>
        <v>0</v>
      </c>
      <c r="BA59" s="2121">
        <f t="shared" si="464"/>
        <v>0</v>
      </c>
      <c r="BB59" s="2121">
        <f t="shared" ref="BB59:BC59" si="465">BB46-BB57</f>
        <v>111.27650000000003</v>
      </c>
      <c r="BC59" s="2121">
        <f t="shared" si="465"/>
        <v>35.103500000000004</v>
      </c>
      <c r="BD59" s="2124">
        <f t="shared" ref="BD59" si="466">BD46-BD57</f>
        <v>0</v>
      </c>
      <c r="BE59" s="1951"/>
      <c r="BF59" s="1951"/>
      <c r="BG59" s="1951"/>
      <c r="BH59" s="1951"/>
      <c r="BI59" s="1951"/>
      <c r="BJ59" s="2120">
        <f t="shared" ref="BJ59:BK59" si="467">BJ46-BJ57</f>
        <v>0</v>
      </c>
      <c r="BK59" s="2121">
        <f t="shared" si="467"/>
        <v>0</v>
      </c>
      <c r="BL59" s="2124">
        <f t="shared" ref="BL59" si="468">BL46-BL57</f>
        <v>30.882777777777775</v>
      </c>
      <c r="BM59" s="1951"/>
      <c r="BN59" s="1951"/>
      <c r="BO59" s="1951"/>
      <c r="BP59" s="1951"/>
      <c r="BR59" s="2007"/>
      <c r="BS59" s="2688"/>
      <c r="BT59" s="1960"/>
      <c r="BU59" s="2007"/>
      <c r="BV59" s="2008"/>
      <c r="BW59" s="1962"/>
      <c r="BX59" s="2689"/>
      <c r="CA59" s="1905"/>
    </row>
    <row r="60" spans="1:87" s="1810" customFormat="1" ht="4.5" customHeight="1" thickBot="1" x14ac:dyDescent="0.25">
      <c r="B60" s="1817"/>
      <c r="C60" s="1817"/>
      <c r="D60" s="1817"/>
      <c r="E60" s="1814"/>
      <c r="F60" s="1814"/>
      <c r="G60" s="1814"/>
      <c r="H60" s="1814"/>
      <c r="I60" s="1814"/>
      <c r="J60" s="1814"/>
      <c r="K60" s="2131"/>
      <c r="L60" s="1924"/>
      <c r="M60" s="1924"/>
      <c r="N60" s="2137"/>
      <c r="O60" s="2137"/>
      <c r="P60" s="2137"/>
      <c r="Q60" s="2137"/>
      <c r="R60" s="2137"/>
      <c r="S60" s="2137"/>
      <c r="T60" s="2137"/>
      <c r="U60" s="1814"/>
      <c r="V60" s="1814"/>
      <c r="W60" s="1814"/>
      <c r="X60" s="1814"/>
      <c r="Y60" s="1766"/>
      <c r="Z60" s="3020"/>
      <c r="AA60" s="3020"/>
      <c r="AB60" s="3080"/>
      <c r="AC60" s="3085"/>
      <c r="AD60" s="3091"/>
      <c r="AE60" s="3096"/>
      <c r="AF60" s="3020"/>
      <c r="AG60" s="1766"/>
      <c r="AH60" s="1814"/>
      <c r="AI60" s="1814"/>
      <c r="AJ60" s="1814"/>
      <c r="AK60" s="1766"/>
      <c r="AL60" s="2137"/>
      <c r="AM60" s="2137"/>
      <c r="AN60" s="2137"/>
      <c r="AO60" s="2137"/>
      <c r="AP60" s="2137"/>
      <c r="AQ60" s="2137"/>
      <c r="AR60" s="2137"/>
      <c r="AS60" s="1814"/>
      <c r="AT60" s="1814"/>
      <c r="AU60" s="1814"/>
      <c r="AV60" s="1814"/>
      <c r="AW60" s="1814"/>
      <c r="AX60" s="2137"/>
      <c r="AY60" s="2137"/>
      <c r="AZ60" s="2137"/>
      <c r="BA60" s="2137"/>
      <c r="BB60" s="2137"/>
      <c r="BC60" s="2137"/>
      <c r="BD60" s="2137"/>
      <c r="BE60" s="1814"/>
      <c r="BF60" s="1814"/>
      <c r="BG60" s="1814"/>
      <c r="BH60" s="1814"/>
      <c r="BI60" s="1814"/>
      <c r="BJ60" s="2137"/>
      <c r="BK60" s="2137"/>
      <c r="BL60" s="2137"/>
      <c r="BM60" s="1814"/>
      <c r="BN60" s="1814"/>
      <c r="BO60" s="1814"/>
      <c r="BP60" s="1814"/>
      <c r="BR60" s="2137"/>
      <c r="BS60" s="2138"/>
      <c r="BT60" s="1817"/>
      <c r="BU60" s="2137"/>
      <c r="BV60" s="2139"/>
      <c r="BW60" s="1830"/>
      <c r="BX60" s="2644"/>
      <c r="CA60" s="1761"/>
    </row>
    <row r="61" spans="1:87" s="1740" customFormat="1" ht="15.75" x14ac:dyDescent="0.2">
      <c r="A61" s="2466"/>
      <c r="B61" s="2444">
        <v>47</v>
      </c>
      <c r="C61" s="2281" t="s">
        <v>132</v>
      </c>
      <c r="D61" s="1817"/>
      <c r="E61" s="2067">
        <v>465</v>
      </c>
      <c r="F61" s="2065">
        <f>E61/10</f>
        <v>46.5</v>
      </c>
      <c r="G61" s="2065">
        <f>E61/15</f>
        <v>31</v>
      </c>
      <c r="H61" s="2065">
        <f>E61/20</f>
        <v>23.25</v>
      </c>
      <c r="I61" s="2065">
        <f>E61/25</f>
        <v>18.600000000000001</v>
      </c>
      <c r="J61" s="2065">
        <f>E61/27</f>
        <v>17.222222222222221</v>
      </c>
      <c r="K61" s="2066">
        <f t="shared" ref="K61:K69" si="469">E61/$E$70</f>
        <v>0.27944711538461536</v>
      </c>
      <c r="L61" s="2465"/>
      <c r="M61" s="2131"/>
      <c r="N61" s="2067">
        <f t="shared" ref="N61" si="470">IF(N59&gt;$J$70,$J$61,IF(N59&lt;$J$70,(IF(N59&lt;0,0,N59*$K$61))))</f>
        <v>3.1770342548076935</v>
      </c>
      <c r="O61" s="2065">
        <f t="shared" ref="O61:P61" si="471">IF(O59&gt;$J$70,$J$61,IF(O59&lt;$J$70,(IF(O59&lt;0,0,O59*$K$61))))</f>
        <v>7.5812605168269265</v>
      </c>
      <c r="P61" s="2065">
        <f t="shared" si="471"/>
        <v>16.620676081730767</v>
      </c>
      <c r="Q61" s="2065">
        <f t="shared" ref="Q61:R61" si="472">IF(Q59&gt;$J$70,$J$61,IF(Q59&lt;$J$70,(IF(Q59&lt;0,0,Q59*$K$61))))</f>
        <v>9.5354341947115397</v>
      </c>
      <c r="R61" s="2065">
        <f t="shared" si="472"/>
        <v>2.5573602764423087</v>
      </c>
      <c r="S61" s="2065">
        <f t="shared" ref="S61" si="473">IF(S59&gt;$J$70,$J$61,IF(S59&lt;$J$70,(IF(S59&lt;0,0,S59*$K$61))))</f>
        <v>0</v>
      </c>
      <c r="T61" s="2069">
        <f t="shared" ref="T61" si="474">IF(T59&gt;$J$70,$J$61,IF(T59&lt;$J$70,(IF(T59&lt;0,0,T59*$K$61))))</f>
        <v>7.6797656250000008</v>
      </c>
      <c r="U61" s="1814"/>
      <c r="V61" s="2067">
        <f t="shared" si="414"/>
        <v>47.151530949519241</v>
      </c>
      <c r="W61" s="2068">
        <f>$J$61*0</f>
        <v>0</v>
      </c>
      <c r="X61" s="2070">
        <f t="shared" si="337"/>
        <v>47.151530949519241</v>
      </c>
      <c r="Y61" s="1814"/>
      <c r="Z61" s="2090">
        <f t="shared" ref="Z61:AA61" si="475">IF(Z59&gt;$J$70,$J$61,IF(Z59&lt;$J$70,(IF(Z59&lt;0,0,Z59*$K$61))))</f>
        <v>0</v>
      </c>
      <c r="AA61" s="2087">
        <f t="shared" si="475"/>
        <v>6.5752509014423088</v>
      </c>
      <c r="AB61" s="2087">
        <f t="shared" ref="AB61:AC61" si="476">IF(AB59&gt;$J$70,$J$61,IF(AB59&lt;$J$70,(IF(AB59&lt;0,0,AB59*$K$61))))</f>
        <v>4.1911478365384642</v>
      </c>
      <c r="AC61" s="2087">
        <f t="shared" si="476"/>
        <v>3.6486012620192319</v>
      </c>
      <c r="AD61" s="2087">
        <f t="shared" ref="AD61:AE61" si="477">IF(AD59&gt;$J$70,$J$61,IF(AD59&lt;$J$70,(IF(AD59&lt;0,0,AD59*$K$61))))</f>
        <v>0.54883413461538566</v>
      </c>
      <c r="AE61" s="2087">
        <f t="shared" si="477"/>
        <v>0</v>
      </c>
      <c r="AF61" s="2091">
        <f t="shared" ref="AF61" si="478">IF(AF59&gt;$J$70,$J$61,IF(AF59&lt;$J$70,(IF(AF59&lt;0,0,AF59*$K$61))))</f>
        <v>7.6751547475961566</v>
      </c>
      <c r="AG61" s="1814"/>
      <c r="AH61" s="2067">
        <f t="shared" si="270"/>
        <v>22.638988882211546</v>
      </c>
      <c r="AI61" s="2068">
        <f>$J$61*0</f>
        <v>0</v>
      </c>
      <c r="AJ61" s="2070">
        <f>AH61-AI61</f>
        <v>22.638988882211546</v>
      </c>
      <c r="AK61" s="1814"/>
      <c r="AL61" s="2067">
        <f t="shared" ref="AL61" si="479">IF(AL59&gt;$J$70,$J$61,IF(AL59&lt;$J$70,(IF(AL59&lt;0,0,AL59*$K$61))))</f>
        <v>17.222222222222221</v>
      </c>
      <c r="AM61" s="2065">
        <f t="shared" ref="AM61:AN61" si="480">IF(AM59&gt;$J$70,$J$61,IF(AM59&lt;$J$70,(IF(AM59&lt;0,0,AM59*$K$61))))</f>
        <v>17.222222222222221</v>
      </c>
      <c r="AN61" s="2065">
        <f t="shared" si="480"/>
        <v>17.222222222222221</v>
      </c>
      <c r="AO61" s="2065">
        <f t="shared" ref="AO61:AP61" si="481">IF(AO59&gt;$J$70,$J$61,IF(AO59&lt;$J$70,(IF(AO59&lt;0,0,AO59*$K$61))))</f>
        <v>15.334101562500004</v>
      </c>
      <c r="AP61" s="2065">
        <f t="shared" si="481"/>
        <v>7.5491240985576935</v>
      </c>
      <c r="AQ61" s="2065">
        <f t="shared" ref="AQ61" si="482">IF(AQ59&gt;$J$70,$J$61,IF(AQ59&lt;$J$70,(IF(AQ59&lt;0,0,AQ59*$K$61))))</f>
        <v>14.919541766826921</v>
      </c>
      <c r="AR61" s="2069">
        <f t="shared" ref="AR61" si="483">IF(AR59&gt;$J$70,$J$61,IF(AR59&lt;$J$70,(IF(AR59&lt;0,0,AR59*$K$61))))</f>
        <v>0</v>
      </c>
      <c r="AS61" s="1814"/>
      <c r="AT61" s="2067">
        <f>SUM(AL61:AR61)</f>
        <v>89.469434094551289</v>
      </c>
      <c r="AU61" s="2068">
        <f>$J$61*0</f>
        <v>0</v>
      </c>
      <c r="AV61" s="2070">
        <f>AT61-AU61</f>
        <v>89.469434094551289</v>
      </c>
      <c r="AW61" s="1814"/>
      <c r="AX61" s="2067">
        <f t="shared" ref="AX61:BA61" si="484">IF(AX59&gt;$J$70,$J$61,IF(AX59&lt;$J$70,(IF(AX59&lt;0,0,AX59*$K$61))))</f>
        <v>0</v>
      </c>
      <c r="AY61" s="2065">
        <f t="shared" si="484"/>
        <v>0</v>
      </c>
      <c r="AZ61" s="2065">
        <f t="shared" si="484"/>
        <v>0</v>
      </c>
      <c r="BA61" s="2065">
        <f t="shared" si="484"/>
        <v>0</v>
      </c>
      <c r="BB61" s="2065">
        <f t="shared" ref="BB61:BC61" si="485">IF(BB59&gt;$J$70,$J$61,IF(BB59&lt;$J$70,(IF(BB59&lt;0,0,BB59*$K$61))))</f>
        <v>17.222222222222221</v>
      </c>
      <c r="BC61" s="2065">
        <f t="shared" si="485"/>
        <v>9.8095718149038458</v>
      </c>
      <c r="BD61" s="2069">
        <f t="shared" ref="BD61" si="486">IF(BD59&gt;$J$70,$J$61,IF(BD59&lt;$J$70,(IF(BD59&lt;0,0,BD59*$K$61))))</f>
        <v>0</v>
      </c>
      <c r="BE61" s="1814"/>
      <c r="BF61" s="2067">
        <f t="shared" ref="BF61:BF69" si="487">SUM(AX61:BD61)</f>
        <v>27.031794037126069</v>
      </c>
      <c r="BG61" s="2068">
        <f>$J$61*0</f>
        <v>0</v>
      </c>
      <c r="BH61" s="2070">
        <f t="shared" ref="BH61:BH69" si="488">BF61-BG61</f>
        <v>27.031794037126069</v>
      </c>
      <c r="BI61" s="1814"/>
      <c r="BJ61" s="2067">
        <f t="shared" ref="BJ61:BK61" si="489">IF(BJ59&gt;$J$70,$J$61,IF(BJ59&lt;$J$70,(IF(BJ59&lt;0,0,BJ59*$K$61))))</f>
        <v>0</v>
      </c>
      <c r="BK61" s="2065">
        <f t="shared" si="489"/>
        <v>0</v>
      </c>
      <c r="BL61" s="2069">
        <f t="shared" ref="BL61" si="490">IF(BL59&gt;$J$70,$J$61,IF(BL59&lt;$J$70,(IF(BL59&lt;0,0,BL59*$K$61))))</f>
        <v>8.6301031650641011</v>
      </c>
      <c r="BM61" s="1814"/>
      <c r="BN61" s="2067">
        <f>SUM(BJ61:BL61)</f>
        <v>8.6301031650641011</v>
      </c>
      <c r="BO61" s="2068">
        <f>$J$61*0</f>
        <v>0</v>
      </c>
      <c r="BP61" s="2070">
        <f t="shared" ref="BP61:BP69" si="491">BN61-BO61</f>
        <v>8.6301031650641011</v>
      </c>
      <c r="BR61" s="2067"/>
      <c r="BS61" s="2071"/>
      <c r="BU61" s="2067">
        <f t="shared" ref="BU61:BU69" si="492">SUM(N61:T61)+SUM(Z61:AF61)+SUM(AL61:AR61)+SUM(AX61:BD61)+SUM(BL61:BL61)</f>
        <v>194.92185112847227</v>
      </c>
      <c r="BV61" s="2072">
        <f t="shared" ref="BV61:BV70" si="493">BU61/E61</f>
        <v>0.41918677662037046</v>
      </c>
      <c r="BW61" s="2351"/>
      <c r="BX61" s="4635">
        <f>BV70-BU1</f>
        <v>-0.45178096531511341</v>
      </c>
      <c r="CA61" s="1997"/>
      <c r="CB61" s="1861"/>
      <c r="CC61" s="1861"/>
      <c r="CD61" s="1861"/>
      <c r="CE61" s="1861"/>
      <c r="CF61" s="1861"/>
      <c r="CG61" s="1861"/>
      <c r="CH61" s="1861"/>
      <c r="CI61" s="1861"/>
    </row>
    <row r="62" spans="1:87" s="1900" customFormat="1" ht="15.75" x14ac:dyDescent="0.2">
      <c r="A62" s="2464"/>
      <c r="B62" s="2161">
        <v>48</v>
      </c>
      <c r="C62" s="2162" t="s">
        <v>232</v>
      </c>
      <c r="D62" s="1960"/>
      <c r="E62" s="2163">
        <v>345</v>
      </c>
      <c r="F62" s="2164">
        <f>E62/10</f>
        <v>34.5</v>
      </c>
      <c r="G62" s="2164">
        <f>E62/15</f>
        <v>23</v>
      </c>
      <c r="H62" s="2164">
        <f>E62/20</f>
        <v>17.25</v>
      </c>
      <c r="I62" s="2164">
        <f>E62/25</f>
        <v>13.8</v>
      </c>
      <c r="J62" s="2164">
        <f t="shared" ref="J62:J69" si="494">E62/27</f>
        <v>12.777777777777779</v>
      </c>
      <c r="K62" s="2165">
        <f t="shared" si="469"/>
        <v>0.20733173076923078</v>
      </c>
      <c r="L62" s="2468"/>
      <c r="M62" s="2339"/>
      <c r="N62" s="2163">
        <f t="shared" ref="N62" si="495">IF(N59&gt;$J$70,$J$62,IF(N59&lt;$J$70,(IF(N59&lt;0,0,N59*$K$62))))</f>
        <v>2.357154447115386</v>
      </c>
      <c r="O62" s="2164">
        <f t="shared" ref="O62:P62" si="496">IF(O59&gt;$J$70,$J$62,IF(O59&lt;$J$70,(IF(O59&lt;0,0,O59*$K$62))))</f>
        <v>5.6248061899038495</v>
      </c>
      <c r="P62" s="2164">
        <f t="shared" si="496"/>
        <v>12.331469350961539</v>
      </c>
      <c r="Q62" s="2164">
        <f t="shared" ref="Q62:R62" si="497">IF(Q59&gt;$J$70,$J$62,IF(Q59&lt;$J$70,(IF(Q59&lt;0,0,Q59*$K$62))))</f>
        <v>7.0746769831730791</v>
      </c>
      <c r="R62" s="2164">
        <f t="shared" si="497"/>
        <v>1.8973963341346163</v>
      </c>
      <c r="S62" s="2164">
        <f t="shared" ref="S62" si="498">IF(S59&gt;$J$70,$J$62,IF(S59&lt;$J$70,(IF(S59&lt;0,0,S59*$K$62))))</f>
        <v>0</v>
      </c>
      <c r="T62" s="2166">
        <f t="shared" ref="T62" si="499">IF(T59&gt;$J$70,$J$62,IF(T59&lt;$J$70,(IF(T59&lt;0,0,T59*$K$62))))</f>
        <v>5.6978906250000021</v>
      </c>
      <c r="U62" s="1951"/>
      <c r="V62" s="2163">
        <f t="shared" si="414"/>
        <v>34.983393930288472</v>
      </c>
      <c r="W62" s="2167">
        <f>$J$62*0</f>
        <v>0</v>
      </c>
      <c r="X62" s="2168">
        <f t="shared" si="337"/>
        <v>34.983393930288472</v>
      </c>
      <c r="Y62" s="1951"/>
      <c r="Z62" s="2169">
        <f t="shared" ref="Z62:AA62" si="500">IF(Z59&gt;$J$70,$J$62,IF(Z59&lt;$J$70,(IF(Z59&lt;0,0,Z59*$K$62))))</f>
        <v>0</v>
      </c>
      <c r="AA62" s="2170">
        <f t="shared" si="500"/>
        <v>4.8784119591346169</v>
      </c>
      <c r="AB62" s="2170">
        <f t="shared" ref="AB62:AC62" si="501">IF(AB59&gt;$J$70,$J$62,IF(AB59&lt;$J$70,(IF(AB59&lt;0,0,AB59*$K$62))))</f>
        <v>3.1095612980769252</v>
      </c>
      <c r="AC62" s="2170">
        <f t="shared" si="501"/>
        <v>2.7070267427884627</v>
      </c>
      <c r="AD62" s="2170">
        <f t="shared" ref="AD62:AE62" si="502">IF(AD59&gt;$J$70,$J$62,IF(AD59&lt;$J$70,(IF(AD59&lt;0,0,AD59*$K$62))))</f>
        <v>0.40719951923077008</v>
      </c>
      <c r="AE62" s="2170">
        <f t="shared" si="502"/>
        <v>0</v>
      </c>
      <c r="AF62" s="2171">
        <f t="shared" ref="AF62" si="503">IF(AF59&gt;$J$70,$J$62,IF(AF59&lt;$J$70,(IF(AF59&lt;0,0,AF59*$K$62))))</f>
        <v>5.6944696514423105</v>
      </c>
      <c r="AG62" s="1951"/>
      <c r="AH62" s="2163">
        <f>SUM(Z62:AF62)</f>
        <v>16.796669170673084</v>
      </c>
      <c r="AI62" s="2167">
        <f>$J$62*0</f>
        <v>0</v>
      </c>
      <c r="AJ62" s="2168">
        <f t="shared" ref="AJ62:AJ63" si="504">AH62-AI62</f>
        <v>16.796669170673084</v>
      </c>
      <c r="AK62" s="1951"/>
      <c r="AL62" s="2163">
        <f t="shared" ref="AL62" si="505">IF(AL59&gt;$J$70,$J$62,IF(AL59&lt;$J$70,(IF(AL59&lt;0,0,AL59*$K$62))))</f>
        <v>12.777777777777779</v>
      </c>
      <c r="AM62" s="2164">
        <f t="shared" ref="AM62:AN62" si="506">IF(AM59&gt;$J$70,$J$62,IF(AM59&lt;$J$70,(IF(AM59&lt;0,0,AM59*$K$62))))</f>
        <v>12.777777777777779</v>
      </c>
      <c r="AN62" s="2164">
        <f t="shared" si="506"/>
        <v>12.777777777777779</v>
      </c>
      <c r="AO62" s="2164">
        <f t="shared" ref="AO62:AP62" si="507">IF(AO59&gt;$J$70,$J$62,IF(AO59&lt;$J$70,(IF(AO59&lt;0,0,AO59*$K$62))))</f>
        <v>11.376914062500004</v>
      </c>
      <c r="AP62" s="2164">
        <f t="shared" si="507"/>
        <v>5.6009630408653859</v>
      </c>
      <c r="AQ62" s="2164">
        <f t="shared" ref="AQ62" si="508">IF(AQ59&gt;$J$70,$J$62,IF(AQ59&lt;$J$70,(IF(AQ59&lt;0,0,AQ59*$K$62))))</f>
        <v>11.069337439903846</v>
      </c>
      <c r="AR62" s="2166">
        <f t="shared" ref="AR62" si="509">IF(AR59&gt;$J$70,$J$62,IF(AR59&lt;$J$70,(IF(AR59&lt;0,0,AR59*$K$62))))</f>
        <v>0</v>
      </c>
      <c r="AS62" s="1951"/>
      <c r="AT62" s="2163">
        <f t="shared" ref="AT62:AT69" si="510">SUM(AL62:AR62)</f>
        <v>66.380547876602577</v>
      </c>
      <c r="AU62" s="2167">
        <f>$J$62*0</f>
        <v>0</v>
      </c>
      <c r="AV62" s="2168">
        <f t="shared" ref="AV62:AV69" si="511">AT62-AU62</f>
        <v>66.380547876602577</v>
      </c>
      <c r="AW62" s="1951"/>
      <c r="AX62" s="2169">
        <f t="shared" ref="AX62:BA62" si="512">IF(AX59&gt;$J$70,$J$62,IF(AX59&lt;$J$70,(IF(AX59&lt;0,0,AX59*$K$62))))</f>
        <v>0</v>
      </c>
      <c r="AY62" s="2176">
        <f t="shared" si="512"/>
        <v>0</v>
      </c>
      <c r="AZ62" s="2176">
        <f t="shared" si="512"/>
        <v>0</v>
      </c>
      <c r="BA62" s="2176">
        <f t="shared" si="512"/>
        <v>0</v>
      </c>
      <c r="BB62" s="2176">
        <f t="shared" ref="BB62:BC62" si="513">IF(BB59&gt;$J$70,$J$62,IF(BB59&lt;$J$70,(IF(BB59&lt;0,0,BB59*$K$62))))</f>
        <v>12.777777777777779</v>
      </c>
      <c r="BC62" s="2176">
        <f t="shared" si="513"/>
        <v>7.278069411057694</v>
      </c>
      <c r="BD62" s="2171">
        <f t="shared" ref="BD62" si="514">IF(BD59&gt;$J$70,$J$62,IF(BD59&lt;$J$70,(IF(BD59&lt;0,0,BD59*$K$62))))</f>
        <v>0</v>
      </c>
      <c r="BE62" s="1951"/>
      <c r="BF62" s="2163">
        <f t="shared" si="487"/>
        <v>20.055847188835472</v>
      </c>
      <c r="BG62" s="2167">
        <f>$J$62*0</f>
        <v>0</v>
      </c>
      <c r="BH62" s="2168">
        <f t="shared" si="488"/>
        <v>20.055847188835472</v>
      </c>
      <c r="BI62" s="1951"/>
      <c r="BJ62" s="2169">
        <f t="shared" ref="BJ62:BK62" si="515">IF(BJ59&gt;$J$70,$J$62,IF(BJ59&lt;$J$70,(IF(BJ59&lt;0,0,BJ59*$K$62))))</f>
        <v>0</v>
      </c>
      <c r="BK62" s="2176">
        <f t="shared" si="515"/>
        <v>0</v>
      </c>
      <c r="BL62" s="2171">
        <f t="shared" ref="BL62" si="516">IF(BL59&gt;$J$70,$J$62,IF(BL59&lt;$J$70,(IF(BL59&lt;0,0,BL59*$K$62))))</f>
        <v>6.4029797676282048</v>
      </c>
      <c r="BM62" s="1951"/>
      <c r="BN62" s="2169">
        <f t="shared" ref="BN62:BN69" si="517">SUM(BJ62:BL62)</f>
        <v>6.4029797676282048</v>
      </c>
      <c r="BO62" s="2170">
        <f>$J$62*0</f>
        <v>0</v>
      </c>
      <c r="BP62" s="2178">
        <f t="shared" si="491"/>
        <v>6.4029797676282048</v>
      </c>
      <c r="BR62" s="2169"/>
      <c r="BS62" s="2172"/>
      <c r="BU62" s="2169">
        <f t="shared" si="492"/>
        <v>144.61943793402781</v>
      </c>
      <c r="BV62" s="2173">
        <f t="shared" si="493"/>
        <v>0.41918677662037046</v>
      </c>
      <c r="BW62" s="2353"/>
      <c r="BX62" s="4636"/>
      <c r="CA62" s="2010"/>
      <c r="CB62" s="2011"/>
      <c r="CC62" s="2011"/>
      <c r="CD62" s="2011"/>
      <c r="CE62" s="2011"/>
      <c r="CF62" s="2011"/>
      <c r="CG62" s="2011"/>
      <c r="CH62" s="2011"/>
      <c r="CI62" s="2011"/>
    </row>
    <row r="63" spans="1:87" s="1726" customFormat="1" x14ac:dyDescent="0.2">
      <c r="A63" s="1756"/>
      <c r="B63" s="2151">
        <v>49</v>
      </c>
      <c r="C63" s="2152" t="s">
        <v>4</v>
      </c>
      <c r="D63" s="1817"/>
      <c r="E63" s="2153">
        <v>300</v>
      </c>
      <c r="F63" s="2154"/>
      <c r="G63" s="2154"/>
      <c r="H63" s="2154"/>
      <c r="I63" s="2154"/>
      <c r="J63" s="2154">
        <f t="shared" si="494"/>
        <v>11.111111111111111</v>
      </c>
      <c r="K63" s="2155">
        <f t="shared" si="469"/>
        <v>0.18028846153846154</v>
      </c>
      <c r="L63" s="1931"/>
      <c r="M63" s="1924"/>
      <c r="N63" s="2153">
        <f t="shared" ref="N63" si="518">IF(N59&gt;$J$70,$J$63,IF(N59&lt;$J$70,(IF(N59&lt;0,0,N59*$K$63))))</f>
        <v>2.0496995192307703</v>
      </c>
      <c r="O63" s="2154">
        <f t="shared" ref="O63:P63" si="519">IF(O59&gt;$J$70,$J$63,IF(O59&lt;$J$70,(IF(O59&lt;0,0,O59*$K$63))))</f>
        <v>4.8911358173076946</v>
      </c>
      <c r="P63" s="2154">
        <f t="shared" si="519"/>
        <v>10.723016826923077</v>
      </c>
      <c r="Q63" s="2154">
        <f t="shared" ref="Q63:R63" si="520">IF(Q59&gt;$J$70,$J$63,IF(Q59&lt;$J$70,(IF(Q59&lt;0,0,Q59*$K$63))))</f>
        <v>6.1518930288461551</v>
      </c>
      <c r="R63" s="2154">
        <f t="shared" si="520"/>
        <v>1.6499098557692315</v>
      </c>
      <c r="S63" s="2154">
        <f t="shared" ref="S63" si="521">IF(S59&gt;$J$70,$J$63,IF(S59&lt;$J$70,(IF(S59&lt;0,0,S59*$K$63))))</f>
        <v>0</v>
      </c>
      <c r="T63" s="2156">
        <f t="shared" ref="T63" si="522">IF(T59&gt;$J$70,$J$63,IF(T59&lt;$J$70,(IF(T59&lt;0,0,T59*$K$63))))</f>
        <v>4.9546875000000012</v>
      </c>
      <c r="U63" s="1814"/>
      <c r="V63" s="2153">
        <f t="shared" si="414"/>
        <v>30.420342548076928</v>
      </c>
      <c r="W63" s="2157">
        <f>$J$63*0</f>
        <v>0</v>
      </c>
      <c r="X63" s="2158">
        <f t="shared" si="337"/>
        <v>30.420342548076928</v>
      </c>
      <c r="Y63" s="1766"/>
      <c r="Z63" s="2090">
        <f t="shared" ref="Z63:AA63" si="523">IF(Z59&gt;$J$70,$J$63,IF(Z59&lt;$J$70,(IF(Z59&lt;0,0,Z59*$K$63))))</f>
        <v>0</v>
      </c>
      <c r="AA63" s="2087">
        <f t="shared" si="523"/>
        <v>4.2420973557692321</v>
      </c>
      <c r="AB63" s="2087">
        <f t="shared" ref="AB63:AC63" si="524">IF(AB59&gt;$J$70,$J$63,IF(AB59&lt;$J$70,(IF(AB59&lt;0,0,AB59*$K$63))))</f>
        <v>2.7039663461538481</v>
      </c>
      <c r="AC63" s="2087">
        <f t="shared" si="524"/>
        <v>2.3539362980769241</v>
      </c>
      <c r="AD63" s="2087">
        <f t="shared" ref="AD63:AE63" si="525">IF(AD59&gt;$J$70,$J$63,IF(AD59&lt;$J$70,(IF(AD59&lt;0,0,AD59*$K$63))))</f>
        <v>0.35408653846153915</v>
      </c>
      <c r="AE63" s="2087">
        <f t="shared" si="525"/>
        <v>0</v>
      </c>
      <c r="AF63" s="2091">
        <f t="shared" ref="AF63" si="526">IF(AF59&gt;$J$70,$J$63,IF(AF59&lt;$J$70,(IF(AF59&lt;0,0,AF59*$K$63))))</f>
        <v>4.9517127403846173</v>
      </c>
      <c r="AG63" s="1766"/>
      <c r="AH63" s="2153">
        <f t="shared" ref="AH63" si="527">SUM(Z63:AF63)</f>
        <v>14.60579927884616</v>
      </c>
      <c r="AI63" s="2157">
        <f>$J$63*0</f>
        <v>0</v>
      </c>
      <c r="AJ63" s="2158">
        <f t="shared" si="504"/>
        <v>14.60579927884616</v>
      </c>
      <c r="AK63" s="1766"/>
      <c r="AL63" s="2153">
        <f t="shared" ref="AL63" si="528">IF(AL59&gt;$J$70,$J$63,IF(AL59&lt;$J$70,(IF(AL59&lt;0,0,AL59*$K$63))))</f>
        <v>11.111111111111111</v>
      </c>
      <c r="AM63" s="2154">
        <f t="shared" ref="AM63:AN63" si="529">IF(AM59&gt;$J$70,$J$63,IF(AM59&lt;$J$70,(IF(AM59&lt;0,0,AM59*$K$63))))</f>
        <v>11.111111111111111</v>
      </c>
      <c r="AN63" s="2154">
        <f t="shared" si="529"/>
        <v>11.111111111111111</v>
      </c>
      <c r="AO63" s="2154">
        <f t="shared" ref="AO63:AP63" si="530">IF(AO59&gt;$J$70,$J$63,IF(AO59&lt;$J$70,(IF(AO59&lt;0,0,AO59*$K$63))))</f>
        <v>9.8929687500000032</v>
      </c>
      <c r="AP63" s="2154">
        <f t="shared" si="530"/>
        <v>4.8704026442307704</v>
      </c>
      <c r="AQ63" s="2154">
        <f t="shared" ref="AQ63" si="531">IF(AQ59&gt;$J$70,$J$63,IF(AQ59&lt;$J$70,(IF(AQ59&lt;0,0,AQ59*$K$63))))</f>
        <v>9.625510817307692</v>
      </c>
      <c r="AR63" s="2156">
        <f t="shared" ref="AR63" si="532">IF(AR59&gt;$J$70,$J$63,IF(AR59&lt;$J$70,(IF(AR59&lt;0,0,AR59*$K$63))))</f>
        <v>0</v>
      </c>
      <c r="AS63" s="1814"/>
      <c r="AT63" s="2153">
        <f t="shared" si="510"/>
        <v>57.722215544871794</v>
      </c>
      <c r="AU63" s="2157">
        <f>$J$63*0</f>
        <v>0</v>
      </c>
      <c r="AV63" s="2158">
        <f t="shared" si="511"/>
        <v>57.722215544871794</v>
      </c>
      <c r="AW63" s="1814"/>
      <c r="AX63" s="2090">
        <f t="shared" ref="AX63:BA63" si="533">IF(AX59&gt;$J$70,$J$63,IF(AX59&lt;$J$70,(IF(AX59&lt;0,0,AX59*$K$63))))</f>
        <v>0</v>
      </c>
      <c r="AY63" s="2088">
        <f t="shared" si="533"/>
        <v>0</v>
      </c>
      <c r="AZ63" s="2088">
        <f t="shared" si="533"/>
        <v>0</v>
      </c>
      <c r="BA63" s="2088">
        <f t="shared" si="533"/>
        <v>0</v>
      </c>
      <c r="BB63" s="2088">
        <f t="shared" ref="BB63:BC63" si="534">IF(BB59&gt;$J$70,$J$63,IF(BB59&lt;$J$70,(IF(BB59&lt;0,0,BB59*$K$63))))</f>
        <v>11.111111111111111</v>
      </c>
      <c r="BC63" s="2088">
        <f t="shared" si="534"/>
        <v>6.3287560096153852</v>
      </c>
      <c r="BD63" s="2091">
        <f t="shared" ref="BD63" si="535">IF(BD59&gt;$J$70,$J$63,IF(BD59&lt;$J$70,(IF(BD59&lt;0,0,BD59*$K$63))))</f>
        <v>0</v>
      </c>
      <c r="BE63" s="1814"/>
      <c r="BF63" s="2153">
        <f t="shared" si="487"/>
        <v>17.439867120726497</v>
      </c>
      <c r="BG63" s="2157">
        <f>$J$63*0</f>
        <v>0</v>
      </c>
      <c r="BH63" s="2158">
        <f t="shared" si="488"/>
        <v>17.439867120726497</v>
      </c>
      <c r="BI63" s="1814"/>
      <c r="BJ63" s="2090">
        <f t="shared" ref="BJ63:BK63" si="536">IF(BJ59&gt;$J$70,$J$63,IF(BJ59&lt;$J$70,(IF(BJ59&lt;0,0,BJ59*$K$63))))</f>
        <v>0</v>
      </c>
      <c r="BK63" s="2088">
        <f t="shared" si="536"/>
        <v>0</v>
      </c>
      <c r="BL63" s="2091">
        <f t="shared" ref="BL63" si="537">IF(BL59&gt;$J$70,$J$63,IF(BL59&lt;$J$70,(IF(BL59&lt;0,0,BL59*$K$63))))</f>
        <v>5.5678084935897427</v>
      </c>
      <c r="BM63" s="1814"/>
      <c r="BN63" s="2090">
        <f t="shared" si="517"/>
        <v>5.5678084935897427</v>
      </c>
      <c r="BO63" s="2087">
        <f>$J$63*0</f>
        <v>0</v>
      </c>
      <c r="BP63" s="2174">
        <f t="shared" si="491"/>
        <v>5.5678084935897427</v>
      </c>
      <c r="BR63" s="2090"/>
      <c r="BS63" s="2159"/>
      <c r="BT63" s="1740"/>
      <c r="BU63" s="2090">
        <f t="shared" si="492"/>
        <v>125.75603298611112</v>
      </c>
      <c r="BV63" s="2160">
        <f t="shared" si="493"/>
        <v>0.4191867766203704</v>
      </c>
      <c r="BW63" s="2351"/>
      <c r="BX63" s="4636"/>
      <c r="CA63" s="3018"/>
      <c r="CB63" s="1860"/>
      <c r="CC63" s="1860"/>
      <c r="CD63" s="1860"/>
      <c r="CE63" s="1860"/>
      <c r="CF63" s="1860"/>
      <c r="CG63" s="1860"/>
      <c r="CH63" s="1860"/>
      <c r="CI63" s="1860"/>
    </row>
    <row r="64" spans="1:87" s="1900" customFormat="1" ht="15.75" x14ac:dyDescent="0.2">
      <c r="A64" s="2464"/>
      <c r="B64" s="2161">
        <v>50</v>
      </c>
      <c r="C64" s="2175" t="s">
        <v>121</v>
      </c>
      <c r="D64" s="1960"/>
      <c r="E64" s="2169">
        <v>270</v>
      </c>
      <c r="F64" s="2176">
        <f>E64/10</f>
        <v>27</v>
      </c>
      <c r="G64" s="2176">
        <f>E64/15</f>
        <v>18</v>
      </c>
      <c r="H64" s="2176">
        <f>E64/20</f>
        <v>13.5</v>
      </c>
      <c r="I64" s="2176">
        <f>E64/25</f>
        <v>10.8</v>
      </c>
      <c r="J64" s="2176">
        <f t="shared" si="494"/>
        <v>10</v>
      </c>
      <c r="K64" s="2177">
        <f t="shared" si="469"/>
        <v>0.16225961538461539</v>
      </c>
      <c r="L64" s="2468"/>
      <c r="M64" s="2339"/>
      <c r="N64" s="2169">
        <f t="shared" ref="N64" si="538">IF(N59&gt;$J$70,$J$64,IF(N59&lt;$J$70,(IF(N59&lt;0,0,N59*$K$64))))</f>
        <v>1.8447295673076931</v>
      </c>
      <c r="O64" s="2176">
        <f t="shared" ref="O64:P64" si="539">IF(O59&gt;$J$70,$J$64,IF(O59&lt;$J$70,(IF(O59&lt;0,0,O59*$K$64))))</f>
        <v>4.4020222355769256</v>
      </c>
      <c r="P64" s="2176">
        <f t="shared" si="539"/>
        <v>9.6507151442307695</v>
      </c>
      <c r="Q64" s="2176">
        <f t="shared" ref="Q64:R64" si="540">IF(Q59&gt;$J$70,$J$64,IF(Q59&lt;$J$70,(IF(Q59&lt;0,0,Q59*$K$64))))</f>
        <v>5.5367037259615399</v>
      </c>
      <c r="R64" s="2176">
        <f t="shared" si="540"/>
        <v>1.4849188701923084</v>
      </c>
      <c r="S64" s="2176">
        <f t="shared" ref="S64" si="541">IF(S59&gt;$J$70,$J$64,IF(S59&lt;$J$70,(IF(S59&lt;0,0,S59*$K$64))))</f>
        <v>0</v>
      </c>
      <c r="T64" s="2171">
        <f t="shared" ref="T64" si="542">IF(T59&gt;$J$70,$J$64,IF(T59&lt;$J$70,(IF(T59&lt;0,0,T59*$K$64))))</f>
        <v>4.4592187500000016</v>
      </c>
      <c r="U64" s="1951"/>
      <c r="V64" s="2169">
        <f t="shared" si="414"/>
        <v>27.378308293269239</v>
      </c>
      <c r="W64" s="2170">
        <f>$J$64*0</f>
        <v>0</v>
      </c>
      <c r="X64" s="2178">
        <f t="shared" si="337"/>
        <v>27.378308293269239</v>
      </c>
      <c r="Y64" s="1951"/>
      <c r="Z64" s="2169">
        <f t="shared" ref="Z64:AA64" si="543">IF(Z59&gt;$J$70,$J$64,IF(Z59&lt;$J$70,(IF(Z59&lt;0,0,Z59*$K$64))))</f>
        <v>0</v>
      </c>
      <c r="AA64" s="2170">
        <f t="shared" si="543"/>
        <v>3.8178876201923089</v>
      </c>
      <c r="AB64" s="2170">
        <f t="shared" ref="AB64:AC64" si="544">IF(AB59&gt;$J$70,$J$64,IF(AB59&lt;$J$70,(IF(AB59&lt;0,0,AB59*$K$64))))</f>
        <v>2.4335697115384631</v>
      </c>
      <c r="AC64" s="2170">
        <f t="shared" si="544"/>
        <v>2.1185426682692317</v>
      </c>
      <c r="AD64" s="2170">
        <f t="shared" ref="AD64:AE64" si="545">IF(AD59&gt;$J$70,$J$64,IF(AD59&lt;$J$70,(IF(AD59&lt;0,0,AD59*$K$64))))</f>
        <v>0.31867788461538527</v>
      </c>
      <c r="AE64" s="2170">
        <f t="shared" si="545"/>
        <v>0</v>
      </c>
      <c r="AF64" s="2171">
        <f t="shared" ref="AF64" si="546">IF(AF59&gt;$J$70,$J$64,IF(AF59&lt;$J$70,(IF(AF59&lt;0,0,AF59*$K$64))))</f>
        <v>4.456541466346156</v>
      </c>
      <c r="AG64" s="1951"/>
      <c r="AH64" s="2169">
        <f t="shared" si="270"/>
        <v>13.145219350961545</v>
      </c>
      <c r="AI64" s="2170">
        <f>$J$64*0</f>
        <v>0</v>
      </c>
      <c r="AJ64" s="2178">
        <f t="shared" si="271"/>
        <v>13.145219350961545</v>
      </c>
      <c r="AK64" s="1951"/>
      <c r="AL64" s="2169">
        <f t="shared" ref="AL64" si="547">IF(AL59&gt;$J$70,$J$64,IF(AL59&lt;$J$70,(IF(AL59&lt;0,0,AL59*$K$64))))</f>
        <v>10</v>
      </c>
      <c r="AM64" s="2176">
        <f t="shared" ref="AM64:AN64" si="548">IF(AM59&gt;$J$70,$J$64,IF(AM59&lt;$J$70,(IF(AM59&lt;0,0,AM59*$K$64))))</f>
        <v>10</v>
      </c>
      <c r="AN64" s="2176">
        <f t="shared" si="548"/>
        <v>10</v>
      </c>
      <c r="AO64" s="2176">
        <f t="shared" ref="AO64:AP64" si="549">IF(AO59&gt;$J$70,$J$64,IF(AO59&lt;$J$70,(IF(AO59&lt;0,0,AO59*$K$64))))</f>
        <v>8.9036718750000041</v>
      </c>
      <c r="AP64" s="2176">
        <f t="shared" si="549"/>
        <v>4.3833623798076937</v>
      </c>
      <c r="AQ64" s="2176">
        <f t="shared" ref="AQ64" si="550">IF(AQ59&gt;$J$70,$J$64,IF(AQ59&lt;$J$70,(IF(AQ59&lt;0,0,AQ59*$K$64))))</f>
        <v>8.6629597355769228</v>
      </c>
      <c r="AR64" s="2171">
        <f t="shared" ref="AR64" si="551">IF(AR59&gt;$J$70,$J$64,IF(AR59&lt;$J$70,(IF(AR59&lt;0,0,AR59*$K$64))))</f>
        <v>0</v>
      </c>
      <c r="AS64" s="1951"/>
      <c r="AT64" s="2169">
        <f t="shared" si="510"/>
        <v>51.949993990384613</v>
      </c>
      <c r="AU64" s="2170">
        <f>$J$64*0</f>
        <v>0</v>
      </c>
      <c r="AV64" s="2178">
        <f t="shared" si="511"/>
        <v>51.949993990384613</v>
      </c>
      <c r="AW64" s="1951"/>
      <c r="AX64" s="2169">
        <f t="shared" ref="AX64:BA64" si="552">IF(AX59&gt;$J$70,$J$64,IF(AX59&lt;$J$70,(IF(AX59&lt;0,0,AX59*$K$64))))</f>
        <v>0</v>
      </c>
      <c r="AY64" s="2176">
        <f t="shared" si="552"/>
        <v>0</v>
      </c>
      <c r="AZ64" s="2176">
        <f t="shared" si="552"/>
        <v>0</v>
      </c>
      <c r="BA64" s="2176">
        <f t="shared" si="552"/>
        <v>0</v>
      </c>
      <c r="BB64" s="2176">
        <f t="shared" ref="BB64:BC64" si="553">IF(BB59&gt;$J$70,$J$64,IF(BB59&lt;$J$70,(IF(BB59&lt;0,0,BB59*$K$64))))</f>
        <v>10</v>
      </c>
      <c r="BC64" s="2176">
        <f t="shared" si="553"/>
        <v>5.6958804086538466</v>
      </c>
      <c r="BD64" s="2171">
        <f t="shared" ref="BD64" si="554">IF(BD59&gt;$J$70,$J$64,IF(BD59&lt;$J$70,(IF(BD59&lt;0,0,BD59*$K$64))))</f>
        <v>0</v>
      </c>
      <c r="BE64" s="1951"/>
      <c r="BF64" s="2169">
        <f t="shared" si="487"/>
        <v>15.695880408653846</v>
      </c>
      <c r="BG64" s="2170">
        <f>$J$64*0</f>
        <v>0</v>
      </c>
      <c r="BH64" s="2178">
        <f t="shared" si="488"/>
        <v>15.695880408653846</v>
      </c>
      <c r="BI64" s="1951"/>
      <c r="BJ64" s="2169">
        <f t="shared" ref="BJ64:BK64" si="555">IF(BJ59&gt;$J$70,$J$64,IF(BJ59&lt;$J$70,(IF(BJ59&lt;0,0,BJ59*$K$64))))</f>
        <v>0</v>
      </c>
      <c r="BK64" s="2176">
        <f t="shared" si="555"/>
        <v>0</v>
      </c>
      <c r="BL64" s="2171">
        <f t="shared" ref="BL64" si="556">IF(BL59&gt;$J$70,$J$64,IF(BL59&lt;$J$70,(IF(BL59&lt;0,0,BL59*$K$64))))</f>
        <v>5.0110276442307686</v>
      </c>
      <c r="BM64" s="1951"/>
      <c r="BN64" s="2169">
        <f t="shared" si="517"/>
        <v>5.0110276442307686</v>
      </c>
      <c r="BO64" s="2170">
        <f>$J$64*0</f>
        <v>0</v>
      </c>
      <c r="BP64" s="2178">
        <f t="shared" si="491"/>
        <v>5.0110276442307686</v>
      </c>
      <c r="BR64" s="2179"/>
      <c r="BS64" s="2180"/>
      <c r="BU64" s="2179">
        <f t="shared" si="492"/>
        <v>113.18042968750001</v>
      </c>
      <c r="BV64" s="2181">
        <f t="shared" si="493"/>
        <v>0.4191867766203704</v>
      </c>
      <c r="BW64" s="2353"/>
      <c r="BX64" s="4636"/>
      <c r="CA64" s="2010"/>
      <c r="CB64" s="2011"/>
      <c r="CC64" s="2011"/>
      <c r="CD64" s="2011"/>
      <c r="CE64" s="2011"/>
      <c r="CF64" s="2011"/>
      <c r="CG64" s="2011"/>
      <c r="CH64" s="2011"/>
      <c r="CI64" s="2011"/>
    </row>
    <row r="65" spans="1:87" s="1740" customFormat="1" ht="15.75" x14ac:dyDescent="0.2">
      <c r="A65" s="2466"/>
      <c r="B65" s="2151">
        <v>51</v>
      </c>
      <c r="C65" s="2086" t="s">
        <v>229</v>
      </c>
      <c r="D65" s="1817"/>
      <c r="E65" s="2090">
        <v>209</v>
      </c>
      <c r="F65" s="2088">
        <f>E65/10</f>
        <v>20.9</v>
      </c>
      <c r="G65" s="2088">
        <f>E65/15</f>
        <v>13.933333333333334</v>
      </c>
      <c r="H65" s="2088">
        <f>E65/20</f>
        <v>10.45</v>
      </c>
      <c r="I65" s="2088">
        <f>E65/25</f>
        <v>8.36</v>
      </c>
      <c r="J65" s="2088">
        <f t="shared" si="494"/>
        <v>7.7407407407407405</v>
      </c>
      <c r="K65" s="2089">
        <f t="shared" si="469"/>
        <v>0.12560096153846154</v>
      </c>
      <c r="L65" s="2465"/>
      <c r="M65" s="2131"/>
      <c r="N65" s="2090">
        <f t="shared" ref="N65" si="557">IF(N59&gt;$J$70,$J$65,IF(N59&lt;$J$70,(IF(N59&lt;0,0,N59*$K$65))))</f>
        <v>1.4279573317307699</v>
      </c>
      <c r="O65" s="2088">
        <f t="shared" ref="O65:P65" si="558">IF(O59&gt;$J$70,$J$65,IF(O59&lt;$J$70,(IF(O59&lt;0,0,O59*$K$65))))</f>
        <v>3.4074912860576942</v>
      </c>
      <c r="P65" s="2088">
        <f t="shared" si="558"/>
        <v>7.4703683894230775</v>
      </c>
      <c r="Q65" s="2088">
        <f t="shared" ref="Q65:R65" si="559">IF(Q59&gt;$J$70,$J$65,IF(Q59&lt;$J$70,(IF(Q59&lt;0,0,Q59*$K$65))))</f>
        <v>4.2858188100961545</v>
      </c>
      <c r="R65" s="2088">
        <f t="shared" si="559"/>
        <v>1.1494371995192312</v>
      </c>
      <c r="S65" s="2088">
        <f t="shared" ref="S65" si="560">IF(S59&gt;$J$70,$J$65,IF(S59&lt;$J$70,(IF(S59&lt;0,0,S59*$K$65))))</f>
        <v>0</v>
      </c>
      <c r="T65" s="2091">
        <f t="shared" ref="T65" si="561">IF(T59&gt;$J$70,$J$65,IF(T59&lt;$J$70,(IF(T59&lt;0,0,T59*$K$65))))</f>
        <v>3.4517656250000006</v>
      </c>
      <c r="U65" s="1814"/>
      <c r="V65" s="2090">
        <f t="shared" si="414"/>
        <v>21.192838641826928</v>
      </c>
      <c r="W65" s="2087">
        <f>$J$65*0</f>
        <v>0</v>
      </c>
      <c r="X65" s="2174">
        <f t="shared" si="337"/>
        <v>21.192838641826928</v>
      </c>
      <c r="Y65" s="1814"/>
      <c r="Z65" s="2090">
        <f t="shared" ref="Z65:AA65" si="562">IF(Z59&gt;$J$70,$J$65,IF(Z59&lt;$J$70,(IF(Z59&lt;0,0,Z59*$K$65))))</f>
        <v>0</v>
      </c>
      <c r="AA65" s="2087">
        <f t="shared" si="562"/>
        <v>2.9553278245192316</v>
      </c>
      <c r="AB65" s="2087">
        <f t="shared" ref="AB65:AC65" si="563">IF(AB59&gt;$J$70,$J$65,IF(AB59&lt;$J$70,(IF(AB59&lt;0,0,AB59*$K$65))))</f>
        <v>1.8837632211538473</v>
      </c>
      <c r="AC65" s="2087">
        <f t="shared" si="563"/>
        <v>1.6399089543269236</v>
      </c>
      <c r="AD65" s="2087">
        <f t="shared" ref="AD65:AE65" si="564">IF(AD59&gt;$J$70,$J$65,IF(AD59&lt;$J$70,(IF(AD59&lt;0,0,AD59*$K$65))))</f>
        <v>0.24668028846153894</v>
      </c>
      <c r="AE65" s="2087">
        <f t="shared" si="564"/>
        <v>0</v>
      </c>
      <c r="AF65" s="2091">
        <f t="shared" ref="AF65" si="565">IF(AF59&gt;$J$70,$J$65,IF(AF59&lt;$J$70,(IF(AF59&lt;0,0,AF59*$K$65))))</f>
        <v>3.4496932091346171</v>
      </c>
      <c r="AG65" s="1814"/>
      <c r="AH65" s="2090">
        <f t="shared" si="270"/>
        <v>10.175373497596159</v>
      </c>
      <c r="AI65" s="2087">
        <f>$J$65*0</f>
        <v>0</v>
      </c>
      <c r="AJ65" s="2174">
        <f t="shared" si="271"/>
        <v>10.175373497596159</v>
      </c>
      <c r="AK65" s="1814"/>
      <c r="AL65" s="2090">
        <f t="shared" ref="AL65" si="566">IF(AL59&gt;$J$70,$J$65,IF(AL59&lt;$J$70,(IF(AL59&lt;0,0,AL59*$K$65))))</f>
        <v>7.7407407407407405</v>
      </c>
      <c r="AM65" s="2088">
        <f t="shared" ref="AM65:AN65" si="567">IF(AM59&gt;$J$70,$J$65,IF(AM59&lt;$J$70,(IF(AM59&lt;0,0,AM59*$K$65))))</f>
        <v>7.7407407407407405</v>
      </c>
      <c r="AN65" s="2088">
        <f t="shared" si="567"/>
        <v>7.7407407407407405</v>
      </c>
      <c r="AO65" s="2088">
        <f t="shared" ref="AO65:AP65" si="568">IF(AO59&gt;$J$70,$J$65,IF(AO59&lt;$J$70,(IF(AO59&lt;0,0,AO59*$K$65))))</f>
        <v>6.8921015625000024</v>
      </c>
      <c r="AP65" s="2088">
        <f t="shared" si="568"/>
        <v>3.3930471754807696</v>
      </c>
      <c r="AQ65" s="2088">
        <f t="shared" ref="AQ65" si="569">IF(AQ59&gt;$J$70,$J$65,IF(AQ59&lt;$J$70,(IF(AQ59&lt;0,0,AQ59*$K$65))))</f>
        <v>6.7057725360576921</v>
      </c>
      <c r="AR65" s="2091">
        <f t="shared" ref="AR65" si="570">IF(AR59&gt;$J$70,$J$65,IF(AR59&lt;$J$70,(IF(AR59&lt;0,0,AR59*$K$65))))</f>
        <v>0</v>
      </c>
      <c r="AS65" s="1814"/>
      <c r="AT65" s="2090">
        <f t="shared" si="510"/>
        <v>40.213143496260685</v>
      </c>
      <c r="AU65" s="2087">
        <f>$J$65*0</f>
        <v>0</v>
      </c>
      <c r="AV65" s="2174">
        <f t="shared" si="511"/>
        <v>40.213143496260685</v>
      </c>
      <c r="AW65" s="1814"/>
      <c r="AX65" s="2090">
        <f t="shared" ref="AX65:BA65" si="571">IF(AX59&gt;$J$70,$J$65,IF(AX59&lt;$J$70,(IF(AX59&lt;0,0,AX59*$K$65))))</f>
        <v>0</v>
      </c>
      <c r="AY65" s="2088">
        <f t="shared" si="571"/>
        <v>0</v>
      </c>
      <c r="AZ65" s="2088">
        <f t="shared" si="571"/>
        <v>0</v>
      </c>
      <c r="BA65" s="2088">
        <f t="shared" si="571"/>
        <v>0</v>
      </c>
      <c r="BB65" s="2088">
        <f t="shared" ref="BB65:BC65" si="572">IF(BB59&gt;$J$70,$J$65,IF(BB59&lt;$J$70,(IF(BB59&lt;0,0,BB59*$K$65))))</f>
        <v>7.7407407407407405</v>
      </c>
      <c r="BC65" s="2088">
        <f t="shared" si="572"/>
        <v>4.4090333533653849</v>
      </c>
      <c r="BD65" s="2091">
        <f t="shared" ref="BD65" si="573">IF(BD59&gt;$J$70,$J$65,IF(BD59&lt;$J$70,(IF(BD59&lt;0,0,BD59*$K$65))))</f>
        <v>0</v>
      </c>
      <c r="BE65" s="1814"/>
      <c r="BF65" s="2090">
        <f t="shared" si="487"/>
        <v>12.149774094106125</v>
      </c>
      <c r="BG65" s="2087">
        <f>$J$65*0</f>
        <v>0</v>
      </c>
      <c r="BH65" s="2174">
        <f t="shared" si="488"/>
        <v>12.149774094106125</v>
      </c>
      <c r="BI65" s="1814"/>
      <c r="BJ65" s="2090">
        <f t="shared" ref="BJ65:BK65" si="574">IF(BJ59&gt;$J$70,$J$65,IF(BJ59&lt;$J$70,(IF(BJ59&lt;0,0,BJ59*$K$65))))</f>
        <v>0</v>
      </c>
      <c r="BK65" s="2088">
        <f t="shared" si="574"/>
        <v>0</v>
      </c>
      <c r="BL65" s="2091">
        <f t="shared" ref="BL65" si="575">IF(BL59&gt;$J$70,$J$65,IF(BL59&lt;$J$70,(IF(BL59&lt;0,0,BL59*$K$65))))</f>
        <v>3.8789065838675212</v>
      </c>
      <c r="BM65" s="1814"/>
      <c r="BN65" s="2090">
        <f t="shared" si="517"/>
        <v>3.8789065838675212</v>
      </c>
      <c r="BO65" s="2087">
        <f>$J$65*0</f>
        <v>0</v>
      </c>
      <c r="BP65" s="2174">
        <f t="shared" si="491"/>
        <v>3.8789065838675212</v>
      </c>
      <c r="BR65" s="2092"/>
      <c r="BS65" s="2093"/>
      <c r="BU65" s="2092">
        <f t="shared" si="492"/>
        <v>87.610036313657403</v>
      </c>
      <c r="BV65" s="2094">
        <f t="shared" si="493"/>
        <v>0.41918677662037035</v>
      </c>
      <c r="BW65" s="2351"/>
      <c r="BX65" s="4636"/>
      <c r="CA65" s="1997"/>
      <c r="CB65" s="1861"/>
      <c r="CC65" s="1861"/>
      <c r="CD65" s="1861"/>
      <c r="CE65" s="1861"/>
      <c r="CF65" s="1861"/>
      <c r="CG65" s="1861"/>
      <c r="CH65" s="1861"/>
      <c r="CI65" s="1861"/>
    </row>
    <row r="66" spans="1:87" s="1885" customFormat="1" x14ac:dyDescent="0.2">
      <c r="A66" s="1947"/>
      <c r="B66" s="2690">
        <v>52</v>
      </c>
      <c r="C66" s="2417" t="s">
        <v>122</v>
      </c>
      <c r="D66" s="1960"/>
      <c r="E66" s="2179">
        <v>75</v>
      </c>
      <c r="F66" s="2418">
        <f>E66/10</f>
        <v>7.5</v>
      </c>
      <c r="G66" s="2418">
        <f>E66/15</f>
        <v>5</v>
      </c>
      <c r="H66" s="2418">
        <f>E66/20</f>
        <v>3.75</v>
      </c>
      <c r="I66" s="2418">
        <f>E66/25</f>
        <v>3</v>
      </c>
      <c r="J66" s="2418">
        <f t="shared" si="494"/>
        <v>2.7777777777777777</v>
      </c>
      <c r="K66" s="2419">
        <f t="shared" si="469"/>
        <v>4.5072115384615384E-2</v>
      </c>
      <c r="L66" s="2003"/>
      <c r="M66" s="1950"/>
      <c r="N66" s="2169">
        <f t="shared" ref="N66" si="576">IF(N59&gt;$J$70,$J$66,IF(N59&lt;$J$70,(IF(N59&lt;0,0,N59*$K$66))))</f>
        <v>0.51242487980769258</v>
      </c>
      <c r="O66" s="2176">
        <f t="shared" ref="O66:P66" si="577">IF(O59&gt;$J$70,$J$66,IF(O59&lt;$J$70,(IF(O59&lt;0,0,O59*$K$66))))</f>
        <v>1.2227839543269237</v>
      </c>
      <c r="P66" s="2176">
        <f t="shared" si="577"/>
        <v>2.6807542067307693</v>
      </c>
      <c r="Q66" s="2176">
        <f t="shared" ref="Q66:R66" si="578">IF(Q59&gt;$J$70,$J$66,IF(Q59&lt;$J$70,(IF(Q59&lt;0,0,Q59*$K$66))))</f>
        <v>1.5379732572115388</v>
      </c>
      <c r="R66" s="2176">
        <f t="shared" si="578"/>
        <v>0.41247746394230789</v>
      </c>
      <c r="S66" s="2176">
        <f t="shared" ref="S66" si="579">IF(S59&gt;$J$70,$J$66,IF(S59&lt;$J$70,(IF(S59&lt;0,0,S59*$K$66))))</f>
        <v>0</v>
      </c>
      <c r="T66" s="2171">
        <f t="shared" ref="T66" si="580">IF(T59&gt;$J$70,$J$66,IF(T59&lt;$J$70,(IF(T59&lt;0,0,T59*$K$66))))</f>
        <v>1.2386718750000003</v>
      </c>
      <c r="U66" s="1951"/>
      <c r="V66" s="2169">
        <f t="shared" si="414"/>
        <v>7.6050856370192319</v>
      </c>
      <c r="W66" s="2170">
        <f>$J$66*0</f>
        <v>0</v>
      </c>
      <c r="X66" s="2178">
        <f t="shared" si="337"/>
        <v>7.6050856370192319</v>
      </c>
      <c r="Y66" s="1956"/>
      <c r="Z66" s="2169">
        <f t="shared" ref="Z66:AA66" si="581">IF(Z59&gt;$J$70,$J$66,IF(Z59&lt;$J$70,(IF(Z59&lt;0,0,Z59*$K$66))))</f>
        <v>0</v>
      </c>
      <c r="AA66" s="2170">
        <f t="shared" si="581"/>
        <v>1.060524338942308</v>
      </c>
      <c r="AB66" s="2170">
        <f t="shared" ref="AB66:AC66" si="582">IF(AB59&gt;$J$70,$J$66,IF(AB59&lt;$J$70,(IF(AB59&lt;0,0,AB59*$K$66))))</f>
        <v>0.67599158653846203</v>
      </c>
      <c r="AC66" s="2170">
        <f t="shared" si="582"/>
        <v>0.58848407451923102</v>
      </c>
      <c r="AD66" s="2170">
        <f t="shared" ref="AD66:AE66" si="583">IF(AD59&gt;$J$70,$J$66,IF(AD59&lt;$J$70,(IF(AD59&lt;0,0,AD59*$K$66))))</f>
        <v>8.8521634615384787E-2</v>
      </c>
      <c r="AE66" s="2170">
        <f t="shared" si="583"/>
        <v>0</v>
      </c>
      <c r="AF66" s="2171">
        <f t="shared" ref="AF66" si="584">IF(AF59&gt;$J$70,$J$66,IF(AF59&lt;$J$70,(IF(AF59&lt;0,0,AF59*$K$66))))</f>
        <v>1.2379281850961543</v>
      </c>
      <c r="AG66" s="1956"/>
      <c r="AH66" s="2169">
        <f t="shared" si="270"/>
        <v>3.6514498197115399</v>
      </c>
      <c r="AI66" s="2170">
        <f>$J$66*0</f>
        <v>0</v>
      </c>
      <c r="AJ66" s="2178">
        <f t="shared" si="271"/>
        <v>3.6514498197115399</v>
      </c>
      <c r="AK66" s="1956"/>
      <c r="AL66" s="2169">
        <f t="shared" ref="AL66" si="585">IF(AL59&gt;$J$70,$J$66,IF(AL59&lt;$J$70,(IF(AL59&lt;0,0,AL59*$K$66))))</f>
        <v>2.7777777777777777</v>
      </c>
      <c r="AM66" s="2176">
        <f t="shared" ref="AM66:AN66" si="586">IF(AM59&gt;$J$70,$J$66,IF(AM59&lt;$J$70,(IF(AM59&lt;0,0,AM59*$K$66))))</f>
        <v>2.7777777777777777</v>
      </c>
      <c r="AN66" s="2176">
        <f t="shared" si="586"/>
        <v>2.7777777777777777</v>
      </c>
      <c r="AO66" s="2176">
        <f t="shared" ref="AO66:AP66" si="587">IF(AO59&gt;$J$70,$J$66,IF(AO59&lt;$J$70,(IF(AO59&lt;0,0,AO59*$K$66))))</f>
        <v>2.4732421875000008</v>
      </c>
      <c r="AP66" s="2176">
        <f t="shared" si="587"/>
        <v>1.2176006610576926</v>
      </c>
      <c r="AQ66" s="2176">
        <f t="shared" ref="AQ66" si="588">IF(AQ59&gt;$J$70,$J$66,IF(AQ59&lt;$J$70,(IF(AQ59&lt;0,0,AQ59*$K$66))))</f>
        <v>2.406377704326923</v>
      </c>
      <c r="AR66" s="2171">
        <f t="shared" ref="AR66" si="589">IF(AR59&gt;$J$70,$J$66,IF(AR59&lt;$J$70,(IF(AR59&lt;0,0,AR59*$K$66))))</f>
        <v>0</v>
      </c>
      <c r="AS66" s="1951"/>
      <c r="AT66" s="2169">
        <f t="shared" si="510"/>
        <v>14.430553886217949</v>
      </c>
      <c r="AU66" s="2170">
        <f>$J$66*0</f>
        <v>0</v>
      </c>
      <c r="AV66" s="2178">
        <f t="shared" si="511"/>
        <v>14.430553886217949</v>
      </c>
      <c r="AW66" s="1951"/>
      <c r="AX66" s="2169">
        <f t="shared" ref="AX66:BA66" si="590">IF(AX59&gt;$J$70,$J$66,IF(AX59&lt;$J$70,(IF(AX59&lt;0,0,AX59*$K$66))))</f>
        <v>0</v>
      </c>
      <c r="AY66" s="2176">
        <f t="shared" si="590"/>
        <v>0</v>
      </c>
      <c r="AZ66" s="2176">
        <f t="shared" si="590"/>
        <v>0</v>
      </c>
      <c r="BA66" s="2176">
        <f t="shared" si="590"/>
        <v>0</v>
      </c>
      <c r="BB66" s="2176">
        <f t="shared" ref="BB66:BC66" si="591">IF(BB59&gt;$J$70,$J$66,IF(BB59&lt;$J$70,(IF(BB59&lt;0,0,BB59*$K$66))))</f>
        <v>2.7777777777777777</v>
      </c>
      <c r="BC66" s="2176">
        <f t="shared" si="591"/>
        <v>1.5821890024038463</v>
      </c>
      <c r="BD66" s="2171">
        <f t="shared" ref="BD66" si="592">IF(BD59&gt;$J$70,$J$66,IF(BD59&lt;$J$70,(IF(BD59&lt;0,0,BD59*$K$66))))</f>
        <v>0</v>
      </c>
      <c r="BE66" s="1951"/>
      <c r="BF66" s="2169">
        <f t="shared" si="487"/>
        <v>4.3599667801816242</v>
      </c>
      <c r="BG66" s="2170">
        <f>$J$66*0</f>
        <v>0</v>
      </c>
      <c r="BH66" s="2178">
        <f t="shared" si="488"/>
        <v>4.3599667801816242</v>
      </c>
      <c r="BI66" s="1951"/>
      <c r="BJ66" s="2169">
        <f t="shared" ref="BJ66:BK66" si="593">IF(BJ59&gt;$J$70,$J$66,IF(BJ59&lt;$J$70,(IF(BJ59&lt;0,0,BJ59*$K$66))))</f>
        <v>0</v>
      </c>
      <c r="BK66" s="2176">
        <f t="shared" si="593"/>
        <v>0</v>
      </c>
      <c r="BL66" s="2171">
        <f t="shared" ref="BL66" si="594">IF(BL59&gt;$J$70,$J$66,IF(BL59&lt;$J$70,(IF(BL59&lt;0,0,BL59*$K$66))))</f>
        <v>1.3919521233974357</v>
      </c>
      <c r="BM66" s="1951"/>
      <c r="BN66" s="2169">
        <f t="shared" si="517"/>
        <v>1.3919521233974357</v>
      </c>
      <c r="BO66" s="2170">
        <f>$J$66*0</f>
        <v>0</v>
      </c>
      <c r="BP66" s="2178">
        <f t="shared" si="491"/>
        <v>1.3919521233974357</v>
      </c>
      <c r="BR66" s="2179"/>
      <c r="BS66" s="2180"/>
      <c r="BT66" s="1900"/>
      <c r="BU66" s="2179">
        <f t="shared" si="492"/>
        <v>31.439008246527781</v>
      </c>
      <c r="BV66" s="2181">
        <f t="shared" si="493"/>
        <v>0.4191867766203704</v>
      </c>
      <c r="BW66" s="2353"/>
      <c r="BX66" s="4636"/>
      <c r="CA66" s="3015"/>
      <c r="CB66" s="1946"/>
      <c r="CC66" s="1946"/>
      <c r="CD66" s="1946"/>
      <c r="CE66" s="1946"/>
      <c r="CF66" s="1946"/>
      <c r="CG66" s="1946"/>
      <c r="CH66" s="1946"/>
      <c r="CI66" s="1946"/>
    </row>
    <row r="67" spans="1:87" s="1726" customFormat="1" ht="17.25" thickBot="1" x14ac:dyDescent="0.25">
      <c r="A67" s="1756"/>
      <c r="B67" s="2107">
        <v>53</v>
      </c>
      <c r="C67" s="2108" t="s">
        <v>242</v>
      </c>
      <c r="D67" s="2646"/>
      <c r="E67" s="2092">
        <v>0</v>
      </c>
      <c r="F67" s="2111">
        <f>E67/10</f>
        <v>0</v>
      </c>
      <c r="G67" s="2111">
        <f>E67/15</f>
        <v>0</v>
      </c>
      <c r="H67" s="2111">
        <f>E67/20</f>
        <v>0</v>
      </c>
      <c r="I67" s="2111">
        <f>E67/25</f>
        <v>0</v>
      </c>
      <c r="J67" s="2111">
        <f t="shared" si="494"/>
        <v>0</v>
      </c>
      <c r="K67" s="2112">
        <f t="shared" si="469"/>
        <v>0</v>
      </c>
      <c r="L67" s="1931"/>
      <c r="M67" s="1924"/>
      <c r="N67" s="2090">
        <f t="shared" ref="N67" si="595">IF(N59&gt;$J$70,$J$67,IF(N59&lt;$J$70,(IF(N59&lt;0,0,N59*$K$67))))</f>
        <v>0</v>
      </c>
      <c r="O67" s="2088">
        <f t="shared" ref="O67:P67" si="596">IF(O59&gt;$J$70,$J$67,IF(O59&lt;$J$70,(IF(O59&lt;0,0,O59*$K$67))))</f>
        <v>0</v>
      </c>
      <c r="P67" s="2088">
        <f t="shared" si="596"/>
        <v>0</v>
      </c>
      <c r="Q67" s="2088">
        <f t="shared" ref="Q67:R67" si="597">IF(Q59&gt;$J$70,$J$67,IF(Q59&lt;$J$70,(IF(Q59&lt;0,0,Q59*$K$67))))</f>
        <v>0</v>
      </c>
      <c r="R67" s="2088">
        <f t="shared" si="597"/>
        <v>0</v>
      </c>
      <c r="S67" s="2088">
        <f t="shared" ref="S67" si="598">IF(S59&gt;$J$70,$J$67,IF(S59&lt;$J$70,(IF(S59&lt;0,0,S59*$K$67))))</f>
        <v>0</v>
      </c>
      <c r="T67" s="2091">
        <f t="shared" ref="T67" si="599">IF(T59&gt;$J$70,$J$67,IF(T59&lt;$J$70,(IF(T59&lt;0,0,T59*$K$67))))</f>
        <v>0</v>
      </c>
      <c r="U67" s="1814"/>
      <c r="V67" s="2090">
        <f t="shared" si="414"/>
        <v>0</v>
      </c>
      <c r="W67" s="2087">
        <f>$J$67*0</f>
        <v>0</v>
      </c>
      <c r="X67" s="2174">
        <f t="shared" si="337"/>
        <v>0</v>
      </c>
      <c r="Y67" s="1766"/>
      <c r="Z67" s="2090">
        <f t="shared" ref="Z67:AA67" si="600">IF(Z59&gt;$J$70,$J$67,IF(Z59&lt;$J$70,(IF(Z59&lt;0,0,Z59*$K$67))))</f>
        <v>0</v>
      </c>
      <c r="AA67" s="2087">
        <f t="shared" si="600"/>
        <v>0</v>
      </c>
      <c r="AB67" s="2087">
        <f t="shared" ref="AB67:AC67" si="601">IF(AB59&gt;$J$70,$J$67,IF(AB59&lt;$J$70,(IF(AB59&lt;0,0,AB59*$K$67))))</f>
        <v>0</v>
      </c>
      <c r="AC67" s="2087">
        <f t="shared" si="601"/>
        <v>0</v>
      </c>
      <c r="AD67" s="2087">
        <f t="shared" ref="AD67:AE67" si="602">IF(AD59&gt;$J$70,$J$67,IF(AD59&lt;$J$70,(IF(AD59&lt;0,0,AD59*$K$67))))</f>
        <v>0</v>
      </c>
      <c r="AE67" s="2087">
        <f t="shared" si="602"/>
        <v>0</v>
      </c>
      <c r="AF67" s="2091">
        <f t="shared" ref="AF67" si="603">IF(AF59&gt;$J$70,$J$67,IF(AF59&lt;$J$70,(IF(AF59&lt;0,0,AF59*$K$67))))</f>
        <v>0</v>
      </c>
      <c r="AG67" s="1766"/>
      <c r="AH67" s="2090">
        <f t="shared" si="270"/>
        <v>0</v>
      </c>
      <c r="AI67" s="2087">
        <f>$J$67*0</f>
        <v>0</v>
      </c>
      <c r="AJ67" s="2174">
        <f t="shared" si="271"/>
        <v>0</v>
      </c>
      <c r="AK67" s="1766"/>
      <c r="AL67" s="2090">
        <f t="shared" ref="AL67" si="604">IF(AL59&gt;$J$70,$J$67,IF(AL59&lt;$J$70,(IF(AL59&lt;0,0,AL59*$K$67))))</f>
        <v>0</v>
      </c>
      <c r="AM67" s="2088">
        <f t="shared" ref="AM67:AN67" si="605">IF(AM59&gt;$J$70,$J$67,IF(AM59&lt;$J$70,(IF(AM59&lt;0,0,AM59*$K$67))))</f>
        <v>0</v>
      </c>
      <c r="AN67" s="2088">
        <f t="shared" si="605"/>
        <v>0</v>
      </c>
      <c r="AO67" s="2088">
        <f t="shared" ref="AO67:AP67" si="606">IF(AO59&gt;$J$70,$J$67,IF(AO59&lt;$J$70,(IF(AO59&lt;0,0,AO59*$K$67))))</f>
        <v>0</v>
      </c>
      <c r="AP67" s="2088">
        <f t="shared" si="606"/>
        <v>0</v>
      </c>
      <c r="AQ67" s="2088">
        <f t="shared" ref="AQ67" si="607">IF(AQ59&gt;$J$70,$J$67,IF(AQ59&lt;$J$70,(IF(AQ59&lt;0,0,AQ59*$K$67))))</f>
        <v>0</v>
      </c>
      <c r="AR67" s="2091">
        <f t="shared" ref="AR67" si="608">IF(AR59&gt;$J$70,$J$67,IF(AR59&lt;$J$70,(IF(AR59&lt;0,0,AR59*$K$67))))</f>
        <v>0</v>
      </c>
      <c r="AS67" s="1814"/>
      <c r="AT67" s="2090">
        <f t="shared" si="510"/>
        <v>0</v>
      </c>
      <c r="AU67" s="2087">
        <f>$J$67*0</f>
        <v>0</v>
      </c>
      <c r="AV67" s="2174">
        <f t="shared" si="511"/>
        <v>0</v>
      </c>
      <c r="AW67" s="1814"/>
      <c r="AX67" s="2090">
        <f t="shared" ref="AX67:BA67" si="609">IF(AX59&gt;$J$70,$J$67,IF(AX59&lt;$J$70,(IF(AX59&lt;0,0,AX59*$K$67))))</f>
        <v>0</v>
      </c>
      <c r="AY67" s="2088">
        <f t="shared" si="609"/>
        <v>0</v>
      </c>
      <c r="AZ67" s="2088">
        <f t="shared" si="609"/>
        <v>0</v>
      </c>
      <c r="BA67" s="2088">
        <f t="shared" si="609"/>
        <v>0</v>
      </c>
      <c r="BB67" s="2088">
        <f t="shared" ref="BB67:BC67" si="610">IF(BB59&gt;$J$70,$J$67,IF(BB59&lt;$J$70,(IF(BB59&lt;0,0,BB59*$K$67))))</f>
        <v>0</v>
      </c>
      <c r="BC67" s="2088">
        <f t="shared" si="610"/>
        <v>0</v>
      </c>
      <c r="BD67" s="2091">
        <f t="shared" ref="BD67" si="611">IF(BD59&gt;$J$70,$J$67,IF(BD59&lt;$J$70,(IF(BD59&lt;0,0,BD59*$K$67))))</f>
        <v>0</v>
      </c>
      <c r="BE67" s="1814"/>
      <c r="BF67" s="2090">
        <f t="shared" si="487"/>
        <v>0</v>
      </c>
      <c r="BG67" s="2087">
        <f>$J$67*0</f>
        <v>0</v>
      </c>
      <c r="BH67" s="2174">
        <f t="shared" si="488"/>
        <v>0</v>
      </c>
      <c r="BI67" s="1814"/>
      <c r="BJ67" s="2090">
        <f t="shared" ref="BJ67:BK67" si="612">IF(BJ59&gt;$J$70,$J$67,IF(BJ59&lt;$J$70,(IF(BJ59&lt;0,0,BJ59*$K$67))))</f>
        <v>0</v>
      </c>
      <c r="BK67" s="2088">
        <f t="shared" si="612"/>
        <v>0</v>
      </c>
      <c r="BL67" s="2091">
        <f t="shared" ref="BL67" si="613">IF(BL59&gt;$J$70,$J$67,IF(BL59&lt;$J$70,(IF(BL59&lt;0,0,BL59*$K$67))))</f>
        <v>0</v>
      </c>
      <c r="BM67" s="1814"/>
      <c r="BN67" s="2090">
        <f t="shared" si="517"/>
        <v>0</v>
      </c>
      <c r="BO67" s="2087">
        <f>$J$67*0</f>
        <v>0</v>
      </c>
      <c r="BP67" s="2174">
        <f t="shared" si="491"/>
        <v>0</v>
      </c>
      <c r="BR67" s="2092"/>
      <c r="BS67" s="2093"/>
      <c r="BT67" s="1740"/>
      <c r="BU67" s="2092">
        <f t="shared" si="492"/>
        <v>0</v>
      </c>
      <c r="BV67" s="2094" t="e">
        <f t="shared" si="493"/>
        <v>#DIV/0!</v>
      </c>
      <c r="BW67" s="2351"/>
      <c r="BX67" s="4636"/>
      <c r="CA67" s="3018"/>
      <c r="CB67" s="1860"/>
      <c r="CC67" s="1860"/>
      <c r="CD67" s="1860"/>
      <c r="CE67" s="1860"/>
      <c r="CF67" s="1860"/>
      <c r="CG67" s="1860"/>
      <c r="CH67" s="1860"/>
      <c r="CI67" s="1860"/>
    </row>
    <row r="68" spans="1:87" s="1885" customFormat="1" x14ac:dyDescent="0.2">
      <c r="B68" s="2691">
        <v>54</v>
      </c>
      <c r="C68" s="2692" t="s">
        <v>227</v>
      </c>
      <c r="D68" s="2693"/>
      <c r="E68" s="2694">
        <v>0</v>
      </c>
      <c r="F68" s="2695"/>
      <c r="G68" s="2695"/>
      <c r="H68" s="2695"/>
      <c r="I68" s="2695"/>
      <c r="J68" s="2695">
        <f t="shared" si="494"/>
        <v>0</v>
      </c>
      <c r="K68" s="2696">
        <f t="shared" si="469"/>
        <v>0</v>
      </c>
      <c r="L68" s="2003"/>
      <c r="M68" s="1950"/>
      <c r="N68" s="2169">
        <f t="shared" ref="N68" si="614">IF(N59&gt;$J$70,$J$68,IF(N59&lt;$J$70,(IF(N59&lt;0,0,N59*$K$68))))</f>
        <v>0</v>
      </c>
      <c r="O68" s="2176">
        <f t="shared" ref="O68:P68" si="615">IF(O59&gt;$J$70,$J$68,IF(O59&lt;$J$70,(IF(O59&lt;0,0,O59*$K$68))))</f>
        <v>0</v>
      </c>
      <c r="P68" s="2176">
        <f t="shared" si="615"/>
        <v>0</v>
      </c>
      <c r="Q68" s="2176">
        <f t="shared" ref="Q68:R68" si="616">IF(Q59&gt;$J$70,$J$68,IF(Q59&lt;$J$70,(IF(Q59&lt;0,0,Q59*$K$68))))</f>
        <v>0</v>
      </c>
      <c r="R68" s="2176">
        <f t="shared" si="616"/>
        <v>0</v>
      </c>
      <c r="S68" s="2176">
        <f t="shared" ref="S68" si="617">IF(S59&gt;$J$70,$J$68,IF(S59&lt;$J$70,(IF(S59&lt;0,0,S59*$K$68))))</f>
        <v>0</v>
      </c>
      <c r="T68" s="2171">
        <f t="shared" ref="T68" si="618">IF(T59&gt;$J$70,$J$68,IF(T59&lt;$J$70,(IF(T59&lt;0,0,T59*$K$68))))</f>
        <v>0</v>
      </c>
      <c r="U68" s="1951"/>
      <c r="V68" s="2169">
        <f t="shared" si="414"/>
        <v>0</v>
      </c>
      <c r="W68" s="2170">
        <f>$J$68*0</f>
        <v>0</v>
      </c>
      <c r="X68" s="2178">
        <f t="shared" si="337"/>
        <v>0</v>
      </c>
      <c r="Y68" s="1956"/>
      <c r="Z68" s="2169">
        <f t="shared" ref="Z68:AA68" si="619">IF(Z59&gt;$J$70,$J$68,IF(Z59&lt;$J$70,(IF(Z59&lt;0,0,Z59*$K$68))))</f>
        <v>0</v>
      </c>
      <c r="AA68" s="2170">
        <f t="shared" si="619"/>
        <v>0</v>
      </c>
      <c r="AB68" s="2170">
        <f t="shared" ref="AB68:AC68" si="620">IF(AB59&gt;$J$70,$J$68,IF(AB59&lt;$J$70,(IF(AB59&lt;0,0,AB59*$K$68))))</f>
        <v>0</v>
      </c>
      <c r="AC68" s="2170">
        <f t="shared" si="620"/>
        <v>0</v>
      </c>
      <c r="AD68" s="2170">
        <f t="shared" ref="AD68:AE68" si="621">IF(AD59&gt;$J$70,$J$68,IF(AD59&lt;$J$70,(IF(AD59&lt;0,0,AD59*$K$68))))</f>
        <v>0</v>
      </c>
      <c r="AE68" s="2170">
        <f t="shared" si="621"/>
        <v>0</v>
      </c>
      <c r="AF68" s="2171">
        <f t="shared" ref="AF68" si="622">IF(AF59&gt;$J$70,$J$68,IF(AF59&lt;$J$70,(IF(AF59&lt;0,0,AF59*$K$68))))</f>
        <v>0</v>
      </c>
      <c r="AG68" s="1956"/>
      <c r="AH68" s="2169">
        <f t="shared" si="270"/>
        <v>0</v>
      </c>
      <c r="AI68" s="2170">
        <f>$J$68*0</f>
        <v>0</v>
      </c>
      <c r="AJ68" s="2178">
        <f t="shared" si="271"/>
        <v>0</v>
      </c>
      <c r="AK68" s="1956"/>
      <c r="AL68" s="2169">
        <f t="shared" ref="AL68" si="623">IF(AL59&gt;$J$70,$J$68,IF(AL59&lt;$J$70,(IF(AL59&lt;0,0,AL59*$K$68))))</f>
        <v>0</v>
      </c>
      <c r="AM68" s="2176">
        <f t="shared" ref="AM68:AN68" si="624">IF(AM59&gt;$J$70,$J$68,IF(AM59&lt;$J$70,(IF(AM59&lt;0,0,AM59*$K$68))))</f>
        <v>0</v>
      </c>
      <c r="AN68" s="2176">
        <f t="shared" si="624"/>
        <v>0</v>
      </c>
      <c r="AO68" s="2176">
        <f t="shared" ref="AO68:AP68" si="625">IF(AO59&gt;$J$70,$J$68,IF(AO59&lt;$J$70,(IF(AO59&lt;0,0,AO59*$K$68))))</f>
        <v>0</v>
      </c>
      <c r="AP68" s="2176">
        <f t="shared" si="625"/>
        <v>0</v>
      </c>
      <c r="AQ68" s="2176">
        <f t="shared" ref="AQ68" si="626">IF(AQ59&gt;$J$70,$J$68,IF(AQ59&lt;$J$70,(IF(AQ59&lt;0,0,AQ59*$K$68))))</f>
        <v>0</v>
      </c>
      <c r="AR68" s="2171">
        <f t="shared" ref="AR68" si="627">IF(AR59&gt;$J$70,$J$68,IF(AR59&lt;$J$70,(IF(AR59&lt;0,0,AR59*$K$68))))</f>
        <v>0</v>
      </c>
      <c r="AS68" s="1951"/>
      <c r="AT68" s="2169">
        <f t="shared" si="510"/>
        <v>0</v>
      </c>
      <c r="AU68" s="2170">
        <f>$J$68*0</f>
        <v>0</v>
      </c>
      <c r="AV68" s="2178">
        <f t="shared" si="511"/>
        <v>0</v>
      </c>
      <c r="AW68" s="1951"/>
      <c r="AX68" s="2169">
        <f t="shared" ref="AX68:BA68" si="628">IF(AX59&gt;$J$70,$J$68,IF(AX59&lt;$J$70,(IF(AX59&lt;0,0,AX59*$K$68))))</f>
        <v>0</v>
      </c>
      <c r="AY68" s="2176">
        <f t="shared" si="628"/>
        <v>0</v>
      </c>
      <c r="AZ68" s="2176">
        <f t="shared" si="628"/>
        <v>0</v>
      </c>
      <c r="BA68" s="2176">
        <f t="shared" si="628"/>
        <v>0</v>
      </c>
      <c r="BB68" s="2176">
        <f t="shared" ref="BB68:BC68" si="629">IF(BB59&gt;$J$70,$J$68,IF(BB59&lt;$J$70,(IF(BB59&lt;0,0,BB59*$K$68))))</f>
        <v>0</v>
      </c>
      <c r="BC68" s="2176">
        <f t="shared" si="629"/>
        <v>0</v>
      </c>
      <c r="BD68" s="2171">
        <f t="shared" ref="BD68" si="630">IF(BD59&gt;$J$70,$J$68,IF(BD59&lt;$J$70,(IF(BD59&lt;0,0,BD59*$K$68))))</f>
        <v>0</v>
      </c>
      <c r="BE68" s="1951"/>
      <c r="BF68" s="2169">
        <f t="shared" si="487"/>
        <v>0</v>
      </c>
      <c r="BG68" s="2170">
        <f>$J$68*0</f>
        <v>0</v>
      </c>
      <c r="BH68" s="2178">
        <f t="shared" si="488"/>
        <v>0</v>
      </c>
      <c r="BI68" s="1951"/>
      <c r="BJ68" s="2169">
        <f t="shared" ref="BJ68:BK68" si="631">IF(BJ59&gt;$J$70,$J$68,IF(BJ59&lt;$J$70,(IF(BJ59&lt;0,0,BJ59*$K$68))))</f>
        <v>0</v>
      </c>
      <c r="BK68" s="2176">
        <f t="shared" si="631"/>
        <v>0</v>
      </c>
      <c r="BL68" s="2171">
        <f t="shared" ref="BL68" si="632">IF(BL59&gt;$J$70,$J$68,IF(BL59&lt;$J$70,(IF(BL59&lt;0,0,BL59*$K$68))))</f>
        <v>0</v>
      </c>
      <c r="BM68" s="1951"/>
      <c r="BN68" s="2169">
        <f t="shared" si="517"/>
        <v>0</v>
      </c>
      <c r="BO68" s="2170">
        <f>$J$68*0</f>
        <v>0</v>
      </c>
      <c r="BP68" s="2178">
        <f t="shared" si="491"/>
        <v>0</v>
      </c>
      <c r="BR68" s="2179"/>
      <c r="BS68" s="2180"/>
      <c r="BT68" s="1900"/>
      <c r="BU68" s="2179">
        <f t="shared" si="492"/>
        <v>0</v>
      </c>
      <c r="BV68" s="2181" t="e">
        <f t="shared" si="493"/>
        <v>#DIV/0!</v>
      </c>
      <c r="BW68" s="2353"/>
      <c r="BX68" s="4636"/>
      <c r="CA68" s="3015"/>
      <c r="CB68" s="1946"/>
      <c r="CC68" s="1946"/>
      <c r="CD68" s="1946"/>
      <c r="CE68" s="1946"/>
      <c r="CF68" s="1946"/>
      <c r="CG68" s="1946"/>
      <c r="CH68" s="1946"/>
      <c r="CI68" s="1946"/>
    </row>
    <row r="69" spans="1:87" s="1726" customFormat="1" ht="17.25" thickBot="1" x14ac:dyDescent="0.25">
      <c r="B69" s="2647">
        <v>55</v>
      </c>
      <c r="C69" s="2648" t="s">
        <v>228</v>
      </c>
      <c r="D69" s="2649"/>
      <c r="E69" s="2193">
        <v>0</v>
      </c>
      <c r="F69" s="2313">
        <f>E69/10</f>
        <v>0</v>
      </c>
      <c r="G69" s="2313">
        <f>E69/15</f>
        <v>0</v>
      </c>
      <c r="H69" s="2313">
        <f>E69/20</f>
        <v>0</v>
      </c>
      <c r="I69" s="2313">
        <f>E69/25</f>
        <v>0</v>
      </c>
      <c r="J69" s="2313">
        <f t="shared" si="494"/>
        <v>0</v>
      </c>
      <c r="K69" s="2194">
        <f t="shared" si="469"/>
        <v>0</v>
      </c>
      <c r="L69" s="1931"/>
      <c r="M69" s="1924"/>
      <c r="N69" s="2090">
        <f t="shared" ref="N69" si="633">IF(N59&gt;$J$70,$J$69,IF(N59&lt;$J$70,(IF(N59&lt;0,0,N59*$K$69))))</f>
        <v>0</v>
      </c>
      <c r="O69" s="2088">
        <f t="shared" ref="O69:P69" si="634">IF(O59&gt;$J$70,$J$69,IF(O59&lt;$J$70,(IF(O59&lt;0,0,O59*$K$69))))</f>
        <v>0</v>
      </c>
      <c r="P69" s="2088">
        <f t="shared" si="634"/>
        <v>0</v>
      </c>
      <c r="Q69" s="2088">
        <f t="shared" ref="Q69:R69" si="635">IF(Q59&gt;$J$70,$J$69,IF(Q59&lt;$J$70,(IF(Q59&lt;0,0,Q59*$K$69))))</f>
        <v>0</v>
      </c>
      <c r="R69" s="2088">
        <f t="shared" si="635"/>
        <v>0</v>
      </c>
      <c r="S69" s="2088">
        <f t="shared" ref="S69" si="636">IF(S59&gt;$J$70,$J$69,IF(S59&lt;$J$70,(IF(S59&lt;0,0,S59*$K$69))))</f>
        <v>0</v>
      </c>
      <c r="T69" s="2091">
        <f t="shared" ref="T69" si="637">IF(T59&gt;$J$70,$J$69,IF(T59&lt;$J$70,(IF(T59&lt;0,0,T59*$K$69))))</f>
        <v>0</v>
      </c>
      <c r="U69" s="1814"/>
      <c r="V69" s="2445">
        <f t="shared" si="94"/>
        <v>0</v>
      </c>
      <c r="W69" s="2650">
        <f>$J$69*0</f>
        <v>0</v>
      </c>
      <c r="X69" s="2651">
        <f t="shared" si="337"/>
        <v>0</v>
      </c>
      <c r="Y69" s="1766"/>
      <c r="Z69" s="2445">
        <f t="shared" ref="Z69:AA69" si="638">IF(Z59&gt;$J$70,$J$69,IF(Z59&lt;$J$70,(IF(Z59&lt;0,0,Z59*$K$69))))</f>
        <v>0</v>
      </c>
      <c r="AA69" s="2650">
        <f t="shared" si="638"/>
        <v>0</v>
      </c>
      <c r="AB69" s="2650">
        <f t="shared" ref="AB69:AC69" si="639">IF(AB59&gt;$J$70,$J$69,IF(AB59&lt;$J$70,(IF(AB59&lt;0,0,AB59*$K$69))))</f>
        <v>0</v>
      </c>
      <c r="AC69" s="2650">
        <f t="shared" si="639"/>
        <v>0</v>
      </c>
      <c r="AD69" s="2650">
        <f t="shared" ref="AD69:AE69" si="640">IF(AD59&gt;$J$70,$J$69,IF(AD59&lt;$J$70,(IF(AD59&lt;0,0,AD59*$K$69))))</f>
        <v>0</v>
      </c>
      <c r="AE69" s="2650">
        <f t="shared" si="640"/>
        <v>0</v>
      </c>
      <c r="AF69" s="2652">
        <f t="shared" ref="AF69" si="641">IF(AF59&gt;$J$70,$J$69,IF(AF59&lt;$J$70,(IF(AF59&lt;0,0,AF59*$K$69))))</f>
        <v>0</v>
      </c>
      <c r="AG69" s="1766"/>
      <c r="AH69" s="2445">
        <f t="shared" si="270"/>
        <v>0</v>
      </c>
      <c r="AI69" s="2650">
        <f>$J$69*0</f>
        <v>0</v>
      </c>
      <c r="AJ69" s="2651">
        <f t="shared" si="271"/>
        <v>0</v>
      </c>
      <c r="AK69" s="1766"/>
      <c r="AL69" s="2193">
        <f t="shared" ref="AL69" si="642">IF(AL59&gt;$J$70,$J$69,IF(AL59&lt;$J$70,(IF(AL59&lt;0,0,AL59*$K$69))))</f>
        <v>0</v>
      </c>
      <c r="AM69" s="2313">
        <f t="shared" ref="AM69:AN69" si="643">IF(AM59&gt;$J$70,$J$69,IF(AM59&lt;$J$70,(IF(AM59&lt;0,0,AM59*$K$69))))</f>
        <v>0</v>
      </c>
      <c r="AN69" s="2313">
        <f t="shared" si="643"/>
        <v>0</v>
      </c>
      <c r="AO69" s="2313">
        <f t="shared" ref="AO69:AP69" si="644">IF(AO59&gt;$J$70,$J$69,IF(AO59&lt;$J$70,(IF(AO59&lt;0,0,AO59*$K$69))))</f>
        <v>0</v>
      </c>
      <c r="AP69" s="2313">
        <f t="shared" si="644"/>
        <v>0</v>
      </c>
      <c r="AQ69" s="2313">
        <f t="shared" ref="AQ69" si="645">IF(AQ59&gt;$J$70,$J$69,IF(AQ59&lt;$J$70,(IF(AQ59&lt;0,0,AQ59*$K$69))))</f>
        <v>0</v>
      </c>
      <c r="AR69" s="2314">
        <f t="shared" ref="AR69" si="646">IF(AR59&gt;$J$70,$J$69,IF(AR59&lt;$J$70,(IF(AR59&lt;0,0,AR59*$K$69))))</f>
        <v>0</v>
      </c>
      <c r="AS69" s="1814"/>
      <c r="AT69" s="2445">
        <f t="shared" si="510"/>
        <v>0</v>
      </c>
      <c r="AU69" s="2650">
        <f>$J$69*0</f>
        <v>0</v>
      </c>
      <c r="AV69" s="2651">
        <f t="shared" si="511"/>
        <v>0</v>
      </c>
      <c r="AW69" s="1814"/>
      <c r="AX69" s="2193">
        <f t="shared" ref="AX69:BA69" si="647">IF(AX59&gt;$J$70,$J$69,IF(AX59&lt;$J$70,(IF(AX59&lt;0,0,AX59*$K$69))))</f>
        <v>0</v>
      </c>
      <c r="AY69" s="2313">
        <f t="shared" si="647"/>
        <v>0</v>
      </c>
      <c r="AZ69" s="2313">
        <f t="shared" si="647"/>
        <v>0</v>
      </c>
      <c r="BA69" s="2313">
        <f t="shared" si="647"/>
        <v>0</v>
      </c>
      <c r="BB69" s="2313">
        <f t="shared" ref="BB69:BC69" si="648">IF(BB59&gt;$J$70,$J$69,IF(BB59&lt;$J$70,(IF(BB59&lt;0,0,BB59*$K$69))))</f>
        <v>0</v>
      </c>
      <c r="BC69" s="2313">
        <f t="shared" si="648"/>
        <v>0</v>
      </c>
      <c r="BD69" s="2314">
        <f t="shared" ref="BD69" si="649">IF(BD59&gt;$J$70,$J$69,IF(BD59&lt;$J$70,(IF(BD59&lt;0,0,BD59*$K$69))))</f>
        <v>0</v>
      </c>
      <c r="BE69" s="1814"/>
      <c r="BF69" s="2445">
        <f t="shared" si="487"/>
        <v>0</v>
      </c>
      <c r="BG69" s="2650">
        <f>$J$69*0</f>
        <v>0</v>
      </c>
      <c r="BH69" s="2651">
        <f t="shared" si="488"/>
        <v>0</v>
      </c>
      <c r="BI69" s="1814"/>
      <c r="BJ69" s="2193">
        <f t="shared" ref="BJ69:BK69" si="650">IF(BJ59&gt;$J$70,$J$69,IF(BJ59&lt;$J$70,(IF(BJ59&lt;0,0,BJ59*$K$69))))</f>
        <v>0</v>
      </c>
      <c r="BK69" s="2313">
        <f t="shared" si="650"/>
        <v>0</v>
      </c>
      <c r="BL69" s="2314">
        <f t="shared" ref="BL69" si="651">IF(BL59&gt;$J$70,$J$69,IF(BL59&lt;$J$70,(IF(BL59&lt;0,0,BL59*$K$69))))</f>
        <v>0</v>
      </c>
      <c r="BM69" s="1814"/>
      <c r="BN69" s="2445">
        <f t="shared" si="517"/>
        <v>0</v>
      </c>
      <c r="BO69" s="2650">
        <f>$J$69*0</f>
        <v>0</v>
      </c>
      <c r="BP69" s="2651">
        <f t="shared" si="491"/>
        <v>0</v>
      </c>
      <c r="BR69" s="2193"/>
      <c r="BS69" s="2654"/>
      <c r="BT69" s="1740"/>
      <c r="BU69" s="2193">
        <f t="shared" si="492"/>
        <v>0</v>
      </c>
      <c r="BV69" s="2195" t="e">
        <f t="shared" si="493"/>
        <v>#DIV/0!</v>
      </c>
      <c r="BW69" s="2351"/>
      <c r="BX69" s="4636"/>
      <c r="CA69" s="3018"/>
      <c r="CB69" s="3018"/>
      <c r="CC69" s="1860"/>
      <c r="CD69" s="1860"/>
      <c r="CE69" s="1860"/>
      <c r="CF69" s="1860"/>
      <c r="CG69" s="1860"/>
      <c r="CH69" s="1860"/>
      <c r="CI69" s="1860"/>
    </row>
    <row r="70" spans="1:87" s="1885" customFormat="1" ht="17.25" thickBot="1" x14ac:dyDescent="0.25">
      <c r="B70" s="2697"/>
      <c r="C70" s="2698" t="s">
        <v>194</v>
      </c>
      <c r="D70" s="2119"/>
      <c r="E70" s="2183">
        <f>SUM(E61:E69)</f>
        <v>1664</v>
      </c>
      <c r="F70" s="2311">
        <f>SUM(F48:F69)</f>
        <v>153.15</v>
      </c>
      <c r="G70" s="2311">
        <f>SUM(G48:G69)</f>
        <v>102.10000000000001</v>
      </c>
      <c r="H70" s="2311">
        <f>SUM(H48:H69)</f>
        <v>76.575000000000003</v>
      </c>
      <c r="I70" s="2311">
        <f>SUM(I48:I69)</f>
        <v>61.260000000000005</v>
      </c>
      <c r="J70" s="2311">
        <f>SUM(J61:J69)</f>
        <v>61.629629629629633</v>
      </c>
      <c r="K70" s="2699">
        <f>SUM(K61:K69)</f>
        <v>1</v>
      </c>
      <c r="L70" s="2003"/>
      <c r="M70" s="1950"/>
      <c r="N70" s="2120">
        <f t="shared" ref="N70" si="652">SUM(N61:N69)</f>
        <v>11.369000000000007</v>
      </c>
      <c r="O70" s="2123">
        <f t="shared" ref="O70:P70" si="653">SUM(O61:O69)</f>
        <v>27.129500000000018</v>
      </c>
      <c r="P70" s="2123">
        <f t="shared" si="653"/>
        <v>59.476999999999997</v>
      </c>
      <c r="Q70" s="2123">
        <f t="shared" ref="Q70:R70" si="654">SUM(Q61:Q69)</f>
        <v>34.122500000000009</v>
      </c>
      <c r="R70" s="2123">
        <f t="shared" si="654"/>
        <v>9.151500000000004</v>
      </c>
      <c r="S70" s="2123">
        <f t="shared" ref="S70" si="655">SUM(S61:S69)</f>
        <v>0</v>
      </c>
      <c r="T70" s="2124">
        <f t="shared" ref="T70" si="656">SUM(T61:T69)</f>
        <v>27.482000000000006</v>
      </c>
      <c r="U70" s="1951"/>
      <c r="V70" s="2120">
        <f>SUM(V61:V69)</f>
        <v>168.73150000000007</v>
      </c>
      <c r="W70" s="2123">
        <f>SUM(W61:W69)</f>
        <v>0</v>
      </c>
      <c r="X70" s="2125">
        <f>SUM(X61:X69)</f>
        <v>168.73150000000007</v>
      </c>
      <c r="Y70" s="1956"/>
      <c r="Z70" s="2120">
        <f t="shared" ref="Z70:AA70" si="657">SUM(Z61:Z69)</f>
        <v>0</v>
      </c>
      <c r="AA70" s="2123">
        <f t="shared" si="657"/>
        <v>23.529500000000006</v>
      </c>
      <c r="AB70" s="2123">
        <f t="shared" ref="AB70:AC70" si="658">SUM(AB61:AB69)</f>
        <v>14.99800000000001</v>
      </c>
      <c r="AC70" s="2123">
        <f t="shared" si="658"/>
        <v>13.056500000000005</v>
      </c>
      <c r="AD70" s="2123">
        <f t="shared" ref="AD70:AE70" si="659">SUM(AD61:AD69)</f>
        <v>1.964000000000004</v>
      </c>
      <c r="AE70" s="2123">
        <f t="shared" si="659"/>
        <v>0</v>
      </c>
      <c r="AF70" s="2124">
        <f t="shared" ref="AF70" si="660">SUM(AF61:AF69)</f>
        <v>27.465500000000016</v>
      </c>
      <c r="AG70" s="1956"/>
      <c r="AH70" s="2120">
        <f>SUM(Z70:AF70)</f>
        <v>81.01350000000005</v>
      </c>
      <c r="AI70" s="2123">
        <f>SUM(AI61:AI69)</f>
        <v>0</v>
      </c>
      <c r="AJ70" s="2125">
        <f>SUM(AJ48:AJ69)</f>
        <v>205.64312962962964</v>
      </c>
      <c r="AK70" s="1956"/>
      <c r="AL70" s="2120">
        <f t="shared" ref="AL70" si="661">SUM(AL61:AL69)</f>
        <v>61.629629629629633</v>
      </c>
      <c r="AM70" s="2121">
        <f t="shared" ref="AM70:AN70" si="662">SUM(AM61:AM69)</f>
        <v>61.629629629629633</v>
      </c>
      <c r="AN70" s="2121">
        <f t="shared" si="662"/>
        <v>61.629629629629633</v>
      </c>
      <c r="AO70" s="2121">
        <f t="shared" ref="AO70:AP70" si="663">SUM(AO61:AO69)</f>
        <v>54.873000000000012</v>
      </c>
      <c r="AP70" s="2121">
        <f t="shared" si="663"/>
        <v>27.014500000000005</v>
      </c>
      <c r="AQ70" s="2121">
        <f t="shared" ref="AQ70" si="664">SUM(AQ61:AQ69)</f>
        <v>53.389499999999991</v>
      </c>
      <c r="AR70" s="2124">
        <f t="shared" ref="AR70" si="665">SUM(AR61:AR69)</f>
        <v>0</v>
      </c>
      <c r="AS70" s="1951"/>
      <c r="AT70" s="2120">
        <f>SUM(AL70:AR70)</f>
        <v>320.16588888888896</v>
      </c>
      <c r="AU70" s="2123">
        <f>SUM(AU61:AU69)</f>
        <v>0</v>
      </c>
      <c r="AV70" s="2125">
        <f>SUM(AV48:AV69)</f>
        <v>469.72144444444439</v>
      </c>
      <c r="AW70" s="1951"/>
      <c r="AX70" s="2120">
        <f t="shared" ref="AX70:BA70" si="666">SUM(AX61:AX69)</f>
        <v>0</v>
      </c>
      <c r="AY70" s="2121">
        <f t="shared" si="666"/>
        <v>0</v>
      </c>
      <c r="AZ70" s="2121">
        <f t="shared" si="666"/>
        <v>0</v>
      </c>
      <c r="BA70" s="2121">
        <f t="shared" si="666"/>
        <v>0</v>
      </c>
      <c r="BB70" s="2121">
        <f t="shared" ref="BB70:BC70" si="667">SUM(BB61:BB69)</f>
        <v>61.629629629629633</v>
      </c>
      <c r="BC70" s="2121">
        <f t="shared" si="667"/>
        <v>35.103500000000004</v>
      </c>
      <c r="BD70" s="2124">
        <f t="shared" ref="BD70" si="668">SUM(BD61:BD69)</f>
        <v>0</v>
      </c>
      <c r="BE70" s="1951"/>
      <c r="BF70" s="2187">
        <f>SUM(AX70:BD70)</f>
        <v>96.733129629629644</v>
      </c>
      <c r="BG70" s="2701">
        <f>SUM(BG61:BG69)</f>
        <v>0</v>
      </c>
      <c r="BH70" s="2702">
        <f>SUM(BH48:BH69)</f>
        <v>186.14483333333334</v>
      </c>
      <c r="BI70" s="1951"/>
      <c r="BJ70" s="2120">
        <f t="shared" ref="BJ70:BK70" si="669">SUM(BJ61:BJ69)</f>
        <v>0</v>
      </c>
      <c r="BK70" s="2121">
        <f t="shared" si="669"/>
        <v>0</v>
      </c>
      <c r="BL70" s="2124">
        <f t="shared" ref="BL70" si="670">SUM(BL61:BL69)</f>
        <v>30.882777777777772</v>
      </c>
      <c r="BM70" s="1951"/>
      <c r="BN70" s="2187">
        <f>SUM(BJ70:BL70)</f>
        <v>30.882777777777772</v>
      </c>
      <c r="BO70" s="2701">
        <f>SUM(BO48:BO69)</f>
        <v>0</v>
      </c>
      <c r="BP70" s="2702">
        <f>SUM(BP48:BP69)</f>
        <v>79.492555555555555</v>
      </c>
      <c r="BR70" s="2187">
        <f>X70+AJ70+AV70</f>
        <v>844.09607407407407</v>
      </c>
      <c r="BS70" s="2427"/>
      <c r="BT70" s="1900"/>
      <c r="BU70" s="2187">
        <f>SUM(BU61:BU69)</f>
        <v>697.52679629629642</v>
      </c>
      <c r="BV70" s="2189">
        <f t="shared" si="493"/>
        <v>0.41918677662037046</v>
      </c>
      <c r="BW70" s="2353"/>
      <c r="BX70" s="4637"/>
      <c r="CA70" s="3015"/>
      <c r="CB70" s="1946"/>
      <c r="CC70" s="1946"/>
      <c r="CD70" s="1946"/>
      <c r="CE70" s="1946"/>
      <c r="CF70" s="1946"/>
      <c r="CG70" s="1946"/>
      <c r="CH70" s="1946"/>
      <c r="CI70" s="1946"/>
    </row>
    <row r="71" spans="1:87" s="1860" customFormat="1" ht="4.5" customHeight="1" x14ac:dyDescent="0.2">
      <c r="B71" s="2196"/>
      <c r="C71" s="2196"/>
      <c r="D71" s="1861"/>
      <c r="E71" s="2197"/>
      <c r="F71" s="2197"/>
      <c r="G71" s="2197"/>
      <c r="H71" s="2197"/>
      <c r="I71" s="2197"/>
      <c r="J71" s="2197"/>
      <c r="K71" s="2198"/>
      <c r="L71" s="1760"/>
      <c r="M71" s="3018"/>
      <c r="N71" s="2197"/>
      <c r="O71" s="2197"/>
      <c r="P71" s="2197"/>
      <c r="Q71" s="2197"/>
      <c r="R71" s="2197"/>
      <c r="S71" s="2197"/>
      <c r="T71" s="2197"/>
      <c r="U71" s="3019"/>
      <c r="V71" s="3019"/>
      <c r="W71" s="3019"/>
      <c r="X71" s="3019"/>
      <c r="Y71" s="1862"/>
      <c r="Z71" s="2199"/>
      <c r="AA71" s="2199"/>
      <c r="AB71" s="2199"/>
      <c r="AC71" s="2199"/>
      <c r="AD71" s="2199"/>
      <c r="AE71" s="2199"/>
      <c r="AF71" s="2199"/>
      <c r="AG71" s="1862"/>
      <c r="AH71" s="3019"/>
      <c r="AI71" s="3019"/>
      <c r="AJ71" s="3019"/>
      <c r="AK71" s="1862"/>
      <c r="AL71" s="2197"/>
      <c r="AM71" s="2197"/>
      <c r="AN71" s="2197"/>
      <c r="AO71" s="2197"/>
      <c r="AP71" s="2197"/>
      <c r="AQ71" s="2197"/>
      <c r="AR71" s="2197"/>
      <c r="AS71" s="3019"/>
      <c r="AT71" s="3019"/>
      <c r="AU71" s="3019"/>
      <c r="AV71" s="3019"/>
      <c r="AW71" s="3019"/>
      <c r="AX71" s="2197"/>
      <c r="AY71" s="2197"/>
      <c r="AZ71" s="2197"/>
      <c r="BA71" s="2197"/>
      <c r="BB71" s="2197"/>
      <c r="BC71" s="2197"/>
      <c r="BD71" s="2197"/>
      <c r="BE71" s="3019"/>
      <c r="BF71" s="3019"/>
      <c r="BG71" s="3019"/>
      <c r="BH71" s="3019"/>
      <c r="BI71" s="3019"/>
      <c r="BJ71" s="2197"/>
      <c r="BK71" s="2197"/>
      <c r="BL71" s="2197"/>
      <c r="BM71" s="3019"/>
      <c r="BN71" s="3019"/>
      <c r="BO71" s="3019"/>
      <c r="BP71" s="3019"/>
      <c r="BR71" s="2197"/>
      <c r="BS71" s="2200"/>
      <c r="BT71" s="1861"/>
      <c r="BU71" s="2197"/>
      <c r="BV71" s="2198"/>
      <c r="BW71" s="1997"/>
      <c r="BX71" s="3018"/>
    </row>
    <row r="72" spans="1:87" s="1860" customFormat="1" ht="15.75" customHeight="1" x14ac:dyDescent="0.2">
      <c r="B72" s="2196"/>
      <c r="C72" s="2197"/>
      <c r="D72" s="1861"/>
      <c r="E72" s="1732">
        <f>E57+E70</f>
        <v>2000.5</v>
      </c>
      <c r="F72" s="1732">
        <f t="shared" ref="F72:I72" si="671">F57+F70</f>
        <v>153.15</v>
      </c>
      <c r="G72" s="1732">
        <f t="shared" si="671"/>
        <v>102.10000000000001</v>
      </c>
      <c r="H72" s="1732">
        <f t="shared" si="671"/>
        <v>76.575000000000003</v>
      </c>
      <c r="I72" s="1732">
        <f t="shared" si="671"/>
        <v>61.260000000000005</v>
      </c>
      <c r="J72" s="1732">
        <f>J57+J70</f>
        <v>74.092592592592595</v>
      </c>
      <c r="K72" s="1882">
        <f>E72/E91</f>
        <v>0.39258590576368307</v>
      </c>
      <c r="L72" s="1760"/>
      <c r="M72" s="3018"/>
      <c r="N72" s="1732">
        <f t="shared" ref="N72:S72" si="672">N59-N70</f>
        <v>0</v>
      </c>
      <c r="O72" s="1732">
        <f t="shared" si="672"/>
        <v>0</v>
      </c>
      <c r="P72" s="1732">
        <f t="shared" si="672"/>
        <v>0</v>
      </c>
      <c r="Q72" s="1732">
        <f t="shared" si="672"/>
        <v>0</v>
      </c>
      <c r="R72" s="1732">
        <f t="shared" si="672"/>
        <v>0</v>
      </c>
      <c r="S72" s="1732">
        <f t="shared" si="672"/>
        <v>-7.8025370370370268</v>
      </c>
      <c r="T72" s="1732">
        <f t="shared" ref="T72" si="673">T59-T70</f>
        <v>0</v>
      </c>
      <c r="U72" s="3019"/>
      <c r="V72" s="3019"/>
      <c r="W72" s="3019"/>
      <c r="X72" s="3019"/>
      <c r="Y72" s="1862"/>
      <c r="Z72" s="1732">
        <f t="shared" ref="Z72:AA72" si="674">Z59-Z70</f>
        <v>-4.834037037037028</v>
      </c>
      <c r="AA72" s="1732">
        <f t="shared" si="674"/>
        <v>0</v>
      </c>
      <c r="AB72" s="1732">
        <f t="shared" ref="AB72:AC72" si="675">AB59-AB70</f>
        <v>0</v>
      </c>
      <c r="AC72" s="1732">
        <f t="shared" si="675"/>
        <v>0</v>
      </c>
      <c r="AD72" s="1732">
        <f t="shared" ref="AD72:AE72" si="676">AD59-AD70</f>
        <v>0</v>
      </c>
      <c r="AE72" s="1732">
        <f t="shared" si="676"/>
        <v>-18.576537037037028</v>
      </c>
      <c r="AF72" s="1732">
        <f t="shared" ref="AF72" si="677">AF59-AF70</f>
        <v>0</v>
      </c>
      <c r="AG72" s="1862"/>
      <c r="AH72" s="3019"/>
      <c r="AI72" s="3019"/>
      <c r="AJ72" s="3019"/>
      <c r="AK72" s="1862"/>
      <c r="AL72" s="1732">
        <f t="shared" ref="AL72" si="678">AL59-AL70</f>
        <v>76.559870370370376</v>
      </c>
      <c r="AM72" s="1732">
        <f t="shared" ref="AM72:AN72" si="679">AM59-AM70</f>
        <v>72.396870370370394</v>
      </c>
      <c r="AN72" s="1732">
        <f t="shared" si="679"/>
        <v>107.60937037037037</v>
      </c>
      <c r="AO72" s="1732">
        <f t="shared" ref="AO72:AP72" si="680">AO59-AO70</f>
        <v>0</v>
      </c>
      <c r="AP72" s="1732">
        <f t="shared" si="680"/>
        <v>0</v>
      </c>
      <c r="AQ72" s="1732">
        <f t="shared" ref="AQ72" si="681">AQ59-AQ70</f>
        <v>0</v>
      </c>
      <c r="AR72" s="1732">
        <f t="shared" ref="AR72" si="682">AR59-AR70</f>
        <v>0</v>
      </c>
      <c r="AS72" s="3019"/>
      <c r="AT72" s="3019"/>
      <c r="AU72" s="3019"/>
      <c r="AV72" s="3019"/>
      <c r="AW72" s="3019"/>
      <c r="AX72" s="1732">
        <f t="shared" ref="AX72:BA72" si="683">AX59-AX70</f>
        <v>0</v>
      </c>
      <c r="AY72" s="1732">
        <f t="shared" si="683"/>
        <v>0</v>
      </c>
      <c r="AZ72" s="1732">
        <f t="shared" si="683"/>
        <v>0</v>
      </c>
      <c r="BA72" s="1732">
        <f t="shared" si="683"/>
        <v>0</v>
      </c>
      <c r="BB72" s="1732">
        <f t="shared" ref="BB72:BC72" si="684">BB59-BB70</f>
        <v>49.646870370370394</v>
      </c>
      <c r="BC72" s="1732">
        <f t="shared" si="684"/>
        <v>0</v>
      </c>
      <c r="BD72" s="1732">
        <f t="shared" ref="BD72" si="685">BD59-BD70</f>
        <v>0</v>
      </c>
      <c r="BE72" s="3019"/>
      <c r="BF72" s="3019"/>
      <c r="BG72" s="3019"/>
      <c r="BH72" s="3019"/>
      <c r="BI72" s="3019"/>
      <c r="BJ72" s="1732">
        <f t="shared" ref="BJ72:BK72" si="686">BJ59-BJ70</f>
        <v>0</v>
      </c>
      <c r="BK72" s="1732">
        <f t="shared" si="686"/>
        <v>0</v>
      </c>
      <c r="BL72" s="1732">
        <f t="shared" ref="BL72" si="687">BL59-BL70</f>
        <v>0</v>
      </c>
      <c r="BM72" s="3019"/>
      <c r="BN72" s="3019"/>
      <c r="BO72" s="3019"/>
      <c r="BP72" s="3019"/>
      <c r="BR72" s="1732"/>
      <c r="BS72" s="2211"/>
      <c r="BT72" s="1861"/>
      <c r="BU72" s="1732"/>
      <c r="BV72" s="1882"/>
      <c r="BW72" s="1997"/>
      <c r="BX72" s="3018"/>
    </row>
    <row r="73" spans="1:87" s="1860" customFormat="1" ht="4.5" customHeight="1" thickBot="1" x14ac:dyDescent="0.25">
      <c r="B73" s="2196"/>
      <c r="C73" s="2196"/>
      <c r="D73" s="1861"/>
      <c r="E73" s="2197"/>
      <c r="F73" s="2197"/>
      <c r="G73" s="2197"/>
      <c r="H73" s="2197"/>
      <c r="I73" s="2197"/>
      <c r="J73" s="2197"/>
      <c r="K73" s="2198"/>
      <c r="L73" s="1760"/>
      <c r="M73" s="3018"/>
      <c r="N73" s="3019"/>
      <c r="O73" s="3019"/>
      <c r="P73" s="3047"/>
      <c r="Q73" s="3061"/>
      <c r="R73" s="3064"/>
      <c r="S73" s="3067"/>
      <c r="T73" s="3019"/>
      <c r="U73" s="3019"/>
      <c r="V73" s="3019"/>
      <c r="W73" s="3019"/>
      <c r="X73" s="3019"/>
      <c r="Y73" s="1862"/>
      <c r="Z73" s="2232"/>
      <c r="AA73" s="2232"/>
      <c r="AB73" s="2232"/>
      <c r="AC73" s="2232"/>
      <c r="AD73" s="2232"/>
      <c r="AE73" s="2232"/>
      <c r="AF73" s="2232"/>
      <c r="AG73" s="1862"/>
      <c r="AH73" s="3019"/>
      <c r="AI73" s="3019"/>
      <c r="AJ73" s="3019"/>
      <c r="AK73" s="1862"/>
      <c r="AL73" s="2232"/>
      <c r="AM73" s="2232"/>
      <c r="AN73" s="2232"/>
      <c r="AO73" s="2232"/>
      <c r="AP73" s="2232"/>
      <c r="AQ73" s="2232"/>
      <c r="AR73" s="2232"/>
      <c r="AS73" s="3019"/>
      <c r="AT73" s="3019"/>
      <c r="AU73" s="3019"/>
      <c r="AV73" s="3019"/>
      <c r="AW73" s="3019"/>
      <c r="AX73" s="2232"/>
      <c r="AY73" s="2232"/>
      <c r="AZ73" s="2232"/>
      <c r="BA73" s="2232"/>
      <c r="BB73" s="2232"/>
      <c r="BC73" s="2232"/>
      <c r="BD73" s="2232"/>
      <c r="BE73" s="3019"/>
      <c r="BF73" s="3019"/>
      <c r="BG73" s="3019"/>
      <c r="BH73" s="3019"/>
      <c r="BI73" s="3019"/>
      <c r="BJ73" s="2199"/>
      <c r="BK73" s="2199"/>
      <c r="BL73" s="2199"/>
      <c r="BM73" s="3019"/>
      <c r="BN73" s="3019"/>
      <c r="BO73" s="3019"/>
      <c r="BP73" s="3019"/>
      <c r="BR73" s="2199"/>
      <c r="BS73" s="2203"/>
      <c r="BT73" s="1861"/>
      <c r="BU73" s="2199"/>
      <c r="BV73" s="2204"/>
      <c r="BW73" s="1997"/>
      <c r="BX73" s="3018"/>
    </row>
    <row r="74" spans="1:87" s="1885" customFormat="1" ht="17.25" thickBot="1" x14ac:dyDescent="0.25">
      <c r="B74" s="2401"/>
      <c r="C74" s="2401" t="s">
        <v>151</v>
      </c>
      <c r="D74" s="2402"/>
      <c r="E74" s="1898">
        <f>(E70+E57)*100/20</f>
        <v>10002.5</v>
      </c>
      <c r="F74" s="1898" t="e">
        <f>#REF!+F70</f>
        <v>#REF!</v>
      </c>
      <c r="G74" s="1898" t="e">
        <f>#REF!+G70</f>
        <v>#REF!</v>
      </c>
      <c r="H74" s="1898" t="e">
        <f>#REF!+H70</f>
        <v>#REF!</v>
      </c>
      <c r="I74" s="1898" t="e">
        <f>#REF!+I70</f>
        <v>#REF!</v>
      </c>
      <c r="J74" s="1898">
        <f>(J70+J57)*100/20</f>
        <v>370.46296296296293</v>
      </c>
      <c r="K74" s="1899">
        <f>E74/E89</f>
        <v>0.39258590576368313</v>
      </c>
      <c r="L74" s="1949"/>
      <c r="M74" s="3015"/>
      <c r="N74" s="3013"/>
      <c r="O74" s="3013"/>
      <c r="P74" s="3046"/>
      <c r="Q74" s="3060"/>
      <c r="R74" s="3063"/>
      <c r="S74" s="3066"/>
      <c r="T74" s="3013"/>
      <c r="U74" s="3016"/>
      <c r="V74" s="2319"/>
      <c r="W74" s="2321"/>
      <c r="X74" s="2433"/>
      <c r="Y74" s="1897"/>
      <c r="Z74" s="3013"/>
      <c r="AA74" s="3013"/>
      <c r="AB74" s="3078"/>
      <c r="AC74" s="3083"/>
      <c r="AD74" s="3089"/>
      <c r="AE74" s="3094"/>
      <c r="AF74" s="3013"/>
      <c r="AG74" s="1896"/>
      <c r="AH74" s="2319"/>
      <c r="AI74" s="2321"/>
      <c r="AJ74" s="2433"/>
      <c r="AK74" s="1897"/>
      <c r="AL74" s="3013"/>
      <c r="AM74" s="3013"/>
      <c r="AN74" s="3106"/>
      <c r="AO74" s="3114"/>
      <c r="AP74" s="3117"/>
      <c r="AQ74" s="3013"/>
      <c r="AR74" s="3013"/>
      <c r="AS74" s="2295"/>
      <c r="AT74" s="2319"/>
      <c r="AU74" s="2321"/>
      <c r="AV74" s="2433"/>
      <c r="AW74" s="3016"/>
      <c r="AX74" s="3013"/>
      <c r="AY74" s="3013"/>
      <c r="AZ74" s="3013"/>
      <c r="BA74" s="3013"/>
      <c r="BB74" s="3120"/>
      <c r="BC74" s="3120"/>
      <c r="BD74" s="3013"/>
      <c r="BE74" s="2295"/>
      <c r="BF74" s="2319">
        <f t="shared" ref="BF74:BF75" si="688">SUM(AX74:BD74)</f>
        <v>0</v>
      </c>
      <c r="BG74" s="2321"/>
      <c r="BH74" s="2433"/>
      <c r="BI74" s="3016"/>
      <c r="BJ74" s="1898"/>
      <c r="BK74" s="1898"/>
      <c r="BL74" s="1898"/>
      <c r="BM74" s="3016"/>
      <c r="BN74" s="2319">
        <f>SUM(BJ74:BL74)</f>
        <v>0</v>
      </c>
      <c r="BO74" s="2321"/>
      <c r="BP74" s="2433"/>
      <c r="BR74" s="1898"/>
      <c r="BS74" s="2202"/>
      <c r="BT74" s="1900"/>
      <c r="BU74" s="1898"/>
      <c r="BV74" s="1899"/>
      <c r="BW74" s="2010"/>
      <c r="BX74" s="3015"/>
    </row>
    <row r="75" spans="1:87" s="1726" customFormat="1" ht="17.25" thickBot="1" x14ac:dyDescent="0.25">
      <c r="B75" s="2049"/>
      <c r="C75" s="2050" t="s">
        <v>149</v>
      </c>
      <c r="D75" s="2051"/>
      <c r="E75" s="2052"/>
      <c r="F75" s="2053"/>
      <c r="G75" s="2053"/>
      <c r="H75" s="2053"/>
      <c r="I75" s="2053"/>
      <c r="J75" s="2053"/>
      <c r="K75" s="2253"/>
      <c r="L75" s="2216"/>
      <c r="M75" s="2055"/>
      <c r="N75" s="2056">
        <f t="shared" ref="N75:T75" si="689">IF(N72&gt;$J$72,N72,IF(N72&lt;$J$72,(IF(N72&lt;0,-74.093,N59-$J$70))))</f>
        <v>-50.260629629629626</v>
      </c>
      <c r="O75" s="2053">
        <f t="shared" si="689"/>
        <v>-34.500129629629619</v>
      </c>
      <c r="P75" s="2053">
        <f t="shared" si="689"/>
        <v>-2.1526296296296294</v>
      </c>
      <c r="Q75" s="2053">
        <f t="shared" si="689"/>
        <v>-27.507129629629624</v>
      </c>
      <c r="R75" s="2053">
        <f t="shared" si="689"/>
        <v>-52.478129629629628</v>
      </c>
      <c r="S75" s="2053">
        <f t="shared" si="689"/>
        <v>-74.093000000000004</v>
      </c>
      <c r="T75" s="2057">
        <f t="shared" si="689"/>
        <v>-34.147629629629627</v>
      </c>
      <c r="U75" s="1814"/>
      <c r="V75" s="2056">
        <f>SUM(N75:T75)</f>
        <v>-275.13927777777775</v>
      </c>
      <c r="W75" s="2052"/>
      <c r="X75" s="2057"/>
      <c r="Y75" s="1766"/>
      <c r="Z75" s="2056">
        <f t="shared" ref="Z75:AF75" si="690">IF(Z72&gt;$J$72,Z72,IF(Z72&lt;$J$72,(IF(Z72&lt;0,-74.093,Z59-$J$70))))</f>
        <v>-74.093000000000004</v>
      </c>
      <c r="AA75" s="2053">
        <f t="shared" si="690"/>
        <v>-38.100129629629627</v>
      </c>
      <c r="AB75" s="2053">
        <f t="shared" si="690"/>
        <v>-46.631629629629622</v>
      </c>
      <c r="AC75" s="2053">
        <f t="shared" si="690"/>
        <v>-48.573129629629626</v>
      </c>
      <c r="AD75" s="2053">
        <f>IF(AD72&gt;$J$72,AD72,IF(AD72&lt;$J$72,(IF(AD72&lt;0,-74.093,AD59-$J$70))))</f>
        <v>-59.665629629629628</v>
      </c>
      <c r="AE75" s="2053">
        <f t="shared" si="690"/>
        <v>-74.093000000000004</v>
      </c>
      <c r="AF75" s="2053">
        <f t="shared" si="690"/>
        <v>-34.16412962962962</v>
      </c>
      <c r="AG75" s="1766"/>
      <c r="AH75" s="2056">
        <f>SUM(Z75:AF75)</f>
        <v>-375.32064814814811</v>
      </c>
      <c r="AI75" s="2052"/>
      <c r="AJ75" s="2057"/>
      <c r="AK75" s="1764"/>
      <c r="AL75" s="2056">
        <f t="shared" ref="AL75:AQ75" si="691">IF(AL72&gt;$J$72,AL72,IF(AL72&lt;$J$72,(IF(AL72&lt;0,-74.093,AL59-$J$70))))</f>
        <v>76.559870370370376</v>
      </c>
      <c r="AM75" s="2053">
        <f t="shared" si="691"/>
        <v>72.396870370370394</v>
      </c>
      <c r="AN75" s="2053">
        <f t="shared" si="691"/>
        <v>107.60937037037037</v>
      </c>
      <c r="AO75" s="2053">
        <f t="shared" si="691"/>
        <v>-6.7566296296296144</v>
      </c>
      <c r="AP75" s="2053">
        <f t="shared" si="691"/>
        <v>-34.615129629629628</v>
      </c>
      <c r="AQ75" s="2053">
        <f t="shared" si="691"/>
        <v>-8.2401296296296351</v>
      </c>
      <c r="AR75" s="2057"/>
      <c r="AS75" s="2300"/>
      <c r="AT75" s="2056">
        <f t="shared" ref="AT75" si="692">SUM(AL75:AR75)</f>
        <v>206.95422222222226</v>
      </c>
      <c r="AU75" s="2052"/>
      <c r="AV75" s="2057"/>
      <c r="AW75" s="1814"/>
      <c r="AX75" s="2056"/>
      <c r="AY75" s="2053"/>
      <c r="AZ75" s="2053"/>
      <c r="BA75" s="2053">
        <f>IF(BA72&gt;$J$72,BA72,IF(BA72&lt;$J$72,(IF(BA72&lt;0,-74.093,BA59-$J$70))))</f>
        <v>-61.629629629629633</v>
      </c>
      <c r="BB75" s="2053">
        <f>IF(BB72&gt;$J$72,BB72,IF(BB72&lt;$J$72,(IF(BB72&lt;0,-74.093,BB59-$J$70))))</f>
        <v>49.646870370370394</v>
      </c>
      <c r="BC75" s="2053">
        <f>IF(BC72&gt;$J$72,BC72,IF(BC72&lt;$J$72,(IF(BC72&lt;0,-74.093,BC59-$J$70))))</f>
        <v>-26.526129629629629</v>
      </c>
      <c r="BD75" s="2057">
        <f>IF(BD72&gt;$J$72,BD72,IF(BD72&lt;$J$72,(IF(BD72&lt;0,-74.093,BD59-$J$70))))</f>
        <v>-61.629629629629633</v>
      </c>
      <c r="BE75" s="1814"/>
      <c r="BF75" s="2056">
        <f t="shared" si="688"/>
        <v>-100.13851851851851</v>
      </c>
      <c r="BG75" s="2052"/>
      <c r="BH75" s="2057"/>
      <c r="BI75" s="1740"/>
      <c r="BJ75" s="2056">
        <f>IF(BJ72&gt;$J$72,BJ72,IF(BJ72&lt;$J$72,(IF(BJ72&lt;0,-74.093,BJ59-$J$70))))</f>
        <v>-61.629629629629633</v>
      </c>
      <c r="BK75" s="2053">
        <f>IF(BK72&gt;$J$72,BK72,IF(BK72&lt;$J$72,(IF(BK72&lt;0,-74.093,BK59-$J$70))))</f>
        <v>-61.629629629629633</v>
      </c>
      <c r="BL75" s="2057">
        <f>IF(BL72&gt;$J$72,BL72,IF(BL72&lt;$J$72,(IF(BL72&lt;0,-74.093,BL59-$J$70))))</f>
        <v>-30.746851851851858</v>
      </c>
      <c r="BM75" s="2301"/>
      <c r="BN75" s="2058">
        <f>SUM(BJ75:BL75)</f>
        <v>-154.00611111111112</v>
      </c>
      <c r="BO75" s="2324"/>
      <c r="BP75" s="2190"/>
      <c r="BQ75" s="1862"/>
      <c r="BR75" s="2058">
        <f>SUM(N75:T75)+SUM(Z75:AF75)+SUM(AL75:AR75)+SUM(AX75:BD75)+SUM(BL75:BL75)</f>
        <v>-574.39107407407391</v>
      </c>
      <c r="BS75" s="2054"/>
      <c r="BT75" s="1740"/>
      <c r="BU75" s="1740"/>
      <c r="BV75" s="1740"/>
      <c r="BW75" s="1861"/>
    </row>
    <row r="76" spans="1:87" s="1756" customFormat="1" ht="17.25" thickBot="1" x14ac:dyDescent="0.25">
      <c r="B76" s="1817"/>
      <c r="C76" s="1817"/>
      <c r="D76" s="1817"/>
      <c r="E76" s="1814"/>
      <c r="F76" s="1814"/>
      <c r="G76" s="1814"/>
      <c r="H76" s="1814"/>
      <c r="I76" s="1814"/>
      <c r="J76" s="1814"/>
      <c r="K76" s="1818"/>
      <c r="L76" s="2216"/>
      <c r="M76" s="2055"/>
      <c r="N76" s="1814"/>
      <c r="O76" s="1814"/>
      <c r="P76" s="1814"/>
      <c r="Q76" s="1814"/>
      <c r="R76" s="1814"/>
      <c r="S76" s="1814"/>
      <c r="T76" s="1814"/>
      <c r="U76" s="1814"/>
      <c r="V76" s="1814"/>
      <c r="W76" s="1814"/>
      <c r="X76" s="1814"/>
      <c r="Y76" s="1766"/>
      <c r="Z76" s="1814"/>
      <c r="AA76" s="1814"/>
      <c r="AB76" s="1814"/>
      <c r="AC76" s="1814"/>
      <c r="AD76" s="1814"/>
      <c r="AE76" s="1814"/>
      <c r="AF76" s="1814"/>
      <c r="AG76" s="1766"/>
      <c r="AH76" s="1814"/>
      <c r="AI76" s="1814"/>
      <c r="AJ76" s="1814"/>
      <c r="AK76" s="1766"/>
      <c r="AL76" s="1814"/>
      <c r="AM76" s="1814"/>
      <c r="AN76" s="1814"/>
      <c r="AO76" s="1814"/>
      <c r="AP76" s="1814"/>
      <c r="AQ76" s="1814"/>
      <c r="AR76" s="1814"/>
      <c r="AS76" s="1814"/>
      <c r="AT76" s="1814"/>
      <c r="AU76" s="1814"/>
      <c r="AV76" s="1814"/>
      <c r="AW76" s="1814"/>
      <c r="AX76" s="1814"/>
      <c r="AY76" s="1814"/>
      <c r="AZ76" s="1814"/>
      <c r="BA76" s="1814"/>
      <c r="BB76" s="1814"/>
      <c r="BC76" s="1814"/>
      <c r="BD76" s="1814"/>
      <c r="BE76" s="1814"/>
      <c r="BF76" s="1814"/>
      <c r="BG76" s="1814"/>
      <c r="BH76" s="1814"/>
      <c r="BI76" s="1814"/>
      <c r="BJ76" s="1814"/>
      <c r="BK76" s="1814"/>
      <c r="BL76" s="1814"/>
      <c r="BM76" s="1814"/>
      <c r="BN76" s="1814"/>
      <c r="BO76" s="1814"/>
      <c r="BP76" s="1814"/>
      <c r="BQ76" s="1766"/>
      <c r="BR76" s="1814"/>
      <c r="BS76" s="1830"/>
      <c r="BT76" s="3014"/>
      <c r="BU76" s="3014"/>
      <c r="BV76" s="3014"/>
      <c r="BW76" s="1817"/>
    </row>
    <row r="77" spans="1:87" s="1947" customFormat="1" x14ac:dyDescent="0.2">
      <c r="A77" s="2217"/>
      <c r="B77" s="2218">
        <v>56</v>
      </c>
      <c r="C77" s="2218" t="s">
        <v>74</v>
      </c>
      <c r="D77" s="2219"/>
      <c r="E77" s="2007">
        <v>350</v>
      </c>
      <c r="F77" s="2007">
        <f t="shared" ref="F77:F86" si="693">E77/10</f>
        <v>35</v>
      </c>
      <c r="G77" s="2007">
        <f t="shared" ref="G77:G78" si="694">E77/15</f>
        <v>23.333333333333332</v>
      </c>
      <c r="H77" s="2007">
        <f t="shared" ref="H77:H78" si="695">E77/20</f>
        <v>17.5</v>
      </c>
      <c r="I77" s="2007">
        <f t="shared" ref="I77:I78" si="696">E77/25</f>
        <v>14</v>
      </c>
      <c r="J77" s="2007">
        <f>E77/27</f>
        <v>12.962962962962964</v>
      </c>
      <c r="K77" s="2008">
        <f>E77/E91</f>
        <v>6.8685362168102504E-2</v>
      </c>
      <c r="L77" s="1949"/>
      <c r="M77" s="1905"/>
      <c r="N77" s="2007">
        <f t="shared" ref="N77:T77" si="697">$E$77/31</f>
        <v>11.290322580645162</v>
      </c>
      <c r="O77" s="2007">
        <f t="shared" si="697"/>
        <v>11.290322580645162</v>
      </c>
      <c r="P77" s="2007">
        <f t="shared" si="697"/>
        <v>11.290322580645162</v>
      </c>
      <c r="Q77" s="2007">
        <f t="shared" si="697"/>
        <v>11.290322580645162</v>
      </c>
      <c r="R77" s="2007">
        <f t="shared" si="697"/>
        <v>11.290322580645162</v>
      </c>
      <c r="S77" s="2007">
        <f t="shared" si="697"/>
        <v>11.290322580645162</v>
      </c>
      <c r="T77" s="2007">
        <f t="shared" si="697"/>
        <v>11.290322580645162</v>
      </c>
      <c r="U77" s="1951"/>
      <c r="V77" s="2220">
        <f t="shared" si="94"/>
        <v>79.032258064516142</v>
      </c>
      <c r="W77" s="2221"/>
      <c r="X77" s="2222"/>
      <c r="Y77" s="1955"/>
      <c r="Z77" s="2223">
        <f t="shared" ref="Z77:AF77" si="698">$E$77/31</f>
        <v>11.290322580645162</v>
      </c>
      <c r="AA77" s="2223">
        <f t="shared" si="698"/>
        <v>11.290322580645162</v>
      </c>
      <c r="AB77" s="2223">
        <f t="shared" si="698"/>
        <v>11.290322580645162</v>
      </c>
      <c r="AC77" s="2223">
        <f t="shared" si="698"/>
        <v>11.290322580645162</v>
      </c>
      <c r="AD77" s="2223">
        <f t="shared" si="698"/>
        <v>11.290322580645162</v>
      </c>
      <c r="AE77" s="2223">
        <f t="shared" si="698"/>
        <v>11.290322580645162</v>
      </c>
      <c r="AF77" s="2223">
        <f t="shared" si="698"/>
        <v>11.290322580645162</v>
      </c>
      <c r="AG77" s="1955"/>
      <c r="AH77" s="2220">
        <f t="shared" ref="AH77:AH78" si="699">SUM(Z77:AF77)</f>
        <v>79.032258064516142</v>
      </c>
      <c r="AI77" s="2221"/>
      <c r="AJ77" s="2222"/>
      <c r="AK77" s="1955"/>
      <c r="AL77" s="2223">
        <f t="shared" ref="AL77:AQ77" si="700">$E$77/31</f>
        <v>11.290322580645162</v>
      </c>
      <c r="AM77" s="2223">
        <f t="shared" si="700"/>
        <v>11.290322580645162</v>
      </c>
      <c r="AN77" s="2223">
        <f t="shared" si="700"/>
        <v>11.290322580645162</v>
      </c>
      <c r="AO77" s="2223">
        <f t="shared" si="700"/>
        <v>11.290322580645162</v>
      </c>
      <c r="AP77" s="2223">
        <f t="shared" si="700"/>
        <v>11.290322580645162</v>
      </c>
      <c r="AQ77" s="2223">
        <f t="shared" si="700"/>
        <v>11.290322580645162</v>
      </c>
      <c r="AR77" s="2223"/>
      <c r="AS77" s="2299"/>
      <c r="AT77" s="2220">
        <f t="shared" ref="AT77:AT80" si="701">SUM(AL77:AR77)</f>
        <v>67.741935483870975</v>
      </c>
      <c r="AU77" s="2221"/>
      <c r="AV77" s="2222"/>
      <c r="AW77" s="2299"/>
      <c r="AX77" s="2223"/>
      <c r="AY77" s="2223"/>
      <c r="AZ77" s="2223"/>
      <c r="BA77" s="2223">
        <f>$E$77/27</f>
        <v>12.962962962962964</v>
      </c>
      <c r="BB77" s="2223">
        <f>$E$77/27</f>
        <v>12.962962962962964</v>
      </c>
      <c r="BC77" s="2223">
        <f>$E$77/27</f>
        <v>12.962962962962964</v>
      </c>
      <c r="BD77" s="2223">
        <f>$E$77/27</f>
        <v>12.962962962962964</v>
      </c>
      <c r="BE77" s="2299"/>
      <c r="BF77" s="2220">
        <f t="shared" ref="BF77:BF78" si="702">SUM(AX77:BD77)</f>
        <v>51.851851851851855</v>
      </c>
      <c r="BG77" s="2221"/>
      <c r="BH77" s="2222"/>
      <c r="BI77" s="1951"/>
      <c r="BJ77" s="2007">
        <f>$E$77/27</f>
        <v>12.962962962962964</v>
      </c>
      <c r="BK77" s="2007">
        <f>$E$77/27</f>
        <v>12.962962962962964</v>
      </c>
      <c r="BL77" s="2007">
        <f>$E$77/27</f>
        <v>12.962962962962964</v>
      </c>
      <c r="BM77" s="1951"/>
      <c r="BN77" s="2220">
        <f>SUM(BJ77:BL77)</f>
        <v>38.888888888888893</v>
      </c>
      <c r="BO77" s="2221"/>
      <c r="BP77" s="2222"/>
      <c r="BR77" s="2007">
        <f>SUM(N77:T77)+SUM(Z77:AF77)+SUM(AL77:AR77)+SUM(AX77:BD77)+SUM(BL77:BL77)</f>
        <v>290.62126642771813</v>
      </c>
      <c r="BS77" s="2008">
        <f>BR77/E77</f>
        <v>0.83034647550776608</v>
      </c>
      <c r="BT77" s="1959"/>
      <c r="BU77" s="2224"/>
      <c r="BV77" s="2225"/>
      <c r="BW77" s="2339"/>
      <c r="BX77" s="1950"/>
    </row>
    <row r="78" spans="1:87" s="1860" customFormat="1" ht="17.25" thickBot="1" x14ac:dyDescent="0.25">
      <c r="B78" s="1739"/>
      <c r="C78" s="1739" t="s">
        <v>153</v>
      </c>
      <c r="D78" s="2205"/>
      <c r="E78" s="1732">
        <f>E77*100/20</f>
        <v>1750</v>
      </c>
      <c r="F78" s="1732">
        <f t="shared" si="693"/>
        <v>175</v>
      </c>
      <c r="G78" s="1732">
        <f t="shared" si="694"/>
        <v>116.66666666666667</v>
      </c>
      <c r="H78" s="1732">
        <f t="shared" si="695"/>
        <v>87.5</v>
      </c>
      <c r="I78" s="1732">
        <f t="shared" si="696"/>
        <v>70</v>
      </c>
      <c r="J78" s="1732">
        <f>J77*100/20</f>
        <v>64.81481481481481</v>
      </c>
      <c r="K78" s="1882">
        <f>E78/E89</f>
        <v>6.8685362168102518E-2</v>
      </c>
      <c r="L78" s="1760"/>
      <c r="M78" s="3018"/>
      <c r="N78" s="1732">
        <f t="shared" ref="N78:S78" si="703">N77*100/20</f>
        <v>56.451612903225808</v>
      </c>
      <c r="O78" s="1732">
        <f t="shared" si="703"/>
        <v>56.451612903225808</v>
      </c>
      <c r="P78" s="1732">
        <f t="shared" si="703"/>
        <v>56.451612903225808</v>
      </c>
      <c r="Q78" s="1732">
        <f t="shared" si="703"/>
        <v>56.451612903225808</v>
      </c>
      <c r="R78" s="1732">
        <f t="shared" si="703"/>
        <v>56.451612903225808</v>
      </c>
      <c r="S78" s="1732">
        <f t="shared" si="703"/>
        <v>56.451612903225808</v>
      </c>
      <c r="T78" s="1732">
        <f t="shared" ref="T78" si="704">T77*100/20</f>
        <v>56.451612903225808</v>
      </c>
      <c r="U78" s="3019"/>
      <c r="V78" s="2226">
        <f t="shared" si="94"/>
        <v>395.16129032258061</v>
      </c>
      <c r="W78" s="2227"/>
      <c r="X78" s="2228"/>
      <c r="Y78" s="1881"/>
      <c r="Z78" s="2210">
        <f t="shared" ref="Z78:AA78" si="705">Z77*100/20</f>
        <v>56.451612903225808</v>
      </c>
      <c r="AA78" s="2210">
        <f t="shared" si="705"/>
        <v>56.451612903225808</v>
      </c>
      <c r="AB78" s="2210">
        <f t="shared" ref="AB78:AC78" si="706">AB77*100/20</f>
        <v>56.451612903225808</v>
      </c>
      <c r="AC78" s="2210">
        <f t="shared" si="706"/>
        <v>56.451612903225808</v>
      </c>
      <c r="AD78" s="2210">
        <f t="shared" ref="AD78:AE78" si="707">AD77*100/20</f>
        <v>56.451612903225808</v>
      </c>
      <c r="AE78" s="2210">
        <f t="shared" si="707"/>
        <v>56.451612903225808</v>
      </c>
      <c r="AF78" s="2210">
        <f t="shared" ref="AF78" si="708">AF77*100/20</f>
        <v>56.451612903225808</v>
      </c>
      <c r="AG78" s="1881"/>
      <c r="AH78" s="2226">
        <f t="shared" si="699"/>
        <v>395.16129032258061</v>
      </c>
      <c r="AI78" s="2227"/>
      <c r="AJ78" s="2228"/>
      <c r="AK78" s="1881"/>
      <c r="AL78" s="2210">
        <f t="shared" ref="AL78" si="709">AL77*100/20</f>
        <v>56.451612903225808</v>
      </c>
      <c r="AM78" s="2210">
        <f t="shared" ref="AM78:AN78" si="710">AM77*100/20</f>
        <v>56.451612903225808</v>
      </c>
      <c r="AN78" s="2210">
        <f t="shared" si="710"/>
        <v>56.451612903225808</v>
      </c>
      <c r="AO78" s="2210">
        <f t="shared" ref="AO78:AP78" si="711">AO77*100/20</f>
        <v>56.451612903225808</v>
      </c>
      <c r="AP78" s="2210">
        <f t="shared" si="711"/>
        <v>56.451612903225808</v>
      </c>
      <c r="AQ78" s="2210">
        <f t="shared" ref="AQ78" si="712">AQ77*100/20</f>
        <v>56.451612903225808</v>
      </c>
      <c r="AR78" s="2210"/>
      <c r="AS78" s="2293"/>
      <c r="AT78" s="2226">
        <f t="shared" si="701"/>
        <v>338.70967741935482</v>
      </c>
      <c r="AU78" s="2227"/>
      <c r="AV78" s="2228"/>
      <c r="AW78" s="2293"/>
      <c r="AX78" s="2210"/>
      <c r="AY78" s="2210"/>
      <c r="AZ78" s="2210"/>
      <c r="BA78" s="2210">
        <f t="shared" ref="BA78:BB78" si="713">BA77*100/20</f>
        <v>64.81481481481481</v>
      </c>
      <c r="BB78" s="2210">
        <f t="shared" si="713"/>
        <v>64.81481481481481</v>
      </c>
      <c r="BC78" s="2210">
        <f t="shared" ref="BC78:BD78" si="714">BC77*100/20</f>
        <v>64.81481481481481</v>
      </c>
      <c r="BD78" s="2210">
        <f t="shared" si="714"/>
        <v>64.81481481481481</v>
      </c>
      <c r="BE78" s="2293"/>
      <c r="BF78" s="2226">
        <f t="shared" si="702"/>
        <v>259.25925925925924</v>
      </c>
      <c r="BG78" s="2227"/>
      <c r="BH78" s="2228"/>
      <c r="BI78" s="3019"/>
      <c r="BJ78" s="1732">
        <f t="shared" ref="BJ78:BK78" si="715">BJ77*100/20</f>
        <v>64.81481481481481</v>
      </c>
      <c r="BK78" s="1732">
        <f t="shared" si="715"/>
        <v>64.81481481481481</v>
      </c>
      <c r="BL78" s="1732">
        <f t="shared" ref="BL78" si="716">BL77*100/20</f>
        <v>64.81481481481481</v>
      </c>
      <c r="BM78" s="3019"/>
      <c r="BN78" s="2226">
        <f>SUM(BJ78:BL78)</f>
        <v>194.44444444444443</v>
      </c>
      <c r="BO78" s="2227"/>
      <c r="BP78" s="2228"/>
      <c r="BQ78" s="1726"/>
      <c r="BR78" s="1732">
        <f>SUM(N78:T78)+SUM(Z78:AF78)+SUM(AL78:AR78)+SUM(AX78:BD78)+SUM(BL78:BL78)</f>
        <v>1453.10633213859</v>
      </c>
      <c r="BS78" s="1882">
        <f>BR78/E78</f>
        <v>0.83034647550776575</v>
      </c>
      <c r="BT78" s="1740"/>
      <c r="BU78" s="2229"/>
      <c r="BV78" s="2230"/>
      <c r="BW78" s="2059"/>
      <c r="BX78" s="1877"/>
      <c r="BY78" s="1726"/>
    </row>
    <row r="79" spans="1:87" s="1860" customFormat="1" ht="4.5" customHeight="1" thickBot="1" x14ac:dyDescent="0.25">
      <c r="B79" s="2231"/>
      <c r="C79" s="2231"/>
      <c r="D79" s="1861"/>
      <c r="E79" s="2232"/>
      <c r="F79" s="2232"/>
      <c r="G79" s="2232"/>
      <c r="H79" s="2232"/>
      <c r="I79" s="2232"/>
      <c r="J79" s="2232"/>
      <c r="K79" s="2233"/>
      <c r="L79" s="1760"/>
      <c r="M79" s="3018"/>
      <c r="N79" s="2232"/>
      <c r="O79" s="2232"/>
      <c r="P79" s="2232"/>
      <c r="Q79" s="2232"/>
      <c r="R79" s="2232"/>
      <c r="S79" s="2232"/>
      <c r="T79" s="2232"/>
      <c r="U79" s="3019"/>
      <c r="V79" s="3019"/>
      <c r="W79" s="3019"/>
      <c r="X79" s="3019"/>
      <c r="Y79" s="1862"/>
      <c r="Z79" s="2232"/>
      <c r="AA79" s="2232"/>
      <c r="AB79" s="2232"/>
      <c r="AC79" s="2232"/>
      <c r="AD79" s="2232"/>
      <c r="AE79" s="2232"/>
      <c r="AF79" s="2232"/>
      <c r="AG79" s="1862"/>
      <c r="AH79" s="3019"/>
      <c r="AI79" s="3019"/>
      <c r="AJ79" s="3019"/>
      <c r="AK79" s="1862"/>
      <c r="AL79" s="2232"/>
      <c r="AM79" s="2232"/>
      <c r="AN79" s="2232"/>
      <c r="AO79" s="2232"/>
      <c r="AP79" s="2232"/>
      <c r="AQ79" s="2232"/>
      <c r="AR79" s="2232"/>
      <c r="AS79" s="3019"/>
      <c r="AT79" s="3019"/>
      <c r="AU79" s="3019"/>
      <c r="AV79" s="3019"/>
      <c r="AW79" s="3019"/>
      <c r="AX79" s="2232"/>
      <c r="AY79" s="2232"/>
      <c r="AZ79" s="2232"/>
      <c r="BA79" s="2232"/>
      <c r="BB79" s="2232"/>
      <c r="BC79" s="2232"/>
      <c r="BD79" s="2232"/>
      <c r="BE79" s="3019"/>
      <c r="BF79" s="3019"/>
      <c r="BG79" s="3019"/>
      <c r="BH79" s="3019"/>
      <c r="BI79" s="3019"/>
      <c r="BJ79" s="2232"/>
      <c r="BK79" s="2232"/>
      <c r="BL79" s="2232"/>
      <c r="BM79" s="3019"/>
      <c r="BN79" s="3019"/>
      <c r="BO79" s="3019"/>
      <c r="BP79" s="3019"/>
      <c r="BQ79" s="1726"/>
      <c r="BR79" s="2232"/>
      <c r="BS79" s="2233"/>
      <c r="BT79" s="1740"/>
      <c r="BU79" s="3019"/>
      <c r="BV79" s="2059"/>
      <c r="BW79" s="2059"/>
      <c r="BX79" s="1877"/>
      <c r="BY79" s="1726"/>
    </row>
    <row r="80" spans="1:87" s="1885" customFormat="1" ht="17.25" thickBot="1" x14ac:dyDescent="0.25">
      <c r="B80" s="2117"/>
      <c r="C80" s="2212" t="s">
        <v>154</v>
      </c>
      <c r="D80" s="2119"/>
      <c r="E80" s="2123"/>
      <c r="F80" s="2121"/>
      <c r="G80" s="2121"/>
      <c r="H80" s="2121"/>
      <c r="I80" s="2121"/>
      <c r="J80" s="2121"/>
      <c r="K80" s="2129"/>
      <c r="L80" s="2213"/>
      <c r="M80" s="2214"/>
      <c r="N80" s="2120">
        <f t="shared" ref="N80:T80" si="717">IF(N75&gt;$J$77,N75-N77,IF(N75&lt;$J$77,(IF(N75&lt;0,-12.963,N75-N77))))</f>
        <v>-12.962999999999999</v>
      </c>
      <c r="O80" s="2121">
        <f t="shared" si="717"/>
        <v>-12.962999999999999</v>
      </c>
      <c r="P80" s="2121">
        <f t="shared" si="717"/>
        <v>-12.962999999999999</v>
      </c>
      <c r="Q80" s="2121">
        <f t="shared" si="717"/>
        <v>-12.962999999999999</v>
      </c>
      <c r="R80" s="2121">
        <f t="shared" si="717"/>
        <v>-12.962999999999999</v>
      </c>
      <c r="S80" s="2121">
        <f t="shared" si="717"/>
        <v>-12.962999999999999</v>
      </c>
      <c r="T80" s="2124">
        <f t="shared" si="717"/>
        <v>-12.962999999999999</v>
      </c>
      <c r="U80" s="1951"/>
      <c r="V80" s="2120">
        <f>SUM(N80:T80)</f>
        <v>-90.740999999999985</v>
      </c>
      <c r="W80" s="2123"/>
      <c r="X80" s="2124"/>
      <c r="Y80" s="1956"/>
      <c r="Z80" s="2120">
        <f t="shared" ref="Z80:AF80" si="718">IF(Z75&gt;$J$77,Z75-Z77,IF(Z75&lt;$J$77,(IF(Z75&lt;0,-12.963,Z75-Z77))))</f>
        <v>-12.962999999999999</v>
      </c>
      <c r="AA80" s="2121">
        <f t="shared" si="718"/>
        <v>-12.962999999999999</v>
      </c>
      <c r="AB80" s="2121">
        <f t="shared" si="718"/>
        <v>-12.962999999999999</v>
      </c>
      <c r="AC80" s="2121">
        <f t="shared" si="718"/>
        <v>-12.962999999999999</v>
      </c>
      <c r="AD80" s="2121">
        <f t="shared" si="718"/>
        <v>-12.962999999999999</v>
      </c>
      <c r="AE80" s="2121">
        <f t="shared" si="718"/>
        <v>-12.962999999999999</v>
      </c>
      <c r="AF80" s="2121">
        <f t="shared" si="718"/>
        <v>-12.962999999999999</v>
      </c>
      <c r="AG80" s="1956"/>
      <c r="AH80" s="2120">
        <f>SUM(Z80:AF80)</f>
        <v>-90.740999999999985</v>
      </c>
      <c r="AI80" s="2123"/>
      <c r="AJ80" s="2124"/>
      <c r="AK80" s="1955"/>
      <c r="AL80" s="2120">
        <f t="shared" ref="AL80:AQ80" si="719">IF(AL75&gt;$J$77,AL75-AL77,IF(AL75&lt;$J$77,(IF(AL75&lt;0,-12.963,AL75-AL77))))</f>
        <v>65.269547789725209</v>
      </c>
      <c r="AM80" s="2121">
        <f t="shared" si="719"/>
        <v>61.106547789725234</v>
      </c>
      <c r="AN80" s="2121">
        <f t="shared" si="719"/>
        <v>96.319047789725204</v>
      </c>
      <c r="AO80" s="2121">
        <f t="shared" si="719"/>
        <v>-12.962999999999999</v>
      </c>
      <c r="AP80" s="2121">
        <f t="shared" si="719"/>
        <v>-12.962999999999999</v>
      </c>
      <c r="AQ80" s="2121">
        <f t="shared" si="719"/>
        <v>-12.962999999999999</v>
      </c>
      <c r="AR80" s="2124">
        <f t="shared" ref="AR80" si="720">IF(AR75&gt;$J$77,AR75-AR77,IF(AR75&lt;$J$77,(IF(AR75&lt;0,-12.069,AR75-AR77))))</f>
        <v>0</v>
      </c>
      <c r="AS80" s="2254"/>
      <c r="AT80" s="2120">
        <f t="shared" si="701"/>
        <v>183.80614336917566</v>
      </c>
      <c r="AU80" s="2123"/>
      <c r="AV80" s="2124"/>
      <c r="AW80" s="1951"/>
      <c r="AX80" s="2120">
        <f t="shared" ref="AX80:AZ80" si="721">IF(AX75&gt;$J$77,AX75-AX77,IF(AX75&lt;$J$77,(IF(AX75&lt;0,-12.069,AX75-AX77))))</f>
        <v>0</v>
      </c>
      <c r="AY80" s="2121">
        <f t="shared" si="721"/>
        <v>0</v>
      </c>
      <c r="AZ80" s="2121">
        <f t="shared" si="721"/>
        <v>0</v>
      </c>
      <c r="BA80" s="2121">
        <f>IF(BA75&gt;$J$77,BA75-BA77,IF(BA75&lt;$J$77,(IF(BA75&lt;0,-12.963,BA75-BA77))))</f>
        <v>-12.962999999999999</v>
      </c>
      <c r="BB80" s="2121">
        <f>IF(BB75&gt;$J$77,BB75-BB77,IF(BB75&lt;$J$77,(IF(BB75&lt;0,-12.963,BB75-BB77))))</f>
        <v>36.683907407407432</v>
      </c>
      <c r="BC80" s="2121">
        <f>IF(BC75&gt;$J$77,BC75-BC77,IF(BC75&lt;$J$77,(IF(BC75&lt;0,-12.963,BC75-BC77))))</f>
        <v>-12.962999999999999</v>
      </c>
      <c r="BD80" s="2124">
        <f>IF(BD75&gt;$J$77,BD75-BD77,IF(BD75&lt;$J$77,(IF(BD75&lt;0,-12.963,BD75-BD77))))</f>
        <v>-12.962999999999999</v>
      </c>
      <c r="BE80" s="1951"/>
      <c r="BF80" s="2120">
        <f t="shared" ref="BF80" si="722">SUM(AX80:BD80)</f>
        <v>-2.2050925925925675</v>
      </c>
      <c r="BG80" s="2123"/>
      <c r="BH80" s="2124"/>
      <c r="BI80" s="1900"/>
      <c r="BJ80" s="2120">
        <f>IF(BJ75&gt;$J$77,BJ75-BJ77,IF(BJ75&lt;$J$77,(IF(BJ75&lt;0,-12.963,BJ75-BJ77))))</f>
        <v>-12.962999999999999</v>
      </c>
      <c r="BK80" s="2121">
        <f>IF(BK75&gt;$J$77,BK75-BK77,IF(BK75&lt;$J$77,(IF(BK75&lt;0,-12.963,BK75-BK77))))</f>
        <v>-12.962999999999999</v>
      </c>
      <c r="BL80" s="2124">
        <f>IF(BL75&gt;$J$77,BL75-BL77,IF(BL75&lt;$J$77,(IF(BL75&lt;0,-12.963,BL75-BL77))))</f>
        <v>-12.962999999999999</v>
      </c>
      <c r="BM80" s="2317"/>
      <c r="BN80" s="2215">
        <f>SUM(BJ80:BL80)</f>
        <v>-38.888999999999996</v>
      </c>
      <c r="BO80" s="2318"/>
      <c r="BP80" s="2118"/>
      <c r="BQ80" s="1897"/>
      <c r="BR80" s="2215">
        <f>SUM(N80:T80)+SUM(Z80:AF80)+SUM(AL80:AR80)+SUM(AX80:BD80)+SUM(BL80:BL80)</f>
        <v>-12.84394922341688</v>
      </c>
      <c r="BS80" s="2130">
        <f>BR80/E77</f>
        <v>-3.6696997781191086E-2</v>
      </c>
      <c r="BT80" s="1900"/>
      <c r="BU80" s="1900"/>
      <c r="BV80" s="1900"/>
      <c r="BW80" s="2011"/>
    </row>
    <row r="81" spans="2:76" s="1756" customFormat="1" ht="17.25" thickBot="1" x14ac:dyDescent="0.25">
      <c r="B81" s="1817"/>
      <c r="C81" s="1817"/>
      <c r="D81" s="1817"/>
      <c r="E81" s="1814"/>
      <c r="F81" s="1814"/>
      <c r="G81" s="1814"/>
      <c r="H81" s="1814"/>
      <c r="I81" s="1814"/>
      <c r="J81" s="1814"/>
      <c r="K81" s="1818"/>
      <c r="L81" s="2216"/>
      <c r="M81" s="2055"/>
      <c r="N81" s="1814"/>
      <c r="O81" s="1814"/>
      <c r="P81" s="1814"/>
      <c r="Q81" s="1814"/>
      <c r="R81" s="1814"/>
      <c r="S81" s="1814"/>
      <c r="T81" s="1814"/>
      <c r="U81" s="1814"/>
      <c r="V81" s="1814"/>
      <c r="W81" s="1814"/>
      <c r="X81" s="1814"/>
      <c r="Y81" s="1766"/>
      <c r="Z81" s="1814"/>
      <c r="AA81" s="1814"/>
      <c r="AB81" s="1814"/>
      <c r="AC81" s="1814"/>
      <c r="AD81" s="1814"/>
      <c r="AE81" s="1814"/>
      <c r="AF81" s="1814"/>
      <c r="AG81" s="1766"/>
      <c r="AH81" s="1814"/>
      <c r="AI81" s="1814"/>
      <c r="AJ81" s="1814"/>
      <c r="AK81" s="1766"/>
      <c r="AL81" s="1814"/>
      <c r="AM81" s="1814"/>
      <c r="AN81" s="1814"/>
      <c r="AO81" s="1814"/>
      <c r="AP81" s="1814"/>
      <c r="AQ81" s="1814"/>
      <c r="AR81" s="1814"/>
      <c r="AS81" s="1814"/>
      <c r="AT81" s="1814"/>
      <c r="AU81" s="1814"/>
      <c r="AV81" s="1814"/>
      <c r="AW81" s="1814"/>
      <c r="AX81" s="1814"/>
      <c r="AY81" s="1814"/>
      <c r="AZ81" s="1814"/>
      <c r="BA81" s="1814"/>
      <c r="BB81" s="1814"/>
      <c r="BC81" s="1814"/>
      <c r="BD81" s="1814"/>
      <c r="BE81" s="1814"/>
      <c r="BF81" s="1814"/>
      <c r="BG81" s="1814"/>
      <c r="BH81" s="1814"/>
      <c r="BI81" s="1814"/>
      <c r="BJ81" s="1814"/>
      <c r="BK81" s="1814"/>
      <c r="BL81" s="1814"/>
      <c r="BM81" s="1814"/>
      <c r="BN81" s="1814"/>
      <c r="BO81" s="1814"/>
      <c r="BP81" s="1814"/>
      <c r="BQ81" s="1766"/>
      <c r="BR81" s="1814"/>
      <c r="BS81" s="1830"/>
      <c r="BT81" s="3014"/>
      <c r="BU81" s="3014"/>
      <c r="BV81" s="3014"/>
      <c r="BW81" s="1817"/>
    </row>
    <row r="82" spans="2:76" s="1860" customFormat="1" x14ac:dyDescent="0.2">
      <c r="B82" s="4649"/>
      <c r="C82" s="4647" t="s">
        <v>213</v>
      </c>
      <c r="D82" s="1861"/>
      <c r="E82" s="4645">
        <f>C42</f>
        <v>13726</v>
      </c>
      <c r="F82" s="2657"/>
      <c r="G82" s="2658"/>
      <c r="H82" s="2659"/>
      <c r="I82" s="2660"/>
      <c r="J82" s="4643">
        <f>E82/27</f>
        <v>508.37037037037038</v>
      </c>
      <c r="K82" s="4641">
        <f>J82*20%</f>
        <v>101.67407407407408</v>
      </c>
      <c r="L82" s="2216"/>
      <c r="M82" s="2055"/>
      <c r="N82" s="4628" t="str">
        <f>IF(N46&gt;0,"0.000",N46)</f>
        <v>0.000</v>
      </c>
      <c r="O82" s="4630" t="str">
        <f t="shared" ref="O82:T82" si="723">IF(O46&gt;0,"0.000",O46)</f>
        <v>0.000</v>
      </c>
      <c r="P82" s="4630" t="str">
        <f t="shared" si="723"/>
        <v>0.000</v>
      </c>
      <c r="Q82" s="4630" t="str">
        <f t="shared" si="723"/>
        <v>0.000</v>
      </c>
      <c r="R82" s="4630" t="str">
        <f t="shared" si="723"/>
        <v>0.000</v>
      </c>
      <c r="S82" s="4630">
        <f t="shared" si="723"/>
        <v>-7.8025370370370268</v>
      </c>
      <c r="T82" s="4632" t="str">
        <f t="shared" si="723"/>
        <v>0.000</v>
      </c>
      <c r="U82" s="3019"/>
      <c r="V82" s="4628">
        <f t="shared" si="94"/>
        <v>-7.8025370370370268</v>
      </c>
      <c r="W82" s="4630"/>
      <c r="X82" s="4632"/>
      <c r="Y82" s="1862"/>
      <c r="Z82" s="4628">
        <f t="shared" ref="Z82:AF82" si="724">IF(Z46&gt;0,"0.000",Z46)</f>
        <v>-4.834037037037028</v>
      </c>
      <c r="AA82" s="4630" t="str">
        <f t="shared" si="724"/>
        <v>0.000</v>
      </c>
      <c r="AB82" s="4630" t="str">
        <f t="shared" si="724"/>
        <v>0.000</v>
      </c>
      <c r="AC82" s="4630" t="str">
        <f t="shared" si="724"/>
        <v>0.000</v>
      </c>
      <c r="AD82" s="4630" t="str">
        <f t="shared" si="724"/>
        <v>0.000</v>
      </c>
      <c r="AE82" s="4630">
        <f t="shared" si="724"/>
        <v>-18.576537037037028</v>
      </c>
      <c r="AF82" s="4632" t="str">
        <f t="shared" si="724"/>
        <v>0.000</v>
      </c>
      <c r="AG82" s="1862"/>
      <c r="AH82" s="4628">
        <f t="shared" ref="AH82:AH87" si="725">SUM(Z82:AF82)</f>
        <v>-23.410574074074056</v>
      </c>
      <c r="AI82" s="4630"/>
      <c r="AJ82" s="4632"/>
      <c r="AK82" s="1862"/>
      <c r="AL82" s="4628" t="str">
        <f t="shared" ref="AL82:AR82" si="726">IF(AL46&gt;0,"0.000",AL46)</f>
        <v>0.000</v>
      </c>
      <c r="AM82" s="4630" t="str">
        <f t="shared" si="726"/>
        <v>0.000</v>
      </c>
      <c r="AN82" s="4630" t="str">
        <f t="shared" si="726"/>
        <v>0.000</v>
      </c>
      <c r="AO82" s="4630" t="str">
        <f t="shared" si="726"/>
        <v>0.000</v>
      </c>
      <c r="AP82" s="4630" t="str">
        <f t="shared" si="726"/>
        <v>0.000</v>
      </c>
      <c r="AQ82" s="4630" t="str">
        <f t="shared" si="726"/>
        <v>0.000</v>
      </c>
      <c r="AR82" s="4632">
        <f t="shared" si="726"/>
        <v>0</v>
      </c>
      <c r="AS82" s="3019"/>
      <c r="AT82" s="4628">
        <f t="shared" ref="AT82:AT87" si="727">SUM(AL82:AR82)</f>
        <v>0</v>
      </c>
      <c r="AU82" s="4630"/>
      <c r="AV82" s="4632"/>
      <c r="AW82" s="3019"/>
      <c r="AX82" s="4628">
        <f t="shared" ref="AX82:BD82" si="728">IF(AX46&gt;0,"0.000",AX46)</f>
        <v>0</v>
      </c>
      <c r="AY82" s="4630">
        <f t="shared" si="728"/>
        <v>0</v>
      </c>
      <c r="AZ82" s="4630">
        <f t="shared" si="728"/>
        <v>0</v>
      </c>
      <c r="BA82" s="4630" t="str">
        <f t="shared" si="728"/>
        <v>0.000</v>
      </c>
      <c r="BB82" s="4630" t="str">
        <f t="shared" si="728"/>
        <v>0.000</v>
      </c>
      <c r="BC82" s="4630" t="str">
        <f t="shared" si="728"/>
        <v>0.000</v>
      </c>
      <c r="BD82" s="4632" t="str">
        <f t="shared" si="728"/>
        <v>0.000</v>
      </c>
      <c r="BE82" s="3019"/>
      <c r="BF82" s="4628">
        <f t="shared" ref="BF82:BF87" si="729">SUM(AX82:BD82)</f>
        <v>0</v>
      </c>
      <c r="BG82" s="4630"/>
      <c r="BH82" s="4632"/>
      <c r="BI82" s="3019"/>
      <c r="BJ82" s="4670" t="str">
        <f t="shared" ref="BJ82:BK82" si="730">IF(BJ46&gt;0,"0.000",BJ46)</f>
        <v>0.000</v>
      </c>
      <c r="BK82" s="4672" t="str">
        <f t="shared" si="730"/>
        <v>0.000</v>
      </c>
      <c r="BL82" s="4674" t="str">
        <f>IF(BL46&gt;0,"0.000",BL46)</f>
        <v>0.000</v>
      </c>
      <c r="BM82" s="3019"/>
      <c r="BN82" s="4628">
        <f>SUM(BJ82:BL82)</f>
        <v>0</v>
      </c>
      <c r="BO82" s="4630"/>
      <c r="BP82" s="4632"/>
      <c r="BQ82" s="1726"/>
      <c r="BR82" s="4628">
        <f>SUM(N82:T82)+SUM(Z82:AF82)+SUM(AL82:AR82)+SUM(AX82:BD82)+SUM(BL82:BL82)</f>
        <v>-31.213111111111083</v>
      </c>
      <c r="BS82" s="4632"/>
      <c r="BT82" s="1740"/>
      <c r="BU82" s="3019"/>
      <c r="BV82" s="1997"/>
      <c r="BW82" s="1997"/>
      <c r="BX82" s="3018"/>
    </row>
    <row r="83" spans="2:76" s="1946" customFormat="1" ht="17.25" thickBot="1" x14ac:dyDescent="0.25">
      <c r="B83" s="4650"/>
      <c r="C83" s="4648"/>
      <c r="D83" s="2011"/>
      <c r="E83" s="4646"/>
      <c r="F83" s="2375"/>
      <c r="G83" s="2376"/>
      <c r="H83" s="2377"/>
      <c r="I83" s="2378"/>
      <c r="J83" s="4644"/>
      <c r="K83" s="4642"/>
      <c r="L83" s="2213"/>
      <c r="M83" s="2214"/>
      <c r="N83" s="4629"/>
      <c r="O83" s="4631"/>
      <c r="P83" s="4631"/>
      <c r="Q83" s="4631"/>
      <c r="R83" s="4631"/>
      <c r="S83" s="4631"/>
      <c r="T83" s="4633"/>
      <c r="U83" s="3016"/>
      <c r="V83" s="4629"/>
      <c r="W83" s="4631"/>
      <c r="X83" s="4633"/>
      <c r="Y83" s="1897"/>
      <c r="Z83" s="4629"/>
      <c r="AA83" s="4631"/>
      <c r="AB83" s="4631"/>
      <c r="AC83" s="4631"/>
      <c r="AD83" s="4631"/>
      <c r="AE83" s="4631"/>
      <c r="AF83" s="4633"/>
      <c r="AG83" s="1897"/>
      <c r="AH83" s="4629"/>
      <c r="AI83" s="4631"/>
      <c r="AJ83" s="4633"/>
      <c r="AK83" s="1897"/>
      <c r="AL83" s="4629"/>
      <c r="AM83" s="4631"/>
      <c r="AN83" s="4631"/>
      <c r="AO83" s="4631"/>
      <c r="AP83" s="4631"/>
      <c r="AQ83" s="4631"/>
      <c r="AR83" s="4633"/>
      <c r="AS83" s="3016"/>
      <c r="AT83" s="4629"/>
      <c r="AU83" s="4631"/>
      <c r="AV83" s="4633"/>
      <c r="AW83" s="3016"/>
      <c r="AX83" s="4629"/>
      <c r="AY83" s="4631"/>
      <c r="AZ83" s="4631"/>
      <c r="BA83" s="4631"/>
      <c r="BB83" s="4631"/>
      <c r="BC83" s="4631"/>
      <c r="BD83" s="4633"/>
      <c r="BE83" s="3016"/>
      <c r="BF83" s="4629"/>
      <c r="BG83" s="4631"/>
      <c r="BH83" s="4633"/>
      <c r="BI83" s="3016"/>
      <c r="BJ83" s="4671"/>
      <c r="BK83" s="4673"/>
      <c r="BL83" s="4675"/>
      <c r="BM83" s="3016"/>
      <c r="BN83" s="4629"/>
      <c r="BO83" s="4631"/>
      <c r="BP83" s="4633"/>
      <c r="BQ83" s="1885"/>
      <c r="BR83" s="4629"/>
      <c r="BS83" s="4633"/>
      <c r="BT83" s="1900"/>
      <c r="BU83" s="3016"/>
      <c r="BV83" s="2010"/>
      <c r="BW83" s="2010"/>
      <c r="BX83" s="3015"/>
    </row>
    <row r="84" spans="2:76" s="1860" customFormat="1" ht="5.25" customHeight="1" thickBot="1" x14ac:dyDescent="0.25">
      <c r="B84" s="1861"/>
      <c r="C84" s="1861"/>
      <c r="D84" s="1861"/>
      <c r="E84" s="1814"/>
      <c r="F84" s="2367"/>
      <c r="G84" s="2368"/>
      <c r="H84" s="2369"/>
      <c r="I84" s="2370"/>
      <c r="J84" s="1814"/>
      <c r="K84" s="1818"/>
      <c r="L84" s="2055"/>
      <c r="M84" s="2055"/>
      <c r="N84" s="3019"/>
      <c r="O84" s="3019"/>
      <c r="P84" s="3019"/>
      <c r="Q84" s="3019"/>
      <c r="R84" s="3019"/>
      <c r="S84" s="3019"/>
      <c r="T84" s="3019"/>
      <c r="U84" s="3019"/>
      <c r="V84" s="3019"/>
      <c r="W84" s="3019"/>
      <c r="X84" s="3019"/>
      <c r="Y84" s="1862"/>
      <c r="Z84" s="3019"/>
      <c r="AA84" s="3019"/>
      <c r="AB84" s="3019"/>
      <c r="AC84" s="3019"/>
      <c r="AD84" s="3019"/>
      <c r="AE84" s="3019"/>
      <c r="AF84" s="3019"/>
      <c r="AG84" s="1862"/>
      <c r="AH84" s="3019"/>
      <c r="AI84" s="3019"/>
      <c r="AJ84" s="3019"/>
      <c r="AK84" s="1862"/>
      <c r="AL84" s="3019"/>
      <c r="AM84" s="3019"/>
      <c r="AN84" s="3019"/>
      <c r="AO84" s="3019"/>
      <c r="AP84" s="3019"/>
      <c r="AQ84" s="3019"/>
      <c r="AR84" s="3019"/>
      <c r="AS84" s="3019"/>
      <c r="AT84" s="3019"/>
      <c r="AU84" s="3019"/>
      <c r="AV84" s="3019"/>
      <c r="AW84" s="3019"/>
      <c r="AX84" s="3019"/>
      <c r="AY84" s="3019"/>
      <c r="AZ84" s="3019"/>
      <c r="BA84" s="3019"/>
      <c r="BB84" s="3019"/>
      <c r="BC84" s="3019"/>
      <c r="BD84" s="3019"/>
      <c r="BE84" s="3019"/>
      <c r="BF84" s="3019"/>
      <c r="BG84" s="3019"/>
      <c r="BH84" s="3019"/>
      <c r="BI84" s="3019"/>
      <c r="BJ84" s="3019"/>
      <c r="BK84" s="3019"/>
      <c r="BL84" s="3019"/>
      <c r="BM84" s="3019"/>
      <c r="BN84" s="3019"/>
      <c r="BO84" s="3019"/>
      <c r="BP84" s="3019"/>
      <c r="BR84" s="3019"/>
      <c r="BS84" s="3019"/>
      <c r="BT84" s="1861"/>
      <c r="BU84" s="3019"/>
      <c r="BV84" s="1997"/>
      <c r="BW84" s="1997"/>
      <c r="BX84" s="3018"/>
    </row>
    <row r="85" spans="2:76" s="1726" customFormat="1" x14ac:dyDescent="0.2">
      <c r="B85" s="2655"/>
      <c r="C85" s="2656" t="s">
        <v>143</v>
      </c>
      <c r="D85" s="1861"/>
      <c r="E85" s="1771">
        <f>E74</f>
        <v>10002.5</v>
      </c>
      <c r="F85" s="2657">
        <f t="shared" si="693"/>
        <v>1000.25</v>
      </c>
      <c r="G85" s="2658">
        <f t="shared" ref="G85:G86" si="731">E85/15</f>
        <v>666.83333333333337</v>
      </c>
      <c r="H85" s="2659">
        <f t="shared" ref="H85:H86" si="732">E85/20</f>
        <v>500.125</v>
      </c>
      <c r="I85" s="2660">
        <f t="shared" ref="I85:I86" si="733">E85/25</f>
        <v>400.1</v>
      </c>
      <c r="J85" s="2661">
        <f>E85/27</f>
        <v>370.46296296296299</v>
      </c>
      <c r="K85" s="1773">
        <f>J85*20%</f>
        <v>74.092592592592595</v>
      </c>
      <c r="L85" s="2216"/>
      <c r="M85" s="2055"/>
      <c r="N85" s="2207">
        <f>IF(N75&gt;0,"0.000",N75)</f>
        <v>-50.260629629629626</v>
      </c>
      <c r="O85" s="2662">
        <f>IF(O75&gt;0,"0.000",O75)</f>
        <v>-34.500129629629619</v>
      </c>
      <c r="P85" s="2662">
        <f t="shared" ref="P85:T85" si="734">IF(P75&gt;0,"0.000",P75)</f>
        <v>-2.1526296296296294</v>
      </c>
      <c r="Q85" s="2662">
        <f t="shared" si="734"/>
        <v>-27.507129629629624</v>
      </c>
      <c r="R85" s="2662">
        <f t="shared" si="734"/>
        <v>-52.478129629629628</v>
      </c>
      <c r="S85" s="2662">
        <f t="shared" si="734"/>
        <v>-74.093000000000004</v>
      </c>
      <c r="T85" s="2277">
        <f t="shared" si="734"/>
        <v>-34.147629629629627</v>
      </c>
      <c r="U85" s="3019"/>
      <c r="V85" s="2207">
        <f t="shared" ref="V85:V87" si="735">SUM(N85:T85)</f>
        <v>-275.13927777777775</v>
      </c>
      <c r="W85" s="2662"/>
      <c r="X85" s="2277"/>
      <c r="Y85" s="1862"/>
      <c r="Z85" s="2207">
        <f t="shared" ref="Z85:AF85" si="736">IF(Z75&gt;0,"0.000",Z75)</f>
        <v>-74.093000000000004</v>
      </c>
      <c r="AA85" s="2662">
        <f t="shared" si="736"/>
        <v>-38.100129629629627</v>
      </c>
      <c r="AB85" s="2662">
        <f t="shared" si="736"/>
        <v>-46.631629629629622</v>
      </c>
      <c r="AC85" s="2662">
        <f t="shared" si="736"/>
        <v>-48.573129629629626</v>
      </c>
      <c r="AD85" s="2662">
        <f t="shared" si="736"/>
        <v>-59.665629629629628</v>
      </c>
      <c r="AE85" s="2662">
        <f t="shared" si="736"/>
        <v>-74.093000000000004</v>
      </c>
      <c r="AF85" s="2277">
        <f t="shared" si="736"/>
        <v>-34.16412962962962</v>
      </c>
      <c r="AG85" s="1862"/>
      <c r="AH85" s="2207">
        <f>SUM(Z85:AF85)</f>
        <v>-375.32064814814811</v>
      </c>
      <c r="AI85" s="2662"/>
      <c r="AJ85" s="2277"/>
      <c r="AK85" s="1862"/>
      <c r="AL85" s="2207" t="str">
        <f t="shared" ref="AL85:AR85" si="737">IF(AL75&gt;0,"0.000",AL75)</f>
        <v>0.000</v>
      </c>
      <c r="AM85" s="2662" t="str">
        <f t="shared" si="737"/>
        <v>0.000</v>
      </c>
      <c r="AN85" s="2662" t="str">
        <f t="shared" si="737"/>
        <v>0.000</v>
      </c>
      <c r="AO85" s="2662">
        <f t="shared" si="737"/>
        <v>-6.7566296296296144</v>
      </c>
      <c r="AP85" s="2662">
        <f t="shared" si="737"/>
        <v>-34.615129629629628</v>
      </c>
      <c r="AQ85" s="2662">
        <f t="shared" si="737"/>
        <v>-8.2401296296296351</v>
      </c>
      <c r="AR85" s="2277">
        <f t="shared" si="737"/>
        <v>0</v>
      </c>
      <c r="AS85" s="3019"/>
      <c r="AT85" s="2207">
        <f t="shared" si="727"/>
        <v>-49.611888888888878</v>
      </c>
      <c r="AU85" s="2662"/>
      <c r="AV85" s="2277"/>
      <c r="AW85" s="3019"/>
      <c r="AX85" s="2207">
        <f t="shared" ref="AX85:BD85" si="738">IF(AX75&gt;0,"0.000",AX75)</f>
        <v>0</v>
      </c>
      <c r="AY85" s="2662">
        <f t="shared" si="738"/>
        <v>0</v>
      </c>
      <c r="AZ85" s="2662">
        <f t="shared" si="738"/>
        <v>0</v>
      </c>
      <c r="BA85" s="2662">
        <f t="shared" si="738"/>
        <v>-61.629629629629633</v>
      </c>
      <c r="BB85" s="2662" t="str">
        <f t="shared" si="738"/>
        <v>0.000</v>
      </c>
      <c r="BC85" s="2662">
        <f t="shared" si="738"/>
        <v>-26.526129629629629</v>
      </c>
      <c r="BD85" s="2277">
        <f t="shared" si="738"/>
        <v>-61.629629629629633</v>
      </c>
      <c r="BE85" s="3019"/>
      <c r="BF85" s="2207">
        <f t="shared" si="729"/>
        <v>-149.78538888888892</v>
      </c>
      <c r="BG85" s="2662"/>
      <c r="BH85" s="2277"/>
      <c r="BI85" s="3019"/>
      <c r="BJ85" s="2207">
        <f t="shared" ref="BJ85:BK85" si="739">IF(BJ75&gt;0,"0.000",BJ75)</f>
        <v>-61.629629629629633</v>
      </c>
      <c r="BK85" s="2662">
        <f t="shared" si="739"/>
        <v>-61.629629629629633</v>
      </c>
      <c r="BL85" s="2277">
        <f>IF(BL75&gt;0,"0.000",BL75)</f>
        <v>-30.746851851851858</v>
      </c>
      <c r="BM85" s="3019"/>
      <c r="BN85" s="2207">
        <f>SUM(BJ85:BL85)</f>
        <v>-154.00611111111112</v>
      </c>
      <c r="BO85" s="2662"/>
      <c r="BP85" s="2277"/>
      <c r="BR85" s="2663">
        <f>SUM(N85:T85)+SUM(Z85:AF85)+SUM(AL85:AR85)+SUM(AX85:BD85)+SUM(BL85:BL85)</f>
        <v>-880.60405555555542</v>
      </c>
      <c r="BS85" s="2277"/>
      <c r="BT85" s="1740"/>
      <c r="BU85" s="3019"/>
      <c r="BV85" s="2246"/>
      <c r="BW85" s="2246"/>
      <c r="BX85" s="2247"/>
    </row>
    <row r="86" spans="2:76" s="1885" customFormat="1" ht="17.25" thickBot="1" x14ac:dyDescent="0.25">
      <c r="B86" s="2703"/>
      <c r="C86" s="2704" t="s">
        <v>178</v>
      </c>
      <c r="D86" s="2011"/>
      <c r="E86" s="2705">
        <f>E78</f>
        <v>1750</v>
      </c>
      <c r="F86" s="2706">
        <f t="shared" si="693"/>
        <v>175</v>
      </c>
      <c r="G86" s="2707">
        <f t="shared" si="731"/>
        <v>116.66666666666667</v>
      </c>
      <c r="H86" s="2708">
        <f t="shared" si="732"/>
        <v>87.5</v>
      </c>
      <c r="I86" s="2709">
        <f t="shared" si="733"/>
        <v>70</v>
      </c>
      <c r="J86" s="2710">
        <f>E86/27</f>
        <v>64.81481481481481</v>
      </c>
      <c r="K86" s="2711">
        <f>J86*20%</f>
        <v>12.962962962962962</v>
      </c>
      <c r="L86" s="2213"/>
      <c r="M86" s="2214"/>
      <c r="N86" s="2244">
        <f>IF(N80&gt;0,"0.000",N80)</f>
        <v>-12.962999999999999</v>
      </c>
      <c r="O86" s="1898">
        <f t="shared" ref="O86:T86" si="740">IF(O80&gt;0,"0.000",O80)</f>
        <v>-12.962999999999999</v>
      </c>
      <c r="P86" s="1898">
        <f t="shared" si="740"/>
        <v>-12.962999999999999</v>
      </c>
      <c r="Q86" s="1898">
        <f t="shared" si="740"/>
        <v>-12.962999999999999</v>
      </c>
      <c r="R86" s="1898">
        <f t="shared" si="740"/>
        <v>-12.962999999999999</v>
      </c>
      <c r="S86" s="1898">
        <f t="shared" si="740"/>
        <v>-12.962999999999999</v>
      </c>
      <c r="T86" s="2245">
        <f t="shared" si="740"/>
        <v>-12.962999999999999</v>
      </c>
      <c r="U86" s="3016"/>
      <c r="V86" s="2244">
        <f t="shared" si="735"/>
        <v>-90.740999999999985</v>
      </c>
      <c r="W86" s="1898"/>
      <c r="X86" s="2245"/>
      <c r="Y86" s="1897"/>
      <c r="Z86" s="2244">
        <f t="shared" ref="Z86:AF86" si="741">IF(Z80&gt;0,"0.000",Z80)</f>
        <v>-12.962999999999999</v>
      </c>
      <c r="AA86" s="1898">
        <f t="shared" si="741"/>
        <v>-12.962999999999999</v>
      </c>
      <c r="AB86" s="1898">
        <f t="shared" si="741"/>
        <v>-12.962999999999999</v>
      </c>
      <c r="AC86" s="1898">
        <f t="shared" si="741"/>
        <v>-12.962999999999999</v>
      </c>
      <c r="AD86" s="1898">
        <f t="shared" si="741"/>
        <v>-12.962999999999999</v>
      </c>
      <c r="AE86" s="1898">
        <f t="shared" si="741"/>
        <v>-12.962999999999999</v>
      </c>
      <c r="AF86" s="2245">
        <f t="shared" si="741"/>
        <v>-12.962999999999999</v>
      </c>
      <c r="AG86" s="1897"/>
      <c r="AH86" s="2244">
        <f t="shared" si="725"/>
        <v>-90.740999999999985</v>
      </c>
      <c r="AI86" s="1898"/>
      <c r="AJ86" s="2245"/>
      <c r="AK86" s="1897"/>
      <c r="AL86" s="2244" t="str">
        <f t="shared" ref="AL86:AR86" si="742">IF(AL80&gt;0,"0.000",AL80)</f>
        <v>0.000</v>
      </c>
      <c r="AM86" s="1898" t="str">
        <f t="shared" si="742"/>
        <v>0.000</v>
      </c>
      <c r="AN86" s="1898" t="str">
        <f t="shared" si="742"/>
        <v>0.000</v>
      </c>
      <c r="AO86" s="1898">
        <f t="shared" si="742"/>
        <v>-12.962999999999999</v>
      </c>
      <c r="AP86" s="1898">
        <f t="shared" si="742"/>
        <v>-12.962999999999999</v>
      </c>
      <c r="AQ86" s="1898">
        <f t="shared" si="742"/>
        <v>-12.962999999999999</v>
      </c>
      <c r="AR86" s="2245">
        <f t="shared" si="742"/>
        <v>0</v>
      </c>
      <c r="AS86" s="3016"/>
      <c r="AT86" s="2244">
        <f t="shared" si="727"/>
        <v>-38.888999999999996</v>
      </c>
      <c r="AU86" s="1898"/>
      <c r="AV86" s="2245"/>
      <c r="AW86" s="3016"/>
      <c r="AX86" s="2244">
        <f t="shared" ref="AX86:BD86" si="743">IF(AX80&gt;0,"0.000",AX80)</f>
        <v>0</v>
      </c>
      <c r="AY86" s="1898">
        <f t="shared" si="743"/>
        <v>0</v>
      </c>
      <c r="AZ86" s="1898">
        <f t="shared" si="743"/>
        <v>0</v>
      </c>
      <c r="BA86" s="1898">
        <f t="shared" si="743"/>
        <v>-12.962999999999999</v>
      </c>
      <c r="BB86" s="1898" t="str">
        <f t="shared" si="743"/>
        <v>0.000</v>
      </c>
      <c r="BC86" s="1898">
        <f t="shared" si="743"/>
        <v>-12.962999999999999</v>
      </c>
      <c r="BD86" s="2245">
        <f t="shared" si="743"/>
        <v>-12.962999999999999</v>
      </c>
      <c r="BE86" s="3016"/>
      <c r="BF86" s="2244">
        <f t="shared" si="729"/>
        <v>-38.888999999999996</v>
      </c>
      <c r="BG86" s="1898"/>
      <c r="BH86" s="2245"/>
      <c r="BI86" s="3016"/>
      <c r="BJ86" s="3025">
        <f t="shared" ref="BJ86:BK86" si="744">IF(BJ80&gt;0,"0.000",BJ80)</f>
        <v>-12.962999999999999</v>
      </c>
      <c r="BK86" s="1898">
        <f t="shared" si="744"/>
        <v>-12.962999999999999</v>
      </c>
      <c r="BL86" s="2245">
        <f>IF(BL80&gt;0,"0.000",BL80)</f>
        <v>-12.962999999999999</v>
      </c>
      <c r="BM86" s="3016"/>
      <c r="BN86" s="2244">
        <f t="shared" ref="BN86:BN87" si="745">SUM(BJ86:BL86)</f>
        <v>-38.888999999999996</v>
      </c>
      <c r="BO86" s="1898"/>
      <c r="BP86" s="2245"/>
      <c r="BR86" s="2244">
        <f>SUM(N86:T86)+SUM(Z86:AF86)+SUM(AL86:AR86)+SUM(AX86:BD86)+SUM(BL86:BL86)</f>
        <v>-272.22300000000001</v>
      </c>
      <c r="BS86" s="2245"/>
      <c r="BT86" s="1900"/>
      <c r="BU86" s="3016"/>
      <c r="BV86" s="2251"/>
      <c r="BW86" s="2251"/>
      <c r="BX86" s="2252"/>
    </row>
    <row r="87" spans="2:76" s="1726" customFormat="1" ht="17.25" thickBot="1" x14ac:dyDescent="0.25">
      <c r="B87" s="2355"/>
      <c r="C87" s="2356" t="s">
        <v>272</v>
      </c>
      <c r="D87" s="1861"/>
      <c r="E87" s="2664">
        <f>E85+E86</f>
        <v>11752.5</v>
      </c>
      <c r="F87" s="2665"/>
      <c r="G87" s="2666"/>
      <c r="H87" s="2667"/>
      <c r="I87" s="2668"/>
      <c r="J87" s="2669">
        <f>J85+J86</f>
        <v>435.27777777777783</v>
      </c>
      <c r="K87" s="2670">
        <f>K85+K86</f>
        <v>87.055555555555557</v>
      </c>
      <c r="L87" s="2216"/>
      <c r="M87" s="2055"/>
      <c r="N87" s="2226" t="str">
        <f>IF(N80&lt;0,"0.000",N80)</f>
        <v>0.000</v>
      </c>
      <c r="O87" s="2671" t="str">
        <f t="shared" ref="O87:T87" si="746">IF(O80&lt;0,"0.000",O80)</f>
        <v>0.000</v>
      </c>
      <c r="P87" s="2671" t="str">
        <f t="shared" si="746"/>
        <v>0.000</v>
      </c>
      <c r="Q87" s="2671" t="str">
        <f t="shared" si="746"/>
        <v>0.000</v>
      </c>
      <c r="R87" s="2671" t="str">
        <f t="shared" si="746"/>
        <v>0.000</v>
      </c>
      <c r="S87" s="2671" t="str">
        <f t="shared" si="746"/>
        <v>0.000</v>
      </c>
      <c r="T87" s="2672" t="str">
        <f t="shared" si="746"/>
        <v>0.000</v>
      </c>
      <c r="U87" s="3019"/>
      <c r="V87" s="2226">
        <f t="shared" si="735"/>
        <v>0</v>
      </c>
      <c r="W87" s="2671"/>
      <c r="X87" s="2672"/>
      <c r="Y87" s="1862"/>
      <c r="Z87" s="2226" t="str">
        <f t="shared" ref="Z87:AF87" si="747">IF(Z80&lt;0,"0.000",Z80)</f>
        <v>0.000</v>
      </c>
      <c r="AA87" s="2671" t="str">
        <f t="shared" si="747"/>
        <v>0.000</v>
      </c>
      <c r="AB87" s="2671" t="str">
        <f t="shared" si="747"/>
        <v>0.000</v>
      </c>
      <c r="AC87" s="2671" t="str">
        <f t="shared" si="747"/>
        <v>0.000</v>
      </c>
      <c r="AD87" s="2671" t="str">
        <f t="shared" si="747"/>
        <v>0.000</v>
      </c>
      <c r="AE87" s="2671" t="str">
        <f t="shared" si="747"/>
        <v>0.000</v>
      </c>
      <c r="AF87" s="2672" t="str">
        <f t="shared" si="747"/>
        <v>0.000</v>
      </c>
      <c r="AG87" s="1862"/>
      <c r="AH87" s="2226">
        <f t="shared" si="725"/>
        <v>0</v>
      </c>
      <c r="AI87" s="2671"/>
      <c r="AJ87" s="2672"/>
      <c r="AK87" s="1862"/>
      <c r="AL87" s="2226">
        <f t="shared" ref="AL87:AR87" si="748">IF(AL80&lt;0,"0.000",AL80)</f>
        <v>65.269547789725209</v>
      </c>
      <c r="AM87" s="2671">
        <f t="shared" si="748"/>
        <v>61.106547789725234</v>
      </c>
      <c r="AN87" s="2671">
        <f t="shared" si="748"/>
        <v>96.319047789725204</v>
      </c>
      <c r="AO87" s="2671" t="str">
        <f t="shared" si="748"/>
        <v>0.000</v>
      </c>
      <c r="AP87" s="2671" t="str">
        <f t="shared" si="748"/>
        <v>0.000</v>
      </c>
      <c r="AQ87" s="2671" t="str">
        <f t="shared" si="748"/>
        <v>0.000</v>
      </c>
      <c r="AR87" s="2672">
        <f t="shared" si="748"/>
        <v>0</v>
      </c>
      <c r="AS87" s="3019"/>
      <c r="AT87" s="2226">
        <f t="shared" si="727"/>
        <v>222.69514336917564</v>
      </c>
      <c r="AU87" s="2671"/>
      <c r="AV87" s="2672"/>
      <c r="AW87" s="3019"/>
      <c r="AX87" s="2226">
        <f t="shared" ref="AX87:BD87" si="749">IF(AX80&lt;0,"0.000",AX80)</f>
        <v>0</v>
      </c>
      <c r="AY87" s="2671">
        <f t="shared" si="749"/>
        <v>0</v>
      </c>
      <c r="AZ87" s="2671">
        <f t="shared" si="749"/>
        <v>0</v>
      </c>
      <c r="BA87" s="2671" t="str">
        <f t="shared" si="749"/>
        <v>0.000</v>
      </c>
      <c r="BB87" s="2671">
        <f t="shared" si="749"/>
        <v>36.683907407407432</v>
      </c>
      <c r="BC87" s="2671" t="str">
        <f t="shared" si="749"/>
        <v>0.000</v>
      </c>
      <c r="BD87" s="2672" t="str">
        <f t="shared" si="749"/>
        <v>0.000</v>
      </c>
      <c r="BE87" s="3019"/>
      <c r="BF87" s="2226">
        <f t="shared" si="729"/>
        <v>36.683907407407432</v>
      </c>
      <c r="BG87" s="2671"/>
      <c r="BH87" s="2672"/>
      <c r="BI87" s="3019"/>
      <c r="BJ87" s="2226" t="str">
        <f t="shared" ref="BJ87:BK87" si="750">IF(BJ80&lt;0,"0.000",BJ80)</f>
        <v>0.000</v>
      </c>
      <c r="BK87" s="2671" t="str">
        <f t="shared" si="750"/>
        <v>0.000</v>
      </c>
      <c r="BL87" s="2672" t="str">
        <f>IF(BL80&lt;0,"0.000",BL80)</f>
        <v>0.000</v>
      </c>
      <c r="BM87" s="3019"/>
      <c r="BN87" s="2226">
        <f t="shared" si="745"/>
        <v>0</v>
      </c>
      <c r="BO87" s="2671"/>
      <c r="BP87" s="2672"/>
      <c r="BR87" s="2226">
        <f>SUM(N87:T87)+SUM(Z87:AF87)+SUM(AL87:AR87)+SUM(AX87:BD87)+SUM(BL87:BL87)</f>
        <v>259.37905077658309</v>
      </c>
      <c r="BS87" s="2672"/>
      <c r="BT87" s="1740"/>
      <c r="BU87" s="3019"/>
      <c r="BV87" s="2246"/>
      <c r="BW87" s="2246"/>
      <c r="BX87" s="2247"/>
    </row>
    <row r="88" spans="2:76" s="1726" customFormat="1" ht="4.5" customHeight="1" thickBot="1" x14ac:dyDescent="0.25">
      <c r="B88" s="1740"/>
      <c r="C88" s="1740"/>
      <c r="D88" s="1861"/>
      <c r="E88" s="1740"/>
      <c r="F88" s="1740"/>
      <c r="G88" s="1740"/>
      <c r="H88" s="1740"/>
      <c r="I88" s="1740"/>
      <c r="J88" s="1740"/>
      <c r="K88" s="1997"/>
      <c r="L88" s="1760"/>
      <c r="M88" s="3018"/>
      <c r="N88" s="1740"/>
      <c r="O88" s="1740"/>
      <c r="P88" s="1740"/>
      <c r="Q88" s="1740"/>
      <c r="R88" s="1740"/>
      <c r="S88" s="1740"/>
      <c r="T88" s="1740"/>
      <c r="U88" s="1861"/>
      <c r="V88" s="1740"/>
      <c r="W88" s="1740"/>
      <c r="X88" s="1740"/>
      <c r="Y88" s="1860"/>
      <c r="Z88" s="1740"/>
      <c r="AA88" s="1740"/>
      <c r="AB88" s="1740"/>
      <c r="AC88" s="1740"/>
      <c r="AD88" s="1740"/>
      <c r="AE88" s="1740"/>
      <c r="AF88" s="1740"/>
      <c r="AG88" s="1860"/>
      <c r="AH88" s="1740"/>
      <c r="AI88" s="1740"/>
      <c r="AJ88" s="1740"/>
      <c r="AK88" s="1860"/>
      <c r="AL88" s="1740"/>
      <c r="AM88" s="1740"/>
      <c r="AN88" s="1740"/>
      <c r="AO88" s="1740"/>
      <c r="AP88" s="1740"/>
      <c r="AQ88" s="1740"/>
      <c r="AR88" s="1740"/>
      <c r="AS88" s="1861"/>
      <c r="AT88" s="1740"/>
      <c r="AU88" s="1740"/>
      <c r="AV88" s="1740"/>
      <c r="AW88" s="1861"/>
      <c r="AX88" s="1740"/>
      <c r="AY88" s="1740"/>
      <c r="AZ88" s="1740"/>
      <c r="BA88" s="1740"/>
      <c r="BB88" s="1740"/>
      <c r="BC88" s="1740"/>
      <c r="BD88" s="1740"/>
      <c r="BE88" s="1861"/>
      <c r="BF88" s="1740"/>
      <c r="BG88" s="1740"/>
      <c r="BH88" s="1740"/>
      <c r="BI88" s="1740"/>
      <c r="BJ88" s="1740"/>
      <c r="BK88" s="1740"/>
      <c r="BL88" s="1740"/>
      <c r="BM88" s="1740"/>
      <c r="BN88" s="1740"/>
      <c r="BO88" s="1740"/>
      <c r="BP88" s="1740"/>
      <c r="BR88" s="1740"/>
      <c r="BS88" s="1740"/>
      <c r="BT88" s="1740"/>
      <c r="BU88" s="1740"/>
      <c r="BV88" s="1740"/>
      <c r="BW88" s="1861"/>
    </row>
    <row r="89" spans="2:76" s="1885" customFormat="1" ht="17.25" thickBot="1" x14ac:dyDescent="0.25">
      <c r="B89" s="2117"/>
      <c r="C89" s="2212"/>
      <c r="D89" s="2119"/>
      <c r="E89" s="2123">
        <f>SUM(E82:E86)</f>
        <v>25478.5</v>
      </c>
      <c r="F89" s="2121"/>
      <c r="G89" s="2121"/>
      <c r="H89" s="2121"/>
      <c r="I89" s="2121"/>
      <c r="J89" s="2121">
        <f>E89/27</f>
        <v>943.64814814814815</v>
      </c>
      <c r="K89" s="2129">
        <f>J89*20%</f>
        <v>188.72962962962964</v>
      </c>
      <c r="L89" s="2213"/>
      <c r="M89" s="2214"/>
      <c r="N89" s="2120">
        <f>SUM(N82:N87)</f>
        <v>-63.223629629629627</v>
      </c>
      <c r="O89" s="2123">
        <f t="shared" ref="O89:T89" si="751">SUM(O82:O87)</f>
        <v>-47.46312962962962</v>
      </c>
      <c r="P89" s="2123">
        <f t="shared" si="751"/>
        <v>-15.115629629629629</v>
      </c>
      <c r="Q89" s="2123">
        <f t="shared" si="751"/>
        <v>-40.470129629629625</v>
      </c>
      <c r="R89" s="2123">
        <f t="shared" si="751"/>
        <v>-65.441129629629629</v>
      </c>
      <c r="S89" s="2123">
        <f t="shared" si="751"/>
        <v>-94.858537037037024</v>
      </c>
      <c r="T89" s="2124">
        <f t="shared" si="751"/>
        <v>-47.110629629629628</v>
      </c>
      <c r="U89" s="1951"/>
      <c r="V89" s="2120">
        <f>SUM(N89:T89)</f>
        <v>-373.68281481481478</v>
      </c>
      <c r="W89" s="2123"/>
      <c r="X89" s="2124"/>
      <c r="Y89" s="1956"/>
      <c r="Z89" s="2120">
        <f t="shared" ref="Z89:AF89" si="752">SUM(Z82:Z87)</f>
        <v>-91.890037037037018</v>
      </c>
      <c r="AA89" s="2123">
        <f t="shared" si="752"/>
        <v>-51.063129629629628</v>
      </c>
      <c r="AB89" s="2123">
        <f t="shared" si="752"/>
        <v>-59.594629629629623</v>
      </c>
      <c r="AC89" s="2123">
        <f t="shared" si="752"/>
        <v>-61.536129629629627</v>
      </c>
      <c r="AD89" s="2123">
        <f t="shared" si="752"/>
        <v>-72.628629629629629</v>
      </c>
      <c r="AE89" s="2123">
        <f t="shared" si="752"/>
        <v>-105.63253703703703</v>
      </c>
      <c r="AF89" s="2124">
        <f t="shared" si="752"/>
        <v>-47.127129629629621</v>
      </c>
      <c r="AG89" s="1956"/>
      <c r="AH89" s="2120">
        <f>SUM(Z89:AF89)</f>
        <v>-489.47222222222217</v>
      </c>
      <c r="AI89" s="2123"/>
      <c r="AJ89" s="2124"/>
      <c r="AK89" s="1955"/>
      <c r="AL89" s="2120">
        <f t="shared" ref="AL89:AR89" si="753">SUM(AL82:AL87)</f>
        <v>65.269547789725209</v>
      </c>
      <c r="AM89" s="2121">
        <f t="shared" si="753"/>
        <v>61.106547789725234</v>
      </c>
      <c r="AN89" s="2121">
        <f t="shared" si="753"/>
        <v>96.319047789725204</v>
      </c>
      <c r="AO89" s="2121">
        <f t="shared" si="753"/>
        <v>-19.719629629629615</v>
      </c>
      <c r="AP89" s="2121">
        <f t="shared" si="753"/>
        <v>-47.578129629629629</v>
      </c>
      <c r="AQ89" s="2121">
        <f t="shared" si="753"/>
        <v>-21.203129629629636</v>
      </c>
      <c r="AR89" s="2124">
        <f t="shared" si="753"/>
        <v>0</v>
      </c>
      <c r="AS89" s="2254"/>
      <c r="AT89" s="2120">
        <f>SUM(AL89:AR89)</f>
        <v>134.19425448028676</v>
      </c>
      <c r="AU89" s="2123"/>
      <c r="AV89" s="2124"/>
      <c r="AW89" s="1951"/>
      <c r="AX89" s="2120">
        <f t="shared" ref="AX89:BD89" si="754">SUM(AX82:AX87)</f>
        <v>0</v>
      </c>
      <c r="AY89" s="2121">
        <f t="shared" si="754"/>
        <v>0</v>
      </c>
      <c r="AZ89" s="2121">
        <f t="shared" si="754"/>
        <v>0</v>
      </c>
      <c r="BA89" s="2121">
        <f t="shared" si="754"/>
        <v>-74.592629629629627</v>
      </c>
      <c r="BB89" s="2121">
        <f t="shared" si="754"/>
        <v>36.683907407407432</v>
      </c>
      <c r="BC89" s="2121">
        <f t="shared" si="754"/>
        <v>-39.48912962962963</v>
      </c>
      <c r="BD89" s="2124">
        <f t="shared" si="754"/>
        <v>-74.592629629629627</v>
      </c>
      <c r="BE89" s="1951"/>
      <c r="BF89" s="2120">
        <f>SUM(AX89:BD89)</f>
        <v>-151.99048148148145</v>
      </c>
      <c r="BG89" s="2123"/>
      <c r="BH89" s="2124"/>
      <c r="BI89" s="1900"/>
      <c r="BJ89" s="2120">
        <f t="shared" ref="BJ89:BL89" si="755">SUM(BJ82:BJ87)</f>
        <v>-74.592629629629627</v>
      </c>
      <c r="BK89" s="2121">
        <f t="shared" si="755"/>
        <v>-74.592629629629627</v>
      </c>
      <c r="BL89" s="2124">
        <f t="shared" si="755"/>
        <v>-43.709851851851859</v>
      </c>
      <c r="BM89" s="2317"/>
      <c r="BN89" s="2215">
        <f>SUM(BJ89:BL89)</f>
        <v>-192.89511111111111</v>
      </c>
      <c r="BO89" s="2318"/>
      <c r="BP89" s="2118"/>
      <c r="BQ89" s="1897"/>
      <c r="BR89" s="2215">
        <f>SUM(N89:T89)+SUM(Z89:AF89)+SUM(AL89:AR89)+SUM(AX89:BD89)+SUM(BL89:BL89)</f>
        <v>-924.66111589008347</v>
      </c>
      <c r="BS89" s="2130"/>
      <c r="BT89" s="1900"/>
      <c r="BU89" s="1900"/>
      <c r="BV89" s="1900"/>
      <c r="BW89" s="2011"/>
    </row>
    <row r="90" spans="2:76" s="1726" customFormat="1" ht="4.5" customHeight="1" thickBot="1" x14ac:dyDescent="0.25">
      <c r="B90" s="1740"/>
      <c r="C90" s="1740"/>
      <c r="D90" s="1861"/>
      <c r="E90" s="1740"/>
      <c r="F90" s="1740"/>
      <c r="G90" s="1740"/>
      <c r="H90" s="1740"/>
      <c r="I90" s="1740"/>
      <c r="J90" s="1740"/>
      <c r="K90" s="1861"/>
      <c r="L90" s="1827"/>
      <c r="M90" s="1810"/>
      <c r="N90" s="1740"/>
      <c r="O90" s="1740"/>
      <c r="P90" s="1740"/>
      <c r="Q90" s="1740"/>
      <c r="R90" s="1740"/>
      <c r="S90" s="1740"/>
      <c r="T90" s="1740"/>
      <c r="U90" s="1861"/>
      <c r="V90" s="1740"/>
      <c r="W90" s="1740"/>
      <c r="X90" s="1740"/>
      <c r="Y90" s="1860"/>
      <c r="AG90" s="1860"/>
      <c r="AH90" s="1740"/>
      <c r="AI90" s="1740"/>
      <c r="AJ90" s="1740"/>
      <c r="AK90" s="1860"/>
      <c r="AL90" s="1740"/>
      <c r="AM90" s="1740"/>
      <c r="AN90" s="1740"/>
      <c r="AO90" s="1740"/>
      <c r="AP90" s="1740"/>
      <c r="AQ90" s="1740"/>
      <c r="AR90" s="1740"/>
      <c r="AS90" s="1861"/>
      <c r="AT90" s="1740"/>
      <c r="AU90" s="1740"/>
      <c r="AV90" s="1740"/>
      <c r="AW90" s="1861"/>
      <c r="AX90" s="1740"/>
      <c r="AY90" s="1740"/>
      <c r="AZ90" s="1740"/>
      <c r="BA90" s="1740"/>
      <c r="BB90" s="1740"/>
      <c r="BC90" s="1740"/>
      <c r="BD90" s="1740"/>
      <c r="BE90" s="1861"/>
      <c r="BF90" s="1740"/>
      <c r="BG90" s="1740"/>
      <c r="BH90" s="1740"/>
      <c r="BI90" s="1740"/>
      <c r="BJ90" s="1740"/>
      <c r="BK90" s="1740"/>
      <c r="BL90" s="1740"/>
      <c r="BM90" s="1740"/>
      <c r="BN90" s="1740"/>
      <c r="BO90" s="1740"/>
      <c r="BP90" s="1740"/>
      <c r="BR90" s="1740"/>
      <c r="BS90" s="1740"/>
      <c r="BT90" s="1740"/>
      <c r="BU90" s="1740"/>
      <c r="BV90" s="1740"/>
      <c r="BW90" s="1861"/>
    </row>
    <row r="91" spans="2:76" s="1726" customFormat="1" ht="17.25" thickBot="1" x14ac:dyDescent="0.25">
      <c r="B91" s="2049"/>
      <c r="C91" s="2050"/>
      <c r="D91" s="2051"/>
      <c r="E91" s="2052">
        <f>E89*20%</f>
        <v>5095.7000000000007</v>
      </c>
      <c r="F91" s="2053"/>
      <c r="G91" s="2053"/>
      <c r="H91" s="2053"/>
      <c r="I91" s="2053"/>
      <c r="J91" s="2053"/>
      <c r="K91" s="2253"/>
      <c r="L91" s="2216"/>
      <c r="M91" s="2055"/>
      <c r="N91" s="2056">
        <f>N89*100/20</f>
        <v>-316.11814814814818</v>
      </c>
      <c r="O91" s="2052">
        <f t="shared" ref="O91:T91" si="756">O89*100/30</f>
        <v>-158.21043209876541</v>
      </c>
      <c r="P91" s="2052">
        <f t="shared" si="756"/>
        <v>-50.385432098765435</v>
      </c>
      <c r="Q91" s="2052">
        <f t="shared" si="756"/>
        <v>-134.90043209876541</v>
      </c>
      <c r="R91" s="2052">
        <f t="shared" si="756"/>
        <v>-218.13709876543211</v>
      </c>
      <c r="S91" s="2052">
        <f t="shared" si="756"/>
        <v>-316.1951234567901</v>
      </c>
      <c r="T91" s="2192">
        <f t="shared" si="756"/>
        <v>-157.03543209876543</v>
      </c>
      <c r="U91" s="2300"/>
      <c r="V91" s="2056">
        <f>SUM(N91:T91)</f>
        <v>-1350.9820987654321</v>
      </c>
      <c r="W91" s="2052"/>
      <c r="X91" s="2057"/>
      <c r="Y91" s="1766"/>
      <c r="Z91" s="2673">
        <f t="shared" ref="Z91:AF91" si="757">Z89*100/30</f>
        <v>-306.30012345679006</v>
      </c>
      <c r="AA91" s="2674">
        <f t="shared" si="757"/>
        <v>-170.21043209876544</v>
      </c>
      <c r="AB91" s="2674">
        <f t="shared" si="757"/>
        <v>-198.64876543209874</v>
      </c>
      <c r="AC91" s="2052">
        <f t="shared" si="757"/>
        <v>-205.12043209876543</v>
      </c>
      <c r="AD91" s="2674">
        <f t="shared" si="757"/>
        <v>-242.09543209876543</v>
      </c>
      <c r="AE91" s="2674">
        <f t="shared" si="757"/>
        <v>-352.1084567901234</v>
      </c>
      <c r="AF91" s="2675">
        <f t="shared" si="757"/>
        <v>-157.09043209876538</v>
      </c>
      <c r="AG91" s="1766"/>
      <c r="AH91" s="2056">
        <f>SUM(Z91:AF91)</f>
        <v>-1631.5740740740739</v>
      </c>
      <c r="AI91" s="2052"/>
      <c r="AJ91" s="2057"/>
      <c r="AK91" s="1764"/>
      <c r="AL91" s="2056">
        <f t="shared" ref="AL91:AR91" si="758">AL89*100/30</f>
        <v>217.56515929908403</v>
      </c>
      <c r="AM91" s="2053">
        <f t="shared" si="758"/>
        <v>203.68849263241745</v>
      </c>
      <c r="AN91" s="2053">
        <f t="shared" si="758"/>
        <v>321.06349263241736</v>
      </c>
      <c r="AO91" s="2053">
        <f t="shared" si="758"/>
        <v>-65.732098765432042</v>
      </c>
      <c r="AP91" s="2053">
        <f t="shared" si="758"/>
        <v>-158.59376543209876</v>
      </c>
      <c r="AQ91" s="2053">
        <f t="shared" si="758"/>
        <v>-70.67709876543212</v>
      </c>
      <c r="AR91" s="2057">
        <f t="shared" si="758"/>
        <v>0</v>
      </c>
      <c r="AS91" s="2300"/>
      <c r="AT91" s="2056">
        <f>SUM(AL91:AR91)</f>
        <v>447.31418160095598</v>
      </c>
      <c r="AU91" s="2052"/>
      <c r="AV91" s="2057"/>
      <c r="AW91" s="1814"/>
      <c r="AX91" s="2056">
        <f t="shared" ref="AX91:BD91" si="759">AX89*100/30</f>
        <v>0</v>
      </c>
      <c r="AY91" s="2053">
        <f t="shared" si="759"/>
        <v>0</v>
      </c>
      <c r="AZ91" s="2053">
        <f t="shared" si="759"/>
        <v>0</v>
      </c>
      <c r="BA91" s="2053">
        <f t="shared" si="759"/>
        <v>-248.64209876543208</v>
      </c>
      <c r="BB91" s="2053">
        <f t="shared" si="759"/>
        <v>122.27969135802478</v>
      </c>
      <c r="BC91" s="2053">
        <f t="shared" si="759"/>
        <v>-131.63043209876543</v>
      </c>
      <c r="BD91" s="2057">
        <f t="shared" si="759"/>
        <v>-248.64209876543208</v>
      </c>
      <c r="BE91" s="1814"/>
      <c r="BF91" s="2056">
        <f>SUM(AX91:BD91)</f>
        <v>-506.63493827160482</v>
      </c>
      <c r="BG91" s="2052"/>
      <c r="BH91" s="2057"/>
      <c r="BI91" s="1740"/>
      <c r="BJ91" s="2056">
        <f t="shared" ref="BJ91:BL91" si="760">BJ89*100/30</f>
        <v>-248.64209876543208</v>
      </c>
      <c r="BK91" s="2053">
        <f t="shared" si="760"/>
        <v>-248.64209876543208</v>
      </c>
      <c r="BL91" s="2057">
        <f t="shared" si="760"/>
        <v>-145.69950617283953</v>
      </c>
      <c r="BM91" s="2301"/>
      <c r="BN91" s="2058">
        <f>SUM(BJ91:BL91)</f>
        <v>-642.98370370370367</v>
      </c>
      <c r="BO91" s="2324"/>
      <c r="BP91" s="2190"/>
      <c r="BQ91" s="1862"/>
      <c r="BR91" s="2058">
        <f>SUM(N91:T91)+SUM(Z91:AF91)+SUM(AL91:AR91)+SUM(AX91:BD91)+SUM(BL91:BL91)</f>
        <v>-3187.5764356829941</v>
      </c>
      <c r="BS91" s="2676">
        <f>BR91/CA20</f>
        <v>-118.05838650677755</v>
      </c>
      <c r="BT91" s="1740"/>
      <c r="BU91" s="1740"/>
      <c r="BV91" s="1740"/>
      <c r="BW91" s="1861"/>
    </row>
    <row r="93" spans="2:76" ht="20.25" x14ac:dyDescent="0.2">
      <c r="C93" s="2448"/>
      <c r="D93" s="2450"/>
      <c r="E93" s="2449"/>
      <c r="F93" s="2449"/>
      <c r="G93" s="2449"/>
      <c r="H93" s="2449"/>
      <c r="I93" s="2449"/>
      <c r="J93" s="2449"/>
      <c r="K93" s="2983">
        <f>K94/27</f>
        <v>281.48148148148147</v>
      </c>
    </row>
    <row r="94" spans="2:76" ht="18" x14ac:dyDescent="0.2">
      <c r="C94" s="2448">
        <f>E94*20%</f>
        <v>9000</v>
      </c>
      <c r="D94" s="2450"/>
      <c r="E94" s="2449">
        <v>45000</v>
      </c>
      <c r="F94" s="2449"/>
      <c r="G94" s="2449"/>
      <c r="H94" s="2449"/>
      <c r="I94" s="2449"/>
      <c r="J94" s="2449">
        <v>38000</v>
      </c>
      <c r="K94" s="2449">
        <f>J94*20%</f>
        <v>7600</v>
      </c>
      <c r="P94" s="2255"/>
      <c r="Q94" s="2256"/>
      <c r="R94" s="2256"/>
      <c r="S94" s="2257"/>
      <c r="T94" s="2257"/>
      <c r="U94" s="1915"/>
    </row>
    <row r="95" spans="2:76" ht="18" x14ac:dyDescent="0.2">
      <c r="C95" s="2451">
        <f>C94-E42</f>
        <v>6254.8</v>
      </c>
      <c r="D95" s="3021"/>
      <c r="E95" s="2771"/>
      <c r="F95" s="2771"/>
      <c r="G95" s="2771"/>
      <c r="H95" s="2771"/>
      <c r="I95" s="2771"/>
      <c r="J95" s="2449">
        <f>J94/27</f>
        <v>1407.4074074074074</v>
      </c>
      <c r="K95" s="2449">
        <f>K94-E42</f>
        <v>4854.8</v>
      </c>
      <c r="AM95" s="2257"/>
    </row>
    <row r="96" spans="2:76" ht="18" x14ac:dyDescent="0.2">
      <c r="C96" s="2452">
        <f>C95/2</f>
        <v>3127.4</v>
      </c>
      <c r="D96" s="3021"/>
      <c r="E96" s="2771"/>
      <c r="F96" s="2771"/>
      <c r="G96" s="2771"/>
      <c r="H96" s="2771"/>
      <c r="I96" s="2771"/>
      <c r="J96" s="2450"/>
      <c r="K96" s="2771">
        <f>K95/2</f>
        <v>2427.4</v>
      </c>
    </row>
    <row r="97" spans="11:11" ht="18" x14ac:dyDescent="0.2">
      <c r="K97" s="2449"/>
    </row>
  </sheetData>
  <sortState xmlns:xlrd2="http://schemas.microsoft.com/office/spreadsheetml/2017/richdata2" ref="C17:K40">
    <sortCondition descending="1" ref="K40"/>
  </sortState>
  <mergeCells count="89">
    <mergeCell ref="CB13:CB14"/>
    <mergeCell ref="BS1:BS14"/>
    <mergeCell ref="BU1:BX2"/>
    <mergeCell ref="CD1:CD2"/>
    <mergeCell ref="J4:K4"/>
    <mergeCell ref="BJ1:BL2"/>
    <mergeCell ref="CI1:CI2"/>
    <mergeCell ref="CJ1:CJ2"/>
    <mergeCell ref="K10:K11"/>
    <mergeCell ref="BZ10:CA11"/>
    <mergeCell ref="CE1:CE2"/>
    <mergeCell ref="CF1:CF2"/>
    <mergeCell ref="CH1:CH2"/>
    <mergeCell ref="AT1:AV2"/>
    <mergeCell ref="AX1:BD2"/>
    <mergeCell ref="BF1:BH2"/>
    <mergeCell ref="BN1:BP2"/>
    <mergeCell ref="BR1:BR14"/>
    <mergeCell ref="C1:K2"/>
    <mergeCell ref="N1:T2"/>
    <mergeCell ref="V1:X2"/>
    <mergeCell ref="CA13:CA14"/>
    <mergeCell ref="V16:X16"/>
    <mergeCell ref="AH16:AJ16"/>
    <mergeCell ref="AT16:AV16"/>
    <mergeCell ref="Z1:AF2"/>
    <mergeCell ref="AH1:AJ2"/>
    <mergeCell ref="AL1:AR2"/>
    <mergeCell ref="BF16:BH16"/>
    <mergeCell ref="BU47:BV47"/>
    <mergeCell ref="BX48:BX57"/>
    <mergeCell ref="BZ48:BZ57"/>
    <mergeCell ref="BX61:BX70"/>
    <mergeCell ref="B82:B83"/>
    <mergeCell ref="C82:C83"/>
    <mergeCell ref="E82:E83"/>
    <mergeCell ref="J82:J83"/>
    <mergeCell ref="K82:K83"/>
    <mergeCell ref="AO82:AO83"/>
    <mergeCell ref="N82:N83"/>
    <mergeCell ref="AB82:AB83"/>
    <mergeCell ref="O82:O83"/>
    <mergeCell ref="P82:P83"/>
    <mergeCell ref="Q82:Q83"/>
    <mergeCell ref="R82:R83"/>
    <mergeCell ref="S82:S83"/>
    <mergeCell ref="T82:T83"/>
    <mergeCell ref="V82:V83"/>
    <mergeCell ref="W82:W83"/>
    <mergeCell ref="X82:X83"/>
    <mergeCell ref="Z82:Z83"/>
    <mergeCell ref="AA82:AA83"/>
    <mergeCell ref="AI82:AI83"/>
    <mergeCell ref="AJ82:AJ83"/>
    <mergeCell ref="AL82:AL83"/>
    <mergeCell ref="AM82:AM83"/>
    <mergeCell ref="AN82:AN83"/>
    <mergeCell ref="AC82:AC83"/>
    <mergeCell ref="AD82:AD83"/>
    <mergeCell ref="AE82:AE83"/>
    <mergeCell ref="AF82:AF83"/>
    <mergeCell ref="AH82:AH83"/>
    <mergeCell ref="AZ82:AZ83"/>
    <mergeCell ref="BA82:BA83"/>
    <mergeCell ref="BB82:BB83"/>
    <mergeCell ref="BC82:BC83"/>
    <mergeCell ref="AP82:AP83"/>
    <mergeCell ref="BJ82:BJ83"/>
    <mergeCell ref="BK82:BK83"/>
    <mergeCell ref="BO82:BO83"/>
    <mergeCell ref="BN16:BP16"/>
    <mergeCell ref="BL82:BL83"/>
    <mergeCell ref="BN82:BN83"/>
    <mergeCell ref="C3:C8"/>
    <mergeCell ref="J3:K3"/>
    <mergeCell ref="BP82:BP83"/>
    <mergeCell ref="BR82:BR83"/>
    <mergeCell ref="BS82:BS83"/>
    <mergeCell ref="BF82:BF83"/>
    <mergeCell ref="BG82:BG83"/>
    <mergeCell ref="BH82:BH83"/>
    <mergeCell ref="BD82:BD83"/>
    <mergeCell ref="AQ82:AQ83"/>
    <mergeCell ref="AR82:AR83"/>
    <mergeCell ref="AT82:AT83"/>
    <mergeCell ref="AU82:AU83"/>
    <mergeCell ref="AV82:AV83"/>
    <mergeCell ref="AX82:AX83"/>
    <mergeCell ref="AY82:AY83"/>
  </mergeCells>
  <conditionalFormatting sqref="BS85">
    <cfRule type="cellIs" dxfId="283" priority="56" operator="greaterThan">
      <formula>0</formula>
    </cfRule>
    <cfRule type="cellIs" dxfId="282" priority="57" operator="lessThan">
      <formula>0</formula>
    </cfRule>
  </conditionalFormatting>
  <conditionalFormatting sqref="AL5:AR5">
    <cfRule type="cellIs" dxfId="281" priority="53" operator="lessThan">
      <formula>$J$82</formula>
    </cfRule>
    <cfRule type="cellIs" dxfId="280" priority="54" operator="between">
      <formula>$J$82</formula>
      <formula>$J$89</formula>
    </cfRule>
    <cfRule type="cellIs" dxfId="279" priority="55" operator="greaterThan">
      <formula>$J$95</formula>
    </cfRule>
  </conditionalFormatting>
  <conditionalFormatting sqref="AL6:AR6">
    <cfRule type="cellIs" dxfId="278" priority="58" operator="lessThan">
      <formula>$K$82</formula>
    </cfRule>
    <cfRule type="cellIs" dxfId="277" priority="59" operator="between">
      <formula>$K$82</formula>
      <formula>$K$89</formula>
    </cfRule>
    <cfRule type="cellIs" dxfId="276" priority="60" operator="greaterThan">
      <formula>$K$93</formula>
    </cfRule>
    <cfRule type="cellIs" dxfId="275" priority="61" operator="greaterThan">
      <formula>$J$95</formula>
    </cfRule>
  </conditionalFormatting>
  <conditionalFormatting sqref="AX5:BD5">
    <cfRule type="cellIs" dxfId="274" priority="43" operator="lessThan">
      <formula>$J$82</formula>
    </cfRule>
    <cfRule type="cellIs" dxfId="273" priority="44" operator="between">
      <formula>$J$82</formula>
      <formula>$J$89</formula>
    </cfRule>
    <cfRule type="cellIs" dxfId="272" priority="45" operator="greaterThan">
      <formula>$J$95</formula>
    </cfRule>
  </conditionalFormatting>
  <conditionalFormatting sqref="AX6:BD6">
    <cfRule type="cellIs" dxfId="271" priority="46" operator="lessThan">
      <formula>$K$82</formula>
    </cfRule>
    <cfRule type="cellIs" dxfId="270" priority="47" operator="between">
      <formula>$K$82</formula>
      <formula>$K$89</formula>
    </cfRule>
    <cfRule type="cellIs" dxfId="269" priority="48" operator="greaterThan">
      <formula>$K$93</formula>
    </cfRule>
    <cfRule type="cellIs" dxfId="268" priority="49" operator="greaterThan">
      <formula>$J$95</formula>
    </cfRule>
  </conditionalFormatting>
  <conditionalFormatting sqref="N5">
    <cfRule type="cellIs" dxfId="267" priority="40" operator="between">
      <formula>$J$16</formula>
      <formula>$J$95</formula>
    </cfRule>
    <cfRule type="cellIs" dxfId="266" priority="41" operator="lessThan">
      <formula>$J$16</formula>
    </cfRule>
    <cfRule type="cellIs" dxfId="265" priority="42" operator="greaterThan">
      <formula>$J$95</formula>
    </cfRule>
  </conditionalFormatting>
  <conditionalFormatting sqref="N5:T5">
    <cfRule type="cellIs" dxfId="264" priority="37" operator="between">
      <formula>$J$16</formula>
      <formula>$J$95</formula>
    </cfRule>
    <cfRule type="cellIs" dxfId="263" priority="38" operator="lessThan">
      <formula>$J$16</formula>
    </cfRule>
    <cfRule type="cellIs" dxfId="262" priority="39" operator="greaterThan">
      <formula>$J$95</formula>
    </cfRule>
  </conditionalFormatting>
  <conditionalFormatting sqref="N6:T6">
    <cfRule type="cellIs" dxfId="261" priority="34" operator="between">
      <formula>$J$42</formula>
      <formula>$K$93</formula>
    </cfRule>
    <cfRule type="cellIs" dxfId="260" priority="35" operator="lessThan">
      <formula>$J$42</formula>
    </cfRule>
    <cfRule type="cellIs" dxfId="259" priority="36" operator="greaterThan">
      <formula>$K$93</formula>
    </cfRule>
  </conditionalFormatting>
  <conditionalFormatting sqref="Z5:AF5">
    <cfRule type="cellIs" dxfId="258" priority="31" operator="between">
      <formula>$J$16</formula>
      <formula>$J$95</formula>
    </cfRule>
    <cfRule type="cellIs" dxfId="257" priority="32" operator="lessThan">
      <formula>$J$16</formula>
    </cfRule>
    <cfRule type="cellIs" dxfId="256" priority="33" operator="greaterThan">
      <formula>$J$95</formula>
    </cfRule>
  </conditionalFormatting>
  <conditionalFormatting sqref="Z6:AF6">
    <cfRule type="cellIs" dxfId="255" priority="27" operator="between">
      <formula>$J$42</formula>
      <formula>$K$93</formula>
    </cfRule>
    <cfRule type="cellIs" dxfId="254" priority="28" operator="lessThan">
      <formula>$J$42</formula>
    </cfRule>
    <cfRule type="cellIs" dxfId="253" priority="29" operator="greaterThan">
      <formula>$K$93</formula>
    </cfRule>
    <cfRule type="cellIs" dxfId="252" priority="30" operator="greaterThan">
      <formula>$K$93</formula>
    </cfRule>
  </conditionalFormatting>
  <conditionalFormatting sqref="AL5:AR5">
    <cfRule type="cellIs" dxfId="251" priority="24" operator="between">
      <formula>$J$16</formula>
      <formula>$J$95</formula>
    </cfRule>
    <cfRule type="cellIs" dxfId="250" priority="25" operator="lessThan">
      <formula>$J$16</formula>
    </cfRule>
    <cfRule type="cellIs" dxfId="249" priority="26" operator="greaterThan">
      <formula>$J$95</formula>
    </cfRule>
  </conditionalFormatting>
  <conditionalFormatting sqref="AL6:AR6">
    <cfRule type="cellIs" dxfId="248" priority="21" operator="between">
      <formula>$J$42</formula>
      <formula>$K$93</formula>
    </cfRule>
    <cfRule type="cellIs" dxfId="247" priority="22" operator="lessThan">
      <formula>$J$42</formula>
    </cfRule>
    <cfRule type="cellIs" dxfId="246" priority="23" operator="greaterThan">
      <formula>$K$93</formula>
    </cfRule>
  </conditionalFormatting>
  <conditionalFormatting sqref="AX5:BD5">
    <cfRule type="cellIs" dxfId="245" priority="16" operator="between">
      <formula>$J$95</formula>
      <formula>635</formula>
    </cfRule>
    <cfRule type="cellIs" dxfId="244" priority="17" operator="lessThan">
      <formula>$J$16</formula>
    </cfRule>
    <cfRule type="cellIs" dxfId="243" priority="18" operator="greaterThan">
      <formula>$J$95</formula>
    </cfRule>
    <cfRule type="cellIs" dxfId="242" priority="19" operator="lessThan">
      <formula>$J$16</formula>
    </cfRule>
    <cfRule type="cellIs" dxfId="241" priority="20" operator="greaterThan">
      <formula>$J$95</formula>
    </cfRule>
  </conditionalFormatting>
  <conditionalFormatting sqref="AX6:BD6">
    <cfRule type="cellIs" dxfId="240" priority="13" operator="between">
      <formula>$J$42</formula>
      <formula>$K$93</formula>
    </cfRule>
    <cfRule type="cellIs" dxfId="239" priority="14" operator="lessThan">
      <formula>$J$42</formula>
    </cfRule>
    <cfRule type="cellIs" dxfId="238" priority="15" operator="greaterThan">
      <formula>$K$93</formula>
    </cfRule>
  </conditionalFormatting>
  <conditionalFormatting sqref="BJ5:BL5">
    <cfRule type="cellIs" dxfId="237" priority="4" operator="between">
      <formula>$J$16</formula>
      <formula>$J$95</formula>
    </cfRule>
    <cfRule type="cellIs" dxfId="236" priority="5" operator="lessThan">
      <formula>$J$16</formula>
    </cfRule>
    <cfRule type="cellIs" dxfId="235" priority="6" operator="greaterThan">
      <formula>$J$95</formula>
    </cfRule>
  </conditionalFormatting>
  <conditionalFormatting sqref="BJ6:BL6">
    <cfRule type="cellIs" dxfId="234" priority="1" operator="between">
      <formula>$J$42</formula>
      <formula>$K$93</formula>
    </cfRule>
    <cfRule type="cellIs" dxfId="233" priority="2" operator="lessThan">
      <formula>$J$42</formula>
    </cfRule>
    <cfRule type="cellIs" dxfId="232" priority="3" operator="greaterThan">
      <formula>$K$93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A00-0000F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3-2020'!BR86:BR86</xm:f>
              <xm:sqref>BS86</xm:sqref>
            </x14:sparkline>
          </x14:sparklines>
        </x14:sparklineGroup>
        <x14:sparklineGroup type="stacked" displayEmptyCellsAs="gap" negative="1" xr2:uid="{00000000-0003-0000-1A00-0000F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3-2020'!BR46:BR46</xm:f>
              <xm:sqref>BS46</xm:sqref>
            </x14:sparkline>
          </x14:sparklines>
        </x14:sparklineGroup>
        <x14:sparklineGroup type="stacked" displayEmptyCellsAs="gap" negative="1" xr2:uid="{00000000-0003-0000-1A00-0000F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3-2020'!BR46:BR46</xm:f>
              <xm:sqref>BR47</xm:sqref>
            </x14:sparkline>
          </x14:sparklines>
        </x14:sparklineGroup>
        <x14:sparklineGroup type="stacked" displayEmptyCellsAs="gap" negative="1" xr2:uid="{00000000-0003-0000-1A00-0000F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3-2020'!U75:U75</xm:f>
              <xm:sqref>U76</xm:sqref>
            </x14:sparkline>
          </x14:sparklines>
        </x14:sparklineGroup>
        <x14:sparklineGroup type="stacked" displayEmptyCellsAs="gap" negative="1" xr2:uid="{00000000-0003-0000-1A00-0000F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3-2020'!Y46:Y46</xm:f>
              <xm:sqref>Y47</xm:sqref>
            </x14:sparkline>
            <x14:sparkline>
              <xm:f>'RAWABI INCOME 3-2020'!AG46:AG46</xm:f>
              <xm:sqref>AG47</xm:sqref>
            </x14:sparkline>
            <x14:sparkline>
              <xm:f>'RAWABI INCOME 3-2020'!AI46:AI46</xm:f>
              <xm:sqref>AI47</xm:sqref>
            </x14:sparkline>
            <x14:sparkline>
              <xm:f>'RAWABI INCOME 3-2020'!AJ46:AJ46</xm:f>
              <xm:sqref>AJ47</xm:sqref>
            </x14:sparkline>
            <x14:sparkline>
              <xm:f>'RAWABI INCOME 3-2020'!AK46:AK46</xm:f>
              <xm:sqref>AK47</xm:sqref>
            </x14:sparkline>
            <x14:sparkline>
              <xm:f>'RAWABI INCOME 3-2020'!AL46:AL46</xm:f>
              <xm:sqref>AL47</xm:sqref>
            </x14:sparkline>
            <x14:sparkline>
              <xm:f>'RAWABI INCOME 3-2020'!AM46:AM46</xm:f>
              <xm:sqref>AM47</xm:sqref>
            </x14:sparkline>
            <x14:sparkline>
              <xm:f>'RAWABI INCOME 3-2020'!AR46:AR46</xm:f>
              <xm:sqref>AR47</xm:sqref>
            </x14:sparkline>
            <x14:sparkline>
              <xm:f>'RAWABI INCOME 3-2020'!AS46:AS46</xm:f>
              <xm:sqref>AS47</xm:sqref>
            </x14:sparkline>
            <x14:sparkline>
              <xm:f>'RAWABI INCOME 3-2020'!AT46:AT46</xm:f>
              <xm:sqref>AT47</xm:sqref>
            </x14:sparkline>
            <x14:sparkline>
              <xm:f>'RAWABI INCOME 3-2020'!AU46:AU46</xm:f>
              <xm:sqref>AU47</xm:sqref>
            </x14:sparkline>
            <x14:sparkline>
              <xm:f>'RAWABI INCOME 3-2020'!AV46:AV46</xm:f>
              <xm:sqref>AV47</xm:sqref>
            </x14:sparkline>
            <x14:sparkline>
              <xm:f>'RAWABI INCOME 3-2020'!AW46:AW46</xm:f>
              <xm:sqref>AW47</xm:sqref>
            </x14:sparkline>
            <x14:sparkline>
              <xm:f>'RAWABI INCOME 3-2020'!AX46:AX46</xm:f>
              <xm:sqref>AX47</xm:sqref>
            </x14:sparkline>
            <x14:sparkline>
              <xm:f>'RAWABI INCOME 3-2020'!BD46:BD46</xm:f>
              <xm:sqref>BD47</xm:sqref>
            </x14:sparkline>
            <x14:sparkline>
              <xm:f>'RAWABI INCOME 3-2020'!BE46:BE46</xm:f>
              <xm:sqref>BE47</xm:sqref>
            </x14:sparkline>
            <x14:sparkline>
              <xm:f>'RAWABI INCOME 3-2020'!BF46:BF46</xm:f>
              <xm:sqref>BF47</xm:sqref>
            </x14:sparkline>
            <x14:sparkline>
              <xm:f>'RAWABI INCOME 3-2020'!BG46:BG46</xm:f>
              <xm:sqref>BG47</xm:sqref>
            </x14:sparkline>
            <x14:sparkline>
              <xm:f>'RAWABI INCOME 3-2020'!BH46:BH46</xm:f>
              <xm:sqref>BH47</xm:sqref>
            </x14:sparkline>
            <x14:sparkline>
              <xm:f>'RAWABI INCOME 3-2020'!BI46:BI46</xm:f>
              <xm:sqref>BI47</xm:sqref>
            </x14:sparkline>
            <x14:sparkline>
              <xm:f>'RAWABI INCOME 3-2020'!BL46:BL46</xm:f>
              <xm:sqref>BL47</xm:sqref>
            </x14:sparkline>
            <x14:sparkline>
              <xm:f>'RAWABI INCOME 3-2020'!BM46:BM46</xm:f>
              <xm:sqref>BM47</xm:sqref>
            </x14:sparkline>
            <x14:sparkline>
              <xm:f>'RAWABI INCOME 3-2020'!BN46:BN46</xm:f>
              <xm:sqref>BN47</xm:sqref>
            </x14:sparkline>
            <x14:sparkline>
              <xm:f>'RAWABI INCOME 3-2020'!BO46:BO46</xm:f>
              <xm:sqref>BO47</xm:sqref>
            </x14:sparkline>
            <x14:sparkline>
              <xm:f>'RAWABI INCOME 3-2020'!BP46:BP46</xm:f>
              <xm:sqref>BP47</xm:sqref>
            </x14:sparkline>
            <x14:sparkline>
              <xm:f>'RAWABI INCOME 3-2020'!AQ46:AQ46</xm:f>
              <xm:sqref>AQ47</xm:sqref>
            </x14:sparkline>
            <x14:sparkline>
              <xm:f>'RAWABI INCOME 3-2020'!AY46:AY46</xm:f>
              <xm:sqref>AY47</xm:sqref>
            </x14:sparkline>
            <x14:sparkline>
              <xm:f>'RAWABI INCOME 3-2020'!AZ46:AZ46</xm:f>
              <xm:sqref>AZ47</xm:sqref>
            </x14:sparkline>
            <x14:sparkline>
              <xm:f>'RAWABI INCOME 3-2020'!BA46:BA46</xm:f>
              <xm:sqref>BA47</xm:sqref>
            </x14:sparkline>
            <x14:sparkline>
              <xm:f>'RAWABI INCOME 3-2020'!AN46:AN46</xm:f>
              <xm:sqref>AN47</xm:sqref>
            </x14:sparkline>
            <x14:sparkline>
              <xm:f>'RAWABI INCOME 3-2020'!AO46:AO46</xm:f>
              <xm:sqref>AO47</xm:sqref>
            </x14:sparkline>
            <x14:sparkline>
              <xm:f>'RAWABI INCOME 3-2020'!AP46:AP46</xm:f>
              <xm:sqref>AP47</xm:sqref>
            </x14:sparkline>
            <x14:sparkline>
              <xm:f>'RAWABI INCOME 3-2020'!BB46:BB46</xm:f>
              <xm:sqref>BB47</xm:sqref>
            </x14:sparkline>
            <x14:sparkline>
              <xm:f>'RAWABI INCOME 3-2020'!BC46:BC46</xm:f>
              <xm:sqref>BC47</xm:sqref>
            </x14:sparkline>
          </x14:sparklines>
        </x14:sparklineGroup>
        <x14:sparklineGroup type="stacked" displayEmptyCellsAs="gap" negative="1" xr2:uid="{00000000-0003-0000-1A00-0000E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3-2020'!N75:N75</xm:f>
              <xm:sqref>N76</xm:sqref>
            </x14:sparkline>
            <x14:sparkline>
              <xm:f>'RAWABI INCOME 3-2020'!V75:V75</xm:f>
              <xm:sqref>V76</xm:sqref>
            </x14:sparkline>
            <x14:sparkline>
              <xm:f>'RAWABI INCOME 3-2020'!W75:W75</xm:f>
              <xm:sqref>W76</xm:sqref>
            </x14:sparkline>
            <x14:sparkline>
              <xm:f>'RAWABI INCOME 3-2020'!X75:X75</xm:f>
              <xm:sqref>X76</xm:sqref>
            </x14:sparkline>
            <x14:sparkline>
              <xm:f>'RAWABI INCOME 3-2020'!Y75:Y75</xm:f>
              <xm:sqref>Y76</xm:sqref>
            </x14:sparkline>
            <x14:sparkline>
              <xm:f>'RAWABI INCOME 3-2020'!Z75:Z75</xm:f>
              <xm:sqref>Z76</xm:sqref>
            </x14:sparkline>
            <x14:sparkline>
              <xm:f>'RAWABI INCOME 3-2020'!AG75:AG75</xm:f>
              <xm:sqref>AG76</xm:sqref>
            </x14:sparkline>
            <x14:sparkline>
              <xm:f>'RAWABI INCOME 3-2020'!AH75:AH75</xm:f>
              <xm:sqref>AH76</xm:sqref>
            </x14:sparkline>
            <x14:sparkline>
              <xm:f>'RAWABI INCOME 3-2020'!AI75:AI75</xm:f>
              <xm:sqref>AI76</xm:sqref>
            </x14:sparkline>
            <x14:sparkline>
              <xm:f>'RAWABI INCOME 3-2020'!AJ75:AJ75</xm:f>
              <xm:sqref>AJ76</xm:sqref>
            </x14:sparkline>
            <x14:sparkline>
              <xm:f>'RAWABI INCOME 3-2020'!AK75:AK75</xm:f>
              <xm:sqref>AK76</xm:sqref>
            </x14:sparkline>
            <x14:sparkline>
              <xm:f>'RAWABI INCOME 3-2020'!AL75:AL75</xm:f>
              <xm:sqref>AL76</xm:sqref>
            </x14:sparkline>
            <x14:sparkline>
              <xm:f>'RAWABI INCOME 3-2020'!AS75:AS75</xm:f>
              <xm:sqref>AS76</xm:sqref>
            </x14:sparkline>
            <x14:sparkline>
              <xm:f>'RAWABI INCOME 3-2020'!AT75:AT75</xm:f>
              <xm:sqref>AT76</xm:sqref>
            </x14:sparkline>
            <x14:sparkline>
              <xm:f>'RAWABI INCOME 3-2020'!AU75:AU75</xm:f>
              <xm:sqref>AU76</xm:sqref>
            </x14:sparkline>
            <x14:sparkline>
              <xm:f>'RAWABI INCOME 3-2020'!AV75:AV75</xm:f>
              <xm:sqref>AV76</xm:sqref>
            </x14:sparkline>
            <x14:sparkline>
              <xm:f>'RAWABI INCOME 3-2020'!AW75:AW75</xm:f>
              <xm:sqref>AW76</xm:sqref>
            </x14:sparkline>
            <x14:sparkline>
              <xm:f>'RAWABI INCOME 3-2020'!AX75:AX75</xm:f>
              <xm:sqref>AX76</xm:sqref>
            </x14:sparkline>
            <x14:sparkline>
              <xm:f>'RAWABI INCOME 3-2020'!BE75:BE75</xm:f>
              <xm:sqref>BE76</xm:sqref>
            </x14:sparkline>
            <x14:sparkline>
              <xm:f>'RAWABI INCOME 3-2020'!BF75:BF75</xm:f>
              <xm:sqref>BF76</xm:sqref>
            </x14:sparkline>
            <x14:sparkline>
              <xm:f>'RAWABI INCOME 3-2020'!BG75:BG75</xm:f>
              <xm:sqref>BG76</xm:sqref>
            </x14:sparkline>
            <x14:sparkline>
              <xm:f>'RAWABI INCOME 3-2020'!BH75:BH75</xm:f>
              <xm:sqref>BH76</xm:sqref>
            </x14:sparkline>
            <x14:sparkline>
              <xm:f>'RAWABI INCOME 3-2020'!BI75:BI75</xm:f>
              <xm:sqref>BI76</xm:sqref>
            </x14:sparkline>
            <x14:sparkline>
              <xm:f>'RAWABI INCOME 3-2020'!BL75:BL75</xm:f>
              <xm:sqref>BL76</xm:sqref>
            </x14:sparkline>
            <x14:sparkline>
              <xm:f>'RAWABI INCOME 3-2020'!BM75:BM75</xm:f>
              <xm:sqref>BM76</xm:sqref>
            </x14:sparkline>
            <x14:sparkline>
              <xm:f>'RAWABI INCOME 3-2020'!BN75:BN75</xm:f>
              <xm:sqref>BN76</xm:sqref>
            </x14:sparkline>
            <x14:sparkline>
              <xm:f>'RAWABI INCOME 3-2020'!BO75:BO75</xm:f>
              <xm:sqref>BO76</xm:sqref>
            </x14:sparkline>
            <x14:sparkline>
              <xm:f>'RAWABI INCOME 3-2020'!BP75:BP75</xm:f>
              <xm:sqref>BP76</xm:sqref>
            </x14:sparkline>
            <x14:sparkline>
              <xm:f>'RAWABI INCOME 3-2020'!BR75:BR75</xm:f>
              <xm:sqref>BR76</xm:sqref>
            </x14:sparkline>
            <x14:sparkline>
              <xm:f>'RAWABI INCOME 3-2020'!AR75:AR75</xm:f>
              <xm:sqref>AR76</xm:sqref>
            </x14:sparkline>
            <x14:sparkline>
              <xm:f>'RAWABI INCOME 3-2020'!BD75:BD75</xm:f>
              <xm:sqref>BD76</xm:sqref>
            </x14:sparkline>
            <x14:sparkline>
              <xm:f>'RAWABI INCOME 3-2020'!T75:T75</xm:f>
              <xm:sqref>T76</xm:sqref>
            </x14:sparkline>
            <x14:sparkline>
              <xm:f>'RAWABI INCOME 3-2020'!O75:O75</xm:f>
              <xm:sqref>O76</xm:sqref>
            </x14:sparkline>
            <x14:sparkline>
              <xm:f>'RAWABI INCOME 3-2020'!AA75:AA75</xm:f>
              <xm:sqref>AA76</xm:sqref>
            </x14:sparkline>
            <x14:sparkline>
              <xm:f>'RAWABI INCOME 3-2020'!AF75:AF75</xm:f>
              <xm:sqref>AF76</xm:sqref>
            </x14:sparkline>
            <x14:sparkline>
              <xm:f>'RAWABI INCOME 3-2020'!AM75:AM75</xm:f>
              <xm:sqref>AM76</xm:sqref>
            </x14:sparkline>
            <x14:sparkline>
              <xm:f>'RAWABI INCOME 3-2020'!AQ75:AQ75</xm:f>
              <xm:sqref>AQ76</xm:sqref>
            </x14:sparkline>
            <x14:sparkline>
              <xm:f>'RAWABI INCOME 3-2020'!AY75:AY75</xm:f>
              <xm:sqref>AY76</xm:sqref>
            </x14:sparkline>
            <x14:sparkline>
              <xm:f>'RAWABI INCOME 3-2020'!AZ75:AZ75</xm:f>
              <xm:sqref>AZ76</xm:sqref>
            </x14:sparkline>
            <x14:sparkline>
              <xm:f>'RAWABI INCOME 3-2020'!BA75:BA75</xm:f>
              <xm:sqref>BA76</xm:sqref>
            </x14:sparkline>
            <x14:sparkline>
              <xm:f>'RAWABI INCOME 3-2020'!P75:P75</xm:f>
              <xm:sqref>P76</xm:sqref>
            </x14:sparkline>
            <x14:sparkline>
              <xm:f>'RAWABI INCOME 3-2020'!Q75:Q75</xm:f>
              <xm:sqref>Q76</xm:sqref>
            </x14:sparkline>
            <x14:sparkline>
              <xm:f>'RAWABI INCOME 3-2020'!R75:R75</xm:f>
              <xm:sqref>R76</xm:sqref>
            </x14:sparkline>
            <x14:sparkline>
              <xm:f>'RAWABI INCOME 3-2020'!S75:S75</xm:f>
              <xm:sqref>S76</xm:sqref>
            </x14:sparkline>
            <x14:sparkline>
              <xm:f>'RAWABI INCOME 3-2020'!AB75:AB75</xm:f>
              <xm:sqref>AB76</xm:sqref>
            </x14:sparkline>
            <x14:sparkline>
              <xm:f>'RAWABI INCOME 3-2020'!AC75:AC75</xm:f>
              <xm:sqref>AC76</xm:sqref>
            </x14:sparkline>
            <x14:sparkline>
              <xm:f>'RAWABI INCOME 3-2020'!AD75:AD75</xm:f>
              <xm:sqref>AD76</xm:sqref>
            </x14:sparkline>
            <x14:sparkline>
              <xm:f>'RAWABI INCOME 3-2020'!AE75:AE75</xm:f>
              <xm:sqref>AE76</xm:sqref>
            </x14:sparkline>
            <x14:sparkline>
              <xm:f>'RAWABI INCOME 3-2020'!AN75:AN75</xm:f>
              <xm:sqref>AN76</xm:sqref>
            </x14:sparkline>
            <x14:sparkline>
              <xm:f>'RAWABI INCOME 3-2020'!AO75:AO75</xm:f>
              <xm:sqref>AO76</xm:sqref>
            </x14:sparkline>
            <x14:sparkline>
              <xm:f>'RAWABI INCOME 3-2020'!AP75:AP75</xm:f>
              <xm:sqref>AP76</xm:sqref>
            </x14:sparkline>
            <x14:sparkline>
              <xm:f>'RAWABI INCOME 3-2020'!BB75:BB75</xm:f>
              <xm:sqref>BB76</xm:sqref>
            </x14:sparkline>
            <x14:sparkline>
              <xm:f>'RAWABI INCOME 3-2020'!BC75:BC75</xm:f>
              <xm:sqref>BC76</xm:sqref>
            </x14:sparkline>
          </x14:sparklines>
        </x14:sparklineGroup>
        <x14:sparklineGroup type="stacked" displayEmptyCellsAs="gap" negative="1" xr2:uid="{00000000-0003-0000-1A00-0000E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3-2020'!N46:N46</xm:f>
              <xm:sqref>N47</xm:sqref>
            </x14:sparkline>
            <x14:sparkline>
              <xm:f>'RAWABI INCOME 3-2020'!O46:O46</xm:f>
              <xm:sqref>O47</xm:sqref>
            </x14:sparkline>
            <x14:sparkline>
              <xm:f>'RAWABI INCOME 3-2020'!P46:P46</xm:f>
              <xm:sqref>P47</xm:sqref>
            </x14:sparkline>
            <x14:sparkline>
              <xm:f>'RAWABI INCOME 3-2020'!Q46:Q46</xm:f>
              <xm:sqref>Q47</xm:sqref>
            </x14:sparkline>
            <x14:sparkline>
              <xm:f>'RAWABI INCOME 3-2020'!R46:R46</xm:f>
              <xm:sqref>R47</xm:sqref>
            </x14:sparkline>
            <x14:sparkline>
              <xm:f>'RAWABI INCOME 3-2020'!S46:S46</xm:f>
              <xm:sqref>S47</xm:sqref>
            </x14:sparkline>
            <x14:sparkline>
              <xm:f>'RAWABI INCOME 3-2020'!T46:T46</xm:f>
              <xm:sqref>T47</xm:sqref>
            </x14:sparkline>
          </x14:sparklines>
        </x14:sparklineGroup>
        <x14:sparklineGroup type="stacked" displayEmptyCellsAs="gap" negative="1" xr2:uid="{00000000-0003-0000-1A00-0000E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3-2020'!U46:U46</xm:f>
              <xm:sqref>U47</xm:sqref>
            </x14:sparkline>
          </x14:sparklines>
        </x14:sparklineGroup>
        <x14:sparklineGroup type="stacked" displayEmptyCellsAs="gap" negative="1" xr2:uid="{00000000-0003-0000-1A00-0000E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3-2020'!BQ75:BQ75</xm:f>
              <xm:sqref>BQ76</xm:sqref>
            </x14:sparkline>
          </x14:sparklines>
        </x14:sparklineGroup>
        <x14:sparklineGroup type="stacked" displayEmptyCellsAs="gap" negative="1" xr2:uid="{00000000-0003-0000-1A00-0000E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3-2020'!BR82:BR82</xm:f>
              <xm:sqref>BS82</xm:sqref>
            </x14:sparkline>
            <x14:sparkline>
              <xm:f>'RAWABI INCOME 3-2020'!BR84:BR84</xm:f>
              <xm:sqref>BS84</xm:sqref>
            </x14:sparkline>
          </x14:sparklines>
        </x14:sparklineGroup>
        <x14:sparklineGroup type="stacked" displayEmptyCellsAs="gap" negative="1" xr2:uid="{00000000-0003-0000-1A00-0000E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3-2020'!BQ80:BQ80</xm:f>
              <xm:sqref>BQ81</xm:sqref>
            </x14:sparkline>
          </x14:sparklines>
        </x14:sparklineGroup>
        <x14:sparklineGroup type="stacked" displayEmptyCellsAs="gap" negative="1" xr2:uid="{00000000-0003-0000-1A00-0000E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3-2020'!U80:U80</xm:f>
              <xm:sqref>U81</xm:sqref>
            </x14:sparkline>
          </x14:sparklines>
        </x14:sparklineGroup>
        <x14:sparklineGroup type="stacked" displayEmptyCellsAs="gap" negative="1" xr2:uid="{00000000-0003-0000-1A00-0000E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3-2020'!BR85:BR85</xm:f>
              <xm:sqref>BS85</xm:sqref>
            </x14:sparkline>
          </x14:sparklines>
        </x14:sparklineGroup>
        <x14:sparklineGroup type="stacked" displayEmptyCellsAs="gap" negative="1" xr2:uid="{00000000-0003-0000-1A00-0000E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3-2020'!BR87:BR87</xm:f>
              <xm:sqref>BS87</xm:sqref>
            </x14:sparkline>
          </x14:sparklines>
        </x14:sparklineGroup>
        <x14:sparklineGroup type="stacked" displayEmptyCellsAs="gap" negative="1" xr2:uid="{00000000-0003-0000-1A00-0000E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3-2020'!BQ46:BQ46</xm:f>
              <xm:sqref>BQ47</xm:sqref>
            </x14:sparkline>
          </x14:sparklines>
        </x14:sparklineGroup>
        <x14:sparklineGroup type="stacked" displayEmptyCellsAs="gap" negative="1" xr2:uid="{00000000-0003-0000-1A00-0000E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3-2020'!Z46:Z46</xm:f>
              <xm:sqref>Z47</xm:sqref>
            </x14:sparkline>
            <x14:sparkline>
              <xm:f>'RAWABI INCOME 3-2020'!AA46:AA46</xm:f>
              <xm:sqref>AA47</xm:sqref>
            </x14:sparkline>
            <x14:sparkline>
              <xm:f>'RAWABI INCOME 3-2020'!AB46:AB46</xm:f>
              <xm:sqref>AB47</xm:sqref>
            </x14:sparkline>
            <x14:sparkline>
              <xm:f>'RAWABI INCOME 3-2020'!AC46:AC46</xm:f>
              <xm:sqref>AC47</xm:sqref>
            </x14:sparkline>
            <x14:sparkline>
              <xm:f>'RAWABI INCOME 3-2020'!AD46:AD46</xm:f>
              <xm:sqref>AD47</xm:sqref>
            </x14:sparkline>
            <x14:sparkline>
              <xm:f>'RAWABI INCOME 3-2020'!AE46:AE46</xm:f>
              <xm:sqref>AE47</xm:sqref>
            </x14:sparkline>
            <x14:sparkline>
              <xm:f>'RAWABI INCOME 3-2020'!AF46:AF46</xm:f>
              <xm:sqref>AF47</xm:sqref>
            </x14:sparkline>
          </x14:sparklines>
        </x14:sparklineGroup>
        <x14:sparklineGroup type="stacked" displayEmptyCellsAs="gap" negative="1" xr2:uid="{00000000-0003-0000-1A00-0000E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3-2020'!V46:V46</xm:f>
              <xm:sqref>V47</xm:sqref>
            </x14:sparkline>
            <x14:sparkline>
              <xm:f>'RAWABI INCOME 3-2020'!W46:W46</xm:f>
              <xm:sqref>W47</xm:sqref>
            </x14:sparkline>
            <x14:sparkline>
              <xm:f>'RAWABI INCOME 3-2020'!X46:X46</xm:f>
              <xm:sqref>X47</xm:sqref>
            </x14:sparkline>
          </x14:sparklines>
        </x14:sparklineGroup>
        <x14:sparklineGroup type="stacked" displayEmptyCellsAs="gap" negative="1" xr2:uid="{00000000-0003-0000-1A00-0000E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3-2020'!AH46:AH46</xm:f>
              <xm:sqref>AH47</xm:sqref>
            </x14:sparkline>
          </x14:sparklines>
        </x14:sparklineGroup>
        <x14:sparklineGroup type="stacked" displayEmptyCellsAs="gap" negative="1" xr2:uid="{00000000-0003-0000-1A00-0000E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3-2020'!N80:N80</xm:f>
              <xm:sqref>N81</xm:sqref>
            </x14:sparkline>
            <x14:sparkline>
              <xm:f>'RAWABI INCOME 3-2020'!O80:O80</xm:f>
              <xm:sqref>O81</xm:sqref>
            </x14:sparkline>
            <x14:sparkline>
              <xm:f>'RAWABI INCOME 3-2020'!P80:P80</xm:f>
              <xm:sqref>P81</xm:sqref>
            </x14:sparkline>
            <x14:sparkline>
              <xm:f>'RAWABI INCOME 3-2020'!Q80:Q80</xm:f>
              <xm:sqref>Q81</xm:sqref>
            </x14:sparkline>
            <x14:sparkline>
              <xm:f>'RAWABI INCOME 3-2020'!R80:R80</xm:f>
              <xm:sqref>R81</xm:sqref>
            </x14:sparkline>
            <x14:sparkline>
              <xm:f>'RAWABI INCOME 3-2020'!S80:S80</xm:f>
              <xm:sqref>S81</xm:sqref>
            </x14:sparkline>
            <x14:sparkline>
              <xm:f>'RAWABI INCOME 3-2020'!T80:T80</xm:f>
              <xm:sqref>T81</xm:sqref>
            </x14:sparkline>
            <x14:sparkline>
              <xm:f>'RAWABI INCOME 3-2020'!V80:V80</xm:f>
              <xm:sqref>V81</xm:sqref>
            </x14:sparkline>
            <x14:sparkline>
              <xm:f>'RAWABI INCOME 3-2020'!W80:W80</xm:f>
              <xm:sqref>W81</xm:sqref>
            </x14:sparkline>
            <x14:sparkline>
              <xm:f>'RAWABI INCOME 3-2020'!X80:X80</xm:f>
              <xm:sqref>X81</xm:sqref>
            </x14:sparkline>
            <x14:sparkline>
              <xm:f>'RAWABI INCOME 3-2020'!Y80:Y80</xm:f>
              <xm:sqref>Y81</xm:sqref>
            </x14:sparkline>
            <x14:sparkline>
              <xm:f>'RAWABI INCOME 3-2020'!Z80:Z80</xm:f>
              <xm:sqref>Z81</xm:sqref>
            </x14:sparkline>
            <x14:sparkline>
              <xm:f>'RAWABI INCOME 3-2020'!AA80:AA80</xm:f>
              <xm:sqref>AA81</xm:sqref>
            </x14:sparkline>
            <x14:sparkline>
              <xm:f>'RAWABI INCOME 3-2020'!AB80:AB80</xm:f>
              <xm:sqref>AB81</xm:sqref>
            </x14:sparkline>
            <x14:sparkline>
              <xm:f>'RAWABI INCOME 3-2020'!AC80:AC80</xm:f>
              <xm:sqref>AC81</xm:sqref>
            </x14:sparkline>
            <x14:sparkline>
              <xm:f>'RAWABI INCOME 3-2020'!AD80:AD80</xm:f>
              <xm:sqref>AD81</xm:sqref>
            </x14:sparkline>
            <x14:sparkline>
              <xm:f>'RAWABI INCOME 3-2020'!AE80:AE80</xm:f>
              <xm:sqref>AE81</xm:sqref>
            </x14:sparkline>
            <x14:sparkline>
              <xm:f>'RAWABI INCOME 3-2020'!AF80:AF80</xm:f>
              <xm:sqref>AF81</xm:sqref>
            </x14:sparkline>
            <x14:sparkline>
              <xm:f>'RAWABI INCOME 3-2020'!AG80:AG80</xm:f>
              <xm:sqref>AG81</xm:sqref>
            </x14:sparkline>
            <x14:sparkline>
              <xm:f>'RAWABI INCOME 3-2020'!AH80:AH80</xm:f>
              <xm:sqref>AH81</xm:sqref>
            </x14:sparkline>
            <x14:sparkline>
              <xm:f>'RAWABI INCOME 3-2020'!AI80:AI80</xm:f>
              <xm:sqref>AI81</xm:sqref>
            </x14:sparkline>
            <x14:sparkline>
              <xm:f>'RAWABI INCOME 3-2020'!AJ80:AJ80</xm:f>
              <xm:sqref>AJ81</xm:sqref>
            </x14:sparkline>
            <x14:sparkline>
              <xm:f>'RAWABI INCOME 3-2020'!AK80:AK80</xm:f>
              <xm:sqref>AK81</xm:sqref>
            </x14:sparkline>
            <x14:sparkline>
              <xm:f>'RAWABI INCOME 3-2020'!AL80:AL80</xm:f>
              <xm:sqref>AL81</xm:sqref>
            </x14:sparkline>
            <x14:sparkline>
              <xm:f>'RAWABI INCOME 3-2020'!AM80:AM80</xm:f>
              <xm:sqref>AM81</xm:sqref>
            </x14:sparkline>
            <x14:sparkline>
              <xm:f>'RAWABI INCOME 3-2020'!AN80:AN80</xm:f>
              <xm:sqref>AN81</xm:sqref>
            </x14:sparkline>
            <x14:sparkline>
              <xm:f>'RAWABI INCOME 3-2020'!AO80:AO80</xm:f>
              <xm:sqref>AO81</xm:sqref>
            </x14:sparkline>
            <x14:sparkline>
              <xm:f>'RAWABI INCOME 3-2020'!AP80:AP80</xm:f>
              <xm:sqref>AP81</xm:sqref>
            </x14:sparkline>
            <x14:sparkline>
              <xm:f>'RAWABI INCOME 3-2020'!AQ80:AQ80</xm:f>
              <xm:sqref>AQ81</xm:sqref>
            </x14:sparkline>
            <x14:sparkline>
              <xm:f>'RAWABI INCOME 3-2020'!AR80:AR80</xm:f>
              <xm:sqref>AR81</xm:sqref>
            </x14:sparkline>
            <x14:sparkline>
              <xm:f>'RAWABI INCOME 3-2020'!AS80:AS80</xm:f>
              <xm:sqref>AS81</xm:sqref>
            </x14:sparkline>
            <x14:sparkline>
              <xm:f>'RAWABI INCOME 3-2020'!AT80:AT80</xm:f>
              <xm:sqref>AT81</xm:sqref>
            </x14:sparkline>
            <x14:sparkline>
              <xm:f>'RAWABI INCOME 3-2020'!AU80:AU80</xm:f>
              <xm:sqref>AU81</xm:sqref>
            </x14:sparkline>
            <x14:sparkline>
              <xm:f>'RAWABI INCOME 3-2020'!AV80:AV80</xm:f>
              <xm:sqref>AV81</xm:sqref>
            </x14:sparkline>
            <x14:sparkline>
              <xm:f>'RAWABI INCOME 3-2020'!AW80:AW80</xm:f>
              <xm:sqref>AW81</xm:sqref>
            </x14:sparkline>
            <x14:sparkline>
              <xm:f>'RAWABI INCOME 3-2020'!AX80:AX80</xm:f>
              <xm:sqref>AX81</xm:sqref>
            </x14:sparkline>
            <x14:sparkline>
              <xm:f>'RAWABI INCOME 3-2020'!AY80:AY80</xm:f>
              <xm:sqref>AY81</xm:sqref>
            </x14:sparkline>
            <x14:sparkline>
              <xm:f>'RAWABI INCOME 3-2020'!AZ80:AZ80</xm:f>
              <xm:sqref>AZ81</xm:sqref>
            </x14:sparkline>
            <x14:sparkline>
              <xm:f>'RAWABI INCOME 3-2020'!BA80:BA80</xm:f>
              <xm:sqref>BA81</xm:sqref>
            </x14:sparkline>
            <x14:sparkline>
              <xm:f>'RAWABI INCOME 3-2020'!BB80:BB80</xm:f>
              <xm:sqref>BB81</xm:sqref>
            </x14:sparkline>
            <x14:sparkline>
              <xm:f>'RAWABI INCOME 3-2020'!BC80:BC80</xm:f>
              <xm:sqref>BC81</xm:sqref>
            </x14:sparkline>
            <x14:sparkline>
              <xm:f>'RAWABI INCOME 3-2020'!BD80:BD80</xm:f>
              <xm:sqref>BD81</xm:sqref>
            </x14:sparkline>
            <x14:sparkline>
              <xm:f>'RAWABI INCOME 3-2020'!BE80:BE80</xm:f>
              <xm:sqref>BE81</xm:sqref>
            </x14:sparkline>
            <x14:sparkline>
              <xm:f>'RAWABI INCOME 3-2020'!BF80:BF80</xm:f>
              <xm:sqref>BF81</xm:sqref>
            </x14:sparkline>
            <x14:sparkline>
              <xm:f>'RAWABI INCOME 3-2020'!BG80:BG80</xm:f>
              <xm:sqref>BG81</xm:sqref>
            </x14:sparkline>
            <x14:sparkline>
              <xm:f>'RAWABI INCOME 3-2020'!BH80:BH80</xm:f>
              <xm:sqref>BH81</xm:sqref>
            </x14:sparkline>
            <x14:sparkline>
              <xm:f>'RAWABI INCOME 3-2020'!BI80:BI80</xm:f>
              <xm:sqref>BI81</xm:sqref>
            </x14:sparkline>
            <x14:sparkline>
              <xm:f>'RAWABI INCOME 3-2020'!BL80:BL80</xm:f>
              <xm:sqref>BL81</xm:sqref>
            </x14:sparkline>
            <x14:sparkline>
              <xm:f>'RAWABI INCOME 3-2020'!BM80:BM80</xm:f>
              <xm:sqref>BM81</xm:sqref>
            </x14:sparkline>
            <x14:sparkline>
              <xm:f>'RAWABI INCOME 3-2020'!BN80:BN80</xm:f>
              <xm:sqref>BN81</xm:sqref>
            </x14:sparkline>
            <x14:sparkline>
              <xm:f>'RAWABI INCOME 3-2020'!BO80:BO80</xm:f>
              <xm:sqref>BO81</xm:sqref>
            </x14:sparkline>
            <x14:sparkline>
              <xm:f>'RAWABI INCOME 3-2020'!BP80:BP80</xm:f>
              <xm:sqref>BP81</xm:sqref>
            </x14:sparkline>
            <x14:sparkline>
              <xm:f>'RAWABI INCOME 3-2020'!BR80:BR80</xm:f>
              <xm:sqref>BR81</xm:sqref>
            </x14:sparkline>
          </x14:sparklines>
        </x14:sparklineGroup>
        <x14:sparklineGroup type="stacked" displayEmptyCellsAs="gap" negative="1" xr2:uid="{00000000-0003-0000-1A00-0000E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3-2020'!BK80:BK80</xm:f>
              <xm:sqref>BK81</xm:sqref>
            </x14:sparkline>
            <x14:sparkline>
              <xm:f>'RAWABI INCOME 3-2020'!BJ80:BJ80</xm:f>
              <xm:sqref>BJ81</xm:sqref>
            </x14:sparkline>
          </x14:sparklines>
        </x14:sparklineGroup>
        <x14:sparklineGroup type="stacked" displayEmptyCellsAs="gap" negative="1" xr2:uid="{00000000-0003-0000-1A00-0000E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3-2020'!BK75:BK75</xm:f>
              <xm:sqref>BK76</xm:sqref>
            </x14:sparkline>
            <x14:sparkline>
              <xm:f>'RAWABI INCOME 3-2020'!BJ75:BJ75</xm:f>
              <xm:sqref>BJ76</xm:sqref>
            </x14:sparkline>
          </x14:sparklines>
        </x14:sparklineGroup>
        <x14:sparklineGroup type="stacked" displayEmptyCellsAs="gap" negative="1" xr2:uid="{00000000-0003-0000-1A00-0000DF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3-2020'!BK46:BK46</xm:f>
              <xm:sqref>BK47</xm:sqref>
            </x14:sparkline>
            <x14:sparkline>
              <xm:f>'RAWABI INCOME 3-2020'!BJ46:BJ46</xm:f>
              <xm:sqref>BJ47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FQ98"/>
  <sheetViews>
    <sheetView zoomScale="80" zoomScaleNormal="80" zoomScaleSheetLayoutView="80" workbookViewId="0">
      <pane xSplit="12" ySplit="15" topLeftCell="BP16" activePane="bottomRight" state="frozen"/>
      <selection pane="topRight" activeCell="M1" sqref="M1"/>
      <selection pane="bottomLeft" activeCell="A16" sqref="A16"/>
      <selection pane="bottomRight" activeCell="CB3" sqref="CB3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7.25" style="1719" bestFit="1" customWidth="1"/>
    <col min="4" max="4" width="0.875" style="1923" customWidth="1"/>
    <col min="5" max="5" width="12.75" style="1719" customWidth="1"/>
    <col min="6" max="9" width="12.75" style="1719" hidden="1" customWidth="1"/>
    <col min="10" max="11" width="12.75" style="1719" customWidth="1"/>
    <col min="12" max="12" width="0.875" style="1719" customWidth="1"/>
    <col min="13" max="13" width="0.875" style="1923" customWidth="1"/>
    <col min="14" max="14" width="12.25" style="1719" hidden="1" customWidth="1"/>
    <col min="15" max="19" width="10.875" style="1719" hidden="1" customWidth="1"/>
    <col min="20" max="20" width="0.875" style="1719" customWidth="1"/>
    <col min="21" max="21" width="0.875" style="1923" customWidth="1"/>
    <col min="22" max="22" width="10.625" style="1719" customWidth="1"/>
    <col min="23" max="23" width="9.25" style="1719" customWidth="1"/>
    <col min="24" max="24" width="10" style="1719" customWidth="1"/>
    <col min="25" max="25" width="0.875" style="1923" customWidth="1"/>
    <col min="26" max="26" width="12.25" style="1719" hidden="1" customWidth="1"/>
    <col min="27" max="32" width="10.875" style="1719" hidden="1" customWidth="1"/>
    <col min="33" max="33" width="0.875" style="1923" customWidth="1"/>
    <col min="34" max="34" width="10" style="1719" customWidth="1"/>
    <col min="35" max="35" width="9.25" style="1719" customWidth="1"/>
    <col min="36" max="36" width="10" style="1719" customWidth="1"/>
    <col min="37" max="37" width="0.875" style="1923" customWidth="1"/>
    <col min="38" max="38" width="12.375" style="1719" hidden="1" customWidth="1"/>
    <col min="39" max="44" width="10.875" style="1719" hidden="1" customWidth="1"/>
    <col min="45" max="45" width="0.875" style="1923" customWidth="1"/>
    <col min="46" max="46" width="10" style="1719" customWidth="1"/>
    <col min="47" max="47" width="9.25" style="1719" customWidth="1"/>
    <col min="48" max="48" width="10" style="1719" customWidth="1"/>
    <col min="49" max="49" width="0.875" style="1923" customWidth="1"/>
    <col min="50" max="50" width="12.375" style="1719" hidden="1" customWidth="1"/>
    <col min="51" max="56" width="10.875" style="1719" hidden="1" customWidth="1"/>
    <col min="57" max="57" width="0.875" style="1923" customWidth="1"/>
    <col min="58" max="60" width="10" style="1719" customWidth="1"/>
    <col min="61" max="61" width="0.875" style="1719" customWidth="1"/>
    <col min="62" max="62" width="12.25" style="1719" hidden="1" customWidth="1"/>
    <col min="63" max="63" width="10.875" style="1719" hidden="1" customWidth="1"/>
    <col min="64" max="64" width="0.875" style="1719" customWidth="1"/>
    <col min="65" max="65" width="10.625" style="1719" customWidth="1"/>
    <col min="66" max="66" width="9.25" style="1719" customWidth="1"/>
    <col min="67" max="67" width="10" style="1719" customWidth="1"/>
    <col min="68" max="68" width="0.875" style="1719" customWidth="1"/>
    <col min="69" max="70" width="10" style="1719" bestFit="1" customWidth="1"/>
    <col min="71" max="71" width="0.875" style="1719" customWidth="1"/>
    <col min="72" max="72" width="10.25" style="1719" bestFit="1" customWidth="1"/>
    <col min="73" max="73" width="9.875" style="1719" bestFit="1" customWidth="1"/>
    <col min="74" max="74" width="0.875" style="1923" customWidth="1"/>
    <col min="75" max="75" width="10.625" style="1719" bestFit="1" customWidth="1"/>
    <col min="76" max="76" width="1.875" style="1719" customWidth="1"/>
    <col min="77" max="77" width="12.25" style="1719" bestFit="1" customWidth="1"/>
    <col min="78" max="78" width="14.25" style="1719" bestFit="1" customWidth="1"/>
    <col min="79" max="79" width="13" style="1719" bestFit="1" customWidth="1"/>
    <col min="80" max="80" width="15.625" style="1719" bestFit="1" customWidth="1"/>
    <col min="81" max="81" width="12.125" style="1719" customWidth="1"/>
    <col min="82" max="82" width="12" style="1719" customWidth="1"/>
    <col min="83" max="83" width="10.875" style="1719" customWidth="1"/>
    <col min="84" max="84" width="10" style="1719" bestFit="1" customWidth="1"/>
    <col min="85" max="85" width="13" style="1719" bestFit="1" customWidth="1"/>
    <col min="86" max="86" width="12" style="1719" bestFit="1" customWidth="1"/>
    <col min="87" max="87" width="12.125" style="1719" bestFit="1" customWidth="1"/>
    <col min="88" max="88" width="11" style="1719" bestFit="1" customWidth="1"/>
    <col min="89" max="90" width="9.125" style="1719" customWidth="1"/>
    <col min="91" max="16384" width="9.125" style="1719"/>
  </cols>
  <sheetData>
    <row r="1" spans="2:173" s="1726" customFormat="1" ht="18" customHeight="1" x14ac:dyDescent="0.2">
      <c r="C1" s="4558" t="s">
        <v>276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664" t="s">
        <v>145</v>
      </c>
      <c r="BK1" s="4679"/>
      <c r="BM1" s="4541" t="s">
        <v>146</v>
      </c>
      <c r="BN1" s="4542"/>
      <c r="BO1" s="4543"/>
      <c r="BQ1" s="4613" t="s">
        <v>54</v>
      </c>
      <c r="BR1" s="4579" t="s">
        <v>61</v>
      </c>
      <c r="BT1" s="4582">
        <f>BZ21/30</f>
        <v>0.8</v>
      </c>
      <c r="BU1" s="4583"/>
      <c r="BV1" s="4583"/>
      <c r="BW1" s="4584"/>
      <c r="BY1" s="2333">
        <f>BT5/BZ21*24</f>
        <v>23423.571000000004</v>
      </c>
      <c r="BZ1" s="3164">
        <f>BY1*BT7</f>
        <v>5571.8899999999994</v>
      </c>
      <c r="CA1" s="2329">
        <f>BZ1-E43</f>
        <v>3129.2019999999998</v>
      </c>
      <c r="CB1" s="2762">
        <f>CA1/2</f>
        <v>1564.6009999999999</v>
      </c>
      <c r="CC1" s="4676"/>
      <c r="CD1" s="4676"/>
      <c r="CE1" s="4676"/>
      <c r="CG1" s="4676"/>
      <c r="CH1" s="4676"/>
      <c r="CI1" s="4676"/>
    </row>
    <row r="2" spans="2:173" ht="20.25" customHeight="1" thickBot="1" x14ac:dyDescent="0.25">
      <c r="C2" s="4561"/>
      <c r="D2" s="4652"/>
      <c r="E2" s="4562"/>
      <c r="F2" s="4562"/>
      <c r="G2" s="4562"/>
      <c r="H2" s="4562"/>
      <c r="I2" s="4562"/>
      <c r="J2" s="4562"/>
      <c r="K2" s="4563"/>
      <c r="L2" s="1720"/>
      <c r="M2" s="3147"/>
      <c r="N2" s="4575"/>
      <c r="O2" s="4576"/>
      <c r="P2" s="4576"/>
      <c r="Q2" s="4576"/>
      <c r="R2" s="4576"/>
      <c r="S2" s="4576"/>
      <c r="T2" s="4577"/>
      <c r="U2" s="3148"/>
      <c r="V2" s="4544"/>
      <c r="W2" s="4545"/>
      <c r="X2" s="4546"/>
      <c r="Y2" s="3148"/>
      <c r="Z2" s="4575"/>
      <c r="AA2" s="4576"/>
      <c r="AB2" s="4576"/>
      <c r="AC2" s="4576"/>
      <c r="AD2" s="4576"/>
      <c r="AE2" s="4576"/>
      <c r="AF2" s="4577"/>
      <c r="AG2" s="3148"/>
      <c r="AH2" s="4544"/>
      <c r="AI2" s="4545"/>
      <c r="AJ2" s="4546"/>
      <c r="AK2" s="3148"/>
      <c r="AL2" s="4575"/>
      <c r="AM2" s="4576"/>
      <c r="AN2" s="4576"/>
      <c r="AO2" s="4576"/>
      <c r="AP2" s="4576"/>
      <c r="AQ2" s="4576"/>
      <c r="AR2" s="4577"/>
      <c r="AS2" s="3148"/>
      <c r="AT2" s="4544"/>
      <c r="AU2" s="4545"/>
      <c r="AV2" s="4546"/>
      <c r="AW2" s="3148"/>
      <c r="AX2" s="4575"/>
      <c r="AY2" s="4576"/>
      <c r="AZ2" s="4576"/>
      <c r="BA2" s="4576"/>
      <c r="BB2" s="4576"/>
      <c r="BC2" s="4576"/>
      <c r="BD2" s="4577"/>
      <c r="BE2" s="3148"/>
      <c r="BF2" s="4544"/>
      <c r="BG2" s="4545"/>
      <c r="BH2" s="4546"/>
      <c r="BI2" s="1724"/>
      <c r="BJ2" s="4665"/>
      <c r="BK2" s="4681"/>
      <c r="BL2" s="1724"/>
      <c r="BM2" s="4544"/>
      <c r="BN2" s="4545"/>
      <c r="BO2" s="4546"/>
      <c r="BQ2" s="4614"/>
      <c r="BR2" s="4580"/>
      <c r="BT2" s="4585"/>
      <c r="BU2" s="4586"/>
      <c r="BV2" s="4586"/>
      <c r="BW2" s="4587"/>
      <c r="BY2" s="3192">
        <f>(K5*30)-BY1</f>
        <v>5855.8927499999991</v>
      </c>
      <c r="BZ2" s="3166">
        <f>BZ1/BY1</f>
        <v>0.23787534360153703</v>
      </c>
      <c r="CA2" s="3167"/>
      <c r="CB2" s="3168"/>
      <c r="CC2" s="4676"/>
      <c r="CD2" s="4676"/>
      <c r="CE2" s="4676"/>
      <c r="CF2" s="3169"/>
      <c r="CG2" s="4676"/>
      <c r="CH2" s="4676"/>
      <c r="CI2" s="4676"/>
      <c r="CJ2" s="3169"/>
    </row>
    <row r="3" spans="2:173" ht="20.25" customHeight="1" x14ac:dyDescent="0.2">
      <c r="C3" s="4666" t="s">
        <v>189</v>
      </c>
      <c r="D3" s="3147"/>
      <c r="E3" s="4682" t="s">
        <v>278</v>
      </c>
      <c r="F3" s="4682"/>
      <c r="G3" s="4682"/>
      <c r="H3" s="4682"/>
      <c r="I3" s="4682"/>
      <c r="J3" s="4682"/>
      <c r="K3" s="4683"/>
      <c r="L3" s="1720"/>
      <c r="M3" s="3147"/>
      <c r="N3" s="1752">
        <f t="shared" ref="N3:T3" si="0">(N5-N4)/N4</f>
        <v>1.8302189108201257E-3</v>
      </c>
      <c r="O3" s="1752">
        <f t="shared" si="0"/>
        <v>2.7654829017096462E-4</v>
      </c>
      <c r="P3" s="1752"/>
      <c r="Q3" s="1752">
        <f t="shared" si="0"/>
        <v>0</v>
      </c>
      <c r="R3" s="1752">
        <f t="shared" si="0"/>
        <v>7.1978590688083971E-5</v>
      </c>
      <c r="S3" s="1752">
        <f t="shared" si="0"/>
        <v>0</v>
      </c>
      <c r="T3" s="1752">
        <f t="shared" si="0"/>
        <v>0</v>
      </c>
      <c r="U3" s="3148"/>
      <c r="V3" s="3039">
        <f>(V5-V4)/V4</f>
        <v>2.7212052641402477E-4</v>
      </c>
      <c r="W3" s="3036"/>
      <c r="X3" s="3037"/>
      <c r="Y3" s="3148"/>
      <c r="Z3" s="3075">
        <f t="shared" ref="Z3:AA3" si="1">(Z5-Z4)/Z4</f>
        <v>2.0584666276248843E-4</v>
      </c>
      <c r="AA3" s="3075">
        <f t="shared" si="1"/>
        <v>0</v>
      </c>
      <c r="AB3" s="3075" t="e">
        <f t="shared" ref="AB3:AD3" si="2">(AB5-AB4)/AB4</f>
        <v>#DIV/0!</v>
      </c>
      <c r="AC3" s="3075" t="e">
        <f t="shared" si="2"/>
        <v>#DIV/0!</v>
      </c>
      <c r="AD3" s="3075">
        <f t="shared" si="2"/>
        <v>7.1842116384220848E-4</v>
      </c>
      <c r="AE3" s="3075">
        <f t="shared" ref="AE3:AF3" si="3">(AE5-AE4)/AE4</f>
        <v>2.5439797567053396E-4</v>
      </c>
      <c r="AF3" s="3075">
        <f t="shared" si="3"/>
        <v>1.1590171534541347E-4</v>
      </c>
      <c r="AG3" s="3148"/>
      <c r="AH3" s="3087">
        <f>(AH5-AH4)/AH4</f>
        <v>2.6934441373791483E-4</v>
      </c>
      <c r="AI3" s="3071"/>
      <c r="AJ3" s="3072"/>
      <c r="AK3" s="3148"/>
      <c r="AL3" s="1752">
        <f t="shared" ref="AL3:AM3" si="4">(AL5-AL4)/AL4</f>
        <v>2.0881219591725067E-3</v>
      </c>
      <c r="AM3" s="1752">
        <f t="shared" si="4"/>
        <v>1.8200692041523247E-3</v>
      </c>
      <c r="AN3" s="1752"/>
      <c r="AO3" s="1752"/>
      <c r="AP3" s="1752">
        <f t="shared" ref="AP3:AQ3" si="5">(AP5-AP4)/AP4</f>
        <v>2.0065391678251453E-4</v>
      </c>
      <c r="AQ3" s="1752">
        <f t="shared" si="5"/>
        <v>1.8813967489464178E-4</v>
      </c>
      <c r="AR3" s="1752">
        <f t="shared" ref="AR3" si="6">(AR5-AR4)/AR4</f>
        <v>3.4942038922328931E-4</v>
      </c>
      <c r="AS3" s="3148"/>
      <c r="AT3" s="3099">
        <f>(AT5-AT4)/AT4</f>
        <v>9.5809912137941381E-4</v>
      </c>
      <c r="AU3" s="3100"/>
      <c r="AV3" s="3101"/>
      <c r="AW3" s="3148"/>
      <c r="AX3" s="1752">
        <f t="shared" ref="AX3:AY3" si="7">(AX5-AX4)/AX4</f>
        <v>1.9423444028789695E-3</v>
      </c>
      <c r="AY3" s="1752">
        <f t="shared" si="7"/>
        <v>1.7655828577441642E-4</v>
      </c>
      <c r="AZ3" s="1752"/>
      <c r="BA3" s="1752">
        <f t="shared" ref="BA3:BB3" si="8">(BA5-BA4)/BA4</f>
        <v>1.863116808108708E-4</v>
      </c>
      <c r="BB3" s="1752">
        <f t="shared" si="8"/>
        <v>0</v>
      </c>
      <c r="BC3" s="1752">
        <f t="shared" ref="BC3:BD3" si="9">(BC5-BC4)/BC4</f>
        <v>2.3900421284755554E-4</v>
      </c>
      <c r="BD3" s="1752">
        <f t="shared" si="9"/>
        <v>7.8857761101918178E-5</v>
      </c>
      <c r="BE3" s="3148"/>
      <c r="BF3" s="3099">
        <f>(BF5-BF4)/BF4</f>
        <v>6.377426610826442E-4</v>
      </c>
      <c r="BG3" s="3036"/>
      <c r="BH3" s="3037"/>
      <c r="BI3" s="1724"/>
      <c r="BJ3" s="3125">
        <f t="shared" ref="BJ3:BK3" si="10">(BJ5-BJ4)/BJ4</f>
        <v>2.2558833437601856E-4</v>
      </c>
      <c r="BK3" s="3125">
        <f t="shared" si="10"/>
        <v>1.0803219359371549E-4</v>
      </c>
      <c r="BL3" s="1724"/>
      <c r="BM3" s="3099">
        <f>(BM5-BM4)/BM4</f>
        <v>1.5717556762384491E-4</v>
      </c>
      <c r="BN3" s="3036"/>
      <c r="BO3" s="3037"/>
      <c r="BQ3" s="4614"/>
      <c r="BR3" s="4580"/>
      <c r="BT3" s="3139"/>
      <c r="BU3" s="3140"/>
      <c r="BV3" s="3035"/>
      <c r="BW3" s="3043"/>
      <c r="BY3" s="3170"/>
      <c r="BZ3" s="3171">
        <f>BU7</f>
        <v>5469.3760000000002</v>
      </c>
      <c r="CA3" s="3172">
        <f>BZ3-E43</f>
        <v>3026.6880000000006</v>
      </c>
      <c r="CB3" s="3173">
        <f>CA3/2</f>
        <v>1513.3440000000003</v>
      </c>
      <c r="CC3" s="3150"/>
      <c r="CD3" s="3150"/>
      <c r="CE3" s="3150"/>
      <c r="CF3" s="3169"/>
      <c r="CG3" s="3150"/>
      <c r="CH3" s="3150"/>
      <c r="CI3" s="3150"/>
      <c r="CJ3" s="3169"/>
    </row>
    <row r="4" spans="2:173" ht="20.25" customHeight="1" thickBot="1" x14ac:dyDescent="0.25">
      <c r="C4" s="4667"/>
      <c r="D4" s="3147"/>
      <c r="E4" s="3138"/>
      <c r="F4" s="3138"/>
      <c r="G4" s="3138"/>
      <c r="H4" s="3138"/>
      <c r="I4" s="3138"/>
      <c r="J4" s="4677"/>
      <c r="K4" s="4677"/>
      <c r="L4" s="1720"/>
      <c r="M4" s="3147"/>
      <c r="N4" s="1747">
        <v>601.02099999999996</v>
      </c>
      <c r="O4" s="1747">
        <v>723.20100000000002</v>
      </c>
      <c r="P4" s="1747"/>
      <c r="Q4" s="1747">
        <v>963.2</v>
      </c>
      <c r="R4" s="1747">
        <v>694.65099999999995</v>
      </c>
      <c r="S4" s="1747">
        <v>1035.297</v>
      </c>
      <c r="T4" s="1747">
        <v>943.66700000000003</v>
      </c>
      <c r="U4" s="3148"/>
      <c r="V4" s="2021">
        <f>SUM(N4:T4)</f>
        <v>4961.0370000000003</v>
      </c>
      <c r="W4" s="3058">
        <f>V5-V4</f>
        <v>1.3499999999994543</v>
      </c>
      <c r="X4" s="3038"/>
      <c r="Y4" s="3148"/>
      <c r="Z4" s="1747">
        <v>971.59699999999998</v>
      </c>
      <c r="AA4" s="1747">
        <v>1203</v>
      </c>
      <c r="AB4" s="1747"/>
      <c r="AC4" s="1747"/>
      <c r="AD4" s="1747">
        <v>1183.1500000000001</v>
      </c>
      <c r="AE4" s="1747">
        <v>884.44100000000003</v>
      </c>
      <c r="AF4" s="1747">
        <v>862.8</v>
      </c>
      <c r="AG4" s="3148"/>
      <c r="AH4" s="2956">
        <f>SUM(Z4:AF4)</f>
        <v>5104.9880000000003</v>
      </c>
      <c r="AI4" s="3073">
        <f>AH5-AH4</f>
        <v>1.3749999999990905</v>
      </c>
      <c r="AJ4" s="3074"/>
      <c r="AK4" s="3148"/>
      <c r="AL4" s="1747">
        <v>1245.1379999999999</v>
      </c>
      <c r="AM4" s="1747">
        <v>1445</v>
      </c>
      <c r="AN4" s="1747"/>
      <c r="AO4" s="1747"/>
      <c r="AP4" s="1747">
        <v>1116.3499999999999</v>
      </c>
      <c r="AQ4" s="1747">
        <v>1328.8</v>
      </c>
      <c r="AR4" s="1747">
        <v>1287.847</v>
      </c>
      <c r="AS4" s="3148"/>
      <c r="AT4" s="3102">
        <f>SUM(AL4:AR4)</f>
        <v>6423.1349999999993</v>
      </c>
      <c r="AU4" s="3103">
        <f>AT5-AT4</f>
        <v>6.1540000000013606</v>
      </c>
      <c r="AV4" s="3104"/>
      <c r="AW4" s="3148"/>
      <c r="AX4" s="1747">
        <v>1467.299</v>
      </c>
      <c r="AY4" s="1747">
        <v>1415.963</v>
      </c>
      <c r="AZ4" s="1747"/>
      <c r="BA4" s="1747">
        <v>536.73500000000001</v>
      </c>
      <c r="BB4" s="1747">
        <v>649.65</v>
      </c>
      <c r="BC4" s="1747">
        <v>627.60400000000004</v>
      </c>
      <c r="BD4" s="1747">
        <v>634.053</v>
      </c>
      <c r="BE4" s="3148"/>
      <c r="BF4" s="2021">
        <f>SUM(AX4:BD4)</f>
        <v>5331.3040000000001</v>
      </c>
      <c r="BG4" s="3058">
        <f>BF5-BF4</f>
        <v>3.4000000000005457</v>
      </c>
      <c r="BH4" s="3038"/>
      <c r="BI4" s="1724"/>
      <c r="BJ4" s="3201">
        <v>664.928</v>
      </c>
      <c r="BK4" s="3201">
        <v>925.65</v>
      </c>
      <c r="BL4" s="1724"/>
      <c r="BM4" s="2021">
        <f>SUM(BJ4:BK4)</f>
        <v>1590.578</v>
      </c>
      <c r="BN4" s="3058">
        <f>BM5-BM4</f>
        <v>0.25</v>
      </c>
      <c r="BO4" s="3038"/>
      <c r="BQ4" s="4614"/>
      <c r="BR4" s="4580"/>
      <c r="BT4" s="3141"/>
      <c r="BU4" s="3142"/>
      <c r="BV4" s="3035"/>
      <c r="BW4" s="3044"/>
      <c r="BY4" s="3165"/>
      <c r="BZ4" s="3166">
        <f>BZ3/BT5</f>
        <v>0.23349881194460056</v>
      </c>
      <c r="CA4" s="3167">
        <f>CA3/E6</f>
        <v>13.036960887598287</v>
      </c>
      <c r="CB4" s="3168"/>
      <c r="CC4" s="3150"/>
      <c r="CD4" s="3150"/>
      <c r="CE4" s="3150"/>
      <c r="CF4" s="3169"/>
      <c r="CG4" s="3150"/>
      <c r="CH4" s="3150"/>
      <c r="CI4" s="3150"/>
      <c r="CJ4" s="3169"/>
    </row>
    <row r="5" spans="2:173" s="1726" customFormat="1" ht="23.25" x14ac:dyDescent="0.2">
      <c r="C5" s="4667"/>
      <c r="D5" s="3055"/>
      <c r="E5" s="2260"/>
      <c r="F5" s="2260"/>
      <c r="G5" s="2260"/>
      <c r="H5" s="2260"/>
      <c r="I5" s="3048"/>
      <c r="J5" s="1728">
        <f>BT5</f>
        <v>23423.571000000004</v>
      </c>
      <c r="K5" s="2383">
        <f>BT5/BZ21</f>
        <v>975.98212500000011</v>
      </c>
      <c r="L5" s="1730"/>
      <c r="M5" s="1731"/>
      <c r="N5" s="1732">
        <v>602.12099999999998</v>
      </c>
      <c r="O5" s="1732">
        <v>723.40099999999995</v>
      </c>
      <c r="P5" s="1732"/>
      <c r="Q5" s="1732">
        <v>963.2</v>
      </c>
      <c r="R5" s="1732">
        <v>694.70100000000002</v>
      </c>
      <c r="S5" s="1732">
        <v>1035.297</v>
      </c>
      <c r="T5" s="1732">
        <v>943.66700000000003</v>
      </c>
      <c r="U5" s="1733"/>
      <c r="V5" s="3151">
        <f>SUM(N5:T5)</f>
        <v>4962.3869999999997</v>
      </c>
      <c r="W5" s="2275">
        <f>($J$43*100/20)*6</f>
        <v>3053.3599999999997</v>
      </c>
      <c r="X5" s="3155">
        <f>V5-W5</f>
        <v>1909.027</v>
      </c>
      <c r="Y5" s="1737"/>
      <c r="Z5" s="1732">
        <v>971.79700000000003</v>
      </c>
      <c r="AA5" s="1732">
        <v>1203</v>
      </c>
      <c r="AB5" s="1732"/>
      <c r="AC5" s="1732"/>
      <c r="AD5" s="1732">
        <v>1184</v>
      </c>
      <c r="AE5" s="1732">
        <v>884.66600000000005</v>
      </c>
      <c r="AF5" s="1732">
        <v>862.9</v>
      </c>
      <c r="AG5" s="1738"/>
      <c r="AH5" s="3151">
        <f>SUM(Z5:AF5)</f>
        <v>5106.3629999999994</v>
      </c>
      <c r="AI5" s="2275">
        <f>($J$43*100/20)*5</f>
        <v>2544.4666666666662</v>
      </c>
      <c r="AJ5" s="3155">
        <f>AH5-AI5</f>
        <v>2561.8963333333331</v>
      </c>
      <c r="AK5" s="1738"/>
      <c r="AL5" s="1732">
        <v>1247.7380000000001</v>
      </c>
      <c r="AM5" s="1732">
        <v>1447.63</v>
      </c>
      <c r="AN5" s="1732"/>
      <c r="AO5" s="1732"/>
      <c r="AP5" s="1732">
        <v>1116.5740000000001</v>
      </c>
      <c r="AQ5" s="1732">
        <v>1329.05</v>
      </c>
      <c r="AR5" s="1732">
        <v>1288.297</v>
      </c>
      <c r="AS5" s="3008">
        <v>417.84800000000001</v>
      </c>
      <c r="AT5" s="3151">
        <f>SUM(AL5:AR5)</f>
        <v>6429.2890000000007</v>
      </c>
      <c r="AU5" s="2275">
        <f>($J$43*100/24)*4</f>
        <v>1696.3111111111109</v>
      </c>
      <c r="AV5" s="3155">
        <f>AT5-AU5</f>
        <v>4732.9778888888895</v>
      </c>
      <c r="AW5" s="2205"/>
      <c r="AX5" s="1732">
        <v>1470.1489999999999</v>
      </c>
      <c r="AY5" s="1732">
        <v>1416.213</v>
      </c>
      <c r="AZ5" s="1732"/>
      <c r="BA5" s="1732">
        <v>536.83500000000004</v>
      </c>
      <c r="BB5" s="1732">
        <v>649.65</v>
      </c>
      <c r="BC5" s="1732">
        <v>627.75400000000002</v>
      </c>
      <c r="BD5" s="1732">
        <v>634.10299999999995</v>
      </c>
      <c r="BE5" s="2205"/>
      <c r="BF5" s="3151">
        <f>SUM(AX5:BD5)</f>
        <v>5334.7040000000006</v>
      </c>
      <c r="BG5" s="2275">
        <f>($J$43*100/24)*6</f>
        <v>2544.4666666666662</v>
      </c>
      <c r="BH5" s="3155">
        <f>BF5-BG5</f>
        <v>2790.2373333333344</v>
      </c>
      <c r="BI5" s="1861"/>
      <c r="BJ5" s="3024">
        <v>665.07799999999997</v>
      </c>
      <c r="BK5" s="3024">
        <v>925.75</v>
      </c>
      <c r="BL5" s="1861"/>
      <c r="BM5" s="3151">
        <f>SUM(BJ5:BK5)</f>
        <v>1590.828</v>
      </c>
      <c r="BN5" s="2275">
        <f>($J$43*100/24)*1</f>
        <v>424.07777777777773</v>
      </c>
      <c r="BO5" s="3155">
        <f>BM5-BN5</f>
        <v>1166.7502222222222</v>
      </c>
      <c r="BQ5" s="4614"/>
      <c r="BR5" s="4580"/>
      <c r="BT5" s="3040">
        <f>SUM(N5:T5)+SUM(Z5:AF5)+SUM(AL5:AR5)+SUM(AX5:BD5)+SUM(BJ5:BK5)</f>
        <v>23423.571000000004</v>
      </c>
      <c r="BU5" s="3041">
        <f>BT5/BY5</f>
        <v>1.9178520547855482</v>
      </c>
      <c r="BV5" s="1997"/>
      <c r="BW5" s="2797">
        <f>BT5/BZ21*24</f>
        <v>23423.571000000004</v>
      </c>
      <c r="BX5" s="1740"/>
      <c r="BY5" s="2747">
        <f>C43</f>
        <v>12213.439999999999</v>
      </c>
      <c r="BZ5" s="2748">
        <f>BY5-BT5</f>
        <v>-11210.131000000005</v>
      </c>
      <c r="CA5" s="2749">
        <f>BZ5/BZ24</f>
        <v>1868.3551666666674</v>
      </c>
      <c r="CB5" s="3111">
        <f>BY1/'RAWABI INCOME 3-2020'!BZ1-1</f>
        <v>-1.442423948145577E-2</v>
      </c>
      <c r="CC5" s="3108"/>
      <c r="CD5" s="3108"/>
      <c r="CE5" s="3108"/>
      <c r="CF5" s="3174"/>
      <c r="CG5" s="3108"/>
      <c r="CH5" s="3108"/>
      <c r="CI5" s="3108"/>
      <c r="CJ5" s="3174"/>
    </row>
    <row r="6" spans="2:173" s="2713" customFormat="1" ht="24" thickBot="1" x14ac:dyDescent="0.25">
      <c r="C6" s="4667"/>
      <c r="D6" s="3056"/>
      <c r="E6" s="2716">
        <f>J6/BZ21</f>
        <v>232.1620833333333</v>
      </c>
      <c r="F6" s="2716"/>
      <c r="G6" s="2716"/>
      <c r="H6" s="2716"/>
      <c r="I6" s="3049"/>
      <c r="J6" s="3052">
        <f>BT6</f>
        <v>5571.8899999999994</v>
      </c>
      <c r="K6" s="3053">
        <f>C43/K5</f>
        <v>12.51399968006586</v>
      </c>
      <c r="L6" s="2719"/>
      <c r="M6" s="2720"/>
      <c r="N6" s="2782">
        <v>135.17500000000001</v>
      </c>
      <c r="O6" s="2782">
        <v>164.56899999999999</v>
      </c>
      <c r="P6" s="2782"/>
      <c r="Q6" s="2782">
        <v>220.089</v>
      </c>
      <c r="R6" s="2782">
        <v>145.77699999999999</v>
      </c>
      <c r="S6" s="2782">
        <v>241.02</v>
      </c>
      <c r="T6" s="2782">
        <v>208.739</v>
      </c>
      <c r="U6" s="2722"/>
      <c r="V6" s="2781">
        <f>SUM(N6:T6)</f>
        <v>1115.3690000000001</v>
      </c>
      <c r="W6" s="2782">
        <f>W5*V7</f>
        <v>686.28728268069392</v>
      </c>
      <c r="X6" s="2783">
        <f>X5*V7</f>
        <v>429.08171731930634</v>
      </c>
      <c r="Y6" s="2723"/>
      <c r="Z6" s="2721">
        <v>215.05500000000001</v>
      </c>
      <c r="AA6" s="2721">
        <v>265.94600000000003</v>
      </c>
      <c r="AB6" s="2721"/>
      <c r="AC6" s="2721"/>
      <c r="AD6" s="2721">
        <v>293.10000000000002</v>
      </c>
      <c r="AE6" s="2721">
        <v>197.392</v>
      </c>
      <c r="AF6" s="2721">
        <v>204.29599999999999</v>
      </c>
      <c r="AG6" s="2724"/>
      <c r="AH6" s="2781">
        <f>SUM(Z6:AF6)</f>
        <v>1175.7890000000002</v>
      </c>
      <c r="AI6" s="2782">
        <f>AI5*AH7</f>
        <v>585.88782613639762</v>
      </c>
      <c r="AJ6" s="2783">
        <f>AJ5*25%</f>
        <v>640.47408333333328</v>
      </c>
      <c r="AK6" s="2724"/>
      <c r="AL6" s="2721">
        <v>285.05</v>
      </c>
      <c r="AM6" s="2721">
        <v>328.33100000000002</v>
      </c>
      <c r="AN6" s="2721"/>
      <c r="AO6" s="2721"/>
      <c r="AP6" s="2721">
        <v>274.815</v>
      </c>
      <c r="AQ6" s="2721">
        <v>349.03399999999999</v>
      </c>
      <c r="AR6" s="2721">
        <v>327.68900000000002</v>
      </c>
      <c r="AS6" s="3009">
        <v>85.138999999999996</v>
      </c>
      <c r="AT6" s="2781">
        <f>SUM(AL6:AR6)</f>
        <v>1564.9190000000001</v>
      </c>
      <c r="AU6" s="2782">
        <f>AU5*AT7</f>
        <v>412.89005482392974</v>
      </c>
      <c r="AV6" s="2783">
        <f>AV5*25%</f>
        <v>1183.2444722222224</v>
      </c>
      <c r="AW6" s="2725"/>
      <c r="AX6" s="2721">
        <v>370.03100000000001</v>
      </c>
      <c r="AY6" s="2721">
        <v>371.55</v>
      </c>
      <c r="AZ6" s="2721"/>
      <c r="BA6" s="2721">
        <v>134.67599999999999</v>
      </c>
      <c r="BB6" s="2721">
        <v>154.92099999999999</v>
      </c>
      <c r="BC6" s="2721">
        <v>160.595</v>
      </c>
      <c r="BD6" s="2721">
        <v>149.953</v>
      </c>
      <c r="BE6" s="2725"/>
      <c r="BF6" s="2781">
        <f>SUM(AX6:BD6)</f>
        <v>1341.7260000000001</v>
      </c>
      <c r="BG6" s="2782">
        <f>BG5*BF7</f>
        <v>639.95623427279179</v>
      </c>
      <c r="BH6" s="2783">
        <f>BH5*25%</f>
        <v>697.5593333333336</v>
      </c>
      <c r="BI6" s="2726"/>
      <c r="BJ6" s="2721">
        <v>158.07400000000001</v>
      </c>
      <c r="BK6" s="2721">
        <v>216.01300000000001</v>
      </c>
      <c r="BL6" s="2726"/>
      <c r="BM6" s="2781">
        <f>SUM(BJ6:BK6)</f>
        <v>374.08699999999999</v>
      </c>
      <c r="BN6" s="2782">
        <f>BN5*BM7</f>
        <v>99.722901316519156</v>
      </c>
      <c r="BO6" s="2783">
        <f>BO5*25%</f>
        <v>291.68755555555555</v>
      </c>
      <c r="BQ6" s="4614"/>
      <c r="BR6" s="4580"/>
      <c r="BT6" s="2727">
        <f>SUM(N6:T6)+SUM(Z6:AF6)+SUM(AL6:AR6)+SUM(AX6:BD6)+SUM(BJ6:BK6)</f>
        <v>5571.8899999999994</v>
      </c>
      <c r="BU6" s="2728">
        <f>BT6/E43</f>
        <v>2.2810485825451305</v>
      </c>
      <c r="BV6" s="2729"/>
      <c r="BW6" s="2798"/>
      <c r="BX6" s="2730"/>
      <c r="BY6" s="3161"/>
      <c r="BZ6" s="3162">
        <f>BZ5/K5</f>
        <v>-11.486000319934142</v>
      </c>
      <c r="CA6" s="3163" t="s">
        <v>251</v>
      </c>
      <c r="CB6" s="3112" t="s">
        <v>253</v>
      </c>
      <c r="CC6" s="3109"/>
      <c r="CD6" s="3109"/>
      <c r="CE6" s="3109"/>
      <c r="CF6" s="3175"/>
      <c r="CG6" s="3109"/>
      <c r="CH6" s="3109"/>
      <c r="CI6" s="3109"/>
      <c r="CJ6" s="3175"/>
    </row>
    <row r="7" spans="2:173" s="1885" customFormat="1" ht="23.25" x14ac:dyDescent="0.2">
      <c r="C7" s="4667"/>
      <c r="D7" s="3057"/>
      <c r="E7" s="2813"/>
      <c r="F7" s="2813"/>
      <c r="G7" s="2813"/>
      <c r="H7" s="2813"/>
      <c r="I7" s="3050"/>
      <c r="J7" s="2001">
        <f>J6-E43</f>
        <v>3129.2019999999998</v>
      </c>
      <c r="K7" s="3054">
        <f>J7-CA3</f>
        <v>102.51399999999921</v>
      </c>
      <c r="L7" s="2816"/>
      <c r="M7" s="2817"/>
      <c r="N7" s="2818">
        <f t="shared" ref="N7:R7" si="11">N6/N5</f>
        <v>0.22449806600334488</v>
      </c>
      <c r="O7" s="2818">
        <f t="shared" ref="O7:P7" si="12">O6/O5</f>
        <v>0.22749346489706262</v>
      </c>
      <c r="P7" s="2818" t="e">
        <f t="shared" si="12"/>
        <v>#DIV/0!</v>
      </c>
      <c r="Q7" s="2818">
        <f t="shared" ref="Q7" si="13">Q6/Q5</f>
        <v>0.22849771594684384</v>
      </c>
      <c r="R7" s="2818">
        <f t="shared" si="11"/>
        <v>0.20984135620936198</v>
      </c>
      <c r="S7" s="2818">
        <f t="shared" ref="S7:T7" si="14">S6/S5</f>
        <v>0.23280276094685873</v>
      </c>
      <c r="T7" s="2818">
        <f t="shared" si="14"/>
        <v>0.2211998512187032</v>
      </c>
      <c r="U7" s="2819"/>
      <c r="V7" s="2820">
        <f>V6/V5</f>
        <v>0.22476461428743874</v>
      </c>
      <c r="W7" s="2821">
        <v>1110.6179999999999</v>
      </c>
      <c r="X7" s="2245">
        <f>W7-V6</f>
        <v>-4.7510000000002037</v>
      </c>
      <c r="Y7" s="2822"/>
      <c r="Z7" s="2818">
        <f t="shared" ref="Z7" si="15">Z6/Z5</f>
        <v>0.22129621721408896</v>
      </c>
      <c r="AA7" s="2818">
        <f t="shared" ref="AA7" si="16">AA6/AA5</f>
        <v>0.22106899418121365</v>
      </c>
      <c r="AB7" s="2818" t="e">
        <f t="shared" ref="AB7:AD7" si="17">AB6/AB5</f>
        <v>#DIV/0!</v>
      </c>
      <c r="AC7" s="2818" t="e">
        <f t="shared" si="17"/>
        <v>#DIV/0!</v>
      </c>
      <c r="AD7" s="2818">
        <f t="shared" si="17"/>
        <v>0.24755067567567571</v>
      </c>
      <c r="AE7" s="2818">
        <f t="shared" ref="AE7:AF7" si="18">AE6/AE5</f>
        <v>0.22312601592013256</v>
      </c>
      <c r="AF7" s="2818">
        <f t="shared" si="18"/>
        <v>0.23675512805655349</v>
      </c>
      <c r="AG7" s="2823"/>
      <c r="AH7" s="2820">
        <f>AH6/AH5</f>
        <v>0.23025958005727371</v>
      </c>
      <c r="AI7" s="2821">
        <v>1189.232</v>
      </c>
      <c r="AJ7" s="2245">
        <f>AI7-AH6</f>
        <v>13.442999999999756</v>
      </c>
      <c r="AK7" s="2823"/>
      <c r="AL7" s="2818">
        <f t="shared" ref="AL7" si="19">AL6/AL5</f>
        <v>0.22845340928945018</v>
      </c>
      <c r="AM7" s="2818">
        <f t="shared" ref="AM7:AS7" si="20">AM6/AM5</f>
        <v>0.22680588271865049</v>
      </c>
      <c r="AN7" s="2818" t="e">
        <f t="shared" si="20"/>
        <v>#DIV/0!</v>
      </c>
      <c r="AO7" s="2818" t="e">
        <f t="shared" si="20"/>
        <v>#DIV/0!</v>
      </c>
      <c r="AP7" s="2818">
        <f t="shared" si="20"/>
        <v>0.24612340964414359</v>
      </c>
      <c r="AQ7" s="2818">
        <f t="shared" si="20"/>
        <v>0.26261916406455738</v>
      </c>
      <c r="AR7" s="2818">
        <f t="shared" si="20"/>
        <v>0.25435827297587438</v>
      </c>
      <c r="AS7" s="3010">
        <f t="shared" si="20"/>
        <v>0.20375591124045106</v>
      </c>
      <c r="AT7" s="2820">
        <f>AT6/AT5</f>
        <v>0.24340467507371344</v>
      </c>
      <c r="AU7" s="2821">
        <v>1572.098</v>
      </c>
      <c r="AV7" s="2245">
        <f>AU7-AT6</f>
        <v>7.1789999999998599</v>
      </c>
      <c r="AW7" s="2402"/>
      <c r="AX7" s="2818">
        <f t="shared" ref="AX7:BA7" si="21">AX6/AX5</f>
        <v>0.25169625663793266</v>
      </c>
      <c r="AY7" s="2818">
        <f t="shared" ref="AY7" si="22">AY6/AY5</f>
        <v>0.2623546034388895</v>
      </c>
      <c r="AZ7" s="2818" t="e">
        <f t="shared" si="21"/>
        <v>#DIV/0!</v>
      </c>
      <c r="BA7" s="2818">
        <f t="shared" si="21"/>
        <v>0.25087037916678306</v>
      </c>
      <c r="BB7" s="2818">
        <f t="shared" ref="BB7:BC7" si="23">BB6/BB5</f>
        <v>0.23846840606480413</v>
      </c>
      <c r="BC7" s="2818">
        <f t="shared" si="23"/>
        <v>0.25582473389257576</v>
      </c>
      <c r="BD7" s="2818">
        <f t="shared" ref="BD7" si="24">BD6/BD5</f>
        <v>0.23648050868707451</v>
      </c>
      <c r="BE7" s="2823"/>
      <c r="BF7" s="2820">
        <f>BF6/BF5</f>
        <v>0.25150898719029208</v>
      </c>
      <c r="BG7" s="2821">
        <v>1335.36</v>
      </c>
      <c r="BH7" s="2245">
        <f>BG7-BF6</f>
        <v>-6.3660000000002128</v>
      </c>
      <c r="BI7" s="2011"/>
      <c r="BJ7" s="2818">
        <f t="shared" ref="BJ7" si="25">BJ6/BJ5</f>
        <v>0.23767738520895296</v>
      </c>
      <c r="BK7" s="2818">
        <f t="shared" ref="BK7" si="26">BK6/BK5</f>
        <v>0.23333837429111531</v>
      </c>
      <c r="BL7" s="2823"/>
      <c r="BM7" s="2820">
        <f>BM6/BM5</f>
        <v>0.23515238605304911</v>
      </c>
      <c r="BN7" s="2821">
        <v>369.60199999999998</v>
      </c>
      <c r="BO7" s="2245">
        <f>BN7-BM6</f>
        <v>-4.4850000000000136</v>
      </c>
      <c r="BQ7" s="4614"/>
      <c r="BR7" s="4580"/>
      <c r="BT7" s="2820">
        <f>BT6/BT5</f>
        <v>0.23787534360153703</v>
      </c>
      <c r="BU7" s="3042">
        <v>5469.3760000000002</v>
      </c>
      <c r="BV7" s="2010"/>
      <c r="BW7" s="2824">
        <f>BU7-BT6</f>
        <v>-102.51399999999921</v>
      </c>
      <c r="BX7" s="1900"/>
      <c r="BY7" s="3158">
        <f>E43-BT6</f>
        <v>-3129.2019999999998</v>
      </c>
      <c r="BZ7" s="3159">
        <f>BY7/E6</f>
        <v>-13.478523086421305</v>
      </c>
      <c r="CA7" s="3160"/>
      <c r="CB7" s="2828"/>
      <c r="CC7" s="3110"/>
      <c r="CD7" s="3110"/>
      <c r="CE7" s="3110"/>
      <c r="CF7" s="3176"/>
      <c r="CG7" s="3110"/>
      <c r="CH7" s="3110"/>
      <c r="CI7" s="3110"/>
      <c r="CJ7" s="3176"/>
    </row>
    <row r="8" spans="2:173" ht="24" thickBot="1" x14ac:dyDescent="0.25">
      <c r="C8" s="4668"/>
      <c r="D8" s="1847"/>
      <c r="E8" s="4684" t="s">
        <v>277</v>
      </c>
      <c r="F8" s="4685"/>
      <c r="G8" s="4685"/>
      <c r="H8" s="4685"/>
      <c r="I8" s="4685"/>
      <c r="J8" s="4685"/>
      <c r="K8" s="4686"/>
      <c r="L8" s="1720"/>
      <c r="M8" s="3147"/>
      <c r="N8" s="1747"/>
      <c r="O8" s="1747"/>
      <c r="P8" s="1747"/>
      <c r="Q8" s="1747"/>
      <c r="R8" s="1747"/>
      <c r="S8" s="1747"/>
      <c r="T8" s="1747"/>
      <c r="U8" s="1748"/>
      <c r="V8" s="2021"/>
      <c r="W8" s="3058"/>
      <c r="X8" s="2022">
        <f>X7/V6</f>
        <v>-4.2595768754557489E-3</v>
      </c>
      <c r="Y8" s="3149"/>
      <c r="Z8" s="1747"/>
      <c r="AA8" s="1747"/>
      <c r="AB8" s="1747"/>
      <c r="AC8" s="1747"/>
      <c r="AD8" s="1747"/>
      <c r="AE8" s="1747"/>
      <c r="AF8" s="1747"/>
      <c r="AG8" s="1723"/>
      <c r="AH8" s="2021"/>
      <c r="AI8" s="1786"/>
      <c r="AJ8" s="2278"/>
      <c r="AK8" s="1723"/>
      <c r="AL8" s="1747"/>
      <c r="AM8" s="1747"/>
      <c r="AN8" s="1747"/>
      <c r="AO8" s="1747"/>
      <c r="AP8" s="1747"/>
      <c r="AQ8" s="1747"/>
      <c r="AR8" s="1747"/>
      <c r="AS8" s="3011"/>
      <c r="AT8" s="2021"/>
      <c r="AU8" s="1786"/>
      <c r="AV8" s="2278"/>
      <c r="AW8" s="2039"/>
      <c r="AX8" s="1747"/>
      <c r="AY8" s="1747"/>
      <c r="AZ8" s="1747"/>
      <c r="BA8" s="1747"/>
      <c r="BB8" s="1747"/>
      <c r="BC8" s="1747"/>
      <c r="BD8" s="1747"/>
      <c r="BE8" s="2039"/>
      <c r="BF8" s="2021"/>
      <c r="BG8" s="1786" t="s">
        <v>279</v>
      </c>
      <c r="BH8" s="2278"/>
      <c r="BI8" s="1994"/>
      <c r="BJ8" s="1747"/>
      <c r="BK8" s="1747"/>
      <c r="BL8" s="1994"/>
      <c r="BM8" s="2021"/>
      <c r="BN8" s="1786"/>
      <c r="BO8" s="2278"/>
      <c r="BQ8" s="4614"/>
      <c r="BR8" s="4580"/>
      <c r="BT8" s="2326"/>
      <c r="BU8" s="2022">
        <f>BU7/BT5</f>
        <v>0.23349881194460056</v>
      </c>
      <c r="BV8" s="1993"/>
      <c r="BW8" s="3026">
        <f>BW7/BT5</f>
        <v>-4.376531656936476E-3</v>
      </c>
      <c r="BX8" s="1754"/>
      <c r="BY8" s="2753"/>
      <c r="BZ8" s="2754"/>
      <c r="CA8" s="2755"/>
      <c r="CB8" s="3177"/>
      <c r="CC8" s="2271"/>
      <c r="CD8" s="2271"/>
      <c r="CE8" s="2271"/>
      <c r="CF8" s="3169"/>
      <c r="CG8" s="2271"/>
      <c r="CH8" s="2271"/>
      <c r="CI8" s="2271"/>
      <c r="CJ8" s="3169"/>
    </row>
    <row r="9" spans="2:173" s="1923" customFormat="1" ht="5.25" customHeight="1" thickBot="1" x14ac:dyDescent="0.25">
      <c r="C9" s="2273"/>
      <c r="D9" s="1800"/>
      <c r="E9" s="1804"/>
      <c r="F9" s="1804"/>
      <c r="G9" s="1804"/>
      <c r="H9" s="1804"/>
      <c r="I9" s="1804"/>
      <c r="J9" s="1803"/>
      <c r="K9" s="2272"/>
      <c r="L9" s="3147"/>
      <c r="M9" s="3147"/>
      <c r="N9" s="2026"/>
      <c r="O9" s="2026"/>
      <c r="P9" s="2026"/>
      <c r="Q9" s="2026"/>
      <c r="R9" s="2026"/>
      <c r="S9" s="2026"/>
      <c r="T9" s="2026"/>
      <c r="U9" s="1994"/>
      <c r="V9" s="3144"/>
      <c r="W9" s="1801"/>
      <c r="X9" s="3144"/>
      <c r="Y9" s="3148"/>
      <c r="Z9" s="2026"/>
      <c r="AA9" s="2026"/>
      <c r="AB9" s="2026"/>
      <c r="AC9" s="2026"/>
      <c r="AD9" s="2026"/>
      <c r="AE9" s="2026"/>
      <c r="AF9" s="2026"/>
      <c r="AG9" s="3148"/>
      <c r="AH9" s="3144"/>
      <c r="AI9" s="1801"/>
      <c r="AJ9" s="3144"/>
      <c r="AK9" s="3148"/>
      <c r="AL9" s="2026"/>
      <c r="AM9" s="2026"/>
      <c r="AN9" s="2026"/>
      <c r="AO9" s="2026"/>
      <c r="AP9" s="2026"/>
      <c r="AQ9" s="2026"/>
      <c r="AR9" s="2026"/>
      <c r="AS9" s="1994"/>
      <c r="AT9" s="3144"/>
      <c r="AU9" s="1801"/>
      <c r="AV9" s="3144"/>
      <c r="AW9" s="1994"/>
      <c r="AX9" s="2026"/>
      <c r="AY9" s="2026"/>
      <c r="AZ9" s="2026"/>
      <c r="BA9" s="2026"/>
      <c r="BB9" s="2026"/>
      <c r="BC9" s="2026"/>
      <c r="BD9" s="2026"/>
      <c r="BE9" s="1994"/>
      <c r="BF9" s="3144"/>
      <c r="BG9" s="1801"/>
      <c r="BH9" s="3144"/>
      <c r="BI9" s="1994"/>
      <c r="BJ9" s="3157"/>
      <c r="BK9" s="3157"/>
      <c r="BL9" s="1994"/>
      <c r="BM9" s="3144"/>
      <c r="BN9" s="1801"/>
      <c r="BO9" s="3144"/>
      <c r="BQ9" s="4614"/>
      <c r="BR9" s="4580"/>
      <c r="BT9" s="1805"/>
      <c r="BU9" s="1993"/>
      <c r="BV9" s="1993"/>
      <c r="BW9" s="2325"/>
      <c r="BX9" s="1994"/>
      <c r="BY9" s="2270"/>
      <c r="BZ9" s="2270"/>
      <c r="CA9" s="2270"/>
      <c r="CB9" s="3177"/>
      <c r="CC9" s="2271"/>
      <c r="CD9" s="2271"/>
      <c r="CE9" s="2271"/>
      <c r="CF9" s="3169"/>
      <c r="CG9" s="2271"/>
      <c r="CH9" s="2271"/>
      <c r="CI9" s="2271"/>
      <c r="CJ9" s="3169"/>
    </row>
    <row r="10" spans="2:173" s="1810" customFormat="1" ht="17.25" customHeight="1" x14ac:dyDescent="0.2">
      <c r="C10" s="1811" t="s">
        <v>190</v>
      </c>
      <c r="D10" s="1727"/>
      <c r="E10" s="1812"/>
      <c r="F10" s="1812"/>
      <c r="G10" s="1812"/>
      <c r="H10" s="1812"/>
      <c r="I10" s="1812"/>
      <c r="J10" s="1813">
        <f>BT10</f>
        <v>1536.4533333333336</v>
      </c>
      <c r="K10" s="4564">
        <f>CB1-J10</f>
        <v>28.147666666666282</v>
      </c>
      <c r="L10" s="1760"/>
      <c r="M10" s="1761"/>
      <c r="N10" s="1735">
        <f>(N6-N43)/2</f>
        <v>16.69816666666668</v>
      </c>
      <c r="O10" s="1735">
        <f t="shared" ref="O10:T10" si="27">(O6-O43)/2</f>
        <v>31.395166666666668</v>
      </c>
      <c r="P10" s="1735">
        <f t="shared" si="27"/>
        <v>0</v>
      </c>
      <c r="Q10" s="1735">
        <f t="shared" si="27"/>
        <v>59.155166666666673</v>
      </c>
      <c r="R10" s="1735">
        <f t="shared" si="27"/>
        <v>21.999166666666667</v>
      </c>
      <c r="S10" s="1735">
        <f t="shared" si="27"/>
        <v>69.620666666666679</v>
      </c>
      <c r="T10" s="1735">
        <f t="shared" si="27"/>
        <v>53.480166666666676</v>
      </c>
      <c r="U10" s="1814"/>
      <c r="V10" s="1771">
        <f>SUM(N10:T10)</f>
        <v>252.34850000000006</v>
      </c>
      <c r="W10" s="1815"/>
      <c r="X10" s="1816"/>
      <c r="Y10" s="1764"/>
      <c r="Z10" s="1735">
        <f t="shared" ref="Z10:AF10" si="28">(Z6-Z43)/2</f>
        <v>56.638166666666677</v>
      </c>
      <c r="AA10" s="1735">
        <f t="shared" si="28"/>
        <v>82.083666666666687</v>
      </c>
      <c r="AB10" s="1735">
        <f t="shared" si="28"/>
        <v>0</v>
      </c>
      <c r="AC10" s="1735">
        <f t="shared" si="28"/>
        <v>0</v>
      </c>
      <c r="AD10" s="1735">
        <f t="shared" si="28"/>
        <v>95.660666666666685</v>
      </c>
      <c r="AE10" s="1735">
        <f t="shared" si="28"/>
        <v>47.806666666666672</v>
      </c>
      <c r="AF10" s="1735">
        <f t="shared" si="28"/>
        <v>51.25866666666667</v>
      </c>
      <c r="AG10" s="1764"/>
      <c r="AH10" s="1771">
        <f>SUM(Z10:AF10)</f>
        <v>333.44783333333339</v>
      </c>
      <c r="AI10" s="1815"/>
      <c r="AJ10" s="1816"/>
      <c r="AK10" s="1764"/>
      <c r="AL10" s="1735">
        <f>(AL6-AL43)/2</f>
        <v>91.63566666666668</v>
      </c>
      <c r="AM10" s="1735">
        <f t="shared" ref="AM10:AQ10" si="29">(AM6-AM43)/2</f>
        <v>113.27616666666668</v>
      </c>
      <c r="AN10" s="1735">
        <f t="shared" si="29"/>
        <v>0</v>
      </c>
      <c r="AO10" s="1735">
        <f t="shared" si="29"/>
        <v>0</v>
      </c>
      <c r="AP10" s="1735">
        <f t="shared" si="29"/>
        <v>86.518166666666673</v>
      </c>
      <c r="AQ10" s="1735">
        <f t="shared" si="29"/>
        <v>123.62766666666667</v>
      </c>
      <c r="AR10" s="1735">
        <f>(AR6-AR43)/2</f>
        <v>112.95516666666668</v>
      </c>
      <c r="AS10" s="2289"/>
      <c r="AT10" s="1771">
        <f>SUM(AL10:AR10)</f>
        <v>528.01283333333345</v>
      </c>
      <c r="AU10" s="1815"/>
      <c r="AV10" s="1816"/>
      <c r="AW10" s="2289"/>
      <c r="AX10" s="1735">
        <f>(AX6-AX43)/2</f>
        <v>134.12616666666668</v>
      </c>
      <c r="AY10" s="1735">
        <f t="shared" ref="AY10:BD10" si="30">(AY6-AY43)/2</f>
        <v>134.88566666666668</v>
      </c>
      <c r="AZ10" s="1735">
        <f t="shared" ref="AZ10:BB10" si="31">(AZ6-AZ43)/2</f>
        <v>0</v>
      </c>
      <c r="BA10" s="1735">
        <f t="shared" si="31"/>
        <v>16.448666666666668</v>
      </c>
      <c r="BB10" s="1735">
        <f t="shared" si="31"/>
        <v>26.57116666666667</v>
      </c>
      <c r="BC10" s="1735">
        <f t="shared" si="30"/>
        <v>29.408166666666673</v>
      </c>
      <c r="BD10" s="1735">
        <f t="shared" si="30"/>
        <v>24.087166666666675</v>
      </c>
      <c r="BE10" s="2289"/>
      <c r="BF10" s="1771">
        <f>SUM(AX10:BD10)</f>
        <v>365.52700000000004</v>
      </c>
      <c r="BG10" s="1815"/>
      <c r="BH10" s="1816"/>
      <c r="BI10" s="1814"/>
      <c r="BJ10" s="1735">
        <f t="shared" ref="BJ10" si="32">(BJ6-BJ43)/2</f>
        <v>28.14766666666668</v>
      </c>
      <c r="BK10" s="1735">
        <f t="shared" ref="BK10" si="33">(BK6-BK43)/2</f>
        <v>57.117166666666677</v>
      </c>
      <c r="BL10" s="1814"/>
      <c r="BM10" s="1771">
        <f>SUM(BJ10:BK10)</f>
        <v>85.264833333333357</v>
      </c>
      <c r="BN10" s="1815"/>
      <c r="BO10" s="1816"/>
      <c r="BP10" s="1766"/>
      <c r="BQ10" s="4614"/>
      <c r="BR10" s="4580"/>
      <c r="BS10" s="1766"/>
      <c r="BT10" s="1771">
        <f>SUM(N10:T10)+SUM(Z10:AF10)+SUM(AL10:AR10)+SUM(AX10:BD10)+SUM(BK10:BK10)</f>
        <v>1536.4533333333336</v>
      </c>
      <c r="BU10" s="2340"/>
      <c r="BV10" s="1830"/>
      <c r="BW10" s="2348">
        <v>0</v>
      </c>
      <c r="BX10" s="1817"/>
      <c r="BY10" s="4687" t="s">
        <v>226</v>
      </c>
      <c r="BZ10" s="4687"/>
      <c r="CA10" s="1818"/>
      <c r="CB10" s="1774"/>
      <c r="CC10" s="1766"/>
      <c r="CD10" s="1766"/>
      <c r="CE10" s="1819"/>
      <c r="CF10" s="1820"/>
      <c r="CG10" s="1766"/>
      <c r="CH10" s="1766"/>
      <c r="CI10" s="1819"/>
      <c r="CJ10" s="1820"/>
      <c r="CK10" s="1821"/>
      <c r="CL10" s="1821"/>
      <c r="CM10" s="1821"/>
      <c r="CN10" s="1821"/>
      <c r="CO10" s="1821"/>
      <c r="CP10" s="1821"/>
      <c r="CQ10" s="1821"/>
      <c r="CR10" s="1821"/>
      <c r="CS10" s="1821"/>
      <c r="CT10" s="1821"/>
      <c r="CU10" s="1821"/>
      <c r="CV10" s="1821"/>
      <c r="CW10" s="1821"/>
      <c r="CX10" s="1821"/>
      <c r="CY10" s="1821"/>
      <c r="CZ10" s="1821"/>
      <c r="DA10" s="1821"/>
      <c r="DB10" s="1821"/>
      <c r="DC10" s="1821"/>
      <c r="DD10" s="1821"/>
      <c r="DE10" s="1821"/>
      <c r="DF10" s="1821"/>
      <c r="DG10" s="1821"/>
      <c r="DH10" s="1821"/>
      <c r="DI10" s="1821"/>
      <c r="DJ10" s="1821"/>
      <c r="DK10" s="1821"/>
      <c r="DL10" s="1821"/>
      <c r="DM10" s="1821"/>
      <c r="DN10" s="1821"/>
      <c r="DO10" s="1821"/>
      <c r="DP10" s="1821"/>
      <c r="DQ10" s="1821"/>
      <c r="DR10" s="1821"/>
      <c r="DS10" s="1821"/>
      <c r="DT10" s="1821"/>
      <c r="DU10" s="1821"/>
      <c r="DV10" s="1821"/>
      <c r="DW10" s="1821"/>
      <c r="DX10" s="1821"/>
      <c r="DY10" s="1821"/>
      <c r="DZ10" s="1821"/>
      <c r="EA10" s="1821"/>
      <c r="EB10" s="1821"/>
      <c r="EC10" s="1821"/>
      <c r="ED10" s="1821"/>
      <c r="EE10" s="1821"/>
      <c r="EF10" s="1821"/>
      <c r="EG10" s="1821"/>
      <c r="EH10" s="1821"/>
      <c r="EI10" s="1821"/>
      <c r="EJ10" s="1821"/>
      <c r="EK10" s="1821"/>
      <c r="EL10" s="1821"/>
      <c r="EM10" s="1821"/>
      <c r="EN10" s="1821"/>
      <c r="EO10" s="1821"/>
      <c r="EP10" s="1821"/>
      <c r="EQ10" s="1821"/>
      <c r="ER10" s="1821"/>
      <c r="ES10" s="1821"/>
      <c r="ET10" s="1821"/>
      <c r="EU10" s="1821"/>
      <c r="EV10" s="1821"/>
      <c r="EW10" s="1821"/>
      <c r="EX10" s="1821"/>
      <c r="EY10" s="1821"/>
      <c r="EZ10" s="1821"/>
      <c r="FA10" s="1821"/>
      <c r="FB10" s="1821"/>
      <c r="FC10" s="1821"/>
      <c r="FD10" s="1821"/>
      <c r="FE10" s="1821"/>
      <c r="FF10" s="1821"/>
      <c r="FG10" s="1821"/>
      <c r="FH10" s="1821"/>
      <c r="FI10" s="1821"/>
      <c r="FJ10" s="1821"/>
      <c r="FK10" s="1821"/>
      <c r="FL10" s="1821"/>
      <c r="FM10" s="1821"/>
      <c r="FN10" s="1821"/>
      <c r="FO10" s="1821"/>
      <c r="FP10" s="1821"/>
      <c r="FQ10" s="1821"/>
    </row>
    <row r="11" spans="2:173" s="1777" customFormat="1" ht="17.25" customHeight="1" thickBot="1" x14ac:dyDescent="0.25">
      <c r="C11" s="1822" t="s">
        <v>169</v>
      </c>
      <c r="D11" s="1744"/>
      <c r="E11" s="1823"/>
      <c r="F11" s="1823"/>
      <c r="G11" s="1823"/>
      <c r="H11" s="1823"/>
      <c r="I11" s="1823"/>
      <c r="J11" s="1824"/>
      <c r="K11" s="4565">
        <f t="shared" ref="K11" si="34">BQ52</f>
        <v>0</v>
      </c>
      <c r="L11" s="1782"/>
      <c r="M11" s="1783"/>
      <c r="N11" s="1750">
        <f t="shared" ref="N11:T11" si="35">N10</f>
        <v>16.69816666666668</v>
      </c>
      <c r="O11" s="1750">
        <f t="shared" si="35"/>
        <v>31.395166666666668</v>
      </c>
      <c r="P11" s="1750">
        <f t="shared" si="35"/>
        <v>0</v>
      </c>
      <c r="Q11" s="1750">
        <f t="shared" si="35"/>
        <v>59.155166666666673</v>
      </c>
      <c r="R11" s="1750">
        <f t="shared" si="35"/>
        <v>21.999166666666667</v>
      </c>
      <c r="S11" s="1750">
        <f t="shared" si="35"/>
        <v>69.620666666666679</v>
      </c>
      <c r="T11" s="1750">
        <f t="shared" si="35"/>
        <v>53.480166666666676</v>
      </c>
      <c r="U11" s="1801"/>
      <c r="V11" s="1785">
        <f>SUM(N11:T11)</f>
        <v>252.34850000000006</v>
      </c>
      <c r="W11" s="1825"/>
      <c r="X11" s="1826"/>
      <c r="Y11" s="1788"/>
      <c r="Z11" s="1750">
        <f t="shared" ref="Z11:AF11" si="36">Z10</f>
        <v>56.638166666666677</v>
      </c>
      <c r="AA11" s="1750">
        <f t="shared" si="36"/>
        <v>82.083666666666687</v>
      </c>
      <c r="AB11" s="1750">
        <f t="shared" si="36"/>
        <v>0</v>
      </c>
      <c r="AC11" s="1750">
        <f t="shared" si="36"/>
        <v>0</v>
      </c>
      <c r="AD11" s="1750">
        <f t="shared" si="36"/>
        <v>95.660666666666685</v>
      </c>
      <c r="AE11" s="1750">
        <f t="shared" si="36"/>
        <v>47.806666666666672</v>
      </c>
      <c r="AF11" s="1750">
        <f t="shared" si="36"/>
        <v>51.25866666666667</v>
      </c>
      <c r="AG11" s="1788"/>
      <c r="AH11" s="1785">
        <f>SUM(Z11:AF11)</f>
        <v>333.44783333333339</v>
      </c>
      <c r="AI11" s="1825"/>
      <c r="AJ11" s="1826"/>
      <c r="AK11" s="1788"/>
      <c r="AL11" s="1750">
        <f t="shared" ref="AL11:AR11" si="37">AL10</f>
        <v>91.63566666666668</v>
      </c>
      <c r="AM11" s="1750">
        <f t="shared" si="37"/>
        <v>113.27616666666668</v>
      </c>
      <c r="AN11" s="1750">
        <f t="shared" si="37"/>
        <v>0</v>
      </c>
      <c r="AO11" s="1750">
        <f t="shared" si="37"/>
        <v>0</v>
      </c>
      <c r="AP11" s="1750">
        <f t="shared" si="37"/>
        <v>86.518166666666673</v>
      </c>
      <c r="AQ11" s="1750">
        <f t="shared" si="37"/>
        <v>123.62766666666667</v>
      </c>
      <c r="AR11" s="1750">
        <f t="shared" si="37"/>
        <v>112.95516666666668</v>
      </c>
      <c r="AS11" s="2290"/>
      <c r="AT11" s="1785">
        <f>SUM(AL11:AR11)</f>
        <v>528.01283333333345</v>
      </c>
      <c r="AU11" s="1825"/>
      <c r="AV11" s="1826"/>
      <c r="AW11" s="2290"/>
      <c r="AX11" s="1750">
        <f t="shared" ref="AX11:BD11" si="38">AX10</f>
        <v>134.12616666666668</v>
      </c>
      <c r="AY11" s="1750">
        <f t="shared" si="38"/>
        <v>134.88566666666668</v>
      </c>
      <c r="AZ11" s="1750">
        <f t="shared" ref="AZ11:BB11" si="39">AZ10</f>
        <v>0</v>
      </c>
      <c r="BA11" s="1750">
        <f t="shared" si="39"/>
        <v>16.448666666666668</v>
      </c>
      <c r="BB11" s="1750">
        <f t="shared" si="39"/>
        <v>26.57116666666667</v>
      </c>
      <c r="BC11" s="1750">
        <f t="shared" si="38"/>
        <v>29.408166666666673</v>
      </c>
      <c r="BD11" s="1750">
        <f t="shared" si="38"/>
        <v>24.087166666666675</v>
      </c>
      <c r="BE11" s="2290"/>
      <c r="BF11" s="1785">
        <f>SUM(AX11:BD11)</f>
        <v>365.52700000000004</v>
      </c>
      <c r="BG11" s="1825"/>
      <c r="BH11" s="1826"/>
      <c r="BI11" s="1801"/>
      <c r="BJ11" s="1750">
        <f t="shared" ref="BJ11:BK11" si="40">BJ10</f>
        <v>28.14766666666668</v>
      </c>
      <c r="BK11" s="1750">
        <f t="shared" si="40"/>
        <v>57.117166666666677</v>
      </c>
      <c r="BL11" s="1801"/>
      <c r="BM11" s="1785">
        <f>SUM(BJ11:BK11)</f>
        <v>85.264833333333357</v>
      </c>
      <c r="BN11" s="1825"/>
      <c r="BO11" s="1826"/>
      <c r="BP11" s="1792"/>
      <c r="BQ11" s="4614"/>
      <c r="BR11" s="4580"/>
      <c r="BS11" s="1792"/>
      <c r="BT11" s="1793"/>
      <c r="BU11" s="2341"/>
      <c r="BV11" s="1802"/>
      <c r="BW11" s="2349"/>
      <c r="BX11" s="1795"/>
      <c r="BY11" s="4687"/>
      <c r="BZ11" s="4687"/>
      <c r="CA11" s="1805"/>
      <c r="CB11" s="1797"/>
      <c r="CC11" s="1791"/>
      <c r="CD11" s="1791"/>
      <c r="CE11" s="1807"/>
      <c r="CF11" s="1798"/>
      <c r="CG11" s="1791"/>
      <c r="CH11" s="1791"/>
      <c r="CI11" s="1807"/>
      <c r="CJ11" s="1798"/>
      <c r="CK11" s="1799"/>
      <c r="CL11" s="1799"/>
      <c r="CM11" s="1799"/>
      <c r="CN11" s="1799"/>
      <c r="CO11" s="1799"/>
      <c r="CP11" s="1799"/>
      <c r="CQ11" s="1799"/>
      <c r="CR11" s="1799"/>
      <c r="CS11" s="1799"/>
      <c r="CT11" s="1799"/>
      <c r="CU11" s="1799"/>
      <c r="CV11" s="1799"/>
      <c r="CW11" s="1799"/>
      <c r="CX11" s="1799"/>
      <c r="CY11" s="1799"/>
      <c r="CZ11" s="1799"/>
      <c r="DA11" s="1799"/>
      <c r="DB11" s="1799"/>
      <c r="DC11" s="1799"/>
      <c r="DD11" s="1799"/>
      <c r="DE11" s="1799"/>
      <c r="DF11" s="1799"/>
      <c r="DG11" s="1799"/>
      <c r="DH11" s="1799"/>
      <c r="DI11" s="1799"/>
      <c r="DJ11" s="1799"/>
      <c r="DK11" s="1799"/>
      <c r="DL11" s="1799"/>
      <c r="DM11" s="1799"/>
      <c r="DN11" s="1799"/>
      <c r="DO11" s="1799"/>
      <c r="DP11" s="1799"/>
      <c r="DQ11" s="1799"/>
      <c r="DR11" s="1799"/>
      <c r="DS11" s="1799"/>
      <c r="DT11" s="1799"/>
      <c r="DU11" s="1799"/>
      <c r="DV11" s="1799"/>
      <c r="DW11" s="1799"/>
      <c r="DX11" s="1799"/>
      <c r="DY11" s="1799"/>
      <c r="DZ11" s="1799"/>
      <c r="EA11" s="1799"/>
      <c r="EB11" s="1799"/>
      <c r="EC11" s="1799"/>
      <c r="ED11" s="1799"/>
      <c r="EE11" s="1799"/>
      <c r="EF11" s="1799"/>
      <c r="EG11" s="1799"/>
      <c r="EH11" s="1799"/>
      <c r="EI11" s="1799"/>
      <c r="EJ11" s="1799"/>
      <c r="EK11" s="1799"/>
      <c r="EL11" s="1799"/>
      <c r="EM11" s="1799"/>
      <c r="EN11" s="1799"/>
      <c r="EO11" s="1799"/>
      <c r="EP11" s="1799"/>
      <c r="EQ11" s="1799"/>
      <c r="ER11" s="1799"/>
      <c r="ES11" s="1799"/>
      <c r="ET11" s="1799"/>
      <c r="EU11" s="1799"/>
      <c r="EV11" s="1799"/>
      <c r="EW11" s="1799"/>
      <c r="EX11" s="1799"/>
      <c r="EY11" s="1799"/>
      <c r="EZ11" s="1799"/>
      <c r="FA11" s="1799"/>
      <c r="FB11" s="1799"/>
      <c r="FC11" s="1799"/>
      <c r="FD11" s="1799"/>
      <c r="FE11" s="1799"/>
      <c r="FF11" s="1799"/>
      <c r="FG11" s="1799"/>
      <c r="FH11" s="1799"/>
      <c r="FI11" s="1799"/>
      <c r="FJ11" s="1799"/>
      <c r="FK11" s="1799"/>
      <c r="FL11" s="1799"/>
      <c r="FM11" s="1799"/>
      <c r="FN11" s="1799"/>
      <c r="FO11" s="1799"/>
      <c r="FP11" s="1799"/>
      <c r="FQ11" s="1799"/>
    </row>
    <row r="12" spans="2:173" s="1800" customFormat="1" ht="4.5" customHeight="1" thickBot="1" x14ac:dyDescent="0.25">
      <c r="E12" s="1791"/>
      <c r="F12" s="1791"/>
      <c r="G12" s="1791"/>
      <c r="H12" s="1791"/>
      <c r="I12" s="1791"/>
      <c r="J12" s="1791"/>
      <c r="K12" s="1783"/>
      <c r="L12" s="1782"/>
      <c r="M12" s="1783"/>
      <c r="N12" s="1803"/>
      <c r="O12" s="1803"/>
      <c r="P12" s="1803"/>
      <c r="Q12" s="1803"/>
      <c r="R12" s="1803"/>
      <c r="S12" s="1803"/>
      <c r="T12" s="1803"/>
      <c r="U12" s="1801"/>
      <c r="V12" s="1801"/>
      <c r="W12" s="1801"/>
      <c r="X12" s="1801"/>
      <c r="Y12" s="1791"/>
      <c r="Z12" s="1803"/>
      <c r="AA12" s="1803"/>
      <c r="AB12" s="1803"/>
      <c r="AC12" s="1803"/>
      <c r="AD12" s="1803"/>
      <c r="AE12" s="1803"/>
      <c r="AF12" s="1803"/>
      <c r="AG12" s="1791"/>
      <c r="AH12" s="1801"/>
      <c r="AI12" s="1801"/>
      <c r="AJ12" s="1801"/>
      <c r="AK12" s="1791"/>
      <c r="AL12" s="1803"/>
      <c r="AM12" s="1803"/>
      <c r="AN12" s="1803"/>
      <c r="AO12" s="1803"/>
      <c r="AP12" s="1803"/>
      <c r="AQ12" s="1803"/>
      <c r="AR12" s="1803"/>
      <c r="AS12" s="1801"/>
      <c r="AT12" s="1801"/>
      <c r="AU12" s="1801"/>
      <c r="AV12" s="1801"/>
      <c r="AW12" s="1801"/>
      <c r="AX12" s="1803"/>
      <c r="AY12" s="1803"/>
      <c r="AZ12" s="1803"/>
      <c r="BA12" s="1803"/>
      <c r="BB12" s="1803"/>
      <c r="BC12" s="1803"/>
      <c r="BD12" s="1803"/>
      <c r="BE12" s="1801"/>
      <c r="BF12" s="1801"/>
      <c r="BG12" s="1801"/>
      <c r="BH12" s="1801"/>
      <c r="BI12" s="1801"/>
      <c r="BJ12" s="1803"/>
      <c r="BK12" s="1803"/>
      <c r="BL12" s="1801"/>
      <c r="BM12" s="1801"/>
      <c r="BN12" s="1801"/>
      <c r="BO12" s="1801"/>
      <c r="BP12" s="1791"/>
      <c r="BQ12" s="4614"/>
      <c r="BR12" s="4580"/>
      <c r="BS12" s="1791"/>
      <c r="BT12" s="1801"/>
      <c r="BU12" s="1802"/>
      <c r="BV12" s="1802"/>
      <c r="BW12" s="1805"/>
      <c r="BX12" s="1806"/>
      <c r="BY12" s="1801"/>
      <c r="BZ12" s="1805"/>
      <c r="CA12" s="1805"/>
      <c r="CB12" s="1797"/>
      <c r="CC12" s="1791"/>
      <c r="CD12" s="1791"/>
      <c r="CE12" s="1807"/>
      <c r="CF12" s="1808"/>
      <c r="CG12" s="1791"/>
      <c r="CH12" s="1791"/>
      <c r="CI12" s="1807"/>
      <c r="CJ12" s="1808"/>
      <c r="CK12" s="1809"/>
      <c r="CL12" s="1809"/>
      <c r="CM12" s="1809"/>
      <c r="CN12" s="1809"/>
      <c r="CO12" s="1809"/>
      <c r="CP12" s="1809"/>
      <c r="CQ12" s="1809"/>
      <c r="CR12" s="1809"/>
      <c r="CS12" s="1809"/>
      <c r="CT12" s="1809"/>
      <c r="CU12" s="1809"/>
      <c r="CV12" s="1809"/>
      <c r="CW12" s="1809"/>
      <c r="CX12" s="1809"/>
      <c r="CY12" s="1809"/>
      <c r="CZ12" s="1809"/>
      <c r="DA12" s="1809"/>
      <c r="DB12" s="1809"/>
      <c r="DC12" s="1809"/>
      <c r="DD12" s="1809"/>
      <c r="DE12" s="1809"/>
      <c r="DF12" s="1809"/>
      <c r="DG12" s="1809"/>
      <c r="DH12" s="1809"/>
      <c r="DI12" s="1809"/>
      <c r="DJ12" s="1809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</row>
    <row r="13" spans="2:173" s="1756" customFormat="1" ht="15" customHeight="1" x14ac:dyDescent="0.2">
      <c r="C13" s="1810"/>
      <c r="D13" s="1810"/>
      <c r="K13" s="1810"/>
      <c r="L13" s="1827"/>
      <c r="M13" s="1810"/>
      <c r="N13" s="1735" t="str">
        <f>TEXT(N14,"DDDD")</f>
        <v>الأربعاء</v>
      </c>
      <c r="O13" s="1735" t="str">
        <f t="shared" ref="O13:T13" si="41">TEXT(O14,"DDDD")</f>
        <v>الخميس</v>
      </c>
      <c r="P13" s="1728" t="str">
        <f t="shared" si="41"/>
        <v>الجمعة</v>
      </c>
      <c r="Q13" s="1735" t="str">
        <f t="shared" si="41"/>
        <v>السبت</v>
      </c>
      <c r="R13" s="1735" t="str">
        <f t="shared" si="41"/>
        <v>الأحد</v>
      </c>
      <c r="S13" s="1735" t="str">
        <f t="shared" si="41"/>
        <v>الإثنين</v>
      </c>
      <c r="T13" s="1735" t="str">
        <f t="shared" si="41"/>
        <v>الثلاثاء</v>
      </c>
      <c r="U13" s="1814"/>
      <c r="V13" s="1771"/>
      <c r="W13" s="1815"/>
      <c r="X13" s="1816"/>
      <c r="Y13" s="1764"/>
      <c r="Z13" s="1735" t="str">
        <f>TEXT(Z14,"DDDD")</f>
        <v>الأربعاء</v>
      </c>
      <c r="AA13" s="1735" t="str">
        <f t="shared" ref="AA13:AF13" si="42">TEXT(AA14,"DDDD")</f>
        <v>الخميس</v>
      </c>
      <c r="AB13" s="1728" t="str">
        <f t="shared" si="42"/>
        <v>الجمعة</v>
      </c>
      <c r="AC13" s="1735" t="str">
        <f t="shared" si="42"/>
        <v>السبت</v>
      </c>
      <c r="AD13" s="1735" t="str">
        <f t="shared" si="42"/>
        <v>الأحد</v>
      </c>
      <c r="AE13" s="1735" t="str">
        <f t="shared" si="42"/>
        <v>الإثنين</v>
      </c>
      <c r="AF13" s="1735" t="str">
        <f t="shared" si="42"/>
        <v>الثلاثاء</v>
      </c>
      <c r="AG13" s="1764"/>
      <c r="AH13" s="1771"/>
      <c r="AI13" s="1815"/>
      <c r="AJ13" s="1829"/>
      <c r="AK13" s="1764"/>
      <c r="AL13" s="1735" t="str">
        <f>TEXT(AL14,"DDDD")</f>
        <v>الأربعاء</v>
      </c>
      <c r="AM13" s="1735" t="str">
        <f t="shared" ref="AM13:AR13" si="43">TEXT(AM14,"DDDD")</f>
        <v>الخميس</v>
      </c>
      <c r="AN13" s="1728" t="str">
        <f t="shared" si="43"/>
        <v>الجمعة</v>
      </c>
      <c r="AO13" s="1735" t="str">
        <f t="shared" si="43"/>
        <v>السبت</v>
      </c>
      <c r="AP13" s="1735" t="str">
        <f t="shared" si="43"/>
        <v>الأحد</v>
      </c>
      <c r="AQ13" s="1735" t="str">
        <f t="shared" si="43"/>
        <v>الإثنين</v>
      </c>
      <c r="AR13" s="1735" t="str">
        <f t="shared" si="43"/>
        <v>الثلاثاء</v>
      </c>
      <c r="AS13" s="2289"/>
      <c r="AT13" s="1771"/>
      <c r="AU13" s="1815"/>
      <c r="AV13" s="1816"/>
      <c r="AW13" s="2289"/>
      <c r="AX13" s="1735" t="str">
        <f>TEXT(AX14,"DDDD")</f>
        <v>الأربعاء</v>
      </c>
      <c r="AY13" s="1735" t="str">
        <f t="shared" ref="AY13:BD13" si="44">TEXT(AY14,"DDDD")</f>
        <v>الخميس</v>
      </c>
      <c r="AZ13" s="1728" t="str">
        <f t="shared" si="44"/>
        <v>الجمعة</v>
      </c>
      <c r="BA13" s="1735" t="str">
        <f t="shared" si="44"/>
        <v>السبت</v>
      </c>
      <c r="BB13" s="1735" t="str">
        <f t="shared" si="44"/>
        <v>الأحد</v>
      </c>
      <c r="BC13" s="1735" t="str">
        <f t="shared" si="44"/>
        <v>الإثنين</v>
      </c>
      <c r="BD13" s="1735" t="str">
        <f t="shared" si="44"/>
        <v>الثلاثاء</v>
      </c>
      <c r="BE13" s="2289"/>
      <c r="BF13" s="1771"/>
      <c r="BG13" s="1815"/>
      <c r="BH13" s="1816"/>
      <c r="BI13" s="1814"/>
      <c r="BJ13" s="1735" t="str">
        <f>TEXT(BJ14,"DDDD")</f>
        <v>الأربعاء</v>
      </c>
      <c r="BK13" s="1735" t="str">
        <f t="shared" ref="BK13" si="45">TEXT(BK14,"DDDD")</f>
        <v>الخميس</v>
      </c>
      <c r="BL13" s="1814"/>
      <c r="BM13" s="1771"/>
      <c r="BN13" s="1815"/>
      <c r="BO13" s="1816"/>
      <c r="BQ13" s="4614"/>
      <c r="BR13" s="4580"/>
      <c r="BT13" s="1814"/>
      <c r="BU13" s="1830"/>
      <c r="BV13" s="1830"/>
      <c r="BW13" s="1818"/>
      <c r="BX13" s="3133"/>
      <c r="BY13" s="2742">
        <f>BU5-BT1</f>
        <v>1.1178520547855482</v>
      </c>
      <c r="BZ13" s="4607"/>
      <c r="CA13" s="4608" t="s">
        <v>101</v>
      </c>
      <c r="CB13" s="1831"/>
      <c r="CC13" s="1832"/>
      <c r="CD13" s="1832" t="s">
        <v>252</v>
      </c>
      <c r="CE13" s="1833"/>
      <c r="CF13" s="1776"/>
      <c r="CG13" s="1776"/>
      <c r="CH13" s="1776"/>
      <c r="CI13" s="1834"/>
      <c r="CJ13" s="1776"/>
      <c r="CK13" s="1776"/>
      <c r="CL13" s="1776"/>
      <c r="CM13" s="1776"/>
      <c r="CN13" s="1776"/>
      <c r="CO13" s="1776"/>
      <c r="CP13" s="1776"/>
      <c r="CQ13" s="1776"/>
      <c r="CR13" s="1776"/>
      <c r="CS13" s="1776"/>
      <c r="CT13" s="1776"/>
      <c r="CU13" s="1776"/>
      <c r="CV13" s="1776"/>
      <c r="CW13" s="1776"/>
      <c r="CX13" s="1776"/>
      <c r="CY13" s="1776"/>
      <c r="CZ13" s="1776"/>
      <c r="DA13" s="1776"/>
      <c r="DB13" s="1776"/>
      <c r="DC13" s="1776"/>
      <c r="DD13" s="1776"/>
      <c r="DE13" s="1776"/>
      <c r="DF13" s="1776"/>
      <c r="DG13" s="1776"/>
      <c r="DH13" s="1776"/>
      <c r="DI13" s="1776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</row>
    <row r="14" spans="2:173" s="1777" customFormat="1" ht="18.75" thickBot="1" x14ac:dyDescent="0.25">
      <c r="B14" s="1835" t="s">
        <v>0</v>
      </c>
      <c r="C14" s="1836" t="s">
        <v>1</v>
      </c>
      <c r="D14" s="1744"/>
      <c r="E14" s="1836" t="s">
        <v>24</v>
      </c>
      <c r="F14" s="1837" t="s">
        <v>108</v>
      </c>
      <c r="G14" s="1838" t="s">
        <v>109</v>
      </c>
      <c r="H14" s="1839" t="s">
        <v>110</v>
      </c>
      <c r="I14" s="1840" t="s">
        <v>111</v>
      </c>
      <c r="J14" s="1841" t="s">
        <v>107</v>
      </c>
      <c r="K14" s="1836" t="s">
        <v>2</v>
      </c>
      <c r="L14" s="1842"/>
      <c r="M14" s="1800"/>
      <c r="N14" s="3130">
        <v>43922</v>
      </c>
      <c r="O14" s="3130">
        <v>43923</v>
      </c>
      <c r="P14" s="3130">
        <v>43924</v>
      </c>
      <c r="Q14" s="3130">
        <v>43925</v>
      </c>
      <c r="R14" s="3130">
        <v>43926</v>
      </c>
      <c r="S14" s="3130">
        <v>43927</v>
      </c>
      <c r="T14" s="3130">
        <v>43928</v>
      </c>
      <c r="U14" s="1843"/>
      <c r="V14" s="1844"/>
      <c r="W14" s="1845"/>
      <c r="X14" s="1846"/>
      <c r="Y14" s="1847"/>
      <c r="Z14" s="3130">
        <v>43929</v>
      </c>
      <c r="AA14" s="3130">
        <v>43930</v>
      </c>
      <c r="AB14" s="3130">
        <v>43931</v>
      </c>
      <c r="AC14" s="3130">
        <v>43932</v>
      </c>
      <c r="AD14" s="3130">
        <v>43933</v>
      </c>
      <c r="AE14" s="3130">
        <v>43934</v>
      </c>
      <c r="AF14" s="3130">
        <v>43935</v>
      </c>
      <c r="AG14" s="1744"/>
      <c r="AH14" s="1844"/>
      <c r="AI14" s="1845"/>
      <c r="AJ14" s="1846"/>
      <c r="AK14" s="1744"/>
      <c r="AL14" s="3130">
        <v>43936</v>
      </c>
      <c r="AM14" s="3130">
        <v>43937</v>
      </c>
      <c r="AN14" s="3130">
        <v>43938</v>
      </c>
      <c r="AO14" s="3130">
        <v>43939</v>
      </c>
      <c r="AP14" s="3130">
        <v>43940</v>
      </c>
      <c r="AQ14" s="3130">
        <v>43941</v>
      </c>
      <c r="AR14" s="3130">
        <v>43942</v>
      </c>
      <c r="AS14" s="2291"/>
      <c r="AT14" s="1844"/>
      <c r="AU14" s="1845"/>
      <c r="AV14" s="1846"/>
      <c r="AW14" s="2291"/>
      <c r="AX14" s="3130">
        <v>43943</v>
      </c>
      <c r="AY14" s="3130">
        <v>43944</v>
      </c>
      <c r="AZ14" s="3130">
        <v>43945</v>
      </c>
      <c r="BA14" s="3130">
        <v>43946</v>
      </c>
      <c r="BB14" s="3130">
        <v>43947</v>
      </c>
      <c r="BC14" s="3130">
        <v>43948</v>
      </c>
      <c r="BD14" s="3130">
        <v>43949</v>
      </c>
      <c r="BE14" s="2291"/>
      <c r="BF14" s="1844"/>
      <c r="BG14" s="1845"/>
      <c r="BH14" s="1846"/>
      <c r="BI14" s="1806"/>
      <c r="BJ14" s="3130">
        <v>43950</v>
      </c>
      <c r="BK14" s="3130">
        <v>43951</v>
      </c>
      <c r="BL14" s="1806"/>
      <c r="BM14" s="1844"/>
      <c r="BN14" s="1845"/>
      <c r="BO14" s="1846"/>
      <c r="BQ14" s="4615"/>
      <c r="BR14" s="4581"/>
      <c r="BT14" s="1835" t="s">
        <v>7</v>
      </c>
      <c r="BU14" s="1835" t="s">
        <v>2</v>
      </c>
      <c r="BV14" s="1806"/>
      <c r="BW14" s="1806"/>
      <c r="BX14" s="1795"/>
      <c r="BY14" s="2743">
        <f>BU6-BT1</f>
        <v>1.4810485825451305</v>
      </c>
      <c r="BZ14" s="4607"/>
      <c r="CA14" s="4608"/>
      <c r="CB14" s="3178"/>
      <c r="CC14" s="1799"/>
      <c r="CD14" s="1799"/>
      <c r="CE14" s="1799"/>
      <c r="CF14" s="1799"/>
      <c r="CG14" s="1799"/>
      <c r="CH14" s="1799"/>
      <c r="CI14" s="1799"/>
      <c r="CJ14" s="1799"/>
      <c r="CK14" s="1799"/>
      <c r="CL14" s="1799"/>
      <c r="CM14" s="1799"/>
      <c r="CN14" s="1799"/>
      <c r="CO14" s="1799"/>
      <c r="CP14" s="1799"/>
      <c r="CQ14" s="1799"/>
      <c r="CR14" s="1799"/>
      <c r="CS14" s="1799"/>
      <c r="CT14" s="1799"/>
      <c r="CU14" s="1799"/>
      <c r="CV14" s="1799"/>
      <c r="CW14" s="1799"/>
      <c r="CX14" s="1799"/>
      <c r="CY14" s="1799"/>
      <c r="CZ14" s="1799"/>
      <c r="DA14" s="1799"/>
      <c r="DB14" s="1799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</row>
    <row r="15" spans="2:173" s="1777" customFormat="1" ht="18" x14ac:dyDescent="0.2">
      <c r="B15" s="1806"/>
      <c r="C15" s="1800"/>
      <c r="D15" s="1800"/>
      <c r="E15" s="1800"/>
      <c r="F15" s="1849"/>
      <c r="G15" s="1850"/>
      <c r="H15" s="1851"/>
      <c r="I15" s="1852"/>
      <c r="J15" s="1800"/>
      <c r="K15" s="1800"/>
      <c r="L15" s="1842"/>
      <c r="M15" s="1800"/>
      <c r="N15" s="3131">
        <f>WEEKDAY(N14,2)</f>
        <v>3</v>
      </c>
      <c r="O15" s="3131">
        <f t="shared" ref="O15:T15" si="46">WEEKDAY(O14,2)</f>
        <v>4</v>
      </c>
      <c r="P15" s="3131">
        <f t="shared" si="46"/>
        <v>5</v>
      </c>
      <c r="Q15" s="3131">
        <f t="shared" si="46"/>
        <v>6</v>
      </c>
      <c r="R15" s="3131">
        <f t="shared" si="46"/>
        <v>7</v>
      </c>
      <c r="S15" s="3131">
        <f t="shared" si="46"/>
        <v>1</v>
      </c>
      <c r="T15" s="3131">
        <f t="shared" si="46"/>
        <v>2</v>
      </c>
      <c r="U15" s="1806"/>
      <c r="V15" s="1806"/>
      <c r="W15" s="1806"/>
      <c r="X15" s="1806"/>
      <c r="Y15" s="1800"/>
      <c r="Z15" s="1835">
        <f>WEEKDAY(Z14,2)</f>
        <v>3</v>
      </c>
      <c r="AA15" s="1835">
        <f t="shared" ref="AA15:AF15" si="47">WEEKDAY(AA14,2)</f>
        <v>4</v>
      </c>
      <c r="AB15" s="1835">
        <f t="shared" si="47"/>
        <v>5</v>
      </c>
      <c r="AC15" s="1835">
        <f t="shared" si="47"/>
        <v>6</v>
      </c>
      <c r="AD15" s="1835">
        <f t="shared" si="47"/>
        <v>7</v>
      </c>
      <c r="AE15" s="1835">
        <f t="shared" si="47"/>
        <v>1</v>
      </c>
      <c r="AF15" s="1835">
        <f t="shared" si="47"/>
        <v>2</v>
      </c>
      <c r="AG15" s="1800"/>
      <c r="AH15" s="1806"/>
      <c r="AI15" s="1806"/>
      <c r="AJ15" s="1806"/>
      <c r="AK15" s="1800"/>
      <c r="AL15" s="1835">
        <f>WEEKDAY(AL14,2)</f>
        <v>3</v>
      </c>
      <c r="AM15" s="1835">
        <f t="shared" ref="AM15:AR15" si="48">WEEKDAY(AM14,2)</f>
        <v>4</v>
      </c>
      <c r="AN15" s="1835">
        <f t="shared" si="48"/>
        <v>5</v>
      </c>
      <c r="AO15" s="1835">
        <f t="shared" si="48"/>
        <v>6</v>
      </c>
      <c r="AP15" s="1835">
        <f t="shared" si="48"/>
        <v>7</v>
      </c>
      <c r="AQ15" s="1835">
        <f t="shared" si="48"/>
        <v>1</v>
      </c>
      <c r="AR15" s="1835">
        <f t="shared" si="48"/>
        <v>2</v>
      </c>
      <c r="AS15" s="1806"/>
      <c r="AT15" s="1806"/>
      <c r="AU15" s="1806"/>
      <c r="AV15" s="1806"/>
      <c r="AW15" s="1806"/>
      <c r="AX15" s="1835">
        <f>WEEKDAY(AX14,2)</f>
        <v>3</v>
      </c>
      <c r="AY15" s="1835">
        <f t="shared" ref="AY15:BD15" si="49">WEEKDAY(AY14,2)</f>
        <v>4</v>
      </c>
      <c r="AZ15" s="1835">
        <f t="shared" si="49"/>
        <v>5</v>
      </c>
      <c r="BA15" s="1835">
        <f t="shared" si="49"/>
        <v>6</v>
      </c>
      <c r="BB15" s="1835">
        <f t="shared" si="49"/>
        <v>7</v>
      </c>
      <c r="BC15" s="1835">
        <f t="shared" si="49"/>
        <v>1</v>
      </c>
      <c r="BD15" s="1835">
        <f t="shared" si="49"/>
        <v>2</v>
      </c>
      <c r="BE15" s="1806"/>
      <c r="BF15" s="1806"/>
      <c r="BG15" s="1806"/>
      <c r="BH15" s="1806"/>
      <c r="BI15" s="1806"/>
      <c r="BJ15" s="1835">
        <f>WEEKDAY(BJ14,2)</f>
        <v>3</v>
      </c>
      <c r="BK15" s="1835">
        <f>WEEKDAY(BK14,2)</f>
        <v>4</v>
      </c>
      <c r="BL15" s="1806"/>
      <c r="BM15" s="1806"/>
      <c r="BN15" s="1806"/>
      <c r="BO15" s="1806"/>
      <c r="BQ15" s="1853"/>
      <c r="BR15" s="1854"/>
      <c r="BT15" s="1806"/>
      <c r="BU15" s="1806"/>
      <c r="BV15" s="1806"/>
      <c r="BW15" s="1806"/>
      <c r="BX15" s="1795"/>
      <c r="BY15" s="3132"/>
      <c r="BZ15" s="3133"/>
      <c r="CA15" s="1806"/>
      <c r="CB15" s="1806"/>
      <c r="CC15" s="1800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  <c r="CY15" s="1800"/>
      <c r="CZ15" s="1800"/>
      <c r="DA15" s="1800"/>
      <c r="DB15" s="1800"/>
      <c r="DC15" s="1800"/>
      <c r="DD15" s="1800"/>
      <c r="DE15" s="1800"/>
      <c r="DF15" s="1800"/>
      <c r="DG15" s="1800"/>
      <c r="DH15" s="1800"/>
      <c r="DI15" s="1800"/>
      <c r="DJ15" s="1800"/>
      <c r="DK15" s="1800"/>
      <c r="DL15" s="1800"/>
      <c r="DM15" s="1800"/>
      <c r="DN15" s="1800"/>
      <c r="DO15" s="1800"/>
      <c r="DP15" s="1800"/>
      <c r="DQ15" s="1800"/>
      <c r="DR15" s="1800"/>
      <c r="DS15" s="1800"/>
      <c r="DT15" s="1800"/>
      <c r="DU15" s="1800"/>
      <c r="DV15" s="1800"/>
      <c r="DW15" s="1800"/>
      <c r="DX15" s="1800"/>
      <c r="DY15" s="1800"/>
      <c r="DZ15" s="1800"/>
      <c r="EA15" s="1800"/>
      <c r="EB15" s="1800"/>
      <c r="EC15" s="1800"/>
      <c r="ED15" s="1800"/>
      <c r="EE15" s="1800"/>
      <c r="EF15" s="1800"/>
      <c r="EG15" s="1800"/>
      <c r="EH15" s="1800"/>
      <c r="EI15" s="1800"/>
      <c r="EJ15" s="1800"/>
      <c r="EK15" s="1800"/>
      <c r="EL15" s="1800"/>
      <c r="EM15" s="1800"/>
      <c r="EN15" s="1800"/>
      <c r="EO15" s="1800"/>
      <c r="EP15" s="1800"/>
      <c r="EQ15" s="1800"/>
      <c r="ER15" s="1800"/>
      <c r="ES15" s="1800"/>
      <c r="ET15" s="1800"/>
      <c r="EU15" s="1800"/>
      <c r="EV15" s="1800"/>
      <c r="EW15" s="1800"/>
      <c r="EX15" s="1800"/>
      <c r="EY15" s="1800"/>
      <c r="EZ15" s="1800"/>
      <c r="FA15" s="1800"/>
      <c r="FB15" s="1800"/>
      <c r="FC15" s="1800"/>
      <c r="FD15" s="1800"/>
      <c r="FE15" s="1800"/>
      <c r="FF15" s="1800"/>
      <c r="FG15" s="1800"/>
      <c r="FH15" s="1800"/>
      <c r="FI15" s="1800"/>
      <c r="FJ15" s="1800"/>
      <c r="FK15" s="1800"/>
      <c r="FL15" s="1800"/>
      <c r="FM15" s="1800"/>
      <c r="FN15" s="1800"/>
      <c r="FO15" s="1800"/>
      <c r="FP15" s="1800"/>
      <c r="FQ15" s="1800"/>
    </row>
    <row r="16" spans="2:173" s="1777" customFormat="1" ht="4.5" customHeight="1" x14ac:dyDescent="0.2">
      <c r="B16" s="1806"/>
      <c r="C16" s="1800"/>
      <c r="D16" s="1800"/>
      <c r="E16" s="1800"/>
      <c r="F16" s="1849"/>
      <c r="G16" s="1850"/>
      <c r="H16" s="1851"/>
      <c r="I16" s="1852"/>
      <c r="J16" s="1800"/>
      <c r="K16" s="1800"/>
      <c r="L16" s="1842"/>
      <c r="M16" s="1800"/>
      <c r="N16" s="1806"/>
      <c r="O16" s="1806"/>
      <c r="P16" s="1806"/>
      <c r="Q16" s="1806"/>
      <c r="R16" s="1806"/>
      <c r="S16" s="1806"/>
      <c r="T16" s="1806"/>
      <c r="U16" s="1806"/>
      <c r="V16" s="1806"/>
      <c r="W16" s="1806"/>
      <c r="X16" s="1806"/>
      <c r="Y16" s="1800"/>
      <c r="Z16" s="1806"/>
      <c r="AA16" s="1806"/>
      <c r="AB16" s="1806"/>
      <c r="AC16" s="1806"/>
      <c r="AD16" s="1806"/>
      <c r="AE16" s="1806"/>
      <c r="AF16" s="1806"/>
      <c r="AG16" s="1800"/>
      <c r="AH16" s="1806"/>
      <c r="AI16" s="1806"/>
      <c r="AJ16" s="1806"/>
      <c r="AK16" s="1800"/>
      <c r="AL16" s="1806"/>
      <c r="AM16" s="1806"/>
      <c r="AN16" s="1806"/>
      <c r="AO16" s="1806"/>
      <c r="AP16" s="1806"/>
      <c r="AQ16" s="1806"/>
      <c r="AR16" s="1806"/>
      <c r="AS16" s="1806"/>
      <c r="AT16" s="1806"/>
      <c r="AU16" s="1806"/>
      <c r="AV16" s="1806"/>
      <c r="AW16" s="1806"/>
      <c r="AX16" s="1806"/>
      <c r="AY16" s="1806"/>
      <c r="AZ16" s="1806"/>
      <c r="BA16" s="1806"/>
      <c r="BB16" s="1806"/>
      <c r="BC16" s="1806"/>
      <c r="BD16" s="1806"/>
      <c r="BE16" s="1806"/>
      <c r="BF16" s="1806"/>
      <c r="BG16" s="1806"/>
      <c r="BH16" s="1806"/>
      <c r="BI16" s="1806"/>
      <c r="BJ16" s="1806"/>
      <c r="BK16" s="1806"/>
      <c r="BL16" s="1806"/>
      <c r="BM16" s="1806"/>
      <c r="BN16" s="1806"/>
      <c r="BO16" s="1806"/>
      <c r="BQ16" s="1853"/>
      <c r="BR16" s="1854"/>
      <c r="BT16" s="1800"/>
      <c r="BU16" s="1800"/>
      <c r="BV16" s="1800"/>
      <c r="BW16" s="1800"/>
      <c r="BY16" s="1922"/>
      <c r="BZ16" s="1800"/>
      <c r="CA16" s="1800"/>
      <c r="CB16" s="1800"/>
      <c r="CC16" s="1800"/>
      <c r="CD16" s="1800"/>
      <c r="CE16" s="1800"/>
      <c r="CF16" s="1800"/>
      <c r="CG16" s="1800"/>
      <c r="CH16" s="1800"/>
      <c r="CI16" s="1800"/>
      <c r="CJ16" s="1800"/>
      <c r="CK16" s="1800"/>
      <c r="CL16" s="1800"/>
      <c r="CM16" s="1800"/>
      <c r="CN16" s="1800"/>
      <c r="CO16" s="1800"/>
      <c r="CP16" s="1800"/>
      <c r="CQ16" s="1800"/>
      <c r="CR16" s="1800"/>
      <c r="CS16" s="1800"/>
      <c r="CT16" s="1800"/>
      <c r="CU16" s="1800"/>
      <c r="CV16" s="1800"/>
      <c r="CW16" s="1800"/>
      <c r="CX16" s="1800"/>
      <c r="CY16" s="1800"/>
      <c r="CZ16" s="1800"/>
      <c r="DA16" s="1800"/>
      <c r="DB16" s="1800"/>
      <c r="DC16" s="1800"/>
      <c r="DD16" s="1800"/>
      <c r="DE16" s="1800"/>
      <c r="DF16" s="1800"/>
      <c r="DG16" s="1800"/>
      <c r="DH16" s="1800"/>
      <c r="DI16" s="1800"/>
      <c r="DJ16" s="1800"/>
      <c r="DK16" s="1800"/>
      <c r="DL16" s="1800"/>
      <c r="DM16" s="1800"/>
      <c r="DN16" s="1800"/>
      <c r="DO16" s="1800"/>
      <c r="DP16" s="1800"/>
      <c r="DQ16" s="1800"/>
      <c r="DR16" s="1800"/>
      <c r="DS16" s="1800"/>
      <c r="DT16" s="1800"/>
      <c r="DU16" s="1800"/>
      <c r="DV16" s="1800"/>
      <c r="DW16" s="1800"/>
      <c r="DX16" s="1800"/>
      <c r="DY16" s="1800"/>
      <c r="DZ16" s="1800"/>
      <c r="EA16" s="1800"/>
      <c r="EB16" s="1800"/>
      <c r="EC16" s="1800"/>
      <c r="ED16" s="1800"/>
      <c r="EE16" s="1800"/>
      <c r="EF16" s="1800"/>
      <c r="EG16" s="1800"/>
      <c r="EH16" s="1800"/>
      <c r="EI16" s="1800"/>
      <c r="EJ16" s="1800"/>
      <c r="EK16" s="1800"/>
      <c r="EL16" s="1800"/>
      <c r="EM16" s="1800"/>
      <c r="EN16" s="1800"/>
      <c r="EO16" s="1800"/>
      <c r="EP16" s="1800"/>
      <c r="EQ16" s="1800"/>
      <c r="ER16" s="1800"/>
      <c r="ES16" s="1800"/>
      <c r="ET16" s="1800"/>
      <c r="EU16" s="1800"/>
      <c r="EV16" s="1800"/>
      <c r="EW16" s="1800"/>
      <c r="EX16" s="1800"/>
      <c r="EY16" s="1800"/>
      <c r="EZ16" s="1800"/>
      <c r="FA16" s="1800"/>
      <c r="FB16" s="1800"/>
      <c r="FC16" s="1800"/>
      <c r="FD16" s="1800"/>
      <c r="FE16" s="1800"/>
      <c r="FF16" s="1800"/>
      <c r="FG16" s="1800"/>
      <c r="FH16" s="1800"/>
      <c r="FI16" s="1800"/>
      <c r="FJ16" s="1800"/>
      <c r="FK16" s="1800"/>
      <c r="FL16" s="1800"/>
      <c r="FM16" s="1800"/>
      <c r="FN16" s="1800"/>
      <c r="FO16" s="1800"/>
      <c r="FP16" s="1800"/>
      <c r="FQ16" s="1800"/>
    </row>
    <row r="17" spans="1:86" s="1810" customFormat="1" ht="21" thickBot="1" x14ac:dyDescent="0.25">
      <c r="B17" s="1963"/>
      <c r="C17" s="1964" t="s">
        <v>188</v>
      </c>
      <c r="D17" s="2578"/>
      <c r="E17" s="1728"/>
      <c r="F17" s="1728"/>
      <c r="G17" s="1728"/>
      <c r="H17" s="1728"/>
      <c r="I17" s="1728"/>
      <c r="J17" s="1728">
        <f>J43*100/20</f>
        <v>508.89333333333326</v>
      </c>
      <c r="K17" s="2383">
        <f>J17*BZ21</f>
        <v>12213.439999999999</v>
      </c>
      <c r="L17" s="1924"/>
      <c r="M17" s="1966"/>
      <c r="N17" s="3136"/>
      <c r="O17" s="3136"/>
      <c r="P17" s="3136" t="s">
        <v>275</v>
      </c>
      <c r="Q17" s="3136"/>
      <c r="R17" s="3136"/>
      <c r="S17" s="3136"/>
      <c r="T17" s="3136"/>
      <c r="U17" s="1814"/>
      <c r="V17" s="4588"/>
      <c r="W17" s="4588"/>
      <c r="X17" s="4588"/>
      <c r="Y17" s="1766"/>
      <c r="Z17" s="3136"/>
      <c r="AA17" s="3136"/>
      <c r="AB17" s="3136" t="s">
        <v>275</v>
      </c>
      <c r="AC17" s="3136" t="s">
        <v>275</v>
      </c>
      <c r="AD17" s="3136"/>
      <c r="AE17" s="3136"/>
      <c r="AF17" s="3136"/>
      <c r="AG17" s="1766"/>
      <c r="AH17" s="4588"/>
      <c r="AI17" s="4588"/>
      <c r="AJ17" s="4588"/>
      <c r="AK17" s="1766"/>
      <c r="AL17" s="3136"/>
      <c r="AM17" s="3136"/>
      <c r="AN17" s="3136" t="s">
        <v>275</v>
      </c>
      <c r="AO17" s="3136" t="s">
        <v>275</v>
      </c>
      <c r="AP17" s="3136"/>
      <c r="AQ17" s="3136"/>
      <c r="AR17" s="3136"/>
      <c r="AS17" s="1814"/>
      <c r="AT17" s="4588"/>
      <c r="AU17" s="4588"/>
      <c r="AV17" s="4588"/>
      <c r="AW17" s="1814"/>
      <c r="AX17" s="3136"/>
      <c r="AY17" s="3136"/>
      <c r="AZ17" s="3136"/>
      <c r="BA17" s="3136"/>
      <c r="BB17" s="3136"/>
      <c r="BC17" s="3136"/>
      <c r="BD17" s="3136"/>
      <c r="BE17" s="1814"/>
      <c r="BF17" s="4588"/>
      <c r="BG17" s="4588"/>
      <c r="BH17" s="4588"/>
      <c r="BI17" s="1814"/>
      <c r="BJ17" s="3136"/>
      <c r="BK17" s="3136"/>
      <c r="BL17" s="1814"/>
      <c r="BM17" s="4588"/>
      <c r="BN17" s="4588"/>
      <c r="BO17" s="4588"/>
      <c r="BQ17" s="3136"/>
      <c r="BR17" s="1968"/>
      <c r="BS17" s="1817"/>
      <c r="BT17" s="1814"/>
      <c r="BU17" s="1830"/>
      <c r="BV17" s="1830"/>
      <c r="BW17" s="1761"/>
      <c r="BY17" s="1860"/>
      <c r="BZ17" s="3143"/>
      <c r="CA17" s="1860"/>
      <c r="CB17" s="1860"/>
      <c r="CC17" s="1860"/>
      <c r="CD17" s="1860"/>
      <c r="CE17" s="1860"/>
      <c r="CF17" s="1860"/>
      <c r="CG17" s="1860"/>
    </row>
    <row r="18" spans="1:86" x14ac:dyDescent="0.2">
      <c r="A18" s="1777"/>
      <c r="B18" s="1987">
        <v>13</v>
      </c>
      <c r="C18" s="1987" t="s">
        <v>197</v>
      </c>
      <c r="D18" s="1836"/>
      <c r="E18" s="1746">
        <v>1500</v>
      </c>
      <c r="F18" s="1746">
        <v>108.33333333333333</v>
      </c>
      <c r="G18" s="1746">
        <v>72.222222222222214</v>
      </c>
      <c r="H18" s="1746">
        <v>54.166666666666664</v>
      </c>
      <c r="I18" s="1746">
        <v>43.333333333333329</v>
      </c>
      <c r="J18" s="1746">
        <f>E18/24</f>
        <v>62.5</v>
      </c>
      <c r="K18" s="2583">
        <f t="shared" ref="K18:K41" si="50">E18/$E$43</f>
        <v>0.61407760630911534</v>
      </c>
      <c r="L18" s="1909"/>
      <c r="M18" s="1910"/>
      <c r="N18" s="1746">
        <f t="shared" ref="N18:T18" si="51">$J$18</f>
        <v>62.5</v>
      </c>
      <c r="O18" s="1746">
        <f t="shared" si="51"/>
        <v>62.5</v>
      </c>
      <c r="P18" s="1746"/>
      <c r="Q18" s="1746">
        <f t="shared" si="51"/>
        <v>62.5</v>
      </c>
      <c r="R18" s="1746">
        <f t="shared" si="51"/>
        <v>62.5</v>
      </c>
      <c r="S18" s="1746">
        <f t="shared" si="51"/>
        <v>62.5</v>
      </c>
      <c r="T18" s="1746">
        <f t="shared" si="51"/>
        <v>62.5</v>
      </c>
      <c r="U18" s="3144"/>
      <c r="V18" s="1972">
        <f>SUM(N18:T18)</f>
        <v>375</v>
      </c>
      <c r="W18" s="1973">
        <f t="shared" ref="W18:W41" si="52">($V$5*K18)*$V$7</f>
        <v>684.92312567139186</v>
      </c>
      <c r="X18" s="1974">
        <f>W18-V18</f>
        <v>309.92312567139186</v>
      </c>
      <c r="Y18" s="1914"/>
      <c r="Z18" s="1746">
        <f t="shared" ref="Z18:AF18" si="53">$J$18</f>
        <v>62.5</v>
      </c>
      <c r="AA18" s="1746">
        <f t="shared" si="53"/>
        <v>62.5</v>
      </c>
      <c r="AB18" s="1746"/>
      <c r="AC18" s="1746"/>
      <c r="AD18" s="1746">
        <f t="shared" si="53"/>
        <v>62.5</v>
      </c>
      <c r="AE18" s="1746">
        <f t="shared" si="53"/>
        <v>62.5</v>
      </c>
      <c r="AF18" s="1746">
        <f t="shared" si="53"/>
        <v>62.5</v>
      </c>
      <c r="AG18" s="1914"/>
      <c r="AH18" s="1972">
        <f>SUM(Z18:AF18)</f>
        <v>312.5</v>
      </c>
      <c r="AI18" s="1973">
        <f t="shared" ref="AI18:AI41" si="54">($AH$5*K18)*$AH$7</f>
        <v>722.0256946445885</v>
      </c>
      <c r="AJ18" s="1974">
        <f>AI18-AH18</f>
        <v>409.5256946445885</v>
      </c>
      <c r="AK18" s="1914"/>
      <c r="AL18" s="1990">
        <f t="shared" ref="AL18:AM18" si="55">$J$18</f>
        <v>62.5</v>
      </c>
      <c r="AM18" s="1990">
        <f t="shared" si="55"/>
        <v>62.5</v>
      </c>
      <c r="AN18" s="1990"/>
      <c r="AO18" s="1990"/>
      <c r="AP18" s="1990">
        <f t="shared" ref="AP18:AR18" si="56">$J$18</f>
        <v>62.5</v>
      </c>
      <c r="AQ18" s="1990">
        <f t="shared" si="56"/>
        <v>62.5</v>
      </c>
      <c r="AR18" s="1990">
        <f t="shared" si="56"/>
        <v>62.5</v>
      </c>
      <c r="AS18" s="2297"/>
      <c r="AT18" s="1972">
        <f>SUM(AL18:AR18)</f>
        <v>312.5</v>
      </c>
      <c r="AU18" s="1973">
        <f t="shared" ref="AU18:AU41" si="57">($AT$5*K18)*$AT$7</f>
        <v>960.98171358765467</v>
      </c>
      <c r="AV18" s="1974">
        <f>AU18-AT18</f>
        <v>648.48171358765467</v>
      </c>
      <c r="AW18" s="2297"/>
      <c r="AX18" s="1990">
        <f t="shared" ref="AX18:BD18" si="58">$J$18</f>
        <v>62.5</v>
      </c>
      <c r="AY18" s="1990">
        <f t="shared" si="58"/>
        <v>62.5</v>
      </c>
      <c r="AZ18" s="1990"/>
      <c r="BA18" s="1990">
        <f t="shared" si="58"/>
        <v>62.5</v>
      </c>
      <c r="BB18" s="1990">
        <f t="shared" si="58"/>
        <v>62.5</v>
      </c>
      <c r="BC18" s="1990">
        <f t="shared" si="58"/>
        <v>62.5</v>
      </c>
      <c r="BD18" s="1990">
        <f t="shared" si="58"/>
        <v>62.5</v>
      </c>
      <c r="BE18" s="2297"/>
      <c r="BF18" s="1972">
        <f>SUM(AX18:BD18)</f>
        <v>375</v>
      </c>
      <c r="BG18" s="1973">
        <f t="shared" ref="BG18:BG41" si="59">($BF$5*K18)*$BF$7</f>
        <v>823.92389040270405</v>
      </c>
      <c r="BH18" s="1974">
        <f>BG18-BF18</f>
        <v>448.92389040270405</v>
      </c>
      <c r="BI18" s="3144"/>
      <c r="BJ18" s="1746">
        <f t="shared" ref="BJ18:BK18" si="60">$J$18</f>
        <v>62.5</v>
      </c>
      <c r="BK18" s="1746">
        <f t="shared" si="60"/>
        <v>62.5</v>
      </c>
      <c r="BL18" s="3144"/>
      <c r="BM18" s="1972">
        <f t="shared" ref="BM18:BM41" si="61">SUM(BJ18:BK18)</f>
        <v>125</v>
      </c>
      <c r="BN18" s="1973">
        <f t="shared" ref="BN18:BN41" si="62">($BM$5*K18)*$BM$7</f>
        <v>229.71844951135805</v>
      </c>
      <c r="BO18" s="1974">
        <f>BN18-BM18</f>
        <v>104.71844951135805</v>
      </c>
      <c r="BQ18" s="1747">
        <v>0</v>
      </c>
      <c r="BR18" s="1752">
        <f t="shared" ref="BR18:BR41" si="63">BQ18/E18</f>
        <v>0</v>
      </c>
      <c r="BS18" s="1754"/>
      <c r="BT18" s="1975">
        <f t="shared" ref="BT18:BT41" si="64">SUM(N18:T18)+SUM(Z18:AF18)+SUM(AL18:AR18)+SUM(AX18:BD18)+SUM(BK18:BK18)</f>
        <v>1437.5</v>
      </c>
      <c r="BU18" s="1976">
        <f t="shared" ref="BU18:BU41" si="65">BT18/E18</f>
        <v>0.95833333333333337</v>
      </c>
      <c r="BV18" s="1993"/>
      <c r="BW18" s="1977"/>
      <c r="BY18" s="1923"/>
      <c r="BZ18" s="1978"/>
      <c r="CA18" s="1979"/>
      <c r="CB18" s="1980"/>
      <c r="CC18" s="1980"/>
      <c r="CD18" s="1980"/>
      <c r="CE18" s="1980"/>
      <c r="CF18" s="1980"/>
      <c r="CG18" s="1981"/>
      <c r="CH18" s="1923"/>
    </row>
    <row r="19" spans="1:86" s="1726" customFormat="1" x14ac:dyDescent="0.2">
      <c r="B19" s="1963">
        <v>14</v>
      </c>
      <c r="C19" s="1963" t="s">
        <v>198</v>
      </c>
      <c r="D19" s="2578"/>
      <c r="E19" s="1728">
        <v>450</v>
      </c>
      <c r="F19" s="1728">
        <v>45</v>
      </c>
      <c r="G19" s="1728">
        <v>30</v>
      </c>
      <c r="H19" s="1728">
        <v>22.5</v>
      </c>
      <c r="I19" s="1728">
        <v>18</v>
      </c>
      <c r="J19" s="1728">
        <f t="shared" ref="J19:J41" si="66">E19/24</f>
        <v>18.75</v>
      </c>
      <c r="K19" s="1729">
        <f t="shared" si="50"/>
        <v>0.1842232818927346</v>
      </c>
      <c r="L19" s="1876"/>
      <c r="M19" s="1877"/>
      <c r="N19" s="1728">
        <f t="shared" ref="N19:T19" si="67">$J$19</f>
        <v>18.75</v>
      </c>
      <c r="O19" s="1728">
        <f t="shared" si="67"/>
        <v>18.75</v>
      </c>
      <c r="P19" s="1728"/>
      <c r="Q19" s="1728">
        <f t="shared" si="67"/>
        <v>18.75</v>
      </c>
      <c r="R19" s="1728">
        <f t="shared" si="67"/>
        <v>18.75</v>
      </c>
      <c r="S19" s="1728">
        <f t="shared" si="67"/>
        <v>18.75</v>
      </c>
      <c r="T19" s="1728">
        <f t="shared" si="67"/>
        <v>18.75</v>
      </c>
      <c r="U19" s="3145"/>
      <c r="V19" s="1982">
        <f>SUM(N19:T19)</f>
        <v>112.5</v>
      </c>
      <c r="W19" s="2268">
        <f t="shared" si="52"/>
        <v>205.47693770141754</v>
      </c>
      <c r="X19" s="1984">
        <f>W19-V19</f>
        <v>92.97693770141754</v>
      </c>
      <c r="Y19" s="1881"/>
      <c r="Z19" s="1728">
        <f t="shared" ref="Z19:AF19" si="68">$J$19</f>
        <v>18.75</v>
      </c>
      <c r="AA19" s="1728">
        <f t="shared" si="68"/>
        <v>18.75</v>
      </c>
      <c r="AB19" s="1728"/>
      <c r="AC19" s="1728"/>
      <c r="AD19" s="1728">
        <f t="shared" si="68"/>
        <v>18.75</v>
      </c>
      <c r="AE19" s="1728">
        <f t="shared" si="68"/>
        <v>18.75</v>
      </c>
      <c r="AF19" s="1728">
        <f t="shared" si="68"/>
        <v>18.75</v>
      </c>
      <c r="AG19" s="1881"/>
      <c r="AH19" s="1982">
        <f>SUM(Z19:AF19)</f>
        <v>93.75</v>
      </c>
      <c r="AI19" s="2268">
        <f t="shared" si="54"/>
        <v>216.60770839337656</v>
      </c>
      <c r="AJ19" s="1984">
        <f>AI19-AH19</f>
        <v>122.85770839337656</v>
      </c>
      <c r="AK19" s="1881"/>
      <c r="AL19" s="2268">
        <f t="shared" ref="AL19:AM19" si="69">$J$19</f>
        <v>18.75</v>
      </c>
      <c r="AM19" s="2268">
        <f t="shared" si="69"/>
        <v>18.75</v>
      </c>
      <c r="AN19" s="2268"/>
      <c r="AO19" s="2268"/>
      <c r="AP19" s="2268">
        <f t="shared" ref="AP19:AR19" si="70">$J$19</f>
        <v>18.75</v>
      </c>
      <c r="AQ19" s="2268">
        <f t="shared" si="70"/>
        <v>18.75</v>
      </c>
      <c r="AR19" s="2268">
        <f t="shared" si="70"/>
        <v>18.75</v>
      </c>
      <c r="AS19" s="2293"/>
      <c r="AT19" s="1982">
        <f>SUM(AL19:AR19)</f>
        <v>93.75</v>
      </c>
      <c r="AU19" s="2268">
        <f t="shared" si="57"/>
        <v>288.29451407629637</v>
      </c>
      <c r="AV19" s="1984">
        <f>AU19-AT19</f>
        <v>194.54451407629637</v>
      </c>
      <c r="AW19" s="2293"/>
      <c r="AX19" s="2268">
        <f t="shared" ref="AX19:BD19" si="71">$J$19</f>
        <v>18.75</v>
      </c>
      <c r="AY19" s="2268">
        <f t="shared" si="71"/>
        <v>18.75</v>
      </c>
      <c r="AZ19" s="2268"/>
      <c r="BA19" s="2268">
        <f t="shared" si="71"/>
        <v>18.75</v>
      </c>
      <c r="BB19" s="2268">
        <f t="shared" si="71"/>
        <v>18.75</v>
      </c>
      <c r="BC19" s="2268">
        <f t="shared" si="71"/>
        <v>18.75</v>
      </c>
      <c r="BD19" s="2268">
        <f t="shared" si="71"/>
        <v>18.75</v>
      </c>
      <c r="BE19" s="2293"/>
      <c r="BF19" s="1982">
        <f>SUM(AX19:BD19)</f>
        <v>112.5</v>
      </c>
      <c r="BG19" s="2268">
        <f t="shared" si="59"/>
        <v>247.17716712081122</v>
      </c>
      <c r="BH19" s="1984">
        <f>BG19-BF19</f>
        <v>134.67716712081122</v>
      </c>
      <c r="BI19" s="3145"/>
      <c r="BJ19" s="1728">
        <f t="shared" ref="BJ19:BK19" si="72">$J$19</f>
        <v>18.75</v>
      </c>
      <c r="BK19" s="1728">
        <f t="shared" si="72"/>
        <v>18.75</v>
      </c>
      <c r="BL19" s="3145"/>
      <c r="BM19" s="1982">
        <f t="shared" si="61"/>
        <v>37.5</v>
      </c>
      <c r="BN19" s="2268">
        <f t="shared" si="62"/>
        <v>68.915534853407408</v>
      </c>
      <c r="BO19" s="1984">
        <f>BN19-BM19</f>
        <v>31.415534853407408</v>
      </c>
      <c r="BQ19" s="1732">
        <v>0</v>
      </c>
      <c r="BR19" s="1882">
        <f t="shared" si="63"/>
        <v>0</v>
      </c>
      <c r="BS19" s="1740"/>
      <c r="BT19" s="1734">
        <f t="shared" si="64"/>
        <v>431.25</v>
      </c>
      <c r="BU19" s="1918">
        <f t="shared" si="65"/>
        <v>0.95833333333333337</v>
      </c>
      <c r="BV19" s="1997"/>
      <c r="BW19" s="3143"/>
      <c r="BY19" s="1860"/>
      <c r="BZ19" s="1985">
        <v>43951</v>
      </c>
      <c r="CA19" s="1830"/>
      <c r="CB19" s="1817"/>
      <c r="CC19" s="1810"/>
      <c r="CD19" s="1810"/>
      <c r="CE19" s="1810"/>
      <c r="CF19" s="1810"/>
      <c r="CG19" s="1986"/>
      <c r="CH19" s="1810"/>
    </row>
    <row r="20" spans="1:86" s="1777" customFormat="1" x14ac:dyDescent="0.2">
      <c r="B20" s="1987">
        <v>15</v>
      </c>
      <c r="C20" s="1963" t="s">
        <v>239</v>
      </c>
      <c r="D20" s="2578"/>
      <c r="E20" s="1728">
        <v>0</v>
      </c>
      <c r="F20" s="1728"/>
      <c r="G20" s="1728"/>
      <c r="H20" s="1728"/>
      <c r="I20" s="1728"/>
      <c r="J20" s="1728">
        <f t="shared" si="66"/>
        <v>0</v>
      </c>
      <c r="K20" s="1729">
        <f t="shared" si="50"/>
        <v>0</v>
      </c>
      <c r="L20" s="1866"/>
      <c r="M20" s="1867"/>
      <c r="N20" s="1746">
        <f t="shared" ref="N20:T20" si="73">$J$20</f>
        <v>0</v>
      </c>
      <c r="O20" s="1746">
        <f t="shared" si="73"/>
        <v>0</v>
      </c>
      <c r="P20" s="1746"/>
      <c r="Q20" s="1746">
        <f t="shared" si="73"/>
        <v>0</v>
      </c>
      <c r="R20" s="1746">
        <f t="shared" si="73"/>
        <v>0</v>
      </c>
      <c r="S20" s="1746">
        <f t="shared" si="73"/>
        <v>0</v>
      </c>
      <c r="T20" s="1746">
        <f t="shared" si="73"/>
        <v>0</v>
      </c>
      <c r="U20" s="1801"/>
      <c r="V20" s="1989">
        <f>SUM(N20:T20)</f>
        <v>0</v>
      </c>
      <c r="W20" s="1990">
        <f t="shared" si="52"/>
        <v>0</v>
      </c>
      <c r="X20" s="1991">
        <f t="shared" ref="X20:X40" si="74">W20-V20</f>
        <v>0</v>
      </c>
      <c r="Y20" s="1788"/>
      <c r="Z20" s="1746">
        <f t="shared" ref="Z20:AF20" si="75">$J$20</f>
        <v>0</v>
      </c>
      <c r="AA20" s="1746">
        <f t="shared" si="75"/>
        <v>0</v>
      </c>
      <c r="AB20" s="1746"/>
      <c r="AC20" s="1746"/>
      <c r="AD20" s="1746">
        <f t="shared" si="75"/>
        <v>0</v>
      </c>
      <c r="AE20" s="1746">
        <f t="shared" si="75"/>
        <v>0</v>
      </c>
      <c r="AF20" s="1746">
        <f t="shared" si="75"/>
        <v>0</v>
      </c>
      <c r="AG20" s="1788"/>
      <c r="AH20" s="1989">
        <f t="shared" ref="AH20:AH41" si="76">SUM(Z20:AF20)</f>
        <v>0</v>
      </c>
      <c r="AI20" s="1990">
        <f t="shared" si="54"/>
        <v>0</v>
      </c>
      <c r="AJ20" s="1991">
        <f t="shared" ref="AJ20:AJ41" si="77">AI20-AH20</f>
        <v>0</v>
      </c>
      <c r="AK20" s="1788"/>
      <c r="AL20" s="1990">
        <f t="shared" ref="AL20:AM20" si="78">$J$20</f>
        <v>0</v>
      </c>
      <c r="AM20" s="1990">
        <f t="shared" si="78"/>
        <v>0</v>
      </c>
      <c r="AN20" s="1990"/>
      <c r="AO20" s="1990"/>
      <c r="AP20" s="1990">
        <f t="shared" ref="AP20:AR20" si="79">$J$20</f>
        <v>0</v>
      </c>
      <c r="AQ20" s="1990">
        <f t="shared" si="79"/>
        <v>0</v>
      </c>
      <c r="AR20" s="1990">
        <f t="shared" si="79"/>
        <v>0</v>
      </c>
      <c r="AS20" s="2290"/>
      <c r="AT20" s="1989">
        <f t="shared" ref="AT20:AT41" si="80">SUM(AL20:AR20)</f>
        <v>0</v>
      </c>
      <c r="AU20" s="1990">
        <f t="shared" si="57"/>
        <v>0</v>
      </c>
      <c r="AV20" s="1991">
        <f t="shared" ref="AV20:AV41" si="81">AU20-AT20</f>
        <v>0</v>
      </c>
      <c r="AW20" s="2290"/>
      <c r="AX20" s="1990">
        <f t="shared" ref="AX20:BD20" si="82">$J$20</f>
        <v>0</v>
      </c>
      <c r="AY20" s="1990">
        <f t="shared" si="82"/>
        <v>0</v>
      </c>
      <c r="AZ20" s="1990"/>
      <c r="BA20" s="1990">
        <f t="shared" si="82"/>
        <v>0</v>
      </c>
      <c r="BB20" s="1990">
        <f t="shared" si="82"/>
        <v>0</v>
      </c>
      <c r="BC20" s="1990">
        <f t="shared" si="82"/>
        <v>0</v>
      </c>
      <c r="BD20" s="1990">
        <f t="shared" si="82"/>
        <v>0</v>
      </c>
      <c r="BE20" s="2290"/>
      <c r="BF20" s="1989">
        <f t="shared" ref="BF20:BF41" si="83">SUM(AX20:BD20)</f>
        <v>0</v>
      </c>
      <c r="BG20" s="1990">
        <f t="shared" si="59"/>
        <v>0</v>
      </c>
      <c r="BH20" s="1991">
        <f t="shared" ref="BH20:BH41" si="84">BG20-BF20</f>
        <v>0</v>
      </c>
      <c r="BI20" s="1801"/>
      <c r="BJ20" s="1746">
        <f t="shared" ref="BJ20:BK20" si="85">$J$20</f>
        <v>0</v>
      </c>
      <c r="BK20" s="1746">
        <f t="shared" si="85"/>
        <v>0</v>
      </c>
      <c r="BL20" s="1801"/>
      <c r="BM20" s="1989">
        <f t="shared" si="61"/>
        <v>0</v>
      </c>
      <c r="BN20" s="1990">
        <f t="shared" si="62"/>
        <v>0</v>
      </c>
      <c r="BO20" s="1991">
        <f t="shared" ref="BO20" si="86">BN20-BM20</f>
        <v>0</v>
      </c>
      <c r="BQ20" s="1750">
        <v>0</v>
      </c>
      <c r="BR20" s="1871" t="e">
        <f t="shared" si="63"/>
        <v>#DIV/0!</v>
      </c>
      <c r="BS20" s="1795"/>
      <c r="BT20" s="1935">
        <f t="shared" si="64"/>
        <v>0</v>
      </c>
      <c r="BU20" s="1930" t="e">
        <f t="shared" si="65"/>
        <v>#DIV/0!</v>
      </c>
      <c r="BV20" s="1802"/>
      <c r="BW20" s="1783"/>
      <c r="BY20" s="1916"/>
      <c r="BZ20" s="1992">
        <v>43921</v>
      </c>
      <c r="CA20" s="1993"/>
      <c r="CB20" s="1994"/>
      <c r="CC20" s="1923"/>
      <c r="CD20" s="1923"/>
      <c r="CE20" s="1923"/>
      <c r="CF20" s="1923"/>
      <c r="CG20" s="1995"/>
      <c r="CH20" s="1923"/>
    </row>
    <row r="21" spans="1:86" s="1756" customFormat="1" x14ac:dyDescent="0.2">
      <c r="B21" s="1963">
        <v>16</v>
      </c>
      <c r="C21" s="1987" t="s">
        <v>268</v>
      </c>
      <c r="D21" s="1836"/>
      <c r="E21" s="1746">
        <v>0</v>
      </c>
      <c r="F21" s="1746"/>
      <c r="G21" s="1746"/>
      <c r="H21" s="1746"/>
      <c r="I21" s="1746"/>
      <c r="J21" s="1746">
        <f t="shared" si="66"/>
        <v>0</v>
      </c>
      <c r="K21" s="2583">
        <f t="shared" si="50"/>
        <v>0</v>
      </c>
      <c r="L21" s="1931"/>
      <c r="M21" s="1924"/>
      <c r="N21" s="1728">
        <f t="shared" ref="N21:T21" si="87">$J$21</f>
        <v>0</v>
      </c>
      <c r="O21" s="1728">
        <f>$J$21</f>
        <v>0</v>
      </c>
      <c r="P21" s="1728"/>
      <c r="Q21" s="1728">
        <f t="shared" si="87"/>
        <v>0</v>
      </c>
      <c r="R21" s="1728">
        <f t="shared" si="87"/>
        <v>0</v>
      </c>
      <c r="S21" s="1728">
        <f t="shared" si="87"/>
        <v>0</v>
      </c>
      <c r="T21" s="1728">
        <f t="shared" si="87"/>
        <v>0</v>
      </c>
      <c r="U21" s="1814"/>
      <c r="V21" s="1982">
        <f t="shared" ref="V21:V83" si="88">SUM(N21:T21)</f>
        <v>0</v>
      </c>
      <c r="W21" s="2268">
        <f t="shared" si="52"/>
        <v>0</v>
      </c>
      <c r="X21" s="1984">
        <f t="shared" si="74"/>
        <v>0</v>
      </c>
      <c r="Y21" s="1764"/>
      <c r="Z21" s="1728">
        <f t="shared" ref="Z21:AF21" si="89">$J$21</f>
        <v>0</v>
      </c>
      <c r="AA21" s="1728">
        <f t="shared" si="89"/>
        <v>0</v>
      </c>
      <c r="AB21" s="1728"/>
      <c r="AC21" s="1728"/>
      <c r="AD21" s="1728">
        <f t="shared" si="89"/>
        <v>0</v>
      </c>
      <c r="AE21" s="1728">
        <f t="shared" si="89"/>
        <v>0</v>
      </c>
      <c r="AF21" s="1728">
        <f t="shared" si="89"/>
        <v>0</v>
      </c>
      <c r="AG21" s="1764"/>
      <c r="AH21" s="1982">
        <f t="shared" si="76"/>
        <v>0</v>
      </c>
      <c r="AI21" s="2268">
        <f t="shared" si="54"/>
        <v>0</v>
      </c>
      <c r="AJ21" s="1984">
        <f t="shared" si="77"/>
        <v>0</v>
      </c>
      <c r="AK21" s="1764"/>
      <c r="AL21" s="2268">
        <f t="shared" ref="AL21:AM21" si="90">$J$21</f>
        <v>0</v>
      </c>
      <c r="AM21" s="2268">
        <f t="shared" si="90"/>
        <v>0</v>
      </c>
      <c r="AN21" s="2268"/>
      <c r="AO21" s="2268"/>
      <c r="AP21" s="2268">
        <f t="shared" ref="AP21:AR21" si="91">$J$21</f>
        <v>0</v>
      </c>
      <c r="AQ21" s="2268">
        <f t="shared" si="91"/>
        <v>0</v>
      </c>
      <c r="AR21" s="2268">
        <f t="shared" si="91"/>
        <v>0</v>
      </c>
      <c r="AS21" s="2289"/>
      <c r="AT21" s="1982">
        <f t="shared" si="80"/>
        <v>0</v>
      </c>
      <c r="AU21" s="2268">
        <f t="shared" si="57"/>
        <v>0</v>
      </c>
      <c r="AV21" s="1984">
        <f t="shared" si="81"/>
        <v>0</v>
      </c>
      <c r="AW21" s="2289"/>
      <c r="AX21" s="2268">
        <f t="shared" ref="AX21:BD21" si="92">$J$21</f>
        <v>0</v>
      </c>
      <c r="AY21" s="2268">
        <f t="shared" si="92"/>
        <v>0</v>
      </c>
      <c r="AZ21" s="2268"/>
      <c r="BA21" s="2268">
        <f t="shared" si="92"/>
        <v>0</v>
      </c>
      <c r="BB21" s="2268">
        <f t="shared" si="92"/>
        <v>0</v>
      </c>
      <c r="BC21" s="2268">
        <f t="shared" si="92"/>
        <v>0</v>
      </c>
      <c r="BD21" s="2268">
        <f t="shared" si="92"/>
        <v>0</v>
      </c>
      <c r="BE21" s="2289"/>
      <c r="BF21" s="1982">
        <f t="shared" si="83"/>
        <v>0</v>
      </c>
      <c r="BG21" s="2268">
        <f t="shared" si="59"/>
        <v>0</v>
      </c>
      <c r="BH21" s="1984">
        <f t="shared" si="84"/>
        <v>0</v>
      </c>
      <c r="BI21" s="1814"/>
      <c r="BJ21" s="1728">
        <f t="shared" ref="BJ21:BK21" si="93">$J$21</f>
        <v>0</v>
      </c>
      <c r="BK21" s="1728">
        <f t="shared" si="93"/>
        <v>0</v>
      </c>
      <c r="BL21" s="1814"/>
      <c r="BM21" s="1982">
        <f t="shared" si="61"/>
        <v>0</v>
      </c>
      <c r="BN21" s="2268">
        <f t="shared" si="62"/>
        <v>0</v>
      </c>
      <c r="BO21" s="1984">
        <f>BN21-BM21</f>
        <v>0</v>
      </c>
      <c r="BQ21" s="1735">
        <v>0</v>
      </c>
      <c r="BR21" s="1768" t="e">
        <f t="shared" si="63"/>
        <v>#DIV/0!</v>
      </c>
      <c r="BS21" s="3133"/>
      <c r="BT21" s="1763">
        <f t="shared" si="64"/>
        <v>0</v>
      </c>
      <c r="BU21" s="1883" t="e">
        <f t="shared" si="65"/>
        <v>#DIV/0!</v>
      </c>
      <c r="BV21" s="1830"/>
      <c r="BW21" s="1761"/>
      <c r="BY21" s="3143"/>
      <c r="BZ21" s="1996">
        <f>BZ19-BZ20-6</f>
        <v>24</v>
      </c>
      <c r="CA21" s="1997"/>
      <c r="CB21" s="1861"/>
      <c r="CC21" s="1860"/>
      <c r="CD21" s="1860"/>
      <c r="CE21" s="1860"/>
      <c r="CF21" s="1860"/>
      <c r="CG21" s="1998"/>
      <c r="CH21" s="1860"/>
    </row>
    <row r="22" spans="1:86" s="1777" customFormat="1" x14ac:dyDescent="0.2">
      <c r="B22" s="1987">
        <v>17</v>
      </c>
      <c r="C22" s="1987" t="s">
        <v>257</v>
      </c>
      <c r="D22" s="1836"/>
      <c r="E22" s="1746">
        <v>0</v>
      </c>
      <c r="F22" s="1746">
        <v>5</v>
      </c>
      <c r="G22" s="1746">
        <v>3.3333333333333335</v>
      </c>
      <c r="H22" s="1746">
        <v>2.5</v>
      </c>
      <c r="I22" s="1746">
        <v>2</v>
      </c>
      <c r="J22" s="1746">
        <f t="shared" si="66"/>
        <v>0</v>
      </c>
      <c r="K22" s="2583">
        <f t="shared" si="50"/>
        <v>0</v>
      </c>
      <c r="L22" s="1866"/>
      <c r="M22" s="1867"/>
      <c r="N22" s="1746">
        <f t="shared" ref="N22:T22" si="94">$J$22</f>
        <v>0</v>
      </c>
      <c r="O22" s="1746">
        <f t="shared" si="94"/>
        <v>0</v>
      </c>
      <c r="P22" s="1746"/>
      <c r="Q22" s="1746">
        <f t="shared" si="94"/>
        <v>0</v>
      </c>
      <c r="R22" s="1746">
        <f t="shared" si="94"/>
        <v>0</v>
      </c>
      <c r="S22" s="1746">
        <f t="shared" si="94"/>
        <v>0</v>
      </c>
      <c r="T22" s="1746">
        <f t="shared" si="94"/>
        <v>0</v>
      </c>
      <c r="U22" s="1801"/>
      <c r="V22" s="1989">
        <f t="shared" si="88"/>
        <v>0</v>
      </c>
      <c r="W22" s="1990">
        <f t="shared" si="52"/>
        <v>0</v>
      </c>
      <c r="X22" s="1991">
        <f t="shared" si="74"/>
        <v>0</v>
      </c>
      <c r="Y22" s="1788"/>
      <c r="Z22" s="1746">
        <f t="shared" ref="Z22:AF22" si="95">$J$22</f>
        <v>0</v>
      </c>
      <c r="AA22" s="1746">
        <f t="shared" si="95"/>
        <v>0</v>
      </c>
      <c r="AB22" s="1746"/>
      <c r="AC22" s="1746"/>
      <c r="AD22" s="1746">
        <f t="shared" si="95"/>
        <v>0</v>
      </c>
      <c r="AE22" s="1746">
        <f t="shared" si="95"/>
        <v>0</v>
      </c>
      <c r="AF22" s="1746">
        <f t="shared" si="95"/>
        <v>0</v>
      </c>
      <c r="AG22" s="1788"/>
      <c r="AH22" s="1989">
        <f t="shared" si="76"/>
        <v>0</v>
      </c>
      <c r="AI22" s="1990">
        <f t="shared" si="54"/>
        <v>0</v>
      </c>
      <c r="AJ22" s="1991">
        <f t="shared" si="77"/>
        <v>0</v>
      </c>
      <c r="AK22" s="1788"/>
      <c r="AL22" s="1990">
        <f t="shared" ref="AL22:AM22" si="96">$J$22</f>
        <v>0</v>
      </c>
      <c r="AM22" s="1990">
        <f t="shared" si="96"/>
        <v>0</v>
      </c>
      <c r="AN22" s="1990"/>
      <c r="AO22" s="1990"/>
      <c r="AP22" s="1990">
        <f t="shared" ref="AP22:AR22" si="97">$J$22</f>
        <v>0</v>
      </c>
      <c r="AQ22" s="1990">
        <f t="shared" si="97"/>
        <v>0</v>
      </c>
      <c r="AR22" s="1990">
        <f t="shared" si="97"/>
        <v>0</v>
      </c>
      <c r="AS22" s="2290"/>
      <c r="AT22" s="1989">
        <f t="shared" si="80"/>
        <v>0</v>
      </c>
      <c r="AU22" s="1990">
        <f t="shared" si="57"/>
        <v>0</v>
      </c>
      <c r="AV22" s="1991">
        <f t="shared" si="81"/>
        <v>0</v>
      </c>
      <c r="AW22" s="2290"/>
      <c r="AX22" s="1990">
        <f t="shared" ref="AX22:BD22" si="98">$J$22</f>
        <v>0</v>
      </c>
      <c r="AY22" s="1990">
        <f t="shared" si="98"/>
        <v>0</v>
      </c>
      <c r="AZ22" s="1990"/>
      <c r="BA22" s="1990">
        <f t="shared" si="98"/>
        <v>0</v>
      </c>
      <c r="BB22" s="1990">
        <f t="shared" si="98"/>
        <v>0</v>
      </c>
      <c r="BC22" s="1990">
        <f t="shared" si="98"/>
        <v>0</v>
      </c>
      <c r="BD22" s="1990">
        <f t="shared" si="98"/>
        <v>0</v>
      </c>
      <c r="BE22" s="2290"/>
      <c r="BF22" s="1989">
        <f t="shared" si="83"/>
        <v>0</v>
      </c>
      <c r="BG22" s="1990">
        <f t="shared" si="59"/>
        <v>0</v>
      </c>
      <c r="BH22" s="1991">
        <f t="shared" si="84"/>
        <v>0</v>
      </c>
      <c r="BI22" s="1801"/>
      <c r="BJ22" s="1746">
        <f t="shared" ref="BJ22:BK22" si="99">$J$22</f>
        <v>0</v>
      </c>
      <c r="BK22" s="1746">
        <f t="shared" si="99"/>
        <v>0</v>
      </c>
      <c r="BL22" s="1801"/>
      <c r="BM22" s="1989">
        <f t="shared" si="61"/>
        <v>0</v>
      </c>
      <c r="BN22" s="1990">
        <f t="shared" si="62"/>
        <v>0</v>
      </c>
      <c r="BO22" s="1991">
        <f>BN22-BM22</f>
        <v>0</v>
      </c>
      <c r="BQ22" s="1750">
        <v>0</v>
      </c>
      <c r="BR22" s="1871" t="e">
        <f t="shared" si="63"/>
        <v>#DIV/0!</v>
      </c>
      <c r="BS22" s="1795"/>
      <c r="BT22" s="1935">
        <f t="shared" si="64"/>
        <v>0</v>
      </c>
      <c r="BU22" s="1930" t="e">
        <f t="shared" si="65"/>
        <v>#DIV/0!</v>
      </c>
      <c r="BV22" s="1802"/>
      <c r="BW22" s="1783"/>
      <c r="BY22" s="1916"/>
      <c r="BZ22" s="1992">
        <v>43951</v>
      </c>
      <c r="CA22" s="1993"/>
      <c r="CB22" s="1994"/>
      <c r="CC22" s="1923"/>
      <c r="CD22" s="1923"/>
      <c r="CE22" s="1923"/>
      <c r="CF22" s="1923"/>
      <c r="CG22" s="1995"/>
      <c r="CH22" s="1923"/>
    </row>
    <row r="23" spans="1:86" s="1756" customFormat="1" x14ac:dyDescent="0.2">
      <c r="B23" s="1963">
        <v>18</v>
      </c>
      <c r="C23" s="1963" t="s">
        <v>211</v>
      </c>
      <c r="D23" s="2578"/>
      <c r="E23" s="1728">
        <v>71.138000000000005</v>
      </c>
      <c r="F23" s="1728"/>
      <c r="G23" s="1728"/>
      <c r="H23" s="1728"/>
      <c r="I23" s="1728"/>
      <c r="J23" s="1728">
        <f t="shared" si="66"/>
        <v>2.9640833333333334</v>
      </c>
      <c r="K23" s="1729">
        <f t="shared" si="50"/>
        <v>2.9122835171745232E-2</v>
      </c>
      <c r="L23" s="1931"/>
      <c r="M23" s="1924"/>
      <c r="N23" s="1728">
        <f t="shared" ref="N23:T23" si="100">$J$23</f>
        <v>2.9640833333333334</v>
      </c>
      <c r="O23" s="1728">
        <f t="shared" si="100"/>
        <v>2.9640833333333334</v>
      </c>
      <c r="P23" s="1728"/>
      <c r="Q23" s="1728">
        <f t="shared" si="100"/>
        <v>2.9640833333333334</v>
      </c>
      <c r="R23" s="1728">
        <f t="shared" si="100"/>
        <v>2.9640833333333334</v>
      </c>
      <c r="S23" s="1728">
        <f t="shared" si="100"/>
        <v>2.9640833333333334</v>
      </c>
      <c r="T23" s="1728">
        <f t="shared" si="100"/>
        <v>2.9640833333333334</v>
      </c>
      <c r="U23" s="1814"/>
      <c r="V23" s="1982">
        <f t="shared" si="88"/>
        <v>17.784500000000001</v>
      </c>
      <c r="W23" s="2268">
        <f t="shared" si="52"/>
        <v>32.482707542674319</v>
      </c>
      <c r="X23" s="1984">
        <f t="shared" si="74"/>
        <v>14.698207542674318</v>
      </c>
      <c r="Y23" s="1764"/>
      <c r="Z23" s="1728">
        <f t="shared" ref="Z23:AF23" si="101">$J$23</f>
        <v>2.9640833333333334</v>
      </c>
      <c r="AA23" s="1728">
        <f t="shared" si="101"/>
        <v>2.9640833333333334</v>
      </c>
      <c r="AB23" s="1728"/>
      <c r="AC23" s="1728"/>
      <c r="AD23" s="1728">
        <f t="shared" si="101"/>
        <v>2.9640833333333334</v>
      </c>
      <c r="AE23" s="1728">
        <f t="shared" si="101"/>
        <v>2.9640833333333334</v>
      </c>
      <c r="AF23" s="1728">
        <f t="shared" si="101"/>
        <v>2.9640833333333334</v>
      </c>
      <c r="AG23" s="1764"/>
      <c r="AH23" s="1982">
        <f t="shared" si="76"/>
        <v>14.820416666666667</v>
      </c>
      <c r="AI23" s="2268">
        <f t="shared" si="54"/>
        <v>34.242309243751158</v>
      </c>
      <c r="AJ23" s="1984">
        <f t="shared" si="77"/>
        <v>19.421892577084492</v>
      </c>
      <c r="AK23" s="1764"/>
      <c r="AL23" s="2268">
        <f t="shared" ref="AL23:AM23" si="102">$J$23</f>
        <v>2.9640833333333334</v>
      </c>
      <c r="AM23" s="2268">
        <f t="shared" si="102"/>
        <v>2.9640833333333334</v>
      </c>
      <c r="AN23" s="2268"/>
      <c r="AO23" s="2268"/>
      <c r="AP23" s="2268">
        <f t="shared" ref="AP23:AR23" si="103">$J$23</f>
        <v>2.9640833333333334</v>
      </c>
      <c r="AQ23" s="2268">
        <f t="shared" si="103"/>
        <v>2.9640833333333334</v>
      </c>
      <c r="AR23" s="2268">
        <f t="shared" si="103"/>
        <v>2.9640833333333334</v>
      </c>
      <c r="AS23" s="2289"/>
      <c r="AT23" s="1982">
        <f t="shared" si="80"/>
        <v>14.820416666666667</v>
      </c>
      <c r="AU23" s="2268">
        <f t="shared" si="57"/>
        <v>45.57487809413238</v>
      </c>
      <c r="AV23" s="1984">
        <f t="shared" si="81"/>
        <v>30.754461427465714</v>
      </c>
      <c r="AW23" s="2289"/>
      <c r="AX23" s="2268">
        <f t="shared" ref="AX23:BD23" si="104">$J$23</f>
        <v>2.9640833333333334</v>
      </c>
      <c r="AY23" s="2268">
        <f t="shared" si="104"/>
        <v>2.9640833333333334</v>
      </c>
      <c r="AZ23" s="2268"/>
      <c r="BA23" s="2268">
        <f t="shared" si="104"/>
        <v>2.9640833333333334</v>
      </c>
      <c r="BB23" s="2268">
        <f t="shared" si="104"/>
        <v>2.9640833333333334</v>
      </c>
      <c r="BC23" s="2268">
        <f t="shared" si="104"/>
        <v>2.9640833333333334</v>
      </c>
      <c r="BD23" s="2268">
        <f t="shared" si="104"/>
        <v>2.9640833333333334</v>
      </c>
      <c r="BE23" s="2289"/>
      <c r="BF23" s="1982">
        <f t="shared" si="83"/>
        <v>17.784500000000001</v>
      </c>
      <c r="BG23" s="2268">
        <f t="shared" si="59"/>
        <v>39.074865143645049</v>
      </c>
      <c r="BH23" s="1984">
        <f t="shared" si="84"/>
        <v>21.290365143645047</v>
      </c>
      <c r="BI23" s="1814"/>
      <c r="BJ23" s="1728">
        <f t="shared" ref="BJ23:BK23" si="105">$J$23</f>
        <v>2.9640833333333334</v>
      </c>
      <c r="BK23" s="1728">
        <f t="shared" si="105"/>
        <v>2.9640833333333334</v>
      </c>
      <c r="BL23" s="1814"/>
      <c r="BM23" s="1982">
        <f t="shared" si="61"/>
        <v>5.9281666666666668</v>
      </c>
      <c r="BN23" s="2268">
        <f t="shared" si="62"/>
        <v>10.894474040892659</v>
      </c>
      <c r="BO23" s="1984">
        <f>BN23-BM23</f>
        <v>4.966307374225992</v>
      </c>
      <c r="BQ23" s="1735">
        <v>0</v>
      </c>
      <c r="BR23" s="1768">
        <f t="shared" si="63"/>
        <v>0</v>
      </c>
      <c r="BS23" s="3133"/>
      <c r="BT23" s="1763">
        <f t="shared" si="64"/>
        <v>68.17391666666667</v>
      </c>
      <c r="BU23" s="1883">
        <f t="shared" si="65"/>
        <v>0.95833333333333337</v>
      </c>
      <c r="BV23" s="1830"/>
      <c r="BW23" s="1761"/>
      <c r="BY23" s="3143"/>
      <c r="BZ23" s="2015">
        <v>43951</v>
      </c>
      <c r="CA23" s="1997"/>
      <c r="CB23" s="1861"/>
      <c r="CC23" s="1860"/>
      <c r="CD23" s="1860"/>
      <c r="CE23" s="1860"/>
      <c r="CF23" s="1860"/>
      <c r="CG23" s="1998"/>
      <c r="CH23" s="1860"/>
    </row>
    <row r="24" spans="1:86" s="1947" customFormat="1" x14ac:dyDescent="0.2">
      <c r="B24" s="2000">
        <v>19</v>
      </c>
      <c r="C24" s="1987" t="s">
        <v>255</v>
      </c>
      <c r="D24" s="1836"/>
      <c r="E24" s="1746">
        <v>75</v>
      </c>
      <c r="F24" s="1746"/>
      <c r="G24" s="1746"/>
      <c r="H24" s="1746"/>
      <c r="I24" s="1746"/>
      <c r="J24" s="1746">
        <f t="shared" si="66"/>
        <v>3.125</v>
      </c>
      <c r="K24" s="2583">
        <f t="shared" si="50"/>
        <v>3.0703880315455765E-2</v>
      </c>
      <c r="L24" s="2003"/>
      <c r="M24" s="1950"/>
      <c r="N24" s="2001">
        <f t="shared" ref="N24:T24" si="106">$J$24</f>
        <v>3.125</v>
      </c>
      <c r="O24" s="2001">
        <f t="shared" si="106"/>
        <v>3.125</v>
      </c>
      <c r="P24" s="2001"/>
      <c r="Q24" s="2001">
        <f t="shared" si="106"/>
        <v>3.125</v>
      </c>
      <c r="R24" s="2001">
        <f t="shared" si="106"/>
        <v>3.125</v>
      </c>
      <c r="S24" s="2001">
        <f t="shared" si="106"/>
        <v>3.125</v>
      </c>
      <c r="T24" s="2001">
        <f t="shared" si="106"/>
        <v>3.125</v>
      </c>
      <c r="U24" s="1951"/>
      <c r="V24" s="2004">
        <f t="shared" si="88"/>
        <v>18.75</v>
      </c>
      <c r="W24" s="2005">
        <f t="shared" si="52"/>
        <v>34.24615628356959</v>
      </c>
      <c r="X24" s="2006">
        <f t="shared" si="74"/>
        <v>15.49615628356959</v>
      </c>
      <c r="Y24" s="1955"/>
      <c r="Z24" s="2001">
        <f t="shared" ref="Z24:AF24" si="107">$J$24</f>
        <v>3.125</v>
      </c>
      <c r="AA24" s="2001">
        <f t="shared" si="107"/>
        <v>3.125</v>
      </c>
      <c r="AB24" s="2001"/>
      <c r="AC24" s="2001"/>
      <c r="AD24" s="2001">
        <f t="shared" si="107"/>
        <v>3.125</v>
      </c>
      <c r="AE24" s="2001">
        <f t="shared" si="107"/>
        <v>3.125</v>
      </c>
      <c r="AF24" s="2001">
        <f t="shared" si="107"/>
        <v>3.125</v>
      </c>
      <c r="AG24" s="1955"/>
      <c r="AH24" s="2004">
        <f t="shared" si="76"/>
        <v>15.625</v>
      </c>
      <c r="AI24" s="2005">
        <f t="shared" si="54"/>
        <v>36.101284732229423</v>
      </c>
      <c r="AJ24" s="2006">
        <f t="shared" si="77"/>
        <v>20.476284732229423</v>
      </c>
      <c r="AK24" s="1955"/>
      <c r="AL24" s="2005">
        <f t="shared" ref="AL24:AM24" si="108">$J$24</f>
        <v>3.125</v>
      </c>
      <c r="AM24" s="2005">
        <f t="shared" si="108"/>
        <v>3.125</v>
      </c>
      <c r="AN24" s="2005"/>
      <c r="AO24" s="2005"/>
      <c r="AP24" s="2005">
        <f t="shared" ref="AP24:AR24" si="109">$J$24</f>
        <v>3.125</v>
      </c>
      <c r="AQ24" s="2005">
        <f t="shared" si="109"/>
        <v>3.125</v>
      </c>
      <c r="AR24" s="2005">
        <f t="shared" si="109"/>
        <v>3.125</v>
      </c>
      <c r="AS24" s="2299"/>
      <c r="AT24" s="2004">
        <f t="shared" si="80"/>
        <v>15.625</v>
      </c>
      <c r="AU24" s="2005">
        <f t="shared" si="57"/>
        <v>48.049085679382728</v>
      </c>
      <c r="AV24" s="2006">
        <f t="shared" si="81"/>
        <v>32.424085679382728</v>
      </c>
      <c r="AW24" s="2299"/>
      <c r="AX24" s="2005">
        <f t="shared" ref="AX24:BD24" si="110">$J$24</f>
        <v>3.125</v>
      </c>
      <c r="AY24" s="2005">
        <f t="shared" si="110"/>
        <v>3.125</v>
      </c>
      <c r="AZ24" s="2005"/>
      <c r="BA24" s="2005">
        <f t="shared" si="110"/>
        <v>3.125</v>
      </c>
      <c r="BB24" s="2005">
        <f t="shared" si="110"/>
        <v>3.125</v>
      </c>
      <c r="BC24" s="2005">
        <f t="shared" si="110"/>
        <v>3.125</v>
      </c>
      <c r="BD24" s="2005">
        <f t="shared" si="110"/>
        <v>3.125</v>
      </c>
      <c r="BE24" s="2299"/>
      <c r="BF24" s="2004">
        <f t="shared" si="83"/>
        <v>18.75</v>
      </c>
      <c r="BG24" s="2005">
        <f t="shared" si="59"/>
        <v>41.196194520135201</v>
      </c>
      <c r="BH24" s="2006">
        <f t="shared" si="84"/>
        <v>22.446194520135201</v>
      </c>
      <c r="BI24" s="1951"/>
      <c r="BJ24" s="2001">
        <f t="shared" ref="BJ24:BK24" si="111">$J$24</f>
        <v>3.125</v>
      </c>
      <c r="BK24" s="2001">
        <f t="shared" si="111"/>
        <v>3.125</v>
      </c>
      <c r="BL24" s="1951"/>
      <c r="BM24" s="2004">
        <f t="shared" si="61"/>
        <v>6.25</v>
      </c>
      <c r="BN24" s="2005">
        <f t="shared" si="62"/>
        <v>11.485922475567902</v>
      </c>
      <c r="BO24" s="2006">
        <f>BN24-BM24</f>
        <v>5.2359224755679019</v>
      </c>
      <c r="BQ24" s="2007">
        <v>0</v>
      </c>
      <c r="BR24" s="2008">
        <f t="shared" si="63"/>
        <v>0</v>
      </c>
      <c r="BS24" s="1959"/>
      <c r="BT24" s="1901">
        <f t="shared" si="64"/>
        <v>71.875</v>
      </c>
      <c r="BU24" s="1902">
        <f t="shared" si="65"/>
        <v>0.95833333333333337</v>
      </c>
      <c r="BV24" s="1962"/>
      <c r="BW24" s="1905"/>
      <c r="BY24" s="3134"/>
      <c r="BZ24" s="2479">
        <f>BZ23-BZ22-6</f>
        <v>-6</v>
      </c>
      <c r="CA24" s="2010"/>
      <c r="CB24" s="2011"/>
      <c r="CC24" s="1946"/>
      <c r="CD24" s="1946"/>
      <c r="CE24" s="1946"/>
      <c r="CF24" s="1946"/>
      <c r="CG24" s="2012"/>
      <c r="CH24" s="1946"/>
    </row>
    <row r="25" spans="1:86" s="1756" customFormat="1" x14ac:dyDescent="0.2">
      <c r="B25" s="1963">
        <v>20</v>
      </c>
      <c r="C25" s="2000" t="s">
        <v>235</v>
      </c>
      <c r="D25" s="2579"/>
      <c r="E25" s="2001">
        <v>50</v>
      </c>
      <c r="F25" s="2001">
        <v>10</v>
      </c>
      <c r="G25" s="2001">
        <v>6.666666666666667</v>
      </c>
      <c r="H25" s="2001">
        <v>5</v>
      </c>
      <c r="I25" s="2001">
        <v>4</v>
      </c>
      <c r="J25" s="2001">
        <f t="shared" si="66"/>
        <v>2.0833333333333335</v>
      </c>
      <c r="K25" s="2584">
        <f t="shared" si="50"/>
        <v>2.0469253543637177E-2</v>
      </c>
      <c r="L25" s="1931"/>
      <c r="M25" s="1924"/>
      <c r="N25" s="1728">
        <f t="shared" ref="N25:T25" si="112">$J$25</f>
        <v>2.0833333333333335</v>
      </c>
      <c r="O25" s="1728">
        <f t="shared" si="112"/>
        <v>2.0833333333333335</v>
      </c>
      <c r="P25" s="1728"/>
      <c r="Q25" s="1728">
        <f t="shared" si="112"/>
        <v>2.0833333333333335</v>
      </c>
      <c r="R25" s="1728">
        <f t="shared" si="112"/>
        <v>2.0833333333333335</v>
      </c>
      <c r="S25" s="1728">
        <f t="shared" si="112"/>
        <v>2.0833333333333335</v>
      </c>
      <c r="T25" s="1728">
        <f t="shared" si="112"/>
        <v>2.0833333333333335</v>
      </c>
      <c r="U25" s="1814"/>
      <c r="V25" s="1982">
        <f t="shared" si="88"/>
        <v>12.500000000000002</v>
      </c>
      <c r="W25" s="2268">
        <f t="shared" si="52"/>
        <v>22.830770855713059</v>
      </c>
      <c r="X25" s="1984">
        <f t="shared" si="74"/>
        <v>10.330770855713057</v>
      </c>
      <c r="Y25" s="1764"/>
      <c r="Z25" s="1728">
        <f t="shared" ref="Z25:AF25" si="113">$J$25</f>
        <v>2.0833333333333335</v>
      </c>
      <c r="AA25" s="1728">
        <f t="shared" si="113"/>
        <v>2.0833333333333335</v>
      </c>
      <c r="AB25" s="1728"/>
      <c r="AC25" s="1728"/>
      <c r="AD25" s="1728">
        <f t="shared" si="113"/>
        <v>2.0833333333333335</v>
      </c>
      <c r="AE25" s="1728">
        <f t="shared" si="113"/>
        <v>2.0833333333333335</v>
      </c>
      <c r="AF25" s="1728">
        <f t="shared" si="113"/>
        <v>2.0833333333333335</v>
      </c>
      <c r="AG25" s="1764"/>
      <c r="AH25" s="1982">
        <f t="shared" si="76"/>
        <v>10.416666666666668</v>
      </c>
      <c r="AI25" s="2268">
        <f t="shared" si="54"/>
        <v>24.067523154819618</v>
      </c>
      <c r="AJ25" s="1984">
        <f t="shared" si="77"/>
        <v>13.65085648815295</v>
      </c>
      <c r="AK25" s="1764"/>
      <c r="AL25" s="2268">
        <f t="shared" ref="AL25:AM25" si="114">$J$25</f>
        <v>2.0833333333333335</v>
      </c>
      <c r="AM25" s="2268">
        <f t="shared" si="114"/>
        <v>2.0833333333333335</v>
      </c>
      <c r="AN25" s="2268"/>
      <c r="AO25" s="2268"/>
      <c r="AP25" s="2268">
        <f t="shared" ref="AP25:AR25" si="115">$J$25</f>
        <v>2.0833333333333335</v>
      </c>
      <c r="AQ25" s="2268">
        <f t="shared" si="115"/>
        <v>2.0833333333333335</v>
      </c>
      <c r="AR25" s="2268">
        <f t="shared" si="115"/>
        <v>2.0833333333333335</v>
      </c>
      <c r="AS25" s="2289"/>
      <c r="AT25" s="1982">
        <f t="shared" si="80"/>
        <v>10.416666666666668</v>
      </c>
      <c r="AU25" s="2268">
        <f t="shared" si="57"/>
        <v>32.032723786255154</v>
      </c>
      <c r="AV25" s="1984">
        <f t="shared" si="81"/>
        <v>21.616057119588486</v>
      </c>
      <c r="AW25" s="2289"/>
      <c r="AX25" s="2268">
        <f t="shared" ref="AX25:BD25" si="116">$J$25</f>
        <v>2.0833333333333335</v>
      </c>
      <c r="AY25" s="2268">
        <f t="shared" si="116"/>
        <v>2.0833333333333335</v>
      </c>
      <c r="AZ25" s="2268"/>
      <c r="BA25" s="2268">
        <f t="shared" si="116"/>
        <v>2.0833333333333335</v>
      </c>
      <c r="BB25" s="2268">
        <f t="shared" si="116"/>
        <v>2.0833333333333335</v>
      </c>
      <c r="BC25" s="2268">
        <f t="shared" si="116"/>
        <v>2.0833333333333335</v>
      </c>
      <c r="BD25" s="2268">
        <f t="shared" si="116"/>
        <v>2.0833333333333335</v>
      </c>
      <c r="BE25" s="2289"/>
      <c r="BF25" s="1982">
        <f t="shared" si="83"/>
        <v>12.500000000000002</v>
      </c>
      <c r="BG25" s="2268">
        <f t="shared" si="59"/>
        <v>27.464129680090135</v>
      </c>
      <c r="BH25" s="1984">
        <f t="shared" si="84"/>
        <v>14.964129680090133</v>
      </c>
      <c r="BI25" s="1814"/>
      <c r="BJ25" s="1728">
        <f t="shared" ref="BJ25:BK25" si="117">$J$25</f>
        <v>2.0833333333333335</v>
      </c>
      <c r="BK25" s="1728">
        <f t="shared" si="117"/>
        <v>2.0833333333333335</v>
      </c>
      <c r="BL25" s="1814"/>
      <c r="BM25" s="1982">
        <f t="shared" si="61"/>
        <v>4.166666666666667</v>
      </c>
      <c r="BN25" s="2268">
        <f t="shared" si="62"/>
        <v>7.6572816503786001</v>
      </c>
      <c r="BO25" s="1984">
        <f t="shared" ref="BO25:BO41" si="118">BN25-BM25</f>
        <v>3.4906149837119331</v>
      </c>
      <c r="BQ25" s="1735">
        <v>0</v>
      </c>
      <c r="BR25" s="1768">
        <f t="shared" si="63"/>
        <v>0</v>
      </c>
      <c r="BS25" s="3133"/>
      <c r="BT25" s="1763">
        <f t="shared" si="64"/>
        <v>47.916666666666679</v>
      </c>
      <c r="BU25" s="1883">
        <f t="shared" si="65"/>
        <v>0.95833333333333359</v>
      </c>
      <c r="BV25" s="1830"/>
      <c r="BW25" s="1761"/>
      <c r="BY25" s="3143"/>
      <c r="BZ25" s="1985"/>
      <c r="CA25" s="1997"/>
      <c r="CB25" s="1861"/>
      <c r="CC25" s="1860"/>
      <c r="CD25" s="1860"/>
      <c r="CE25" s="1860"/>
      <c r="CF25" s="1860"/>
      <c r="CG25" s="1998"/>
      <c r="CH25" s="1860"/>
    </row>
    <row r="26" spans="1:86" s="1777" customFormat="1" x14ac:dyDescent="0.2">
      <c r="B26" s="1987">
        <v>21</v>
      </c>
      <c r="C26" s="1963" t="s">
        <v>202</v>
      </c>
      <c r="D26" s="2578"/>
      <c r="E26" s="1728">
        <v>50</v>
      </c>
      <c r="F26" s="1728"/>
      <c r="G26" s="1728"/>
      <c r="H26" s="1728"/>
      <c r="I26" s="1728"/>
      <c r="J26" s="1728">
        <f t="shared" si="66"/>
        <v>2.0833333333333335</v>
      </c>
      <c r="K26" s="1729">
        <f t="shared" si="50"/>
        <v>2.0469253543637177E-2</v>
      </c>
      <c r="L26" s="1866"/>
      <c r="M26" s="1867"/>
      <c r="N26" s="1746">
        <f t="shared" ref="N26:T26" si="119">$J$26</f>
        <v>2.0833333333333335</v>
      </c>
      <c r="O26" s="1746">
        <f t="shared" si="119"/>
        <v>2.0833333333333335</v>
      </c>
      <c r="P26" s="1746"/>
      <c r="Q26" s="1746">
        <f t="shared" si="119"/>
        <v>2.0833333333333335</v>
      </c>
      <c r="R26" s="1746">
        <f t="shared" si="119"/>
        <v>2.0833333333333335</v>
      </c>
      <c r="S26" s="1746">
        <f t="shared" si="119"/>
        <v>2.0833333333333335</v>
      </c>
      <c r="T26" s="1746">
        <f t="shared" si="119"/>
        <v>2.0833333333333335</v>
      </c>
      <c r="U26" s="1801"/>
      <c r="V26" s="1989">
        <f t="shared" si="88"/>
        <v>12.500000000000002</v>
      </c>
      <c r="W26" s="1990">
        <f t="shared" si="52"/>
        <v>22.830770855713059</v>
      </c>
      <c r="X26" s="1991">
        <f t="shared" si="74"/>
        <v>10.330770855713057</v>
      </c>
      <c r="Y26" s="1788"/>
      <c r="Z26" s="1746">
        <f t="shared" ref="Z26:AF26" si="120">$J$26</f>
        <v>2.0833333333333335</v>
      </c>
      <c r="AA26" s="1746">
        <f t="shared" si="120"/>
        <v>2.0833333333333335</v>
      </c>
      <c r="AB26" s="1746"/>
      <c r="AC26" s="1746"/>
      <c r="AD26" s="1746">
        <f t="shared" si="120"/>
        <v>2.0833333333333335</v>
      </c>
      <c r="AE26" s="1746">
        <f t="shared" si="120"/>
        <v>2.0833333333333335</v>
      </c>
      <c r="AF26" s="1746">
        <f t="shared" si="120"/>
        <v>2.0833333333333335</v>
      </c>
      <c r="AG26" s="1788"/>
      <c r="AH26" s="1989">
        <f t="shared" si="76"/>
        <v>10.416666666666668</v>
      </c>
      <c r="AI26" s="1990">
        <f t="shared" si="54"/>
        <v>24.067523154819618</v>
      </c>
      <c r="AJ26" s="1991">
        <f t="shared" si="77"/>
        <v>13.65085648815295</v>
      </c>
      <c r="AK26" s="1788"/>
      <c r="AL26" s="1990">
        <f t="shared" ref="AL26:AM26" si="121">$J$26</f>
        <v>2.0833333333333335</v>
      </c>
      <c r="AM26" s="1990">
        <f t="shared" si="121"/>
        <v>2.0833333333333335</v>
      </c>
      <c r="AN26" s="1990"/>
      <c r="AO26" s="1990"/>
      <c r="AP26" s="1990">
        <f t="shared" ref="AP26:AR26" si="122">$J$26</f>
        <v>2.0833333333333335</v>
      </c>
      <c r="AQ26" s="1990">
        <f t="shared" si="122"/>
        <v>2.0833333333333335</v>
      </c>
      <c r="AR26" s="1990">
        <f t="shared" si="122"/>
        <v>2.0833333333333335</v>
      </c>
      <c r="AS26" s="2290"/>
      <c r="AT26" s="1989">
        <f t="shared" si="80"/>
        <v>10.416666666666668</v>
      </c>
      <c r="AU26" s="1990">
        <f t="shared" si="57"/>
        <v>32.032723786255154</v>
      </c>
      <c r="AV26" s="1991">
        <f t="shared" si="81"/>
        <v>21.616057119588486</v>
      </c>
      <c r="AW26" s="2290"/>
      <c r="AX26" s="1990">
        <f t="shared" ref="AX26:BD26" si="123">$J$26</f>
        <v>2.0833333333333335</v>
      </c>
      <c r="AY26" s="1990">
        <f t="shared" si="123"/>
        <v>2.0833333333333335</v>
      </c>
      <c r="AZ26" s="1990"/>
      <c r="BA26" s="1990">
        <f t="shared" si="123"/>
        <v>2.0833333333333335</v>
      </c>
      <c r="BB26" s="1990">
        <f t="shared" si="123"/>
        <v>2.0833333333333335</v>
      </c>
      <c r="BC26" s="1990">
        <f t="shared" si="123"/>
        <v>2.0833333333333335</v>
      </c>
      <c r="BD26" s="1990">
        <f t="shared" si="123"/>
        <v>2.0833333333333335</v>
      </c>
      <c r="BE26" s="2290"/>
      <c r="BF26" s="1989">
        <f t="shared" si="83"/>
        <v>12.500000000000002</v>
      </c>
      <c r="BG26" s="1990">
        <f t="shared" si="59"/>
        <v>27.464129680090135</v>
      </c>
      <c r="BH26" s="1991">
        <f t="shared" si="84"/>
        <v>14.964129680090133</v>
      </c>
      <c r="BI26" s="1801"/>
      <c r="BJ26" s="1746">
        <f t="shared" ref="BJ26:BK26" si="124">$J$26</f>
        <v>2.0833333333333335</v>
      </c>
      <c r="BK26" s="1746">
        <f t="shared" si="124"/>
        <v>2.0833333333333335</v>
      </c>
      <c r="BL26" s="1801"/>
      <c r="BM26" s="1989">
        <f t="shared" si="61"/>
        <v>4.166666666666667</v>
      </c>
      <c r="BN26" s="1990">
        <f t="shared" si="62"/>
        <v>7.6572816503786001</v>
      </c>
      <c r="BO26" s="1991">
        <f t="shared" si="118"/>
        <v>3.4906149837119331</v>
      </c>
      <c r="BQ26" s="1750">
        <v>0</v>
      </c>
      <c r="BR26" s="1871">
        <f t="shared" si="63"/>
        <v>0</v>
      </c>
      <c r="BS26" s="1795"/>
      <c r="BT26" s="1935">
        <f t="shared" si="64"/>
        <v>47.916666666666679</v>
      </c>
      <c r="BU26" s="1930">
        <f t="shared" si="65"/>
        <v>0.95833333333333359</v>
      </c>
      <c r="BV26" s="1802"/>
      <c r="BW26" s="1783"/>
      <c r="BY26" s="1916"/>
      <c r="BZ26" s="2029"/>
      <c r="CA26" s="1993" t="s">
        <v>157</v>
      </c>
      <c r="CB26" s="2952">
        <f>BT1</f>
        <v>0.8</v>
      </c>
      <c r="CC26" s="1923"/>
      <c r="CD26" s="1923"/>
      <c r="CE26" s="1923"/>
      <c r="CF26" s="1923"/>
      <c r="CG26" s="1995"/>
      <c r="CH26" s="1923"/>
    </row>
    <row r="27" spans="1:86" s="1726" customFormat="1" x14ac:dyDescent="0.2">
      <c r="A27" s="1756"/>
      <c r="B27" s="1963">
        <v>22</v>
      </c>
      <c r="C27" s="2000" t="s">
        <v>262</v>
      </c>
      <c r="D27" s="2579"/>
      <c r="E27" s="2001">
        <v>50</v>
      </c>
      <c r="F27" s="2001">
        <v>0.5</v>
      </c>
      <c r="G27" s="2001">
        <v>0.33333333333333331</v>
      </c>
      <c r="H27" s="2001">
        <v>0.25</v>
      </c>
      <c r="I27" s="2001">
        <v>0.2</v>
      </c>
      <c r="J27" s="2001">
        <f t="shared" si="66"/>
        <v>2.0833333333333335</v>
      </c>
      <c r="K27" s="2584">
        <f t="shared" si="50"/>
        <v>2.0469253543637177E-2</v>
      </c>
      <c r="L27" s="1931"/>
      <c r="M27" s="1877"/>
      <c r="N27" s="1728">
        <f t="shared" ref="N27:T27" si="125">$J$27</f>
        <v>2.0833333333333335</v>
      </c>
      <c r="O27" s="1728">
        <f t="shared" si="125"/>
        <v>2.0833333333333335</v>
      </c>
      <c r="P27" s="1728"/>
      <c r="Q27" s="1728">
        <f t="shared" si="125"/>
        <v>2.0833333333333335</v>
      </c>
      <c r="R27" s="1728">
        <f t="shared" si="125"/>
        <v>2.0833333333333335</v>
      </c>
      <c r="S27" s="1728">
        <f t="shared" si="125"/>
        <v>2.0833333333333335</v>
      </c>
      <c r="T27" s="1728">
        <f t="shared" si="125"/>
        <v>2.0833333333333335</v>
      </c>
      <c r="U27" s="3145"/>
      <c r="V27" s="1982">
        <f t="shared" si="88"/>
        <v>12.500000000000002</v>
      </c>
      <c r="W27" s="2268">
        <f t="shared" si="52"/>
        <v>22.830770855713059</v>
      </c>
      <c r="X27" s="1984">
        <f t="shared" si="74"/>
        <v>10.330770855713057</v>
      </c>
      <c r="Y27" s="1881"/>
      <c r="Z27" s="1728">
        <f t="shared" ref="Z27:AF27" si="126">$J$27</f>
        <v>2.0833333333333335</v>
      </c>
      <c r="AA27" s="1728">
        <f t="shared" si="126"/>
        <v>2.0833333333333335</v>
      </c>
      <c r="AB27" s="1728"/>
      <c r="AC27" s="1728"/>
      <c r="AD27" s="1728">
        <f t="shared" si="126"/>
        <v>2.0833333333333335</v>
      </c>
      <c r="AE27" s="1728">
        <f t="shared" si="126"/>
        <v>2.0833333333333335</v>
      </c>
      <c r="AF27" s="1728">
        <f t="shared" si="126"/>
        <v>2.0833333333333335</v>
      </c>
      <c r="AG27" s="1881"/>
      <c r="AH27" s="1982">
        <f t="shared" si="76"/>
        <v>10.416666666666668</v>
      </c>
      <c r="AI27" s="2268">
        <f t="shared" si="54"/>
        <v>24.067523154819618</v>
      </c>
      <c r="AJ27" s="1984">
        <f t="shared" si="77"/>
        <v>13.65085648815295</v>
      </c>
      <c r="AK27" s="1881"/>
      <c r="AL27" s="2268">
        <f t="shared" ref="AL27:AM27" si="127">$J$27</f>
        <v>2.0833333333333335</v>
      </c>
      <c r="AM27" s="2268">
        <f t="shared" si="127"/>
        <v>2.0833333333333335</v>
      </c>
      <c r="AN27" s="2268"/>
      <c r="AO27" s="2268"/>
      <c r="AP27" s="2268">
        <f t="shared" ref="AP27:AR27" si="128">$J$27</f>
        <v>2.0833333333333335</v>
      </c>
      <c r="AQ27" s="2268">
        <f t="shared" si="128"/>
        <v>2.0833333333333335</v>
      </c>
      <c r="AR27" s="2268">
        <f t="shared" si="128"/>
        <v>2.0833333333333335</v>
      </c>
      <c r="AS27" s="2293"/>
      <c r="AT27" s="1982">
        <f t="shared" si="80"/>
        <v>10.416666666666668</v>
      </c>
      <c r="AU27" s="2268">
        <f t="shared" si="57"/>
        <v>32.032723786255154</v>
      </c>
      <c r="AV27" s="1984">
        <f t="shared" si="81"/>
        <v>21.616057119588486</v>
      </c>
      <c r="AW27" s="2293"/>
      <c r="AX27" s="2268">
        <f t="shared" ref="AX27:BD27" si="129">$J$27</f>
        <v>2.0833333333333335</v>
      </c>
      <c r="AY27" s="2268">
        <f t="shared" si="129"/>
        <v>2.0833333333333335</v>
      </c>
      <c r="AZ27" s="2268"/>
      <c r="BA27" s="2268">
        <f t="shared" si="129"/>
        <v>2.0833333333333335</v>
      </c>
      <c r="BB27" s="2268">
        <f t="shared" si="129"/>
        <v>2.0833333333333335</v>
      </c>
      <c r="BC27" s="2268">
        <f t="shared" si="129"/>
        <v>2.0833333333333335</v>
      </c>
      <c r="BD27" s="2268">
        <f t="shared" si="129"/>
        <v>2.0833333333333335</v>
      </c>
      <c r="BE27" s="2293"/>
      <c r="BF27" s="1982">
        <f t="shared" si="83"/>
        <v>12.500000000000002</v>
      </c>
      <c r="BG27" s="2268">
        <f t="shared" si="59"/>
        <v>27.464129680090135</v>
      </c>
      <c r="BH27" s="1984">
        <f t="shared" si="84"/>
        <v>14.964129680090133</v>
      </c>
      <c r="BI27" s="3145"/>
      <c r="BJ27" s="1728">
        <f t="shared" ref="BJ27:BK27" si="130">$J$27</f>
        <v>2.0833333333333335</v>
      </c>
      <c r="BK27" s="1728">
        <f t="shared" si="130"/>
        <v>2.0833333333333335</v>
      </c>
      <c r="BL27" s="3145"/>
      <c r="BM27" s="1982">
        <f t="shared" si="61"/>
        <v>4.166666666666667</v>
      </c>
      <c r="BN27" s="2268">
        <f t="shared" si="62"/>
        <v>7.6572816503786001</v>
      </c>
      <c r="BO27" s="1984">
        <f t="shared" si="118"/>
        <v>3.4906149837119331</v>
      </c>
      <c r="BQ27" s="1732">
        <v>0</v>
      </c>
      <c r="BR27" s="1882">
        <f t="shared" si="63"/>
        <v>0</v>
      </c>
      <c r="BS27" s="1740"/>
      <c r="BT27" s="1734">
        <f t="shared" si="64"/>
        <v>47.916666666666679</v>
      </c>
      <c r="BU27" s="1918">
        <f t="shared" si="65"/>
        <v>0.95833333333333359</v>
      </c>
      <c r="BV27" s="1997"/>
      <c r="BW27" s="3143"/>
      <c r="BY27" s="2014"/>
      <c r="BZ27" s="2637"/>
      <c r="CA27" s="1962"/>
      <c r="CB27" s="2638"/>
      <c r="CC27" s="1810"/>
      <c r="CD27" s="1810"/>
      <c r="CE27" s="1810"/>
      <c r="CF27" s="1810"/>
      <c r="CG27" s="1986"/>
      <c r="CH27" s="1810"/>
    </row>
    <row r="28" spans="1:86" s="1885" customFormat="1" x14ac:dyDescent="0.2">
      <c r="A28" s="1947"/>
      <c r="B28" s="2000">
        <v>23</v>
      </c>
      <c r="C28" s="1963" t="s">
        <v>240</v>
      </c>
      <c r="D28" s="2578"/>
      <c r="E28" s="1728">
        <v>30</v>
      </c>
      <c r="F28" s="1728">
        <v>5</v>
      </c>
      <c r="G28" s="1728">
        <v>3.3333333333333335</v>
      </c>
      <c r="H28" s="1728">
        <v>2.5</v>
      </c>
      <c r="I28" s="1728">
        <v>2</v>
      </c>
      <c r="J28" s="1728">
        <f t="shared" si="66"/>
        <v>1.25</v>
      </c>
      <c r="K28" s="1729">
        <f t="shared" si="50"/>
        <v>1.2281552126182305E-2</v>
      </c>
      <c r="L28" s="1891"/>
      <c r="M28" s="1950"/>
      <c r="N28" s="2001">
        <f t="shared" ref="N28:T28" si="131">$J$28</f>
        <v>1.25</v>
      </c>
      <c r="O28" s="2001">
        <f t="shared" si="131"/>
        <v>1.25</v>
      </c>
      <c r="P28" s="2001"/>
      <c r="Q28" s="2001">
        <f t="shared" si="131"/>
        <v>1.25</v>
      </c>
      <c r="R28" s="2001">
        <f t="shared" si="131"/>
        <v>1.25</v>
      </c>
      <c r="S28" s="2001">
        <f t="shared" si="131"/>
        <v>1.25</v>
      </c>
      <c r="T28" s="2001">
        <f t="shared" si="131"/>
        <v>1.25</v>
      </c>
      <c r="U28" s="3135"/>
      <c r="V28" s="2004">
        <f t="shared" si="88"/>
        <v>7.5</v>
      </c>
      <c r="W28" s="2005">
        <f t="shared" si="52"/>
        <v>13.698462513427835</v>
      </c>
      <c r="X28" s="2006">
        <f t="shared" si="74"/>
        <v>6.1984625134278346</v>
      </c>
      <c r="Y28" s="1896"/>
      <c r="Z28" s="2001">
        <f t="shared" ref="Z28:AF28" si="132">$J$28</f>
        <v>1.25</v>
      </c>
      <c r="AA28" s="2001">
        <f t="shared" si="132"/>
        <v>1.25</v>
      </c>
      <c r="AB28" s="2001"/>
      <c r="AC28" s="2001"/>
      <c r="AD28" s="2001">
        <f t="shared" si="132"/>
        <v>1.25</v>
      </c>
      <c r="AE28" s="2001">
        <f t="shared" si="132"/>
        <v>1.25</v>
      </c>
      <c r="AF28" s="2001">
        <f t="shared" si="132"/>
        <v>1.25</v>
      </c>
      <c r="AG28" s="1896"/>
      <c r="AH28" s="2004">
        <f t="shared" si="76"/>
        <v>6.25</v>
      </c>
      <c r="AI28" s="2005">
        <f t="shared" si="54"/>
        <v>14.440513892891769</v>
      </c>
      <c r="AJ28" s="2006">
        <f t="shared" si="77"/>
        <v>8.1905138928917687</v>
      </c>
      <c r="AK28" s="1896"/>
      <c r="AL28" s="2005">
        <f t="shared" ref="AL28:AM28" si="133">$J$28</f>
        <v>1.25</v>
      </c>
      <c r="AM28" s="2005">
        <f t="shared" si="133"/>
        <v>1.25</v>
      </c>
      <c r="AN28" s="2005"/>
      <c r="AO28" s="2005"/>
      <c r="AP28" s="2005">
        <f t="shared" ref="AP28:AR28" si="134">$J$28</f>
        <v>1.25</v>
      </c>
      <c r="AQ28" s="2005">
        <f t="shared" si="134"/>
        <v>1.25</v>
      </c>
      <c r="AR28" s="2005">
        <f t="shared" si="134"/>
        <v>1.25</v>
      </c>
      <c r="AS28" s="2295"/>
      <c r="AT28" s="2004">
        <f t="shared" si="80"/>
        <v>6.25</v>
      </c>
      <c r="AU28" s="2005">
        <f t="shared" si="57"/>
        <v>19.219634271753087</v>
      </c>
      <c r="AV28" s="2006">
        <f t="shared" si="81"/>
        <v>12.969634271753087</v>
      </c>
      <c r="AW28" s="2295"/>
      <c r="AX28" s="2005">
        <f t="shared" ref="AX28:BD28" si="135">$J$28</f>
        <v>1.25</v>
      </c>
      <c r="AY28" s="2005">
        <f t="shared" si="135"/>
        <v>1.25</v>
      </c>
      <c r="AZ28" s="2005"/>
      <c r="BA28" s="2005">
        <f t="shared" si="135"/>
        <v>1.25</v>
      </c>
      <c r="BB28" s="2005">
        <f t="shared" si="135"/>
        <v>1.25</v>
      </c>
      <c r="BC28" s="2005">
        <f t="shared" si="135"/>
        <v>1.25</v>
      </c>
      <c r="BD28" s="2005">
        <f t="shared" si="135"/>
        <v>1.25</v>
      </c>
      <c r="BE28" s="2295"/>
      <c r="BF28" s="2004">
        <f t="shared" si="83"/>
        <v>7.5</v>
      </c>
      <c r="BG28" s="2005">
        <f t="shared" si="59"/>
        <v>16.47847780805408</v>
      </c>
      <c r="BH28" s="2006">
        <f t="shared" si="84"/>
        <v>8.9784778080540804</v>
      </c>
      <c r="BI28" s="3135"/>
      <c r="BJ28" s="2001">
        <f t="shared" ref="BJ28:BK28" si="136">$J$28</f>
        <v>1.25</v>
      </c>
      <c r="BK28" s="2001">
        <f t="shared" si="136"/>
        <v>1.25</v>
      </c>
      <c r="BL28" s="3135"/>
      <c r="BM28" s="2004">
        <f t="shared" si="61"/>
        <v>2.5</v>
      </c>
      <c r="BN28" s="2005">
        <f t="shared" si="62"/>
        <v>4.5943689902271601</v>
      </c>
      <c r="BO28" s="2006">
        <f t="shared" si="118"/>
        <v>2.0943689902271601</v>
      </c>
      <c r="BQ28" s="1898">
        <v>0</v>
      </c>
      <c r="BR28" s="1899">
        <f t="shared" si="63"/>
        <v>0</v>
      </c>
      <c r="BS28" s="1900"/>
      <c r="BT28" s="2244">
        <f t="shared" si="64"/>
        <v>28.75</v>
      </c>
      <c r="BU28" s="2387">
        <f t="shared" si="65"/>
        <v>0.95833333333333337</v>
      </c>
      <c r="BV28" s="2010"/>
      <c r="BW28" s="3134"/>
      <c r="BY28" s="3134"/>
      <c r="BZ28" s="2036"/>
      <c r="CA28" s="1997"/>
      <c r="CB28" s="2037"/>
      <c r="CC28" s="1906"/>
      <c r="CD28" s="1906"/>
      <c r="CE28" s="1906"/>
      <c r="CF28" s="1906"/>
      <c r="CG28" s="2386"/>
      <c r="CH28" s="1906"/>
    </row>
    <row r="29" spans="1:86" s="1726" customFormat="1" x14ac:dyDescent="0.2">
      <c r="B29" s="1963">
        <v>24</v>
      </c>
      <c r="C29" s="1987" t="s">
        <v>254</v>
      </c>
      <c r="D29" s="1836"/>
      <c r="E29" s="1746">
        <v>26.35</v>
      </c>
      <c r="F29" s="1746">
        <v>5</v>
      </c>
      <c r="G29" s="1746">
        <v>3.3333333333333335</v>
      </c>
      <c r="H29" s="1746">
        <v>2.5</v>
      </c>
      <c r="I29" s="1746">
        <v>2</v>
      </c>
      <c r="J29" s="1746">
        <f t="shared" si="66"/>
        <v>1.0979166666666667</v>
      </c>
      <c r="K29" s="2583">
        <f t="shared" si="50"/>
        <v>1.0787296617496793E-2</v>
      </c>
      <c r="L29" s="1931"/>
      <c r="M29" s="1924"/>
      <c r="N29" s="1728">
        <f t="shared" ref="N29:T29" si="137">$J$29</f>
        <v>1.0979166666666667</v>
      </c>
      <c r="O29" s="1728">
        <f t="shared" si="137"/>
        <v>1.0979166666666667</v>
      </c>
      <c r="P29" s="1728"/>
      <c r="Q29" s="1728">
        <f t="shared" si="137"/>
        <v>1.0979166666666667</v>
      </c>
      <c r="R29" s="1728">
        <f t="shared" si="137"/>
        <v>1.0979166666666667</v>
      </c>
      <c r="S29" s="1728">
        <f t="shared" si="137"/>
        <v>1.0979166666666667</v>
      </c>
      <c r="T29" s="1728">
        <f t="shared" si="137"/>
        <v>1.0979166666666667</v>
      </c>
      <c r="U29" s="3145"/>
      <c r="V29" s="1982">
        <f t="shared" si="88"/>
        <v>6.5874999999999995</v>
      </c>
      <c r="W29" s="2268">
        <f t="shared" si="52"/>
        <v>12.031816240960783</v>
      </c>
      <c r="X29" s="1984">
        <f>W29-V29</f>
        <v>5.4443162409607835</v>
      </c>
      <c r="Y29" s="1881"/>
      <c r="Z29" s="1728">
        <f t="shared" ref="Z29:AF29" si="138">$J$29</f>
        <v>1.0979166666666667</v>
      </c>
      <c r="AA29" s="1728">
        <f t="shared" si="138"/>
        <v>1.0979166666666667</v>
      </c>
      <c r="AB29" s="1728"/>
      <c r="AC29" s="1728"/>
      <c r="AD29" s="1728">
        <f t="shared" si="138"/>
        <v>1.0979166666666667</v>
      </c>
      <c r="AE29" s="1728">
        <f t="shared" si="138"/>
        <v>1.0979166666666667</v>
      </c>
      <c r="AF29" s="1728">
        <f t="shared" si="138"/>
        <v>1.0979166666666667</v>
      </c>
      <c r="AG29" s="1881"/>
      <c r="AH29" s="1982">
        <f t="shared" si="76"/>
        <v>5.489583333333333</v>
      </c>
      <c r="AI29" s="2268">
        <f t="shared" si="54"/>
        <v>12.683584702589938</v>
      </c>
      <c r="AJ29" s="1984">
        <f t="shared" si="77"/>
        <v>7.1940013692566049</v>
      </c>
      <c r="AK29" s="1881"/>
      <c r="AL29" s="2268">
        <f t="shared" ref="AL29:AM29" si="139">$J$29</f>
        <v>1.0979166666666667</v>
      </c>
      <c r="AM29" s="2268">
        <f t="shared" si="139"/>
        <v>1.0979166666666667</v>
      </c>
      <c r="AN29" s="2268"/>
      <c r="AO29" s="2268"/>
      <c r="AP29" s="2268">
        <f t="shared" ref="AP29:AR29" si="140">$J$29</f>
        <v>1.0979166666666667</v>
      </c>
      <c r="AQ29" s="2268">
        <f t="shared" si="140"/>
        <v>1.0979166666666667</v>
      </c>
      <c r="AR29" s="2268">
        <f t="shared" si="140"/>
        <v>1.0979166666666667</v>
      </c>
      <c r="AS29" s="2293"/>
      <c r="AT29" s="1982">
        <f t="shared" si="80"/>
        <v>5.489583333333333</v>
      </c>
      <c r="AU29" s="2268">
        <f t="shared" si="57"/>
        <v>16.881245435356465</v>
      </c>
      <c r="AV29" s="1984">
        <f t="shared" si="81"/>
        <v>11.391662102023133</v>
      </c>
      <c r="AW29" s="2293"/>
      <c r="AX29" s="2268">
        <f t="shared" ref="AX29:BD29" si="141">$J$29</f>
        <v>1.0979166666666667</v>
      </c>
      <c r="AY29" s="2268">
        <f t="shared" si="141"/>
        <v>1.0979166666666667</v>
      </c>
      <c r="AZ29" s="2268"/>
      <c r="BA29" s="2268">
        <f t="shared" si="141"/>
        <v>1.0979166666666667</v>
      </c>
      <c r="BB29" s="2268">
        <f t="shared" si="141"/>
        <v>1.0979166666666667</v>
      </c>
      <c r="BC29" s="2268">
        <f t="shared" si="141"/>
        <v>1.0979166666666667</v>
      </c>
      <c r="BD29" s="2268">
        <f t="shared" si="141"/>
        <v>1.0979166666666667</v>
      </c>
      <c r="BE29" s="2293"/>
      <c r="BF29" s="1982">
        <f t="shared" si="83"/>
        <v>6.5874999999999995</v>
      </c>
      <c r="BG29" s="2268">
        <f t="shared" si="59"/>
        <v>14.473596341407504</v>
      </c>
      <c r="BH29" s="1984">
        <f t="shared" si="84"/>
        <v>7.8860963414075043</v>
      </c>
      <c r="BI29" s="3145"/>
      <c r="BJ29" s="1728">
        <f t="shared" ref="BJ29:BK29" si="142">$J$29</f>
        <v>1.0979166666666667</v>
      </c>
      <c r="BK29" s="1728">
        <f t="shared" si="142"/>
        <v>1.0979166666666667</v>
      </c>
      <c r="BL29" s="3145"/>
      <c r="BM29" s="1982">
        <f t="shared" si="61"/>
        <v>2.1958333333333333</v>
      </c>
      <c r="BN29" s="2268">
        <f t="shared" si="62"/>
        <v>4.0353874297495231</v>
      </c>
      <c r="BO29" s="1984">
        <f t="shared" si="118"/>
        <v>1.8395540964161898</v>
      </c>
      <c r="BQ29" s="1732">
        <v>0</v>
      </c>
      <c r="BR29" s="1882">
        <f t="shared" si="63"/>
        <v>0</v>
      </c>
      <c r="BS29" s="1740"/>
      <c r="BT29" s="1734">
        <f t="shared" si="64"/>
        <v>25.252083333333331</v>
      </c>
      <c r="BU29" s="1918">
        <f t="shared" si="65"/>
        <v>0.95833333333333326</v>
      </c>
      <c r="BV29" s="1997"/>
      <c r="BW29" s="3143"/>
      <c r="BY29" s="3143"/>
      <c r="BZ29" s="2961"/>
      <c r="CA29" s="1861"/>
      <c r="CB29" s="1861"/>
      <c r="CC29" s="1810"/>
      <c r="CD29" s="1810"/>
      <c r="CE29" s="1810"/>
      <c r="CF29" s="1810"/>
      <c r="CG29" s="1986"/>
      <c r="CH29" s="1810"/>
    </row>
    <row r="30" spans="1:86" s="1885" customFormat="1" x14ac:dyDescent="0.2">
      <c r="B30" s="2580">
        <v>25</v>
      </c>
      <c r="C30" s="2508" t="s">
        <v>205</v>
      </c>
      <c r="D30" s="3068"/>
      <c r="E30" s="2509">
        <v>25.5</v>
      </c>
      <c r="F30" s="2509"/>
      <c r="G30" s="2509"/>
      <c r="H30" s="2509"/>
      <c r="I30" s="2509"/>
      <c r="J30" s="2509">
        <f t="shared" si="66"/>
        <v>1.0625</v>
      </c>
      <c r="K30" s="3069">
        <f t="shared" si="50"/>
        <v>1.043931930725496E-2</v>
      </c>
      <c r="L30" s="2003"/>
      <c r="M30" s="1950"/>
      <c r="N30" s="2001">
        <f t="shared" ref="N30:T30" si="143">$J$30</f>
        <v>1.0625</v>
      </c>
      <c r="O30" s="2001">
        <f t="shared" si="143"/>
        <v>1.0625</v>
      </c>
      <c r="P30" s="2001"/>
      <c r="Q30" s="2001">
        <f t="shared" si="143"/>
        <v>1.0625</v>
      </c>
      <c r="R30" s="2001">
        <f t="shared" si="143"/>
        <v>1.0625</v>
      </c>
      <c r="S30" s="2001">
        <f t="shared" si="143"/>
        <v>1.0625</v>
      </c>
      <c r="T30" s="2001">
        <f t="shared" si="143"/>
        <v>1.0625</v>
      </c>
      <c r="U30" s="3135"/>
      <c r="V30" s="2481">
        <f t="shared" si="88"/>
        <v>6.375</v>
      </c>
      <c r="W30" s="2482">
        <f t="shared" si="52"/>
        <v>11.64369313641366</v>
      </c>
      <c r="X30" s="2483">
        <f t="shared" si="74"/>
        <v>5.2686931364136598</v>
      </c>
      <c r="Y30" s="1896"/>
      <c r="Z30" s="2001">
        <f t="shared" ref="Z30:AF30" si="144">$J$30</f>
        <v>1.0625</v>
      </c>
      <c r="AA30" s="2001">
        <f t="shared" si="144"/>
        <v>1.0625</v>
      </c>
      <c r="AB30" s="2001"/>
      <c r="AC30" s="2001"/>
      <c r="AD30" s="2001">
        <f t="shared" si="144"/>
        <v>1.0625</v>
      </c>
      <c r="AE30" s="2001">
        <f t="shared" si="144"/>
        <v>1.0625</v>
      </c>
      <c r="AF30" s="2001">
        <f t="shared" si="144"/>
        <v>1.0625</v>
      </c>
      <c r="AG30" s="1896"/>
      <c r="AH30" s="2481">
        <f t="shared" si="76"/>
        <v>5.3125</v>
      </c>
      <c r="AI30" s="2482">
        <f t="shared" si="54"/>
        <v>12.274436808958004</v>
      </c>
      <c r="AJ30" s="2483">
        <f t="shared" si="77"/>
        <v>6.9619368089580043</v>
      </c>
      <c r="AK30" s="1896"/>
      <c r="AL30" s="2005">
        <f t="shared" ref="AL30:AM30" si="145">$J$30</f>
        <v>1.0625</v>
      </c>
      <c r="AM30" s="2005">
        <f t="shared" si="145"/>
        <v>1.0625</v>
      </c>
      <c r="AN30" s="2005"/>
      <c r="AO30" s="2005"/>
      <c r="AP30" s="2005">
        <f t="shared" ref="AP30:AR30" si="146">$J$30</f>
        <v>1.0625</v>
      </c>
      <c r="AQ30" s="2005">
        <f t="shared" si="146"/>
        <v>1.0625</v>
      </c>
      <c r="AR30" s="2005">
        <f t="shared" si="146"/>
        <v>1.0625</v>
      </c>
      <c r="AS30" s="2295"/>
      <c r="AT30" s="2481">
        <f t="shared" si="80"/>
        <v>5.3125</v>
      </c>
      <c r="AU30" s="2482">
        <f t="shared" si="57"/>
        <v>16.336689130990127</v>
      </c>
      <c r="AV30" s="2483">
        <f t="shared" si="81"/>
        <v>11.024189130990127</v>
      </c>
      <c r="AW30" s="2295"/>
      <c r="AX30" s="2005">
        <f t="shared" ref="AX30:BD30" si="147">$J$30</f>
        <v>1.0625</v>
      </c>
      <c r="AY30" s="2005">
        <f t="shared" si="147"/>
        <v>1.0625</v>
      </c>
      <c r="AZ30" s="2005"/>
      <c r="BA30" s="2005">
        <f t="shared" si="147"/>
        <v>1.0625</v>
      </c>
      <c r="BB30" s="2005">
        <f t="shared" si="147"/>
        <v>1.0625</v>
      </c>
      <c r="BC30" s="2005">
        <f t="shared" si="147"/>
        <v>1.0625</v>
      </c>
      <c r="BD30" s="2005">
        <f t="shared" si="147"/>
        <v>1.0625</v>
      </c>
      <c r="BE30" s="2295"/>
      <c r="BF30" s="2481">
        <f t="shared" si="83"/>
        <v>6.375</v>
      </c>
      <c r="BG30" s="2482">
        <f t="shared" si="59"/>
        <v>14.006706136845969</v>
      </c>
      <c r="BH30" s="2483">
        <f t="shared" si="84"/>
        <v>7.6317061368459687</v>
      </c>
      <c r="BI30" s="3135"/>
      <c r="BJ30" s="2001">
        <f t="shared" ref="BJ30:BK30" si="148">$J$30</f>
        <v>1.0625</v>
      </c>
      <c r="BK30" s="2001">
        <f t="shared" si="148"/>
        <v>1.0625</v>
      </c>
      <c r="BL30" s="3135"/>
      <c r="BM30" s="2481">
        <f t="shared" si="61"/>
        <v>2.125</v>
      </c>
      <c r="BN30" s="2482">
        <f t="shared" si="62"/>
        <v>3.9052136416930865</v>
      </c>
      <c r="BO30" s="2483">
        <f t="shared" si="118"/>
        <v>1.7802136416930865</v>
      </c>
      <c r="BQ30" s="1898">
        <v>0</v>
      </c>
      <c r="BR30" s="1899">
        <f t="shared" si="63"/>
        <v>0</v>
      </c>
      <c r="BS30" s="1900"/>
      <c r="BT30" s="2388">
        <f t="shared" si="64"/>
        <v>24.4375</v>
      </c>
      <c r="BU30" s="2389">
        <f t="shared" si="65"/>
        <v>0.95833333333333337</v>
      </c>
      <c r="BV30" s="2010"/>
      <c r="BW30" s="3134"/>
      <c r="BY30" s="3134"/>
      <c r="BZ30" s="2488"/>
      <c r="CA30" s="2404" t="s">
        <v>155</v>
      </c>
      <c r="CB30" s="2010" t="s">
        <v>156</v>
      </c>
      <c r="CC30" s="1906"/>
      <c r="CD30" s="1906"/>
      <c r="CE30" s="1906"/>
      <c r="CF30" s="1906"/>
      <c r="CG30" s="2386"/>
      <c r="CH30" s="1906"/>
    </row>
    <row r="31" spans="1:86" s="1726" customFormat="1" x14ac:dyDescent="0.2">
      <c r="B31" s="1963">
        <v>26</v>
      </c>
      <c r="C31" s="1963" t="s">
        <v>206</v>
      </c>
      <c r="D31" s="2578"/>
      <c r="E31" s="1728">
        <v>16.7</v>
      </c>
      <c r="F31" s="1728"/>
      <c r="G31" s="1728"/>
      <c r="H31" s="1728"/>
      <c r="I31" s="1728"/>
      <c r="J31" s="1728">
        <f t="shared" si="66"/>
        <v>0.6958333333333333</v>
      </c>
      <c r="K31" s="1729">
        <f t="shared" si="50"/>
        <v>6.8367306835748166E-3</v>
      </c>
      <c r="L31" s="1931"/>
      <c r="M31" s="1924"/>
      <c r="N31" s="1728">
        <f t="shared" ref="N31:T31" si="149">$J$31</f>
        <v>0.6958333333333333</v>
      </c>
      <c r="O31" s="1728">
        <f t="shared" si="149"/>
        <v>0.6958333333333333</v>
      </c>
      <c r="P31" s="1728"/>
      <c r="Q31" s="1728">
        <f t="shared" si="149"/>
        <v>0.6958333333333333</v>
      </c>
      <c r="R31" s="1728">
        <f t="shared" si="149"/>
        <v>0.6958333333333333</v>
      </c>
      <c r="S31" s="1728">
        <f t="shared" si="149"/>
        <v>0.6958333333333333</v>
      </c>
      <c r="T31" s="1728">
        <f t="shared" si="149"/>
        <v>0.6958333333333333</v>
      </c>
      <c r="U31" s="3145"/>
      <c r="V31" s="2016">
        <f t="shared" si="88"/>
        <v>4.1749999999999998</v>
      </c>
      <c r="W31" s="2017">
        <f t="shared" si="52"/>
        <v>7.6254774658081619</v>
      </c>
      <c r="X31" s="2018">
        <f t="shared" si="74"/>
        <v>3.4504774658081621</v>
      </c>
      <c r="Y31" s="1881"/>
      <c r="Z31" s="1728">
        <f t="shared" ref="Z31:AF31" si="150">$J$31</f>
        <v>0.6958333333333333</v>
      </c>
      <c r="AA31" s="1728">
        <f t="shared" si="150"/>
        <v>0.6958333333333333</v>
      </c>
      <c r="AB31" s="1728"/>
      <c r="AC31" s="1728"/>
      <c r="AD31" s="1728">
        <f t="shared" si="150"/>
        <v>0.6958333333333333</v>
      </c>
      <c r="AE31" s="1728">
        <f t="shared" si="150"/>
        <v>0.6958333333333333</v>
      </c>
      <c r="AF31" s="1728">
        <f t="shared" si="150"/>
        <v>0.6958333333333333</v>
      </c>
      <c r="AG31" s="1881"/>
      <c r="AH31" s="2016">
        <f>SUM(Z31:AF31)</f>
        <v>3.4791666666666665</v>
      </c>
      <c r="AI31" s="2017">
        <f t="shared" si="54"/>
        <v>8.0385527337097518</v>
      </c>
      <c r="AJ31" s="2018">
        <f>AI31-AH31</f>
        <v>4.5593860670430857</v>
      </c>
      <c r="AK31" s="1881"/>
      <c r="AL31" s="2268">
        <f t="shared" ref="AL31:AM31" si="151">$J$31</f>
        <v>0.6958333333333333</v>
      </c>
      <c r="AM31" s="2268">
        <f t="shared" si="151"/>
        <v>0.6958333333333333</v>
      </c>
      <c r="AN31" s="2268"/>
      <c r="AO31" s="2268"/>
      <c r="AP31" s="2268">
        <f t="shared" ref="AP31:AR31" si="152">$J$31</f>
        <v>0.6958333333333333</v>
      </c>
      <c r="AQ31" s="2268">
        <f t="shared" si="152"/>
        <v>0.6958333333333333</v>
      </c>
      <c r="AR31" s="2268">
        <f t="shared" si="152"/>
        <v>0.6958333333333333</v>
      </c>
      <c r="AS31" s="2293"/>
      <c r="AT31" s="2016">
        <f t="shared" si="80"/>
        <v>3.4791666666666665</v>
      </c>
      <c r="AU31" s="2017">
        <f t="shared" si="57"/>
        <v>10.69892974460922</v>
      </c>
      <c r="AV31" s="2018">
        <f t="shared" si="81"/>
        <v>7.2197630779425541</v>
      </c>
      <c r="AW31" s="2293"/>
      <c r="AX31" s="2268">
        <f t="shared" ref="AX31:BD31" si="153">$J$31</f>
        <v>0.6958333333333333</v>
      </c>
      <c r="AY31" s="2268">
        <f t="shared" si="153"/>
        <v>0.6958333333333333</v>
      </c>
      <c r="AZ31" s="2268"/>
      <c r="BA31" s="2268">
        <f t="shared" si="153"/>
        <v>0.6958333333333333</v>
      </c>
      <c r="BB31" s="2268">
        <f t="shared" si="153"/>
        <v>0.6958333333333333</v>
      </c>
      <c r="BC31" s="2268">
        <f t="shared" si="153"/>
        <v>0.6958333333333333</v>
      </c>
      <c r="BD31" s="2268">
        <f t="shared" si="153"/>
        <v>0.6958333333333333</v>
      </c>
      <c r="BE31" s="2293"/>
      <c r="BF31" s="2016">
        <f t="shared" si="83"/>
        <v>4.1749999999999998</v>
      </c>
      <c r="BG31" s="2017">
        <f t="shared" si="59"/>
        <v>9.173019313150105</v>
      </c>
      <c r="BH31" s="2018">
        <f t="shared" si="84"/>
        <v>4.9980193131501052</v>
      </c>
      <c r="BI31" s="3145"/>
      <c r="BJ31" s="1728">
        <f t="shared" ref="BJ31:BK31" si="154">$J$31</f>
        <v>0.6958333333333333</v>
      </c>
      <c r="BK31" s="1728">
        <f t="shared" si="154"/>
        <v>0.6958333333333333</v>
      </c>
      <c r="BL31" s="3145"/>
      <c r="BM31" s="2016">
        <f t="shared" si="61"/>
        <v>1.3916666666666666</v>
      </c>
      <c r="BN31" s="2017">
        <f t="shared" si="62"/>
        <v>2.5575320712264524</v>
      </c>
      <c r="BO31" s="2018">
        <f t="shared" si="118"/>
        <v>1.1658654045597858</v>
      </c>
      <c r="BQ31" s="1732">
        <v>0</v>
      </c>
      <c r="BR31" s="1882">
        <f t="shared" si="63"/>
        <v>0</v>
      </c>
      <c r="BS31" s="1740"/>
      <c r="BT31" s="2019">
        <f t="shared" si="64"/>
        <v>16.004166666666666</v>
      </c>
      <c r="BU31" s="2020">
        <f t="shared" si="65"/>
        <v>0.95833333333333337</v>
      </c>
      <c r="BV31" s="1997"/>
      <c r="BW31" s="3143"/>
      <c r="BY31" s="3143"/>
      <c r="BZ31" s="2036" t="s">
        <v>159</v>
      </c>
      <c r="CA31" s="2059">
        <v>0.5</v>
      </c>
      <c r="CB31" s="1997" t="str">
        <f>IF(CB26&lt;=CA31,CB26," ")</f>
        <v xml:space="preserve"> </v>
      </c>
      <c r="CC31" s="1810"/>
      <c r="CD31" s="1810"/>
      <c r="CE31" s="1810"/>
      <c r="CF31" s="1810"/>
      <c r="CG31" s="1986"/>
      <c r="CH31" s="1810"/>
    </row>
    <row r="32" spans="1:86" x14ac:dyDescent="0.2">
      <c r="B32" s="1987">
        <v>27</v>
      </c>
      <c r="C32" s="2000" t="s">
        <v>258</v>
      </c>
      <c r="D32" s="2579"/>
      <c r="E32" s="2001">
        <v>15</v>
      </c>
      <c r="F32" s="2001">
        <v>5</v>
      </c>
      <c r="G32" s="2001">
        <v>3.3333333333333335</v>
      </c>
      <c r="H32" s="2001">
        <v>2.5</v>
      </c>
      <c r="I32" s="2001">
        <v>2</v>
      </c>
      <c r="J32" s="2001">
        <f t="shared" si="66"/>
        <v>0.625</v>
      </c>
      <c r="K32" s="2584">
        <f t="shared" si="50"/>
        <v>6.1407760630911527E-3</v>
      </c>
      <c r="L32" s="1866"/>
      <c r="M32" s="1867"/>
      <c r="N32" s="1746">
        <f t="shared" ref="N32:T32" si="155">$J$32</f>
        <v>0.625</v>
      </c>
      <c r="O32" s="1746">
        <f t="shared" si="155"/>
        <v>0.625</v>
      </c>
      <c r="P32" s="1746"/>
      <c r="Q32" s="1746">
        <f t="shared" si="155"/>
        <v>0.625</v>
      </c>
      <c r="R32" s="1746">
        <f t="shared" si="155"/>
        <v>0.625</v>
      </c>
      <c r="S32" s="1746">
        <f t="shared" si="155"/>
        <v>0.625</v>
      </c>
      <c r="T32" s="1746">
        <f t="shared" si="155"/>
        <v>0.625</v>
      </c>
      <c r="U32" s="3144"/>
      <c r="V32" s="2953">
        <f t="shared" si="88"/>
        <v>3.75</v>
      </c>
      <c r="W32" s="2954">
        <f t="shared" si="52"/>
        <v>6.8492312567139173</v>
      </c>
      <c r="X32" s="2955">
        <f t="shared" si="74"/>
        <v>3.0992312567139173</v>
      </c>
      <c r="Y32" s="1914"/>
      <c r="Z32" s="1746">
        <f t="shared" ref="Z32:AF32" si="156">$J$32</f>
        <v>0.625</v>
      </c>
      <c r="AA32" s="1746">
        <f t="shared" si="156"/>
        <v>0.625</v>
      </c>
      <c r="AB32" s="1746"/>
      <c r="AC32" s="1746"/>
      <c r="AD32" s="1746">
        <f t="shared" si="156"/>
        <v>0.625</v>
      </c>
      <c r="AE32" s="1746">
        <f t="shared" si="156"/>
        <v>0.625</v>
      </c>
      <c r="AF32" s="1746">
        <f t="shared" si="156"/>
        <v>0.625</v>
      </c>
      <c r="AG32" s="1914"/>
      <c r="AH32" s="2953">
        <f t="shared" ref="AH32:AH38" si="157">SUM(Z32:AF32)</f>
        <v>3.125</v>
      </c>
      <c r="AI32" s="2954">
        <f t="shared" si="54"/>
        <v>7.2202569464458843</v>
      </c>
      <c r="AJ32" s="2955">
        <f t="shared" ref="AJ32:AJ38" si="158">AI32-AH32</f>
        <v>4.0952569464458843</v>
      </c>
      <c r="AK32" s="1914"/>
      <c r="AL32" s="1990">
        <f t="shared" ref="AL32:AM32" si="159">$J$32</f>
        <v>0.625</v>
      </c>
      <c r="AM32" s="1990">
        <f t="shared" si="159"/>
        <v>0.625</v>
      </c>
      <c r="AN32" s="1990"/>
      <c r="AO32" s="1990"/>
      <c r="AP32" s="1990">
        <f t="shared" ref="AP32:AR32" si="160">$J$32</f>
        <v>0.625</v>
      </c>
      <c r="AQ32" s="1990">
        <f t="shared" si="160"/>
        <v>0.625</v>
      </c>
      <c r="AR32" s="1990">
        <f t="shared" si="160"/>
        <v>0.625</v>
      </c>
      <c r="AS32" s="2297"/>
      <c r="AT32" s="2953">
        <f t="shared" si="80"/>
        <v>3.125</v>
      </c>
      <c r="AU32" s="2954">
        <f t="shared" si="57"/>
        <v>9.6098171358765434</v>
      </c>
      <c r="AV32" s="2955">
        <f t="shared" si="81"/>
        <v>6.4848171358765434</v>
      </c>
      <c r="AW32" s="2297"/>
      <c r="AX32" s="1990">
        <f t="shared" ref="AX32:BD32" si="161">$J$32</f>
        <v>0.625</v>
      </c>
      <c r="AY32" s="1990">
        <f t="shared" si="161"/>
        <v>0.625</v>
      </c>
      <c r="AZ32" s="1990"/>
      <c r="BA32" s="1990">
        <f t="shared" si="161"/>
        <v>0.625</v>
      </c>
      <c r="BB32" s="1990">
        <f t="shared" si="161"/>
        <v>0.625</v>
      </c>
      <c r="BC32" s="1990">
        <f t="shared" si="161"/>
        <v>0.625</v>
      </c>
      <c r="BD32" s="1990">
        <f t="shared" si="161"/>
        <v>0.625</v>
      </c>
      <c r="BE32" s="2297"/>
      <c r="BF32" s="2953">
        <f t="shared" si="83"/>
        <v>3.75</v>
      </c>
      <c r="BG32" s="2954">
        <f t="shared" si="59"/>
        <v>8.2392389040270402</v>
      </c>
      <c r="BH32" s="2955">
        <f t="shared" si="84"/>
        <v>4.4892389040270402</v>
      </c>
      <c r="BI32" s="3144"/>
      <c r="BJ32" s="1746">
        <f t="shared" ref="BJ32:BK32" si="162">$J$32</f>
        <v>0.625</v>
      </c>
      <c r="BK32" s="1746">
        <f t="shared" si="162"/>
        <v>0.625</v>
      </c>
      <c r="BL32" s="3144"/>
      <c r="BM32" s="2953">
        <f t="shared" si="61"/>
        <v>1.25</v>
      </c>
      <c r="BN32" s="2954">
        <f t="shared" si="62"/>
        <v>2.29718449511358</v>
      </c>
      <c r="BO32" s="2955">
        <f t="shared" si="118"/>
        <v>1.04718449511358</v>
      </c>
      <c r="BQ32" s="1747">
        <v>0</v>
      </c>
      <c r="BR32" s="1752">
        <f t="shared" si="63"/>
        <v>0</v>
      </c>
      <c r="BS32" s="1754"/>
      <c r="BT32" s="2956">
        <f t="shared" si="64"/>
        <v>14.375</v>
      </c>
      <c r="BU32" s="2957">
        <f t="shared" si="65"/>
        <v>0.95833333333333337</v>
      </c>
      <c r="BV32" s="1993"/>
      <c r="BW32" s="1916"/>
      <c r="BY32" s="1916"/>
      <c r="BZ32" s="2958" t="s">
        <v>160</v>
      </c>
      <c r="CA32" s="2463">
        <v>0.75</v>
      </c>
      <c r="CB32" s="1802" t="str">
        <f>IF(AND(CB26&gt;CA31,CB26&lt;=CA32),CB26," ")</f>
        <v xml:space="preserve"> </v>
      </c>
      <c r="CC32" s="1800"/>
      <c r="CD32" s="1800"/>
      <c r="CE32" s="1800"/>
      <c r="CF32" s="1800"/>
      <c r="CG32" s="2959"/>
      <c r="CH32" s="1800"/>
    </row>
    <row r="33" spans="2:86" s="1726" customFormat="1" x14ac:dyDescent="0.2">
      <c r="B33" s="2508">
        <v>28</v>
      </c>
      <c r="C33" s="1963" t="s">
        <v>259</v>
      </c>
      <c r="D33" s="2578"/>
      <c r="E33" s="1728">
        <v>15</v>
      </c>
      <c r="F33" s="1728">
        <v>5</v>
      </c>
      <c r="G33" s="1728">
        <v>3.3333333333333335</v>
      </c>
      <c r="H33" s="1728">
        <v>2.5</v>
      </c>
      <c r="I33" s="1728">
        <v>2</v>
      </c>
      <c r="J33" s="1728">
        <f t="shared" si="66"/>
        <v>0.625</v>
      </c>
      <c r="K33" s="1729">
        <f t="shared" si="50"/>
        <v>6.1407760630911527E-3</v>
      </c>
      <c r="L33" s="1931"/>
      <c r="M33" s="1924"/>
      <c r="N33" s="1728">
        <f t="shared" ref="N33:T33" si="163">$J$33</f>
        <v>0.625</v>
      </c>
      <c r="O33" s="1728">
        <f t="shared" si="163"/>
        <v>0.625</v>
      </c>
      <c r="P33" s="1728"/>
      <c r="Q33" s="1728">
        <f t="shared" si="163"/>
        <v>0.625</v>
      </c>
      <c r="R33" s="1728">
        <f t="shared" si="163"/>
        <v>0.625</v>
      </c>
      <c r="S33" s="1728">
        <f t="shared" si="163"/>
        <v>0.625</v>
      </c>
      <c r="T33" s="1728">
        <f t="shared" si="163"/>
        <v>0.625</v>
      </c>
      <c r="U33" s="3145"/>
      <c r="V33" s="2016">
        <f t="shared" si="88"/>
        <v>3.75</v>
      </c>
      <c r="W33" s="2017">
        <f t="shared" si="52"/>
        <v>6.8492312567139173</v>
      </c>
      <c r="X33" s="2018">
        <f t="shared" si="74"/>
        <v>3.0992312567139173</v>
      </c>
      <c r="Y33" s="1881"/>
      <c r="Z33" s="1728">
        <f t="shared" ref="Z33:AF33" si="164">$J$33</f>
        <v>0.625</v>
      </c>
      <c r="AA33" s="1728">
        <f t="shared" si="164"/>
        <v>0.625</v>
      </c>
      <c r="AB33" s="1728"/>
      <c r="AC33" s="1728"/>
      <c r="AD33" s="1728">
        <f t="shared" si="164"/>
        <v>0.625</v>
      </c>
      <c r="AE33" s="1728">
        <f t="shared" si="164"/>
        <v>0.625</v>
      </c>
      <c r="AF33" s="1728">
        <f t="shared" si="164"/>
        <v>0.625</v>
      </c>
      <c r="AG33" s="1881"/>
      <c r="AH33" s="2016">
        <f t="shared" si="157"/>
        <v>3.125</v>
      </c>
      <c r="AI33" s="2017">
        <f t="shared" si="54"/>
        <v>7.2202569464458843</v>
      </c>
      <c r="AJ33" s="2018">
        <f t="shared" si="158"/>
        <v>4.0952569464458843</v>
      </c>
      <c r="AK33" s="1881"/>
      <c r="AL33" s="2268">
        <f t="shared" ref="AL33:AM33" si="165">$J$33</f>
        <v>0.625</v>
      </c>
      <c r="AM33" s="2268">
        <f t="shared" si="165"/>
        <v>0.625</v>
      </c>
      <c r="AN33" s="2268"/>
      <c r="AO33" s="2268"/>
      <c r="AP33" s="2268">
        <f t="shared" ref="AP33:AR33" si="166">$J$33</f>
        <v>0.625</v>
      </c>
      <c r="AQ33" s="2268">
        <f t="shared" si="166"/>
        <v>0.625</v>
      </c>
      <c r="AR33" s="2268">
        <f t="shared" si="166"/>
        <v>0.625</v>
      </c>
      <c r="AS33" s="2293"/>
      <c r="AT33" s="2016">
        <f t="shared" si="80"/>
        <v>3.125</v>
      </c>
      <c r="AU33" s="2017">
        <f t="shared" si="57"/>
        <v>9.6098171358765434</v>
      </c>
      <c r="AV33" s="2018">
        <f t="shared" si="81"/>
        <v>6.4848171358765434</v>
      </c>
      <c r="AW33" s="2293"/>
      <c r="AX33" s="2268">
        <f t="shared" ref="AX33:BD33" si="167">$J$33</f>
        <v>0.625</v>
      </c>
      <c r="AY33" s="2268">
        <f t="shared" si="167"/>
        <v>0.625</v>
      </c>
      <c r="AZ33" s="2268"/>
      <c r="BA33" s="2268">
        <f t="shared" si="167"/>
        <v>0.625</v>
      </c>
      <c r="BB33" s="2268">
        <f t="shared" si="167"/>
        <v>0.625</v>
      </c>
      <c r="BC33" s="2268">
        <f t="shared" si="167"/>
        <v>0.625</v>
      </c>
      <c r="BD33" s="2268">
        <f t="shared" si="167"/>
        <v>0.625</v>
      </c>
      <c r="BE33" s="2293"/>
      <c r="BF33" s="2016">
        <f t="shared" si="83"/>
        <v>3.75</v>
      </c>
      <c r="BG33" s="2017">
        <f t="shared" si="59"/>
        <v>8.2392389040270402</v>
      </c>
      <c r="BH33" s="2018">
        <f t="shared" si="84"/>
        <v>4.4892389040270402</v>
      </c>
      <c r="BI33" s="3145"/>
      <c r="BJ33" s="1728">
        <f t="shared" ref="BJ33:BK33" si="168">$J$33</f>
        <v>0.625</v>
      </c>
      <c r="BK33" s="1728">
        <f t="shared" si="168"/>
        <v>0.625</v>
      </c>
      <c r="BL33" s="3145"/>
      <c r="BM33" s="2016">
        <f t="shared" si="61"/>
        <v>1.25</v>
      </c>
      <c r="BN33" s="2017">
        <f t="shared" si="62"/>
        <v>2.29718449511358</v>
      </c>
      <c r="BO33" s="2018">
        <f t="shared" si="118"/>
        <v>1.04718449511358</v>
      </c>
      <c r="BQ33" s="1732">
        <v>0</v>
      </c>
      <c r="BR33" s="1882">
        <f t="shared" si="63"/>
        <v>0</v>
      </c>
      <c r="BS33" s="1740"/>
      <c r="BT33" s="2019">
        <f t="shared" si="64"/>
        <v>14.375</v>
      </c>
      <c r="BU33" s="2020">
        <f t="shared" si="65"/>
        <v>0.95833333333333337</v>
      </c>
      <c r="BV33" s="1997"/>
      <c r="BW33" s="3143"/>
      <c r="BY33" s="3143"/>
      <c r="BZ33" s="2036" t="s">
        <v>161</v>
      </c>
      <c r="CA33" s="2059">
        <v>1</v>
      </c>
      <c r="CB33" s="2037">
        <f>IF(CB26&gt;CA32,CB26," ")</f>
        <v>0.8</v>
      </c>
      <c r="CC33" s="1810"/>
      <c r="CD33" s="1810"/>
      <c r="CE33" s="1810"/>
      <c r="CF33" s="1810"/>
      <c r="CG33" s="1986"/>
      <c r="CH33" s="1810"/>
    </row>
    <row r="34" spans="2:86" x14ac:dyDescent="0.2">
      <c r="B34" s="1987">
        <v>29</v>
      </c>
      <c r="C34" s="2000" t="s">
        <v>244</v>
      </c>
      <c r="D34" s="2579"/>
      <c r="E34" s="2001">
        <v>5</v>
      </c>
      <c r="F34" s="2001">
        <v>5</v>
      </c>
      <c r="G34" s="2001">
        <v>3.3333333333333335</v>
      </c>
      <c r="H34" s="2001">
        <v>2.5</v>
      </c>
      <c r="I34" s="2001">
        <v>2</v>
      </c>
      <c r="J34" s="2001">
        <f t="shared" si="66"/>
        <v>0.20833333333333334</v>
      </c>
      <c r="K34" s="2584">
        <f t="shared" si="50"/>
        <v>2.0469253543637178E-3</v>
      </c>
      <c r="L34" s="1866"/>
      <c r="M34" s="1867"/>
      <c r="N34" s="1746">
        <f t="shared" ref="N34:T34" si="169">$J$34</f>
        <v>0.20833333333333334</v>
      </c>
      <c r="O34" s="1746">
        <f t="shared" si="169"/>
        <v>0.20833333333333334</v>
      </c>
      <c r="P34" s="1746"/>
      <c r="Q34" s="1746">
        <f t="shared" si="169"/>
        <v>0.20833333333333334</v>
      </c>
      <c r="R34" s="1746">
        <f t="shared" si="169"/>
        <v>0.20833333333333334</v>
      </c>
      <c r="S34" s="1746">
        <f t="shared" si="169"/>
        <v>0.20833333333333334</v>
      </c>
      <c r="T34" s="1746">
        <f t="shared" si="169"/>
        <v>0.20833333333333334</v>
      </c>
      <c r="U34" s="3144"/>
      <c r="V34" s="2953">
        <f t="shared" si="88"/>
        <v>1.25</v>
      </c>
      <c r="W34" s="2954">
        <f t="shared" si="52"/>
        <v>2.2830770855713061</v>
      </c>
      <c r="X34" s="2955">
        <f t="shared" si="74"/>
        <v>1.0330770855713061</v>
      </c>
      <c r="Y34" s="1914"/>
      <c r="Z34" s="1746">
        <f t="shared" ref="Z34:AF34" si="170">$J$34</f>
        <v>0.20833333333333334</v>
      </c>
      <c r="AA34" s="1746">
        <f t="shared" si="170"/>
        <v>0.20833333333333334</v>
      </c>
      <c r="AB34" s="1746"/>
      <c r="AC34" s="1746"/>
      <c r="AD34" s="1746">
        <f t="shared" si="170"/>
        <v>0.20833333333333334</v>
      </c>
      <c r="AE34" s="1746">
        <f t="shared" si="170"/>
        <v>0.20833333333333334</v>
      </c>
      <c r="AF34" s="1746">
        <f t="shared" si="170"/>
        <v>0.20833333333333334</v>
      </c>
      <c r="AG34" s="1914"/>
      <c r="AH34" s="2953">
        <f t="shared" si="157"/>
        <v>1.0416666666666667</v>
      </c>
      <c r="AI34" s="2954">
        <f t="shared" si="54"/>
        <v>2.4067523154819619</v>
      </c>
      <c r="AJ34" s="2955">
        <f t="shared" si="158"/>
        <v>1.3650856488152951</v>
      </c>
      <c r="AK34" s="1914"/>
      <c r="AL34" s="1990">
        <f t="shared" ref="AL34:AM34" si="171">$J$34</f>
        <v>0.20833333333333334</v>
      </c>
      <c r="AM34" s="1990">
        <f t="shared" si="171"/>
        <v>0.20833333333333334</v>
      </c>
      <c r="AN34" s="1990"/>
      <c r="AO34" s="1990"/>
      <c r="AP34" s="1990">
        <f t="shared" ref="AP34:AR34" si="172">$J$34</f>
        <v>0.20833333333333334</v>
      </c>
      <c r="AQ34" s="1990">
        <f t="shared" si="172"/>
        <v>0.20833333333333334</v>
      </c>
      <c r="AR34" s="1990">
        <f t="shared" si="172"/>
        <v>0.20833333333333334</v>
      </c>
      <c r="AS34" s="2297"/>
      <c r="AT34" s="2953">
        <f t="shared" si="80"/>
        <v>1.0416666666666667</v>
      </c>
      <c r="AU34" s="2954">
        <f t="shared" si="57"/>
        <v>3.2032723786255155</v>
      </c>
      <c r="AV34" s="2955">
        <f t="shared" si="81"/>
        <v>2.161605711958849</v>
      </c>
      <c r="AW34" s="2297"/>
      <c r="AX34" s="1990">
        <f t="shared" ref="AX34:BD34" si="173">$J$34</f>
        <v>0.20833333333333334</v>
      </c>
      <c r="AY34" s="1990">
        <f t="shared" si="173"/>
        <v>0.20833333333333334</v>
      </c>
      <c r="AZ34" s="1990"/>
      <c r="BA34" s="1990">
        <f t="shared" si="173"/>
        <v>0.20833333333333334</v>
      </c>
      <c r="BB34" s="1990">
        <f t="shared" si="173"/>
        <v>0.20833333333333334</v>
      </c>
      <c r="BC34" s="1990">
        <f t="shared" si="173"/>
        <v>0.20833333333333334</v>
      </c>
      <c r="BD34" s="1990">
        <f t="shared" si="173"/>
        <v>0.20833333333333334</v>
      </c>
      <c r="BE34" s="2297"/>
      <c r="BF34" s="2953">
        <f t="shared" si="83"/>
        <v>1.25</v>
      </c>
      <c r="BG34" s="2954">
        <f t="shared" si="59"/>
        <v>2.7464129680090137</v>
      </c>
      <c r="BH34" s="2955">
        <f t="shared" si="84"/>
        <v>1.4964129680090137</v>
      </c>
      <c r="BI34" s="3144"/>
      <c r="BJ34" s="1746">
        <f t="shared" ref="BJ34:BK34" si="174">$J$34</f>
        <v>0.20833333333333334</v>
      </c>
      <c r="BK34" s="1746">
        <f t="shared" si="174"/>
        <v>0.20833333333333334</v>
      </c>
      <c r="BL34" s="3144"/>
      <c r="BM34" s="2953">
        <f t="shared" si="61"/>
        <v>0.41666666666666669</v>
      </c>
      <c r="BN34" s="2954">
        <f t="shared" si="62"/>
        <v>0.76572816503786012</v>
      </c>
      <c r="BO34" s="2955">
        <f t="shared" si="118"/>
        <v>0.34906149837119343</v>
      </c>
      <c r="BQ34" s="1747">
        <v>0</v>
      </c>
      <c r="BR34" s="1752">
        <f t="shared" si="63"/>
        <v>0</v>
      </c>
      <c r="BS34" s="1754"/>
      <c r="BT34" s="2956">
        <f t="shared" si="64"/>
        <v>4.791666666666667</v>
      </c>
      <c r="BU34" s="2957">
        <f t="shared" si="65"/>
        <v>0.95833333333333337</v>
      </c>
      <c r="BV34" s="1993"/>
      <c r="BW34" s="1916"/>
      <c r="BY34" s="1916"/>
      <c r="BZ34" s="2029"/>
      <c r="CA34" s="2047" t="s">
        <v>158</v>
      </c>
      <c r="CB34" s="2952">
        <f>MAX(100%,CB26)-CB26</f>
        <v>0.19999999999999996</v>
      </c>
      <c r="CC34" s="1800"/>
      <c r="CD34" s="1800"/>
      <c r="CE34" s="1800"/>
      <c r="CF34" s="1800"/>
      <c r="CG34" s="2959"/>
      <c r="CH34" s="1800"/>
    </row>
    <row r="35" spans="2:86" s="1726" customFormat="1" ht="17.25" thickBot="1" x14ac:dyDescent="0.25">
      <c r="B35" s="1963">
        <v>30</v>
      </c>
      <c r="C35" s="1963" t="s">
        <v>230</v>
      </c>
      <c r="D35" s="2578"/>
      <c r="E35" s="1728">
        <v>0</v>
      </c>
      <c r="F35" s="1728"/>
      <c r="G35" s="1728"/>
      <c r="H35" s="1728"/>
      <c r="I35" s="1728"/>
      <c r="J35" s="1728">
        <f t="shared" si="66"/>
        <v>0</v>
      </c>
      <c r="K35" s="1729">
        <f t="shared" si="50"/>
        <v>0</v>
      </c>
      <c r="L35" s="1931"/>
      <c r="M35" s="1924"/>
      <c r="N35" s="1728">
        <f t="shared" ref="N35:T35" si="175">$J$35</f>
        <v>0</v>
      </c>
      <c r="O35" s="1728">
        <f t="shared" si="175"/>
        <v>0</v>
      </c>
      <c r="P35" s="1728"/>
      <c r="Q35" s="1728">
        <f t="shared" si="175"/>
        <v>0</v>
      </c>
      <c r="R35" s="1728">
        <f t="shared" si="175"/>
        <v>0</v>
      </c>
      <c r="S35" s="1728">
        <f t="shared" si="175"/>
        <v>0</v>
      </c>
      <c r="T35" s="1728">
        <f t="shared" si="175"/>
        <v>0</v>
      </c>
      <c r="U35" s="3145"/>
      <c r="V35" s="2016">
        <f t="shared" si="88"/>
        <v>0</v>
      </c>
      <c r="W35" s="2017">
        <f t="shared" si="52"/>
        <v>0</v>
      </c>
      <c r="X35" s="2018">
        <f t="shared" si="74"/>
        <v>0</v>
      </c>
      <c r="Y35" s="1881"/>
      <c r="Z35" s="1728">
        <f t="shared" ref="Z35:AF35" si="176">$J$35</f>
        <v>0</v>
      </c>
      <c r="AA35" s="1728">
        <f t="shared" si="176"/>
        <v>0</v>
      </c>
      <c r="AB35" s="1728"/>
      <c r="AC35" s="1728"/>
      <c r="AD35" s="1728">
        <f t="shared" si="176"/>
        <v>0</v>
      </c>
      <c r="AE35" s="1728">
        <f t="shared" si="176"/>
        <v>0</v>
      </c>
      <c r="AF35" s="1728">
        <f t="shared" si="176"/>
        <v>0</v>
      </c>
      <c r="AG35" s="1881"/>
      <c r="AH35" s="2016">
        <f t="shared" si="157"/>
        <v>0</v>
      </c>
      <c r="AI35" s="2017">
        <f t="shared" si="54"/>
        <v>0</v>
      </c>
      <c r="AJ35" s="2018">
        <f t="shared" si="158"/>
        <v>0</v>
      </c>
      <c r="AK35" s="1881"/>
      <c r="AL35" s="2268">
        <f t="shared" ref="AL35:AM35" si="177">$J$35</f>
        <v>0</v>
      </c>
      <c r="AM35" s="2268">
        <f t="shared" si="177"/>
        <v>0</v>
      </c>
      <c r="AN35" s="2268"/>
      <c r="AO35" s="2268"/>
      <c r="AP35" s="2268">
        <f t="shared" ref="AP35:AR35" si="178">$J$35</f>
        <v>0</v>
      </c>
      <c r="AQ35" s="2268">
        <f t="shared" si="178"/>
        <v>0</v>
      </c>
      <c r="AR35" s="2268">
        <f t="shared" si="178"/>
        <v>0</v>
      </c>
      <c r="AS35" s="2293"/>
      <c r="AT35" s="2016">
        <f t="shared" si="80"/>
        <v>0</v>
      </c>
      <c r="AU35" s="2017">
        <f t="shared" si="57"/>
        <v>0</v>
      </c>
      <c r="AV35" s="2018">
        <f t="shared" si="81"/>
        <v>0</v>
      </c>
      <c r="AW35" s="2293"/>
      <c r="AX35" s="2268">
        <f t="shared" ref="AX35:BD35" si="179">$J$35</f>
        <v>0</v>
      </c>
      <c r="AY35" s="2268">
        <f t="shared" si="179"/>
        <v>0</v>
      </c>
      <c r="AZ35" s="2268"/>
      <c r="BA35" s="2268">
        <f t="shared" si="179"/>
        <v>0</v>
      </c>
      <c r="BB35" s="2268">
        <f t="shared" si="179"/>
        <v>0</v>
      </c>
      <c r="BC35" s="2268">
        <f t="shared" si="179"/>
        <v>0</v>
      </c>
      <c r="BD35" s="2268">
        <f t="shared" si="179"/>
        <v>0</v>
      </c>
      <c r="BE35" s="2293"/>
      <c r="BF35" s="2016">
        <f t="shared" si="83"/>
        <v>0</v>
      </c>
      <c r="BG35" s="2017">
        <f t="shared" si="59"/>
        <v>0</v>
      </c>
      <c r="BH35" s="2018">
        <f t="shared" si="84"/>
        <v>0</v>
      </c>
      <c r="BI35" s="3145"/>
      <c r="BJ35" s="1728">
        <f t="shared" ref="BJ35:BK35" si="180">$J$35</f>
        <v>0</v>
      </c>
      <c r="BK35" s="1728">
        <f t="shared" si="180"/>
        <v>0</v>
      </c>
      <c r="BL35" s="3145"/>
      <c r="BM35" s="2016">
        <f t="shared" si="61"/>
        <v>0</v>
      </c>
      <c r="BN35" s="2017">
        <f t="shared" si="62"/>
        <v>0</v>
      </c>
      <c r="BO35" s="2018">
        <f t="shared" si="118"/>
        <v>0</v>
      </c>
      <c r="BQ35" s="1732">
        <v>0</v>
      </c>
      <c r="BR35" s="1882" t="e">
        <f t="shared" si="63"/>
        <v>#DIV/0!</v>
      </c>
      <c r="BS35" s="1740"/>
      <c r="BT35" s="2019">
        <f t="shared" si="64"/>
        <v>0</v>
      </c>
      <c r="BU35" s="2020" t="e">
        <f t="shared" si="65"/>
        <v>#DIV/0!</v>
      </c>
      <c r="BV35" s="1997"/>
      <c r="BW35" s="3143"/>
      <c r="BY35" s="3143"/>
      <c r="BZ35" s="2984"/>
      <c r="CA35" s="2985"/>
      <c r="CB35" s="2649"/>
      <c r="CC35" s="2986"/>
      <c r="CD35" s="2986"/>
      <c r="CE35" s="2986"/>
      <c r="CF35" s="2986"/>
      <c r="CG35" s="2987"/>
      <c r="CH35" s="1810"/>
    </row>
    <row r="36" spans="2:86" s="1885" customFormat="1" x14ac:dyDescent="0.2">
      <c r="B36" s="2580">
        <v>31</v>
      </c>
      <c r="C36" s="2000" t="s">
        <v>199</v>
      </c>
      <c r="D36" s="2579"/>
      <c r="E36" s="2001">
        <v>0</v>
      </c>
      <c r="F36" s="2001">
        <v>0</v>
      </c>
      <c r="G36" s="2001">
        <v>0</v>
      </c>
      <c r="H36" s="2001">
        <v>0</v>
      </c>
      <c r="I36" s="2001">
        <v>0</v>
      </c>
      <c r="J36" s="2001">
        <f t="shared" si="66"/>
        <v>0</v>
      </c>
      <c r="K36" s="2584">
        <f t="shared" si="50"/>
        <v>0</v>
      </c>
      <c r="L36" s="2003"/>
      <c r="M36" s="1950"/>
      <c r="N36" s="2001">
        <f t="shared" ref="N36:T36" si="181">$J$36</f>
        <v>0</v>
      </c>
      <c r="O36" s="2001">
        <f t="shared" si="181"/>
        <v>0</v>
      </c>
      <c r="P36" s="2001"/>
      <c r="Q36" s="2001">
        <f t="shared" si="181"/>
        <v>0</v>
      </c>
      <c r="R36" s="2001">
        <f t="shared" si="181"/>
        <v>0</v>
      </c>
      <c r="S36" s="2001">
        <f t="shared" si="181"/>
        <v>0</v>
      </c>
      <c r="T36" s="2001">
        <f t="shared" si="181"/>
        <v>0</v>
      </c>
      <c r="U36" s="3135"/>
      <c r="V36" s="2481">
        <f t="shared" si="88"/>
        <v>0</v>
      </c>
      <c r="W36" s="2482">
        <f t="shared" si="52"/>
        <v>0</v>
      </c>
      <c r="X36" s="2483">
        <f t="shared" si="74"/>
        <v>0</v>
      </c>
      <c r="Y36" s="1896"/>
      <c r="Z36" s="2001">
        <f t="shared" ref="Z36:AF36" si="182">$J$36</f>
        <v>0</v>
      </c>
      <c r="AA36" s="2001">
        <f t="shared" si="182"/>
        <v>0</v>
      </c>
      <c r="AB36" s="2001"/>
      <c r="AC36" s="2001"/>
      <c r="AD36" s="2001">
        <f t="shared" si="182"/>
        <v>0</v>
      </c>
      <c r="AE36" s="2001">
        <f t="shared" si="182"/>
        <v>0</v>
      </c>
      <c r="AF36" s="2001">
        <f t="shared" si="182"/>
        <v>0</v>
      </c>
      <c r="AG36" s="1896"/>
      <c r="AH36" s="2481">
        <f t="shared" si="157"/>
        <v>0</v>
      </c>
      <c r="AI36" s="2482">
        <f t="shared" si="54"/>
        <v>0</v>
      </c>
      <c r="AJ36" s="2483">
        <f t="shared" si="158"/>
        <v>0</v>
      </c>
      <c r="AK36" s="1896"/>
      <c r="AL36" s="2005">
        <f t="shared" ref="AL36:AM36" si="183">$J$36</f>
        <v>0</v>
      </c>
      <c r="AM36" s="2005">
        <f t="shared" si="183"/>
        <v>0</v>
      </c>
      <c r="AN36" s="2005"/>
      <c r="AO36" s="2005"/>
      <c r="AP36" s="2005">
        <f t="shared" ref="AP36:AR36" si="184">$J$36</f>
        <v>0</v>
      </c>
      <c r="AQ36" s="2005">
        <f t="shared" si="184"/>
        <v>0</v>
      </c>
      <c r="AR36" s="2005">
        <f t="shared" si="184"/>
        <v>0</v>
      </c>
      <c r="AS36" s="2295"/>
      <c r="AT36" s="2016">
        <f t="shared" si="80"/>
        <v>0</v>
      </c>
      <c r="AU36" s="2482">
        <f t="shared" si="57"/>
        <v>0</v>
      </c>
      <c r="AV36" s="2483">
        <f t="shared" si="81"/>
        <v>0</v>
      </c>
      <c r="AW36" s="2295"/>
      <c r="AX36" s="2005">
        <f t="shared" ref="AX36:BD36" si="185">$J$36</f>
        <v>0</v>
      </c>
      <c r="AY36" s="2005">
        <f t="shared" si="185"/>
        <v>0</v>
      </c>
      <c r="AZ36" s="2005"/>
      <c r="BA36" s="2005">
        <f t="shared" si="185"/>
        <v>0</v>
      </c>
      <c r="BB36" s="2005">
        <f t="shared" si="185"/>
        <v>0</v>
      </c>
      <c r="BC36" s="2005">
        <f t="shared" si="185"/>
        <v>0</v>
      </c>
      <c r="BD36" s="2005">
        <f t="shared" si="185"/>
        <v>0</v>
      </c>
      <c r="BE36" s="2295"/>
      <c r="BF36" s="2481">
        <f t="shared" si="83"/>
        <v>0</v>
      </c>
      <c r="BG36" s="2482">
        <f t="shared" si="59"/>
        <v>0</v>
      </c>
      <c r="BH36" s="2483">
        <f t="shared" si="84"/>
        <v>0</v>
      </c>
      <c r="BI36" s="3135"/>
      <c r="BJ36" s="2001">
        <f t="shared" ref="BJ36:BK36" si="186">$J$36</f>
        <v>0</v>
      </c>
      <c r="BK36" s="2001">
        <f t="shared" si="186"/>
        <v>0</v>
      </c>
      <c r="BL36" s="3135"/>
      <c r="BM36" s="2481">
        <f t="shared" si="61"/>
        <v>0</v>
      </c>
      <c r="BN36" s="2482">
        <f t="shared" si="62"/>
        <v>0</v>
      </c>
      <c r="BO36" s="2483">
        <f t="shared" si="118"/>
        <v>0</v>
      </c>
      <c r="BQ36" s="1898">
        <v>0</v>
      </c>
      <c r="BR36" s="1899" t="e">
        <f t="shared" si="63"/>
        <v>#DIV/0!</v>
      </c>
      <c r="BS36" s="1900"/>
      <c r="BT36" s="2388">
        <f t="shared" si="64"/>
        <v>0</v>
      </c>
      <c r="BU36" s="2389" t="e">
        <f t="shared" si="65"/>
        <v>#DIV/0!</v>
      </c>
      <c r="BV36" s="2010"/>
      <c r="BW36" s="3134"/>
      <c r="BY36" s="3134"/>
      <c r="BZ36" s="2988"/>
      <c r="CA36" s="2989"/>
      <c r="CB36" s="2990"/>
      <c r="CC36" s="2991"/>
      <c r="CD36" s="2991"/>
      <c r="CE36" s="2991"/>
      <c r="CF36" s="2991"/>
      <c r="CG36" s="2991"/>
      <c r="CH36" s="1906"/>
    </row>
    <row r="37" spans="2:86" s="1726" customFormat="1" x14ac:dyDescent="0.2">
      <c r="B37" s="1963">
        <v>32</v>
      </c>
      <c r="C37" s="1963" t="s">
        <v>247</v>
      </c>
      <c r="D37" s="2578"/>
      <c r="E37" s="1728">
        <v>0</v>
      </c>
      <c r="F37" s="1728">
        <v>0</v>
      </c>
      <c r="G37" s="1728">
        <v>0</v>
      </c>
      <c r="H37" s="1728">
        <v>0</v>
      </c>
      <c r="I37" s="1728">
        <v>0</v>
      </c>
      <c r="J37" s="1728">
        <f t="shared" si="66"/>
        <v>0</v>
      </c>
      <c r="K37" s="1729">
        <f t="shared" si="50"/>
        <v>0</v>
      </c>
      <c r="L37" s="1931"/>
      <c r="M37" s="1924"/>
      <c r="N37" s="1728">
        <f t="shared" ref="N37:T37" si="187">$J$37</f>
        <v>0</v>
      </c>
      <c r="O37" s="1728">
        <f t="shared" si="187"/>
        <v>0</v>
      </c>
      <c r="P37" s="1728"/>
      <c r="Q37" s="1728">
        <f t="shared" si="187"/>
        <v>0</v>
      </c>
      <c r="R37" s="1728">
        <f t="shared" si="187"/>
        <v>0</v>
      </c>
      <c r="S37" s="1728">
        <f t="shared" si="187"/>
        <v>0</v>
      </c>
      <c r="T37" s="1728">
        <f t="shared" si="187"/>
        <v>0</v>
      </c>
      <c r="U37" s="3145"/>
      <c r="V37" s="2016">
        <f t="shared" si="88"/>
        <v>0</v>
      </c>
      <c r="W37" s="2017">
        <f t="shared" si="52"/>
        <v>0</v>
      </c>
      <c r="X37" s="2018">
        <f t="shared" si="74"/>
        <v>0</v>
      </c>
      <c r="Y37" s="1881"/>
      <c r="Z37" s="1728">
        <f t="shared" ref="Z37:AF37" si="188">$J$37</f>
        <v>0</v>
      </c>
      <c r="AA37" s="1728">
        <f t="shared" si="188"/>
        <v>0</v>
      </c>
      <c r="AB37" s="1728"/>
      <c r="AC37" s="1728"/>
      <c r="AD37" s="1728">
        <f t="shared" si="188"/>
        <v>0</v>
      </c>
      <c r="AE37" s="1728">
        <f t="shared" si="188"/>
        <v>0</v>
      </c>
      <c r="AF37" s="1728">
        <f t="shared" si="188"/>
        <v>0</v>
      </c>
      <c r="AG37" s="1881"/>
      <c r="AH37" s="2016">
        <f t="shared" si="157"/>
        <v>0</v>
      </c>
      <c r="AI37" s="2017">
        <f t="shared" si="54"/>
        <v>0</v>
      </c>
      <c r="AJ37" s="2018">
        <f t="shared" si="158"/>
        <v>0</v>
      </c>
      <c r="AK37" s="1881"/>
      <c r="AL37" s="2268">
        <f t="shared" ref="AL37:AM37" si="189">$J$37</f>
        <v>0</v>
      </c>
      <c r="AM37" s="2268">
        <f t="shared" si="189"/>
        <v>0</v>
      </c>
      <c r="AN37" s="2268"/>
      <c r="AO37" s="2268"/>
      <c r="AP37" s="2268">
        <f t="shared" ref="AP37:AR37" si="190">$J$37</f>
        <v>0</v>
      </c>
      <c r="AQ37" s="2268">
        <f t="shared" si="190"/>
        <v>0</v>
      </c>
      <c r="AR37" s="2268">
        <f t="shared" si="190"/>
        <v>0</v>
      </c>
      <c r="AS37" s="2293"/>
      <c r="AT37" s="2016">
        <f t="shared" si="80"/>
        <v>0</v>
      </c>
      <c r="AU37" s="2017">
        <f t="shared" si="57"/>
        <v>0</v>
      </c>
      <c r="AV37" s="2018">
        <f t="shared" si="81"/>
        <v>0</v>
      </c>
      <c r="AW37" s="2293"/>
      <c r="AX37" s="2268">
        <f t="shared" ref="AX37:BD37" si="191">$J$37</f>
        <v>0</v>
      </c>
      <c r="AY37" s="2268">
        <f t="shared" si="191"/>
        <v>0</v>
      </c>
      <c r="AZ37" s="2268"/>
      <c r="BA37" s="2268">
        <f t="shared" si="191"/>
        <v>0</v>
      </c>
      <c r="BB37" s="2268">
        <f t="shared" si="191"/>
        <v>0</v>
      </c>
      <c r="BC37" s="2268">
        <f t="shared" si="191"/>
        <v>0</v>
      </c>
      <c r="BD37" s="2268">
        <f t="shared" si="191"/>
        <v>0</v>
      </c>
      <c r="BE37" s="2293"/>
      <c r="BF37" s="2016">
        <f t="shared" si="83"/>
        <v>0</v>
      </c>
      <c r="BG37" s="2017">
        <f t="shared" si="59"/>
        <v>0</v>
      </c>
      <c r="BH37" s="2018">
        <f t="shared" si="84"/>
        <v>0</v>
      </c>
      <c r="BI37" s="3145"/>
      <c r="BJ37" s="1728">
        <f t="shared" ref="BJ37:BK37" si="192">$J$37</f>
        <v>0</v>
      </c>
      <c r="BK37" s="1728">
        <f t="shared" si="192"/>
        <v>0</v>
      </c>
      <c r="BL37" s="3145"/>
      <c r="BM37" s="2016">
        <f t="shared" si="61"/>
        <v>0</v>
      </c>
      <c r="BN37" s="2017">
        <f t="shared" si="62"/>
        <v>0</v>
      </c>
      <c r="BO37" s="2018">
        <f t="shared" si="118"/>
        <v>0</v>
      </c>
      <c r="BQ37" s="1732">
        <v>0</v>
      </c>
      <c r="BR37" s="1882" t="e">
        <f t="shared" si="63"/>
        <v>#DIV/0!</v>
      </c>
      <c r="BS37" s="1740"/>
      <c r="BT37" s="2019">
        <f t="shared" si="64"/>
        <v>0</v>
      </c>
      <c r="BU37" s="2020" t="e">
        <f t="shared" si="65"/>
        <v>#DIV/0!</v>
      </c>
      <c r="BV37" s="1997"/>
      <c r="BW37" s="3143"/>
      <c r="BY37" s="3143"/>
      <c r="BZ37" s="2992"/>
      <c r="CA37" s="1830"/>
      <c r="CB37" s="1817"/>
      <c r="CC37" s="1810"/>
      <c r="CD37" s="1810"/>
      <c r="CE37" s="1810"/>
      <c r="CF37" s="1810"/>
      <c r="CG37" s="1810"/>
      <c r="CH37" s="1810"/>
    </row>
    <row r="38" spans="2:86" s="1885" customFormat="1" x14ac:dyDescent="0.2">
      <c r="B38" s="2000">
        <v>33</v>
      </c>
      <c r="C38" s="1987" t="s">
        <v>260</v>
      </c>
      <c r="D38" s="1836"/>
      <c r="E38" s="1746">
        <v>0</v>
      </c>
      <c r="F38" s="1746">
        <v>5</v>
      </c>
      <c r="G38" s="1746">
        <v>3.3333333333333335</v>
      </c>
      <c r="H38" s="1746">
        <v>2.5</v>
      </c>
      <c r="I38" s="1746">
        <v>2</v>
      </c>
      <c r="J38" s="1746">
        <f t="shared" si="66"/>
        <v>0</v>
      </c>
      <c r="K38" s="2583">
        <f t="shared" si="50"/>
        <v>0</v>
      </c>
      <c r="L38" s="2003"/>
      <c r="M38" s="1950"/>
      <c r="N38" s="2001">
        <f t="shared" ref="N38:T38" si="193">$J$38</f>
        <v>0</v>
      </c>
      <c r="O38" s="2001">
        <f t="shared" si="193"/>
        <v>0</v>
      </c>
      <c r="P38" s="2001"/>
      <c r="Q38" s="2001">
        <f t="shared" si="193"/>
        <v>0</v>
      </c>
      <c r="R38" s="2001">
        <f t="shared" si="193"/>
        <v>0</v>
      </c>
      <c r="S38" s="2001">
        <f t="shared" si="193"/>
        <v>0</v>
      </c>
      <c r="T38" s="2001">
        <f t="shared" si="193"/>
        <v>0</v>
      </c>
      <c r="U38" s="3135"/>
      <c r="V38" s="2481">
        <f t="shared" si="88"/>
        <v>0</v>
      </c>
      <c r="W38" s="2482">
        <f t="shared" si="52"/>
        <v>0</v>
      </c>
      <c r="X38" s="2483">
        <f t="shared" si="74"/>
        <v>0</v>
      </c>
      <c r="Y38" s="1896"/>
      <c r="Z38" s="2001">
        <f t="shared" ref="Z38:AF38" si="194">$J$38</f>
        <v>0</v>
      </c>
      <c r="AA38" s="2001">
        <f t="shared" si="194"/>
        <v>0</v>
      </c>
      <c r="AB38" s="2001"/>
      <c r="AC38" s="2001"/>
      <c r="AD38" s="2001">
        <f t="shared" si="194"/>
        <v>0</v>
      </c>
      <c r="AE38" s="2001">
        <f t="shared" si="194"/>
        <v>0</v>
      </c>
      <c r="AF38" s="2001">
        <f t="shared" si="194"/>
        <v>0</v>
      </c>
      <c r="AG38" s="1896"/>
      <c r="AH38" s="2481">
        <f t="shared" si="157"/>
        <v>0</v>
      </c>
      <c r="AI38" s="2482">
        <f t="shared" si="54"/>
        <v>0</v>
      </c>
      <c r="AJ38" s="2483">
        <f t="shared" si="158"/>
        <v>0</v>
      </c>
      <c r="AK38" s="1896"/>
      <c r="AL38" s="2005">
        <f t="shared" ref="AL38:AM38" si="195">$J$38</f>
        <v>0</v>
      </c>
      <c r="AM38" s="2005">
        <f t="shared" si="195"/>
        <v>0</v>
      </c>
      <c r="AN38" s="2005"/>
      <c r="AO38" s="2005"/>
      <c r="AP38" s="2005">
        <f t="shared" ref="AP38:AR38" si="196">$J$38</f>
        <v>0</v>
      </c>
      <c r="AQ38" s="2005">
        <f t="shared" si="196"/>
        <v>0</v>
      </c>
      <c r="AR38" s="2005">
        <f t="shared" si="196"/>
        <v>0</v>
      </c>
      <c r="AS38" s="2295"/>
      <c r="AT38" s="2016">
        <f t="shared" si="80"/>
        <v>0</v>
      </c>
      <c r="AU38" s="2482">
        <f t="shared" si="57"/>
        <v>0</v>
      </c>
      <c r="AV38" s="2483">
        <f t="shared" si="81"/>
        <v>0</v>
      </c>
      <c r="AW38" s="2295"/>
      <c r="AX38" s="2005">
        <f t="shared" ref="AX38:BD38" si="197">$J$38</f>
        <v>0</v>
      </c>
      <c r="AY38" s="2005">
        <f t="shared" si="197"/>
        <v>0</v>
      </c>
      <c r="AZ38" s="2005"/>
      <c r="BA38" s="2005">
        <f t="shared" si="197"/>
        <v>0</v>
      </c>
      <c r="BB38" s="2005">
        <f t="shared" si="197"/>
        <v>0</v>
      </c>
      <c r="BC38" s="2005">
        <f t="shared" si="197"/>
        <v>0</v>
      </c>
      <c r="BD38" s="2005">
        <f t="shared" si="197"/>
        <v>0</v>
      </c>
      <c r="BE38" s="2295"/>
      <c r="BF38" s="2481">
        <f t="shared" si="83"/>
        <v>0</v>
      </c>
      <c r="BG38" s="2482">
        <f t="shared" si="59"/>
        <v>0</v>
      </c>
      <c r="BH38" s="2483">
        <f t="shared" si="84"/>
        <v>0</v>
      </c>
      <c r="BI38" s="3135"/>
      <c r="BJ38" s="2001">
        <f t="shared" ref="BJ38:BK38" si="198">$J$38</f>
        <v>0</v>
      </c>
      <c r="BK38" s="2001">
        <f t="shared" si="198"/>
        <v>0</v>
      </c>
      <c r="BL38" s="3135"/>
      <c r="BM38" s="2481">
        <f t="shared" si="61"/>
        <v>0</v>
      </c>
      <c r="BN38" s="2482">
        <f t="shared" si="62"/>
        <v>0</v>
      </c>
      <c r="BO38" s="2483">
        <f t="shared" si="118"/>
        <v>0</v>
      </c>
      <c r="BQ38" s="1898">
        <v>0</v>
      </c>
      <c r="BR38" s="1899" t="e">
        <f t="shared" si="63"/>
        <v>#DIV/0!</v>
      </c>
      <c r="BS38" s="1900"/>
      <c r="BT38" s="2388">
        <f t="shared" si="64"/>
        <v>0</v>
      </c>
      <c r="BU38" s="2389" t="e">
        <f t="shared" si="65"/>
        <v>#DIV/0!</v>
      </c>
      <c r="BV38" s="2010"/>
      <c r="BW38" s="3134"/>
      <c r="BY38" s="3134"/>
      <c r="BZ38" s="2993"/>
      <c r="CA38" s="1962"/>
      <c r="CB38" s="1960"/>
      <c r="CC38" s="1906"/>
      <c r="CD38" s="1906"/>
      <c r="CE38" s="1906"/>
      <c r="CF38" s="1906"/>
      <c r="CG38" s="1906"/>
      <c r="CH38" s="1906"/>
    </row>
    <row r="39" spans="2:86" s="1726" customFormat="1" x14ac:dyDescent="0.2">
      <c r="B39" s="2508">
        <v>34</v>
      </c>
      <c r="C39" s="1963" t="s">
        <v>214</v>
      </c>
      <c r="D39" s="2578"/>
      <c r="E39" s="1728">
        <v>63</v>
      </c>
      <c r="F39" s="1728">
        <v>75.3</v>
      </c>
      <c r="G39" s="1728">
        <v>50.2</v>
      </c>
      <c r="H39" s="1728">
        <v>37.65</v>
      </c>
      <c r="I39" s="1728">
        <v>30.12</v>
      </c>
      <c r="J39" s="1728">
        <f t="shared" si="66"/>
        <v>2.625</v>
      </c>
      <c r="K39" s="1729">
        <f t="shared" si="50"/>
        <v>2.5791259464982841E-2</v>
      </c>
      <c r="L39" s="1931"/>
      <c r="M39" s="1924"/>
      <c r="N39" s="1728">
        <f t="shared" ref="N39:T39" si="199">$J$39</f>
        <v>2.625</v>
      </c>
      <c r="O39" s="1728">
        <f t="shared" si="199"/>
        <v>2.625</v>
      </c>
      <c r="P39" s="1728"/>
      <c r="Q39" s="1728">
        <f t="shared" si="199"/>
        <v>2.625</v>
      </c>
      <c r="R39" s="1728">
        <f t="shared" si="199"/>
        <v>2.625</v>
      </c>
      <c r="S39" s="1728">
        <f t="shared" si="199"/>
        <v>2.625</v>
      </c>
      <c r="T39" s="1728">
        <f t="shared" si="199"/>
        <v>2.625</v>
      </c>
      <c r="U39" s="3145"/>
      <c r="V39" s="2016">
        <f t="shared" si="88"/>
        <v>15.75</v>
      </c>
      <c r="W39" s="2017">
        <f t="shared" si="52"/>
        <v>28.766771278198451</v>
      </c>
      <c r="X39" s="2018">
        <f t="shared" si="74"/>
        <v>13.016771278198451</v>
      </c>
      <c r="Y39" s="1881"/>
      <c r="Z39" s="1728">
        <f t="shared" ref="Z39:AF39" si="200">$J$39</f>
        <v>2.625</v>
      </c>
      <c r="AA39" s="1728">
        <f t="shared" si="200"/>
        <v>2.625</v>
      </c>
      <c r="AB39" s="1728"/>
      <c r="AC39" s="1728"/>
      <c r="AD39" s="1728">
        <f t="shared" si="200"/>
        <v>2.625</v>
      </c>
      <c r="AE39" s="1728">
        <f t="shared" si="200"/>
        <v>2.625</v>
      </c>
      <c r="AF39" s="1728">
        <f t="shared" si="200"/>
        <v>2.625</v>
      </c>
      <c r="AG39" s="1881"/>
      <c r="AH39" s="2016">
        <f t="shared" si="76"/>
        <v>13.125</v>
      </c>
      <c r="AI39" s="2017">
        <f t="shared" si="54"/>
        <v>30.325079175072712</v>
      </c>
      <c r="AJ39" s="2018">
        <f t="shared" si="77"/>
        <v>17.200079175072712</v>
      </c>
      <c r="AK39" s="1881"/>
      <c r="AL39" s="2268">
        <f t="shared" ref="AL39:AM39" si="201">$J$39</f>
        <v>2.625</v>
      </c>
      <c r="AM39" s="2268">
        <f t="shared" si="201"/>
        <v>2.625</v>
      </c>
      <c r="AN39" s="2268"/>
      <c r="AO39" s="2268"/>
      <c r="AP39" s="2268">
        <f t="shared" ref="AP39:AR39" si="202">$J$39</f>
        <v>2.625</v>
      </c>
      <c r="AQ39" s="2268">
        <f t="shared" si="202"/>
        <v>2.625</v>
      </c>
      <c r="AR39" s="2268">
        <f t="shared" si="202"/>
        <v>2.625</v>
      </c>
      <c r="AS39" s="2293"/>
      <c r="AT39" s="2016">
        <f t="shared" si="80"/>
        <v>13.125</v>
      </c>
      <c r="AU39" s="2017">
        <f t="shared" si="57"/>
        <v>40.36123197068148</v>
      </c>
      <c r="AV39" s="2018">
        <f t="shared" si="81"/>
        <v>27.23623197068148</v>
      </c>
      <c r="AW39" s="2293"/>
      <c r="AX39" s="2268">
        <f t="shared" ref="AX39:BD39" si="203">$J$39</f>
        <v>2.625</v>
      </c>
      <c r="AY39" s="2268">
        <f t="shared" si="203"/>
        <v>2.625</v>
      </c>
      <c r="AZ39" s="2268"/>
      <c r="BA39" s="2268">
        <f t="shared" si="203"/>
        <v>2.625</v>
      </c>
      <c r="BB39" s="2268">
        <f t="shared" si="203"/>
        <v>2.625</v>
      </c>
      <c r="BC39" s="2268">
        <f t="shared" si="203"/>
        <v>2.625</v>
      </c>
      <c r="BD39" s="2268">
        <f t="shared" si="203"/>
        <v>2.625</v>
      </c>
      <c r="BE39" s="2293"/>
      <c r="BF39" s="2016">
        <f t="shared" si="83"/>
        <v>15.75</v>
      </c>
      <c r="BG39" s="2017">
        <f t="shared" si="59"/>
        <v>34.604803396913567</v>
      </c>
      <c r="BH39" s="2018">
        <f t="shared" si="84"/>
        <v>18.854803396913567</v>
      </c>
      <c r="BI39" s="3145"/>
      <c r="BJ39" s="1728">
        <f t="shared" ref="BJ39:BK39" si="204">$J$39</f>
        <v>2.625</v>
      </c>
      <c r="BK39" s="1728">
        <f t="shared" si="204"/>
        <v>2.625</v>
      </c>
      <c r="BL39" s="3145"/>
      <c r="BM39" s="2016">
        <f t="shared" si="61"/>
        <v>5.25</v>
      </c>
      <c r="BN39" s="2017">
        <f t="shared" si="62"/>
        <v>9.6481748794770361</v>
      </c>
      <c r="BO39" s="2018">
        <f t="shared" si="118"/>
        <v>4.3981748794770361</v>
      </c>
      <c r="BQ39" s="1732">
        <v>0</v>
      </c>
      <c r="BR39" s="1882">
        <f t="shared" si="63"/>
        <v>0</v>
      </c>
      <c r="BS39" s="1740"/>
      <c r="BT39" s="2019">
        <f t="shared" si="64"/>
        <v>60.375</v>
      </c>
      <c r="BU39" s="2020">
        <f t="shared" si="65"/>
        <v>0.95833333333333337</v>
      </c>
      <c r="BV39" s="1997"/>
      <c r="BW39" s="3143"/>
      <c r="BY39" s="3143"/>
      <c r="BZ39" s="2992"/>
      <c r="CA39" s="1830"/>
      <c r="CB39" s="1817"/>
      <c r="CC39" s="1810"/>
      <c r="CD39" s="1810"/>
      <c r="CE39" s="1810"/>
      <c r="CF39" s="1810"/>
      <c r="CG39" s="1810"/>
      <c r="CH39" s="1810"/>
    </row>
    <row r="40" spans="2:86" x14ac:dyDescent="0.2">
      <c r="B40" s="1987">
        <v>35</v>
      </c>
      <c r="C40" s="1987" t="s">
        <v>208</v>
      </c>
      <c r="D40" s="1836"/>
      <c r="E40" s="1746">
        <v>0</v>
      </c>
      <c r="F40" s="1746"/>
      <c r="G40" s="1746"/>
      <c r="H40" s="1746"/>
      <c r="I40" s="1746"/>
      <c r="J40" s="1746">
        <f t="shared" si="66"/>
        <v>0</v>
      </c>
      <c r="K40" s="2583">
        <f t="shared" si="50"/>
        <v>0</v>
      </c>
      <c r="L40" s="1866"/>
      <c r="M40" s="1867"/>
      <c r="N40" s="1746">
        <f t="shared" ref="N40:T40" si="205">$J$40</f>
        <v>0</v>
      </c>
      <c r="O40" s="1746">
        <f t="shared" si="205"/>
        <v>0</v>
      </c>
      <c r="P40" s="1746"/>
      <c r="Q40" s="1746">
        <f t="shared" si="205"/>
        <v>0</v>
      </c>
      <c r="R40" s="1746">
        <f t="shared" si="205"/>
        <v>0</v>
      </c>
      <c r="S40" s="1746">
        <f t="shared" si="205"/>
        <v>0</v>
      </c>
      <c r="T40" s="1746">
        <f t="shared" si="205"/>
        <v>0</v>
      </c>
      <c r="U40" s="3144"/>
      <c r="V40" s="2953">
        <f t="shared" si="88"/>
        <v>0</v>
      </c>
      <c r="W40" s="2954">
        <f t="shared" si="52"/>
        <v>0</v>
      </c>
      <c r="X40" s="2955">
        <f t="shared" si="74"/>
        <v>0</v>
      </c>
      <c r="Y40" s="1914"/>
      <c r="Z40" s="1746">
        <f t="shared" ref="Z40:AF40" si="206">$J$40</f>
        <v>0</v>
      </c>
      <c r="AA40" s="1746">
        <f t="shared" si="206"/>
        <v>0</v>
      </c>
      <c r="AB40" s="1746"/>
      <c r="AC40" s="1746"/>
      <c r="AD40" s="1746">
        <f t="shared" si="206"/>
        <v>0</v>
      </c>
      <c r="AE40" s="1746">
        <f t="shared" si="206"/>
        <v>0</v>
      </c>
      <c r="AF40" s="1746">
        <f t="shared" si="206"/>
        <v>0</v>
      </c>
      <c r="AG40" s="1914"/>
      <c r="AH40" s="2953">
        <f t="shared" si="76"/>
        <v>0</v>
      </c>
      <c r="AI40" s="2954">
        <f t="shared" si="54"/>
        <v>0</v>
      </c>
      <c r="AJ40" s="2955">
        <f t="shared" si="77"/>
        <v>0</v>
      </c>
      <c r="AK40" s="1914"/>
      <c r="AL40" s="1990">
        <f t="shared" ref="AL40:AM40" si="207">$J$40</f>
        <v>0</v>
      </c>
      <c r="AM40" s="1990">
        <f t="shared" si="207"/>
        <v>0</v>
      </c>
      <c r="AN40" s="1990"/>
      <c r="AO40" s="1990"/>
      <c r="AP40" s="1990">
        <f t="shared" ref="AP40:AR40" si="208">$J$40</f>
        <v>0</v>
      </c>
      <c r="AQ40" s="1990">
        <f t="shared" si="208"/>
        <v>0</v>
      </c>
      <c r="AR40" s="1990">
        <f t="shared" si="208"/>
        <v>0</v>
      </c>
      <c r="AS40" s="2297"/>
      <c r="AT40" s="2016">
        <f t="shared" si="80"/>
        <v>0</v>
      </c>
      <c r="AU40" s="2954">
        <f t="shared" si="57"/>
        <v>0</v>
      </c>
      <c r="AV40" s="2955">
        <f t="shared" si="81"/>
        <v>0</v>
      </c>
      <c r="AW40" s="2297"/>
      <c r="AX40" s="1990">
        <f t="shared" ref="AX40:BD40" si="209">$J$40</f>
        <v>0</v>
      </c>
      <c r="AY40" s="1990">
        <f t="shared" si="209"/>
        <v>0</v>
      </c>
      <c r="AZ40" s="1990"/>
      <c r="BA40" s="1990">
        <f t="shared" si="209"/>
        <v>0</v>
      </c>
      <c r="BB40" s="1990">
        <f t="shared" si="209"/>
        <v>0</v>
      </c>
      <c r="BC40" s="1990">
        <f t="shared" si="209"/>
        <v>0</v>
      </c>
      <c r="BD40" s="1990">
        <f t="shared" si="209"/>
        <v>0</v>
      </c>
      <c r="BE40" s="2297"/>
      <c r="BF40" s="2953">
        <f t="shared" si="83"/>
        <v>0</v>
      </c>
      <c r="BG40" s="2954">
        <f t="shared" si="59"/>
        <v>0</v>
      </c>
      <c r="BH40" s="2955">
        <f t="shared" si="84"/>
        <v>0</v>
      </c>
      <c r="BI40" s="3144"/>
      <c r="BJ40" s="1746">
        <f t="shared" ref="BJ40:BK40" si="210">$J$40</f>
        <v>0</v>
      </c>
      <c r="BK40" s="1746">
        <f t="shared" si="210"/>
        <v>0</v>
      </c>
      <c r="BL40" s="3144"/>
      <c r="BM40" s="2953">
        <f t="shared" si="61"/>
        <v>0</v>
      </c>
      <c r="BN40" s="2954">
        <f t="shared" si="62"/>
        <v>0</v>
      </c>
      <c r="BO40" s="2955">
        <f t="shared" si="118"/>
        <v>0</v>
      </c>
      <c r="BQ40" s="1747">
        <v>0</v>
      </c>
      <c r="BR40" s="1752" t="e">
        <f t="shared" si="63"/>
        <v>#DIV/0!</v>
      </c>
      <c r="BS40" s="1754"/>
      <c r="BT40" s="2956">
        <f t="shared" si="64"/>
        <v>0</v>
      </c>
      <c r="BU40" s="2957" t="e">
        <f t="shared" si="65"/>
        <v>#DIV/0!</v>
      </c>
      <c r="BV40" s="1993"/>
      <c r="BW40" s="1916"/>
      <c r="BY40" s="1916"/>
      <c r="BZ40" s="2994"/>
      <c r="CA40" s="1802"/>
      <c r="CB40" s="1806"/>
      <c r="CC40" s="1800"/>
      <c r="CD40" s="1800"/>
      <c r="CE40" s="1800"/>
      <c r="CF40" s="1800"/>
      <c r="CG40" s="1800"/>
      <c r="CH40" s="1800"/>
    </row>
    <row r="41" spans="2:86" s="1726" customFormat="1" ht="17.25" thickBot="1" x14ac:dyDescent="0.25">
      <c r="B41" s="1963">
        <v>36</v>
      </c>
      <c r="C41" s="1963" t="s">
        <v>261</v>
      </c>
      <c r="D41" s="2578"/>
      <c r="E41" s="1728">
        <v>0</v>
      </c>
      <c r="F41" s="1728">
        <v>5</v>
      </c>
      <c r="G41" s="1728">
        <v>3.3333333333333335</v>
      </c>
      <c r="H41" s="1728">
        <v>2.5</v>
      </c>
      <c r="I41" s="1728">
        <v>2</v>
      </c>
      <c r="J41" s="1728">
        <f t="shared" si="66"/>
        <v>0</v>
      </c>
      <c r="K41" s="1729">
        <f t="shared" si="50"/>
        <v>0</v>
      </c>
      <c r="L41" s="1931"/>
      <c r="M41" s="1924"/>
      <c r="N41" s="1728">
        <f t="shared" ref="N41:T41" si="211">$J$41</f>
        <v>0</v>
      </c>
      <c r="O41" s="1728">
        <f t="shared" si="211"/>
        <v>0</v>
      </c>
      <c r="P41" s="1728"/>
      <c r="Q41" s="1728">
        <f t="shared" si="211"/>
        <v>0</v>
      </c>
      <c r="R41" s="1728">
        <f t="shared" si="211"/>
        <v>0</v>
      </c>
      <c r="S41" s="1728">
        <f t="shared" si="211"/>
        <v>0</v>
      </c>
      <c r="T41" s="1728">
        <f t="shared" si="211"/>
        <v>0</v>
      </c>
      <c r="U41" s="3145"/>
      <c r="V41" s="2799">
        <f>SUM(N41:T41)</f>
        <v>0</v>
      </c>
      <c r="W41" s="2800">
        <f t="shared" si="52"/>
        <v>0</v>
      </c>
      <c r="X41" s="2801">
        <f>W41-V41</f>
        <v>0</v>
      </c>
      <c r="Y41" s="1881"/>
      <c r="Z41" s="1728">
        <f t="shared" ref="Z41:AF41" si="212">$J$41</f>
        <v>0</v>
      </c>
      <c r="AA41" s="1728">
        <f t="shared" si="212"/>
        <v>0</v>
      </c>
      <c r="AB41" s="1728"/>
      <c r="AC41" s="1728"/>
      <c r="AD41" s="1728">
        <f t="shared" si="212"/>
        <v>0</v>
      </c>
      <c r="AE41" s="1728">
        <f t="shared" si="212"/>
        <v>0</v>
      </c>
      <c r="AF41" s="1728">
        <f t="shared" si="212"/>
        <v>0</v>
      </c>
      <c r="AG41" s="1881"/>
      <c r="AH41" s="2799">
        <f t="shared" si="76"/>
        <v>0</v>
      </c>
      <c r="AI41" s="2800">
        <f t="shared" si="54"/>
        <v>0</v>
      </c>
      <c r="AJ41" s="2801">
        <f t="shared" si="77"/>
        <v>0</v>
      </c>
      <c r="AK41" s="1881"/>
      <c r="AL41" s="2268">
        <f t="shared" ref="AL41:AM41" si="213">$J$41</f>
        <v>0</v>
      </c>
      <c r="AM41" s="2268">
        <f t="shared" si="213"/>
        <v>0</v>
      </c>
      <c r="AN41" s="2268"/>
      <c r="AO41" s="2268"/>
      <c r="AP41" s="2268">
        <f t="shared" ref="AP41:AR41" si="214">$J$41</f>
        <v>0</v>
      </c>
      <c r="AQ41" s="2268">
        <f t="shared" si="214"/>
        <v>0</v>
      </c>
      <c r="AR41" s="2268">
        <f t="shared" si="214"/>
        <v>0</v>
      </c>
      <c r="AS41" s="2293"/>
      <c r="AT41" s="2016">
        <f t="shared" si="80"/>
        <v>0</v>
      </c>
      <c r="AU41" s="2800">
        <f t="shared" si="57"/>
        <v>0</v>
      </c>
      <c r="AV41" s="2801">
        <f t="shared" si="81"/>
        <v>0</v>
      </c>
      <c r="AW41" s="2293"/>
      <c r="AX41" s="2268">
        <f t="shared" ref="AX41:BD41" si="215">$J$41</f>
        <v>0</v>
      </c>
      <c r="AY41" s="2268">
        <f t="shared" si="215"/>
        <v>0</v>
      </c>
      <c r="AZ41" s="2268"/>
      <c r="BA41" s="2268">
        <f t="shared" si="215"/>
        <v>0</v>
      </c>
      <c r="BB41" s="2268">
        <f t="shared" si="215"/>
        <v>0</v>
      </c>
      <c r="BC41" s="2268">
        <f t="shared" si="215"/>
        <v>0</v>
      </c>
      <c r="BD41" s="2268">
        <f t="shared" si="215"/>
        <v>0</v>
      </c>
      <c r="BE41" s="2293"/>
      <c r="BF41" s="2799">
        <f t="shared" si="83"/>
        <v>0</v>
      </c>
      <c r="BG41" s="2800">
        <f t="shared" si="59"/>
        <v>0</v>
      </c>
      <c r="BH41" s="2801">
        <f t="shared" si="84"/>
        <v>0</v>
      </c>
      <c r="BI41" s="3145"/>
      <c r="BJ41" s="1728">
        <f t="shared" ref="BJ41:BK41" si="216">$J$41</f>
        <v>0</v>
      </c>
      <c r="BK41" s="1728">
        <f t="shared" si="216"/>
        <v>0</v>
      </c>
      <c r="BL41" s="3145"/>
      <c r="BM41" s="2799">
        <f t="shared" si="61"/>
        <v>0</v>
      </c>
      <c r="BN41" s="2800">
        <f t="shared" si="62"/>
        <v>0</v>
      </c>
      <c r="BO41" s="2801">
        <f t="shared" si="118"/>
        <v>0</v>
      </c>
      <c r="BQ41" s="1732">
        <v>0</v>
      </c>
      <c r="BR41" s="1882" t="e">
        <f t="shared" si="63"/>
        <v>#DIV/0!</v>
      </c>
      <c r="BS41" s="1740"/>
      <c r="BT41" s="3152">
        <f t="shared" si="64"/>
        <v>0</v>
      </c>
      <c r="BU41" s="2802" t="e">
        <f t="shared" si="65"/>
        <v>#DIV/0!</v>
      </c>
      <c r="BV41" s="1997"/>
      <c r="BW41" s="3143"/>
      <c r="BY41" s="3143"/>
      <c r="BZ41" s="2992"/>
      <c r="CA41" s="1997"/>
      <c r="CB41" s="1861"/>
      <c r="CC41" s="1860"/>
      <c r="CD41" s="1860"/>
      <c r="CE41" s="1860"/>
      <c r="CF41" s="1860"/>
      <c r="CG41" s="1860"/>
      <c r="CH41" s="1860"/>
    </row>
    <row r="42" spans="2:86" s="1923" customFormat="1" ht="4.5" customHeight="1" thickBot="1" x14ac:dyDescent="0.25">
      <c r="B42" s="2525"/>
      <c r="C42" s="2526"/>
      <c r="D42" s="1800"/>
      <c r="E42" s="2527"/>
      <c r="F42" s="2527"/>
      <c r="G42" s="2527"/>
      <c r="H42" s="2527"/>
      <c r="I42" s="2527"/>
      <c r="J42" s="2527"/>
      <c r="K42" s="2528"/>
      <c r="L42" s="1866"/>
      <c r="M42" s="1867"/>
      <c r="N42" s="2026"/>
      <c r="O42" s="2026"/>
      <c r="P42" s="2026"/>
      <c r="Q42" s="2026"/>
      <c r="R42" s="2026"/>
      <c r="S42" s="2026"/>
      <c r="T42" s="2026"/>
      <c r="U42" s="3144"/>
      <c r="V42" s="3144"/>
      <c r="W42" s="3144"/>
      <c r="X42" s="3144"/>
      <c r="Y42" s="1915"/>
      <c r="Z42" s="2026"/>
      <c r="AA42" s="2026"/>
      <c r="AB42" s="2026"/>
      <c r="AC42" s="2026"/>
      <c r="AD42" s="2026"/>
      <c r="AE42" s="2026"/>
      <c r="AF42" s="2026"/>
      <c r="AG42" s="1915"/>
      <c r="AH42" s="3144"/>
      <c r="AI42" s="3144"/>
      <c r="AJ42" s="3144"/>
      <c r="AK42" s="1915"/>
      <c r="AL42" s="2026"/>
      <c r="AM42" s="2026"/>
      <c r="AN42" s="2026"/>
      <c r="AO42" s="2026"/>
      <c r="AP42" s="2026"/>
      <c r="AQ42" s="2026"/>
      <c r="AR42" s="2026"/>
      <c r="AS42" s="3144"/>
      <c r="AT42" s="3144"/>
      <c r="AU42" s="3144"/>
      <c r="AV42" s="3144"/>
      <c r="AW42" s="3144"/>
      <c r="AX42" s="2026"/>
      <c r="AY42" s="2026"/>
      <c r="AZ42" s="2026"/>
      <c r="BA42" s="2026"/>
      <c r="BB42" s="2026"/>
      <c r="BC42" s="2026"/>
      <c r="BD42" s="2026"/>
      <c r="BE42" s="3144"/>
      <c r="BF42" s="3144"/>
      <c r="BG42" s="3144"/>
      <c r="BH42" s="3144"/>
      <c r="BI42" s="3144"/>
      <c r="BJ42" s="2026"/>
      <c r="BK42" s="2026"/>
      <c r="BL42" s="3144"/>
      <c r="BM42" s="3144"/>
      <c r="BN42" s="3144"/>
      <c r="BO42" s="3144"/>
      <c r="BQ42" s="3144"/>
      <c r="BR42" s="1993"/>
      <c r="BS42" s="1994"/>
      <c r="BT42" s="2027"/>
      <c r="BU42" s="2028"/>
      <c r="BV42" s="1993"/>
      <c r="BW42" s="1916"/>
      <c r="BY42" s="1916"/>
      <c r="BZ42" s="1993"/>
      <c r="CA42" s="2030"/>
      <c r="CB42" s="1994"/>
    </row>
    <row r="43" spans="2:86" s="1885" customFormat="1" ht="17.25" thickBot="1" x14ac:dyDescent="0.25">
      <c r="B43" s="2000"/>
      <c r="C43" s="2001">
        <f>E43*100/20</f>
        <v>12213.439999999999</v>
      </c>
      <c r="D43" s="1888"/>
      <c r="E43" s="2001">
        <f>SUM(E18:E41)</f>
        <v>2442.6879999999996</v>
      </c>
      <c r="F43" s="2001">
        <f t="shared" ref="F43:K43" si="217">SUM(F18:F41)</f>
        <v>279.13333333333333</v>
      </c>
      <c r="G43" s="2001">
        <f t="shared" si="217"/>
        <v>186.08888888888887</v>
      </c>
      <c r="H43" s="2001">
        <f t="shared" si="217"/>
        <v>139.56666666666666</v>
      </c>
      <c r="I43" s="2001">
        <f t="shared" si="217"/>
        <v>111.65333333333334</v>
      </c>
      <c r="J43" s="2001">
        <f>SUM(J18:J41)</f>
        <v>101.77866666666665</v>
      </c>
      <c r="K43" s="2584">
        <f t="shared" si="217"/>
        <v>1</v>
      </c>
      <c r="L43" s="1949"/>
      <c r="M43" s="1950"/>
      <c r="N43" s="2001">
        <f t="shared" ref="N43:P43" si="218">SUM(N18:N41)</f>
        <v>101.77866666666665</v>
      </c>
      <c r="O43" s="2001">
        <f t="shared" ref="O43:Q43" si="219">SUM(O18:O41)</f>
        <v>101.77866666666665</v>
      </c>
      <c r="P43" s="2001">
        <f t="shared" si="218"/>
        <v>0</v>
      </c>
      <c r="Q43" s="2001">
        <f t="shared" si="219"/>
        <v>101.77866666666665</v>
      </c>
      <c r="R43" s="2001">
        <f t="shared" ref="R43:S43" si="220">SUM(R18:R41)</f>
        <v>101.77866666666665</v>
      </c>
      <c r="S43" s="2001">
        <f t="shared" si="220"/>
        <v>101.77866666666665</v>
      </c>
      <c r="T43" s="2001">
        <f t="shared" ref="T43" si="221">SUM(T18:T41)</f>
        <v>101.77866666666665</v>
      </c>
      <c r="U43" s="3135"/>
      <c r="V43" s="2804">
        <f>SUM(V18:V41)</f>
        <v>610.67199999999991</v>
      </c>
      <c r="W43" s="2805">
        <f>SUM(W18:W41)</f>
        <v>1115.3690000000004</v>
      </c>
      <c r="X43" s="2806">
        <f t="shared" ref="X43" si="222">SUM(X18:X41)</f>
        <v>504.69700000000051</v>
      </c>
      <c r="Y43" s="1896"/>
      <c r="Z43" s="2001">
        <f t="shared" ref="Z43:AA43" si="223">SUM(Z18:Z41)</f>
        <v>101.77866666666665</v>
      </c>
      <c r="AA43" s="2001">
        <f t="shared" si="223"/>
        <v>101.77866666666665</v>
      </c>
      <c r="AB43" s="2001">
        <f t="shared" ref="AB43:AD43" si="224">SUM(AB18:AB41)</f>
        <v>0</v>
      </c>
      <c r="AC43" s="2001">
        <f t="shared" si="224"/>
        <v>0</v>
      </c>
      <c r="AD43" s="2001">
        <f t="shared" si="224"/>
        <v>101.77866666666665</v>
      </c>
      <c r="AE43" s="2001">
        <f t="shared" ref="AE43" si="225">SUM(AE18:AE41)</f>
        <v>101.77866666666665</v>
      </c>
      <c r="AF43" s="2001">
        <f t="shared" ref="AF43" si="226">SUM(AF18:AF41)</f>
        <v>101.77866666666665</v>
      </c>
      <c r="AG43" s="1896"/>
      <c r="AH43" s="2804">
        <f>SUM(AH18:AH41)</f>
        <v>508.89333333333343</v>
      </c>
      <c r="AI43" s="2805">
        <f>SUM(AI18:AI41)</f>
        <v>1175.7890000000004</v>
      </c>
      <c r="AJ43" s="2806">
        <f>SUM(AJ18:AJ41)</f>
        <v>666.8956666666669</v>
      </c>
      <c r="AK43" s="1896"/>
      <c r="AL43" s="2005">
        <f t="shared" ref="AL43" si="227">SUM(AL18:AL41)</f>
        <v>101.77866666666665</v>
      </c>
      <c r="AM43" s="2005">
        <f t="shared" ref="AM43" si="228">SUM(AM18:AM41)</f>
        <v>101.77866666666665</v>
      </c>
      <c r="AN43" s="2005">
        <f t="shared" ref="AN43:AP43" si="229">SUM(AN18:AN41)</f>
        <v>0</v>
      </c>
      <c r="AO43" s="2005">
        <f t="shared" si="229"/>
        <v>0</v>
      </c>
      <c r="AP43" s="2005">
        <f t="shared" si="229"/>
        <v>101.77866666666665</v>
      </c>
      <c r="AQ43" s="2005">
        <f t="shared" ref="AQ43:AR43" si="230">SUM(AQ18:AQ41)</f>
        <v>101.77866666666665</v>
      </c>
      <c r="AR43" s="2005">
        <f t="shared" si="230"/>
        <v>101.77866666666665</v>
      </c>
      <c r="AS43" s="2295"/>
      <c r="AT43" s="2804">
        <f>SUM(AT18:AT41)</f>
        <v>508.89333333333343</v>
      </c>
      <c r="AU43" s="2805">
        <f>SUM(AU18:AU41)</f>
        <v>1564.9190000000008</v>
      </c>
      <c r="AV43" s="2806">
        <f>SUM(AV18:AV41)</f>
        <v>1056.0256666666673</v>
      </c>
      <c r="AW43" s="2295"/>
      <c r="AX43" s="2005">
        <f t="shared" ref="AX43:AY43" si="231">SUM(AX18:AX41)</f>
        <v>101.77866666666665</v>
      </c>
      <c r="AY43" s="2005">
        <f t="shared" si="231"/>
        <v>101.77866666666665</v>
      </c>
      <c r="AZ43" s="2005">
        <f t="shared" ref="AZ43:BA43" si="232">SUM(AZ18:AZ41)</f>
        <v>0</v>
      </c>
      <c r="BA43" s="2005">
        <f t="shared" si="232"/>
        <v>101.77866666666665</v>
      </c>
      <c r="BB43" s="2005">
        <f t="shared" ref="BB43:BC43" si="233">SUM(BB18:BB41)</f>
        <v>101.77866666666665</v>
      </c>
      <c r="BC43" s="2005">
        <f t="shared" si="233"/>
        <v>101.77866666666665</v>
      </c>
      <c r="BD43" s="2005">
        <f t="shared" ref="BD43" si="234">SUM(BD18:BD41)</f>
        <v>101.77866666666665</v>
      </c>
      <c r="BE43" s="2295"/>
      <c r="BF43" s="2804">
        <f>SUM(BF18:BF41)</f>
        <v>610.67199999999991</v>
      </c>
      <c r="BG43" s="2805">
        <f>SUM(BG18:BG41)</f>
        <v>1341.7259999999997</v>
      </c>
      <c r="BH43" s="2806">
        <f>SUM(BH18:BH41)</f>
        <v>731.0540000000002</v>
      </c>
      <c r="BI43" s="3135"/>
      <c r="BJ43" s="2005">
        <f t="shared" ref="BJ43:BK43" si="235">SUM(BJ18:BJ41)</f>
        <v>101.77866666666665</v>
      </c>
      <c r="BK43" s="2005">
        <f t="shared" si="235"/>
        <v>101.77866666666665</v>
      </c>
      <c r="BL43" s="3135"/>
      <c r="BM43" s="2804">
        <f>SUM(BM18:BM41)</f>
        <v>203.5573333333333</v>
      </c>
      <c r="BN43" s="2805">
        <f>SUM(BN18:BN41)</f>
        <v>374.08700000000005</v>
      </c>
      <c r="BO43" s="2806">
        <f>SUM(BO18:BO41)</f>
        <v>170.52966666666677</v>
      </c>
      <c r="BQ43" s="2397">
        <f>SUM(BQ18:BQ41)</f>
        <v>0</v>
      </c>
      <c r="BR43" s="2398">
        <f>BQ43/E43</f>
        <v>0</v>
      </c>
      <c r="BS43" s="1900"/>
      <c r="BT43" s="2397">
        <f>SUM(BT18:BT41)</f>
        <v>2340.9093333333326</v>
      </c>
      <c r="BU43" s="2398">
        <f>BT43/E43</f>
        <v>0.95833333333333315</v>
      </c>
      <c r="BV43" s="2010"/>
      <c r="BW43" s="3134"/>
      <c r="BY43" s="3134"/>
      <c r="BZ43" s="1946"/>
      <c r="CA43" s="1946"/>
      <c r="CB43" s="1946"/>
      <c r="CC43" s="1946"/>
      <c r="CD43" s="1946"/>
      <c r="CE43" s="1946"/>
      <c r="CF43" s="1946"/>
      <c r="CG43" s="1946"/>
      <c r="CH43" s="1946"/>
    </row>
    <row r="44" spans="2:86" s="1947" customFormat="1" ht="4.5" customHeight="1" thickBot="1" x14ac:dyDescent="0.25">
      <c r="B44" s="2634"/>
      <c r="C44" s="2392"/>
      <c r="D44" s="1906"/>
      <c r="E44" s="2392"/>
      <c r="F44" s="2392"/>
      <c r="G44" s="2392"/>
      <c r="H44" s="2392"/>
      <c r="I44" s="2392"/>
      <c r="J44" s="2392"/>
      <c r="K44" s="2636"/>
      <c r="L44" s="1949"/>
      <c r="M44" s="1950"/>
      <c r="N44" s="2392"/>
      <c r="O44" s="2392"/>
      <c r="P44" s="2392"/>
      <c r="Q44" s="2392"/>
      <c r="R44" s="2392"/>
      <c r="S44" s="2392"/>
      <c r="T44" s="2392"/>
      <c r="U44" s="1951"/>
      <c r="V44" s="1951"/>
      <c r="W44" s="1951"/>
      <c r="X44" s="1951"/>
      <c r="Y44" s="1956"/>
      <c r="Z44" s="2392"/>
      <c r="AA44" s="2392"/>
      <c r="AB44" s="2392"/>
      <c r="AC44" s="2392"/>
      <c r="AD44" s="2392"/>
      <c r="AE44" s="2392"/>
      <c r="AF44" s="2392"/>
      <c r="AG44" s="1956"/>
      <c r="AH44" s="1951"/>
      <c r="AI44" s="1951"/>
      <c r="AJ44" s="1951"/>
      <c r="AK44" s="1956"/>
      <c r="AL44" s="2392"/>
      <c r="AM44" s="2392"/>
      <c r="AN44" s="2392"/>
      <c r="AO44" s="2392"/>
      <c r="AP44" s="2392"/>
      <c r="AQ44" s="2392"/>
      <c r="AR44" s="2392"/>
      <c r="AS44" s="1951"/>
      <c r="AT44" s="1951"/>
      <c r="AU44" s="1951"/>
      <c r="AV44" s="1951"/>
      <c r="AW44" s="1951"/>
      <c r="AX44" s="2392"/>
      <c r="AY44" s="2392"/>
      <c r="AZ44" s="2392"/>
      <c r="BA44" s="2392"/>
      <c r="BB44" s="2392"/>
      <c r="BC44" s="2392"/>
      <c r="BD44" s="2392"/>
      <c r="BE44" s="1951"/>
      <c r="BF44" s="1951"/>
      <c r="BG44" s="1951"/>
      <c r="BH44" s="1951"/>
      <c r="BI44" s="1951"/>
      <c r="BJ44" s="2392"/>
      <c r="BK44" s="2392"/>
      <c r="BL44" s="1951"/>
      <c r="BM44" s="1951"/>
      <c r="BN44" s="1951"/>
      <c r="BO44" s="1951"/>
      <c r="BQ44" s="1951"/>
      <c r="BR44" s="1962"/>
      <c r="BS44" s="1959"/>
      <c r="BT44" s="1951"/>
      <c r="BU44" s="1962"/>
      <c r="BV44" s="1962"/>
      <c r="BW44" s="1905"/>
      <c r="BY44" s="1905"/>
      <c r="BZ44" s="1906"/>
      <c r="CA44" s="1906"/>
      <c r="CB44" s="1906"/>
      <c r="CC44" s="1906"/>
      <c r="CD44" s="1906"/>
      <c r="CE44" s="1906"/>
      <c r="CF44" s="1906"/>
      <c r="CG44" s="1906"/>
      <c r="CH44" s="1906"/>
    </row>
    <row r="45" spans="2:86" s="1726" customFormat="1" ht="17.25" thickBot="1" x14ac:dyDescent="0.25">
      <c r="B45" s="1963">
        <v>37</v>
      </c>
      <c r="C45" s="1963"/>
      <c r="D45" s="1727"/>
      <c r="E45" s="1728"/>
      <c r="F45" s="1728"/>
      <c r="G45" s="1728"/>
      <c r="H45" s="1728"/>
      <c r="I45" s="1728"/>
      <c r="J45" s="1728"/>
      <c r="K45" s="1729"/>
      <c r="L45" s="1760"/>
      <c r="M45" s="1924"/>
      <c r="N45" s="1728"/>
      <c r="O45" s="1728"/>
      <c r="P45" s="1728"/>
      <c r="Q45" s="1728"/>
      <c r="R45" s="1728"/>
      <c r="S45" s="1728"/>
      <c r="T45" s="1728"/>
      <c r="U45" s="3145"/>
      <c r="V45" s="2031"/>
      <c r="W45" s="2032"/>
      <c r="X45" s="2033"/>
      <c r="Y45" s="1881"/>
      <c r="Z45" s="1728"/>
      <c r="AA45" s="1728"/>
      <c r="AB45" s="1728"/>
      <c r="AC45" s="1728"/>
      <c r="AD45" s="1728"/>
      <c r="AE45" s="1728"/>
      <c r="AF45" s="1728"/>
      <c r="AG45" s="1881"/>
      <c r="AH45" s="2031"/>
      <c r="AI45" s="2032"/>
      <c r="AJ45" s="2033"/>
      <c r="AK45" s="1881"/>
      <c r="AL45" s="2268"/>
      <c r="AM45" s="2268"/>
      <c r="AN45" s="2268"/>
      <c r="AO45" s="2268"/>
      <c r="AP45" s="2268"/>
      <c r="AQ45" s="2268"/>
      <c r="AR45" s="2268"/>
      <c r="AS45" s="2293"/>
      <c r="AT45" s="2031"/>
      <c r="AU45" s="2032"/>
      <c r="AV45" s="2033"/>
      <c r="AW45" s="2293"/>
      <c r="AX45" s="2268"/>
      <c r="AY45" s="2268"/>
      <c r="AZ45" s="2268"/>
      <c r="BA45" s="2268"/>
      <c r="BB45" s="2268"/>
      <c r="BC45" s="2268"/>
      <c r="BD45" s="2268"/>
      <c r="BE45" s="2293"/>
      <c r="BF45" s="2031"/>
      <c r="BG45" s="2032"/>
      <c r="BH45" s="2033"/>
      <c r="BI45" s="3145"/>
      <c r="BJ45" s="2268"/>
      <c r="BK45" s="2268"/>
      <c r="BL45" s="3145"/>
      <c r="BM45" s="2031"/>
      <c r="BN45" s="2032"/>
      <c r="BO45" s="2033"/>
      <c r="BQ45" s="2034"/>
      <c r="BR45" s="2035"/>
      <c r="BS45" s="1740"/>
      <c r="BT45" s="2034"/>
      <c r="BU45" s="2035"/>
      <c r="BV45" s="1997"/>
      <c r="BW45" s="3143"/>
      <c r="BY45" s="3143"/>
      <c r="BZ45" s="1860"/>
      <c r="CA45" s="1860"/>
      <c r="CB45" s="1860"/>
      <c r="CC45" s="1860"/>
      <c r="CD45" s="1860"/>
      <c r="CE45" s="1860"/>
      <c r="CF45" s="1860"/>
      <c r="CG45" s="1860"/>
      <c r="CH45" s="1860"/>
    </row>
    <row r="46" spans="2:86" s="1923" customFormat="1" ht="4.5" customHeight="1" thickBot="1" x14ac:dyDescent="0.25">
      <c r="B46" s="3157"/>
      <c r="C46" s="2024"/>
      <c r="D46" s="1800"/>
      <c r="E46" s="1803"/>
      <c r="F46" s="1803"/>
      <c r="G46" s="1803"/>
      <c r="H46" s="1803"/>
      <c r="I46" s="1803"/>
      <c r="J46" s="1803"/>
      <c r="K46" s="2025"/>
      <c r="L46" s="1866"/>
      <c r="M46" s="1867"/>
      <c r="N46" s="2026"/>
      <c r="O46" s="2026"/>
      <c r="P46" s="2026"/>
      <c r="Q46" s="2026"/>
      <c r="R46" s="2026"/>
      <c r="S46" s="2026"/>
      <c r="T46" s="2026"/>
      <c r="U46" s="3144"/>
      <c r="V46" s="3144"/>
      <c r="W46" s="3144"/>
      <c r="X46" s="3144"/>
      <c r="Y46" s="1915"/>
      <c r="Z46" s="2026"/>
      <c r="AA46" s="2026"/>
      <c r="AB46" s="2026"/>
      <c r="AC46" s="2026"/>
      <c r="AD46" s="2026"/>
      <c r="AE46" s="2026"/>
      <c r="AF46" s="2026"/>
      <c r="AG46" s="1915"/>
      <c r="AH46" s="3144"/>
      <c r="AI46" s="3144"/>
      <c r="AJ46" s="3144"/>
      <c r="AK46" s="1915"/>
      <c r="AL46" s="2026"/>
      <c r="AM46" s="2026"/>
      <c r="AN46" s="2026"/>
      <c r="AO46" s="2026"/>
      <c r="AP46" s="2026"/>
      <c r="AQ46" s="2026"/>
      <c r="AR46" s="2026"/>
      <c r="AS46" s="3144"/>
      <c r="AT46" s="3144"/>
      <c r="AU46" s="3144"/>
      <c r="AV46" s="3144"/>
      <c r="AW46" s="3144"/>
      <c r="AX46" s="2026"/>
      <c r="AY46" s="2026"/>
      <c r="AZ46" s="2026"/>
      <c r="BA46" s="2026"/>
      <c r="BB46" s="2026"/>
      <c r="BC46" s="2026"/>
      <c r="BD46" s="2026"/>
      <c r="BE46" s="3144"/>
      <c r="BF46" s="2274"/>
      <c r="BG46" s="2274"/>
      <c r="BH46" s="2274"/>
      <c r="BI46" s="3144"/>
      <c r="BJ46" s="2026"/>
      <c r="BK46" s="2026"/>
      <c r="BL46" s="3144"/>
      <c r="BM46" s="2274"/>
      <c r="BN46" s="2274"/>
      <c r="BO46" s="2274"/>
      <c r="BQ46" s="3144"/>
      <c r="BR46" s="1993"/>
      <c r="BS46" s="1994"/>
      <c r="BT46" s="3144"/>
      <c r="BU46" s="1993"/>
      <c r="BV46" s="1993"/>
      <c r="BW46" s="1916"/>
      <c r="BY46" s="1916"/>
    </row>
    <row r="47" spans="2:86" s="1885" customFormat="1" ht="17.25" thickBot="1" x14ac:dyDescent="0.25">
      <c r="B47" s="2117"/>
      <c r="C47" s="2212" t="s">
        <v>150</v>
      </c>
      <c r="D47" s="2119"/>
      <c r="E47" s="2123">
        <f>E43*100/20</f>
        <v>12213.439999999999</v>
      </c>
      <c r="F47" s="2121" t="e">
        <f>#REF!*100/30</f>
        <v>#REF!</v>
      </c>
      <c r="G47" s="2121" t="e">
        <f>#REF!*100/30</f>
        <v>#REF!</v>
      </c>
      <c r="H47" s="2121" t="e">
        <f>#REF!*100/30</f>
        <v>#REF!</v>
      </c>
      <c r="I47" s="2121" t="e">
        <f>#REF!*100/30</f>
        <v>#REF!</v>
      </c>
      <c r="J47" s="2121">
        <f>J43*100/20</f>
        <v>508.89333333333326</v>
      </c>
      <c r="K47" s="2130">
        <f>E47/E90</f>
        <v>0.50961656417399026</v>
      </c>
      <c r="L47" s="1949"/>
      <c r="M47" s="2214"/>
      <c r="N47" s="2120">
        <f t="shared" ref="N47:P47" si="236">N11</f>
        <v>16.69816666666668</v>
      </c>
      <c r="O47" s="2123">
        <f t="shared" ref="O47:Q47" si="237">O11</f>
        <v>31.395166666666668</v>
      </c>
      <c r="P47" s="2123">
        <f t="shared" si="236"/>
        <v>0</v>
      </c>
      <c r="Q47" s="2123">
        <f t="shared" si="237"/>
        <v>59.155166666666673</v>
      </c>
      <c r="R47" s="2123">
        <f t="shared" ref="R47:S47" si="238">R11</f>
        <v>21.999166666666667</v>
      </c>
      <c r="S47" s="2123">
        <f t="shared" si="238"/>
        <v>69.620666666666679</v>
      </c>
      <c r="T47" s="2124">
        <f t="shared" ref="T47" si="239">T11</f>
        <v>53.480166666666676</v>
      </c>
      <c r="U47" s="1951"/>
      <c r="V47" s="2120">
        <f>SUM(N47:T47)</f>
        <v>252.34850000000006</v>
      </c>
      <c r="W47" s="2123"/>
      <c r="X47" s="2124"/>
      <c r="Y47" s="1956"/>
      <c r="Z47" s="2120">
        <f t="shared" ref="Z47:AA47" si="240">Z11</f>
        <v>56.638166666666677</v>
      </c>
      <c r="AA47" s="2121">
        <f t="shared" si="240"/>
        <v>82.083666666666687</v>
      </c>
      <c r="AB47" s="2121">
        <f t="shared" ref="AB47:AD47" si="241">AB11</f>
        <v>0</v>
      </c>
      <c r="AC47" s="2121">
        <f t="shared" si="241"/>
        <v>0</v>
      </c>
      <c r="AD47" s="2121">
        <f t="shared" si="241"/>
        <v>95.660666666666685</v>
      </c>
      <c r="AE47" s="2121">
        <f t="shared" ref="AE47" si="242">AE11</f>
        <v>47.806666666666672</v>
      </c>
      <c r="AF47" s="2121">
        <f t="shared" ref="AF47" si="243">AF11</f>
        <v>51.25866666666667</v>
      </c>
      <c r="AG47" s="1956"/>
      <c r="AH47" s="2120">
        <f>SUM(Z47:AF47)</f>
        <v>333.44783333333339</v>
      </c>
      <c r="AI47" s="2123"/>
      <c r="AJ47" s="2124"/>
      <c r="AK47" s="1955"/>
      <c r="AL47" s="2120">
        <f t="shared" ref="AL47" si="244">AL11</f>
        <v>91.63566666666668</v>
      </c>
      <c r="AM47" s="2121">
        <f t="shared" ref="AM47" si="245">AM11</f>
        <v>113.27616666666668</v>
      </c>
      <c r="AN47" s="2121">
        <f t="shared" ref="AN47:AP47" si="246">AN11</f>
        <v>0</v>
      </c>
      <c r="AO47" s="2121">
        <f t="shared" si="246"/>
        <v>0</v>
      </c>
      <c r="AP47" s="2121">
        <f t="shared" si="246"/>
        <v>86.518166666666673</v>
      </c>
      <c r="AQ47" s="2121">
        <f t="shared" ref="AQ47:AR47" si="247">AQ11</f>
        <v>123.62766666666667</v>
      </c>
      <c r="AR47" s="2121">
        <f t="shared" si="247"/>
        <v>112.95516666666668</v>
      </c>
      <c r="AS47" s="2254"/>
      <c r="AT47" s="2120">
        <f>SUM(AL47:AR47)</f>
        <v>528.01283333333345</v>
      </c>
      <c r="AU47" s="2123"/>
      <c r="AV47" s="2124"/>
      <c r="AW47" s="1951"/>
      <c r="AX47" s="2120">
        <f t="shared" ref="AX47:AY47" si="248">AX11</f>
        <v>134.12616666666668</v>
      </c>
      <c r="AY47" s="2121">
        <f t="shared" si="248"/>
        <v>134.88566666666668</v>
      </c>
      <c r="AZ47" s="2121">
        <f t="shared" ref="AZ47:BA47" si="249">AZ11</f>
        <v>0</v>
      </c>
      <c r="BA47" s="2121">
        <f t="shared" si="249"/>
        <v>16.448666666666668</v>
      </c>
      <c r="BB47" s="2121">
        <f t="shared" ref="BB47:BC47" si="250">BB11</f>
        <v>26.57116666666667</v>
      </c>
      <c r="BC47" s="2121">
        <f t="shared" si="250"/>
        <v>29.408166666666673</v>
      </c>
      <c r="BD47" s="2124">
        <f t="shared" ref="BD47" si="251">BD11</f>
        <v>24.087166666666675</v>
      </c>
      <c r="BE47" s="1951"/>
      <c r="BF47" s="2120">
        <f>SUM(AX47:BD47)</f>
        <v>365.52700000000004</v>
      </c>
      <c r="BG47" s="2123"/>
      <c r="BH47" s="2124"/>
      <c r="BI47" s="1900"/>
      <c r="BJ47" s="2120">
        <f t="shared" ref="BJ47:BK47" si="252">BJ11</f>
        <v>28.14766666666668</v>
      </c>
      <c r="BK47" s="2124">
        <f t="shared" si="252"/>
        <v>57.117166666666677</v>
      </c>
      <c r="BL47" s="2317"/>
      <c r="BM47" s="2215">
        <f>SUM(BJ47:BK47)</f>
        <v>85.264833333333357</v>
      </c>
      <c r="BN47" s="2677"/>
      <c r="BO47" s="2124"/>
      <c r="BP47" s="1897"/>
      <c r="BQ47" s="2215">
        <f>SUM(N47:T47)+SUM(Z47:AF47)+SUM(AL47:AR47)+SUM(AX47:BD47)+SUM(BK47:BK47)</f>
        <v>1536.4533333333336</v>
      </c>
      <c r="BR47" s="2130"/>
      <c r="BS47" s="1900"/>
      <c r="BT47" s="2011"/>
      <c r="BU47" s="2011"/>
      <c r="BV47" s="2011"/>
      <c r="BY47" s="3134"/>
      <c r="BZ47" s="1946"/>
      <c r="CA47" s="1946"/>
      <c r="CB47" s="1946"/>
      <c r="CC47" s="1946"/>
      <c r="CD47" s="1946"/>
      <c r="CE47" s="1946"/>
      <c r="CF47" s="1946"/>
      <c r="CG47" s="1946"/>
      <c r="CH47" s="1946"/>
    </row>
    <row r="48" spans="2:86" s="1860" customFormat="1" ht="17.25" thickBot="1" x14ac:dyDescent="0.25">
      <c r="B48" s="1861"/>
      <c r="C48" s="1861" t="s">
        <v>143</v>
      </c>
      <c r="D48" s="1861"/>
      <c r="E48" s="3145"/>
      <c r="F48" s="3145"/>
      <c r="G48" s="3145"/>
      <c r="H48" s="3145"/>
      <c r="I48" s="3145"/>
      <c r="J48" s="3145"/>
      <c r="K48" s="2059"/>
      <c r="L48" s="1931"/>
      <c r="M48" s="1877"/>
      <c r="N48" s="3145"/>
      <c r="O48" s="3145"/>
      <c r="P48" s="3145"/>
      <c r="Q48" s="3145"/>
      <c r="R48" s="3145"/>
      <c r="S48" s="3145"/>
      <c r="T48" s="3145"/>
      <c r="U48" s="3145"/>
      <c r="V48" s="3145"/>
      <c r="W48" s="3145"/>
      <c r="X48" s="3145"/>
      <c r="Y48" s="1862"/>
      <c r="Z48" s="3145"/>
      <c r="AA48" s="3145"/>
      <c r="AB48" s="3145"/>
      <c r="AC48" s="3145"/>
      <c r="AD48" s="3145"/>
      <c r="AE48" s="3145"/>
      <c r="AF48" s="3145"/>
      <c r="AG48" s="1862"/>
      <c r="AH48" s="3145"/>
      <c r="AI48" s="3145"/>
      <c r="AJ48" s="3145"/>
      <c r="AK48" s="1862"/>
      <c r="AL48" s="3145"/>
      <c r="AM48" s="3145"/>
      <c r="AN48" s="3145"/>
      <c r="AO48" s="3145"/>
      <c r="AP48" s="3145"/>
      <c r="AQ48" s="3182"/>
      <c r="AR48" s="3186"/>
      <c r="AS48" s="3145"/>
      <c r="AT48" s="3145"/>
      <c r="AU48" s="3145"/>
      <c r="AV48" s="3145"/>
      <c r="AW48" s="3145"/>
      <c r="AX48" s="3186"/>
      <c r="AY48" s="3190"/>
      <c r="AZ48" s="3145"/>
      <c r="BA48" s="3145"/>
      <c r="BB48" s="3194"/>
      <c r="BC48" s="3198"/>
      <c r="BD48" s="3145"/>
      <c r="BE48" s="3145"/>
      <c r="BF48" s="3145"/>
      <c r="BG48" s="3145"/>
      <c r="BH48" s="3145"/>
      <c r="BI48" s="3145"/>
      <c r="BJ48" s="3145"/>
      <c r="BK48" s="3145"/>
      <c r="BL48" s="3145"/>
      <c r="BM48" s="3145"/>
      <c r="BN48" s="3145"/>
      <c r="BO48" s="3145"/>
      <c r="BP48" s="1862"/>
      <c r="BQ48" s="3145"/>
      <c r="BR48" s="2639"/>
      <c r="BS48" s="1861"/>
      <c r="BT48" s="4634" t="s">
        <v>99</v>
      </c>
      <c r="BU48" s="4634"/>
      <c r="BV48" s="3145"/>
      <c r="BW48" s="1862"/>
      <c r="BY48" s="3143"/>
    </row>
    <row r="49" spans="1:86" s="1900" customFormat="1" ht="15.75" x14ac:dyDescent="0.2">
      <c r="A49" s="2464"/>
      <c r="B49" s="2280">
        <v>38</v>
      </c>
      <c r="C49" s="2405" t="s">
        <v>245</v>
      </c>
      <c r="D49" s="2119"/>
      <c r="E49" s="2410">
        <v>106</v>
      </c>
      <c r="F49" s="2678"/>
      <c r="G49" s="2678"/>
      <c r="H49" s="2678"/>
      <c r="I49" s="2678"/>
      <c r="J49" s="2406">
        <f>E49/24</f>
        <v>4.416666666666667</v>
      </c>
      <c r="K49" s="2407">
        <f>E49/$E$58</f>
        <v>0.31500742942050519</v>
      </c>
      <c r="L49" s="2468"/>
      <c r="M49" s="2339"/>
      <c r="N49" s="2679">
        <f t="shared" ref="N49:P49" si="253">IF(N47&gt;$J$58,$J$49,IF(N47&lt;$J$58,(IF(N47&lt;0,0,N47*$K$49))))</f>
        <v>4.416666666666667</v>
      </c>
      <c r="O49" s="2406">
        <f t="shared" ref="O49:Q49" si="254">IF(O47&gt;$J$58,$J$49,IF(O47&lt;$J$58,(IF(O47&lt;0,0,O47*$K$49))))</f>
        <v>4.416666666666667</v>
      </c>
      <c r="P49" s="2406">
        <f t="shared" si="253"/>
        <v>0</v>
      </c>
      <c r="Q49" s="2406">
        <f t="shared" si="254"/>
        <v>4.416666666666667</v>
      </c>
      <c r="R49" s="2406">
        <f t="shared" ref="R49:S49" si="255">IF(R47&gt;$J$58,$J$49,IF(R47&lt;$J$58,(IF(R47&lt;0,0,R47*$K$49))))</f>
        <v>4.416666666666667</v>
      </c>
      <c r="S49" s="2406">
        <f t="shared" si="255"/>
        <v>4.416666666666667</v>
      </c>
      <c r="T49" s="2409">
        <f t="shared" ref="T49" si="256">IF(T47&gt;$J$58,$J$49,IF(T47&lt;$J$58,(IF(T47&lt;0,0,T47*$K$49))))</f>
        <v>4.416666666666667</v>
      </c>
      <c r="U49" s="1951"/>
      <c r="V49" s="2410">
        <f t="shared" si="88"/>
        <v>26.500000000000004</v>
      </c>
      <c r="W49" s="2408">
        <f>$J$49*0</f>
        <v>0</v>
      </c>
      <c r="X49" s="2411">
        <f>V49-W49</f>
        <v>26.500000000000004</v>
      </c>
      <c r="Y49" s="1951"/>
      <c r="Z49" s="2410">
        <f t="shared" ref="Z49:AA49" si="257">IF(Z47&gt;$J$58,$J$49,IF(Z47&lt;$J$58,(IF(Z47&lt;0,0,Z47*$K$49))))</f>
        <v>4.416666666666667</v>
      </c>
      <c r="AA49" s="2408">
        <f t="shared" si="257"/>
        <v>4.416666666666667</v>
      </c>
      <c r="AB49" s="2408">
        <f t="shared" ref="AB49:AD49" si="258">IF(AB47&gt;$J$58,$J$49,IF(AB47&lt;$J$58,(IF(AB47&lt;0,0,AB47*$K$49))))</f>
        <v>0</v>
      </c>
      <c r="AC49" s="2408">
        <f t="shared" si="258"/>
        <v>0</v>
      </c>
      <c r="AD49" s="2408">
        <f t="shared" si="258"/>
        <v>4.416666666666667</v>
      </c>
      <c r="AE49" s="2408">
        <f t="shared" ref="AE49" si="259">IF(AE47&gt;$J$58,$J$49,IF(AE47&lt;$J$58,(IF(AE47&lt;0,0,AE47*$K$49))))</f>
        <v>4.416666666666667</v>
      </c>
      <c r="AF49" s="2409">
        <f t="shared" ref="AF49" si="260">IF(AF47&gt;$J$58,$J$49,IF(AF47&lt;$J$58,(IF(AF47&lt;0,0,AF47*$K$49))))</f>
        <v>4.416666666666667</v>
      </c>
      <c r="AG49" s="1951"/>
      <c r="AH49" s="2410">
        <f>SUM(Z49:AF49)</f>
        <v>22.083333333333336</v>
      </c>
      <c r="AI49" s="2408">
        <f>$J$49*0</f>
        <v>0</v>
      </c>
      <c r="AJ49" s="2411">
        <f>AH49-AI49</f>
        <v>22.083333333333336</v>
      </c>
      <c r="AK49" s="1951"/>
      <c r="AL49" s="2410">
        <f t="shared" ref="AL49" si="261">IF(AL47&gt;$J$58,$J$49,IF(AL47&lt;$J$58,(IF(AL47&lt;0,0,AL47*$K$49))))</f>
        <v>4.416666666666667</v>
      </c>
      <c r="AM49" s="2406">
        <f t="shared" ref="AM49" si="262">IF(AM47&gt;$J$58,$J$49,IF(AM47&lt;$J$58,(IF(AM47&lt;0,0,AM47*$K$49))))</f>
        <v>4.416666666666667</v>
      </c>
      <c r="AN49" s="2406">
        <f t="shared" ref="AN49:AP49" si="263">IF(AN47&gt;$J$58,$J$49,IF(AN47&lt;$J$58,(IF(AN47&lt;0,0,AN47*$K$49))))</f>
        <v>0</v>
      </c>
      <c r="AO49" s="2406">
        <f t="shared" si="263"/>
        <v>0</v>
      </c>
      <c r="AP49" s="2406">
        <f t="shared" si="263"/>
        <v>4.416666666666667</v>
      </c>
      <c r="AQ49" s="2406">
        <f t="shared" ref="AQ49:AR49" si="264">IF(AQ47&gt;$J$58,$J$49,IF(AQ47&lt;$J$58,(IF(AQ47&lt;0,0,AQ47*$K$49))))</f>
        <v>4.416666666666667</v>
      </c>
      <c r="AR49" s="2406">
        <f t="shared" si="264"/>
        <v>4.416666666666667</v>
      </c>
      <c r="AS49" s="1951"/>
      <c r="AT49" s="2410">
        <f>SUM(AL49:AR49)</f>
        <v>22.083333333333336</v>
      </c>
      <c r="AU49" s="2408">
        <f>$J$49*0</f>
        <v>0</v>
      </c>
      <c r="AV49" s="2411">
        <f>AT49-AU49</f>
        <v>22.083333333333336</v>
      </c>
      <c r="AW49" s="1951"/>
      <c r="AX49" s="2410">
        <f t="shared" ref="AX49:AY49" si="265">IF(AX47&gt;$J$58,$J$49,IF(AX47&lt;$J$58,(IF(AX47&lt;0,0,AX47*$K$49))))</f>
        <v>4.416666666666667</v>
      </c>
      <c r="AY49" s="2406">
        <f t="shared" si="265"/>
        <v>4.416666666666667</v>
      </c>
      <c r="AZ49" s="2406">
        <f t="shared" ref="AZ49:BA49" si="266">IF(AZ47&gt;$J$58,$J$49,IF(AZ47&lt;$J$58,(IF(AZ47&lt;0,0,AZ47*$K$49))))</f>
        <v>0</v>
      </c>
      <c r="BA49" s="2406">
        <f t="shared" si="266"/>
        <v>4.416666666666667</v>
      </c>
      <c r="BB49" s="2406">
        <f t="shared" ref="BB49:BC49" si="267">IF(BB47&gt;$J$58,$J$49,IF(BB47&lt;$J$58,(IF(BB47&lt;0,0,BB47*$K$49))))</f>
        <v>4.416666666666667</v>
      </c>
      <c r="BC49" s="2406">
        <f t="shared" si="267"/>
        <v>4.416666666666667</v>
      </c>
      <c r="BD49" s="2409">
        <f t="shared" ref="BD49" si="268">IF(BD47&gt;$J$58,$J$49,IF(BD47&lt;$J$58,(IF(BD47&lt;0,0,BD47*$K$49))))</f>
        <v>4.416666666666667</v>
      </c>
      <c r="BE49" s="1951"/>
      <c r="BF49" s="2410">
        <f>SUM(AX49:BD49)</f>
        <v>26.500000000000004</v>
      </c>
      <c r="BG49" s="2408">
        <f>$J$49*0</f>
        <v>0</v>
      </c>
      <c r="BH49" s="2411">
        <f>BF49-BG49</f>
        <v>26.500000000000004</v>
      </c>
      <c r="BI49" s="1951"/>
      <c r="BJ49" s="2410">
        <f t="shared" ref="BJ49:BK49" si="269">IF(BJ47&gt;$J$58,$J$49,IF(BJ47&lt;$J$58,(IF(BJ47&lt;0,0,BJ47*$K$49))))</f>
        <v>4.416666666666667</v>
      </c>
      <c r="BK49" s="2409">
        <f t="shared" si="269"/>
        <v>4.416666666666667</v>
      </c>
      <c r="BL49" s="1951"/>
      <c r="BM49" s="2410">
        <f t="shared" ref="BM49:BM57" si="270">SUM(BJ49:BK49)</f>
        <v>8.8333333333333339</v>
      </c>
      <c r="BN49" s="2408">
        <f>$J$49*0</f>
        <v>0</v>
      </c>
      <c r="BO49" s="2411">
        <f>BM49-BN49</f>
        <v>8.8333333333333339</v>
      </c>
      <c r="BQ49" s="2410"/>
      <c r="BR49" s="2412"/>
      <c r="BT49" s="2410">
        <f t="shared" ref="BT49:BT57" si="271">SUM(N49:T49)+SUM(Z49:AF49)+SUM(AL49:AR49)+SUM(AX49:BD49)+SUM(BK49:BK49)</f>
        <v>101.58333333333336</v>
      </c>
      <c r="BU49" s="2413">
        <f t="shared" ref="BU49:BU58" si="272">BT49/E49</f>
        <v>0.95833333333333359</v>
      </c>
      <c r="BV49" s="2353"/>
      <c r="BW49" s="4635">
        <f>BU58-BT1</f>
        <v>0.15833333333333333</v>
      </c>
      <c r="BY49" s="4627"/>
      <c r="BZ49" s="2011"/>
      <c r="CA49" s="2011"/>
      <c r="CB49" s="2011"/>
      <c r="CC49" s="2011"/>
      <c r="CD49" s="2011"/>
      <c r="CE49" s="2011"/>
      <c r="CF49" s="2011"/>
      <c r="CG49" s="2011"/>
      <c r="CH49" s="2011"/>
    </row>
    <row r="50" spans="1:86" s="1740" customFormat="1" ht="15.75" x14ac:dyDescent="0.2">
      <c r="A50" s="2466"/>
      <c r="B50" s="2151">
        <v>39</v>
      </c>
      <c r="C50" s="2152" t="s">
        <v>241</v>
      </c>
      <c r="D50" s="2051"/>
      <c r="E50" s="2090">
        <v>63</v>
      </c>
      <c r="F50" s="2154"/>
      <c r="G50" s="2154"/>
      <c r="H50" s="2154"/>
      <c r="I50" s="2154"/>
      <c r="J50" s="2154">
        <f t="shared" ref="J50:J57" si="273">E50/24</f>
        <v>2.625</v>
      </c>
      <c r="K50" s="2155">
        <f>E50/$E$58</f>
        <v>0.18722139673105498</v>
      </c>
      <c r="L50" s="2465"/>
      <c r="M50" s="2131"/>
      <c r="N50" s="2615">
        <f t="shared" ref="N50:P50" si="274">IF(N47&gt;$J$58,$J$50,IF(N47&lt;$J$58,(IF(N47&lt;0,0,N47*$K$50))))</f>
        <v>2.625</v>
      </c>
      <c r="O50" s="2154">
        <f t="shared" ref="O50:Q50" si="275">IF(O47&gt;$J$58,$J$50,IF(O47&lt;$J$58,(IF(O47&lt;0,0,O47*$K$50))))</f>
        <v>2.625</v>
      </c>
      <c r="P50" s="2154">
        <f t="shared" si="274"/>
        <v>0</v>
      </c>
      <c r="Q50" s="2154">
        <f t="shared" si="275"/>
        <v>2.625</v>
      </c>
      <c r="R50" s="2154">
        <f t="shared" ref="R50:S50" si="276">IF(R47&gt;$J$58,$J$50,IF(R47&lt;$J$58,(IF(R47&lt;0,0,R47*$K$50))))</f>
        <v>2.625</v>
      </c>
      <c r="S50" s="2154">
        <f t="shared" si="276"/>
        <v>2.625</v>
      </c>
      <c r="T50" s="2154">
        <f t="shared" ref="T50" si="277">IF(T47&gt;$J$58,$J$50,IF(T47&lt;$J$58,(IF(T47&lt;0,0,T47*$K$50))))</f>
        <v>2.625</v>
      </c>
      <c r="U50" s="1814"/>
      <c r="V50" s="2153">
        <f>SUM(N50:T50)</f>
        <v>15.75</v>
      </c>
      <c r="W50" s="2157">
        <f>$J$50*0</f>
        <v>0</v>
      </c>
      <c r="X50" s="2158">
        <f>V50-W50</f>
        <v>15.75</v>
      </c>
      <c r="Y50" s="1814"/>
      <c r="Z50" s="2153">
        <f t="shared" ref="Z50:AA50" si="278">IF(Z47&gt;$J$58,$J$50,IF(Z47&lt;$J$58,(IF(Z47&lt;0,0,Z47*$K$50))))</f>
        <v>2.625</v>
      </c>
      <c r="AA50" s="2157">
        <f t="shared" si="278"/>
        <v>2.625</v>
      </c>
      <c r="AB50" s="2157">
        <f t="shared" ref="AB50:AD50" si="279">IF(AB47&gt;$J$58,$J$50,IF(AB47&lt;$J$58,(IF(AB47&lt;0,0,AB47*$K$50))))</f>
        <v>0</v>
      </c>
      <c r="AC50" s="2157">
        <f t="shared" si="279"/>
        <v>0</v>
      </c>
      <c r="AD50" s="2157">
        <f t="shared" si="279"/>
        <v>2.625</v>
      </c>
      <c r="AE50" s="2157">
        <f t="shared" ref="AE50" si="280">IF(AE47&gt;$J$58,$J$50,IF(AE47&lt;$J$58,(IF(AE47&lt;0,0,AE47*$K$50))))</f>
        <v>2.625</v>
      </c>
      <c r="AF50" s="2156">
        <f t="shared" ref="AF50" si="281">IF(AF47&gt;$J$58,$J$50,IF(AF47&lt;$J$58,(IF(AF47&lt;0,0,AF47*$K$50))))</f>
        <v>2.625</v>
      </c>
      <c r="AG50" s="1814"/>
      <c r="AH50" s="2153">
        <f t="shared" ref="AH50:AH70" si="282">SUM(Z50:AF50)</f>
        <v>13.125</v>
      </c>
      <c r="AI50" s="2157">
        <f>$J$50*0</f>
        <v>0</v>
      </c>
      <c r="AJ50" s="2158">
        <f t="shared" ref="AJ50:AJ70" si="283">AH50-AI50</f>
        <v>13.125</v>
      </c>
      <c r="AK50" s="1814"/>
      <c r="AL50" s="2153">
        <f t="shared" ref="AL50" si="284">IF(AL47&gt;$J$58,$J$50,IF(AL47&lt;$J$58,(IF(AL47&lt;0,0,AL47*$K$50))))</f>
        <v>2.625</v>
      </c>
      <c r="AM50" s="2154">
        <f t="shared" ref="AM50" si="285">IF(AM47&gt;$J$58,$J$50,IF(AM47&lt;$J$58,(IF(AM47&lt;0,0,AM47*$K$50))))</f>
        <v>2.625</v>
      </c>
      <c r="AN50" s="2154">
        <f t="shared" ref="AN50:AP50" si="286">IF(AN47&gt;$J$58,$J$50,IF(AN47&lt;$J$58,(IF(AN47&lt;0,0,AN47*$K$50))))</f>
        <v>0</v>
      </c>
      <c r="AO50" s="2154">
        <f t="shared" si="286"/>
        <v>0</v>
      </c>
      <c r="AP50" s="2154">
        <f t="shared" si="286"/>
        <v>2.625</v>
      </c>
      <c r="AQ50" s="2154">
        <f t="shared" ref="AQ50:AR50" si="287">IF(AQ47&gt;$J$58,$J$50,IF(AQ47&lt;$J$58,(IF(AQ47&lt;0,0,AQ47*$K$50))))</f>
        <v>2.625</v>
      </c>
      <c r="AR50" s="2154">
        <f t="shared" si="287"/>
        <v>2.625</v>
      </c>
      <c r="AS50" s="1814"/>
      <c r="AT50" s="2153">
        <f t="shared" ref="AT50:AT57" si="288">SUM(AL50:AR50)</f>
        <v>13.125</v>
      </c>
      <c r="AU50" s="2157">
        <f>$J$50*0</f>
        <v>0</v>
      </c>
      <c r="AV50" s="2158">
        <f t="shared" ref="AV50:AV57" si="289">AT50-AU50</f>
        <v>13.125</v>
      </c>
      <c r="AW50" s="1814"/>
      <c r="AX50" s="2153">
        <f t="shared" ref="AX50:AY50" si="290">IF(AX47&gt;$J$58,$J$50,IF(AX47&lt;$J$58,(IF(AX47&lt;0,0,AX47*$K$50))))</f>
        <v>2.625</v>
      </c>
      <c r="AY50" s="2154">
        <f t="shared" si="290"/>
        <v>2.625</v>
      </c>
      <c r="AZ50" s="2088">
        <f t="shared" ref="AZ50:BA50" si="291">IF(AZ47&gt;$J$58,$J$50,IF(AZ47&lt;$J$58,(IF(AZ47&lt;0,0,AZ47*$K$50))))</f>
        <v>0</v>
      </c>
      <c r="BA50" s="2088">
        <f t="shared" si="291"/>
        <v>2.625</v>
      </c>
      <c r="BB50" s="2088">
        <f t="shared" ref="BB50:BC50" si="292">IF(BB47&gt;$J$58,$J$50,IF(BB47&lt;$J$58,(IF(BB47&lt;0,0,BB47*$K$50))))</f>
        <v>2.625</v>
      </c>
      <c r="BC50" s="2088">
        <f t="shared" si="292"/>
        <v>2.625</v>
      </c>
      <c r="BD50" s="2091">
        <f t="shared" ref="BD50" si="293">IF(BD47&gt;$J$58,$J$50,IF(BD47&lt;$J$58,(IF(BD47&lt;0,0,BD47*$K$50))))</f>
        <v>2.625</v>
      </c>
      <c r="BE50" s="1814"/>
      <c r="BF50" s="2153">
        <f t="shared" ref="BF50:BF57" si="294">SUM(AX50:BD50)</f>
        <v>15.75</v>
      </c>
      <c r="BG50" s="2157">
        <f>$J$50*0</f>
        <v>0</v>
      </c>
      <c r="BH50" s="2158">
        <f t="shared" ref="BH50:BH57" si="295">BF50-BG50</f>
        <v>15.75</v>
      </c>
      <c r="BI50" s="1814"/>
      <c r="BJ50" s="2090">
        <f t="shared" ref="BJ50:BK50" si="296">IF(BJ47&gt;$J$58,$J$50,IF(BJ47&lt;$J$58,(IF(BJ47&lt;0,0,BJ47*$K$50))))</f>
        <v>2.625</v>
      </c>
      <c r="BK50" s="2091">
        <f t="shared" si="296"/>
        <v>2.625</v>
      </c>
      <c r="BL50" s="1814"/>
      <c r="BM50" s="2153">
        <f t="shared" si="270"/>
        <v>5.25</v>
      </c>
      <c r="BN50" s="2157">
        <f>$J$50*0</f>
        <v>0</v>
      </c>
      <c r="BO50" s="2158">
        <f t="shared" ref="BO50:BO57" si="297">BM50-BN50</f>
        <v>5.25</v>
      </c>
      <c r="BQ50" s="2153"/>
      <c r="BR50" s="2616"/>
      <c r="BT50" s="2153">
        <f t="shared" si="271"/>
        <v>60.375</v>
      </c>
      <c r="BU50" s="2617">
        <f t="shared" si="272"/>
        <v>0.95833333333333337</v>
      </c>
      <c r="BV50" s="2351"/>
      <c r="BW50" s="4636"/>
      <c r="BY50" s="4627"/>
      <c r="BZ50" s="1861"/>
      <c r="CA50" s="1861"/>
      <c r="CB50" s="1861"/>
      <c r="CC50" s="1861"/>
      <c r="CD50" s="1861"/>
      <c r="CE50" s="1861"/>
      <c r="CF50" s="1861"/>
      <c r="CG50" s="1861"/>
      <c r="CH50" s="1861"/>
    </row>
    <row r="51" spans="1:86" s="1900" customFormat="1" ht="15.75" x14ac:dyDescent="0.2">
      <c r="A51" s="2464"/>
      <c r="B51" s="2161">
        <v>40</v>
      </c>
      <c r="C51" s="2162" t="s">
        <v>117</v>
      </c>
      <c r="D51" s="2119"/>
      <c r="E51" s="2169">
        <v>37</v>
      </c>
      <c r="F51" s="2176">
        <f t="shared" ref="F51:F57" si="298">E51/10</f>
        <v>3.7</v>
      </c>
      <c r="G51" s="2176">
        <f t="shared" ref="G51:G57" si="299">E51/15</f>
        <v>2.4666666666666668</v>
      </c>
      <c r="H51" s="2176">
        <f t="shared" ref="H51:H57" si="300">E51/20</f>
        <v>1.85</v>
      </c>
      <c r="I51" s="2176">
        <f t="shared" ref="I51:I57" si="301">E51/25</f>
        <v>1.48</v>
      </c>
      <c r="J51" s="2176">
        <f t="shared" si="273"/>
        <v>1.5416666666666667</v>
      </c>
      <c r="K51" s="2177">
        <f t="shared" ref="K51:K57" si="302">E51/$E$58</f>
        <v>0.10995542347696879</v>
      </c>
      <c r="L51" s="2468"/>
      <c r="M51" s="2339"/>
      <c r="N51" s="2618">
        <f t="shared" ref="N51:P51" si="303">IF(N47&gt;$J$58,$J$51,IF(N47&lt;$J$58,(IF(N47&lt;0,0,N47*$K$51))))</f>
        <v>1.5416666666666667</v>
      </c>
      <c r="O51" s="2164">
        <f t="shared" ref="O51:Q51" si="304">IF(O47&gt;$J$58,$J$51,IF(O47&lt;$J$58,(IF(O47&lt;0,0,O47*$K$51))))</f>
        <v>1.5416666666666667</v>
      </c>
      <c r="P51" s="2164">
        <f t="shared" si="303"/>
        <v>0</v>
      </c>
      <c r="Q51" s="2164">
        <f t="shared" si="304"/>
        <v>1.5416666666666667</v>
      </c>
      <c r="R51" s="2164">
        <f t="shared" ref="R51:S51" si="305">IF(R47&gt;$J$58,$J$51,IF(R47&lt;$J$58,(IF(R47&lt;0,0,R47*$K$51))))</f>
        <v>1.5416666666666667</v>
      </c>
      <c r="S51" s="2164">
        <f t="shared" si="305"/>
        <v>1.5416666666666667</v>
      </c>
      <c r="T51" s="2164">
        <f t="shared" ref="T51" si="306">IF(T47&gt;$J$58,$J$51,IF(T47&lt;$J$58,(IF(T47&lt;0,0,T47*$K$51))))</f>
        <v>1.5416666666666667</v>
      </c>
      <c r="U51" s="1951"/>
      <c r="V51" s="2163">
        <f t="shared" ref="V51" si="307">SUM(N51:T51)</f>
        <v>9.25</v>
      </c>
      <c r="W51" s="2167">
        <f>$J$51*0</f>
        <v>0</v>
      </c>
      <c r="X51" s="2168">
        <f>V51-W51</f>
        <v>9.25</v>
      </c>
      <c r="Y51" s="1951"/>
      <c r="Z51" s="2163">
        <f t="shared" ref="Z51:AA51" si="308">IF(Z47&gt;$J$58,$J$51,IF(Z47&lt;$J$58,(IF(Z47&lt;0,0,Z47*$K$51))))</f>
        <v>1.5416666666666667</v>
      </c>
      <c r="AA51" s="2167">
        <f t="shared" si="308"/>
        <v>1.5416666666666667</v>
      </c>
      <c r="AB51" s="2167">
        <f t="shared" ref="AB51:AD51" si="309">IF(AB47&gt;$J$58,$J$51,IF(AB47&lt;$J$58,(IF(AB47&lt;0,0,AB47*$K$51))))</f>
        <v>0</v>
      </c>
      <c r="AC51" s="2167">
        <f t="shared" si="309"/>
        <v>0</v>
      </c>
      <c r="AD51" s="2167">
        <f t="shared" si="309"/>
        <v>1.5416666666666667</v>
      </c>
      <c r="AE51" s="2167">
        <f t="shared" ref="AE51" si="310">IF(AE47&gt;$J$58,$J$51,IF(AE47&lt;$J$58,(IF(AE47&lt;0,0,AE47*$K$51))))</f>
        <v>1.5416666666666667</v>
      </c>
      <c r="AF51" s="2166">
        <f t="shared" ref="AF51" si="311">IF(AF47&gt;$J$58,$J$51,IF(AF47&lt;$J$58,(IF(AF47&lt;0,0,AF47*$K$51))))</f>
        <v>1.5416666666666667</v>
      </c>
      <c r="AG51" s="1951"/>
      <c r="AH51" s="2163">
        <f t="shared" si="282"/>
        <v>7.7083333333333339</v>
      </c>
      <c r="AI51" s="2167">
        <f>$J$51*0</f>
        <v>0</v>
      </c>
      <c r="AJ51" s="2168">
        <f t="shared" si="283"/>
        <v>7.7083333333333339</v>
      </c>
      <c r="AK51" s="1951"/>
      <c r="AL51" s="2163">
        <f t="shared" ref="AL51" si="312">IF(AL47&gt;$J$58,$J$51,IF(AL47&lt;$J$58,(IF(AL47&lt;0,0,AL47*$K$51))))</f>
        <v>1.5416666666666667</v>
      </c>
      <c r="AM51" s="2164">
        <f t="shared" ref="AM51" si="313">IF(AM47&gt;$J$58,$J$51,IF(AM47&lt;$J$58,(IF(AM47&lt;0,0,AM47*$K$51))))</f>
        <v>1.5416666666666667</v>
      </c>
      <c r="AN51" s="2164">
        <f t="shared" ref="AN51:AP51" si="314">IF(AN47&gt;$J$58,$J$51,IF(AN47&lt;$J$58,(IF(AN47&lt;0,0,AN47*$K$51))))</f>
        <v>0</v>
      </c>
      <c r="AO51" s="2164">
        <f t="shared" si="314"/>
        <v>0</v>
      </c>
      <c r="AP51" s="2164">
        <f t="shared" si="314"/>
        <v>1.5416666666666667</v>
      </c>
      <c r="AQ51" s="2164">
        <f t="shared" ref="AQ51:AR51" si="315">IF(AQ47&gt;$J$58,$J$51,IF(AQ47&lt;$J$58,(IF(AQ47&lt;0,0,AQ47*$K$51))))</f>
        <v>1.5416666666666667</v>
      </c>
      <c r="AR51" s="2164">
        <f t="shared" si="315"/>
        <v>1.5416666666666667</v>
      </c>
      <c r="AS51" s="1951"/>
      <c r="AT51" s="2163">
        <f t="shared" si="288"/>
        <v>7.7083333333333339</v>
      </c>
      <c r="AU51" s="2167">
        <f>$J$51*0</f>
        <v>0</v>
      </c>
      <c r="AV51" s="2168">
        <f t="shared" si="289"/>
        <v>7.7083333333333339</v>
      </c>
      <c r="AW51" s="1951"/>
      <c r="AX51" s="2163">
        <f t="shared" ref="AX51:AY51" si="316">IF(AX47&gt;$J$58,$J$51,IF(AX47&lt;$J$58,(IF(AX47&lt;0,0,AX47*$K$51))))</f>
        <v>1.5416666666666667</v>
      </c>
      <c r="AY51" s="2164">
        <f t="shared" si="316"/>
        <v>1.5416666666666667</v>
      </c>
      <c r="AZ51" s="2176">
        <f t="shared" ref="AZ51:BA51" si="317">IF(AZ47&gt;$J$58,$J$51,IF(AZ47&lt;$J$58,(IF(AZ47&lt;0,0,AZ47*$K$51))))</f>
        <v>0</v>
      </c>
      <c r="BA51" s="2176">
        <f t="shared" si="317"/>
        <v>1.5416666666666667</v>
      </c>
      <c r="BB51" s="2176">
        <f t="shared" ref="BB51:BC51" si="318">IF(BB47&gt;$J$58,$J$51,IF(BB47&lt;$J$58,(IF(BB47&lt;0,0,BB47*$K$51))))</f>
        <v>1.5416666666666667</v>
      </c>
      <c r="BC51" s="2176">
        <f t="shared" si="318"/>
        <v>1.5416666666666667</v>
      </c>
      <c r="BD51" s="2171">
        <f t="shared" ref="BD51" si="319">IF(BD47&gt;$J$58,$J$51,IF(BD47&lt;$J$58,(IF(BD47&lt;0,0,BD47*$K$51))))</f>
        <v>1.5416666666666667</v>
      </c>
      <c r="BE51" s="1951"/>
      <c r="BF51" s="2163">
        <f t="shared" si="294"/>
        <v>9.25</v>
      </c>
      <c r="BG51" s="2167">
        <f>$J$51*0</f>
        <v>0</v>
      </c>
      <c r="BH51" s="2168">
        <f t="shared" si="295"/>
        <v>9.25</v>
      </c>
      <c r="BI51" s="1951"/>
      <c r="BJ51" s="2169">
        <f t="shared" ref="BJ51:BK51" si="320">IF(BJ47&gt;$J$58,$J$51,IF(BJ47&lt;$J$58,(IF(BJ47&lt;0,0,BJ47*$K$51))))</f>
        <v>1.5416666666666667</v>
      </c>
      <c r="BK51" s="2171">
        <f t="shared" si="320"/>
        <v>1.5416666666666667</v>
      </c>
      <c r="BL51" s="1951"/>
      <c r="BM51" s="2163">
        <f t="shared" si="270"/>
        <v>3.0833333333333335</v>
      </c>
      <c r="BN51" s="2167">
        <f>$J$51*0</f>
        <v>0</v>
      </c>
      <c r="BO51" s="2168">
        <f t="shared" si="297"/>
        <v>3.0833333333333335</v>
      </c>
      <c r="BQ51" s="2163"/>
      <c r="BR51" s="2619"/>
      <c r="BT51" s="2163">
        <f t="shared" si="271"/>
        <v>35.458333333333336</v>
      </c>
      <c r="BU51" s="2620">
        <f t="shared" si="272"/>
        <v>0.95833333333333337</v>
      </c>
      <c r="BV51" s="2353"/>
      <c r="BW51" s="4636"/>
      <c r="BY51" s="4627"/>
      <c r="BZ51" s="2011"/>
      <c r="CA51" s="2011"/>
      <c r="CB51" s="2011"/>
      <c r="CC51" s="2011"/>
      <c r="CD51" s="2011"/>
      <c r="CE51" s="2011"/>
      <c r="CF51" s="2011"/>
      <c r="CG51" s="2011"/>
      <c r="CH51" s="2011"/>
    </row>
    <row r="52" spans="1:86" s="1726" customFormat="1" x14ac:dyDescent="0.2">
      <c r="B52" s="2085">
        <v>41</v>
      </c>
      <c r="C52" s="2086" t="s">
        <v>246</v>
      </c>
      <c r="D52" s="2051"/>
      <c r="E52" s="2087">
        <v>37</v>
      </c>
      <c r="F52" s="2088">
        <f t="shared" si="298"/>
        <v>3.7</v>
      </c>
      <c r="G52" s="2088">
        <f t="shared" si="299"/>
        <v>2.4666666666666668</v>
      </c>
      <c r="H52" s="2088">
        <f t="shared" si="300"/>
        <v>1.85</v>
      </c>
      <c r="I52" s="2088">
        <f t="shared" si="301"/>
        <v>1.48</v>
      </c>
      <c r="J52" s="2088">
        <f t="shared" si="273"/>
        <v>1.5416666666666667</v>
      </c>
      <c r="K52" s="2089">
        <f t="shared" si="302"/>
        <v>0.10995542347696879</v>
      </c>
      <c r="L52" s="1931"/>
      <c r="M52" s="1924"/>
      <c r="N52" s="2284">
        <f t="shared" ref="N52:P52" si="321">IF(N47&gt;$J$58,$J$52,IF(N47&lt;$J$58,(IF(N47&lt;0,0,N47*$K$52))))</f>
        <v>1.5416666666666667</v>
      </c>
      <c r="O52" s="2088">
        <f t="shared" ref="O52:Q52" si="322">IF(O47&gt;$J$58,$J$52,IF(O47&lt;$J$58,(IF(O47&lt;0,0,O47*$K$52))))</f>
        <v>1.5416666666666667</v>
      </c>
      <c r="P52" s="2088">
        <f t="shared" si="321"/>
        <v>0</v>
      </c>
      <c r="Q52" s="2088">
        <f t="shared" si="322"/>
        <v>1.5416666666666667</v>
      </c>
      <c r="R52" s="2088">
        <f t="shared" ref="R52:S52" si="323">IF(R47&gt;$J$58,$J$52,IF(R47&lt;$J$58,(IF(R47&lt;0,0,R47*$K$52))))</f>
        <v>1.5416666666666667</v>
      </c>
      <c r="S52" s="2088">
        <f t="shared" si="323"/>
        <v>1.5416666666666667</v>
      </c>
      <c r="T52" s="2091">
        <f t="shared" ref="T52" si="324">IF(T47&gt;$J$58,$J$52,IF(T47&lt;$J$58,(IF(T47&lt;0,0,T47*$K$52))))</f>
        <v>1.5416666666666667</v>
      </c>
      <c r="U52" s="1814"/>
      <c r="V52" s="2090">
        <f t="shared" si="88"/>
        <v>9.25</v>
      </c>
      <c r="W52" s="2087">
        <f>$J$52*0</f>
        <v>0</v>
      </c>
      <c r="X52" s="2174">
        <f>V52-W52</f>
        <v>9.25</v>
      </c>
      <c r="Y52" s="1766"/>
      <c r="Z52" s="2090">
        <f t="shared" ref="Z52:AA52" si="325">IF(Z47&gt;$J$58,$J$52,IF(Z47&lt;$J$58,(IF(Z47&lt;0,0,Z47*$K$52))))</f>
        <v>1.5416666666666667</v>
      </c>
      <c r="AA52" s="2087">
        <f t="shared" si="325"/>
        <v>1.5416666666666667</v>
      </c>
      <c r="AB52" s="2087">
        <f t="shared" ref="AB52:AD52" si="326">IF(AB47&gt;$J$58,$J$52,IF(AB47&lt;$J$58,(IF(AB47&lt;0,0,AB47*$K$52))))</f>
        <v>0</v>
      </c>
      <c r="AC52" s="2087">
        <f t="shared" si="326"/>
        <v>0</v>
      </c>
      <c r="AD52" s="2087">
        <f t="shared" si="326"/>
        <v>1.5416666666666667</v>
      </c>
      <c r="AE52" s="2087">
        <f t="shared" ref="AE52" si="327">IF(AE47&gt;$J$58,$J$52,IF(AE47&lt;$J$58,(IF(AE47&lt;0,0,AE47*$K$52))))</f>
        <v>1.5416666666666667</v>
      </c>
      <c r="AF52" s="2091">
        <f t="shared" ref="AF52" si="328">IF(AF47&gt;$J$58,$J$52,IF(AF47&lt;$J$58,(IF(AF47&lt;0,0,AF47*$K$52))))</f>
        <v>1.5416666666666667</v>
      </c>
      <c r="AG52" s="1766"/>
      <c r="AH52" s="2090">
        <f t="shared" si="282"/>
        <v>7.7083333333333339</v>
      </c>
      <c r="AI52" s="2087">
        <f>$J$52*0</f>
        <v>0</v>
      </c>
      <c r="AJ52" s="2174">
        <f t="shared" si="283"/>
        <v>7.7083333333333339</v>
      </c>
      <c r="AK52" s="1766"/>
      <c r="AL52" s="2090">
        <f t="shared" ref="AL52" si="329">IF(AL47&gt;$J$58,$J$52,IF(AL47&lt;$J$58,(IF(AL47&lt;0,0,AL47*$K$52))))</f>
        <v>1.5416666666666667</v>
      </c>
      <c r="AM52" s="2088">
        <f t="shared" ref="AM52" si="330">IF(AM47&gt;$J$58,$J$52,IF(AM47&lt;$J$58,(IF(AM47&lt;0,0,AM47*$K$52))))</f>
        <v>1.5416666666666667</v>
      </c>
      <c r="AN52" s="2088">
        <f t="shared" ref="AN52:AP52" si="331">IF(AN47&gt;$J$58,$J$52,IF(AN47&lt;$J$58,(IF(AN47&lt;0,0,AN47*$K$52))))</f>
        <v>0</v>
      </c>
      <c r="AO52" s="2088">
        <f t="shared" si="331"/>
        <v>0</v>
      </c>
      <c r="AP52" s="2088">
        <f t="shared" si="331"/>
        <v>1.5416666666666667</v>
      </c>
      <c r="AQ52" s="2088">
        <f t="shared" ref="AQ52:AR52" si="332">IF(AQ47&gt;$J$58,$J$52,IF(AQ47&lt;$J$58,(IF(AQ47&lt;0,0,AQ47*$K$52))))</f>
        <v>1.5416666666666667</v>
      </c>
      <c r="AR52" s="2088">
        <f t="shared" si="332"/>
        <v>1.5416666666666667</v>
      </c>
      <c r="AS52" s="1814"/>
      <c r="AT52" s="2090">
        <f t="shared" si="288"/>
        <v>7.7083333333333339</v>
      </c>
      <c r="AU52" s="2087">
        <f>$J$52*0</f>
        <v>0</v>
      </c>
      <c r="AV52" s="2174">
        <f t="shared" si="289"/>
        <v>7.7083333333333339</v>
      </c>
      <c r="AW52" s="1814"/>
      <c r="AX52" s="2090">
        <f>IF(AX47&gt;$J$58,$J$52,IF(AX47&lt;$J$58,(IF(AX47&lt;0,0,AX47*$K$52))))</f>
        <v>1.5416666666666667</v>
      </c>
      <c r="AY52" s="2088">
        <f t="shared" ref="AY52" si="333">IF(AY47&gt;$J$58,$J$52,IF(AY47&lt;$J$58,(IF(AY47&lt;0,0,AY47*$K$52))))</f>
        <v>1.5416666666666667</v>
      </c>
      <c r="AZ52" s="2088">
        <f t="shared" ref="AZ52:BA52" si="334">IF(AZ47&gt;$J$58,$J$52,IF(AZ47&lt;$J$58,(IF(AZ47&lt;0,0,AZ47*$K$52))))</f>
        <v>0</v>
      </c>
      <c r="BA52" s="2088">
        <f t="shared" si="334"/>
        <v>1.5416666666666667</v>
      </c>
      <c r="BB52" s="2088">
        <f t="shared" ref="BB52:BC52" si="335">IF(BB47&gt;$J$58,$J$52,IF(BB47&lt;$J$58,(IF(BB47&lt;0,0,BB47*$K$52))))</f>
        <v>1.5416666666666667</v>
      </c>
      <c r="BC52" s="2088">
        <f t="shared" si="335"/>
        <v>1.5416666666666667</v>
      </c>
      <c r="BD52" s="2091">
        <f t="shared" ref="BD52" si="336">IF(BD47&gt;$J$58,$J$52,IF(BD47&lt;$J$58,(IF(BD47&lt;0,0,BD47*$K$52))))</f>
        <v>1.5416666666666667</v>
      </c>
      <c r="BE52" s="1814"/>
      <c r="BF52" s="2090">
        <f t="shared" si="294"/>
        <v>9.25</v>
      </c>
      <c r="BG52" s="2087">
        <f>$J$52*0</f>
        <v>0</v>
      </c>
      <c r="BH52" s="2174">
        <f t="shared" si="295"/>
        <v>9.25</v>
      </c>
      <c r="BI52" s="1814"/>
      <c r="BJ52" s="2090">
        <f t="shared" ref="BJ52:BK52" si="337">IF(BJ47&gt;$J$58,$J$52,IF(BJ47&lt;$J$58,(IF(BJ47&lt;0,0,BJ47*$K$52))))</f>
        <v>1.5416666666666667</v>
      </c>
      <c r="BK52" s="2091">
        <f t="shared" si="337"/>
        <v>1.5416666666666667</v>
      </c>
      <c r="BL52" s="1814"/>
      <c r="BM52" s="2090">
        <f t="shared" si="270"/>
        <v>3.0833333333333335</v>
      </c>
      <c r="BN52" s="2087">
        <f>$J$52*0</f>
        <v>0</v>
      </c>
      <c r="BO52" s="2174">
        <f t="shared" si="297"/>
        <v>3.0833333333333335</v>
      </c>
      <c r="BQ52" s="2090"/>
      <c r="BR52" s="2159"/>
      <c r="BS52" s="1740"/>
      <c r="BT52" s="2090">
        <f t="shared" si="271"/>
        <v>35.458333333333336</v>
      </c>
      <c r="BU52" s="2160">
        <f t="shared" si="272"/>
        <v>0.95833333333333337</v>
      </c>
      <c r="BV52" s="2351"/>
      <c r="BW52" s="4636"/>
      <c r="BY52" s="4627"/>
      <c r="BZ52" s="1830"/>
      <c r="CA52" s="2131"/>
      <c r="CB52" s="1830"/>
      <c r="CC52" s="1860"/>
      <c r="CD52" s="1860"/>
      <c r="CE52" s="1860"/>
      <c r="CF52" s="1860"/>
      <c r="CG52" s="1860"/>
      <c r="CH52" s="1860"/>
    </row>
    <row r="53" spans="1:86" s="1885" customFormat="1" x14ac:dyDescent="0.2">
      <c r="B53" s="2182">
        <v>42</v>
      </c>
      <c r="C53" s="2175" t="s">
        <v>118</v>
      </c>
      <c r="D53" s="2119"/>
      <c r="E53" s="2170">
        <v>35</v>
      </c>
      <c r="F53" s="2176">
        <f t="shared" si="298"/>
        <v>3.5</v>
      </c>
      <c r="G53" s="2176">
        <f t="shared" si="299"/>
        <v>2.3333333333333335</v>
      </c>
      <c r="H53" s="2176">
        <f t="shared" si="300"/>
        <v>1.75</v>
      </c>
      <c r="I53" s="2176">
        <f t="shared" si="301"/>
        <v>1.4</v>
      </c>
      <c r="J53" s="2176">
        <f t="shared" si="273"/>
        <v>1.4583333333333333</v>
      </c>
      <c r="K53" s="2177">
        <f t="shared" si="302"/>
        <v>0.10401188707280833</v>
      </c>
      <c r="L53" s="2003"/>
      <c r="M53" s="1950"/>
      <c r="N53" s="2415">
        <f t="shared" ref="N53:P53" si="338">IF(N47&gt;$J$58,$J$53,IF(N47&lt;$J$58,(IF(N47&lt;0,0,N47*$K$53))))</f>
        <v>1.4583333333333333</v>
      </c>
      <c r="O53" s="2176">
        <f t="shared" ref="O53:Q53" si="339">IF(O47&gt;$J$58,$J$53,IF(O47&lt;$J$58,(IF(O47&lt;0,0,O47*$K$53))))</f>
        <v>1.4583333333333333</v>
      </c>
      <c r="P53" s="2176">
        <f t="shared" si="338"/>
        <v>0</v>
      </c>
      <c r="Q53" s="2176">
        <f t="shared" si="339"/>
        <v>1.4583333333333333</v>
      </c>
      <c r="R53" s="2176">
        <f t="shared" ref="R53:S53" si="340">IF(R47&gt;$J$58,$J$53,IF(R47&lt;$J$58,(IF(R47&lt;0,0,R47*$K$53))))</f>
        <v>1.4583333333333333</v>
      </c>
      <c r="S53" s="2176">
        <f t="shared" si="340"/>
        <v>1.4583333333333333</v>
      </c>
      <c r="T53" s="2171">
        <f t="shared" ref="T53" si="341">IF(T47&gt;$J$58,$J$53,IF(T47&lt;$J$58,(IF(T47&lt;0,0,T47*$K$53))))</f>
        <v>1.4583333333333333</v>
      </c>
      <c r="U53" s="1951"/>
      <c r="V53" s="2169">
        <f t="shared" si="88"/>
        <v>8.75</v>
      </c>
      <c r="W53" s="2176">
        <f>$J$53*0</f>
        <v>0</v>
      </c>
      <c r="X53" s="2171">
        <f t="shared" ref="X53:X70" si="342">V53-W53</f>
        <v>8.75</v>
      </c>
      <c r="Y53" s="1956"/>
      <c r="Z53" s="2169">
        <f t="shared" ref="Z53:AA53" si="343">IF(Z47&gt;$J$58,$J$53,IF(Z47&lt;$J$58,(IF(Z47&lt;0,0,Z47*$K$53))))</f>
        <v>1.4583333333333333</v>
      </c>
      <c r="AA53" s="2176">
        <f t="shared" si="343"/>
        <v>1.4583333333333333</v>
      </c>
      <c r="AB53" s="2176">
        <f t="shared" ref="AB53:AD53" si="344">IF(AB47&gt;$J$58,$J$53,IF(AB47&lt;$J$58,(IF(AB47&lt;0,0,AB47*$K$53))))</f>
        <v>0</v>
      </c>
      <c r="AC53" s="2176">
        <f t="shared" si="344"/>
        <v>0</v>
      </c>
      <c r="AD53" s="2176">
        <f t="shared" si="344"/>
        <v>1.4583333333333333</v>
      </c>
      <c r="AE53" s="2176">
        <f t="shared" ref="AE53" si="345">IF(AE47&gt;$J$58,$J$53,IF(AE47&lt;$J$58,(IF(AE47&lt;0,0,AE47*$K$53))))</f>
        <v>1.4583333333333333</v>
      </c>
      <c r="AF53" s="2171">
        <f t="shared" ref="AF53" si="346">IF(AF47&gt;$J$58,$J$53,IF(AF47&lt;$J$58,(IF(AF47&lt;0,0,AF47*$K$53))))</f>
        <v>1.4583333333333333</v>
      </c>
      <c r="AG53" s="1956"/>
      <c r="AH53" s="2169">
        <f t="shared" si="282"/>
        <v>7.2916666666666661</v>
      </c>
      <c r="AI53" s="2176">
        <f>$J$53*0</f>
        <v>0</v>
      </c>
      <c r="AJ53" s="2171">
        <f t="shared" si="283"/>
        <v>7.2916666666666661</v>
      </c>
      <c r="AK53" s="1956"/>
      <c r="AL53" s="2169">
        <f t="shared" ref="AL53" si="347">IF(AL47&gt;$J$58,$J$53,IF(AL47&lt;$J$58,(IF(AL47&lt;0,0,AL47*$K$53))))</f>
        <v>1.4583333333333333</v>
      </c>
      <c r="AM53" s="2176">
        <f t="shared" ref="AM53" si="348">IF(AM47&gt;$J$58,$J$53,IF(AM47&lt;$J$58,(IF(AM47&lt;0,0,AM47*$K$53))))</f>
        <v>1.4583333333333333</v>
      </c>
      <c r="AN53" s="2176">
        <f t="shared" ref="AN53:AP53" si="349">IF(AN47&gt;$J$58,$J$53,IF(AN47&lt;$J$58,(IF(AN47&lt;0,0,AN47*$K$53))))</f>
        <v>0</v>
      </c>
      <c r="AO53" s="2176">
        <f t="shared" si="349"/>
        <v>0</v>
      </c>
      <c r="AP53" s="2176">
        <f t="shared" si="349"/>
        <v>1.4583333333333333</v>
      </c>
      <c r="AQ53" s="2176">
        <f t="shared" ref="AQ53:AR53" si="350">IF(AQ47&gt;$J$58,$J$53,IF(AQ47&lt;$J$58,(IF(AQ47&lt;0,0,AQ47*$K$53))))</f>
        <v>1.4583333333333333</v>
      </c>
      <c r="AR53" s="2176">
        <f t="shared" si="350"/>
        <v>1.4583333333333333</v>
      </c>
      <c r="AS53" s="1951"/>
      <c r="AT53" s="2169">
        <f t="shared" si="288"/>
        <v>7.2916666666666661</v>
      </c>
      <c r="AU53" s="2176">
        <f>$J$53*0</f>
        <v>0</v>
      </c>
      <c r="AV53" s="2171">
        <f t="shared" si="289"/>
        <v>7.2916666666666661</v>
      </c>
      <c r="AW53" s="1951"/>
      <c r="AX53" s="2169">
        <f>IF(AX47&gt;$J$58,$J$53,IF(AX47&lt;$J$58,(IF(AX47&lt;0,0,AX47*$K$53))))</f>
        <v>1.4583333333333333</v>
      </c>
      <c r="AY53" s="2176">
        <f t="shared" ref="AY53" si="351">IF(AY47&gt;$J$58,$J$53,IF(AY47&lt;$J$58,(IF(AY47&lt;0,0,AY47*$K$53))))</f>
        <v>1.4583333333333333</v>
      </c>
      <c r="AZ53" s="2176">
        <f t="shared" ref="AZ53:BA53" si="352">IF(AZ47&gt;$J$58,$J$53,IF(AZ47&lt;$J$58,(IF(AZ47&lt;0,0,AZ47*$K$53))))</f>
        <v>0</v>
      </c>
      <c r="BA53" s="2176">
        <f t="shared" si="352"/>
        <v>1.4583333333333333</v>
      </c>
      <c r="BB53" s="2176">
        <f t="shared" ref="BB53:BC53" si="353">IF(BB47&gt;$J$58,$J$53,IF(BB47&lt;$J$58,(IF(BB47&lt;0,0,BB47*$K$53))))</f>
        <v>1.4583333333333333</v>
      </c>
      <c r="BC53" s="2176">
        <f t="shared" si="353"/>
        <v>1.4583333333333333</v>
      </c>
      <c r="BD53" s="2171">
        <f t="shared" ref="BD53" si="354">IF(BD47&gt;$J$58,$J$53,IF(BD47&lt;$J$58,(IF(BD47&lt;0,0,BD47*$K$53))))</f>
        <v>1.4583333333333333</v>
      </c>
      <c r="BE53" s="1951"/>
      <c r="BF53" s="2169">
        <f t="shared" si="294"/>
        <v>8.75</v>
      </c>
      <c r="BG53" s="2176">
        <f>$J$53*0</f>
        <v>0</v>
      </c>
      <c r="BH53" s="2171">
        <f t="shared" si="295"/>
        <v>8.75</v>
      </c>
      <c r="BI53" s="1951"/>
      <c r="BJ53" s="2169">
        <f t="shared" ref="BJ53:BK53" si="355">IF(BJ47&gt;$J$58,$J$53,IF(BJ47&lt;$J$58,(IF(BJ47&lt;0,0,BJ47*$K$53))))</f>
        <v>1.4583333333333333</v>
      </c>
      <c r="BK53" s="2171">
        <f t="shared" si="355"/>
        <v>1.4583333333333333</v>
      </c>
      <c r="BL53" s="1951"/>
      <c r="BM53" s="2169">
        <f t="shared" si="270"/>
        <v>2.9166666666666665</v>
      </c>
      <c r="BN53" s="2176">
        <f>$J$53*0</f>
        <v>0</v>
      </c>
      <c r="BO53" s="2171">
        <f t="shared" si="297"/>
        <v>2.9166666666666665</v>
      </c>
      <c r="BQ53" s="2179"/>
      <c r="BR53" s="2180"/>
      <c r="BS53" s="1900"/>
      <c r="BT53" s="2179">
        <f t="shared" si="271"/>
        <v>33.541666666666664</v>
      </c>
      <c r="BU53" s="2181">
        <f t="shared" si="272"/>
        <v>0.95833333333333326</v>
      </c>
      <c r="BV53" s="2353"/>
      <c r="BW53" s="4636"/>
      <c r="BY53" s="4627"/>
      <c r="BZ53" s="1962"/>
      <c r="CA53" s="2339"/>
      <c r="CB53" s="1962"/>
      <c r="CC53" s="1946"/>
      <c r="CD53" s="1946"/>
      <c r="CE53" s="1946"/>
      <c r="CF53" s="1946"/>
      <c r="CG53" s="1946"/>
      <c r="CH53" s="1946"/>
    </row>
    <row r="54" spans="1:86" s="1726" customFormat="1" x14ac:dyDescent="0.2">
      <c r="A54" s="1756"/>
      <c r="B54" s="2085">
        <v>43</v>
      </c>
      <c r="C54" s="2086" t="s">
        <v>269</v>
      </c>
      <c r="D54" s="2051"/>
      <c r="E54" s="2087">
        <v>29.5</v>
      </c>
      <c r="F54" s="2088">
        <f t="shared" si="298"/>
        <v>2.95</v>
      </c>
      <c r="G54" s="2088">
        <f t="shared" si="299"/>
        <v>1.9666666666666666</v>
      </c>
      <c r="H54" s="2088">
        <f t="shared" si="300"/>
        <v>1.4750000000000001</v>
      </c>
      <c r="I54" s="2088">
        <f t="shared" si="301"/>
        <v>1.18</v>
      </c>
      <c r="J54" s="2088">
        <f t="shared" si="273"/>
        <v>1.2291666666666667</v>
      </c>
      <c r="K54" s="2089">
        <f t="shared" si="302"/>
        <v>8.7667161961367007E-2</v>
      </c>
      <c r="L54" s="1931"/>
      <c r="M54" s="1924"/>
      <c r="N54" s="2284">
        <f t="shared" ref="N54:P54" si="356">IF(N47&gt;$J$58,$J$54,IF(N47&lt;$J$58,(IF(N47&lt;0,0,N47*$K$54))))</f>
        <v>1.2291666666666667</v>
      </c>
      <c r="O54" s="2088">
        <f t="shared" ref="O54:Q54" si="357">IF(O47&gt;$J$58,$J$54,IF(O47&lt;$J$58,(IF(O47&lt;0,0,O47*$K$54))))</f>
        <v>1.2291666666666667</v>
      </c>
      <c r="P54" s="2088">
        <f t="shared" si="356"/>
        <v>0</v>
      </c>
      <c r="Q54" s="2088">
        <f t="shared" si="357"/>
        <v>1.2291666666666667</v>
      </c>
      <c r="R54" s="2088">
        <f t="shared" ref="R54:S54" si="358">IF(R47&gt;$J$58,$J$54,IF(R47&lt;$J$58,(IF(R47&lt;0,0,R47*$K$54))))</f>
        <v>1.2291666666666667</v>
      </c>
      <c r="S54" s="2088">
        <f t="shared" si="358"/>
        <v>1.2291666666666667</v>
      </c>
      <c r="T54" s="2091">
        <f t="shared" ref="T54" si="359">IF(T47&gt;$J$58,$J$54,IF(T47&lt;$J$58,(IF(T47&lt;0,0,T47*$K$54))))</f>
        <v>1.2291666666666667</v>
      </c>
      <c r="U54" s="1814"/>
      <c r="V54" s="2090">
        <f t="shared" si="88"/>
        <v>7.3750000000000009</v>
      </c>
      <c r="W54" s="2088">
        <f>$J$54*0</f>
        <v>0</v>
      </c>
      <c r="X54" s="2091">
        <f t="shared" si="342"/>
        <v>7.3750000000000009</v>
      </c>
      <c r="Y54" s="1766"/>
      <c r="Z54" s="2090">
        <f t="shared" ref="Z54:AA54" si="360">IF(Z47&gt;$J$58,$J$54,IF(Z47&lt;$J$58,(IF(Z47&lt;0,0,Z47*$K$54))))</f>
        <v>1.2291666666666667</v>
      </c>
      <c r="AA54" s="2088">
        <f t="shared" si="360"/>
        <v>1.2291666666666667</v>
      </c>
      <c r="AB54" s="2088">
        <f t="shared" ref="AB54:AD54" si="361">IF(AB47&gt;$J$58,$J$54,IF(AB47&lt;$J$58,(IF(AB47&lt;0,0,AB47*$K$54))))</f>
        <v>0</v>
      </c>
      <c r="AC54" s="2088">
        <f t="shared" si="361"/>
        <v>0</v>
      </c>
      <c r="AD54" s="2088">
        <f t="shared" si="361"/>
        <v>1.2291666666666667</v>
      </c>
      <c r="AE54" s="2088">
        <f t="shared" ref="AE54" si="362">IF(AE47&gt;$J$58,$J$54,IF(AE47&lt;$J$58,(IF(AE47&lt;0,0,AE47*$K$54))))</f>
        <v>1.2291666666666667</v>
      </c>
      <c r="AF54" s="2091">
        <f t="shared" ref="AF54" si="363">IF(AF47&gt;$J$58,$J$54,IF(AF47&lt;$J$58,(IF(AF47&lt;0,0,AF47*$K$54))))</f>
        <v>1.2291666666666667</v>
      </c>
      <c r="AG54" s="1766"/>
      <c r="AH54" s="2090">
        <f t="shared" si="282"/>
        <v>6.1458333333333339</v>
      </c>
      <c r="AI54" s="2088">
        <f>$J$54*0</f>
        <v>0</v>
      </c>
      <c r="AJ54" s="2091">
        <f t="shared" si="283"/>
        <v>6.1458333333333339</v>
      </c>
      <c r="AK54" s="1766"/>
      <c r="AL54" s="2090">
        <f t="shared" ref="AL54" si="364">IF(AL47&gt;$J$58,$J$54,IF(AL47&lt;$J$58,(IF(AL47&lt;0,0,AL47*$K$54))))</f>
        <v>1.2291666666666667</v>
      </c>
      <c r="AM54" s="2088">
        <f t="shared" ref="AM54" si="365">IF(AM47&gt;$J$58,$J$54,IF(AM47&lt;$J$58,(IF(AM47&lt;0,0,AM47*$K$54))))</f>
        <v>1.2291666666666667</v>
      </c>
      <c r="AN54" s="2088">
        <f t="shared" ref="AN54:AP54" si="366">IF(AN47&gt;$J$58,$J$54,IF(AN47&lt;$J$58,(IF(AN47&lt;0,0,AN47*$K$54))))</f>
        <v>0</v>
      </c>
      <c r="AO54" s="2088">
        <f t="shared" si="366"/>
        <v>0</v>
      </c>
      <c r="AP54" s="2088">
        <f t="shared" si="366"/>
        <v>1.2291666666666667</v>
      </c>
      <c r="AQ54" s="2088">
        <f t="shared" ref="AQ54:AR54" si="367">IF(AQ47&gt;$J$58,$J$54,IF(AQ47&lt;$J$58,(IF(AQ47&lt;0,0,AQ47*$K$54))))</f>
        <v>1.2291666666666667</v>
      </c>
      <c r="AR54" s="2088">
        <f t="shared" si="367"/>
        <v>1.2291666666666667</v>
      </c>
      <c r="AS54" s="1814"/>
      <c r="AT54" s="2090">
        <f t="shared" si="288"/>
        <v>6.1458333333333339</v>
      </c>
      <c r="AU54" s="2088">
        <f>$J$54*0</f>
        <v>0</v>
      </c>
      <c r="AV54" s="2091">
        <f t="shared" si="289"/>
        <v>6.1458333333333339</v>
      </c>
      <c r="AW54" s="1814"/>
      <c r="AX54" s="2090">
        <f t="shared" ref="AX54:AY54" si="368">IF(AX47&gt;$J$58,$J$54,IF(AX47&lt;$J$58,(IF(AX47&lt;0,0,AX47*$K$54))))</f>
        <v>1.2291666666666667</v>
      </c>
      <c r="AY54" s="2088">
        <f t="shared" si="368"/>
        <v>1.2291666666666667</v>
      </c>
      <c r="AZ54" s="2088">
        <f t="shared" ref="AZ54:BA54" si="369">IF(AZ47&gt;$J$58,$J$54,IF(AZ47&lt;$J$58,(IF(AZ47&lt;0,0,AZ47*$K$54))))</f>
        <v>0</v>
      </c>
      <c r="BA54" s="2088">
        <f t="shared" si="369"/>
        <v>1.2291666666666667</v>
      </c>
      <c r="BB54" s="2088">
        <f t="shared" ref="BB54:BC54" si="370">IF(BB47&gt;$J$58,$J$54,IF(BB47&lt;$J$58,(IF(BB47&lt;0,0,BB47*$K$54))))</f>
        <v>1.2291666666666667</v>
      </c>
      <c r="BC54" s="2088">
        <f t="shared" si="370"/>
        <v>1.2291666666666667</v>
      </c>
      <c r="BD54" s="2091">
        <f t="shared" ref="BD54" si="371">IF(BD47&gt;$J$58,$J$54,IF(BD47&lt;$J$58,(IF(BD47&lt;0,0,BD47*$K$54))))</f>
        <v>1.2291666666666667</v>
      </c>
      <c r="BE54" s="1814"/>
      <c r="BF54" s="2090">
        <f t="shared" si="294"/>
        <v>7.3750000000000009</v>
      </c>
      <c r="BG54" s="2088">
        <f>$J$54*0</f>
        <v>0</v>
      </c>
      <c r="BH54" s="2091">
        <f t="shared" si="295"/>
        <v>7.3750000000000009</v>
      </c>
      <c r="BI54" s="1814"/>
      <c r="BJ54" s="2090">
        <f t="shared" ref="BJ54:BK54" si="372">IF(BJ47&gt;$J$58,$J$54,IF(BJ47&lt;$J$58,(IF(BJ47&lt;0,0,BJ47*$K$54))))</f>
        <v>1.2291666666666667</v>
      </c>
      <c r="BK54" s="2091">
        <f t="shared" si="372"/>
        <v>1.2291666666666667</v>
      </c>
      <c r="BL54" s="1814"/>
      <c r="BM54" s="2090">
        <f t="shared" si="270"/>
        <v>2.4583333333333335</v>
      </c>
      <c r="BN54" s="2088">
        <f>$J$54*0</f>
        <v>0</v>
      </c>
      <c r="BO54" s="2091">
        <f t="shared" si="297"/>
        <v>2.4583333333333335</v>
      </c>
      <c r="BQ54" s="2092"/>
      <c r="BR54" s="2093"/>
      <c r="BS54" s="1740"/>
      <c r="BT54" s="2092">
        <f t="shared" si="271"/>
        <v>28.270833333333339</v>
      </c>
      <c r="BU54" s="2094">
        <f t="shared" si="272"/>
        <v>0.95833333333333348</v>
      </c>
      <c r="BV54" s="2351"/>
      <c r="BW54" s="4636"/>
      <c r="BY54" s="4627"/>
      <c r="BZ54" s="3143"/>
      <c r="CA54" s="3143"/>
      <c r="CB54" s="1860"/>
      <c r="CC54" s="1860"/>
      <c r="CD54" s="1860"/>
      <c r="CE54" s="1860"/>
      <c r="CF54" s="1860"/>
      <c r="CG54" s="1860"/>
      <c r="CH54" s="1860"/>
    </row>
    <row r="55" spans="1:86" s="1885" customFormat="1" x14ac:dyDescent="0.2">
      <c r="B55" s="2182">
        <v>44</v>
      </c>
      <c r="C55" s="2175" t="s">
        <v>123</v>
      </c>
      <c r="D55" s="2119"/>
      <c r="E55" s="2170">
        <v>25</v>
      </c>
      <c r="F55" s="2176">
        <f t="shared" si="298"/>
        <v>2.5</v>
      </c>
      <c r="G55" s="2176">
        <f t="shared" si="299"/>
        <v>1.6666666666666667</v>
      </c>
      <c r="H55" s="2176">
        <f t="shared" si="300"/>
        <v>1.25</v>
      </c>
      <c r="I55" s="2176">
        <f t="shared" si="301"/>
        <v>1</v>
      </c>
      <c r="J55" s="2176">
        <f t="shared" si="273"/>
        <v>1.0416666666666667</v>
      </c>
      <c r="K55" s="2177">
        <f t="shared" si="302"/>
        <v>7.4294205052005943E-2</v>
      </c>
      <c r="L55" s="2003"/>
      <c r="M55" s="1950"/>
      <c r="N55" s="2415">
        <f t="shared" ref="N55:P55" si="373">IF(N47&gt;$J$58,$J$55,IF(N47&lt;$J$58,(IF(N47&lt;0,0,N47*$K$55))))</f>
        <v>1.0416666666666667</v>
      </c>
      <c r="O55" s="2176">
        <f t="shared" ref="O55:Q55" si="374">IF(O47&gt;$J$58,$J$55,IF(O47&lt;$J$58,(IF(O47&lt;0,0,O47*$K$55))))</f>
        <v>1.0416666666666667</v>
      </c>
      <c r="P55" s="2176">
        <f t="shared" si="373"/>
        <v>0</v>
      </c>
      <c r="Q55" s="2176">
        <f t="shared" si="374"/>
        <v>1.0416666666666667</v>
      </c>
      <c r="R55" s="2176">
        <f t="shared" ref="R55:S55" si="375">IF(R47&gt;$J$58,$J$55,IF(R47&lt;$J$58,(IF(R47&lt;0,0,R47*$K$55))))</f>
        <v>1.0416666666666667</v>
      </c>
      <c r="S55" s="2176">
        <f t="shared" si="375"/>
        <v>1.0416666666666667</v>
      </c>
      <c r="T55" s="2171">
        <f t="shared" ref="T55" si="376">IF(T47&gt;$J$58,$J$55,IF(T47&lt;$J$58,(IF(T47&lt;0,0,T47*$K$55))))</f>
        <v>1.0416666666666667</v>
      </c>
      <c r="U55" s="1951"/>
      <c r="V55" s="2169">
        <f t="shared" si="88"/>
        <v>6.2500000000000009</v>
      </c>
      <c r="W55" s="2176">
        <f>$J$55*0</f>
        <v>0</v>
      </c>
      <c r="X55" s="2171">
        <f t="shared" si="342"/>
        <v>6.2500000000000009</v>
      </c>
      <c r="Y55" s="1956"/>
      <c r="Z55" s="2169">
        <f t="shared" ref="Z55:AA55" si="377">IF(Z47&gt;$J$58,$J$55,IF(Z47&lt;$J$58,(IF(Z47&lt;0,0,Z47*$K$55))))</f>
        <v>1.0416666666666667</v>
      </c>
      <c r="AA55" s="2176">
        <f t="shared" si="377"/>
        <v>1.0416666666666667</v>
      </c>
      <c r="AB55" s="2176">
        <f t="shared" ref="AB55:AD55" si="378">IF(AB47&gt;$J$58,$J$55,IF(AB47&lt;$J$58,(IF(AB47&lt;0,0,AB47*$K$55))))</f>
        <v>0</v>
      </c>
      <c r="AC55" s="2176">
        <f t="shared" si="378"/>
        <v>0</v>
      </c>
      <c r="AD55" s="2176">
        <f t="shared" si="378"/>
        <v>1.0416666666666667</v>
      </c>
      <c r="AE55" s="2176">
        <f t="shared" ref="AE55" si="379">IF(AE47&gt;$J$58,$J$55,IF(AE47&lt;$J$58,(IF(AE47&lt;0,0,AE47*$K$55))))</f>
        <v>1.0416666666666667</v>
      </c>
      <c r="AF55" s="2171">
        <f t="shared" ref="AF55" si="380">IF(AF47&gt;$J$58,$J$55,IF(AF47&lt;$J$58,(IF(AF47&lt;0,0,AF47*$K$55))))</f>
        <v>1.0416666666666667</v>
      </c>
      <c r="AG55" s="1956"/>
      <c r="AH55" s="2169">
        <f t="shared" si="282"/>
        <v>5.2083333333333339</v>
      </c>
      <c r="AI55" s="2176">
        <f>$J$55*0</f>
        <v>0</v>
      </c>
      <c r="AJ55" s="2171">
        <f t="shared" si="283"/>
        <v>5.2083333333333339</v>
      </c>
      <c r="AK55" s="1956"/>
      <c r="AL55" s="2169">
        <f t="shared" ref="AL55" si="381">IF(AL47&gt;$J$58,$J$55,IF(AL47&lt;$J$58,(IF(AL47&lt;0,0,AL47*$K$55))))</f>
        <v>1.0416666666666667</v>
      </c>
      <c r="AM55" s="2176">
        <f t="shared" ref="AM55" si="382">IF(AM47&gt;$J$58,$J$55,IF(AM47&lt;$J$58,(IF(AM47&lt;0,0,AM47*$K$55))))</f>
        <v>1.0416666666666667</v>
      </c>
      <c r="AN55" s="2176">
        <f t="shared" ref="AN55:AP55" si="383">IF(AN47&gt;$J$58,$J$55,IF(AN47&lt;$J$58,(IF(AN47&lt;0,0,AN47*$K$55))))</f>
        <v>0</v>
      </c>
      <c r="AO55" s="2176">
        <f t="shared" si="383"/>
        <v>0</v>
      </c>
      <c r="AP55" s="2176">
        <f t="shared" si="383"/>
        <v>1.0416666666666667</v>
      </c>
      <c r="AQ55" s="2176">
        <f t="shared" ref="AQ55:AR55" si="384">IF(AQ47&gt;$J$58,$J$55,IF(AQ47&lt;$J$58,(IF(AQ47&lt;0,0,AQ47*$K$55))))</f>
        <v>1.0416666666666667</v>
      </c>
      <c r="AR55" s="2176">
        <f t="shared" si="384"/>
        <v>1.0416666666666667</v>
      </c>
      <c r="AS55" s="1951"/>
      <c r="AT55" s="2169">
        <f t="shared" si="288"/>
        <v>5.2083333333333339</v>
      </c>
      <c r="AU55" s="2176">
        <f>$J$55*0</f>
        <v>0</v>
      </c>
      <c r="AV55" s="2171">
        <f t="shared" si="289"/>
        <v>5.2083333333333339</v>
      </c>
      <c r="AW55" s="1951"/>
      <c r="AX55" s="2169">
        <f t="shared" ref="AX55:AY55" si="385">IF(AX47&gt;$J$58,$J$55,IF(AX47&lt;$J$58,(IF(AX47&lt;0,0,AX47*$K$55))))</f>
        <v>1.0416666666666667</v>
      </c>
      <c r="AY55" s="2176">
        <f t="shared" si="385"/>
        <v>1.0416666666666667</v>
      </c>
      <c r="AZ55" s="2176">
        <f t="shared" ref="AZ55:BA55" si="386">IF(AZ47&gt;$J$58,$J$55,IF(AZ47&lt;$J$58,(IF(AZ47&lt;0,0,AZ47*$K$55))))</f>
        <v>0</v>
      </c>
      <c r="BA55" s="2176">
        <f t="shared" si="386"/>
        <v>1.0416666666666667</v>
      </c>
      <c r="BB55" s="2176">
        <f t="shared" ref="BB55:BC55" si="387">IF(BB47&gt;$J$58,$J$55,IF(BB47&lt;$J$58,(IF(BB47&lt;0,0,BB47*$K$55))))</f>
        <v>1.0416666666666667</v>
      </c>
      <c r="BC55" s="2176">
        <f t="shared" si="387"/>
        <v>1.0416666666666667</v>
      </c>
      <c r="BD55" s="2171">
        <f t="shared" ref="BD55" si="388">IF(BD47&gt;$J$58,$J$55,IF(BD47&lt;$J$58,(IF(BD47&lt;0,0,BD47*$K$55))))</f>
        <v>1.0416666666666667</v>
      </c>
      <c r="BE55" s="1951"/>
      <c r="BF55" s="2169">
        <f t="shared" si="294"/>
        <v>6.2500000000000009</v>
      </c>
      <c r="BG55" s="2176">
        <f>$J$55*0</f>
        <v>0</v>
      </c>
      <c r="BH55" s="2171">
        <f t="shared" si="295"/>
        <v>6.2500000000000009</v>
      </c>
      <c r="BI55" s="1951"/>
      <c r="BJ55" s="2169">
        <f t="shared" ref="BJ55:BK55" si="389">IF(BJ47&gt;$J$58,$J$55,IF(BJ47&lt;$J$58,(IF(BJ47&lt;0,0,BJ47*$K$55))))</f>
        <v>1.0416666666666667</v>
      </c>
      <c r="BK55" s="2171">
        <f t="shared" si="389"/>
        <v>1.0416666666666667</v>
      </c>
      <c r="BL55" s="1951"/>
      <c r="BM55" s="2169">
        <f t="shared" si="270"/>
        <v>2.0833333333333335</v>
      </c>
      <c r="BN55" s="2176">
        <f>$J$55*0</f>
        <v>0</v>
      </c>
      <c r="BO55" s="2171">
        <f t="shared" si="297"/>
        <v>2.0833333333333335</v>
      </c>
      <c r="BQ55" s="2179"/>
      <c r="BR55" s="2180"/>
      <c r="BS55" s="1900"/>
      <c r="BT55" s="2179">
        <f t="shared" si="271"/>
        <v>23.958333333333339</v>
      </c>
      <c r="BU55" s="2181">
        <f t="shared" si="272"/>
        <v>0.95833333333333359</v>
      </c>
      <c r="BV55" s="2353"/>
      <c r="BW55" s="4636"/>
      <c r="BY55" s="4627"/>
      <c r="BZ55" s="3134"/>
      <c r="CA55" s="3134"/>
      <c r="CB55" s="1946"/>
      <c r="CC55" s="1946"/>
      <c r="CD55" s="1946"/>
      <c r="CE55" s="1946"/>
      <c r="CF55" s="1946"/>
      <c r="CG55" s="1946"/>
      <c r="CH55" s="1946"/>
    </row>
    <row r="56" spans="1:86" s="1726" customFormat="1" x14ac:dyDescent="0.2">
      <c r="B56" s="2085">
        <v>45</v>
      </c>
      <c r="C56" s="2108" t="s">
        <v>119</v>
      </c>
      <c r="D56" s="2051"/>
      <c r="E56" s="2110">
        <v>4</v>
      </c>
      <c r="F56" s="2111">
        <f t="shared" si="298"/>
        <v>0.4</v>
      </c>
      <c r="G56" s="2111">
        <f t="shared" si="299"/>
        <v>0.26666666666666666</v>
      </c>
      <c r="H56" s="2111">
        <f t="shared" si="300"/>
        <v>0.2</v>
      </c>
      <c r="I56" s="2111">
        <f t="shared" si="301"/>
        <v>0.16</v>
      </c>
      <c r="J56" s="2111">
        <f t="shared" si="273"/>
        <v>0.16666666666666666</v>
      </c>
      <c r="K56" s="2112">
        <f t="shared" si="302"/>
        <v>1.188707280832095E-2</v>
      </c>
      <c r="L56" s="1931"/>
      <c r="M56" s="1924"/>
      <c r="N56" s="2284">
        <f t="shared" ref="N56:P56" si="390">IF(N47&gt;$J$58,$J$56,IF(N47&lt;$J$58,(IF(N47&lt;0,0,N47*$K$56))))</f>
        <v>0.16666666666666666</v>
      </c>
      <c r="O56" s="2088">
        <f t="shared" ref="O56:Q56" si="391">IF(O47&gt;$J$58,$J$56,IF(O47&lt;$J$58,(IF(O47&lt;0,0,O47*$K$56))))</f>
        <v>0.16666666666666666</v>
      </c>
      <c r="P56" s="2088">
        <f t="shared" si="390"/>
        <v>0</v>
      </c>
      <c r="Q56" s="2088">
        <f t="shared" si="391"/>
        <v>0.16666666666666666</v>
      </c>
      <c r="R56" s="2088">
        <f t="shared" ref="R56:S56" si="392">IF(R47&gt;$J$58,$J$56,IF(R47&lt;$J$58,(IF(R47&lt;0,0,R47*$K$56))))</f>
        <v>0.16666666666666666</v>
      </c>
      <c r="S56" s="2088">
        <f t="shared" si="392"/>
        <v>0.16666666666666666</v>
      </c>
      <c r="T56" s="2091">
        <f t="shared" ref="T56" si="393">IF(T47&gt;$J$58,$J$56,IF(T47&lt;$J$58,(IF(T47&lt;0,0,T47*$K$56))))</f>
        <v>0.16666666666666666</v>
      </c>
      <c r="U56" s="1814"/>
      <c r="V56" s="2090">
        <f>SUM(N56:T56)</f>
        <v>0.99999999999999989</v>
      </c>
      <c r="W56" s="2087">
        <f>$J$56*0</f>
        <v>0</v>
      </c>
      <c r="X56" s="2174">
        <f t="shared" si="342"/>
        <v>0.99999999999999989</v>
      </c>
      <c r="Y56" s="1766"/>
      <c r="Z56" s="2090">
        <f t="shared" ref="Z56:AA56" si="394">IF(Z47&gt;$J$58,$J$56,IF(Z47&lt;$J$58,(IF(Z47&lt;0,0,Z47*$K$56))))</f>
        <v>0.16666666666666666</v>
      </c>
      <c r="AA56" s="2087">
        <f t="shared" si="394"/>
        <v>0.16666666666666666</v>
      </c>
      <c r="AB56" s="2087">
        <f t="shared" ref="AB56:AD56" si="395">IF(AB47&gt;$J$58,$J$56,IF(AB47&lt;$J$58,(IF(AB47&lt;0,0,AB47*$K$56))))</f>
        <v>0</v>
      </c>
      <c r="AC56" s="2087">
        <f t="shared" si="395"/>
        <v>0</v>
      </c>
      <c r="AD56" s="2087">
        <f t="shared" si="395"/>
        <v>0.16666666666666666</v>
      </c>
      <c r="AE56" s="2087">
        <f t="shared" ref="AE56" si="396">IF(AE47&gt;$J$58,$J$56,IF(AE47&lt;$J$58,(IF(AE47&lt;0,0,AE47*$K$56))))</f>
        <v>0.16666666666666666</v>
      </c>
      <c r="AF56" s="2091">
        <f t="shared" ref="AF56" si="397">IF(AF47&gt;$J$58,$J$56,IF(AF47&lt;$J$58,(IF(AF47&lt;0,0,AF47*$K$56))))</f>
        <v>0.16666666666666666</v>
      </c>
      <c r="AG56" s="1766"/>
      <c r="AH56" s="2090">
        <f t="shared" si="282"/>
        <v>0.83333333333333326</v>
      </c>
      <c r="AI56" s="2087">
        <f>$J$56*0</f>
        <v>0</v>
      </c>
      <c r="AJ56" s="2174">
        <f t="shared" si="283"/>
        <v>0.83333333333333326</v>
      </c>
      <c r="AK56" s="1766"/>
      <c r="AL56" s="2090">
        <f t="shared" ref="AL56" si="398">IF(AL47&gt;$J$58,$J$56,IF(AL47&lt;$J$58,(IF(AL47&lt;0,0,AL47*$K$56))))</f>
        <v>0.16666666666666666</v>
      </c>
      <c r="AM56" s="2088">
        <f t="shared" ref="AM56" si="399">IF(AM47&gt;$J$58,$J$56,IF(AM47&lt;$J$58,(IF(AM47&lt;0,0,AM47*$K$56))))</f>
        <v>0.16666666666666666</v>
      </c>
      <c r="AN56" s="2088">
        <f t="shared" ref="AN56:AP56" si="400">IF(AN47&gt;$J$58,$J$56,IF(AN47&lt;$J$58,(IF(AN47&lt;0,0,AN47*$K$56))))</f>
        <v>0</v>
      </c>
      <c r="AO56" s="2088">
        <f t="shared" si="400"/>
        <v>0</v>
      </c>
      <c r="AP56" s="2088">
        <f t="shared" si="400"/>
        <v>0.16666666666666666</v>
      </c>
      <c r="AQ56" s="2088">
        <f t="shared" ref="AQ56:AR56" si="401">IF(AQ47&gt;$J$58,$J$56,IF(AQ47&lt;$J$58,(IF(AQ47&lt;0,0,AQ47*$K$56))))</f>
        <v>0.16666666666666666</v>
      </c>
      <c r="AR56" s="2088">
        <f t="shared" si="401"/>
        <v>0.16666666666666666</v>
      </c>
      <c r="AS56" s="1814"/>
      <c r="AT56" s="2090">
        <f t="shared" si="288"/>
        <v>0.83333333333333326</v>
      </c>
      <c r="AU56" s="2087">
        <f>$J$56*0</f>
        <v>0</v>
      </c>
      <c r="AV56" s="2174">
        <f t="shared" si="289"/>
        <v>0.83333333333333326</v>
      </c>
      <c r="AW56" s="1814"/>
      <c r="AX56" s="2090">
        <f t="shared" ref="AX56:AY56" si="402">IF(AX47&gt;$J$58,$J$56,IF(AX47&lt;$J$58,(IF(AX47&lt;0,0,AX47*$K$56))))</f>
        <v>0.16666666666666666</v>
      </c>
      <c r="AY56" s="2088">
        <f t="shared" si="402"/>
        <v>0.16666666666666666</v>
      </c>
      <c r="AZ56" s="2088">
        <f t="shared" ref="AZ56:BA56" si="403">IF(AZ47&gt;$J$58,$J$56,IF(AZ47&lt;$J$58,(IF(AZ47&lt;0,0,AZ47*$K$56))))</f>
        <v>0</v>
      </c>
      <c r="BA56" s="2088">
        <f t="shared" si="403"/>
        <v>0.16666666666666666</v>
      </c>
      <c r="BB56" s="2088">
        <f t="shared" ref="BB56:BC56" si="404">IF(BB47&gt;$J$58,$J$56,IF(BB47&lt;$J$58,(IF(BB47&lt;0,0,BB47*$K$56))))</f>
        <v>0.16666666666666666</v>
      </c>
      <c r="BC56" s="2088">
        <f t="shared" si="404"/>
        <v>0.16666666666666666</v>
      </c>
      <c r="BD56" s="2091">
        <f t="shared" ref="BD56" si="405">IF(BD47&gt;$J$58,$J$56,IF(BD47&lt;$J$58,(IF(BD47&lt;0,0,BD47*$K$56))))</f>
        <v>0.16666666666666666</v>
      </c>
      <c r="BE56" s="1814"/>
      <c r="BF56" s="2090">
        <f t="shared" si="294"/>
        <v>0.99999999999999989</v>
      </c>
      <c r="BG56" s="2087">
        <f>$J$56*0</f>
        <v>0</v>
      </c>
      <c r="BH56" s="2174">
        <f t="shared" si="295"/>
        <v>0.99999999999999989</v>
      </c>
      <c r="BI56" s="1814"/>
      <c r="BJ56" s="2090">
        <f t="shared" ref="BJ56:BK56" si="406">IF(BJ47&gt;$J$58,$J$56,IF(BJ47&lt;$J$58,(IF(BJ47&lt;0,0,BJ47*$K$56))))</f>
        <v>0.16666666666666666</v>
      </c>
      <c r="BK56" s="2091">
        <f t="shared" si="406"/>
        <v>0.16666666666666666</v>
      </c>
      <c r="BL56" s="1814"/>
      <c r="BM56" s="2090">
        <f t="shared" si="270"/>
        <v>0.33333333333333331</v>
      </c>
      <c r="BN56" s="2087">
        <f>$J$56*0</f>
        <v>0</v>
      </c>
      <c r="BO56" s="2174">
        <f t="shared" si="297"/>
        <v>0.33333333333333331</v>
      </c>
      <c r="BQ56" s="2092"/>
      <c r="BR56" s="2093"/>
      <c r="BS56" s="1740"/>
      <c r="BT56" s="2092">
        <f t="shared" si="271"/>
        <v>3.8333333333333326</v>
      </c>
      <c r="BU56" s="2094">
        <f t="shared" si="272"/>
        <v>0.95833333333333315</v>
      </c>
      <c r="BV56" s="2351"/>
      <c r="BW56" s="4636"/>
      <c r="BY56" s="4627"/>
      <c r="BZ56" s="3143"/>
      <c r="CA56" s="1860"/>
      <c r="CB56" s="1860"/>
      <c r="CC56" s="1860"/>
      <c r="CD56" s="1860"/>
      <c r="CE56" s="1860"/>
      <c r="CF56" s="1860"/>
      <c r="CG56" s="1860"/>
      <c r="CH56" s="1860"/>
    </row>
    <row r="57" spans="1:86" s="1885" customFormat="1" ht="17.25" thickBot="1" x14ac:dyDescent="0.25">
      <c r="B57" s="2420">
        <v>46</v>
      </c>
      <c r="C57" s="2417" t="s">
        <v>237</v>
      </c>
      <c r="D57" s="2680"/>
      <c r="E57" s="2681">
        <v>0</v>
      </c>
      <c r="F57" s="2418">
        <f t="shared" si="298"/>
        <v>0</v>
      </c>
      <c r="G57" s="2418">
        <f t="shared" si="299"/>
        <v>0</v>
      </c>
      <c r="H57" s="2418">
        <f t="shared" si="300"/>
        <v>0</v>
      </c>
      <c r="I57" s="2418">
        <f t="shared" si="301"/>
        <v>0</v>
      </c>
      <c r="J57" s="2418">
        <f t="shared" si="273"/>
        <v>0</v>
      </c>
      <c r="K57" s="2419">
        <f t="shared" si="302"/>
        <v>0</v>
      </c>
      <c r="L57" s="2003"/>
      <c r="M57" s="1950"/>
      <c r="N57" s="2682">
        <f t="shared" ref="N57:P57" si="407">IF(N47&gt;$J$58,$J$57,IF(N47&lt;$J$58,(IF(N47&lt;0,0,N47*$K$57))))</f>
        <v>0</v>
      </c>
      <c r="O57" s="2418">
        <f t="shared" ref="O57:Q57" si="408">IF(O47&gt;$J$58,$J$57,IF(O47&lt;$J$58,(IF(O47&lt;0,0,O47*$K$57))))</f>
        <v>0</v>
      </c>
      <c r="P57" s="2418">
        <f t="shared" si="407"/>
        <v>0</v>
      </c>
      <c r="Q57" s="2418">
        <f t="shared" si="408"/>
        <v>0</v>
      </c>
      <c r="R57" s="2418">
        <f t="shared" ref="R57:S57" si="409">IF(R47&gt;$J$58,$J$57,IF(R47&lt;$J$58,(IF(R47&lt;0,0,R47*$K$57))))</f>
        <v>0</v>
      </c>
      <c r="S57" s="2418">
        <f t="shared" si="409"/>
        <v>0</v>
      </c>
      <c r="T57" s="2683">
        <f t="shared" ref="T57" si="410">IF(T47&gt;$J$58,$J$57,IF(T47&lt;$J$58,(IF(T47&lt;0,0,T47*$K$57))))</f>
        <v>0</v>
      </c>
      <c r="U57" s="1951"/>
      <c r="V57" s="2179">
        <f t="shared" ref="V57:V69" si="411">SUM(N57:T57)</f>
        <v>0</v>
      </c>
      <c r="W57" s="2681">
        <f>$J$57*0</f>
        <v>0</v>
      </c>
      <c r="X57" s="2684">
        <f t="shared" si="342"/>
        <v>0</v>
      </c>
      <c r="Y57" s="1956"/>
      <c r="Z57" s="2179">
        <f t="shared" ref="Z57:AA57" si="412">IF(Z47&gt;$J$58,$J$57,IF(Z47&lt;$J$58,(IF(Z47&lt;0,0,Z47*$K$57))))</f>
        <v>0</v>
      </c>
      <c r="AA57" s="2681">
        <f t="shared" si="412"/>
        <v>0</v>
      </c>
      <c r="AB57" s="2681">
        <f t="shared" ref="AB57:AD57" si="413">IF(AB47&gt;$J$58,$J$57,IF(AB47&lt;$J$58,(IF(AB47&lt;0,0,AB47*$K$57))))</f>
        <v>0</v>
      </c>
      <c r="AC57" s="2681">
        <f t="shared" si="413"/>
        <v>0</v>
      </c>
      <c r="AD57" s="2681">
        <f t="shared" si="413"/>
        <v>0</v>
      </c>
      <c r="AE57" s="2681">
        <f t="shared" ref="AE57" si="414">IF(AE47&gt;$J$58,$J$57,IF(AE47&lt;$J$58,(IF(AE47&lt;0,0,AE47*$K$57))))</f>
        <v>0</v>
      </c>
      <c r="AF57" s="2683">
        <f t="shared" ref="AF57" si="415">IF(AF47&gt;$J$58,$J$57,IF(AF47&lt;$J$58,(IF(AF47&lt;0,0,AF47*$K$57))))</f>
        <v>0</v>
      </c>
      <c r="AG57" s="1956"/>
      <c r="AH57" s="2179">
        <f t="shared" si="282"/>
        <v>0</v>
      </c>
      <c r="AI57" s="2681">
        <f>$J$57*0</f>
        <v>0</v>
      </c>
      <c r="AJ57" s="2684">
        <f t="shared" si="283"/>
        <v>0</v>
      </c>
      <c r="AK57" s="1956"/>
      <c r="AL57" s="2179">
        <f t="shared" ref="AL57" si="416">IF(AL47&gt;$J$58,$J$57,IF(AL47&lt;$J$58,(IF(AL47&lt;0,0,AL47*$K$57))))</f>
        <v>0</v>
      </c>
      <c r="AM57" s="2418">
        <f t="shared" ref="AM57" si="417">IF(AM47&gt;$J$58,$J$57,IF(AM47&lt;$J$58,(IF(AM47&lt;0,0,AM47*$K$57))))</f>
        <v>0</v>
      </c>
      <c r="AN57" s="2418">
        <f t="shared" ref="AN57:AP57" si="418">IF(AN47&gt;$J$58,$J$57,IF(AN47&lt;$J$58,(IF(AN47&lt;0,0,AN47*$K$57))))</f>
        <v>0</v>
      </c>
      <c r="AO57" s="2418">
        <f t="shared" si="418"/>
        <v>0</v>
      </c>
      <c r="AP57" s="2418">
        <f t="shared" si="418"/>
        <v>0</v>
      </c>
      <c r="AQ57" s="2418">
        <f t="shared" ref="AQ57:AR57" si="419">IF(AQ47&gt;$J$58,$J$57,IF(AQ47&lt;$J$58,(IF(AQ47&lt;0,0,AQ47*$K$57))))</f>
        <v>0</v>
      </c>
      <c r="AR57" s="2418">
        <f t="shared" si="419"/>
        <v>0</v>
      </c>
      <c r="AS57" s="1951"/>
      <c r="AT57" s="2169">
        <f t="shared" si="288"/>
        <v>0</v>
      </c>
      <c r="AU57" s="2170">
        <f>$J$57*0</f>
        <v>0</v>
      </c>
      <c r="AV57" s="2178">
        <f t="shared" si="289"/>
        <v>0</v>
      </c>
      <c r="AW57" s="1951"/>
      <c r="AX57" s="2179">
        <f t="shared" ref="AX57:AY57" si="420">IF(AX47&gt;$J$58,$J$57,IF(AX47&lt;$J$58,(IF(AX47&lt;0,0,AX47*$K$57))))</f>
        <v>0</v>
      </c>
      <c r="AY57" s="2418">
        <f t="shared" si="420"/>
        <v>0</v>
      </c>
      <c r="AZ57" s="2308">
        <f t="shared" ref="AZ57:BA57" si="421">IF(AZ47&gt;$J$58,$J$57,IF(AZ47&lt;$J$58,(IF(AZ47&lt;0,0,AZ47*$K$57))))</f>
        <v>0</v>
      </c>
      <c r="BA57" s="2308">
        <f t="shared" si="421"/>
        <v>0</v>
      </c>
      <c r="BB57" s="2308">
        <f t="shared" ref="BB57:BC57" si="422">IF(BB47&gt;$J$58,$J$57,IF(BB47&lt;$J$58,(IF(BB47&lt;0,0,BB47*$K$57))))</f>
        <v>0</v>
      </c>
      <c r="BC57" s="2308">
        <f t="shared" si="422"/>
        <v>0</v>
      </c>
      <c r="BD57" s="2309">
        <f t="shared" ref="BD57" si="423">IF(BD47&gt;$J$58,$J$57,IF(BD47&lt;$J$58,(IF(BD47&lt;0,0,BD47*$K$57))))</f>
        <v>0</v>
      </c>
      <c r="BE57" s="1951"/>
      <c r="BF57" s="2169">
        <f t="shared" si="294"/>
        <v>0</v>
      </c>
      <c r="BG57" s="2170">
        <f>$J$57*0</f>
        <v>0</v>
      </c>
      <c r="BH57" s="2178">
        <f t="shared" si="295"/>
        <v>0</v>
      </c>
      <c r="BI57" s="1951"/>
      <c r="BJ57" s="2187">
        <f t="shared" ref="BJ57:BK57" si="424">IF(BJ47&gt;$J$58,$J$57,IF(BJ47&lt;$J$58,(IF(BJ47&lt;0,0,BJ47*$K$57))))</f>
        <v>0</v>
      </c>
      <c r="BK57" s="2309">
        <f t="shared" si="424"/>
        <v>0</v>
      </c>
      <c r="BL57" s="1951"/>
      <c r="BM57" s="2179">
        <f t="shared" si="270"/>
        <v>0</v>
      </c>
      <c r="BN57" s="2681">
        <f>$J$57*0</f>
        <v>0</v>
      </c>
      <c r="BO57" s="2684">
        <f t="shared" si="297"/>
        <v>0</v>
      </c>
      <c r="BQ57" s="2179"/>
      <c r="BR57" s="2180"/>
      <c r="BS57" s="1900"/>
      <c r="BT57" s="2179">
        <f t="shared" si="271"/>
        <v>0</v>
      </c>
      <c r="BU57" s="2181" t="e">
        <f t="shared" si="272"/>
        <v>#DIV/0!</v>
      </c>
      <c r="BV57" s="2353"/>
      <c r="BW57" s="4636"/>
      <c r="BY57" s="4627"/>
      <c r="BZ57" s="3134"/>
      <c r="CA57" s="1946"/>
      <c r="CB57" s="1946"/>
      <c r="CC57" s="1946"/>
      <c r="CD57" s="1946"/>
      <c r="CE57" s="1946"/>
      <c r="CF57" s="1946"/>
      <c r="CG57" s="1946"/>
      <c r="CH57" s="1946"/>
    </row>
    <row r="58" spans="1:86" s="1726" customFormat="1" ht="17.25" thickBot="1" x14ac:dyDescent="0.25">
      <c r="B58" s="2049"/>
      <c r="C58" s="2190" t="s">
        <v>192</v>
      </c>
      <c r="D58" s="2051"/>
      <c r="E58" s="2056">
        <f>SUM(E49:E57)</f>
        <v>336.5</v>
      </c>
      <c r="F58" s="2053"/>
      <c r="G58" s="2053"/>
      <c r="H58" s="2053"/>
      <c r="I58" s="2053"/>
      <c r="J58" s="2053">
        <f t="shared" ref="J58:K58" si="425">SUM(J49:J57)</f>
        <v>14.020833333333332</v>
      </c>
      <c r="K58" s="2191">
        <f t="shared" si="425"/>
        <v>1</v>
      </c>
      <c r="L58" s="1931"/>
      <c r="M58" s="1924"/>
      <c r="N58" s="2642">
        <f t="shared" ref="N58:P58" si="426">SUM(N49:N57)</f>
        <v>14.020833333333332</v>
      </c>
      <c r="O58" s="2053">
        <f t="shared" ref="O58:Q58" si="427">SUM(O49:O57)</f>
        <v>14.020833333333332</v>
      </c>
      <c r="P58" s="2053">
        <f t="shared" si="426"/>
        <v>0</v>
      </c>
      <c r="Q58" s="2053">
        <f t="shared" si="427"/>
        <v>14.020833333333332</v>
      </c>
      <c r="R58" s="2053">
        <f t="shared" ref="R58:S58" si="428">SUM(R49:R57)</f>
        <v>14.020833333333332</v>
      </c>
      <c r="S58" s="2053">
        <f t="shared" si="428"/>
        <v>14.020833333333332</v>
      </c>
      <c r="T58" s="2057">
        <f t="shared" ref="T58" si="429">SUM(T49:T57)</f>
        <v>14.020833333333332</v>
      </c>
      <c r="U58" s="1814"/>
      <c r="V58" s="2056">
        <f>SUM(V49:V57)</f>
        <v>84.125</v>
      </c>
      <c r="W58" s="2052">
        <f t="shared" ref="W58" si="430">SUM(W49:W57)</f>
        <v>0</v>
      </c>
      <c r="X58" s="2192">
        <f>SUM(X49:X57)</f>
        <v>84.125</v>
      </c>
      <c r="Y58" s="1766"/>
      <c r="Z58" s="2056">
        <f t="shared" ref="Z58:AA58" si="431">SUM(Z49:Z57)</f>
        <v>14.020833333333332</v>
      </c>
      <c r="AA58" s="2052">
        <f t="shared" si="431"/>
        <v>14.020833333333332</v>
      </c>
      <c r="AB58" s="2052">
        <f t="shared" ref="AB58:AD58" si="432">SUM(AB49:AB57)</f>
        <v>0</v>
      </c>
      <c r="AC58" s="2052">
        <f t="shared" si="432"/>
        <v>0</v>
      </c>
      <c r="AD58" s="2052">
        <f t="shared" si="432"/>
        <v>14.020833333333332</v>
      </c>
      <c r="AE58" s="2052">
        <f t="shared" ref="AE58" si="433">SUM(AE49:AE57)</f>
        <v>14.020833333333332</v>
      </c>
      <c r="AF58" s="2057">
        <f t="shared" ref="AF58" si="434">SUM(AF49:AF57)</f>
        <v>14.020833333333332</v>
      </c>
      <c r="AG58" s="1766"/>
      <c r="AH58" s="2056">
        <f>SUM(AH49:AH57)</f>
        <v>70.104166666666657</v>
      </c>
      <c r="AI58" s="2052">
        <f>SUM(AI49:AI57)</f>
        <v>0</v>
      </c>
      <c r="AJ58" s="2192">
        <f>SUM(AJ49:AJ57)</f>
        <v>70.104166666666657</v>
      </c>
      <c r="AK58" s="1766"/>
      <c r="AL58" s="2056">
        <f t="shared" ref="AL58" si="435">SUM(AL49:AL57)</f>
        <v>14.020833333333332</v>
      </c>
      <c r="AM58" s="2053">
        <f t="shared" ref="AM58" si="436">SUM(AM49:AM57)</f>
        <v>14.020833333333332</v>
      </c>
      <c r="AN58" s="2053">
        <f t="shared" ref="AN58:AP58" si="437">SUM(AN49:AN57)</f>
        <v>0</v>
      </c>
      <c r="AO58" s="2053">
        <f t="shared" si="437"/>
        <v>0</v>
      </c>
      <c r="AP58" s="2053">
        <f t="shared" si="437"/>
        <v>14.020833333333332</v>
      </c>
      <c r="AQ58" s="2053">
        <f t="shared" ref="AQ58:AR58" si="438">SUM(AQ49:AQ57)</f>
        <v>14.020833333333332</v>
      </c>
      <c r="AR58" s="2053">
        <f t="shared" si="438"/>
        <v>14.020833333333332</v>
      </c>
      <c r="AS58" s="1814"/>
      <c r="AT58" s="2056">
        <f>SUM(AT49:AT57)</f>
        <v>70.104166666666657</v>
      </c>
      <c r="AU58" s="2052">
        <f>SUM(AU49:AU57)</f>
        <v>0</v>
      </c>
      <c r="AV58" s="2192">
        <f>SUM(AV49:AV57)</f>
        <v>70.104166666666657</v>
      </c>
      <c r="AW58" s="1814"/>
      <c r="AX58" s="2056">
        <f t="shared" ref="AX58:AY58" si="439">SUM(AX49:AX57)</f>
        <v>14.020833333333332</v>
      </c>
      <c r="AY58" s="2053">
        <f t="shared" si="439"/>
        <v>14.020833333333332</v>
      </c>
      <c r="AZ58" s="2053">
        <f t="shared" ref="AZ58:BA58" si="440">SUM(AZ49:AZ57)</f>
        <v>0</v>
      </c>
      <c r="BA58" s="2053">
        <f t="shared" si="440"/>
        <v>14.020833333333332</v>
      </c>
      <c r="BB58" s="2053">
        <f t="shared" ref="BB58:BC58" si="441">SUM(BB49:BB57)</f>
        <v>14.020833333333332</v>
      </c>
      <c r="BC58" s="2053">
        <f t="shared" si="441"/>
        <v>14.020833333333332</v>
      </c>
      <c r="BD58" s="2057">
        <f t="shared" ref="BD58" si="442">SUM(BD49:BD57)</f>
        <v>14.020833333333332</v>
      </c>
      <c r="BE58" s="1814"/>
      <c r="BF58" s="2056">
        <f>SUM(BF49:BF57)</f>
        <v>84.125</v>
      </c>
      <c r="BG58" s="2052">
        <f>SUM(BG49:BG57)</f>
        <v>0</v>
      </c>
      <c r="BH58" s="2192">
        <f>SUM(BH49:BH57)</f>
        <v>84.125</v>
      </c>
      <c r="BI58" s="1814"/>
      <c r="BJ58" s="2056">
        <f t="shared" ref="BJ58:BK58" si="443">SUM(BJ49:BJ57)</f>
        <v>14.020833333333332</v>
      </c>
      <c r="BK58" s="2057">
        <f t="shared" si="443"/>
        <v>14.020833333333332</v>
      </c>
      <c r="BL58" s="1814"/>
      <c r="BM58" s="2056">
        <f>SUM(BM49:BM57)</f>
        <v>28.041666666666664</v>
      </c>
      <c r="BN58" s="2052">
        <f>SUM(BN49:BN57)</f>
        <v>0</v>
      </c>
      <c r="BO58" s="2192">
        <f>SUM(BO49:BO57)</f>
        <v>28.041666666666664</v>
      </c>
      <c r="BQ58" s="2056">
        <f>X58+AJ58+AV58</f>
        <v>224.33333333333331</v>
      </c>
      <c r="BR58" s="2253"/>
      <c r="BS58" s="1740"/>
      <c r="BT58" s="2056">
        <f>SUM(BT49:BT57)</f>
        <v>322.47916666666669</v>
      </c>
      <c r="BU58" s="2054">
        <f t="shared" si="272"/>
        <v>0.95833333333333337</v>
      </c>
      <c r="BV58" s="2351"/>
      <c r="BW58" s="4637"/>
      <c r="BY58" s="4627"/>
      <c r="BZ58" s="3143"/>
      <c r="CA58" s="1860"/>
      <c r="CB58" s="1860"/>
      <c r="CC58" s="1860"/>
      <c r="CD58" s="1860"/>
      <c r="CE58" s="1860"/>
      <c r="CF58" s="1860"/>
      <c r="CG58" s="1860"/>
      <c r="CH58" s="1860"/>
    </row>
    <row r="59" spans="1:86" s="1810" customFormat="1" ht="4.5" customHeight="1" thickBot="1" x14ac:dyDescent="0.25">
      <c r="B59" s="1817"/>
      <c r="C59" s="1817"/>
      <c r="D59" s="1817"/>
      <c r="E59" s="1814"/>
      <c r="F59" s="1814"/>
      <c r="G59" s="1814"/>
      <c r="H59" s="1814"/>
      <c r="I59" s="1814"/>
      <c r="J59" s="1814"/>
      <c r="K59" s="2131"/>
      <c r="L59" s="1924"/>
      <c r="M59" s="1924"/>
      <c r="N59" s="3136"/>
      <c r="O59" s="3136"/>
      <c r="P59" s="3136"/>
      <c r="Q59" s="3136"/>
      <c r="R59" s="3136"/>
      <c r="S59" s="3136"/>
      <c r="T59" s="3136"/>
      <c r="U59" s="1814"/>
      <c r="V59" s="1814"/>
      <c r="W59" s="1814"/>
      <c r="X59" s="1814"/>
      <c r="Y59" s="1766"/>
      <c r="Z59" s="3136"/>
      <c r="AA59" s="3136"/>
      <c r="AB59" s="3136"/>
      <c r="AC59" s="3136"/>
      <c r="AD59" s="3136"/>
      <c r="AE59" s="3136"/>
      <c r="AF59" s="3136"/>
      <c r="AG59" s="1766"/>
      <c r="AH59" s="1814"/>
      <c r="AI59" s="1814"/>
      <c r="AJ59" s="1814"/>
      <c r="AK59" s="1766"/>
      <c r="AL59" s="3136"/>
      <c r="AM59" s="3136"/>
      <c r="AN59" s="3136"/>
      <c r="AO59" s="3136"/>
      <c r="AP59" s="3136"/>
      <c r="AQ59" s="3180"/>
      <c r="AR59" s="3184"/>
      <c r="AS59" s="1814"/>
      <c r="AT59" s="2137"/>
      <c r="AU59" s="2137"/>
      <c r="AV59" s="2137"/>
      <c r="AW59" s="1814"/>
      <c r="AX59" s="3184"/>
      <c r="AY59" s="3188"/>
      <c r="AZ59" s="3146"/>
      <c r="BA59" s="3146"/>
      <c r="BB59" s="3195"/>
      <c r="BC59" s="3199"/>
      <c r="BD59" s="3146"/>
      <c r="BE59" s="1814"/>
      <c r="BF59" s="2137"/>
      <c r="BG59" s="2137"/>
      <c r="BH59" s="2137"/>
      <c r="BI59" s="1814"/>
      <c r="BJ59" s="3136"/>
      <c r="BK59" s="3136"/>
      <c r="BL59" s="1814"/>
      <c r="BM59" s="1814"/>
      <c r="BN59" s="1814"/>
      <c r="BO59" s="1814"/>
      <c r="BQ59" s="1814"/>
      <c r="BR59" s="2132"/>
      <c r="BS59" s="1817"/>
      <c r="BT59" s="1814"/>
      <c r="BU59" s="1830"/>
      <c r="BV59" s="1830"/>
      <c r="BW59" s="2115"/>
      <c r="BZ59" s="1761"/>
    </row>
    <row r="60" spans="1:86" s="1906" customFormat="1" ht="17.25" thickBot="1" x14ac:dyDescent="0.25">
      <c r="B60" s="1960"/>
      <c r="C60" s="1960" t="s">
        <v>143</v>
      </c>
      <c r="D60" s="1960"/>
      <c r="E60" s="2687"/>
      <c r="F60" s="1951"/>
      <c r="G60" s="1951"/>
      <c r="H60" s="1951"/>
      <c r="I60" s="1951"/>
      <c r="J60" s="1951"/>
      <c r="K60" s="2339"/>
      <c r="L60" s="2003"/>
      <c r="M60" s="1950"/>
      <c r="N60" s="2120">
        <f>N47-N58</f>
        <v>2.6773333333333476</v>
      </c>
      <c r="O60" s="2123">
        <f>O47-O58</f>
        <v>17.374333333333336</v>
      </c>
      <c r="P60" s="2123">
        <f t="shared" ref="P60" si="444">P47-P58</f>
        <v>0</v>
      </c>
      <c r="Q60" s="2123">
        <f t="shared" ref="Q60" si="445">Q47-Q58</f>
        <v>45.134333333333345</v>
      </c>
      <c r="R60" s="2123">
        <f>R47-R58</f>
        <v>7.9783333333333353</v>
      </c>
      <c r="S60" s="2123">
        <f t="shared" ref="S60" si="446">S47-S58</f>
        <v>55.599833333333351</v>
      </c>
      <c r="T60" s="2124">
        <f t="shared" ref="T60" si="447">T47-T58</f>
        <v>39.459333333333348</v>
      </c>
      <c r="U60" s="1951"/>
      <c r="V60" s="1951"/>
      <c r="W60" s="1951"/>
      <c r="X60" s="1951"/>
      <c r="Y60" s="1956"/>
      <c r="Z60" s="2120">
        <f t="shared" ref="Z60:AA60" si="448">Z47-Z58</f>
        <v>42.617333333333349</v>
      </c>
      <c r="AA60" s="2123">
        <f t="shared" si="448"/>
        <v>68.062833333333359</v>
      </c>
      <c r="AB60" s="2123">
        <f t="shared" ref="AB60:AD60" si="449">AB47-AB58</f>
        <v>0</v>
      </c>
      <c r="AC60" s="2123">
        <f t="shared" si="449"/>
        <v>0</v>
      </c>
      <c r="AD60" s="2123">
        <f t="shared" si="449"/>
        <v>81.639833333333357</v>
      </c>
      <c r="AE60" s="2123">
        <f t="shared" ref="AE60" si="450">AE47-AE58</f>
        <v>33.785833333333343</v>
      </c>
      <c r="AF60" s="2124">
        <f t="shared" ref="AF60" si="451">AF47-AF58</f>
        <v>37.237833333333342</v>
      </c>
      <c r="AG60" s="1956"/>
      <c r="AH60" s="1951"/>
      <c r="AI60" s="1951"/>
      <c r="AJ60" s="1951"/>
      <c r="AK60" s="1956"/>
      <c r="AL60" s="2120">
        <f t="shared" ref="AL60" si="452">AL47-AL58</f>
        <v>77.614833333333351</v>
      </c>
      <c r="AM60" s="2123">
        <f t="shared" ref="AM60" si="453">AM47-AM58</f>
        <v>99.255333333333354</v>
      </c>
      <c r="AN60" s="2123">
        <f t="shared" ref="AN60:AP60" si="454">AN47-AN58</f>
        <v>0</v>
      </c>
      <c r="AO60" s="2123">
        <f t="shared" si="454"/>
        <v>0</v>
      </c>
      <c r="AP60" s="2123">
        <f t="shared" si="454"/>
        <v>72.497333333333344</v>
      </c>
      <c r="AQ60" s="2123">
        <f t="shared" ref="AQ60:AR60" si="455">AQ47-AQ58</f>
        <v>109.60683333333334</v>
      </c>
      <c r="AR60" s="2123">
        <f t="shared" si="455"/>
        <v>98.934333333333356</v>
      </c>
      <c r="AS60" s="1951"/>
      <c r="AT60" s="1951"/>
      <c r="AU60" s="1951"/>
      <c r="AV60" s="1951"/>
      <c r="AW60" s="1951"/>
      <c r="AX60" s="2120">
        <f t="shared" ref="AX60:AY60" si="456">AX47-AX58</f>
        <v>120.10533333333335</v>
      </c>
      <c r="AY60" s="2123">
        <f t="shared" si="456"/>
        <v>120.86483333333335</v>
      </c>
      <c r="AZ60" s="2121">
        <f t="shared" ref="AZ60:BA60" si="457">AZ47-AZ58</f>
        <v>0</v>
      </c>
      <c r="BA60" s="2121">
        <f t="shared" si="457"/>
        <v>2.4278333333333357</v>
      </c>
      <c r="BB60" s="2121">
        <f t="shared" ref="BB60:BC60" si="458">BB47-BB58</f>
        <v>12.550333333333338</v>
      </c>
      <c r="BC60" s="2121">
        <f t="shared" si="458"/>
        <v>15.387333333333341</v>
      </c>
      <c r="BD60" s="2124">
        <f t="shared" ref="BD60" si="459">BD47-BD58</f>
        <v>10.066333333333343</v>
      </c>
      <c r="BE60" s="1951"/>
      <c r="BF60" s="1951"/>
      <c r="BG60" s="1951"/>
      <c r="BH60" s="1951"/>
      <c r="BI60" s="1951"/>
      <c r="BJ60" s="2120">
        <f t="shared" ref="BJ60:BK60" si="460">BJ47-BJ58</f>
        <v>14.126833333333348</v>
      </c>
      <c r="BK60" s="2124">
        <f t="shared" si="460"/>
        <v>43.096333333333348</v>
      </c>
      <c r="BL60" s="1951"/>
      <c r="BM60" s="1951"/>
      <c r="BN60" s="1951"/>
      <c r="BO60" s="1951"/>
      <c r="BQ60" s="2007"/>
      <c r="BR60" s="2688"/>
      <c r="BS60" s="1960"/>
      <c r="BT60" s="2007"/>
      <c r="BU60" s="2008"/>
      <c r="BV60" s="1962"/>
      <c r="BW60" s="3134"/>
      <c r="BZ60" s="1905"/>
    </row>
    <row r="61" spans="1:86" s="1810" customFormat="1" ht="4.5" customHeight="1" thickBot="1" x14ac:dyDescent="0.25">
      <c r="B61" s="1817"/>
      <c r="C61" s="1817"/>
      <c r="D61" s="1817"/>
      <c r="E61" s="1814"/>
      <c r="F61" s="1814"/>
      <c r="G61" s="1814"/>
      <c r="H61" s="1814"/>
      <c r="I61" s="1814"/>
      <c r="J61" s="1814"/>
      <c r="K61" s="2131"/>
      <c r="L61" s="1924"/>
      <c r="M61" s="1924"/>
      <c r="N61" s="2137"/>
      <c r="O61" s="2137"/>
      <c r="P61" s="2137"/>
      <c r="Q61" s="2137"/>
      <c r="R61" s="2137"/>
      <c r="S61" s="2137"/>
      <c r="T61" s="2137"/>
      <c r="U61" s="1814"/>
      <c r="V61" s="1814"/>
      <c r="W61" s="1814"/>
      <c r="X61" s="1814"/>
      <c r="Y61" s="1766"/>
      <c r="Z61" s="3146"/>
      <c r="AA61" s="3146"/>
      <c r="AB61" s="3146"/>
      <c r="AC61" s="3146"/>
      <c r="AD61" s="3146"/>
      <c r="AE61" s="3146"/>
      <c r="AF61" s="3146"/>
      <c r="AG61" s="1766"/>
      <c r="AH61" s="1814"/>
      <c r="AI61" s="1814"/>
      <c r="AJ61" s="1814"/>
      <c r="AK61" s="1766"/>
      <c r="AL61" s="2137"/>
      <c r="AM61" s="2137"/>
      <c r="AN61" s="2137"/>
      <c r="AO61" s="2137"/>
      <c r="AP61" s="2137"/>
      <c r="AQ61" s="2137"/>
      <c r="AR61" s="2137"/>
      <c r="AS61" s="1814"/>
      <c r="AT61" s="1814"/>
      <c r="AU61" s="1814"/>
      <c r="AV61" s="1814"/>
      <c r="AW61" s="1814"/>
      <c r="AX61" s="2137"/>
      <c r="AY61" s="2137"/>
      <c r="AZ61" s="2137"/>
      <c r="BA61" s="2137"/>
      <c r="BB61" s="2137"/>
      <c r="BC61" s="2137"/>
      <c r="BD61" s="2137"/>
      <c r="BE61" s="1814"/>
      <c r="BF61" s="1814"/>
      <c r="BG61" s="1814"/>
      <c r="BH61" s="1814"/>
      <c r="BI61" s="1814"/>
      <c r="BJ61" s="2137"/>
      <c r="BK61" s="2137"/>
      <c r="BL61" s="1814"/>
      <c r="BM61" s="1814"/>
      <c r="BN61" s="1814"/>
      <c r="BO61" s="1814"/>
      <c r="BQ61" s="2137"/>
      <c r="BR61" s="2138"/>
      <c r="BS61" s="1817"/>
      <c r="BT61" s="2137"/>
      <c r="BU61" s="2139"/>
      <c r="BV61" s="1830"/>
      <c r="BW61" s="2640"/>
      <c r="BZ61" s="1761"/>
    </row>
    <row r="62" spans="1:86" s="1740" customFormat="1" ht="15.75" x14ac:dyDescent="0.2">
      <c r="A62" s="2466"/>
      <c r="B62" s="2444">
        <v>47</v>
      </c>
      <c r="C62" s="2281" t="s">
        <v>132</v>
      </c>
      <c r="D62" s="1817"/>
      <c r="E62" s="2067">
        <v>465</v>
      </c>
      <c r="F62" s="2065">
        <f>E62/10</f>
        <v>46.5</v>
      </c>
      <c r="G62" s="2065">
        <f>E62/15</f>
        <v>31</v>
      </c>
      <c r="H62" s="2065">
        <f>E62/20</f>
        <v>23.25</v>
      </c>
      <c r="I62" s="2065">
        <f>E62/25</f>
        <v>18.600000000000001</v>
      </c>
      <c r="J62" s="2065">
        <f t="shared" ref="J62:J70" si="461">E62/24</f>
        <v>19.375</v>
      </c>
      <c r="K62" s="2066">
        <f t="shared" ref="K62:K70" si="462">E62/$E$71</f>
        <v>0.27944711538461536</v>
      </c>
      <c r="L62" s="2465"/>
      <c r="M62" s="2131"/>
      <c r="N62" s="2067">
        <f t="shared" ref="N62:P62" si="463">IF(N60&gt;$J$71,$J$62,IF(N60&lt;$J$71,(IF(N60&lt;0,0,N60*$K$62))))</f>
        <v>0.74817307692308088</v>
      </c>
      <c r="O62" s="2065">
        <f t="shared" ref="O62:Q62" si="464">IF(O60&gt;$J$71,$J$62,IF(O60&lt;$J$71,(IF(O60&lt;0,0,O60*$K$62))))</f>
        <v>4.85520733173077</v>
      </c>
      <c r="P62" s="2065">
        <f t="shared" si="463"/>
        <v>0</v>
      </c>
      <c r="Q62" s="2065">
        <f t="shared" si="464"/>
        <v>12.612659254807694</v>
      </c>
      <c r="R62" s="2065">
        <f t="shared" ref="R62:S62" si="465">IF(R60&gt;$J$71,$J$62,IF(R60&lt;$J$71,(IF(R60&lt;0,0,R60*$K$62))))</f>
        <v>2.2295222355769235</v>
      </c>
      <c r="S62" s="2065">
        <f t="shared" si="465"/>
        <v>15.537213040865389</v>
      </c>
      <c r="T62" s="2069">
        <f t="shared" ref="T62" si="466">IF(T60&gt;$J$71,$J$62,IF(T60&lt;$J$71,(IF(T60&lt;0,0,T60*$K$62))))</f>
        <v>11.026796875000002</v>
      </c>
      <c r="U62" s="1814"/>
      <c r="V62" s="2067">
        <f t="shared" si="411"/>
        <v>47.009571814903858</v>
      </c>
      <c r="W62" s="2068">
        <f>$J$62*0</f>
        <v>0</v>
      </c>
      <c r="X62" s="2070">
        <f t="shared" si="342"/>
        <v>47.009571814903858</v>
      </c>
      <c r="Y62" s="1814"/>
      <c r="Z62" s="2090">
        <f t="shared" ref="Z62:AA62" si="467">IF(Z60&gt;$J$71,$J$62,IF(Z60&lt;$J$71,(IF(Z60&lt;0,0,Z60*$K$62))))</f>
        <v>11.909290865384619</v>
      </c>
      <c r="AA62" s="2087">
        <f t="shared" si="467"/>
        <v>19.019962439903853</v>
      </c>
      <c r="AB62" s="2087">
        <f t="shared" ref="AB62:AD62" si="468">IF(AB60&gt;$J$71,$J$62,IF(AB60&lt;$J$71,(IF(AB60&lt;0,0,AB60*$K$62))))</f>
        <v>0</v>
      </c>
      <c r="AC62" s="2087">
        <f t="shared" si="468"/>
        <v>0</v>
      </c>
      <c r="AD62" s="2087">
        <f t="shared" si="468"/>
        <v>19.375</v>
      </c>
      <c r="AE62" s="2087">
        <f t="shared" ref="AE62" si="469">IF(AE60&gt;$J$71,$J$62,IF(AE60&lt;$J$71,(IF(AE60&lt;0,0,AE60*$K$62))))</f>
        <v>9.4413536658653872</v>
      </c>
      <c r="AF62" s="2091">
        <f t="shared" ref="AF62" si="470">IF(AF60&gt;$J$71,$J$62,IF(AF60&lt;$J$71,(IF(AF60&lt;0,0,AF60*$K$62))))</f>
        <v>10.406005108173078</v>
      </c>
      <c r="AG62" s="1814"/>
      <c r="AH62" s="2067">
        <f t="shared" si="282"/>
        <v>70.151612079326938</v>
      </c>
      <c r="AI62" s="2068">
        <f>$J$62*0</f>
        <v>0</v>
      </c>
      <c r="AJ62" s="2070">
        <f>AH62-AI62</f>
        <v>70.151612079326938</v>
      </c>
      <c r="AK62" s="1814"/>
      <c r="AL62" s="2067">
        <f t="shared" ref="AL62" si="471">IF(AL60&gt;$J$71,$J$62,IF(AL60&lt;$J$71,(IF(AL60&lt;0,0,AL60*$K$62))))</f>
        <v>19.375</v>
      </c>
      <c r="AM62" s="2065">
        <f t="shared" ref="AM62" si="472">IF(AM60&gt;$J$71,$J$62,IF(AM60&lt;$J$71,(IF(AM60&lt;0,0,AM60*$K$62))))</f>
        <v>19.375</v>
      </c>
      <c r="AN62" s="2065">
        <f t="shared" ref="AN62:AP62" si="473">IF(AN60&gt;$J$71,$J$62,IF(AN60&lt;$J$71,(IF(AN60&lt;0,0,AN60*$K$62))))</f>
        <v>0</v>
      </c>
      <c r="AO62" s="2065">
        <f t="shared" si="473"/>
        <v>0</v>
      </c>
      <c r="AP62" s="2065">
        <f t="shared" si="473"/>
        <v>19.375</v>
      </c>
      <c r="AQ62" s="2065">
        <f t="shared" ref="AQ62:AR62" si="474">IF(AQ60&gt;$J$71,$J$62,IF(AQ60&lt;$J$71,(IF(AQ60&lt;0,0,AQ60*$K$62))))</f>
        <v>19.375</v>
      </c>
      <c r="AR62" s="2065">
        <f t="shared" si="474"/>
        <v>19.375</v>
      </c>
      <c r="AS62" s="1814"/>
      <c r="AT62" s="2067">
        <f>SUM(AL62:AR62)</f>
        <v>96.875</v>
      </c>
      <c r="AU62" s="2068">
        <f>$J$62*0</f>
        <v>0</v>
      </c>
      <c r="AV62" s="2070">
        <f>AT62-AU62</f>
        <v>96.875</v>
      </c>
      <c r="AW62" s="1814"/>
      <c r="AX62" s="2067">
        <f t="shared" ref="AX62:AY62" si="475">IF(AX60&gt;$J$71,$J$62,IF(AX60&lt;$J$71,(IF(AX60&lt;0,0,AX60*$K$62))))</f>
        <v>19.375</v>
      </c>
      <c r="AY62" s="2065">
        <f t="shared" si="475"/>
        <v>19.375</v>
      </c>
      <c r="AZ62" s="2065">
        <f t="shared" ref="AZ62:BA62" si="476">IF(AZ60&gt;$J$71,$J$62,IF(AZ60&lt;$J$71,(IF(AZ60&lt;0,0,AZ60*$K$62))))</f>
        <v>0</v>
      </c>
      <c r="BA62" s="2065">
        <f t="shared" si="476"/>
        <v>0.67845102163461601</v>
      </c>
      <c r="BB62" s="2065">
        <f t="shared" ref="BB62:BC62" si="477">IF(BB60&gt;$J$71,$J$62,IF(BB60&lt;$J$71,(IF(BB60&lt;0,0,BB60*$K$62))))</f>
        <v>3.5071544471153855</v>
      </c>
      <c r="BC62" s="2065">
        <f t="shared" si="477"/>
        <v>4.2999459134615403</v>
      </c>
      <c r="BD62" s="2069">
        <f t="shared" ref="BD62" si="478">IF(BD60&gt;$J$71,$J$62,IF(BD60&lt;$J$71,(IF(BD60&lt;0,0,BD60*$K$62))))</f>
        <v>2.8130078125000026</v>
      </c>
      <c r="BE62" s="1814"/>
      <c r="BF62" s="2067">
        <f t="shared" ref="BF62:BF70" si="479">SUM(AX62:BD62)</f>
        <v>50.048559194711544</v>
      </c>
      <c r="BG62" s="2068">
        <f>$J$62*0</f>
        <v>0</v>
      </c>
      <c r="BH62" s="2070">
        <f t="shared" ref="BH62:BH70" si="480">BF62-BG62</f>
        <v>50.048559194711544</v>
      </c>
      <c r="BI62" s="1814"/>
      <c r="BJ62" s="2067">
        <f t="shared" ref="BJ62:BK62" si="481">IF(BJ60&gt;$J$71,$J$62,IF(BJ60&lt;$J$71,(IF(BJ60&lt;0,0,BJ60*$K$62))))</f>
        <v>3.9477028245192347</v>
      </c>
      <c r="BK62" s="2069">
        <f t="shared" si="481"/>
        <v>12.04314603365385</v>
      </c>
      <c r="BL62" s="1814"/>
      <c r="BM62" s="2067">
        <f t="shared" ref="BM62:BM71" si="482">SUM(BJ62:BK62)</f>
        <v>15.990848858173084</v>
      </c>
      <c r="BN62" s="2068">
        <f>$J$62*0</f>
        <v>0</v>
      </c>
      <c r="BO62" s="2070">
        <f t="shared" ref="BO62:BO70" si="483">BM62-BN62</f>
        <v>15.990848858173084</v>
      </c>
      <c r="BQ62" s="2067"/>
      <c r="BR62" s="2071"/>
      <c r="BT62" s="2067">
        <f t="shared" ref="BT62:BT70" si="484">SUM(N62:T62)+SUM(Z62:AF62)+SUM(AL62:AR62)+SUM(AX62:BD62)+SUM(BK62:BK62)</f>
        <v>276.12788912259617</v>
      </c>
      <c r="BU62" s="2072">
        <f t="shared" ref="BU62:BU71" si="485">BT62/E62</f>
        <v>0.59382341746794876</v>
      </c>
      <c r="BV62" s="2351"/>
      <c r="BW62" s="4635">
        <f>BU71-BT1</f>
        <v>-0.20617658253205129</v>
      </c>
      <c r="BZ62" s="1997"/>
      <c r="CA62" s="1861"/>
      <c r="CB62" s="1861"/>
      <c r="CC62" s="1861"/>
      <c r="CD62" s="1861"/>
      <c r="CE62" s="1861"/>
      <c r="CF62" s="1861"/>
      <c r="CG62" s="1861"/>
      <c r="CH62" s="1861"/>
    </row>
    <row r="63" spans="1:86" s="1900" customFormat="1" ht="15.75" x14ac:dyDescent="0.2">
      <c r="A63" s="2464"/>
      <c r="B63" s="2161">
        <v>48</v>
      </c>
      <c r="C63" s="2162" t="s">
        <v>232</v>
      </c>
      <c r="D63" s="1960"/>
      <c r="E63" s="2163">
        <v>345</v>
      </c>
      <c r="F63" s="2164">
        <f>E63/10</f>
        <v>34.5</v>
      </c>
      <c r="G63" s="2164">
        <f>E63/15</f>
        <v>23</v>
      </c>
      <c r="H63" s="2164">
        <f>E63/20</f>
        <v>17.25</v>
      </c>
      <c r="I63" s="2164">
        <f>E63/25</f>
        <v>13.8</v>
      </c>
      <c r="J63" s="2164">
        <f t="shared" si="461"/>
        <v>14.375</v>
      </c>
      <c r="K63" s="2165">
        <f t="shared" si="462"/>
        <v>0.20733173076923078</v>
      </c>
      <c r="L63" s="2468"/>
      <c r="M63" s="2339"/>
      <c r="N63" s="2163">
        <f t="shared" ref="N63:P63" si="486">IF(N60&gt;$J$71,$J$63,IF(N60&lt;$J$71,(IF(N60&lt;0,0,N60*$K$63))))</f>
        <v>0.55509615384615685</v>
      </c>
      <c r="O63" s="2164">
        <f t="shared" ref="O63:Q63" si="487">IF(O60&gt;$J$71,$J$63,IF(O60&lt;$J$71,(IF(O60&lt;0,0,O60*$K$63))))</f>
        <v>3.6022506009615394</v>
      </c>
      <c r="P63" s="2164">
        <f t="shared" si="486"/>
        <v>0</v>
      </c>
      <c r="Q63" s="2164">
        <f t="shared" si="487"/>
        <v>9.3577794471153872</v>
      </c>
      <c r="R63" s="2164">
        <f t="shared" ref="R63:S63" si="488">IF(R60&gt;$J$71,$J$63,IF(R60&lt;$J$71,(IF(R60&lt;0,0,R60*$K$63))))</f>
        <v>1.6541616586538466</v>
      </c>
      <c r="S63" s="2164">
        <f t="shared" si="488"/>
        <v>11.527609675480774</v>
      </c>
      <c r="T63" s="2166">
        <f t="shared" ref="T63" si="489">IF(T60&gt;$J$71,$J$63,IF(T60&lt;$J$71,(IF(T60&lt;0,0,T60*$K$63))))</f>
        <v>8.181171875000004</v>
      </c>
      <c r="U63" s="1951"/>
      <c r="V63" s="2163">
        <f t="shared" si="411"/>
        <v>34.878069411057709</v>
      </c>
      <c r="W63" s="2167">
        <f>$J$63*0</f>
        <v>0</v>
      </c>
      <c r="X63" s="2168">
        <f t="shared" si="342"/>
        <v>34.878069411057709</v>
      </c>
      <c r="Y63" s="1951"/>
      <c r="Z63" s="2169">
        <f t="shared" ref="Z63:AA63" si="490">IF(Z60&gt;$J$71,$J$63,IF(Z60&lt;$J$71,(IF(Z60&lt;0,0,Z60*$K$63))))</f>
        <v>8.8359254807692338</v>
      </c>
      <c r="AA63" s="2170">
        <f t="shared" si="490"/>
        <v>14.111585036057699</v>
      </c>
      <c r="AB63" s="2170">
        <f t="shared" ref="AB63:AD63" si="491">IF(AB60&gt;$J$71,$J$63,IF(AB60&lt;$J$71,(IF(AB60&lt;0,0,AB60*$K$63))))</f>
        <v>0</v>
      </c>
      <c r="AC63" s="2170">
        <f t="shared" si="491"/>
        <v>0</v>
      </c>
      <c r="AD63" s="2170">
        <f t="shared" si="491"/>
        <v>14.375</v>
      </c>
      <c r="AE63" s="2170">
        <f t="shared" ref="AE63" si="492">IF(AE60&gt;$J$71,$J$63,IF(AE60&lt;$J$71,(IF(AE60&lt;0,0,AE60*$K$63))))</f>
        <v>7.004875300480772</v>
      </c>
      <c r="AF63" s="2171">
        <f t="shared" ref="AF63" si="493">IF(AF60&gt;$J$71,$J$63,IF(AF60&lt;$J$71,(IF(AF60&lt;0,0,AF60*$K$63))))</f>
        <v>7.7205844350961561</v>
      </c>
      <c r="AG63" s="1951"/>
      <c r="AH63" s="2163">
        <f>SUM(Z63:AF63)</f>
        <v>52.047970252403857</v>
      </c>
      <c r="AI63" s="2167">
        <f>$J$63*0</f>
        <v>0</v>
      </c>
      <c r="AJ63" s="2168">
        <f t="shared" ref="AJ63:AJ64" si="494">AH63-AI63</f>
        <v>52.047970252403857</v>
      </c>
      <c r="AK63" s="1951"/>
      <c r="AL63" s="2163">
        <f t="shared" ref="AL63" si="495">IF(AL60&gt;$J$71,$J$63,IF(AL60&lt;$J$71,(IF(AL60&lt;0,0,AL60*$K$63))))</f>
        <v>14.375</v>
      </c>
      <c r="AM63" s="2164">
        <f t="shared" ref="AM63" si="496">IF(AM60&gt;$J$71,$J$63,IF(AM60&lt;$J$71,(IF(AM60&lt;0,0,AM60*$K$63))))</f>
        <v>14.375</v>
      </c>
      <c r="AN63" s="2164">
        <f t="shared" ref="AN63:AP63" si="497">IF(AN60&gt;$J$71,$J$63,IF(AN60&lt;$J$71,(IF(AN60&lt;0,0,AN60*$K$63))))</f>
        <v>0</v>
      </c>
      <c r="AO63" s="2164">
        <f t="shared" si="497"/>
        <v>0</v>
      </c>
      <c r="AP63" s="2164">
        <f t="shared" si="497"/>
        <v>14.375</v>
      </c>
      <c r="AQ63" s="2164">
        <f t="shared" ref="AQ63:AR63" si="498">IF(AQ60&gt;$J$71,$J$63,IF(AQ60&lt;$J$71,(IF(AQ60&lt;0,0,AQ60*$K$63))))</f>
        <v>14.375</v>
      </c>
      <c r="AR63" s="2164">
        <f t="shared" si="498"/>
        <v>14.375</v>
      </c>
      <c r="AS63" s="1951"/>
      <c r="AT63" s="2163">
        <f t="shared" ref="AT63:AT70" si="499">SUM(AL63:AR63)</f>
        <v>71.875</v>
      </c>
      <c r="AU63" s="2167">
        <f>$J$63*0</f>
        <v>0</v>
      </c>
      <c r="AV63" s="2168">
        <f t="shared" ref="AV63:AV70" si="500">AT63-AU63</f>
        <v>71.875</v>
      </c>
      <c r="AW63" s="1951"/>
      <c r="AX63" s="2163">
        <f t="shared" ref="AX63:AY63" si="501">IF(AX60&gt;$J$71,$J$63,IF(AX60&lt;$J$71,(IF(AX60&lt;0,0,AX60*$K$63))))</f>
        <v>14.375</v>
      </c>
      <c r="AY63" s="2164">
        <f t="shared" si="501"/>
        <v>14.375</v>
      </c>
      <c r="AZ63" s="2176">
        <f t="shared" ref="AZ63:BA63" si="502">IF(AZ60&gt;$J$71,$J$63,IF(AZ60&lt;$J$71,(IF(AZ60&lt;0,0,AZ60*$K$63))))</f>
        <v>0</v>
      </c>
      <c r="BA63" s="2176">
        <f t="shared" si="502"/>
        <v>0.50336688701923127</v>
      </c>
      <c r="BB63" s="2176">
        <f t="shared" ref="BB63:BC63" si="503">IF(BB60&gt;$J$71,$J$63,IF(BB60&lt;$J$71,(IF(BB60&lt;0,0,BB60*$K$63))))</f>
        <v>2.6020823317307702</v>
      </c>
      <c r="BC63" s="2176">
        <f t="shared" si="503"/>
        <v>3.1902824519230788</v>
      </c>
      <c r="BD63" s="2171">
        <f t="shared" ref="BD63" si="504">IF(BD60&gt;$J$71,$J$63,IF(BD60&lt;$J$71,(IF(BD60&lt;0,0,BD60*$K$63))))</f>
        <v>2.0870703125000021</v>
      </c>
      <c r="BE63" s="1951"/>
      <c r="BF63" s="2163">
        <f t="shared" si="479"/>
        <v>37.132801983173088</v>
      </c>
      <c r="BG63" s="2167">
        <f>$J$63*0</f>
        <v>0</v>
      </c>
      <c r="BH63" s="2168">
        <f t="shared" si="480"/>
        <v>37.132801983173088</v>
      </c>
      <c r="BI63" s="1951"/>
      <c r="BJ63" s="2169">
        <f t="shared" ref="BJ63:BK63" si="505">IF(BJ60&gt;$J$71,$J$63,IF(BJ60&lt;$J$71,(IF(BJ60&lt;0,0,BJ60*$K$63))))</f>
        <v>2.9289408052884647</v>
      </c>
      <c r="BK63" s="2171">
        <f t="shared" si="505"/>
        <v>8.9352373798076954</v>
      </c>
      <c r="BL63" s="1951"/>
      <c r="BM63" s="2169">
        <f t="shared" si="482"/>
        <v>11.86417818509616</v>
      </c>
      <c r="BN63" s="2170">
        <f>$J$63*0</f>
        <v>0</v>
      </c>
      <c r="BO63" s="2178">
        <f t="shared" si="483"/>
        <v>11.86417818509616</v>
      </c>
      <c r="BQ63" s="2169"/>
      <c r="BR63" s="2172"/>
      <c r="BT63" s="2169">
        <f t="shared" si="484"/>
        <v>204.86907902644234</v>
      </c>
      <c r="BU63" s="2173">
        <f t="shared" si="485"/>
        <v>0.59382341746794876</v>
      </c>
      <c r="BV63" s="2353"/>
      <c r="BW63" s="4636"/>
      <c r="BZ63" s="2010"/>
      <c r="CA63" s="2011"/>
      <c r="CB63" s="2011"/>
      <c r="CC63" s="2011"/>
      <c r="CD63" s="2011"/>
      <c r="CE63" s="2011"/>
      <c r="CF63" s="2011"/>
      <c r="CG63" s="2011"/>
      <c r="CH63" s="2011"/>
    </row>
    <row r="64" spans="1:86" s="1726" customFormat="1" x14ac:dyDescent="0.2">
      <c r="A64" s="1756"/>
      <c r="B64" s="2151">
        <v>49</v>
      </c>
      <c r="C64" s="2152" t="s">
        <v>4</v>
      </c>
      <c r="D64" s="1817"/>
      <c r="E64" s="2153">
        <v>300</v>
      </c>
      <c r="F64" s="2154"/>
      <c r="G64" s="2154"/>
      <c r="H64" s="2154"/>
      <c r="I64" s="2154"/>
      <c r="J64" s="2154">
        <f t="shared" si="461"/>
        <v>12.5</v>
      </c>
      <c r="K64" s="2155">
        <f t="shared" si="462"/>
        <v>0.18028846153846154</v>
      </c>
      <c r="L64" s="1931"/>
      <c r="M64" s="1924"/>
      <c r="N64" s="2153">
        <f t="shared" ref="N64:P64" si="506">IF(N60&gt;$J$71,$J$64,IF(N60&lt;$J$71,(IF(N60&lt;0,0,N60*$K$64))))</f>
        <v>0.48269230769231025</v>
      </c>
      <c r="O64" s="2154">
        <f t="shared" ref="O64:Q64" si="507">IF(O60&gt;$J$71,$J$64,IF(O60&lt;$J$71,(IF(O60&lt;0,0,O60*$K$64))))</f>
        <v>3.1323918269230773</v>
      </c>
      <c r="P64" s="2154">
        <f t="shared" si="506"/>
        <v>0</v>
      </c>
      <c r="Q64" s="2154">
        <f t="shared" si="507"/>
        <v>8.1371995192307711</v>
      </c>
      <c r="R64" s="2154">
        <f t="shared" ref="R64:S64" si="508">IF(R60&gt;$J$71,$J$64,IF(R60&lt;$J$71,(IF(R60&lt;0,0,R60*$K$64))))</f>
        <v>1.4384014423076927</v>
      </c>
      <c r="S64" s="2154">
        <f t="shared" si="508"/>
        <v>10.024008413461541</v>
      </c>
      <c r="T64" s="2156">
        <f t="shared" ref="T64" si="509">IF(T60&gt;$J$71,$J$64,IF(T60&lt;$J$71,(IF(T60&lt;0,0,T60*$K$64))))</f>
        <v>7.1140625000000028</v>
      </c>
      <c r="U64" s="1814"/>
      <c r="V64" s="2153">
        <f t="shared" si="411"/>
        <v>30.328756009615397</v>
      </c>
      <c r="W64" s="2157">
        <f>$J$64*0</f>
        <v>0</v>
      </c>
      <c r="X64" s="2158">
        <f t="shared" si="342"/>
        <v>30.328756009615397</v>
      </c>
      <c r="Y64" s="1766"/>
      <c r="Z64" s="2090">
        <f t="shared" ref="Z64:AA64" si="510">IF(Z60&gt;$J$71,$J$64,IF(Z60&lt;$J$71,(IF(Z60&lt;0,0,Z60*$K$64))))</f>
        <v>7.6834134615384642</v>
      </c>
      <c r="AA64" s="2087">
        <f t="shared" si="510"/>
        <v>12.270943509615389</v>
      </c>
      <c r="AB64" s="2087">
        <f t="shared" ref="AB64:AD64" si="511">IF(AB60&gt;$J$71,$J$64,IF(AB60&lt;$J$71,(IF(AB60&lt;0,0,AB60*$K$64))))</f>
        <v>0</v>
      </c>
      <c r="AC64" s="2087">
        <f t="shared" si="511"/>
        <v>0</v>
      </c>
      <c r="AD64" s="2087">
        <f t="shared" si="511"/>
        <v>12.5</v>
      </c>
      <c r="AE64" s="2087">
        <f t="shared" ref="AE64" si="512">IF(AE60&gt;$J$71,$J$64,IF(AE60&lt;$J$71,(IF(AE60&lt;0,0,AE60*$K$64))))</f>
        <v>6.0911959134615401</v>
      </c>
      <c r="AF64" s="2091">
        <f t="shared" ref="AF64" si="513">IF(AF60&gt;$J$71,$J$64,IF(AF60&lt;$J$71,(IF(AF60&lt;0,0,AF60*$K$64))))</f>
        <v>6.7135516826923087</v>
      </c>
      <c r="AG64" s="1766"/>
      <c r="AH64" s="2153">
        <f t="shared" ref="AH64" si="514">SUM(Z64:AF64)</f>
        <v>45.259104567307702</v>
      </c>
      <c r="AI64" s="2157">
        <f>$J$64*0</f>
        <v>0</v>
      </c>
      <c r="AJ64" s="2158">
        <f t="shared" si="494"/>
        <v>45.259104567307702</v>
      </c>
      <c r="AK64" s="1766"/>
      <c r="AL64" s="2153">
        <f t="shared" ref="AL64" si="515">IF(AL60&gt;$J$71,$J$64,IF(AL60&lt;$J$71,(IF(AL60&lt;0,0,AL60*$K$64))))</f>
        <v>12.5</v>
      </c>
      <c r="AM64" s="2154">
        <f t="shared" ref="AM64" si="516">IF(AM60&gt;$J$71,$J$64,IF(AM60&lt;$J$71,(IF(AM60&lt;0,0,AM60*$K$64))))</f>
        <v>12.5</v>
      </c>
      <c r="AN64" s="2154">
        <f t="shared" ref="AN64:AP64" si="517">IF(AN60&gt;$J$71,$J$64,IF(AN60&lt;$J$71,(IF(AN60&lt;0,0,AN60*$K$64))))</f>
        <v>0</v>
      </c>
      <c r="AO64" s="2154">
        <f t="shared" si="517"/>
        <v>0</v>
      </c>
      <c r="AP64" s="2154">
        <f t="shared" si="517"/>
        <v>12.5</v>
      </c>
      <c r="AQ64" s="2154">
        <f t="shared" ref="AQ64:AR64" si="518">IF(AQ60&gt;$J$71,$J$64,IF(AQ60&lt;$J$71,(IF(AQ60&lt;0,0,AQ60*$K$64))))</f>
        <v>12.5</v>
      </c>
      <c r="AR64" s="2154">
        <f t="shared" si="518"/>
        <v>12.5</v>
      </c>
      <c r="AS64" s="1814"/>
      <c r="AT64" s="2153">
        <f t="shared" si="499"/>
        <v>62.5</v>
      </c>
      <c r="AU64" s="2157">
        <f>$J$64*0</f>
        <v>0</v>
      </c>
      <c r="AV64" s="2158">
        <f t="shared" si="500"/>
        <v>62.5</v>
      </c>
      <c r="AW64" s="1814"/>
      <c r="AX64" s="2153">
        <f t="shared" ref="AX64:AY64" si="519">IF(AX60&gt;$J$71,$J$64,IF(AX60&lt;$J$71,(IF(AX60&lt;0,0,AX60*$K$64))))</f>
        <v>12.5</v>
      </c>
      <c r="AY64" s="2154">
        <f t="shared" si="519"/>
        <v>12.5</v>
      </c>
      <c r="AZ64" s="2088">
        <f t="shared" ref="AZ64:BA64" si="520">IF(AZ60&gt;$J$71,$J$64,IF(AZ60&lt;$J$71,(IF(AZ60&lt;0,0,AZ60*$K$64))))</f>
        <v>0</v>
      </c>
      <c r="BA64" s="2088">
        <f t="shared" si="520"/>
        <v>0.43771033653846197</v>
      </c>
      <c r="BB64" s="2088">
        <f t="shared" ref="BB64:BC64" si="521">IF(BB60&gt;$J$71,$J$64,IF(BB60&lt;$J$71,(IF(BB60&lt;0,0,BB60*$K$64))))</f>
        <v>2.2626802884615391</v>
      </c>
      <c r="BC64" s="2088">
        <f t="shared" si="521"/>
        <v>2.7741586538461553</v>
      </c>
      <c r="BD64" s="2091">
        <f t="shared" ref="BD64" si="522">IF(BD60&gt;$J$71,$J$64,IF(BD60&lt;$J$71,(IF(BD60&lt;0,0,BD60*$K$64))))</f>
        <v>1.8148437500000019</v>
      </c>
      <c r="BE64" s="1814"/>
      <c r="BF64" s="2153">
        <f t="shared" si="479"/>
        <v>32.289393028846156</v>
      </c>
      <c r="BG64" s="2157">
        <f>$J$64*0</f>
        <v>0</v>
      </c>
      <c r="BH64" s="2158">
        <f t="shared" si="480"/>
        <v>32.289393028846156</v>
      </c>
      <c r="BI64" s="1814"/>
      <c r="BJ64" s="2090">
        <f t="shared" ref="BJ64:BK64" si="523">IF(BJ60&gt;$J$71,$J$64,IF(BJ60&lt;$J$71,(IF(BJ60&lt;0,0,BJ60*$K$64))))</f>
        <v>2.5469050480769257</v>
      </c>
      <c r="BK64" s="2091">
        <f t="shared" si="523"/>
        <v>7.7697716346153873</v>
      </c>
      <c r="BL64" s="1814"/>
      <c r="BM64" s="2090">
        <f t="shared" si="482"/>
        <v>10.316676682692313</v>
      </c>
      <c r="BN64" s="2087">
        <f>$J$64*0</f>
        <v>0</v>
      </c>
      <c r="BO64" s="2174">
        <f t="shared" si="483"/>
        <v>10.316676682692313</v>
      </c>
      <c r="BQ64" s="2090"/>
      <c r="BR64" s="2159"/>
      <c r="BS64" s="1740"/>
      <c r="BT64" s="2090">
        <f t="shared" si="484"/>
        <v>178.14702524038464</v>
      </c>
      <c r="BU64" s="2160">
        <f t="shared" si="485"/>
        <v>0.59382341746794876</v>
      </c>
      <c r="BV64" s="2351"/>
      <c r="BW64" s="4636"/>
      <c r="BZ64" s="3143"/>
      <c r="CA64" s="1860"/>
      <c r="CB64" s="1860"/>
      <c r="CC64" s="1860"/>
      <c r="CD64" s="1860"/>
      <c r="CE64" s="1860"/>
      <c r="CF64" s="1860"/>
      <c r="CG64" s="1860"/>
      <c r="CH64" s="1860"/>
    </row>
    <row r="65" spans="1:86" s="1900" customFormat="1" ht="15.75" x14ac:dyDescent="0.2">
      <c r="A65" s="2464"/>
      <c r="B65" s="2161">
        <v>50</v>
      </c>
      <c r="C65" s="2175" t="s">
        <v>121</v>
      </c>
      <c r="D65" s="1960"/>
      <c r="E65" s="2169">
        <v>270</v>
      </c>
      <c r="F65" s="2176">
        <f>E65/10</f>
        <v>27</v>
      </c>
      <c r="G65" s="2176">
        <f>E65/15</f>
        <v>18</v>
      </c>
      <c r="H65" s="2176">
        <f>E65/20</f>
        <v>13.5</v>
      </c>
      <c r="I65" s="2176">
        <f>E65/25</f>
        <v>10.8</v>
      </c>
      <c r="J65" s="2176">
        <f t="shared" si="461"/>
        <v>11.25</v>
      </c>
      <c r="K65" s="2177">
        <f t="shared" si="462"/>
        <v>0.16225961538461539</v>
      </c>
      <c r="L65" s="2468"/>
      <c r="M65" s="2339"/>
      <c r="N65" s="2169">
        <f t="shared" ref="N65:P65" si="524">IF(N60&gt;$J$71,$J$65,IF(N60&lt;$J$71,(IF(N60&lt;0,0,N60*$K$65))))</f>
        <v>0.43442307692307924</v>
      </c>
      <c r="O65" s="2176">
        <f t="shared" ref="O65:Q65" si="525">IF(O60&gt;$J$71,$J$65,IF(O60&lt;$J$71,(IF(O60&lt;0,0,O60*$K$65))))</f>
        <v>2.8191526442307699</v>
      </c>
      <c r="P65" s="2176">
        <f t="shared" si="524"/>
        <v>0</v>
      </c>
      <c r="Q65" s="2176">
        <f t="shared" si="525"/>
        <v>7.323479567307694</v>
      </c>
      <c r="R65" s="2176">
        <f t="shared" ref="R65:S65" si="526">IF(R60&gt;$J$71,$J$65,IF(R60&lt;$J$71,(IF(R60&lt;0,0,R60*$K$65))))</f>
        <v>1.2945612980769234</v>
      </c>
      <c r="S65" s="2176">
        <f t="shared" si="526"/>
        <v>9.0216075721153874</v>
      </c>
      <c r="T65" s="2171">
        <f t="shared" ref="T65" si="527">IF(T60&gt;$J$71,$J$65,IF(T60&lt;$J$71,(IF(T60&lt;0,0,T60*$K$65))))</f>
        <v>6.4026562500000024</v>
      </c>
      <c r="U65" s="1951"/>
      <c r="V65" s="2169">
        <f t="shared" si="411"/>
        <v>27.295880408653858</v>
      </c>
      <c r="W65" s="2170">
        <f>$J$65*0</f>
        <v>0</v>
      </c>
      <c r="X65" s="2178">
        <f t="shared" si="342"/>
        <v>27.295880408653858</v>
      </c>
      <c r="Y65" s="1951"/>
      <c r="Z65" s="2169">
        <f t="shared" ref="Z65:AA65" si="528">IF(Z60&gt;$J$71,$J$65,IF(Z60&lt;$J$71,(IF(Z60&lt;0,0,Z60*$K$65))))</f>
        <v>6.9150721153846177</v>
      </c>
      <c r="AA65" s="2170">
        <f t="shared" si="528"/>
        <v>11.043849158653851</v>
      </c>
      <c r="AB65" s="2170">
        <f t="shared" ref="AB65:AD65" si="529">IF(AB60&gt;$J$71,$J$65,IF(AB60&lt;$J$71,(IF(AB60&lt;0,0,AB60*$K$65))))</f>
        <v>0</v>
      </c>
      <c r="AC65" s="2170">
        <f t="shared" si="529"/>
        <v>0</v>
      </c>
      <c r="AD65" s="2170">
        <f t="shared" si="529"/>
        <v>11.25</v>
      </c>
      <c r="AE65" s="2170">
        <f t="shared" ref="AE65" si="530">IF(AE60&gt;$J$71,$J$65,IF(AE60&lt;$J$71,(IF(AE60&lt;0,0,AE60*$K$65))))</f>
        <v>5.4820763221153861</v>
      </c>
      <c r="AF65" s="2171">
        <f t="shared" ref="AF65" si="531">IF(AF60&gt;$J$71,$J$65,IF(AF60&lt;$J$71,(IF(AF60&lt;0,0,AF60*$K$65))))</f>
        <v>6.0421965144230789</v>
      </c>
      <c r="AG65" s="1951"/>
      <c r="AH65" s="2169">
        <f t="shared" si="282"/>
        <v>40.733194110576932</v>
      </c>
      <c r="AI65" s="2170">
        <f>$J$65*0</f>
        <v>0</v>
      </c>
      <c r="AJ65" s="2178">
        <f t="shared" si="283"/>
        <v>40.733194110576932</v>
      </c>
      <c r="AK65" s="1951"/>
      <c r="AL65" s="2169">
        <f t="shared" ref="AL65" si="532">IF(AL60&gt;$J$71,$J$65,IF(AL60&lt;$J$71,(IF(AL60&lt;0,0,AL60*$K$65))))</f>
        <v>11.25</v>
      </c>
      <c r="AM65" s="2176">
        <f t="shared" ref="AM65" si="533">IF(AM60&gt;$J$71,$J$65,IF(AM60&lt;$J$71,(IF(AM60&lt;0,0,AM60*$K$65))))</f>
        <v>11.25</v>
      </c>
      <c r="AN65" s="2176">
        <f t="shared" ref="AN65:AP65" si="534">IF(AN60&gt;$J$71,$J$65,IF(AN60&lt;$J$71,(IF(AN60&lt;0,0,AN60*$K$65))))</f>
        <v>0</v>
      </c>
      <c r="AO65" s="2176">
        <f t="shared" si="534"/>
        <v>0</v>
      </c>
      <c r="AP65" s="2176">
        <f t="shared" si="534"/>
        <v>11.25</v>
      </c>
      <c r="AQ65" s="2176">
        <f t="shared" ref="AQ65:AR65" si="535">IF(AQ60&gt;$J$71,$J$65,IF(AQ60&lt;$J$71,(IF(AQ60&lt;0,0,AQ60*$K$65))))</f>
        <v>11.25</v>
      </c>
      <c r="AR65" s="2176">
        <f t="shared" si="535"/>
        <v>11.25</v>
      </c>
      <c r="AS65" s="1951"/>
      <c r="AT65" s="2169">
        <f t="shared" si="499"/>
        <v>56.25</v>
      </c>
      <c r="AU65" s="2170">
        <f>$J$65*0</f>
        <v>0</v>
      </c>
      <c r="AV65" s="2178">
        <f t="shared" si="500"/>
        <v>56.25</v>
      </c>
      <c r="AW65" s="1951"/>
      <c r="AX65" s="2169">
        <f t="shared" ref="AX65:AY65" si="536">IF(AX60&gt;$J$71,$J$65,IF(AX60&lt;$J$71,(IF(AX60&lt;0,0,AX60*$K$65))))</f>
        <v>11.25</v>
      </c>
      <c r="AY65" s="2176">
        <f t="shared" si="536"/>
        <v>11.25</v>
      </c>
      <c r="AZ65" s="2176">
        <f t="shared" ref="AZ65:BA65" si="537">IF(AZ60&gt;$J$71,$J$65,IF(AZ60&lt;$J$71,(IF(AZ60&lt;0,0,AZ60*$K$65))))</f>
        <v>0</v>
      </c>
      <c r="BA65" s="2176">
        <f t="shared" si="537"/>
        <v>0.39393930288461582</v>
      </c>
      <c r="BB65" s="2176">
        <f t="shared" ref="BB65:BC65" si="538">IF(BB60&gt;$J$71,$J$65,IF(BB60&lt;$J$71,(IF(BB60&lt;0,0,BB60*$K$65))))</f>
        <v>2.0364122596153855</v>
      </c>
      <c r="BC65" s="2176">
        <f t="shared" si="538"/>
        <v>2.4967427884615399</v>
      </c>
      <c r="BD65" s="2171">
        <f t="shared" ref="BD65" si="539">IF(BD60&gt;$J$71,$J$65,IF(BD60&lt;$J$71,(IF(BD60&lt;0,0,BD60*$K$65))))</f>
        <v>1.6333593750000017</v>
      </c>
      <c r="BE65" s="1951"/>
      <c r="BF65" s="2169">
        <f t="shared" si="479"/>
        <v>29.060453725961541</v>
      </c>
      <c r="BG65" s="2170">
        <f>$J$65*0</f>
        <v>0</v>
      </c>
      <c r="BH65" s="2178">
        <f t="shared" si="480"/>
        <v>29.060453725961541</v>
      </c>
      <c r="BI65" s="1951"/>
      <c r="BJ65" s="2169">
        <f t="shared" ref="BJ65:BK65" si="540">IF(BJ60&gt;$J$71,$J$65,IF(BJ60&lt;$J$71,(IF(BJ60&lt;0,0,BJ60*$K$65))))</f>
        <v>2.2922145432692331</v>
      </c>
      <c r="BK65" s="2171">
        <f t="shared" si="540"/>
        <v>6.9927944711538492</v>
      </c>
      <c r="BL65" s="1951"/>
      <c r="BM65" s="2169">
        <f t="shared" si="482"/>
        <v>9.2850090144230819</v>
      </c>
      <c r="BN65" s="2170">
        <f>$J$65*0</f>
        <v>0</v>
      </c>
      <c r="BO65" s="2178">
        <f t="shared" si="483"/>
        <v>9.2850090144230819</v>
      </c>
      <c r="BQ65" s="2179"/>
      <c r="BR65" s="2180"/>
      <c r="BT65" s="2179">
        <f t="shared" si="484"/>
        <v>160.33232271634617</v>
      </c>
      <c r="BU65" s="2181">
        <f t="shared" si="485"/>
        <v>0.59382341746794876</v>
      </c>
      <c r="BV65" s="2353"/>
      <c r="BW65" s="4636"/>
      <c r="BZ65" s="2010"/>
      <c r="CA65" s="2011"/>
      <c r="CB65" s="2011"/>
      <c r="CC65" s="2011"/>
      <c r="CD65" s="2011"/>
      <c r="CE65" s="2011"/>
      <c r="CF65" s="2011"/>
      <c r="CG65" s="2011"/>
      <c r="CH65" s="2011"/>
    </row>
    <row r="66" spans="1:86" s="1740" customFormat="1" ht="15.75" x14ac:dyDescent="0.2">
      <c r="A66" s="2466"/>
      <c r="B66" s="2151">
        <v>51</v>
      </c>
      <c r="C66" s="2086" t="s">
        <v>229</v>
      </c>
      <c r="D66" s="1817"/>
      <c r="E66" s="2090">
        <v>209</v>
      </c>
      <c r="F66" s="2088">
        <f>E66/10</f>
        <v>20.9</v>
      </c>
      <c r="G66" s="2088">
        <f>E66/15</f>
        <v>13.933333333333334</v>
      </c>
      <c r="H66" s="2088">
        <f>E66/20</f>
        <v>10.45</v>
      </c>
      <c r="I66" s="2088">
        <f>E66/25</f>
        <v>8.36</v>
      </c>
      <c r="J66" s="2088">
        <f t="shared" si="461"/>
        <v>8.7083333333333339</v>
      </c>
      <c r="K66" s="2089">
        <f t="shared" si="462"/>
        <v>0.12560096153846154</v>
      </c>
      <c r="L66" s="2465"/>
      <c r="M66" s="2131"/>
      <c r="N66" s="2090">
        <f t="shared" ref="N66:P66" si="541">IF(N60&gt;$J$71,$J$66,IF(N60&lt;$J$71,(IF(N60&lt;0,0,N60*$K$66))))</f>
        <v>0.33627564102564278</v>
      </c>
      <c r="O66" s="2088">
        <f t="shared" ref="O66:Q66" si="542">IF(O60&gt;$J$71,$J$66,IF(O60&lt;$J$71,(IF(O60&lt;0,0,O60*$K$66))))</f>
        <v>2.1822329727564105</v>
      </c>
      <c r="P66" s="2088">
        <f t="shared" si="541"/>
        <v>0</v>
      </c>
      <c r="Q66" s="2088">
        <f t="shared" si="542"/>
        <v>5.6689156650641035</v>
      </c>
      <c r="R66" s="2088">
        <f t="shared" ref="R66:S66" si="543">IF(R60&gt;$J$71,$J$66,IF(R60&lt;$J$71,(IF(R60&lt;0,0,R60*$K$66))))</f>
        <v>1.0020863381410259</v>
      </c>
      <c r="S66" s="2088">
        <f t="shared" si="543"/>
        <v>6.9833925280448739</v>
      </c>
      <c r="T66" s="2091">
        <f t="shared" ref="T66" si="544">IF(T60&gt;$J$71,$J$66,IF(T60&lt;$J$71,(IF(T60&lt;0,0,T60*$K$66))))</f>
        <v>4.9561302083333354</v>
      </c>
      <c r="U66" s="1814"/>
      <c r="V66" s="2090">
        <f t="shared" si="411"/>
        <v>21.129033353365394</v>
      </c>
      <c r="W66" s="2087">
        <f>$J$66*0</f>
        <v>0</v>
      </c>
      <c r="X66" s="2174">
        <f t="shared" si="342"/>
        <v>21.129033353365394</v>
      </c>
      <c r="Y66" s="1814"/>
      <c r="Z66" s="2090">
        <f t="shared" ref="Z66:AA66" si="545">IF(Z60&gt;$J$71,$J$66,IF(Z60&lt;$J$71,(IF(Z60&lt;0,0,Z60*$K$66))))</f>
        <v>5.3527780448717968</v>
      </c>
      <c r="AA66" s="2087">
        <f t="shared" si="545"/>
        <v>8.5487573116987203</v>
      </c>
      <c r="AB66" s="2087">
        <f t="shared" ref="AB66:AD66" si="546">IF(AB60&gt;$J$71,$J$66,IF(AB60&lt;$J$71,(IF(AB60&lt;0,0,AB60*$K$66))))</f>
        <v>0</v>
      </c>
      <c r="AC66" s="2087">
        <f t="shared" si="546"/>
        <v>0</v>
      </c>
      <c r="AD66" s="2087">
        <f t="shared" si="546"/>
        <v>8.7083333333333339</v>
      </c>
      <c r="AE66" s="2087">
        <f t="shared" ref="AE66" si="547">IF(AE60&gt;$J$71,$J$66,IF(AE60&lt;$J$71,(IF(AE60&lt;0,0,AE60*$K$66))))</f>
        <v>4.243533153044873</v>
      </c>
      <c r="AF66" s="2091">
        <f t="shared" ref="AF66" si="548">IF(AF60&gt;$J$71,$J$66,IF(AF60&lt;$J$71,(IF(AF60&lt;0,0,AF60*$K$66))))</f>
        <v>4.6771076722756417</v>
      </c>
      <c r="AG66" s="1814"/>
      <c r="AH66" s="2090">
        <f t="shared" si="282"/>
        <v>31.530509515224363</v>
      </c>
      <c r="AI66" s="2087">
        <f>$J$66*0</f>
        <v>0</v>
      </c>
      <c r="AJ66" s="2174">
        <f t="shared" si="283"/>
        <v>31.530509515224363</v>
      </c>
      <c r="AK66" s="1814"/>
      <c r="AL66" s="2090">
        <f t="shared" ref="AL66" si="549">IF(AL60&gt;$J$71,$J$66,IF(AL60&lt;$J$71,(IF(AL60&lt;0,0,AL60*$K$66))))</f>
        <v>8.7083333333333339</v>
      </c>
      <c r="AM66" s="2088">
        <f t="shared" ref="AM66" si="550">IF(AM60&gt;$J$71,$J$66,IF(AM60&lt;$J$71,(IF(AM60&lt;0,0,AM60*$K$66))))</f>
        <v>8.7083333333333339</v>
      </c>
      <c r="AN66" s="2088">
        <f t="shared" ref="AN66:AP66" si="551">IF(AN60&gt;$J$71,$J$66,IF(AN60&lt;$J$71,(IF(AN60&lt;0,0,AN60*$K$66))))</f>
        <v>0</v>
      </c>
      <c r="AO66" s="2088">
        <f t="shared" si="551"/>
        <v>0</v>
      </c>
      <c r="AP66" s="2088">
        <f t="shared" si="551"/>
        <v>8.7083333333333339</v>
      </c>
      <c r="AQ66" s="2088">
        <f t="shared" ref="AQ66:AR66" si="552">IF(AQ60&gt;$J$71,$J$66,IF(AQ60&lt;$J$71,(IF(AQ60&lt;0,0,AQ60*$K$66))))</f>
        <v>8.7083333333333339</v>
      </c>
      <c r="AR66" s="2088">
        <f t="shared" si="552"/>
        <v>8.7083333333333339</v>
      </c>
      <c r="AS66" s="1814"/>
      <c r="AT66" s="2090">
        <f t="shared" si="499"/>
        <v>43.541666666666671</v>
      </c>
      <c r="AU66" s="2087">
        <f>$J$66*0</f>
        <v>0</v>
      </c>
      <c r="AV66" s="2174">
        <f t="shared" si="500"/>
        <v>43.541666666666671</v>
      </c>
      <c r="AW66" s="1814"/>
      <c r="AX66" s="2090">
        <f t="shared" ref="AX66:AY66" si="553">IF(AX60&gt;$J$71,$J$66,IF(AX60&lt;$J$71,(IF(AX60&lt;0,0,AX60*$K$66))))</f>
        <v>8.7083333333333339</v>
      </c>
      <c r="AY66" s="2088">
        <f t="shared" si="553"/>
        <v>8.7083333333333339</v>
      </c>
      <c r="AZ66" s="2088">
        <f t="shared" ref="AZ66:BA66" si="554">IF(AZ60&gt;$J$71,$J$66,IF(AZ60&lt;$J$71,(IF(AZ60&lt;0,0,AZ60*$K$66))))</f>
        <v>0</v>
      </c>
      <c r="BA66" s="2088">
        <f t="shared" si="554"/>
        <v>0.30493820112179515</v>
      </c>
      <c r="BB66" s="2088">
        <f t="shared" ref="BB66:BC66" si="555">IF(BB60&gt;$J$71,$J$66,IF(BB60&lt;$J$71,(IF(BB60&lt;0,0,BB60*$K$66))))</f>
        <v>1.5763339342948723</v>
      </c>
      <c r="BC66" s="2088">
        <f t="shared" si="555"/>
        <v>1.932663862179488</v>
      </c>
      <c r="BD66" s="2091">
        <f t="shared" ref="BD66" si="556">IF(BD60&gt;$J$71,$J$66,IF(BD60&lt;$J$71,(IF(BD60&lt;0,0,BD60*$K$66))))</f>
        <v>1.2643411458333347</v>
      </c>
      <c r="BE66" s="1814"/>
      <c r="BF66" s="2090">
        <f t="shared" si="479"/>
        <v>22.49494381009616</v>
      </c>
      <c r="BG66" s="2087">
        <f>$J$66*0</f>
        <v>0</v>
      </c>
      <c r="BH66" s="2174">
        <f t="shared" si="480"/>
        <v>22.49494381009616</v>
      </c>
      <c r="BI66" s="1814"/>
      <c r="BJ66" s="2090">
        <f t="shared" ref="BJ66:BK66" si="557">IF(BJ60&gt;$J$71,$J$66,IF(BJ60&lt;$J$71,(IF(BJ60&lt;0,0,BJ60*$K$66))))</f>
        <v>1.7743438501602582</v>
      </c>
      <c r="BK66" s="2091">
        <f t="shared" si="557"/>
        <v>5.4129409054487194</v>
      </c>
      <c r="BL66" s="1814"/>
      <c r="BM66" s="2090">
        <f t="shared" si="482"/>
        <v>7.1872847556089781</v>
      </c>
      <c r="BN66" s="2087">
        <f>$J$66*0</f>
        <v>0</v>
      </c>
      <c r="BO66" s="2174">
        <f t="shared" si="483"/>
        <v>7.1872847556089781</v>
      </c>
      <c r="BQ66" s="2092"/>
      <c r="BR66" s="2093"/>
      <c r="BT66" s="2092">
        <f t="shared" si="484"/>
        <v>124.10909425080131</v>
      </c>
      <c r="BU66" s="2094">
        <f t="shared" si="485"/>
        <v>0.59382341746794887</v>
      </c>
      <c r="BV66" s="2351"/>
      <c r="BW66" s="4636"/>
      <c r="BZ66" s="1997"/>
      <c r="CA66" s="1861"/>
      <c r="CB66" s="1861"/>
      <c r="CC66" s="1861"/>
      <c r="CD66" s="1861"/>
      <c r="CE66" s="1861"/>
      <c r="CF66" s="1861"/>
      <c r="CG66" s="1861"/>
      <c r="CH66" s="1861"/>
    </row>
    <row r="67" spans="1:86" s="1885" customFormat="1" x14ac:dyDescent="0.2">
      <c r="A67" s="1947"/>
      <c r="B67" s="2690">
        <v>52</v>
      </c>
      <c r="C67" s="2417" t="s">
        <v>122</v>
      </c>
      <c r="D67" s="1960"/>
      <c r="E67" s="2179">
        <v>75</v>
      </c>
      <c r="F67" s="2418">
        <f>E67/10</f>
        <v>7.5</v>
      </c>
      <c r="G67" s="2418">
        <f>E67/15</f>
        <v>5</v>
      </c>
      <c r="H67" s="2418">
        <f>E67/20</f>
        <v>3.75</v>
      </c>
      <c r="I67" s="2418">
        <f>E67/25</f>
        <v>3</v>
      </c>
      <c r="J67" s="2418">
        <f t="shared" si="461"/>
        <v>3.125</v>
      </c>
      <c r="K67" s="2419">
        <f t="shared" si="462"/>
        <v>4.5072115384615384E-2</v>
      </c>
      <c r="L67" s="2003"/>
      <c r="M67" s="1950"/>
      <c r="N67" s="2169">
        <f t="shared" ref="N67:P67" si="558">IF(N60&gt;$J$71,$J$67,IF(N60&lt;$J$71,(IF(N60&lt;0,0,N60*$K$67))))</f>
        <v>0.12067307692307756</v>
      </c>
      <c r="O67" s="2176">
        <f t="shared" ref="O67:Q67" si="559">IF(O60&gt;$J$71,$J$67,IF(O60&lt;$J$71,(IF(O60&lt;0,0,O60*$K$67))))</f>
        <v>0.78309795673076932</v>
      </c>
      <c r="P67" s="2176">
        <f t="shared" si="558"/>
        <v>0</v>
      </c>
      <c r="Q67" s="2176">
        <f t="shared" si="559"/>
        <v>2.0342998798076928</v>
      </c>
      <c r="R67" s="2176">
        <f t="shared" ref="R67:S67" si="560">IF(R60&gt;$J$71,$J$67,IF(R60&lt;$J$71,(IF(R60&lt;0,0,R60*$K$67))))</f>
        <v>0.35960036057692318</v>
      </c>
      <c r="S67" s="2176">
        <f t="shared" si="560"/>
        <v>2.5060021033653852</v>
      </c>
      <c r="T67" s="2171">
        <f t="shared" ref="T67" si="561">IF(T60&gt;$J$71,$J$67,IF(T60&lt;$J$71,(IF(T60&lt;0,0,T60*$K$67))))</f>
        <v>1.7785156250000007</v>
      </c>
      <c r="U67" s="1951"/>
      <c r="V67" s="2169">
        <f t="shared" si="411"/>
        <v>7.5821890024038492</v>
      </c>
      <c r="W67" s="2170">
        <f>$J$67*0</f>
        <v>0</v>
      </c>
      <c r="X67" s="2178">
        <f t="shared" si="342"/>
        <v>7.5821890024038492</v>
      </c>
      <c r="Y67" s="1956"/>
      <c r="Z67" s="2169">
        <f t="shared" ref="Z67:AA67" si="562">IF(Z60&gt;$J$71,$J$67,IF(Z60&lt;$J$71,(IF(Z60&lt;0,0,Z60*$K$67))))</f>
        <v>1.920853365384616</v>
      </c>
      <c r="AA67" s="2170">
        <f t="shared" si="562"/>
        <v>3.0677358774038472</v>
      </c>
      <c r="AB67" s="2170">
        <f t="shared" ref="AB67:AD67" si="563">IF(AB60&gt;$J$71,$J$67,IF(AB60&lt;$J$71,(IF(AB60&lt;0,0,AB60*$K$67))))</f>
        <v>0</v>
      </c>
      <c r="AC67" s="2170">
        <f t="shared" si="563"/>
        <v>0</v>
      </c>
      <c r="AD67" s="2170">
        <f t="shared" si="563"/>
        <v>3.125</v>
      </c>
      <c r="AE67" s="2170">
        <f t="shared" ref="AE67" si="564">IF(AE60&gt;$J$71,$J$67,IF(AE60&lt;$J$71,(IF(AE60&lt;0,0,AE60*$K$67))))</f>
        <v>1.522798978365385</v>
      </c>
      <c r="AF67" s="2171">
        <f t="shared" ref="AF67" si="565">IF(AF60&gt;$J$71,$J$67,IF(AF60&lt;$J$71,(IF(AF60&lt;0,0,AF60*$K$67))))</f>
        <v>1.6783879206730772</v>
      </c>
      <c r="AG67" s="1956"/>
      <c r="AH67" s="2169">
        <f t="shared" si="282"/>
        <v>11.314776141826925</v>
      </c>
      <c r="AI67" s="2170">
        <f>$J$67*0</f>
        <v>0</v>
      </c>
      <c r="AJ67" s="2178">
        <f t="shared" si="283"/>
        <v>11.314776141826925</v>
      </c>
      <c r="AK67" s="1956"/>
      <c r="AL67" s="2169">
        <f t="shared" ref="AL67" si="566">IF(AL60&gt;$J$71,$J$67,IF(AL60&lt;$J$71,(IF(AL60&lt;0,0,AL60*$K$67))))</f>
        <v>3.125</v>
      </c>
      <c r="AM67" s="2176">
        <f t="shared" ref="AM67" si="567">IF(AM60&gt;$J$71,$J$67,IF(AM60&lt;$J$71,(IF(AM60&lt;0,0,AM60*$K$67))))</f>
        <v>3.125</v>
      </c>
      <c r="AN67" s="2176">
        <f t="shared" ref="AN67:AP67" si="568">IF(AN60&gt;$J$71,$J$67,IF(AN60&lt;$J$71,(IF(AN60&lt;0,0,AN60*$K$67))))</f>
        <v>0</v>
      </c>
      <c r="AO67" s="2176">
        <f t="shared" si="568"/>
        <v>0</v>
      </c>
      <c r="AP67" s="2176">
        <f t="shared" si="568"/>
        <v>3.125</v>
      </c>
      <c r="AQ67" s="2176">
        <f t="shared" ref="AQ67:AR67" si="569">IF(AQ60&gt;$J$71,$J$67,IF(AQ60&lt;$J$71,(IF(AQ60&lt;0,0,AQ60*$K$67))))</f>
        <v>3.125</v>
      </c>
      <c r="AR67" s="2176">
        <f t="shared" si="569"/>
        <v>3.125</v>
      </c>
      <c r="AS67" s="1951"/>
      <c r="AT67" s="2169">
        <f t="shared" si="499"/>
        <v>15.625</v>
      </c>
      <c r="AU67" s="2170">
        <f>$J$67*0</f>
        <v>0</v>
      </c>
      <c r="AV67" s="2178">
        <f t="shared" si="500"/>
        <v>15.625</v>
      </c>
      <c r="AW67" s="1951"/>
      <c r="AX67" s="2169">
        <f t="shared" ref="AX67:AY67" si="570">IF(AX60&gt;$J$71,$J$67,IF(AX60&lt;$J$71,(IF(AX60&lt;0,0,AX60*$K$67))))</f>
        <v>3.125</v>
      </c>
      <c r="AY67" s="2176">
        <f t="shared" si="570"/>
        <v>3.125</v>
      </c>
      <c r="AZ67" s="2176">
        <f t="shared" ref="AZ67:BA67" si="571">IF(AZ60&gt;$J$71,$J$67,IF(AZ60&lt;$J$71,(IF(AZ60&lt;0,0,AZ60*$K$67))))</f>
        <v>0</v>
      </c>
      <c r="BA67" s="2176">
        <f t="shared" si="571"/>
        <v>0.10942758413461549</v>
      </c>
      <c r="BB67" s="2176">
        <f t="shared" ref="BB67:BC67" si="572">IF(BB60&gt;$J$71,$J$67,IF(BB60&lt;$J$71,(IF(BB60&lt;0,0,BB60*$K$67))))</f>
        <v>0.56567007211538478</v>
      </c>
      <c r="BC67" s="2176">
        <f t="shared" si="572"/>
        <v>0.69353966346153884</v>
      </c>
      <c r="BD67" s="2171">
        <f t="shared" ref="BD67" si="573">IF(BD60&gt;$J$71,$J$67,IF(BD60&lt;$J$71,(IF(BD60&lt;0,0,BD60*$K$67))))</f>
        <v>0.45371093750000047</v>
      </c>
      <c r="BE67" s="1951"/>
      <c r="BF67" s="2169">
        <f t="shared" si="479"/>
        <v>8.072348257211539</v>
      </c>
      <c r="BG67" s="2170">
        <f>$J$67*0</f>
        <v>0</v>
      </c>
      <c r="BH67" s="2178">
        <f t="shared" si="480"/>
        <v>8.072348257211539</v>
      </c>
      <c r="BI67" s="1951"/>
      <c r="BJ67" s="2169">
        <f t="shared" ref="BJ67:BK67" si="574">IF(BJ60&gt;$J$71,$J$67,IF(BJ60&lt;$J$71,(IF(BJ60&lt;0,0,BJ60*$K$67))))</f>
        <v>0.63672626201923144</v>
      </c>
      <c r="BK67" s="2171">
        <f t="shared" si="574"/>
        <v>1.9424429086538468</v>
      </c>
      <c r="BL67" s="1951"/>
      <c r="BM67" s="2169">
        <f t="shared" si="482"/>
        <v>2.5791691706730782</v>
      </c>
      <c r="BN67" s="2170">
        <f>$J$67*0</f>
        <v>0</v>
      </c>
      <c r="BO67" s="2178">
        <f t="shared" si="483"/>
        <v>2.5791691706730782</v>
      </c>
      <c r="BQ67" s="2179"/>
      <c r="BR67" s="2180"/>
      <c r="BS67" s="1900"/>
      <c r="BT67" s="2179">
        <f t="shared" si="484"/>
        <v>44.536756310096159</v>
      </c>
      <c r="BU67" s="2181">
        <f t="shared" si="485"/>
        <v>0.59382341746794876</v>
      </c>
      <c r="BV67" s="2353"/>
      <c r="BW67" s="4636"/>
      <c r="BZ67" s="3134"/>
      <c r="CA67" s="1946"/>
      <c r="CB67" s="1946"/>
      <c r="CC67" s="1946"/>
      <c r="CD67" s="1946"/>
      <c r="CE67" s="1946"/>
      <c r="CF67" s="1946"/>
      <c r="CG67" s="1946"/>
      <c r="CH67" s="1946"/>
    </row>
    <row r="68" spans="1:86" s="1726" customFormat="1" ht="17.25" thickBot="1" x14ac:dyDescent="0.25">
      <c r="A68" s="1756"/>
      <c r="B68" s="2107">
        <v>53</v>
      </c>
      <c r="C68" s="2108" t="s">
        <v>242</v>
      </c>
      <c r="D68" s="2646"/>
      <c r="E68" s="2092">
        <v>0</v>
      </c>
      <c r="F68" s="2111">
        <f>E68/10</f>
        <v>0</v>
      </c>
      <c r="G68" s="2111">
        <f>E68/15</f>
        <v>0</v>
      </c>
      <c r="H68" s="2111">
        <f>E68/20</f>
        <v>0</v>
      </c>
      <c r="I68" s="2111">
        <f>E68/25</f>
        <v>0</v>
      </c>
      <c r="J68" s="2111">
        <f t="shared" si="461"/>
        <v>0</v>
      </c>
      <c r="K68" s="2112">
        <f t="shared" si="462"/>
        <v>0</v>
      </c>
      <c r="L68" s="1931"/>
      <c r="M68" s="1924"/>
      <c r="N68" s="2090">
        <f t="shared" ref="N68:P68" si="575">IF(N60&gt;$J$71,$J$68,IF(N60&lt;$J$71,(IF(N60&lt;0,0,N60*$K$68))))</f>
        <v>0</v>
      </c>
      <c r="O68" s="2088">
        <f t="shared" ref="O68:Q68" si="576">IF(O60&gt;$J$71,$J$68,IF(O60&lt;$J$71,(IF(O60&lt;0,0,O60*$K$68))))</f>
        <v>0</v>
      </c>
      <c r="P68" s="2088">
        <f t="shared" si="575"/>
        <v>0</v>
      </c>
      <c r="Q68" s="2088">
        <f t="shared" si="576"/>
        <v>0</v>
      </c>
      <c r="R68" s="2088">
        <f t="shared" ref="R68:S68" si="577">IF(R60&gt;$J$71,$J$68,IF(R60&lt;$J$71,(IF(R60&lt;0,0,R60*$K$68))))</f>
        <v>0</v>
      </c>
      <c r="S68" s="2088">
        <f t="shared" si="577"/>
        <v>0</v>
      </c>
      <c r="T68" s="2091">
        <f t="shared" ref="T68" si="578">IF(T60&gt;$J$71,$J$68,IF(T60&lt;$J$71,(IF(T60&lt;0,0,T60*$K$68))))</f>
        <v>0</v>
      </c>
      <c r="U68" s="1814"/>
      <c r="V68" s="2090">
        <f t="shared" si="411"/>
        <v>0</v>
      </c>
      <c r="W68" s="2087">
        <f>$J$68*0</f>
        <v>0</v>
      </c>
      <c r="X68" s="2174">
        <f t="shared" si="342"/>
        <v>0</v>
      </c>
      <c r="Y68" s="1766"/>
      <c r="Z68" s="2090">
        <f t="shared" ref="Z68:AA68" si="579">IF(Z60&gt;$J$71,$J$68,IF(Z60&lt;$J$71,(IF(Z60&lt;0,0,Z60*$K$68))))</f>
        <v>0</v>
      </c>
      <c r="AA68" s="2087">
        <f t="shared" si="579"/>
        <v>0</v>
      </c>
      <c r="AB68" s="2087">
        <f t="shared" ref="AB68:AD68" si="580">IF(AB60&gt;$J$71,$J$68,IF(AB60&lt;$J$71,(IF(AB60&lt;0,0,AB60*$K$68))))</f>
        <v>0</v>
      </c>
      <c r="AC68" s="2087">
        <f t="shared" si="580"/>
        <v>0</v>
      </c>
      <c r="AD68" s="2087">
        <f t="shared" si="580"/>
        <v>0</v>
      </c>
      <c r="AE68" s="2087">
        <f t="shared" ref="AE68" si="581">IF(AE60&gt;$J$71,$J$68,IF(AE60&lt;$J$71,(IF(AE60&lt;0,0,AE60*$K$68))))</f>
        <v>0</v>
      </c>
      <c r="AF68" s="2091">
        <f t="shared" ref="AF68" si="582">IF(AF60&gt;$J$71,$J$68,IF(AF60&lt;$J$71,(IF(AF60&lt;0,0,AF60*$K$68))))</f>
        <v>0</v>
      </c>
      <c r="AG68" s="1766"/>
      <c r="AH68" s="2090">
        <f t="shared" si="282"/>
        <v>0</v>
      </c>
      <c r="AI68" s="2087">
        <f>$J$68*0</f>
        <v>0</v>
      </c>
      <c r="AJ68" s="2174">
        <f t="shared" si="283"/>
        <v>0</v>
      </c>
      <c r="AK68" s="1766"/>
      <c r="AL68" s="2090">
        <f t="shared" ref="AL68" si="583">IF(AL60&gt;$J$71,$J$68,IF(AL60&lt;$J$71,(IF(AL60&lt;0,0,AL60*$K$68))))</f>
        <v>0</v>
      </c>
      <c r="AM68" s="2088">
        <f t="shared" ref="AM68" si="584">IF(AM60&gt;$J$71,$J$68,IF(AM60&lt;$J$71,(IF(AM60&lt;0,0,AM60*$K$68))))</f>
        <v>0</v>
      </c>
      <c r="AN68" s="2088">
        <f t="shared" ref="AN68:AP68" si="585">IF(AN60&gt;$J$71,$J$68,IF(AN60&lt;$J$71,(IF(AN60&lt;0,0,AN60*$K$68))))</f>
        <v>0</v>
      </c>
      <c r="AO68" s="2088">
        <f t="shared" si="585"/>
        <v>0</v>
      </c>
      <c r="AP68" s="2088">
        <f t="shared" si="585"/>
        <v>0</v>
      </c>
      <c r="AQ68" s="2088">
        <f t="shared" ref="AQ68:AR68" si="586">IF(AQ60&gt;$J$71,$J$68,IF(AQ60&lt;$J$71,(IF(AQ60&lt;0,0,AQ60*$K$68))))</f>
        <v>0</v>
      </c>
      <c r="AR68" s="2088">
        <f t="shared" si="586"/>
        <v>0</v>
      </c>
      <c r="AS68" s="1814"/>
      <c r="AT68" s="2090">
        <f t="shared" si="499"/>
        <v>0</v>
      </c>
      <c r="AU68" s="2087">
        <f>$J$68*0</f>
        <v>0</v>
      </c>
      <c r="AV68" s="2174">
        <f t="shared" si="500"/>
        <v>0</v>
      </c>
      <c r="AW68" s="1814"/>
      <c r="AX68" s="2090">
        <f t="shared" ref="AX68:AY68" si="587">IF(AX60&gt;$J$71,$J$68,IF(AX60&lt;$J$71,(IF(AX60&lt;0,0,AX60*$K$68))))</f>
        <v>0</v>
      </c>
      <c r="AY68" s="2088">
        <f t="shared" si="587"/>
        <v>0</v>
      </c>
      <c r="AZ68" s="2088">
        <f t="shared" ref="AZ68:BA68" si="588">IF(AZ60&gt;$J$71,$J$68,IF(AZ60&lt;$J$71,(IF(AZ60&lt;0,0,AZ60*$K$68))))</f>
        <v>0</v>
      </c>
      <c r="BA68" s="2088">
        <f t="shared" si="588"/>
        <v>0</v>
      </c>
      <c r="BB68" s="2088">
        <f t="shared" ref="BB68:BC68" si="589">IF(BB60&gt;$J$71,$J$68,IF(BB60&lt;$J$71,(IF(BB60&lt;0,0,BB60*$K$68))))</f>
        <v>0</v>
      </c>
      <c r="BC68" s="2088">
        <f t="shared" si="589"/>
        <v>0</v>
      </c>
      <c r="BD68" s="2091">
        <f t="shared" ref="BD68" si="590">IF(BD60&gt;$J$71,$J$68,IF(BD60&lt;$J$71,(IF(BD60&lt;0,0,BD60*$K$68))))</f>
        <v>0</v>
      </c>
      <c r="BE68" s="1814"/>
      <c r="BF68" s="2090">
        <f t="shared" si="479"/>
        <v>0</v>
      </c>
      <c r="BG68" s="2087">
        <f>$J$68*0</f>
        <v>0</v>
      </c>
      <c r="BH68" s="2174">
        <f t="shared" si="480"/>
        <v>0</v>
      </c>
      <c r="BI68" s="1814"/>
      <c r="BJ68" s="2090">
        <f t="shared" ref="BJ68:BK68" si="591">IF(BJ60&gt;$J$71,$J$68,IF(BJ60&lt;$J$71,(IF(BJ60&lt;0,0,BJ60*$K$68))))</f>
        <v>0</v>
      </c>
      <c r="BK68" s="2091">
        <f t="shared" si="591"/>
        <v>0</v>
      </c>
      <c r="BL68" s="1814"/>
      <c r="BM68" s="2090">
        <f t="shared" si="482"/>
        <v>0</v>
      </c>
      <c r="BN68" s="2087">
        <f>$J$68*0</f>
        <v>0</v>
      </c>
      <c r="BO68" s="2174">
        <f t="shared" si="483"/>
        <v>0</v>
      </c>
      <c r="BQ68" s="2092"/>
      <c r="BR68" s="2093"/>
      <c r="BS68" s="1740"/>
      <c r="BT68" s="2092">
        <f t="shared" si="484"/>
        <v>0</v>
      </c>
      <c r="BU68" s="2094" t="e">
        <f t="shared" si="485"/>
        <v>#DIV/0!</v>
      </c>
      <c r="BV68" s="2351"/>
      <c r="BW68" s="4636"/>
      <c r="BZ68" s="3143"/>
      <c r="CA68" s="1860"/>
      <c r="CB68" s="1860"/>
      <c r="CC68" s="1860"/>
      <c r="CD68" s="1860"/>
      <c r="CE68" s="1860"/>
      <c r="CF68" s="1860"/>
      <c r="CG68" s="1860"/>
      <c r="CH68" s="1860"/>
    </row>
    <row r="69" spans="1:86" s="1885" customFormat="1" x14ac:dyDescent="0.2">
      <c r="B69" s="2691">
        <v>54</v>
      </c>
      <c r="C69" s="2692" t="s">
        <v>227</v>
      </c>
      <c r="D69" s="2693"/>
      <c r="E69" s="2694">
        <v>0</v>
      </c>
      <c r="F69" s="2695"/>
      <c r="G69" s="2695"/>
      <c r="H69" s="2695"/>
      <c r="I69" s="2695"/>
      <c r="J69" s="2695">
        <f t="shared" si="461"/>
        <v>0</v>
      </c>
      <c r="K69" s="2696">
        <f t="shared" si="462"/>
        <v>0</v>
      </c>
      <c r="L69" s="2003"/>
      <c r="M69" s="1950"/>
      <c r="N69" s="2169">
        <f t="shared" ref="N69:P69" si="592">IF(N60&gt;$J$71,$J$69,IF(N60&lt;$J$71,(IF(N60&lt;0,0,N60*$K$69))))</f>
        <v>0</v>
      </c>
      <c r="O69" s="2176">
        <f t="shared" ref="O69:Q69" si="593">IF(O60&gt;$J$71,$J$69,IF(O60&lt;$J$71,(IF(O60&lt;0,0,O60*$K$69))))</f>
        <v>0</v>
      </c>
      <c r="P69" s="2176">
        <f t="shared" si="592"/>
        <v>0</v>
      </c>
      <c r="Q69" s="2176">
        <f t="shared" si="593"/>
        <v>0</v>
      </c>
      <c r="R69" s="2176">
        <f t="shared" ref="R69:S69" si="594">IF(R60&gt;$J$71,$J$69,IF(R60&lt;$J$71,(IF(R60&lt;0,0,R60*$K$69))))</f>
        <v>0</v>
      </c>
      <c r="S69" s="2176">
        <f t="shared" si="594"/>
        <v>0</v>
      </c>
      <c r="T69" s="2171">
        <f t="shared" ref="T69" si="595">IF(T60&gt;$J$71,$J$69,IF(T60&lt;$J$71,(IF(T60&lt;0,0,T60*$K$69))))</f>
        <v>0</v>
      </c>
      <c r="U69" s="1951"/>
      <c r="V69" s="2169">
        <f t="shared" si="411"/>
        <v>0</v>
      </c>
      <c r="W69" s="2170">
        <f>$J$69*0</f>
        <v>0</v>
      </c>
      <c r="X69" s="2178">
        <f t="shared" si="342"/>
        <v>0</v>
      </c>
      <c r="Y69" s="1956"/>
      <c r="Z69" s="2169">
        <f t="shared" ref="Z69:AA69" si="596">IF(Z60&gt;$J$71,$J$69,IF(Z60&lt;$J$71,(IF(Z60&lt;0,0,Z60*$K$69))))</f>
        <v>0</v>
      </c>
      <c r="AA69" s="2170">
        <f t="shared" si="596"/>
        <v>0</v>
      </c>
      <c r="AB69" s="2170">
        <f t="shared" ref="AB69:AD69" si="597">IF(AB60&gt;$J$71,$J$69,IF(AB60&lt;$J$71,(IF(AB60&lt;0,0,AB60*$K$69))))</f>
        <v>0</v>
      </c>
      <c r="AC69" s="2170">
        <f t="shared" si="597"/>
        <v>0</v>
      </c>
      <c r="AD69" s="2170">
        <f t="shared" si="597"/>
        <v>0</v>
      </c>
      <c r="AE69" s="2170">
        <f t="shared" ref="AE69" si="598">IF(AE60&gt;$J$71,$J$69,IF(AE60&lt;$J$71,(IF(AE60&lt;0,0,AE60*$K$69))))</f>
        <v>0</v>
      </c>
      <c r="AF69" s="2171">
        <f t="shared" ref="AF69" si="599">IF(AF60&gt;$J$71,$J$69,IF(AF60&lt;$J$71,(IF(AF60&lt;0,0,AF60*$K$69))))</f>
        <v>0</v>
      </c>
      <c r="AG69" s="1956"/>
      <c r="AH69" s="2169">
        <f t="shared" si="282"/>
        <v>0</v>
      </c>
      <c r="AI69" s="2170">
        <f>$J$69*0</f>
        <v>0</v>
      </c>
      <c r="AJ69" s="2178">
        <f t="shared" si="283"/>
        <v>0</v>
      </c>
      <c r="AK69" s="1956"/>
      <c r="AL69" s="2169">
        <f t="shared" ref="AL69" si="600">IF(AL60&gt;$J$71,$J$69,IF(AL60&lt;$J$71,(IF(AL60&lt;0,0,AL60*$K$69))))</f>
        <v>0</v>
      </c>
      <c r="AM69" s="2176">
        <f t="shared" ref="AM69" si="601">IF(AM60&gt;$J$71,$J$69,IF(AM60&lt;$J$71,(IF(AM60&lt;0,0,AM60*$K$69))))</f>
        <v>0</v>
      </c>
      <c r="AN69" s="2176">
        <f t="shared" ref="AN69:AP69" si="602">IF(AN60&gt;$J$71,$J$69,IF(AN60&lt;$J$71,(IF(AN60&lt;0,0,AN60*$K$69))))</f>
        <v>0</v>
      </c>
      <c r="AO69" s="2176">
        <f t="shared" si="602"/>
        <v>0</v>
      </c>
      <c r="AP69" s="2176">
        <f t="shared" si="602"/>
        <v>0</v>
      </c>
      <c r="AQ69" s="2176">
        <f t="shared" ref="AQ69:AR69" si="603">IF(AQ60&gt;$J$71,$J$69,IF(AQ60&lt;$J$71,(IF(AQ60&lt;0,0,AQ60*$K$69))))</f>
        <v>0</v>
      </c>
      <c r="AR69" s="2176">
        <f t="shared" si="603"/>
        <v>0</v>
      </c>
      <c r="AS69" s="1951"/>
      <c r="AT69" s="2169">
        <f t="shared" si="499"/>
        <v>0</v>
      </c>
      <c r="AU69" s="2170">
        <f>$J$69*0</f>
        <v>0</v>
      </c>
      <c r="AV69" s="2178">
        <f t="shared" si="500"/>
        <v>0</v>
      </c>
      <c r="AW69" s="1951"/>
      <c r="AX69" s="2169">
        <f t="shared" ref="AX69:AY69" si="604">IF(AX60&gt;$J$71,$J$69,IF(AX60&lt;$J$71,(IF(AX60&lt;0,0,AX60*$K$69))))</f>
        <v>0</v>
      </c>
      <c r="AY69" s="2176">
        <f t="shared" si="604"/>
        <v>0</v>
      </c>
      <c r="AZ69" s="2176">
        <f t="shared" ref="AZ69:BA69" si="605">IF(AZ60&gt;$J$71,$J$69,IF(AZ60&lt;$J$71,(IF(AZ60&lt;0,0,AZ60*$K$69))))</f>
        <v>0</v>
      </c>
      <c r="BA69" s="2176">
        <f t="shared" si="605"/>
        <v>0</v>
      </c>
      <c r="BB69" s="2176">
        <f t="shared" ref="BB69:BC69" si="606">IF(BB60&gt;$J$71,$J$69,IF(BB60&lt;$J$71,(IF(BB60&lt;0,0,BB60*$K$69))))</f>
        <v>0</v>
      </c>
      <c r="BC69" s="2176">
        <f t="shared" si="606"/>
        <v>0</v>
      </c>
      <c r="BD69" s="2171">
        <f t="shared" ref="BD69" si="607">IF(BD60&gt;$J$71,$J$69,IF(BD60&lt;$J$71,(IF(BD60&lt;0,0,BD60*$K$69))))</f>
        <v>0</v>
      </c>
      <c r="BE69" s="1951"/>
      <c r="BF69" s="2169">
        <f t="shared" si="479"/>
        <v>0</v>
      </c>
      <c r="BG69" s="2170">
        <f>$J$69*0</f>
        <v>0</v>
      </c>
      <c r="BH69" s="2178">
        <f t="shared" si="480"/>
        <v>0</v>
      </c>
      <c r="BI69" s="1951"/>
      <c r="BJ69" s="2169">
        <f t="shared" ref="BJ69:BK69" si="608">IF(BJ60&gt;$J$71,$J$69,IF(BJ60&lt;$J$71,(IF(BJ60&lt;0,0,BJ60*$K$69))))</f>
        <v>0</v>
      </c>
      <c r="BK69" s="2171">
        <f t="shared" si="608"/>
        <v>0</v>
      </c>
      <c r="BL69" s="1951"/>
      <c r="BM69" s="2169">
        <f t="shared" si="482"/>
        <v>0</v>
      </c>
      <c r="BN69" s="2170">
        <f>$J$69*0</f>
        <v>0</v>
      </c>
      <c r="BO69" s="2178">
        <f t="shared" si="483"/>
        <v>0</v>
      </c>
      <c r="BQ69" s="2179"/>
      <c r="BR69" s="2180"/>
      <c r="BS69" s="1900"/>
      <c r="BT69" s="2179">
        <f t="shared" si="484"/>
        <v>0</v>
      </c>
      <c r="BU69" s="2181" t="e">
        <f t="shared" si="485"/>
        <v>#DIV/0!</v>
      </c>
      <c r="BV69" s="2353"/>
      <c r="BW69" s="4636"/>
      <c r="BZ69" s="3134"/>
      <c r="CA69" s="1946"/>
      <c r="CB69" s="1946"/>
      <c r="CC69" s="1946"/>
      <c r="CD69" s="1946"/>
      <c r="CE69" s="1946"/>
      <c r="CF69" s="1946"/>
      <c r="CG69" s="1946"/>
      <c r="CH69" s="1946"/>
    </row>
    <row r="70" spans="1:86" s="1726" customFormat="1" ht="17.25" thickBot="1" x14ac:dyDescent="0.25">
      <c r="B70" s="2647">
        <v>55</v>
      </c>
      <c r="C70" s="2648" t="s">
        <v>228</v>
      </c>
      <c r="D70" s="2649"/>
      <c r="E70" s="2193">
        <v>0</v>
      </c>
      <c r="F70" s="2313">
        <f>E70/10</f>
        <v>0</v>
      </c>
      <c r="G70" s="2313">
        <f>E70/15</f>
        <v>0</v>
      </c>
      <c r="H70" s="2313">
        <f>E70/20</f>
        <v>0</v>
      </c>
      <c r="I70" s="2313">
        <f>E70/25</f>
        <v>0</v>
      </c>
      <c r="J70" s="2313">
        <f t="shared" si="461"/>
        <v>0</v>
      </c>
      <c r="K70" s="2194">
        <f t="shared" si="462"/>
        <v>0</v>
      </c>
      <c r="L70" s="1931"/>
      <c r="M70" s="1924"/>
      <c r="N70" s="2090">
        <f t="shared" ref="N70:P70" si="609">IF(N60&gt;$J$71,$J$70,IF(N60&lt;$J$71,(IF(N60&lt;0,0,N60*$K$70))))</f>
        <v>0</v>
      </c>
      <c r="O70" s="2088">
        <f t="shared" ref="O70:Q70" si="610">IF(O60&gt;$J$71,$J$70,IF(O60&lt;$J$71,(IF(O60&lt;0,0,O60*$K$70))))</f>
        <v>0</v>
      </c>
      <c r="P70" s="2088">
        <f t="shared" si="609"/>
        <v>0</v>
      </c>
      <c r="Q70" s="2088">
        <f t="shared" si="610"/>
        <v>0</v>
      </c>
      <c r="R70" s="2088">
        <f t="shared" ref="R70:S70" si="611">IF(R60&gt;$J$71,$J$70,IF(R60&lt;$J$71,(IF(R60&lt;0,0,R60*$K$70))))</f>
        <v>0</v>
      </c>
      <c r="S70" s="2088">
        <f t="shared" si="611"/>
        <v>0</v>
      </c>
      <c r="T70" s="2091">
        <f t="shared" ref="T70" si="612">IF(T60&gt;$J$71,$J$70,IF(T60&lt;$J$71,(IF(T60&lt;0,0,T60*$K$70))))</f>
        <v>0</v>
      </c>
      <c r="U70" s="1814"/>
      <c r="V70" s="2445">
        <f t="shared" si="88"/>
        <v>0</v>
      </c>
      <c r="W70" s="2650">
        <f>$J$70*0</f>
        <v>0</v>
      </c>
      <c r="X70" s="2651">
        <f t="shared" si="342"/>
        <v>0</v>
      </c>
      <c r="Y70" s="1766"/>
      <c r="Z70" s="2445">
        <f t="shared" ref="Z70:AA70" si="613">IF(Z60&gt;$J$71,$J$70,IF(Z60&lt;$J$71,(IF(Z60&lt;0,0,Z60*$K$70))))</f>
        <v>0</v>
      </c>
      <c r="AA70" s="2650">
        <f t="shared" si="613"/>
        <v>0</v>
      </c>
      <c r="AB70" s="2650">
        <f t="shared" ref="AB70:AD70" si="614">IF(AB60&gt;$J$71,$J$70,IF(AB60&lt;$J$71,(IF(AB60&lt;0,0,AB60*$K$70))))</f>
        <v>0</v>
      </c>
      <c r="AC70" s="2650">
        <f t="shared" si="614"/>
        <v>0</v>
      </c>
      <c r="AD70" s="2650">
        <f t="shared" si="614"/>
        <v>0</v>
      </c>
      <c r="AE70" s="2650">
        <f t="shared" ref="AE70" si="615">IF(AE60&gt;$J$71,$J$70,IF(AE60&lt;$J$71,(IF(AE60&lt;0,0,AE60*$K$70))))</f>
        <v>0</v>
      </c>
      <c r="AF70" s="2652">
        <f t="shared" ref="AF70" si="616">IF(AF60&gt;$J$71,$J$70,IF(AF60&lt;$J$71,(IF(AF60&lt;0,0,AF60*$K$70))))</f>
        <v>0</v>
      </c>
      <c r="AG70" s="1766"/>
      <c r="AH70" s="2445">
        <f t="shared" si="282"/>
        <v>0</v>
      </c>
      <c r="AI70" s="2650">
        <f>$J$70*0</f>
        <v>0</v>
      </c>
      <c r="AJ70" s="2651">
        <f t="shared" si="283"/>
        <v>0</v>
      </c>
      <c r="AK70" s="1766"/>
      <c r="AL70" s="2193">
        <f t="shared" ref="AL70" si="617">IF(AL60&gt;$J$71,$J$70,IF(AL60&lt;$J$71,(IF(AL60&lt;0,0,AL60*$K$70))))</f>
        <v>0</v>
      </c>
      <c r="AM70" s="2313">
        <f t="shared" ref="AM70" si="618">IF(AM60&gt;$J$71,$J$70,IF(AM60&lt;$J$71,(IF(AM60&lt;0,0,AM60*$K$70))))</f>
        <v>0</v>
      </c>
      <c r="AN70" s="2313">
        <f t="shared" ref="AN70:AP70" si="619">IF(AN60&gt;$J$71,$J$70,IF(AN60&lt;$J$71,(IF(AN60&lt;0,0,AN60*$K$70))))</f>
        <v>0</v>
      </c>
      <c r="AO70" s="2313">
        <f t="shared" si="619"/>
        <v>0</v>
      </c>
      <c r="AP70" s="2313">
        <f t="shared" si="619"/>
        <v>0</v>
      </c>
      <c r="AQ70" s="2313">
        <f t="shared" ref="AQ70:AR70" si="620">IF(AQ60&gt;$J$71,$J$70,IF(AQ60&lt;$J$71,(IF(AQ60&lt;0,0,AQ60*$K$70))))</f>
        <v>0</v>
      </c>
      <c r="AR70" s="2313">
        <f t="shared" si="620"/>
        <v>0</v>
      </c>
      <c r="AS70" s="1814"/>
      <c r="AT70" s="2445">
        <f t="shared" si="499"/>
        <v>0</v>
      </c>
      <c r="AU70" s="2650">
        <f>$J$70*0</f>
        <v>0</v>
      </c>
      <c r="AV70" s="2651">
        <f t="shared" si="500"/>
        <v>0</v>
      </c>
      <c r="AW70" s="1814"/>
      <c r="AX70" s="2193">
        <f t="shared" ref="AX70:AY70" si="621">IF(AX60&gt;$J$71,$J$70,IF(AX60&lt;$J$71,(IF(AX60&lt;0,0,AX60*$K$70))))</f>
        <v>0</v>
      </c>
      <c r="AY70" s="2313">
        <f t="shared" si="621"/>
        <v>0</v>
      </c>
      <c r="AZ70" s="2313">
        <f t="shared" ref="AZ70:BA70" si="622">IF(AZ60&gt;$J$71,$J$70,IF(AZ60&lt;$J$71,(IF(AZ60&lt;0,0,AZ60*$K$70))))</f>
        <v>0</v>
      </c>
      <c r="BA70" s="2313">
        <f t="shared" si="622"/>
        <v>0</v>
      </c>
      <c r="BB70" s="2313">
        <f t="shared" ref="BB70:BC70" si="623">IF(BB60&gt;$J$71,$J$70,IF(BB60&lt;$J$71,(IF(BB60&lt;0,0,BB60*$K$70))))</f>
        <v>0</v>
      </c>
      <c r="BC70" s="2313">
        <f t="shared" si="623"/>
        <v>0</v>
      </c>
      <c r="BD70" s="2314">
        <f t="shared" ref="BD70" si="624">IF(BD60&gt;$J$71,$J$70,IF(BD60&lt;$J$71,(IF(BD60&lt;0,0,BD60*$K$70))))</f>
        <v>0</v>
      </c>
      <c r="BE70" s="1814"/>
      <c r="BF70" s="2445">
        <f t="shared" si="479"/>
        <v>0</v>
      </c>
      <c r="BG70" s="2650">
        <f>$J$70*0</f>
        <v>0</v>
      </c>
      <c r="BH70" s="2651">
        <f t="shared" si="480"/>
        <v>0</v>
      </c>
      <c r="BI70" s="1814"/>
      <c r="BJ70" s="2193">
        <f t="shared" ref="BJ70:BK70" si="625">IF(BJ60&gt;$J$71,$J$70,IF(BJ60&lt;$J$71,(IF(BJ60&lt;0,0,BJ60*$K$70))))</f>
        <v>0</v>
      </c>
      <c r="BK70" s="2314">
        <f t="shared" si="625"/>
        <v>0</v>
      </c>
      <c r="BL70" s="1814"/>
      <c r="BM70" s="2445">
        <f t="shared" si="482"/>
        <v>0</v>
      </c>
      <c r="BN70" s="2650">
        <f>$J$70*0</f>
        <v>0</v>
      </c>
      <c r="BO70" s="2651">
        <f t="shared" si="483"/>
        <v>0</v>
      </c>
      <c r="BQ70" s="2193"/>
      <c r="BR70" s="2654"/>
      <c r="BS70" s="1740"/>
      <c r="BT70" s="2193">
        <f t="shared" si="484"/>
        <v>0</v>
      </c>
      <c r="BU70" s="2195" t="e">
        <f t="shared" si="485"/>
        <v>#DIV/0!</v>
      </c>
      <c r="BV70" s="2351"/>
      <c r="BW70" s="4636"/>
      <c r="BZ70" s="3143"/>
      <c r="CA70" s="3143"/>
      <c r="CB70" s="1860"/>
      <c r="CC70" s="1860"/>
      <c r="CD70" s="1860"/>
      <c r="CE70" s="1860"/>
      <c r="CF70" s="1860"/>
      <c r="CG70" s="1860"/>
      <c r="CH70" s="1860"/>
    </row>
    <row r="71" spans="1:86" s="1885" customFormat="1" ht="17.25" thickBot="1" x14ac:dyDescent="0.25">
      <c r="B71" s="2697"/>
      <c r="C71" s="2698" t="s">
        <v>194</v>
      </c>
      <c r="D71" s="2119"/>
      <c r="E71" s="2183">
        <f>SUM(E62:E70)</f>
        <v>1664</v>
      </c>
      <c r="F71" s="2311">
        <f>SUM(F49:F70)</f>
        <v>153.15</v>
      </c>
      <c r="G71" s="2311">
        <f>SUM(G49:G70)</f>
        <v>102.10000000000001</v>
      </c>
      <c r="H71" s="2311">
        <f>SUM(H49:H70)</f>
        <v>76.575000000000003</v>
      </c>
      <c r="I71" s="2311">
        <f>SUM(I49:I70)</f>
        <v>61.260000000000005</v>
      </c>
      <c r="J71" s="2311">
        <f>SUM(J62:J70)</f>
        <v>69.333333333333329</v>
      </c>
      <c r="K71" s="2699">
        <f>SUM(K62:K70)</f>
        <v>1</v>
      </c>
      <c r="L71" s="2003"/>
      <c r="M71" s="1950"/>
      <c r="N71" s="2120">
        <f t="shared" ref="N71:P71" si="626">SUM(N62:N70)</f>
        <v>2.6773333333333476</v>
      </c>
      <c r="O71" s="2123">
        <f t="shared" ref="O71:Q71" si="627">SUM(O62:O70)</f>
        <v>17.374333333333336</v>
      </c>
      <c r="P71" s="2123">
        <f t="shared" si="626"/>
        <v>0</v>
      </c>
      <c r="Q71" s="2123">
        <f t="shared" si="627"/>
        <v>45.134333333333338</v>
      </c>
      <c r="R71" s="2123">
        <f t="shared" ref="R71:S71" si="628">SUM(R62:R70)</f>
        <v>7.9783333333333344</v>
      </c>
      <c r="S71" s="2123">
        <f t="shared" si="628"/>
        <v>55.599833333333343</v>
      </c>
      <c r="T71" s="2124">
        <f t="shared" ref="T71" si="629">SUM(T62:T70)</f>
        <v>39.459333333333348</v>
      </c>
      <c r="U71" s="1951"/>
      <c r="V71" s="2120">
        <f>SUM(V62:V70)</f>
        <v>168.22350000000009</v>
      </c>
      <c r="W71" s="2123">
        <f>SUM(W62:W70)</f>
        <v>0</v>
      </c>
      <c r="X71" s="2125">
        <f>SUM(X62:X70)</f>
        <v>168.22350000000009</v>
      </c>
      <c r="Y71" s="1956"/>
      <c r="Z71" s="2120">
        <f t="shared" ref="Z71:AA71" si="630">SUM(Z62:Z70)</f>
        <v>42.617333333333349</v>
      </c>
      <c r="AA71" s="2123">
        <f t="shared" si="630"/>
        <v>68.062833333333359</v>
      </c>
      <c r="AB71" s="2123">
        <f t="shared" ref="AB71:AD71" si="631">SUM(AB62:AB70)</f>
        <v>0</v>
      </c>
      <c r="AC71" s="2123">
        <f t="shared" si="631"/>
        <v>0</v>
      </c>
      <c r="AD71" s="2123">
        <f t="shared" si="631"/>
        <v>69.333333333333329</v>
      </c>
      <c r="AE71" s="2123">
        <f t="shared" ref="AE71" si="632">SUM(AE62:AE70)</f>
        <v>33.785833333333343</v>
      </c>
      <c r="AF71" s="2124">
        <f t="shared" ref="AF71" si="633">SUM(AF62:AF70)</f>
        <v>37.237833333333334</v>
      </c>
      <c r="AG71" s="1956"/>
      <c r="AH71" s="2120">
        <f>SUM(Z71:AF71)</f>
        <v>251.03716666666671</v>
      </c>
      <c r="AI71" s="2123">
        <f>SUM(AI62:AI70)</f>
        <v>0</v>
      </c>
      <c r="AJ71" s="2125">
        <f>SUM(AJ49:AJ70)</f>
        <v>391.24550000000005</v>
      </c>
      <c r="AK71" s="1956"/>
      <c r="AL71" s="2120">
        <f t="shared" ref="AL71" si="634">SUM(AL62:AL70)</f>
        <v>69.333333333333329</v>
      </c>
      <c r="AM71" s="2121">
        <f t="shared" ref="AM71" si="635">SUM(AM62:AM70)</f>
        <v>69.333333333333329</v>
      </c>
      <c r="AN71" s="2121">
        <f t="shared" ref="AN71:AP71" si="636">SUM(AN62:AN70)</f>
        <v>0</v>
      </c>
      <c r="AO71" s="2121">
        <f t="shared" si="636"/>
        <v>0</v>
      </c>
      <c r="AP71" s="2121">
        <f t="shared" si="636"/>
        <v>69.333333333333329</v>
      </c>
      <c r="AQ71" s="2121">
        <f t="shared" ref="AQ71:AR71" si="637">SUM(AQ62:AQ70)</f>
        <v>69.333333333333329</v>
      </c>
      <c r="AR71" s="2121">
        <f t="shared" si="637"/>
        <v>69.333333333333329</v>
      </c>
      <c r="AS71" s="1951"/>
      <c r="AT71" s="2120">
        <f>SUM(AL71:AR71)</f>
        <v>346.66666666666663</v>
      </c>
      <c r="AU71" s="2123">
        <f>SUM(AU62:AU70)</f>
        <v>0</v>
      </c>
      <c r="AV71" s="2125">
        <f>SUM(AV49:AV70)</f>
        <v>486.875</v>
      </c>
      <c r="AW71" s="1951"/>
      <c r="AX71" s="2120">
        <f t="shared" ref="AX71:AY71" si="638">SUM(AX62:AX70)</f>
        <v>69.333333333333329</v>
      </c>
      <c r="AY71" s="2121">
        <f t="shared" si="638"/>
        <v>69.333333333333329</v>
      </c>
      <c r="AZ71" s="2121">
        <f t="shared" ref="AZ71:BA71" si="639">SUM(AZ62:AZ70)</f>
        <v>0</v>
      </c>
      <c r="BA71" s="2121">
        <f t="shared" si="639"/>
        <v>2.4278333333333357</v>
      </c>
      <c r="BB71" s="2121">
        <f t="shared" ref="BB71:BC71" si="640">SUM(BB62:BB70)</f>
        <v>12.550333333333338</v>
      </c>
      <c r="BC71" s="2121">
        <f t="shared" si="640"/>
        <v>15.387333333333341</v>
      </c>
      <c r="BD71" s="2124">
        <f t="shared" ref="BD71" si="641">SUM(BD62:BD70)</f>
        <v>10.066333333333343</v>
      </c>
      <c r="BE71" s="1951"/>
      <c r="BF71" s="2187">
        <f>SUM(AX71:BD71)</f>
        <v>179.0985</v>
      </c>
      <c r="BG71" s="2701">
        <f>SUM(BG62:BG70)</f>
        <v>0</v>
      </c>
      <c r="BH71" s="2702">
        <f>SUM(BH49:BH70)</f>
        <v>347.34850000000012</v>
      </c>
      <c r="BI71" s="1951"/>
      <c r="BJ71" s="2120">
        <f t="shared" ref="BJ71:BK71" si="642">SUM(BJ62:BJ70)</f>
        <v>14.126833333333348</v>
      </c>
      <c r="BK71" s="2124">
        <f t="shared" si="642"/>
        <v>43.096333333333348</v>
      </c>
      <c r="BL71" s="1951"/>
      <c r="BM71" s="2187">
        <f t="shared" si="482"/>
        <v>57.2231666666667</v>
      </c>
      <c r="BN71" s="2701">
        <f>SUM(BN49:BN70)</f>
        <v>0</v>
      </c>
      <c r="BO71" s="2702">
        <f>SUM(BO49:BO70)</f>
        <v>113.30650000000003</v>
      </c>
      <c r="BQ71" s="2187">
        <f>X71+AJ71+AV71</f>
        <v>1046.3440000000001</v>
      </c>
      <c r="BR71" s="2427"/>
      <c r="BS71" s="1900"/>
      <c r="BT71" s="2187">
        <f>SUM(BT62:BT70)</f>
        <v>988.12216666666677</v>
      </c>
      <c r="BU71" s="2189">
        <f t="shared" si="485"/>
        <v>0.59382341746794876</v>
      </c>
      <c r="BV71" s="2353"/>
      <c r="BW71" s="4637"/>
      <c r="BZ71" s="3134"/>
      <c r="CA71" s="1946"/>
      <c r="CB71" s="1946"/>
      <c r="CC71" s="1946"/>
      <c r="CD71" s="1946"/>
      <c r="CE71" s="1946"/>
      <c r="CF71" s="1946"/>
      <c r="CG71" s="1946"/>
      <c r="CH71" s="1946"/>
    </row>
    <row r="72" spans="1:86" s="1860" customFormat="1" ht="4.5" customHeight="1" x14ac:dyDescent="0.2">
      <c r="B72" s="2196"/>
      <c r="C72" s="2196"/>
      <c r="D72" s="1861"/>
      <c r="E72" s="2197"/>
      <c r="F72" s="2197"/>
      <c r="G72" s="2197"/>
      <c r="H72" s="2197"/>
      <c r="I72" s="2197"/>
      <c r="J72" s="2197"/>
      <c r="K72" s="2198"/>
      <c r="L72" s="1760"/>
      <c r="M72" s="3143"/>
      <c r="N72" s="2197"/>
      <c r="O72" s="2197"/>
      <c r="P72" s="2197"/>
      <c r="Q72" s="2197"/>
      <c r="R72" s="2197"/>
      <c r="S72" s="2197"/>
      <c r="T72" s="2197"/>
      <c r="U72" s="3145"/>
      <c r="V72" s="3145"/>
      <c r="W72" s="3145"/>
      <c r="X72" s="3145"/>
      <c r="Y72" s="1862"/>
      <c r="Z72" s="2199"/>
      <c r="AA72" s="2199"/>
      <c r="AB72" s="2199"/>
      <c r="AC72" s="2199"/>
      <c r="AD72" s="2199"/>
      <c r="AE72" s="2199"/>
      <c r="AF72" s="2199"/>
      <c r="AG72" s="1862"/>
      <c r="AH72" s="3145"/>
      <c r="AI72" s="3145"/>
      <c r="AJ72" s="3145"/>
      <c r="AK72" s="1862"/>
      <c r="AL72" s="2197"/>
      <c r="AM72" s="2197"/>
      <c r="AN72" s="2197"/>
      <c r="AO72" s="2197"/>
      <c r="AP72" s="2197"/>
      <c r="AQ72" s="2197"/>
      <c r="AR72" s="2197"/>
      <c r="AS72" s="3145"/>
      <c r="AT72" s="3145"/>
      <c r="AU72" s="3145"/>
      <c r="AV72" s="3145"/>
      <c r="AW72" s="3145"/>
      <c r="AX72" s="2197"/>
      <c r="AY72" s="2197"/>
      <c r="AZ72" s="2197"/>
      <c r="BA72" s="2197"/>
      <c r="BB72" s="2197"/>
      <c r="BC72" s="2197"/>
      <c r="BD72" s="2197"/>
      <c r="BE72" s="3145"/>
      <c r="BF72" s="3145"/>
      <c r="BG72" s="3145"/>
      <c r="BH72" s="3145"/>
      <c r="BI72" s="3145"/>
      <c r="BJ72" s="2197"/>
      <c r="BK72" s="2197"/>
      <c r="BL72" s="3145"/>
      <c r="BM72" s="3145"/>
      <c r="BN72" s="3145"/>
      <c r="BO72" s="3145"/>
      <c r="BQ72" s="2197"/>
      <c r="BR72" s="2200"/>
      <c r="BS72" s="1861"/>
      <c r="BT72" s="2197"/>
      <c r="BU72" s="2198"/>
      <c r="BV72" s="1997"/>
      <c r="BW72" s="3143"/>
    </row>
    <row r="73" spans="1:86" s="1860" customFormat="1" ht="15.75" customHeight="1" x14ac:dyDescent="0.2">
      <c r="B73" s="2196"/>
      <c r="C73" s="2197"/>
      <c r="D73" s="1861"/>
      <c r="E73" s="1732">
        <f>E58+E71</f>
        <v>2000.5</v>
      </c>
      <c r="F73" s="1732">
        <f t="shared" ref="F73:I73" si="643">F58+F71</f>
        <v>153.15</v>
      </c>
      <c r="G73" s="1732">
        <f t="shared" si="643"/>
        <v>102.10000000000001</v>
      </c>
      <c r="H73" s="1732">
        <f t="shared" si="643"/>
        <v>76.575000000000003</v>
      </c>
      <c r="I73" s="1732">
        <f t="shared" si="643"/>
        <v>61.260000000000005</v>
      </c>
      <c r="J73" s="1732">
        <f>J58+J71</f>
        <v>83.354166666666657</v>
      </c>
      <c r="K73" s="1882">
        <f>E73/E92</f>
        <v>0.41736314119120715</v>
      </c>
      <c r="L73" s="1760"/>
      <c r="M73" s="3143"/>
      <c r="N73" s="1732">
        <f t="shared" ref="N73:P73" si="644">N60-N71</f>
        <v>0</v>
      </c>
      <c r="O73" s="1732">
        <f t="shared" ref="O73:Q73" si="645">O60-O71</f>
        <v>0</v>
      </c>
      <c r="P73" s="1732">
        <f t="shared" si="644"/>
        <v>0</v>
      </c>
      <c r="Q73" s="1732">
        <f t="shared" si="645"/>
        <v>0</v>
      </c>
      <c r="R73" s="1732">
        <f t="shared" ref="R73:S73" si="646">R60-R71</f>
        <v>0</v>
      </c>
      <c r="S73" s="1732">
        <f t="shared" si="646"/>
        <v>0</v>
      </c>
      <c r="T73" s="1732">
        <f t="shared" ref="T73" si="647">T60-T71</f>
        <v>0</v>
      </c>
      <c r="U73" s="3145"/>
      <c r="V73" s="3145"/>
      <c r="W73" s="3145"/>
      <c r="X73" s="3145"/>
      <c r="Y73" s="1862"/>
      <c r="Z73" s="1732">
        <f t="shared" ref="Z73:AA73" si="648">Z60-Z71</f>
        <v>0</v>
      </c>
      <c r="AA73" s="1732">
        <f t="shared" si="648"/>
        <v>0</v>
      </c>
      <c r="AB73" s="1732">
        <f t="shared" ref="AB73:AD73" si="649">AB60-AB71</f>
        <v>0</v>
      </c>
      <c r="AC73" s="1732">
        <f t="shared" si="649"/>
        <v>0</v>
      </c>
      <c r="AD73" s="1732">
        <f t="shared" si="649"/>
        <v>12.306500000000028</v>
      </c>
      <c r="AE73" s="1732">
        <f t="shared" ref="AE73" si="650">AE60-AE71</f>
        <v>0</v>
      </c>
      <c r="AF73" s="1732">
        <f t="shared" ref="AF73" si="651">AF60-AF71</f>
        <v>0</v>
      </c>
      <c r="AG73" s="1862"/>
      <c r="AH73" s="3145"/>
      <c r="AI73" s="3145"/>
      <c r="AJ73" s="3145"/>
      <c r="AK73" s="1862"/>
      <c r="AL73" s="1732">
        <f t="shared" ref="AL73" si="652">AL60-AL71</f>
        <v>8.2815000000000225</v>
      </c>
      <c r="AM73" s="1732">
        <f t="shared" ref="AM73" si="653">AM60-AM71</f>
        <v>29.922000000000025</v>
      </c>
      <c r="AN73" s="1732">
        <f t="shared" ref="AN73:AP73" si="654">AN60-AN71</f>
        <v>0</v>
      </c>
      <c r="AO73" s="1732">
        <f t="shared" si="654"/>
        <v>0</v>
      </c>
      <c r="AP73" s="1732">
        <f t="shared" si="654"/>
        <v>3.1640000000000157</v>
      </c>
      <c r="AQ73" s="1732">
        <f t="shared" ref="AQ73:AR73" si="655">AQ60-AQ71</f>
        <v>40.273500000000013</v>
      </c>
      <c r="AR73" s="1732">
        <f t="shared" si="655"/>
        <v>29.601000000000028</v>
      </c>
      <c r="AS73" s="3145"/>
      <c r="AT73" s="3145"/>
      <c r="AU73" s="3145"/>
      <c r="AV73" s="3145"/>
      <c r="AW73" s="3145"/>
      <c r="AX73" s="1732">
        <f t="shared" ref="AX73:AY73" si="656">AX60-AX71</f>
        <v>50.77200000000002</v>
      </c>
      <c r="AY73" s="1732">
        <f t="shared" si="656"/>
        <v>51.531500000000023</v>
      </c>
      <c r="AZ73" s="1732">
        <f t="shared" ref="AZ73:BA73" si="657">AZ60-AZ71</f>
        <v>0</v>
      </c>
      <c r="BA73" s="1732">
        <f t="shared" si="657"/>
        <v>0</v>
      </c>
      <c r="BB73" s="1732">
        <f t="shared" ref="BB73:BC73" si="658">BB60-BB71</f>
        <v>0</v>
      </c>
      <c r="BC73" s="1732">
        <f t="shared" si="658"/>
        <v>0</v>
      </c>
      <c r="BD73" s="1732">
        <f t="shared" ref="BD73" si="659">BD60-BD71</f>
        <v>0</v>
      </c>
      <c r="BE73" s="3145"/>
      <c r="BF73" s="3145"/>
      <c r="BG73" s="3145"/>
      <c r="BH73" s="3145"/>
      <c r="BI73" s="3145"/>
      <c r="BJ73" s="1732">
        <f t="shared" ref="BJ73:BK73" si="660">BJ60-BJ71</f>
        <v>0</v>
      </c>
      <c r="BK73" s="1732">
        <f t="shared" si="660"/>
        <v>0</v>
      </c>
      <c r="BL73" s="3145"/>
      <c r="BM73" s="3145"/>
      <c r="BN73" s="3145"/>
      <c r="BO73" s="3145"/>
      <c r="BQ73" s="1732"/>
      <c r="BR73" s="2211"/>
      <c r="BS73" s="1861"/>
      <c r="BT73" s="1732"/>
      <c r="BU73" s="1882"/>
      <c r="BV73" s="1997"/>
      <c r="BW73" s="3143"/>
    </row>
    <row r="74" spans="1:86" s="1860" customFormat="1" ht="4.5" customHeight="1" thickBot="1" x14ac:dyDescent="0.25">
      <c r="B74" s="2196"/>
      <c r="C74" s="2196"/>
      <c r="D74" s="1861"/>
      <c r="E74" s="2197"/>
      <c r="F74" s="2197"/>
      <c r="G74" s="2197"/>
      <c r="H74" s="2197"/>
      <c r="I74" s="2197"/>
      <c r="J74" s="2197"/>
      <c r="K74" s="2198"/>
      <c r="L74" s="1760"/>
      <c r="M74" s="3143"/>
      <c r="N74" s="3145"/>
      <c r="O74" s="3145"/>
      <c r="P74" s="3145"/>
      <c r="Q74" s="3145"/>
      <c r="R74" s="3145"/>
      <c r="S74" s="3145"/>
      <c r="T74" s="3145"/>
      <c r="U74" s="3145"/>
      <c r="V74" s="3145"/>
      <c r="W74" s="3145"/>
      <c r="X74" s="3145"/>
      <c r="Y74" s="1862"/>
      <c r="Z74" s="2232"/>
      <c r="AA74" s="2232"/>
      <c r="AB74" s="2232"/>
      <c r="AC74" s="2232"/>
      <c r="AD74" s="2232"/>
      <c r="AE74" s="2232"/>
      <c r="AF74" s="2232"/>
      <c r="AG74" s="1862"/>
      <c r="AH74" s="3145"/>
      <c r="AI74" s="3145"/>
      <c r="AJ74" s="3145"/>
      <c r="AK74" s="1862"/>
      <c r="AL74" s="2232"/>
      <c r="AM74" s="2232"/>
      <c r="AN74" s="2232"/>
      <c r="AO74" s="2232"/>
      <c r="AP74" s="2232"/>
      <c r="AQ74" s="2232"/>
      <c r="AR74" s="2232"/>
      <c r="AS74" s="3145"/>
      <c r="AT74" s="3145"/>
      <c r="AU74" s="3145"/>
      <c r="AV74" s="3145"/>
      <c r="AW74" s="3145"/>
      <c r="AX74" s="2232"/>
      <c r="AY74" s="2232"/>
      <c r="AZ74" s="2232"/>
      <c r="BA74" s="2232"/>
      <c r="BB74" s="2232"/>
      <c r="BC74" s="2232"/>
      <c r="BD74" s="2232"/>
      <c r="BE74" s="3145"/>
      <c r="BF74" s="3145"/>
      <c r="BG74" s="3145"/>
      <c r="BH74" s="3145"/>
      <c r="BI74" s="3145"/>
      <c r="BJ74" s="2199"/>
      <c r="BK74" s="2199"/>
      <c r="BL74" s="3145"/>
      <c r="BM74" s="3145"/>
      <c r="BN74" s="3145"/>
      <c r="BO74" s="3145"/>
      <c r="BQ74" s="2199"/>
      <c r="BR74" s="2203"/>
      <c r="BS74" s="1861"/>
      <c r="BT74" s="2199"/>
      <c r="BU74" s="2204"/>
      <c r="BV74" s="1997"/>
      <c r="BW74" s="3143"/>
    </row>
    <row r="75" spans="1:86" s="1885" customFormat="1" ht="17.25" thickBot="1" x14ac:dyDescent="0.25">
      <c r="B75" s="2401"/>
      <c r="C75" s="2401" t="s">
        <v>151</v>
      </c>
      <c r="D75" s="2402"/>
      <c r="E75" s="1898">
        <f>(E71+E58)*100/20</f>
        <v>10002.5</v>
      </c>
      <c r="F75" s="1898" t="e">
        <f>#REF!+F71</f>
        <v>#REF!</v>
      </c>
      <c r="G75" s="1898" t="e">
        <f>#REF!+G71</f>
        <v>#REF!</v>
      </c>
      <c r="H75" s="1898" t="e">
        <f>#REF!+H71</f>
        <v>#REF!</v>
      </c>
      <c r="I75" s="1898" t="e">
        <f>#REF!+I71</f>
        <v>#REF!</v>
      </c>
      <c r="J75" s="1898">
        <f>(J71+J58)*100/20</f>
        <v>416.77083333333331</v>
      </c>
      <c r="K75" s="1899">
        <f>E75/E90</f>
        <v>0.41736314119120721</v>
      </c>
      <c r="L75" s="1949"/>
      <c r="M75" s="3134"/>
      <c r="N75" s="3137"/>
      <c r="O75" s="3137"/>
      <c r="P75" s="3137"/>
      <c r="Q75" s="3137"/>
      <c r="R75" s="3137"/>
      <c r="S75" s="3137"/>
      <c r="T75" s="3137"/>
      <c r="U75" s="3135"/>
      <c r="V75" s="2319"/>
      <c r="W75" s="2321"/>
      <c r="X75" s="2433"/>
      <c r="Y75" s="1897"/>
      <c r="Z75" s="3137"/>
      <c r="AA75" s="3137"/>
      <c r="AB75" s="3137"/>
      <c r="AC75" s="3137"/>
      <c r="AD75" s="3137"/>
      <c r="AE75" s="3137"/>
      <c r="AF75" s="3137"/>
      <c r="AG75" s="1896"/>
      <c r="AH75" s="2319"/>
      <c r="AI75" s="2321"/>
      <c r="AJ75" s="2433"/>
      <c r="AK75" s="1897"/>
      <c r="AL75" s="3137"/>
      <c r="AM75" s="3137"/>
      <c r="AN75" s="3137"/>
      <c r="AO75" s="3137"/>
      <c r="AP75" s="3137"/>
      <c r="AQ75" s="3181"/>
      <c r="AR75" s="3185"/>
      <c r="AS75" s="2295"/>
      <c r="AT75" s="2319"/>
      <c r="AU75" s="2321"/>
      <c r="AV75" s="2433"/>
      <c r="AW75" s="3135"/>
      <c r="AX75" s="3185"/>
      <c r="AY75" s="3189"/>
      <c r="AZ75" s="3137"/>
      <c r="BA75" s="3137"/>
      <c r="BB75" s="3193"/>
      <c r="BC75" s="3197"/>
      <c r="BD75" s="3137"/>
      <c r="BE75" s="2295"/>
      <c r="BF75" s="2319">
        <f t="shared" ref="BF75:BF76" si="661">SUM(AX75:BD75)</f>
        <v>0</v>
      </c>
      <c r="BG75" s="2321"/>
      <c r="BH75" s="2433"/>
      <c r="BI75" s="3135"/>
      <c r="BJ75" s="1898"/>
      <c r="BK75" s="1898"/>
      <c r="BL75" s="3135"/>
      <c r="BM75" s="2319">
        <f>SUM(BJ75:BK75)</f>
        <v>0</v>
      </c>
      <c r="BN75" s="2321"/>
      <c r="BO75" s="2433"/>
      <c r="BQ75" s="1898"/>
      <c r="BR75" s="2202"/>
      <c r="BS75" s="1900"/>
      <c r="BT75" s="1898"/>
      <c r="BU75" s="1899"/>
      <c r="BV75" s="2010"/>
      <c r="BW75" s="3134"/>
    </row>
    <row r="76" spans="1:86" s="1726" customFormat="1" ht="17.25" thickBot="1" x14ac:dyDescent="0.25">
      <c r="B76" s="2049"/>
      <c r="C76" s="2050" t="s">
        <v>149</v>
      </c>
      <c r="D76" s="2051"/>
      <c r="E76" s="2052"/>
      <c r="F76" s="2053"/>
      <c r="G76" s="2053"/>
      <c r="H76" s="2053"/>
      <c r="I76" s="2053"/>
      <c r="J76" s="2053"/>
      <c r="K76" s="2253"/>
      <c r="L76" s="2216"/>
      <c r="M76" s="2055"/>
      <c r="N76" s="2053">
        <f>IF(N73&gt;$J$73,N73,IF(N73&lt;$J$73,(IF(N73&lt;0,-83.354,(N60+N58)-$J$73))))</f>
        <v>-66.655999999999977</v>
      </c>
      <c r="O76" s="2053">
        <f>IF(O73&gt;$J$73,O73,IF(O73&lt;$J$73,(IF(O73&lt;0,-83.354,(O60+O58)-$J$73))))</f>
        <v>-51.958999999999989</v>
      </c>
      <c r="P76" s="2053"/>
      <c r="Q76" s="2053">
        <f t="shared" ref="Q76:T76" si="662">IF(Q73&gt;$J$73,Q73,IF(Q73&lt;$J$73,(IF(Q73&lt;0,-83.354,(Q60+Q58)-$J$73))))</f>
        <v>-24.198999999999984</v>
      </c>
      <c r="R76" s="2053">
        <f>IF(R73&gt;$J$73,R73,IF(R73&lt;$J$73,(IF(R73&lt;0,-83.354,(R60+R58)-$J$73))))</f>
        <v>-61.35499999999999</v>
      </c>
      <c r="S76" s="2053">
        <f t="shared" si="662"/>
        <v>-13.733499999999978</v>
      </c>
      <c r="T76" s="2057">
        <f t="shared" si="662"/>
        <v>-29.873999999999981</v>
      </c>
      <c r="U76" s="1814"/>
      <c r="V76" s="2056">
        <f>SUM(N76:T76)</f>
        <v>-247.77649999999988</v>
      </c>
      <c r="W76" s="2052"/>
      <c r="X76" s="2057"/>
      <c r="Y76" s="1766"/>
      <c r="Z76" s="2056">
        <f t="shared" ref="Z76:AA76" si="663">IF(Z73&gt;$J$73,Z73,IF(Z73&lt;$J$73,(IF(Z73&lt;0,-83.354,(Z60+Z58)-$J$73))))</f>
        <v>-26.71599999999998</v>
      </c>
      <c r="AA76" s="2053">
        <f t="shared" si="663"/>
        <v>-1.27049999999997</v>
      </c>
      <c r="AB76" s="2053"/>
      <c r="AC76" s="2053"/>
      <c r="AD76" s="2053">
        <f t="shared" ref="AD76:AF76" si="664">IF(AD73&gt;$J$73,AD73,IF(AD73&lt;$J$73,(IF(AD73&lt;0,-83.354,(AD60+AD58)-$J$73))))</f>
        <v>12.306500000000028</v>
      </c>
      <c r="AE76" s="2053">
        <f t="shared" si="664"/>
        <v>-35.547499999999985</v>
      </c>
      <c r="AF76" s="2053">
        <f t="shared" si="664"/>
        <v>-32.095499999999987</v>
      </c>
      <c r="AG76" s="1766"/>
      <c r="AH76" s="2056">
        <f>SUM(Z76:AF76)</f>
        <v>-83.322999999999894</v>
      </c>
      <c r="AI76" s="2052"/>
      <c r="AJ76" s="2057"/>
      <c r="AK76" s="1764"/>
      <c r="AL76" s="2056">
        <f t="shared" ref="AL76:AM76" si="665">IF(AL73&gt;$J$73,AL73,IF(AL73&lt;$J$73,(IF(AL73&lt;0,-83.354,(AL60+AL58)-$J$73))))</f>
        <v>8.2815000000000225</v>
      </c>
      <c r="AM76" s="2053">
        <f t="shared" si="665"/>
        <v>29.922000000000025</v>
      </c>
      <c r="AN76" s="2053"/>
      <c r="AO76" s="2053"/>
      <c r="AP76" s="2053">
        <f t="shared" ref="AP76:AR76" si="666">IF(AP73&gt;$J$73,AP73,IF(AP73&lt;$J$73,(IF(AP73&lt;0,-83.354,(AP60+AP58)-$J$73))))</f>
        <v>3.1640000000000157</v>
      </c>
      <c r="AQ76" s="2053">
        <f t="shared" si="666"/>
        <v>40.273500000000013</v>
      </c>
      <c r="AR76" s="2053">
        <f t="shared" si="666"/>
        <v>29.601000000000028</v>
      </c>
      <c r="AS76" s="2300"/>
      <c r="AT76" s="2056">
        <f t="shared" ref="AT76" si="667">SUM(AL76:AR76)</f>
        <v>111.2420000000001</v>
      </c>
      <c r="AU76" s="2052"/>
      <c r="AV76" s="2057"/>
      <c r="AW76" s="1814"/>
      <c r="AX76" s="2056">
        <f t="shared" ref="AX76:AY76" si="668">IF(AX73&gt;$J$73,AX73,IF(AX73&lt;$J$73,(IF(AX73&lt;0,-83.354,(AX60+AX58)-$J$73))))</f>
        <v>50.77200000000002</v>
      </c>
      <c r="AY76" s="2053">
        <f t="shared" si="668"/>
        <v>51.531500000000023</v>
      </c>
      <c r="AZ76" s="2053"/>
      <c r="BA76" s="2053">
        <f t="shared" ref="BA76" si="669">IF(BA73&gt;$J$73,BA73,IF(BA73&lt;$J$73,(IF(BA73&lt;0,-83.354,(BA60+BA58)-$J$73))))</f>
        <v>-66.905499999999989</v>
      </c>
      <c r="BB76" s="2053">
        <f>IF(BB73&gt;$J$73,BB73,IF(BB73&lt;$J$73,(IF(BB73&lt;0,-83.354,(BB60+BB58)-$J$73))))</f>
        <v>-56.782999999999987</v>
      </c>
      <c r="BC76" s="2053">
        <f>IF(BC73&gt;$J$73,BC73,IF(BC73&lt;$J$73,(IF(BC73&lt;0,-83.354,(BC60+BC58)-$J$73))))</f>
        <v>-53.945999999999984</v>
      </c>
      <c r="BD76" s="2057">
        <f>IF(BD73&gt;$J$73,BD73,IF(BD73&lt;$J$73,(IF(BD73&lt;0,-83.354,(BD60+BD58)-$J$73))))</f>
        <v>-59.266999999999982</v>
      </c>
      <c r="BE76" s="1814"/>
      <c r="BF76" s="2056">
        <f t="shared" si="661"/>
        <v>-134.5979999999999</v>
      </c>
      <c r="BG76" s="2052"/>
      <c r="BH76" s="2057"/>
      <c r="BI76" s="1740"/>
      <c r="BJ76" s="2056">
        <f>IF(BJ73&gt;$J$73,BJ73,IF(BJ73&lt;$J$73,(IF(BJ73&lt;0,-83.354,(BJ60+BJ58)-$J$73))))</f>
        <v>-55.206499999999977</v>
      </c>
      <c r="BK76" s="2057">
        <f>IF(BK73&gt;$J$73,BK73,IF(BK73&lt;$J$73,(IF(BK73&lt;0,-83.354,(BK60+BK58)-$J$73))))</f>
        <v>-26.236999999999981</v>
      </c>
      <c r="BL76" s="2301"/>
      <c r="BM76" s="2058">
        <f>SUM(BJ76:BK76)</f>
        <v>-81.443499999999958</v>
      </c>
      <c r="BN76" s="2324"/>
      <c r="BO76" s="2190"/>
      <c r="BP76" s="1862"/>
      <c r="BQ76" s="2058">
        <f>SUM(N76:T76)+SUM(Z76:AF76)+SUM(AL76:AR76)+SUM(AX76:BD76)+SUM(BK76:BK76)</f>
        <v>-380.69249999999954</v>
      </c>
      <c r="BR76" s="2054"/>
      <c r="BS76" s="1740"/>
      <c r="BT76" s="1740"/>
      <c r="BU76" s="1740"/>
      <c r="BV76" s="1861"/>
    </row>
    <row r="77" spans="1:86" s="1756" customFormat="1" ht="17.25" thickBot="1" x14ac:dyDescent="0.25">
      <c r="B77" s="1817"/>
      <c r="C77" s="1817"/>
      <c r="D77" s="1817"/>
      <c r="E77" s="1814"/>
      <c r="F77" s="1814"/>
      <c r="G77" s="1814"/>
      <c r="H77" s="1814"/>
      <c r="I77" s="1814"/>
      <c r="J77" s="1814"/>
      <c r="K77" s="1818"/>
      <c r="L77" s="2216"/>
      <c r="M77" s="2055"/>
      <c r="N77" s="1814"/>
      <c r="O77" s="1814"/>
      <c r="P77" s="1814"/>
      <c r="Q77" s="1814"/>
      <c r="R77" s="1814"/>
      <c r="S77" s="1814"/>
      <c r="T77" s="1814"/>
      <c r="U77" s="1814"/>
      <c r="V77" s="1814"/>
      <c r="W77" s="1814"/>
      <c r="X77" s="1814"/>
      <c r="Y77" s="1766"/>
      <c r="Z77" s="1814"/>
      <c r="AA77" s="1814"/>
      <c r="AB77" s="1814"/>
      <c r="AC77" s="1814"/>
      <c r="AD77" s="1814"/>
      <c r="AE77" s="1814"/>
      <c r="AF77" s="1814"/>
      <c r="AG77" s="1766"/>
      <c r="AH77" s="1814"/>
      <c r="AI77" s="1814"/>
      <c r="AJ77" s="1814"/>
      <c r="AK77" s="1766"/>
      <c r="AL77" s="1814"/>
      <c r="AM77" s="1814"/>
      <c r="AN77" s="1814"/>
      <c r="AO77" s="1814"/>
      <c r="AP77" s="1814"/>
      <c r="AQ77" s="3183"/>
      <c r="AR77" s="3187"/>
      <c r="AS77" s="1814"/>
      <c r="AT77" s="1814"/>
      <c r="AU77" s="1814"/>
      <c r="AV77" s="1814"/>
      <c r="AW77" s="1814"/>
      <c r="AX77" s="3187"/>
      <c r="AY77" s="3191"/>
      <c r="AZ77" s="1814"/>
      <c r="BA77" s="1814"/>
      <c r="BB77" s="3196"/>
      <c r="BC77" s="3200"/>
      <c r="BD77" s="1814"/>
      <c r="BE77" s="1814"/>
      <c r="BF77" s="1814"/>
      <c r="BG77" s="1814"/>
      <c r="BH77" s="1814"/>
      <c r="BI77" s="1814"/>
      <c r="BJ77" s="1814"/>
      <c r="BK77" s="1814"/>
      <c r="BL77" s="1814"/>
      <c r="BM77" s="1814"/>
      <c r="BN77" s="1814"/>
      <c r="BO77" s="1814"/>
      <c r="BP77" s="1766"/>
      <c r="BQ77" s="1814"/>
      <c r="BR77" s="1830"/>
      <c r="BS77" s="3133"/>
      <c r="BT77" s="3133"/>
      <c r="BU77" s="3133"/>
      <c r="BV77" s="1817"/>
    </row>
    <row r="78" spans="1:86" s="1947" customFormat="1" x14ac:dyDescent="0.2">
      <c r="A78" s="2217"/>
      <c r="B78" s="2218">
        <v>56</v>
      </c>
      <c r="C78" s="2218" t="s">
        <v>74</v>
      </c>
      <c r="D78" s="2219"/>
      <c r="E78" s="2007">
        <v>350</v>
      </c>
      <c r="F78" s="2007">
        <f t="shared" ref="F78:F87" si="670">E78/10</f>
        <v>35</v>
      </c>
      <c r="G78" s="2007">
        <f t="shared" ref="G78:G79" si="671">E78/15</f>
        <v>23.333333333333332</v>
      </c>
      <c r="H78" s="2007">
        <f t="shared" ref="H78:H79" si="672">E78/20</f>
        <v>17.5</v>
      </c>
      <c r="I78" s="2007">
        <f t="shared" ref="I78:I79" si="673">E78/25</f>
        <v>14</v>
      </c>
      <c r="J78" s="2007">
        <f>E78/24</f>
        <v>14.583333333333334</v>
      </c>
      <c r="K78" s="2008">
        <f>E78/E92</f>
        <v>7.3020294634802557E-2</v>
      </c>
      <c r="L78" s="1949"/>
      <c r="M78" s="1905"/>
      <c r="N78" s="2007">
        <f>$E$78/24</f>
        <v>14.583333333333334</v>
      </c>
      <c r="O78" s="2007">
        <f>$E$78/24</f>
        <v>14.583333333333334</v>
      </c>
      <c r="P78" s="2007"/>
      <c r="Q78" s="2007">
        <f t="shared" ref="Q78:T78" si="674">$E$78/24</f>
        <v>14.583333333333334</v>
      </c>
      <c r="R78" s="2007">
        <f t="shared" si="674"/>
        <v>14.583333333333334</v>
      </c>
      <c r="S78" s="2007">
        <f t="shared" si="674"/>
        <v>14.583333333333334</v>
      </c>
      <c r="T78" s="2007">
        <f t="shared" si="674"/>
        <v>14.583333333333334</v>
      </c>
      <c r="U78" s="1951"/>
      <c r="V78" s="2220">
        <f t="shared" si="88"/>
        <v>87.5</v>
      </c>
      <c r="W78" s="2221"/>
      <c r="X78" s="2222"/>
      <c r="Y78" s="1955"/>
      <c r="Z78" s="2223">
        <f t="shared" ref="Z78:AA78" si="675">$E$78/24</f>
        <v>14.583333333333334</v>
      </c>
      <c r="AA78" s="2223">
        <f t="shared" si="675"/>
        <v>14.583333333333334</v>
      </c>
      <c r="AB78" s="2223"/>
      <c r="AC78" s="2223"/>
      <c r="AD78" s="2223">
        <f t="shared" ref="AD78:AF78" si="676">$E$78/24</f>
        <v>14.583333333333334</v>
      </c>
      <c r="AE78" s="2223">
        <f t="shared" si="676"/>
        <v>14.583333333333334</v>
      </c>
      <c r="AF78" s="2223">
        <f t="shared" si="676"/>
        <v>14.583333333333334</v>
      </c>
      <c r="AG78" s="1955"/>
      <c r="AH78" s="2220">
        <f t="shared" ref="AH78:AH79" si="677">SUM(Z78:AF78)</f>
        <v>72.916666666666671</v>
      </c>
      <c r="AI78" s="2221"/>
      <c r="AJ78" s="2222"/>
      <c r="AK78" s="1955"/>
      <c r="AL78" s="2223">
        <f t="shared" ref="AL78:AM78" si="678">$E$78/24</f>
        <v>14.583333333333334</v>
      </c>
      <c r="AM78" s="2223">
        <f t="shared" si="678"/>
        <v>14.583333333333334</v>
      </c>
      <c r="AN78" s="2223"/>
      <c r="AO78" s="2223"/>
      <c r="AP78" s="2223">
        <f t="shared" ref="AP78:AR78" si="679">$E$78/24</f>
        <v>14.583333333333334</v>
      </c>
      <c r="AQ78" s="2223">
        <f t="shared" si="679"/>
        <v>14.583333333333334</v>
      </c>
      <c r="AR78" s="2223">
        <f t="shared" si="679"/>
        <v>14.583333333333334</v>
      </c>
      <c r="AS78" s="2299"/>
      <c r="AT78" s="2220">
        <f t="shared" ref="AT78:AT81" si="680">SUM(AL78:AR78)</f>
        <v>72.916666666666671</v>
      </c>
      <c r="AU78" s="2221"/>
      <c r="AV78" s="2222"/>
      <c r="AW78" s="2299"/>
      <c r="AX78" s="2223">
        <f t="shared" ref="AX78:BD78" si="681">$E$78/24</f>
        <v>14.583333333333334</v>
      </c>
      <c r="AY78" s="2223">
        <f t="shared" si="681"/>
        <v>14.583333333333334</v>
      </c>
      <c r="AZ78" s="2223"/>
      <c r="BA78" s="2223">
        <f t="shared" si="681"/>
        <v>14.583333333333334</v>
      </c>
      <c r="BB78" s="2223">
        <f t="shared" si="681"/>
        <v>14.583333333333334</v>
      </c>
      <c r="BC78" s="2223">
        <f t="shared" si="681"/>
        <v>14.583333333333334</v>
      </c>
      <c r="BD78" s="2223">
        <f t="shared" si="681"/>
        <v>14.583333333333334</v>
      </c>
      <c r="BE78" s="2299"/>
      <c r="BF78" s="2220">
        <f t="shared" ref="BF78:BF79" si="682">SUM(AX78:BD78)</f>
        <v>87.5</v>
      </c>
      <c r="BG78" s="2221"/>
      <c r="BH78" s="2222"/>
      <c r="BI78" s="1951"/>
      <c r="BJ78" s="2007">
        <f t="shared" ref="BJ78:BK78" si="683">$E$78/24</f>
        <v>14.583333333333334</v>
      </c>
      <c r="BK78" s="2007">
        <f t="shared" si="683"/>
        <v>14.583333333333334</v>
      </c>
      <c r="BL78" s="1951"/>
      <c r="BM78" s="2220">
        <f>SUM(BJ78:BK78)</f>
        <v>29.166666666666668</v>
      </c>
      <c r="BN78" s="2221"/>
      <c r="BO78" s="2222"/>
      <c r="BQ78" s="2007">
        <f>SUM(N78:T78)+SUM(Z78:AF78)+SUM(AL78:AR78)+SUM(AX78:BD78)+SUM(BK78:BK78)</f>
        <v>335.41666666666669</v>
      </c>
      <c r="BR78" s="2008">
        <f>BQ78/E78</f>
        <v>0.95833333333333337</v>
      </c>
      <c r="BS78" s="1959"/>
      <c r="BT78" s="2224"/>
      <c r="BU78" s="2225"/>
      <c r="BV78" s="2339"/>
      <c r="BW78" s="1950"/>
    </row>
    <row r="79" spans="1:86" s="1860" customFormat="1" ht="17.25" thickBot="1" x14ac:dyDescent="0.25">
      <c r="B79" s="1739"/>
      <c r="C79" s="1739" t="s">
        <v>153</v>
      </c>
      <c r="D79" s="2205"/>
      <c r="E79" s="1732">
        <f>E78*100/20</f>
        <v>1750</v>
      </c>
      <c r="F79" s="1732">
        <f t="shared" si="670"/>
        <v>175</v>
      </c>
      <c r="G79" s="1732">
        <f t="shared" si="671"/>
        <v>116.66666666666667</v>
      </c>
      <c r="H79" s="1732">
        <f t="shared" si="672"/>
        <v>87.5</v>
      </c>
      <c r="I79" s="1732">
        <f t="shared" si="673"/>
        <v>70</v>
      </c>
      <c r="J79" s="1732">
        <f>J78*100/20</f>
        <v>72.916666666666671</v>
      </c>
      <c r="K79" s="1882">
        <f>E79/E90</f>
        <v>7.3020294634802557E-2</v>
      </c>
      <c r="L79" s="1760"/>
      <c r="M79" s="3143"/>
      <c r="N79" s="1732">
        <f t="shared" ref="N79:O79" si="684">N78*100/20</f>
        <v>72.916666666666671</v>
      </c>
      <c r="O79" s="1732">
        <f t="shared" si="684"/>
        <v>72.916666666666671</v>
      </c>
      <c r="P79" s="1732"/>
      <c r="Q79" s="1732">
        <f t="shared" ref="Q79:T79" si="685">Q78*100/20</f>
        <v>72.916666666666671</v>
      </c>
      <c r="R79" s="1732">
        <f t="shared" si="685"/>
        <v>72.916666666666671</v>
      </c>
      <c r="S79" s="1732">
        <f t="shared" si="685"/>
        <v>72.916666666666671</v>
      </c>
      <c r="T79" s="1732">
        <f t="shared" si="685"/>
        <v>72.916666666666671</v>
      </c>
      <c r="U79" s="3145"/>
      <c r="V79" s="3152">
        <f t="shared" si="88"/>
        <v>437.50000000000006</v>
      </c>
      <c r="W79" s="2227"/>
      <c r="X79" s="2228"/>
      <c r="Y79" s="1881"/>
      <c r="Z79" s="2210">
        <f t="shared" ref="Z79:AA79" si="686">Z78*100/20</f>
        <v>72.916666666666671</v>
      </c>
      <c r="AA79" s="2210">
        <f t="shared" si="686"/>
        <v>72.916666666666671</v>
      </c>
      <c r="AB79" s="2210"/>
      <c r="AC79" s="2210"/>
      <c r="AD79" s="2210">
        <f t="shared" ref="AD79:AF79" si="687">AD78*100/20</f>
        <v>72.916666666666671</v>
      </c>
      <c r="AE79" s="2210">
        <f t="shared" si="687"/>
        <v>72.916666666666671</v>
      </c>
      <c r="AF79" s="2210">
        <f t="shared" si="687"/>
        <v>72.916666666666671</v>
      </c>
      <c r="AG79" s="1881"/>
      <c r="AH79" s="3152">
        <f t="shared" si="677"/>
        <v>364.58333333333337</v>
      </c>
      <c r="AI79" s="2227"/>
      <c r="AJ79" s="2228"/>
      <c r="AK79" s="1881"/>
      <c r="AL79" s="2210">
        <f t="shared" ref="AL79:AM79" si="688">AL78*100/20</f>
        <v>72.916666666666671</v>
      </c>
      <c r="AM79" s="2210">
        <f t="shared" si="688"/>
        <v>72.916666666666671</v>
      </c>
      <c r="AN79" s="2210"/>
      <c r="AO79" s="2210"/>
      <c r="AP79" s="2210">
        <f t="shared" ref="AP79:AR79" si="689">AP78*100/20</f>
        <v>72.916666666666671</v>
      </c>
      <c r="AQ79" s="2210">
        <f t="shared" si="689"/>
        <v>72.916666666666671</v>
      </c>
      <c r="AR79" s="2210">
        <f t="shared" si="689"/>
        <v>72.916666666666671</v>
      </c>
      <c r="AS79" s="2293"/>
      <c r="AT79" s="3152">
        <f t="shared" si="680"/>
        <v>364.58333333333337</v>
      </c>
      <c r="AU79" s="2227"/>
      <c r="AV79" s="2228"/>
      <c r="AW79" s="2293"/>
      <c r="AX79" s="2210">
        <f t="shared" ref="AX79:AY79" si="690">AX78*100/20</f>
        <v>72.916666666666671</v>
      </c>
      <c r="AY79" s="2210">
        <f t="shared" si="690"/>
        <v>72.916666666666671</v>
      </c>
      <c r="AZ79" s="2210"/>
      <c r="BA79" s="2210">
        <f t="shared" ref="BA79:BB79" si="691">BA78*100/20</f>
        <v>72.916666666666671</v>
      </c>
      <c r="BB79" s="2210">
        <f t="shared" si="691"/>
        <v>72.916666666666671</v>
      </c>
      <c r="BC79" s="2210">
        <f t="shared" ref="BC79:BD79" si="692">BC78*100/20</f>
        <v>72.916666666666671</v>
      </c>
      <c r="BD79" s="2210">
        <f t="shared" si="692"/>
        <v>72.916666666666671</v>
      </c>
      <c r="BE79" s="2293"/>
      <c r="BF79" s="3152">
        <f t="shared" si="682"/>
        <v>437.50000000000006</v>
      </c>
      <c r="BG79" s="2227"/>
      <c r="BH79" s="2228"/>
      <c r="BI79" s="3145"/>
      <c r="BJ79" s="1732">
        <f t="shared" ref="BJ79:BK79" si="693">BJ78*100/20</f>
        <v>72.916666666666671</v>
      </c>
      <c r="BK79" s="1732">
        <f t="shared" si="693"/>
        <v>72.916666666666671</v>
      </c>
      <c r="BL79" s="3145"/>
      <c r="BM79" s="3152">
        <f>SUM(BJ79:BK79)</f>
        <v>145.83333333333334</v>
      </c>
      <c r="BN79" s="2227"/>
      <c r="BO79" s="2228"/>
      <c r="BP79" s="1726"/>
      <c r="BQ79" s="1732">
        <f>SUM(N79:T79)+SUM(Z79:AF79)+SUM(AL79:AR79)+SUM(AX79:BD79)+SUM(BK79:BK79)</f>
        <v>1677.0833333333337</v>
      </c>
      <c r="BR79" s="1882">
        <f>BQ79/E79</f>
        <v>0.95833333333333359</v>
      </c>
      <c r="BS79" s="1740"/>
      <c r="BT79" s="2229"/>
      <c r="BU79" s="2230"/>
      <c r="BV79" s="2059"/>
      <c r="BW79" s="1877"/>
      <c r="BX79" s="1726"/>
    </row>
    <row r="80" spans="1:86" s="1860" customFormat="1" ht="4.5" customHeight="1" thickBot="1" x14ac:dyDescent="0.25">
      <c r="B80" s="2231"/>
      <c r="C80" s="2231"/>
      <c r="D80" s="1861"/>
      <c r="E80" s="2232"/>
      <c r="F80" s="2232"/>
      <c r="G80" s="2232"/>
      <c r="H80" s="2232"/>
      <c r="I80" s="2232"/>
      <c r="J80" s="2232"/>
      <c r="K80" s="2233"/>
      <c r="L80" s="1760"/>
      <c r="M80" s="3143"/>
      <c r="N80" s="2232"/>
      <c r="O80" s="2232"/>
      <c r="P80" s="2232"/>
      <c r="Q80" s="2232"/>
      <c r="R80" s="2232"/>
      <c r="S80" s="2232"/>
      <c r="T80" s="2232"/>
      <c r="U80" s="3145"/>
      <c r="V80" s="3145"/>
      <c r="W80" s="3145"/>
      <c r="X80" s="3145"/>
      <c r="Y80" s="1862"/>
      <c r="Z80" s="2232"/>
      <c r="AA80" s="2232"/>
      <c r="AB80" s="2232"/>
      <c r="AC80" s="2232"/>
      <c r="AD80" s="2232"/>
      <c r="AE80" s="2232"/>
      <c r="AF80" s="2232"/>
      <c r="AG80" s="1862"/>
      <c r="AH80" s="3145"/>
      <c r="AI80" s="3145"/>
      <c r="AJ80" s="3145"/>
      <c r="AK80" s="1862"/>
      <c r="AL80" s="2232"/>
      <c r="AM80" s="2232"/>
      <c r="AN80" s="2232"/>
      <c r="AO80" s="2232"/>
      <c r="AP80" s="2232"/>
      <c r="AQ80" s="2232"/>
      <c r="AR80" s="2232"/>
      <c r="AS80" s="3145"/>
      <c r="AT80" s="3145"/>
      <c r="AU80" s="3145"/>
      <c r="AV80" s="3145"/>
      <c r="AW80" s="3145"/>
      <c r="AX80" s="2232"/>
      <c r="AY80" s="2232"/>
      <c r="AZ80" s="2232"/>
      <c r="BA80" s="2232"/>
      <c r="BB80" s="2232"/>
      <c r="BC80" s="2232"/>
      <c r="BD80" s="2232"/>
      <c r="BE80" s="3145"/>
      <c r="BF80" s="3145"/>
      <c r="BG80" s="3145"/>
      <c r="BH80" s="3145"/>
      <c r="BI80" s="3145"/>
      <c r="BJ80" s="2232"/>
      <c r="BK80" s="2232"/>
      <c r="BL80" s="3145"/>
      <c r="BM80" s="3145"/>
      <c r="BN80" s="3145"/>
      <c r="BO80" s="3145"/>
      <c r="BP80" s="1726"/>
      <c r="BQ80" s="2232"/>
      <c r="BR80" s="2233"/>
      <c r="BS80" s="1740"/>
      <c r="BT80" s="3145"/>
      <c r="BU80" s="2059"/>
      <c r="BV80" s="2059"/>
      <c r="BW80" s="1877"/>
      <c r="BX80" s="1726"/>
    </row>
    <row r="81" spans="2:75" s="1885" customFormat="1" ht="17.25" thickBot="1" x14ac:dyDescent="0.25">
      <c r="B81" s="2117"/>
      <c r="C81" s="2212" t="s">
        <v>154</v>
      </c>
      <c r="D81" s="2119"/>
      <c r="E81" s="2123"/>
      <c r="F81" s="2121"/>
      <c r="G81" s="2121"/>
      <c r="H81" s="2121"/>
      <c r="I81" s="2121"/>
      <c r="J81" s="2121"/>
      <c r="K81" s="2129"/>
      <c r="L81" s="2213"/>
      <c r="M81" s="2214"/>
      <c r="N81" s="2120">
        <f>IF(N76&gt;$J$78,N76-N78,IF(N76&lt;$J$78,(IF(N76&lt;0,-14.583,N76-N78))))</f>
        <v>-14.583</v>
      </c>
      <c r="O81" s="2121">
        <f>IF(O76&gt;$J$78,O76-O78,IF(O76&lt;$J$78,(IF(O76&lt;0,-14.583,O76-O78))))</f>
        <v>-14.583</v>
      </c>
      <c r="P81" s="2121"/>
      <c r="Q81" s="2121">
        <f t="shared" ref="Q81:T81" si="694">IF(Q76&gt;$J$78,Q76-Q78,IF(Q76&lt;$J$78,(IF(Q76&lt;0,-14.583,Q76-Q78))))</f>
        <v>-14.583</v>
      </c>
      <c r="R81" s="2121">
        <f t="shared" si="694"/>
        <v>-14.583</v>
      </c>
      <c r="S81" s="2121">
        <f t="shared" si="694"/>
        <v>-14.583</v>
      </c>
      <c r="T81" s="2124">
        <f t="shared" si="694"/>
        <v>-14.583</v>
      </c>
      <c r="U81" s="1951"/>
      <c r="V81" s="2120">
        <f>SUM(N81:T81)</f>
        <v>-87.498000000000005</v>
      </c>
      <c r="W81" s="2123"/>
      <c r="X81" s="2124"/>
      <c r="Y81" s="1956"/>
      <c r="Z81" s="2120">
        <f t="shared" ref="Z81:AA81" si="695">IF(Z76&gt;$J$78,Z76-Z78,IF(Z76&lt;$J$78,(IF(Z76&lt;0,-14.583,Z76-Z78))))</f>
        <v>-14.583</v>
      </c>
      <c r="AA81" s="2121">
        <f t="shared" si="695"/>
        <v>-14.583</v>
      </c>
      <c r="AB81" s="2121"/>
      <c r="AC81" s="2121"/>
      <c r="AD81" s="2121">
        <f t="shared" ref="AD81:AF81" si="696">IF(AD76&gt;$J$78,AD76-AD78,IF(AD76&lt;$J$78,(IF(AD76&lt;0,-14.583,AD76-AD78))))</f>
        <v>-2.2768333333333057</v>
      </c>
      <c r="AE81" s="2121">
        <f t="shared" si="696"/>
        <v>-14.583</v>
      </c>
      <c r="AF81" s="2121">
        <f t="shared" si="696"/>
        <v>-14.583</v>
      </c>
      <c r="AG81" s="1956"/>
      <c r="AH81" s="2120">
        <f>SUM(Z81:AF81)</f>
        <v>-60.608833333333301</v>
      </c>
      <c r="AI81" s="2123"/>
      <c r="AJ81" s="2124"/>
      <c r="AK81" s="1955"/>
      <c r="AL81" s="2120">
        <f t="shared" ref="AL81:AM81" si="697">IF(AL76&gt;$J$78,AL76-AL78,IF(AL76&lt;$J$78,(IF(AL76&lt;0,-14.583,AL76-AL78))))</f>
        <v>-6.3018333333333114</v>
      </c>
      <c r="AM81" s="2121">
        <f t="shared" si="697"/>
        <v>15.338666666666692</v>
      </c>
      <c r="AN81" s="2121"/>
      <c r="AO81" s="2121"/>
      <c r="AP81" s="2121">
        <f t="shared" ref="AP81:AR81" si="698">IF(AP76&gt;$J$78,AP76-AP78,IF(AP76&lt;$J$78,(IF(AP76&lt;0,-14.583,AP76-AP78))))</f>
        <v>-11.419333333333318</v>
      </c>
      <c r="AQ81" s="2121">
        <f t="shared" si="698"/>
        <v>25.690166666666677</v>
      </c>
      <c r="AR81" s="2121">
        <f t="shared" si="698"/>
        <v>15.017666666666694</v>
      </c>
      <c r="AS81" s="2254"/>
      <c r="AT81" s="2120">
        <f t="shared" si="680"/>
        <v>38.325333333333433</v>
      </c>
      <c r="AU81" s="2123"/>
      <c r="AV81" s="2124"/>
      <c r="AW81" s="1951"/>
      <c r="AX81" s="2120">
        <f t="shared" ref="AX81:AY81" si="699">IF(AX76&gt;$J$78,AX76-AX78,IF(AX76&lt;$J$78,(IF(AX76&lt;0,-14.583,AX76-AX78))))</f>
        <v>36.188666666666684</v>
      </c>
      <c r="AY81" s="2121">
        <f t="shared" si="699"/>
        <v>36.948166666666687</v>
      </c>
      <c r="AZ81" s="2121">
        <f t="shared" ref="AZ81" si="700">IF(AZ76&gt;$J$78,AZ76-AZ78,IF(AZ76&lt;$J$78,(IF(AZ76&lt;0,-12.069,AZ76-AZ78))))</f>
        <v>0</v>
      </c>
      <c r="BA81" s="2121">
        <f t="shared" ref="BA81:BB81" si="701">IF(BA76&gt;$J$78,BA76-BA78,IF(BA76&lt;$J$78,(IF(BA76&lt;0,-14.583,BA76-BA78))))</f>
        <v>-14.583</v>
      </c>
      <c r="BB81" s="2121">
        <f t="shared" si="701"/>
        <v>-14.583</v>
      </c>
      <c r="BC81" s="2121">
        <f t="shared" ref="BC81:BD81" si="702">IF(BC76&gt;$J$78,BC76-BC78,IF(BC76&lt;$J$78,(IF(BC76&lt;0,-14.583,BC76-BC78))))</f>
        <v>-14.583</v>
      </c>
      <c r="BD81" s="2124">
        <f t="shared" si="702"/>
        <v>-14.583</v>
      </c>
      <c r="BE81" s="1951"/>
      <c r="BF81" s="2120">
        <f t="shared" ref="BF81" si="703">SUM(AX81:BD81)</f>
        <v>14.804833333333375</v>
      </c>
      <c r="BG81" s="2123"/>
      <c r="BH81" s="2124"/>
      <c r="BI81" s="1900"/>
      <c r="BJ81" s="2120">
        <f t="shared" ref="BJ81:BK81" si="704">IF(BJ76&gt;$J$78,BJ76-BJ78,IF(BJ76&lt;$J$78,(IF(BJ76&lt;0,-14.583,BJ76-BJ78))))</f>
        <v>-14.583</v>
      </c>
      <c r="BK81" s="2124">
        <f t="shared" si="704"/>
        <v>-14.583</v>
      </c>
      <c r="BL81" s="2317"/>
      <c r="BM81" s="2215">
        <f>SUM(BJ81:BK81)</f>
        <v>-29.166</v>
      </c>
      <c r="BN81" s="2318"/>
      <c r="BO81" s="2118"/>
      <c r="BP81" s="1897"/>
      <c r="BQ81" s="2215">
        <f>SUM(N81:T81)+SUM(Z81:AF81)+SUM(AL81:AR81)+SUM(AX81:BD81)+SUM(BK81:BK81)</f>
        <v>-109.55966666666649</v>
      </c>
      <c r="BR81" s="2130">
        <f>BQ81/E78</f>
        <v>-0.31302761904761855</v>
      </c>
      <c r="BS81" s="1900"/>
      <c r="BT81" s="1900"/>
      <c r="BU81" s="1900"/>
      <c r="BV81" s="2011"/>
    </row>
    <row r="82" spans="2:75" s="1756" customFormat="1" ht="17.25" thickBot="1" x14ac:dyDescent="0.25">
      <c r="B82" s="1817"/>
      <c r="C82" s="1817"/>
      <c r="D82" s="1817"/>
      <c r="E82" s="1814"/>
      <c r="F82" s="1814"/>
      <c r="G82" s="1814"/>
      <c r="H82" s="1814"/>
      <c r="I82" s="1814"/>
      <c r="J82" s="1814"/>
      <c r="K82" s="1818"/>
      <c r="L82" s="2216"/>
      <c r="M82" s="2055"/>
      <c r="N82" s="1814"/>
      <c r="O82" s="1814"/>
      <c r="P82" s="1814"/>
      <c r="Q82" s="1814"/>
      <c r="R82" s="1814"/>
      <c r="S82" s="1814"/>
      <c r="T82" s="1814"/>
      <c r="U82" s="1814"/>
      <c r="V82" s="1814"/>
      <c r="W82" s="1814"/>
      <c r="X82" s="1814"/>
      <c r="Y82" s="1766"/>
      <c r="Z82" s="1814"/>
      <c r="AA82" s="1814"/>
      <c r="AB82" s="1814"/>
      <c r="AC82" s="1814"/>
      <c r="AD82" s="1814"/>
      <c r="AE82" s="1814"/>
      <c r="AF82" s="1814"/>
      <c r="AG82" s="1766"/>
      <c r="AH82" s="1814"/>
      <c r="AI82" s="1814"/>
      <c r="AJ82" s="1814"/>
      <c r="AK82" s="1766"/>
      <c r="AL82" s="1814"/>
      <c r="AM82" s="1814"/>
      <c r="AN82" s="1814"/>
      <c r="AO82" s="1814"/>
      <c r="AP82" s="1814"/>
      <c r="AQ82" s="1814"/>
      <c r="AR82" s="1814"/>
      <c r="AS82" s="1814"/>
      <c r="AT82" s="1814"/>
      <c r="AU82" s="1814"/>
      <c r="AV82" s="1814"/>
      <c r="AW82" s="1814"/>
      <c r="AX82" s="1814"/>
      <c r="AY82" s="1814"/>
      <c r="AZ82" s="1814"/>
      <c r="BA82" s="1814"/>
      <c r="BB82" s="1814"/>
      <c r="BC82" s="1814"/>
      <c r="BD82" s="1814"/>
      <c r="BE82" s="1814"/>
      <c r="BF82" s="1814"/>
      <c r="BG82" s="1814"/>
      <c r="BH82" s="1814"/>
      <c r="BI82" s="1814"/>
      <c r="BJ82" s="1814"/>
      <c r="BK82" s="1814"/>
      <c r="BL82" s="1814"/>
      <c r="BM82" s="1814"/>
      <c r="BN82" s="1814"/>
      <c r="BO82" s="1814"/>
      <c r="BP82" s="1766"/>
      <c r="BQ82" s="1814"/>
      <c r="BR82" s="1830"/>
      <c r="BS82" s="3133"/>
      <c r="BT82" s="3133"/>
      <c r="BU82" s="3133"/>
      <c r="BV82" s="1817"/>
    </row>
    <row r="83" spans="2:75" s="1860" customFormat="1" x14ac:dyDescent="0.2">
      <c r="B83" s="4649"/>
      <c r="C83" s="4647" t="s">
        <v>213</v>
      </c>
      <c r="D83" s="1861"/>
      <c r="E83" s="4645">
        <f>C43</f>
        <v>12213.439999999999</v>
      </c>
      <c r="F83" s="2657"/>
      <c r="G83" s="2658"/>
      <c r="H83" s="2659"/>
      <c r="I83" s="2660"/>
      <c r="J83" s="4643">
        <f>E83/24</f>
        <v>508.89333333333326</v>
      </c>
      <c r="K83" s="4641">
        <f>J83*20%</f>
        <v>101.77866666666665</v>
      </c>
      <c r="L83" s="2216"/>
      <c r="M83" s="2055"/>
      <c r="N83" s="4628" t="str">
        <f>IF(N47&gt;0,"0.000",N47)</f>
        <v>0.000</v>
      </c>
      <c r="O83" s="4630" t="str">
        <f t="shared" ref="O83:T83" si="705">IF(O47&gt;0,"0.000",O47)</f>
        <v>0.000</v>
      </c>
      <c r="P83" s="4630">
        <f t="shared" si="705"/>
        <v>0</v>
      </c>
      <c r="Q83" s="4630" t="str">
        <f t="shared" si="705"/>
        <v>0.000</v>
      </c>
      <c r="R83" s="4630" t="str">
        <f t="shared" si="705"/>
        <v>0.000</v>
      </c>
      <c r="S83" s="4630" t="str">
        <f t="shared" si="705"/>
        <v>0.000</v>
      </c>
      <c r="T83" s="4632" t="str">
        <f t="shared" si="705"/>
        <v>0.000</v>
      </c>
      <c r="U83" s="3145"/>
      <c r="V83" s="4628">
        <f t="shared" si="88"/>
        <v>0</v>
      </c>
      <c r="W83" s="4630"/>
      <c r="X83" s="4632"/>
      <c r="Y83" s="1862"/>
      <c r="Z83" s="4628" t="str">
        <f t="shared" ref="Z83:AF83" si="706">IF(Z47&gt;0,"0.000",Z47)</f>
        <v>0.000</v>
      </c>
      <c r="AA83" s="4630" t="str">
        <f t="shared" si="706"/>
        <v>0.000</v>
      </c>
      <c r="AB83" s="4630">
        <f t="shared" si="706"/>
        <v>0</v>
      </c>
      <c r="AC83" s="4630">
        <f t="shared" si="706"/>
        <v>0</v>
      </c>
      <c r="AD83" s="4630" t="str">
        <f t="shared" si="706"/>
        <v>0.000</v>
      </c>
      <c r="AE83" s="4630" t="str">
        <f t="shared" si="706"/>
        <v>0.000</v>
      </c>
      <c r="AF83" s="4632" t="str">
        <f t="shared" si="706"/>
        <v>0.000</v>
      </c>
      <c r="AG83" s="1862"/>
      <c r="AH83" s="4628">
        <f t="shared" ref="AH83:AH88" si="707">SUM(Z83:AF83)</f>
        <v>0</v>
      </c>
      <c r="AI83" s="4630"/>
      <c r="AJ83" s="4632"/>
      <c r="AK83" s="1862"/>
      <c r="AL83" s="4628" t="str">
        <f t="shared" ref="AL83:AR83" si="708">IF(AL47&gt;0,"0.000",AL47)</f>
        <v>0.000</v>
      </c>
      <c r="AM83" s="4630" t="str">
        <f t="shared" si="708"/>
        <v>0.000</v>
      </c>
      <c r="AN83" s="4630">
        <f t="shared" si="708"/>
        <v>0</v>
      </c>
      <c r="AO83" s="4630">
        <f t="shared" si="708"/>
        <v>0</v>
      </c>
      <c r="AP83" s="4630" t="str">
        <f t="shared" si="708"/>
        <v>0.000</v>
      </c>
      <c r="AQ83" s="4630" t="str">
        <f t="shared" si="708"/>
        <v>0.000</v>
      </c>
      <c r="AR83" s="4632" t="str">
        <f t="shared" si="708"/>
        <v>0.000</v>
      </c>
      <c r="AS83" s="3145"/>
      <c r="AT83" s="4628">
        <f t="shared" ref="AT83:AT88" si="709">SUM(AL83:AR83)</f>
        <v>0</v>
      </c>
      <c r="AU83" s="4630"/>
      <c r="AV83" s="4632"/>
      <c r="AW83" s="3145"/>
      <c r="AX83" s="4628" t="str">
        <f t="shared" ref="AX83:BD83" si="710">IF(AX47&gt;0,"0.000",AX47)</f>
        <v>0.000</v>
      </c>
      <c r="AY83" s="4630" t="str">
        <f t="shared" si="710"/>
        <v>0.000</v>
      </c>
      <c r="AZ83" s="4630">
        <f t="shared" si="710"/>
        <v>0</v>
      </c>
      <c r="BA83" s="4630" t="str">
        <f t="shared" si="710"/>
        <v>0.000</v>
      </c>
      <c r="BB83" s="4630" t="str">
        <f t="shared" si="710"/>
        <v>0.000</v>
      </c>
      <c r="BC83" s="4630" t="str">
        <f t="shared" si="710"/>
        <v>0.000</v>
      </c>
      <c r="BD83" s="4632" t="str">
        <f t="shared" si="710"/>
        <v>0.000</v>
      </c>
      <c r="BE83" s="3145"/>
      <c r="BF83" s="4628">
        <f t="shared" ref="BF83:BF88" si="711">SUM(AX83:BD83)</f>
        <v>0</v>
      </c>
      <c r="BG83" s="4630"/>
      <c r="BH83" s="4632"/>
      <c r="BI83" s="3145"/>
      <c r="BJ83" s="4670" t="str">
        <f t="shared" ref="BJ83" si="712">IF(BJ47&gt;0,"0.000",BJ47)</f>
        <v>0.000</v>
      </c>
      <c r="BK83" s="4674" t="str">
        <f>IF(BK47&gt;0,"0.000",BK47)</f>
        <v>0.000</v>
      </c>
      <c r="BL83" s="3145"/>
      <c r="BM83" s="4628">
        <f>SUM(BJ83:BK83)</f>
        <v>0</v>
      </c>
      <c r="BN83" s="4630"/>
      <c r="BO83" s="4632"/>
      <c r="BP83" s="1726"/>
      <c r="BQ83" s="4628">
        <f>SUM(N83:T83)+SUM(Z83:AF83)+SUM(AL83:AR83)+SUM(AX83:BD83)+SUM(BK83:BK83)</f>
        <v>0</v>
      </c>
      <c r="BR83" s="4632"/>
      <c r="BS83" s="1740"/>
      <c r="BT83" s="3145"/>
      <c r="BU83" s="1997"/>
      <c r="BV83" s="1997"/>
      <c r="BW83" s="3143"/>
    </row>
    <row r="84" spans="2:75" s="1946" customFormat="1" ht="17.25" thickBot="1" x14ac:dyDescent="0.25">
      <c r="B84" s="4650"/>
      <c r="C84" s="4648"/>
      <c r="D84" s="2011"/>
      <c r="E84" s="4646"/>
      <c r="F84" s="2375"/>
      <c r="G84" s="2376"/>
      <c r="H84" s="2377"/>
      <c r="I84" s="2378"/>
      <c r="J84" s="4644"/>
      <c r="K84" s="4642"/>
      <c r="L84" s="2213"/>
      <c r="M84" s="2214"/>
      <c r="N84" s="4629"/>
      <c r="O84" s="4631"/>
      <c r="P84" s="4631"/>
      <c r="Q84" s="4631"/>
      <c r="R84" s="4631"/>
      <c r="S84" s="4631"/>
      <c r="T84" s="4633"/>
      <c r="U84" s="3135"/>
      <c r="V84" s="4629"/>
      <c r="W84" s="4631"/>
      <c r="X84" s="4633"/>
      <c r="Y84" s="1897"/>
      <c r="Z84" s="4629"/>
      <c r="AA84" s="4631"/>
      <c r="AB84" s="4631"/>
      <c r="AC84" s="4631"/>
      <c r="AD84" s="4631"/>
      <c r="AE84" s="4631"/>
      <c r="AF84" s="4633"/>
      <c r="AG84" s="1897"/>
      <c r="AH84" s="4629"/>
      <c r="AI84" s="4631"/>
      <c r="AJ84" s="4633"/>
      <c r="AK84" s="1897"/>
      <c r="AL84" s="4629"/>
      <c r="AM84" s="4631"/>
      <c r="AN84" s="4631"/>
      <c r="AO84" s="4631"/>
      <c r="AP84" s="4631"/>
      <c r="AQ84" s="4631"/>
      <c r="AR84" s="4633"/>
      <c r="AS84" s="3135"/>
      <c r="AT84" s="4629"/>
      <c r="AU84" s="4631"/>
      <c r="AV84" s="4633"/>
      <c r="AW84" s="3135"/>
      <c r="AX84" s="4629"/>
      <c r="AY84" s="4631"/>
      <c r="AZ84" s="4631"/>
      <c r="BA84" s="4631"/>
      <c r="BB84" s="4631"/>
      <c r="BC84" s="4631"/>
      <c r="BD84" s="4633"/>
      <c r="BE84" s="3135"/>
      <c r="BF84" s="4629"/>
      <c r="BG84" s="4631"/>
      <c r="BH84" s="4633"/>
      <c r="BI84" s="3135"/>
      <c r="BJ84" s="4671"/>
      <c r="BK84" s="4675"/>
      <c r="BL84" s="3135"/>
      <c r="BM84" s="4629"/>
      <c r="BN84" s="4631"/>
      <c r="BO84" s="4633"/>
      <c r="BP84" s="1885"/>
      <c r="BQ84" s="4629"/>
      <c r="BR84" s="4633"/>
      <c r="BS84" s="1900"/>
      <c r="BT84" s="3135"/>
      <c r="BU84" s="2010"/>
      <c r="BV84" s="2010"/>
      <c r="BW84" s="3134"/>
    </row>
    <row r="85" spans="2:75" s="1860" customFormat="1" ht="5.25" customHeight="1" thickBot="1" x14ac:dyDescent="0.25">
      <c r="B85" s="1861"/>
      <c r="C85" s="1861"/>
      <c r="D85" s="1861"/>
      <c r="E85" s="1814"/>
      <c r="F85" s="2367"/>
      <c r="G85" s="2368"/>
      <c r="H85" s="2369"/>
      <c r="I85" s="2370"/>
      <c r="J85" s="1814"/>
      <c r="K85" s="1818"/>
      <c r="L85" s="2055"/>
      <c r="M85" s="2055"/>
      <c r="N85" s="3145"/>
      <c r="O85" s="3145"/>
      <c r="P85" s="3145"/>
      <c r="Q85" s="3145"/>
      <c r="R85" s="3145"/>
      <c r="S85" s="3145"/>
      <c r="T85" s="3145"/>
      <c r="U85" s="3145"/>
      <c r="V85" s="3145"/>
      <c r="W85" s="3145"/>
      <c r="X85" s="3145"/>
      <c r="Y85" s="1862"/>
      <c r="Z85" s="3145"/>
      <c r="AA85" s="3145"/>
      <c r="AB85" s="3145"/>
      <c r="AC85" s="3145"/>
      <c r="AD85" s="3145"/>
      <c r="AE85" s="3145"/>
      <c r="AF85" s="3145"/>
      <c r="AG85" s="1862"/>
      <c r="AH85" s="3145"/>
      <c r="AI85" s="3145"/>
      <c r="AJ85" s="3145"/>
      <c r="AK85" s="1862"/>
      <c r="AL85" s="3145"/>
      <c r="AM85" s="3145"/>
      <c r="AN85" s="3145"/>
      <c r="AO85" s="3145"/>
      <c r="AP85" s="3145"/>
      <c r="AQ85" s="3145"/>
      <c r="AR85" s="3145"/>
      <c r="AS85" s="3145"/>
      <c r="AT85" s="3145"/>
      <c r="AU85" s="3145"/>
      <c r="AV85" s="3145"/>
      <c r="AW85" s="3145"/>
      <c r="AX85" s="3145"/>
      <c r="AY85" s="3145"/>
      <c r="AZ85" s="3145"/>
      <c r="BA85" s="3145"/>
      <c r="BB85" s="3145"/>
      <c r="BC85" s="3145"/>
      <c r="BD85" s="3145"/>
      <c r="BE85" s="3145"/>
      <c r="BF85" s="3145"/>
      <c r="BG85" s="3145"/>
      <c r="BH85" s="3145"/>
      <c r="BI85" s="3145"/>
      <c r="BJ85" s="3145"/>
      <c r="BK85" s="3145"/>
      <c r="BL85" s="3145"/>
      <c r="BM85" s="3145"/>
      <c r="BN85" s="3145"/>
      <c r="BO85" s="3145"/>
      <c r="BQ85" s="3145"/>
      <c r="BR85" s="3145"/>
      <c r="BS85" s="1861"/>
      <c r="BT85" s="3145"/>
      <c r="BU85" s="1997"/>
      <c r="BV85" s="1997"/>
      <c r="BW85" s="3143"/>
    </row>
    <row r="86" spans="2:75" s="1726" customFormat="1" x14ac:dyDescent="0.2">
      <c r="B86" s="2655"/>
      <c r="C86" s="2656" t="s">
        <v>143</v>
      </c>
      <c r="D86" s="1861"/>
      <c r="E86" s="1771">
        <f>E75</f>
        <v>10002.5</v>
      </c>
      <c r="F86" s="2657">
        <f t="shared" si="670"/>
        <v>1000.25</v>
      </c>
      <c r="G86" s="2658">
        <f t="shared" ref="G86:G87" si="713">E86/15</f>
        <v>666.83333333333337</v>
      </c>
      <c r="H86" s="2659">
        <f t="shared" ref="H86:H87" si="714">E86/20</f>
        <v>500.125</v>
      </c>
      <c r="I86" s="2660">
        <f t="shared" ref="I86:I87" si="715">E86/25</f>
        <v>400.1</v>
      </c>
      <c r="J86" s="2661">
        <f>E86/24</f>
        <v>416.77083333333331</v>
      </c>
      <c r="K86" s="1773">
        <f>J86*20%</f>
        <v>83.354166666666671</v>
      </c>
      <c r="L86" s="2216"/>
      <c r="M86" s="2055"/>
      <c r="N86" s="3151">
        <f>IF(N76&gt;0,"0.000",N76)</f>
        <v>-66.655999999999977</v>
      </c>
      <c r="O86" s="3153">
        <f>IF(O76&gt;0,"0.000",O76)</f>
        <v>-51.958999999999989</v>
      </c>
      <c r="P86" s="3153">
        <f t="shared" ref="P86:T86" si="716">IF(P76&gt;0,"0.000",P76)</f>
        <v>0</v>
      </c>
      <c r="Q86" s="3153">
        <f t="shared" si="716"/>
        <v>-24.198999999999984</v>
      </c>
      <c r="R86" s="3153">
        <f t="shared" si="716"/>
        <v>-61.35499999999999</v>
      </c>
      <c r="S86" s="3153">
        <f t="shared" si="716"/>
        <v>-13.733499999999978</v>
      </c>
      <c r="T86" s="3155">
        <f t="shared" si="716"/>
        <v>-29.873999999999981</v>
      </c>
      <c r="U86" s="3145"/>
      <c r="V86" s="3151">
        <f t="shared" ref="V86:V88" si="717">SUM(N86:T86)</f>
        <v>-247.77649999999988</v>
      </c>
      <c r="W86" s="3153"/>
      <c r="X86" s="3155"/>
      <c r="Y86" s="1862"/>
      <c r="Z86" s="3151">
        <f t="shared" ref="Z86:AF86" si="718">IF(Z76&gt;0,"0.000",Z76)</f>
        <v>-26.71599999999998</v>
      </c>
      <c r="AA86" s="3153">
        <f t="shared" si="718"/>
        <v>-1.27049999999997</v>
      </c>
      <c r="AB86" s="3153">
        <f t="shared" si="718"/>
        <v>0</v>
      </c>
      <c r="AC86" s="3153">
        <f t="shared" si="718"/>
        <v>0</v>
      </c>
      <c r="AD86" s="3153" t="str">
        <f t="shared" si="718"/>
        <v>0.000</v>
      </c>
      <c r="AE86" s="3153">
        <f t="shared" si="718"/>
        <v>-35.547499999999985</v>
      </c>
      <c r="AF86" s="3155">
        <f t="shared" si="718"/>
        <v>-32.095499999999987</v>
      </c>
      <c r="AG86" s="1862"/>
      <c r="AH86" s="3151">
        <f>SUM(Z86:AF86)</f>
        <v>-95.629499999999922</v>
      </c>
      <c r="AI86" s="3153"/>
      <c r="AJ86" s="3155"/>
      <c r="AK86" s="1862"/>
      <c r="AL86" s="3151" t="str">
        <f t="shared" ref="AL86:AR86" si="719">IF(AL76&gt;0,"0.000",AL76)</f>
        <v>0.000</v>
      </c>
      <c r="AM86" s="3153" t="str">
        <f t="shared" si="719"/>
        <v>0.000</v>
      </c>
      <c r="AN86" s="3153">
        <f t="shared" si="719"/>
        <v>0</v>
      </c>
      <c r="AO86" s="3153">
        <f t="shared" si="719"/>
        <v>0</v>
      </c>
      <c r="AP86" s="3153" t="str">
        <f t="shared" si="719"/>
        <v>0.000</v>
      </c>
      <c r="AQ86" s="3153" t="str">
        <f t="shared" si="719"/>
        <v>0.000</v>
      </c>
      <c r="AR86" s="3155" t="str">
        <f t="shared" si="719"/>
        <v>0.000</v>
      </c>
      <c r="AS86" s="3145"/>
      <c r="AT86" s="3151">
        <f t="shared" si="709"/>
        <v>0</v>
      </c>
      <c r="AU86" s="3153"/>
      <c r="AV86" s="3155"/>
      <c r="AW86" s="3145"/>
      <c r="AX86" s="3151" t="str">
        <f t="shared" ref="AX86:BD86" si="720">IF(AX76&gt;0,"0.000",AX76)</f>
        <v>0.000</v>
      </c>
      <c r="AY86" s="3153" t="str">
        <f t="shared" si="720"/>
        <v>0.000</v>
      </c>
      <c r="AZ86" s="3153">
        <f t="shared" si="720"/>
        <v>0</v>
      </c>
      <c r="BA86" s="3153">
        <f t="shared" si="720"/>
        <v>-66.905499999999989</v>
      </c>
      <c r="BB86" s="3153">
        <f t="shared" si="720"/>
        <v>-56.782999999999987</v>
      </c>
      <c r="BC86" s="3153">
        <f t="shared" si="720"/>
        <v>-53.945999999999984</v>
      </c>
      <c r="BD86" s="3155">
        <f t="shared" si="720"/>
        <v>-59.266999999999982</v>
      </c>
      <c r="BE86" s="3145"/>
      <c r="BF86" s="3151">
        <f t="shared" si="711"/>
        <v>-236.90149999999994</v>
      </c>
      <c r="BG86" s="3153"/>
      <c r="BH86" s="3155"/>
      <c r="BI86" s="3145"/>
      <c r="BJ86" s="3151">
        <f t="shared" ref="BJ86" si="721">IF(BJ76&gt;0,"0.000",BJ76)</f>
        <v>-55.206499999999977</v>
      </c>
      <c r="BK86" s="3155">
        <f>IF(BK76&gt;0,"0.000",BK76)</f>
        <v>-26.236999999999981</v>
      </c>
      <c r="BL86" s="3145"/>
      <c r="BM86" s="3151">
        <f>SUM(BJ86:BK86)</f>
        <v>-81.443499999999958</v>
      </c>
      <c r="BN86" s="3153"/>
      <c r="BO86" s="3155"/>
      <c r="BQ86" s="2663">
        <f>SUM(N86:T86)+SUM(Z86:AF86)+SUM(AL86:AR86)+SUM(AX86:BD86)+SUM(BK86:BK86)</f>
        <v>-606.54449999999974</v>
      </c>
      <c r="BR86" s="3155"/>
      <c r="BS86" s="1740"/>
      <c r="BT86" s="3145"/>
      <c r="BU86" s="2246"/>
      <c r="BV86" s="2246"/>
      <c r="BW86" s="2247"/>
    </row>
    <row r="87" spans="2:75" s="1885" customFormat="1" ht="17.25" thickBot="1" x14ac:dyDescent="0.25">
      <c r="B87" s="2703"/>
      <c r="C87" s="2704" t="s">
        <v>178</v>
      </c>
      <c r="D87" s="2011"/>
      <c r="E87" s="2705">
        <f>E79</f>
        <v>1750</v>
      </c>
      <c r="F87" s="2706">
        <f t="shared" si="670"/>
        <v>175</v>
      </c>
      <c r="G87" s="2707">
        <f t="shared" si="713"/>
        <v>116.66666666666667</v>
      </c>
      <c r="H87" s="2708">
        <f t="shared" si="714"/>
        <v>87.5</v>
      </c>
      <c r="I87" s="2709">
        <f t="shared" si="715"/>
        <v>70</v>
      </c>
      <c r="J87" s="2710">
        <f>E87/24</f>
        <v>72.916666666666671</v>
      </c>
      <c r="K87" s="2711">
        <f>J87*20%</f>
        <v>14.583333333333336</v>
      </c>
      <c r="L87" s="2213"/>
      <c r="M87" s="2214"/>
      <c r="N87" s="2244">
        <f>IF(N81&gt;0,"0.000",N81)</f>
        <v>-14.583</v>
      </c>
      <c r="O87" s="1898">
        <f t="shared" ref="O87:T87" si="722">IF(O81&gt;0,"0.000",O81)</f>
        <v>-14.583</v>
      </c>
      <c r="P87" s="1898">
        <f t="shared" si="722"/>
        <v>0</v>
      </c>
      <c r="Q87" s="1898">
        <f t="shared" si="722"/>
        <v>-14.583</v>
      </c>
      <c r="R87" s="1898">
        <f t="shared" si="722"/>
        <v>-14.583</v>
      </c>
      <c r="S87" s="1898">
        <f t="shared" si="722"/>
        <v>-14.583</v>
      </c>
      <c r="T87" s="2245">
        <f t="shared" si="722"/>
        <v>-14.583</v>
      </c>
      <c r="U87" s="3135"/>
      <c r="V87" s="2244">
        <f t="shared" si="717"/>
        <v>-87.498000000000005</v>
      </c>
      <c r="W87" s="1898"/>
      <c r="X87" s="2245"/>
      <c r="Y87" s="1897"/>
      <c r="Z87" s="2244">
        <f t="shared" ref="Z87:AF87" si="723">IF(Z81&gt;0,"0.000",Z81)</f>
        <v>-14.583</v>
      </c>
      <c r="AA87" s="1898">
        <f t="shared" si="723"/>
        <v>-14.583</v>
      </c>
      <c r="AB87" s="1898">
        <f t="shared" si="723"/>
        <v>0</v>
      </c>
      <c r="AC87" s="1898">
        <f t="shared" si="723"/>
        <v>0</v>
      </c>
      <c r="AD87" s="1898">
        <f t="shared" si="723"/>
        <v>-2.2768333333333057</v>
      </c>
      <c r="AE87" s="1898">
        <f t="shared" si="723"/>
        <v>-14.583</v>
      </c>
      <c r="AF87" s="2245">
        <f t="shared" si="723"/>
        <v>-14.583</v>
      </c>
      <c r="AG87" s="1897"/>
      <c r="AH87" s="2244">
        <f t="shared" si="707"/>
        <v>-60.608833333333301</v>
      </c>
      <c r="AI87" s="1898"/>
      <c r="AJ87" s="2245"/>
      <c r="AK87" s="1897"/>
      <c r="AL87" s="2244">
        <f t="shared" ref="AL87:AR87" si="724">IF(AL81&gt;0,"0.000",AL81)</f>
        <v>-6.3018333333333114</v>
      </c>
      <c r="AM87" s="1898" t="str">
        <f t="shared" si="724"/>
        <v>0.000</v>
      </c>
      <c r="AN87" s="1898">
        <f t="shared" si="724"/>
        <v>0</v>
      </c>
      <c r="AO87" s="1898">
        <f t="shared" si="724"/>
        <v>0</v>
      </c>
      <c r="AP87" s="1898">
        <f t="shared" si="724"/>
        <v>-11.419333333333318</v>
      </c>
      <c r="AQ87" s="1898" t="str">
        <f t="shared" si="724"/>
        <v>0.000</v>
      </c>
      <c r="AR87" s="2245" t="str">
        <f t="shared" si="724"/>
        <v>0.000</v>
      </c>
      <c r="AS87" s="3135"/>
      <c r="AT87" s="2244">
        <f t="shared" si="709"/>
        <v>-17.72116666666663</v>
      </c>
      <c r="AU87" s="1898"/>
      <c r="AV87" s="2245"/>
      <c r="AW87" s="3135"/>
      <c r="AX87" s="2244" t="str">
        <f t="shared" ref="AX87:BD87" si="725">IF(AX81&gt;0,"0.000",AX81)</f>
        <v>0.000</v>
      </c>
      <c r="AY87" s="1898" t="str">
        <f t="shared" si="725"/>
        <v>0.000</v>
      </c>
      <c r="AZ87" s="1898">
        <f t="shared" si="725"/>
        <v>0</v>
      </c>
      <c r="BA87" s="1898">
        <f t="shared" si="725"/>
        <v>-14.583</v>
      </c>
      <c r="BB87" s="1898">
        <f t="shared" si="725"/>
        <v>-14.583</v>
      </c>
      <c r="BC87" s="1898">
        <f t="shared" si="725"/>
        <v>-14.583</v>
      </c>
      <c r="BD87" s="2245">
        <f t="shared" si="725"/>
        <v>-14.583</v>
      </c>
      <c r="BE87" s="3135"/>
      <c r="BF87" s="2244">
        <f t="shared" si="711"/>
        <v>-58.332000000000001</v>
      </c>
      <c r="BG87" s="1898"/>
      <c r="BH87" s="2245"/>
      <c r="BI87" s="3135"/>
      <c r="BJ87" s="3025">
        <f t="shared" ref="BJ87" si="726">IF(BJ81&gt;0,"0.000",BJ81)</f>
        <v>-14.583</v>
      </c>
      <c r="BK87" s="2245">
        <f>IF(BK81&gt;0,"0.000",BK81)</f>
        <v>-14.583</v>
      </c>
      <c r="BL87" s="3135"/>
      <c r="BM87" s="2244">
        <f>SUM(BJ87:BK87)</f>
        <v>-29.166</v>
      </c>
      <c r="BN87" s="1898"/>
      <c r="BO87" s="2245"/>
      <c r="BQ87" s="2244">
        <f>SUM(N87:T87)+SUM(Z87:AF87)+SUM(AL87:AR87)+SUM(AX87:BD87)+SUM(BK87:BK87)</f>
        <v>-238.74299999999991</v>
      </c>
      <c r="BR87" s="2245"/>
      <c r="BS87" s="1900"/>
      <c r="BT87" s="3135"/>
      <c r="BU87" s="2251"/>
      <c r="BV87" s="2251"/>
      <c r="BW87" s="2252"/>
    </row>
    <row r="88" spans="2:75" s="1726" customFormat="1" ht="17.25" thickBot="1" x14ac:dyDescent="0.25">
      <c r="B88" s="2355"/>
      <c r="C88" s="2356" t="s">
        <v>272</v>
      </c>
      <c r="D88" s="1861"/>
      <c r="E88" s="2664">
        <f>E86+E87</f>
        <v>11752.5</v>
      </c>
      <c r="F88" s="2665"/>
      <c r="G88" s="2666"/>
      <c r="H88" s="2667"/>
      <c r="I88" s="2668"/>
      <c r="J88" s="2669">
        <f>J86+J87</f>
        <v>489.6875</v>
      </c>
      <c r="K88" s="2670">
        <f>K86+K87</f>
        <v>97.9375</v>
      </c>
      <c r="L88" s="2216"/>
      <c r="M88" s="2055"/>
      <c r="N88" s="3152" t="str">
        <f>IF(N81&lt;0,"0.000",N81)</f>
        <v>0.000</v>
      </c>
      <c r="O88" s="3154" t="str">
        <f t="shared" ref="O88:T88" si="727">IF(O81&lt;0,"0.000",O81)</f>
        <v>0.000</v>
      </c>
      <c r="P88" s="3154">
        <f t="shared" si="727"/>
        <v>0</v>
      </c>
      <c r="Q88" s="3154" t="str">
        <f t="shared" si="727"/>
        <v>0.000</v>
      </c>
      <c r="R88" s="3154" t="str">
        <f t="shared" si="727"/>
        <v>0.000</v>
      </c>
      <c r="S88" s="3154" t="str">
        <f t="shared" si="727"/>
        <v>0.000</v>
      </c>
      <c r="T88" s="3156" t="str">
        <f t="shared" si="727"/>
        <v>0.000</v>
      </c>
      <c r="U88" s="3145"/>
      <c r="V88" s="3152">
        <f t="shared" si="717"/>
        <v>0</v>
      </c>
      <c r="W88" s="3154"/>
      <c r="X88" s="3156"/>
      <c r="Y88" s="1862"/>
      <c r="Z88" s="3152" t="str">
        <f t="shared" ref="Z88:AF88" si="728">IF(Z81&lt;0,"0.000",Z81)</f>
        <v>0.000</v>
      </c>
      <c r="AA88" s="3154" t="str">
        <f t="shared" si="728"/>
        <v>0.000</v>
      </c>
      <c r="AB88" s="3154">
        <f t="shared" si="728"/>
        <v>0</v>
      </c>
      <c r="AC88" s="3154">
        <f t="shared" si="728"/>
        <v>0</v>
      </c>
      <c r="AD88" s="3154" t="str">
        <f t="shared" si="728"/>
        <v>0.000</v>
      </c>
      <c r="AE88" s="3154" t="str">
        <f t="shared" si="728"/>
        <v>0.000</v>
      </c>
      <c r="AF88" s="3156" t="str">
        <f t="shared" si="728"/>
        <v>0.000</v>
      </c>
      <c r="AG88" s="1862"/>
      <c r="AH88" s="3152">
        <f t="shared" si="707"/>
        <v>0</v>
      </c>
      <c r="AI88" s="3154"/>
      <c r="AJ88" s="3156"/>
      <c r="AK88" s="1862"/>
      <c r="AL88" s="3152" t="str">
        <f t="shared" ref="AL88:AR88" si="729">IF(AL81&lt;0,"0.000",AL81)</f>
        <v>0.000</v>
      </c>
      <c r="AM88" s="3154">
        <f t="shared" si="729"/>
        <v>15.338666666666692</v>
      </c>
      <c r="AN88" s="3154">
        <f t="shared" si="729"/>
        <v>0</v>
      </c>
      <c r="AO88" s="3154">
        <f t="shared" si="729"/>
        <v>0</v>
      </c>
      <c r="AP88" s="3154" t="str">
        <f t="shared" si="729"/>
        <v>0.000</v>
      </c>
      <c r="AQ88" s="3154">
        <f t="shared" si="729"/>
        <v>25.690166666666677</v>
      </c>
      <c r="AR88" s="3156">
        <f t="shared" si="729"/>
        <v>15.017666666666694</v>
      </c>
      <c r="AS88" s="3145"/>
      <c r="AT88" s="3152">
        <f t="shared" si="709"/>
        <v>56.046500000000059</v>
      </c>
      <c r="AU88" s="3154"/>
      <c r="AV88" s="3156"/>
      <c r="AW88" s="3145"/>
      <c r="AX88" s="3152">
        <f t="shared" ref="AX88:BD88" si="730">IF(AX81&lt;0,"0.000",AX81)</f>
        <v>36.188666666666684</v>
      </c>
      <c r="AY88" s="3154">
        <f t="shared" si="730"/>
        <v>36.948166666666687</v>
      </c>
      <c r="AZ88" s="3154">
        <f t="shared" si="730"/>
        <v>0</v>
      </c>
      <c r="BA88" s="3154" t="str">
        <f t="shared" si="730"/>
        <v>0.000</v>
      </c>
      <c r="BB88" s="3154" t="str">
        <f t="shared" si="730"/>
        <v>0.000</v>
      </c>
      <c r="BC88" s="3154" t="str">
        <f t="shared" si="730"/>
        <v>0.000</v>
      </c>
      <c r="BD88" s="3156" t="str">
        <f t="shared" si="730"/>
        <v>0.000</v>
      </c>
      <c r="BE88" s="3145"/>
      <c r="BF88" s="3152">
        <f t="shared" si="711"/>
        <v>73.136833333333371</v>
      </c>
      <c r="BG88" s="3154"/>
      <c r="BH88" s="3156"/>
      <c r="BI88" s="3145"/>
      <c r="BJ88" s="3152" t="str">
        <f t="shared" ref="BJ88" si="731">IF(BJ81&lt;0,"0.000",BJ81)</f>
        <v>0.000</v>
      </c>
      <c r="BK88" s="3156" t="str">
        <f>IF(BK81&lt;0,"0.000",BK81)</f>
        <v>0.000</v>
      </c>
      <c r="BL88" s="3145"/>
      <c r="BM88" s="3152">
        <f>SUM(BJ88:BK88)</f>
        <v>0</v>
      </c>
      <c r="BN88" s="3154"/>
      <c r="BO88" s="3156"/>
      <c r="BQ88" s="3152">
        <f>SUM(N88:T88)+SUM(Z88:AF88)+SUM(AL88:AR88)+SUM(AX88:BD88)+SUM(BK88:BK88)</f>
        <v>129.18333333333342</v>
      </c>
      <c r="BR88" s="3156"/>
      <c r="BS88" s="1740"/>
      <c r="BT88" s="3145"/>
      <c r="BU88" s="2246"/>
      <c r="BV88" s="2246"/>
      <c r="BW88" s="2247"/>
    </row>
    <row r="89" spans="2:75" s="1726" customFormat="1" ht="4.5" customHeight="1" thickBot="1" x14ac:dyDescent="0.25">
      <c r="B89" s="1740"/>
      <c r="C89" s="1740"/>
      <c r="D89" s="1861"/>
      <c r="E89" s="1740"/>
      <c r="F89" s="1740"/>
      <c r="G89" s="1740"/>
      <c r="H89" s="1740"/>
      <c r="I89" s="1740"/>
      <c r="J89" s="1740"/>
      <c r="K89" s="1997"/>
      <c r="L89" s="1760"/>
      <c r="M89" s="3143"/>
      <c r="N89" s="1740"/>
      <c r="O89" s="1740"/>
      <c r="P89" s="1740"/>
      <c r="Q89" s="1740"/>
      <c r="R89" s="1740"/>
      <c r="S89" s="1740"/>
      <c r="T89" s="1740"/>
      <c r="U89" s="1861"/>
      <c r="V89" s="1740"/>
      <c r="W89" s="1740"/>
      <c r="X89" s="1740"/>
      <c r="Y89" s="1860"/>
      <c r="Z89" s="1740"/>
      <c r="AA89" s="1740"/>
      <c r="AB89" s="1740"/>
      <c r="AC89" s="1740"/>
      <c r="AD89" s="1740"/>
      <c r="AE89" s="1740"/>
      <c r="AF89" s="1740"/>
      <c r="AG89" s="1860"/>
      <c r="AH89" s="1740"/>
      <c r="AI89" s="1740"/>
      <c r="AJ89" s="1740"/>
      <c r="AK89" s="1860"/>
      <c r="AL89" s="1740"/>
      <c r="AM89" s="1740"/>
      <c r="AN89" s="1740"/>
      <c r="AO89" s="1740"/>
      <c r="AP89" s="1740"/>
      <c r="AQ89" s="1740"/>
      <c r="AR89" s="1740"/>
      <c r="AS89" s="1861"/>
      <c r="AT89" s="1740"/>
      <c r="AU89" s="1740"/>
      <c r="AV89" s="1740"/>
      <c r="AW89" s="1861"/>
      <c r="AX89" s="1740"/>
      <c r="AY89" s="1740"/>
      <c r="AZ89" s="1740"/>
      <c r="BA89" s="1740"/>
      <c r="BB89" s="1740"/>
      <c r="BC89" s="1740"/>
      <c r="BD89" s="1740"/>
      <c r="BE89" s="1861"/>
      <c r="BF89" s="1740"/>
      <c r="BG89" s="1740"/>
      <c r="BH89" s="1740"/>
      <c r="BI89" s="1740"/>
      <c r="BJ89" s="1740"/>
      <c r="BK89" s="1740"/>
      <c r="BL89" s="1740"/>
      <c r="BM89" s="1740"/>
      <c r="BN89" s="1740"/>
      <c r="BO89" s="1740"/>
      <c r="BQ89" s="1740"/>
      <c r="BR89" s="1740"/>
      <c r="BS89" s="1740"/>
      <c r="BT89" s="1740"/>
      <c r="BU89" s="1740"/>
      <c r="BV89" s="1861"/>
    </row>
    <row r="90" spans="2:75" s="1885" customFormat="1" ht="17.25" thickBot="1" x14ac:dyDescent="0.25">
      <c r="B90" s="2117"/>
      <c r="C90" s="2212"/>
      <c r="D90" s="2119"/>
      <c r="E90" s="2123">
        <f>SUM(E83:E87)</f>
        <v>23965.94</v>
      </c>
      <c r="F90" s="2121"/>
      <c r="G90" s="2121"/>
      <c r="H90" s="2121"/>
      <c r="I90" s="2121"/>
      <c r="J90" s="2121">
        <f>E90/24</f>
        <v>998.58083333333332</v>
      </c>
      <c r="K90" s="2129">
        <f>J90*20%</f>
        <v>199.71616666666668</v>
      </c>
      <c r="L90" s="2213"/>
      <c r="M90" s="2214"/>
      <c r="N90" s="2120">
        <f>SUM(N83:N88)</f>
        <v>-81.238999999999976</v>
      </c>
      <c r="O90" s="2123">
        <f t="shared" ref="O90:T90" si="732">SUM(O83:O88)</f>
        <v>-66.541999999999987</v>
      </c>
      <c r="P90" s="2123">
        <f t="shared" si="732"/>
        <v>0</v>
      </c>
      <c r="Q90" s="2123">
        <f t="shared" si="732"/>
        <v>-38.781999999999982</v>
      </c>
      <c r="R90" s="2123">
        <f t="shared" si="732"/>
        <v>-75.937999999999988</v>
      </c>
      <c r="S90" s="2123">
        <f t="shared" si="732"/>
        <v>-28.316499999999976</v>
      </c>
      <c r="T90" s="2124">
        <f t="shared" si="732"/>
        <v>-44.456999999999979</v>
      </c>
      <c r="U90" s="1951"/>
      <c r="V90" s="2120">
        <f>SUM(N90:T90)</f>
        <v>-335.27449999999988</v>
      </c>
      <c r="W90" s="2123"/>
      <c r="X90" s="2124"/>
      <c r="Y90" s="1956"/>
      <c r="Z90" s="2120">
        <f t="shared" ref="Z90:AF90" si="733">SUM(Z83:Z88)</f>
        <v>-41.298999999999978</v>
      </c>
      <c r="AA90" s="2123">
        <f t="shared" si="733"/>
        <v>-15.85349999999997</v>
      </c>
      <c r="AB90" s="2123">
        <f t="shared" si="733"/>
        <v>0</v>
      </c>
      <c r="AC90" s="2123">
        <f t="shared" si="733"/>
        <v>0</v>
      </c>
      <c r="AD90" s="2123">
        <f t="shared" si="733"/>
        <v>-2.2768333333333057</v>
      </c>
      <c r="AE90" s="2123">
        <f t="shared" si="733"/>
        <v>-50.130499999999984</v>
      </c>
      <c r="AF90" s="2124">
        <f t="shared" si="733"/>
        <v>-46.678499999999985</v>
      </c>
      <c r="AG90" s="1956"/>
      <c r="AH90" s="2120">
        <f>SUM(Z90:AF90)</f>
        <v>-156.23833333333323</v>
      </c>
      <c r="AI90" s="2123"/>
      <c r="AJ90" s="2124"/>
      <c r="AK90" s="1955"/>
      <c r="AL90" s="2120">
        <f t="shared" ref="AL90:AR90" si="734">SUM(AL83:AL88)</f>
        <v>-6.3018333333333114</v>
      </c>
      <c r="AM90" s="2121">
        <f t="shared" si="734"/>
        <v>15.338666666666692</v>
      </c>
      <c r="AN90" s="2121">
        <f t="shared" si="734"/>
        <v>0</v>
      </c>
      <c r="AO90" s="2121">
        <f t="shared" si="734"/>
        <v>0</v>
      </c>
      <c r="AP90" s="2121">
        <f t="shared" si="734"/>
        <v>-11.419333333333318</v>
      </c>
      <c r="AQ90" s="2121">
        <f t="shared" si="734"/>
        <v>25.690166666666677</v>
      </c>
      <c r="AR90" s="2124">
        <f t="shared" si="734"/>
        <v>15.017666666666694</v>
      </c>
      <c r="AS90" s="2254"/>
      <c r="AT90" s="2120">
        <f>SUM(AL90:AR90)</f>
        <v>38.325333333333433</v>
      </c>
      <c r="AU90" s="2123"/>
      <c r="AV90" s="2124"/>
      <c r="AW90" s="1951"/>
      <c r="AX90" s="2120">
        <f t="shared" ref="AX90:BD90" si="735">SUM(AX83:AX88)</f>
        <v>36.188666666666684</v>
      </c>
      <c r="AY90" s="2121">
        <f t="shared" si="735"/>
        <v>36.948166666666687</v>
      </c>
      <c r="AZ90" s="2121">
        <f t="shared" si="735"/>
        <v>0</v>
      </c>
      <c r="BA90" s="2121">
        <f t="shared" si="735"/>
        <v>-81.488499999999988</v>
      </c>
      <c r="BB90" s="2121">
        <f t="shared" si="735"/>
        <v>-71.365999999999985</v>
      </c>
      <c r="BC90" s="2121">
        <f t="shared" si="735"/>
        <v>-68.528999999999982</v>
      </c>
      <c r="BD90" s="2124">
        <f t="shared" si="735"/>
        <v>-73.84999999999998</v>
      </c>
      <c r="BE90" s="1951"/>
      <c r="BF90" s="2120">
        <f>SUM(AX90:BD90)</f>
        <v>-222.09666666666658</v>
      </c>
      <c r="BG90" s="2123"/>
      <c r="BH90" s="2124"/>
      <c r="BI90" s="1900"/>
      <c r="BJ90" s="2120">
        <f t="shared" ref="BJ90:BK90" si="736">SUM(BJ83:BJ88)</f>
        <v>-69.789499999999975</v>
      </c>
      <c r="BK90" s="2124">
        <f t="shared" si="736"/>
        <v>-40.819999999999979</v>
      </c>
      <c r="BL90" s="2317"/>
      <c r="BM90" s="2215">
        <f>SUM(BJ90:BK90)</f>
        <v>-110.60949999999995</v>
      </c>
      <c r="BN90" s="2318"/>
      <c r="BO90" s="2118"/>
      <c r="BP90" s="1897"/>
      <c r="BQ90" s="2215">
        <f>SUM(N90:T90)+SUM(Z90:AF90)+SUM(AL90:AR90)+SUM(AX90:BD90)+SUM(BK90:BK90)</f>
        <v>-716.10416666666617</v>
      </c>
      <c r="BR90" s="2130"/>
      <c r="BS90" s="1900"/>
      <c r="BT90" s="1900"/>
      <c r="BU90" s="1900"/>
      <c r="BV90" s="2011"/>
    </row>
    <row r="91" spans="2:75" s="1726" customFormat="1" ht="4.5" customHeight="1" thickBot="1" x14ac:dyDescent="0.25">
      <c r="B91" s="1740"/>
      <c r="C91" s="1740"/>
      <c r="D91" s="1861"/>
      <c r="E91" s="1740"/>
      <c r="F91" s="1740"/>
      <c r="G91" s="1740"/>
      <c r="H91" s="1740"/>
      <c r="I91" s="1740"/>
      <c r="J91" s="1740"/>
      <c r="K91" s="1861"/>
      <c r="L91" s="1827"/>
      <c r="M91" s="1810"/>
      <c r="N91" s="1740"/>
      <c r="O91" s="1740"/>
      <c r="P91" s="1740"/>
      <c r="Q91" s="1740"/>
      <c r="R91" s="1740"/>
      <c r="S91" s="1740"/>
      <c r="T91" s="1740"/>
      <c r="U91" s="1861"/>
      <c r="V91" s="1740"/>
      <c r="W91" s="1740"/>
      <c r="X91" s="1740"/>
      <c r="Y91" s="1860"/>
      <c r="AG91" s="1860"/>
      <c r="AH91" s="1740"/>
      <c r="AI91" s="1740"/>
      <c r="AJ91" s="1740"/>
      <c r="AK91" s="1860"/>
      <c r="AL91" s="1740"/>
      <c r="AM91" s="1740"/>
      <c r="AN91" s="1740"/>
      <c r="AO91" s="1740"/>
      <c r="AP91" s="1740"/>
      <c r="AQ91" s="1740"/>
      <c r="AR91" s="1740"/>
      <c r="AS91" s="1861"/>
      <c r="AT91" s="1740"/>
      <c r="AU91" s="1740"/>
      <c r="AV91" s="1740"/>
      <c r="AW91" s="1861"/>
      <c r="AX91" s="1740"/>
      <c r="AY91" s="1740"/>
      <c r="AZ91" s="1740"/>
      <c r="BA91" s="1740"/>
      <c r="BB91" s="1740"/>
      <c r="BC91" s="1740"/>
      <c r="BD91" s="1740"/>
      <c r="BE91" s="1861"/>
      <c r="BF91" s="1740"/>
      <c r="BG91" s="1740"/>
      <c r="BH91" s="1740"/>
      <c r="BI91" s="1740"/>
      <c r="BJ91" s="1740"/>
      <c r="BK91" s="1740"/>
      <c r="BL91" s="1740"/>
      <c r="BM91" s="1740"/>
      <c r="BN91" s="1740"/>
      <c r="BO91" s="1740"/>
      <c r="BQ91" s="1740"/>
      <c r="BR91" s="1740"/>
      <c r="BS91" s="1740"/>
      <c r="BT91" s="1740"/>
      <c r="BU91" s="1740"/>
      <c r="BV91" s="1861"/>
    </row>
    <row r="92" spans="2:75" s="1726" customFormat="1" ht="17.25" thickBot="1" x14ac:dyDescent="0.25">
      <c r="B92" s="2049"/>
      <c r="C92" s="2050"/>
      <c r="D92" s="2051"/>
      <c r="E92" s="2052">
        <f>E90*20%</f>
        <v>4793.1880000000001</v>
      </c>
      <c r="F92" s="2053"/>
      <c r="G92" s="2053"/>
      <c r="H92" s="2053"/>
      <c r="I92" s="2053"/>
      <c r="J92" s="2053"/>
      <c r="K92" s="2253"/>
      <c r="L92" s="2216"/>
      <c r="M92" s="2055"/>
      <c r="N92" s="2056">
        <f>N90*100/20</f>
        <v>-406.19499999999988</v>
      </c>
      <c r="O92" s="2052">
        <f>O90*100/20</f>
        <v>-332.70999999999992</v>
      </c>
      <c r="P92" s="2052">
        <f t="shared" ref="P92:T92" si="737">P90*100/20</f>
        <v>0</v>
      </c>
      <c r="Q92" s="2052">
        <f t="shared" si="737"/>
        <v>-193.90999999999991</v>
      </c>
      <c r="R92" s="2052">
        <f t="shared" si="737"/>
        <v>-379.68999999999994</v>
      </c>
      <c r="S92" s="2052">
        <f t="shared" si="737"/>
        <v>-141.5824999999999</v>
      </c>
      <c r="T92" s="2192">
        <f t="shared" si="737"/>
        <v>-222.28499999999991</v>
      </c>
      <c r="U92" s="2300"/>
      <c r="V92" s="2056">
        <f>SUM(N92:T92)</f>
        <v>-1676.3724999999995</v>
      </c>
      <c r="W92" s="2052"/>
      <c r="X92" s="2057"/>
      <c r="Y92" s="1766"/>
      <c r="Z92" s="2673">
        <f t="shared" ref="Z92:AF92" si="738">Z90*100/20</f>
        <v>-206.49499999999989</v>
      </c>
      <c r="AA92" s="2674">
        <f t="shared" si="738"/>
        <v>-79.267499999999842</v>
      </c>
      <c r="AB92" s="2674">
        <f t="shared" si="738"/>
        <v>0</v>
      </c>
      <c r="AC92" s="2052">
        <f t="shared" si="738"/>
        <v>0</v>
      </c>
      <c r="AD92" s="2674">
        <f t="shared" si="738"/>
        <v>-11.384166666666529</v>
      </c>
      <c r="AE92" s="2674">
        <f t="shared" si="738"/>
        <v>-250.65249999999992</v>
      </c>
      <c r="AF92" s="2675">
        <f t="shared" si="738"/>
        <v>-233.39249999999993</v>
      </c>
      <c r="AG92" s="1766"/>
      <c r="AH92" s="2056">
        <f>SUM(Z92:AF92)</f>
        <v>-781.19166666666615</v>
      </c>
      <c r="AI92" s="2052"/>
      <c r="AJ92" s="2057"/>
      <c r="AK92" s="1764"/>
      <c r="AL92" s="2056">
        <f>AL90*100/20</f>
        <v>-31.509166666666555</v>
      </c>
      <c r="AM92" s="2053">
        <f>AM90*100/20</f>
        <v>76.693333333333456</v>
      </c>
      <c r="AN92" s="2053">
        <f t="shared" ref="AN92:AO92" si="739">AN90*100/30</f>
        <v>0</v>
      </c>
      <c r="AO92" s="2053">
        <f t="shared" si="739"/>
        <v>0</v>
      </c>
      <c r="AP92" s="2053">
        <f t="shared" ref="AP92:AR92" si="740">AP90*100/20</f>
        <v>-57.096666666666593</v>
      </c>
      <c r="AQ92" s="2053">
        <f t="shared" si="740"/>
        <v>128.45083333333338</v>
      </c>
      <c r="AR92" s="2057">
        <f t="shared" si="740"/>
        <v>75.088333333333466</v>
      </c>
      <c r="AS92" s="2300"/>
      <c r="AT92" s="2056">
        <f>SUM(AL92:AR92)</f>
        <v>191.62666666666715</v>
      </c>
      <c r="AU92" s="2052"/>
      <c r="AV92" s="2057"/>
      <c r="AW92" s="1814"/>
      <c r="AX92" s="2056">
        <f t="shared" ref="AX92:BD92" si="741">AX90*100/30</f>
        <v>120.62888888888895</v>
      </c>
      <c r="AY92" s="2053">
        <f t="shared" si="741"/>
        <v>123.16055555555563</v>
      </c>
      <c r="AZ92" s="2053">
        <f t="shared" si="741"/>
        <v>0</v>
      </c>
      <c r="BA92" s="2053">
        <f t="shared" si="741"/>
        <v>-271.62833333333327</v>
      </c>
      <c r="BB92" s="2053">
        <f t="shared" si="741"/>
        <v>-237.88666666666663</v>
      </c>
      <c r="BC92" s="2053">
        <f t="shared" si="741"/>
        <v>-228.42999999999992</v>
      </c>
      <c r="BD92" s="2057">
        <f t="shared" si="741"/>
        <v>-246.1666666666666</v>
      </c>
      <c r="BE92" s="1814"/>
      <c r="BF92" s="2056">
        <f>SUM(AX92:BD92)</f>
        <v>-740.32222222222185</v>
      </c>
      <c r="BG92" s="2052"/>
      <c r="BH92" s="2057"/>
      <c r="BI92" s="1740"/>
      <c r="BJ92" s="2056">
        <f t="shared" ref="BJ92:BK92" si="742">BJ90*100/30</f>
        <v>-232.63166666666658</v>
      </c>
      <c r="BK92" s="2057">
        <f t="shared" si="742"/>
        <v>-136.06666666666658</v>
      </c>
      <c r="BL92" s="2301"/>
      <c r="BM92" s="2058">
        <f>SUM(BJ92:BK92)</f>
        <v>-368.69833333333315</v>
      </c>
      <c r="BN92" s="2324"/>
      <c r="BO92" s="2190"/>
      <c r="BP92" s="1862"/>
      <c r="BQ92" s="2058">
        <f>SUM(N92:T92)+SUM(Z92:AF92)+SUM(AL92:AR92)+SUM(AX92:BD92)+SUM(BK92:BK92)</f>
        <v>-3142.3263888888869</v>
      </c>
      <c r="BR92" s="2676">
        <f>BQ92/BZ21</f>
        <v>-130.93026620370361</v>
      </c>
      <c r="BS92" s="1740"/>
      <c r="BT92" s="1740"/>
      <c r="BU92" s="1740"/>
      <c r="BV92" s="1861"/>
    </row>
    <row r="94" spans="2:75" ht="20.25" x14ac:dyDescent="0.2">
      <c r="C94" s="2449"/>
      <c r="D94" s="2450"/>
      <c r="E94" s="2449"/>
      <c r="F94" s="2449"/>
      <c r="G94" s="2449"/>
      <c r="H94" s="2449"/>
      <c r="I94" s="2449"/>
      <c r="J94" s="2449"/>
      <c r="K94" s="2983">
        <f>K95/24</f>
        <v>316.66666666666669</v>
      </c>
    </row>
    <row r="95" spans="2:75" ht="18" x14ac:dyDescent="0.2">
      <c r="C95" s="2449">
        <f>E95*20%</f>
        <v>9000</v>
      </c>
      <c r="D95" s="2450"/>
      <c r="E95" s="2449">
        <v>45000</v>
      </c>
      <c r="F95" s="2449"/>
      <c r="G95" s="2449"/>
      <c r="H95" s="2449"/>
      <c r="I95" s="2449"/>
      <c r="J95" s="2449">
        <v>38000</v>
      </c>
      <c r="K95" s="2449">
        <f>J95*20%</f>
        <v>7600</v>
      </c>
      <c r="P95" s="2255"/>
      <c r="Q95" s="2256"/>
      <c r="R95" s="2256"/>
      <c r="S95" s="2257"/>
      <c r="T95" s="2257"/>
      <c r="U95" s="1915"/>
    </row>
    <row r="96" spans="2:75" ht="18" x14ac:dyDescent="0.2">
      <c r="C96" s="3179">
        <f>C95-E43</f>
        <v>6557.3119999999999</v>
      </c>
      <c r="D96" s="3147"/>
      <c r="E96" s="2771"/>
      <c r="F96" s="2771"/>
      <c r="G96" s="2771"/>
      <c r="H96" s="2771"/>
      <c r="I96" s="2771"/>
      <c r="J96" s="2449">
        <f>J95/24</f>
        <v>1583.3333333333333</v>
      </c>
      <c r="K96" s="2449">
        <f>K95-E43</f>
        <v>5157.3119999999999</v>
      </c>
      <c r="AM96" s="2257"/>
    </row>
    <row r="97" spans="3:11" ht="18" x14ac:dyDescent="0.2">
      <c r="C97" s="2771">
        <f>C96/2</f>
        <v>3278.6559999999999</v>
      </c>
      <c r="D97" s="3147"/>
      <c r="E97" s="2771"/>
      <c r="F97" s="2771"/>
      <c r="G97" s="2771"/>
      <c r="H97" s="2771"/>
      <c r="I97" s="2771"/>
      <c r="J97" s="2450"/>
      <c r="K97" s="2771">
        <f>K96/2</f>
        <v>2578.6559999999999</v>
      </c>
    </row>
    <row r="98" spans="3:11" ht="18" x14ac:dyDescent="0.2">
      <c r="K98" s="2449"/>
    </row>
  </sheetData>
  <mergeCells count="89">
    <mergeCell ref="BN83:BN84"/>
    <mergeCell ref="BO83:BO84"/>
    <mergeCell ref="BQ83:BQ84"/>
    <mergeCell ref="BR83:BR84"/>
    <mergeCell ref="BG83:BG84"/>
    <mergeCell ref="BH83:BH84"/>
    <mergeCell ref="BJ83:BJ84"/>
    <mergeCell ref="BK83:BK84"/>
    <mergeCell ref="BM83:BM84"/>
    <mergeCell ref="BF83:BF84"/>
    <mergeCell ref="AR83:AR84"/>
    <mergeCell ref="AT83:AT84"/>
    <mergeCell ref="AU83:AU84"/>
    <mergeCell ref="AV83:AV84"/>
    <mergeCell ref="AX83:AX84"/>
    <mergeCell ref="AY83:AY84"/>
    <mergeCell ref="AZ83:AZ84"/>
    <mergeCell ref="BA83:BA84"/>
    <mergeCell ref="BB83:BB84"/>
    <mergeCell ref="BC83:BC84"/>
    <mergeCell ref="BD83:BD84"/>
    <mergeCell ref="AQ83:AQ84"/>
    <mergeCell ref="AD83:AD84"/>
    <mergeCell ref="AE83:AE84"/>
    <mergeCell ref="AF83:AF84"/>
    <mergeCell ref="AH83:AH84"/>
    <mergeCell ref="AI83:AI84"/>
    <mergeCell ref="AJ83:AJ84"/>
    <mergeCell ref="AL83:AL84"/>
    <mergeCell ref="AM83:AM84"/>
    <mergeCell ref="AN83:AN84"/>
    <mergeCell ref="AO83:AO84"/>
    <mergeCell ref="AP83:AP84"/>
    <mergeCell ref="W83:W84"/>
    <mergeCell ref="X83:X84"/>
    <mergeCell ref="Z83:Z84"/>
    <mergeCell ref="AA83:AA84"/>
    <mergeCell ref="AB83:AB84"/>
    <mergeCell ref="BY49:BY58"/>
    <mergeCell ref="BW62:BW71"/>
    <mergeCell ref="B83:B84"/>
    <mergeCell ref="C83:C84"/>
    <mergeCell ref="E83:E84"/>
    <mergeCell ref="J83:J84"/>
    <mergeCell ref="K83:K84"/>
    <mergeCell ref="N83:N84"/>
    <mergeCell ref="O83:O84"/>
    <mergeCell ref="AC83:AC84"/>
    <mergeCell ref="P83:P84"/>
    <mergeCell ref="Q83:Q84"/>
    <mergeCell ref="R83:R84"/>
    <mergeCell ref="S83:S84"/>
    <mergeCell ref="T83:T84"/>
    <mergeCell ref="V83:V84"/>
    <mergeCell ref="AT17:AV17"/>
    <mergeCell ref="BF17:BH17"/>
    <mergeCell ref="BM17:BO17"/>
    <mergeCell ref="BW49:BW58"/>
    <mergeCell ref="BT48:BU48"/>
    <mergeCell ref="CH1:CH2"/>
    <mergeCell ref="CI1:CI2"/>
    <mergeCell ref="C3:C8"/>
    <mergeCell ref="J4:K4"/>
    <mergeCell ref="K10:K11"/>
    <mergeCell ref="BY10:BZ11"/>
    <mergeCell ref="BR1:BR14"/>
    <mergeCell ref="BT1:BW2"/>
    <mergeCell ref="CC1:CC2"/>
    <mergeCell ref="CD1:CD2"/>
    <mergeCell ref="CE1:CE2"/>
    <mergeCell ref="CG1:CG2"/>
    <mergeCell ref="BZ13:BZ14"/>
    <mergeCell ref="CA13:CA14"/>
    <mergeCell ref="V17:X17"/>
    <mergeCell ref="BQ1:BQ14"/>
    <mergeCell ref="C1:K2"/>
    <mergeCell ref="N1:T2"/>
    <mergeCell ref="V1:X2"/>
    <mergeCell ref="Z1:AF2"/>
    <mergeCell ref="AH1:AJ2"/>
    <mergeCell ref="AL1:AR2"/>
    <mergeCell ref="AT1:AV2"/>
    <mergeCell ref="AX1:BD2"/>
    <mergeCell ref="BF1:BH2"/>
    <mergeCell ref="BJ1:BK2"/>
    <mergeCell ref="BM1:BO2"/>
    <mergeCell ref="E3:K3"/>
    <mergeCell ref="E8:K8"/>
    <mergeCell ref="AH17:AJ17"/>
  </mergeCells>
  <conditionalFormatting sqref="BR86">
    <cfRule type="cellIs" dxfId="231" priority="75" operator="greaterThan">
      <formula>0</formula>
    </cfRule>
    <cfRule type="cellIs" dxfId="230" priority="76" operator="lessThan">
      <formula>0</formula>
    </cfRule>
  </conditionalFormatting>
  <conditionalFormatting sqref="AL5:AR5">
    <cfRule type="cellIs" dxfId="229" priority="72" operator="lessThan">
      <formula>$J$83</formula>
    </cfRule>
    <cfRule type="cellIs" dxfId="228" priority="73" operator="between">
      <formula>$J$83</formula>
      <formula>$J$90</formula>
    </cfRule>
    <cfRule type="cellIs" dxfId="227" priority="74" operator="greaterThan">
      <formula>$J$96</formula>
    </cfRule>
  </conditionalFormatting>
  <conditionalFormatting sqref="AL6:AR6">
    <cfRule type="cellIs" dxfId="226" priority="77" operator="lessThan">
      <formula>$K$83</formula>
    </cfRule>
    <cfRule type="cellIs" dxfId="225" priority="78" operator="between">
      <formula>$K$83</formula>
      <formula>$K$90</formula>
    </cfRule>
    <cfRule type="cellIs" dxfId="224" priority="79" operator="greaterThan">
      <formula>$K$94</formula>
    </cfRule>
    <cfRule type="cellIs" dxfId="223" priority="80" operator="greaterThan">
      <formula>$J$96</formula>
    </cfRule>
  </conditionalFormatting>
  <conditionalFormatting sqref="AX5:BD5">
    <cfRule type="cellIs" dxfId="222" priority="65" operator="lessThan">
      <formula>$J$83</formula>
    </cfRule>
    <cfRule type="cellIs" dxfId="221" priority="66" operator="between">
      <formula>$J$83</formula>
      <formula>$J$90</formula>
    </cfRule>
    <cfRule type="cellIs" dxfId="220" priority="67" operator="greaterThan">
      <formula>$J$96</formula>
    </cfRule>
  </conditionalFormatting>
  <conditionalFormatting sqref="AX6:BD6">
    <cfRule type="cellIs" dxfId="219" priority="68" operator="lessThan">
      <formula>$K$83</formula>
    </cfRule>
    <cfRule type="cellIs" dxfId="218" priority="69" operator="between">
      <formula>$K$83</formula>
      <formula>$K$90</formula>
    </cfRule>
    <cfRule type="cellIs" dxfId="217" priority="70" operator="greaterThan">
      <formula>$K$94</formula>
    </cfRule>
    <cfRule type="cellIs" dxfId="216" priority="71" operator="greaterThan">
      <formula>$J$96</formula>
    </cfRule>
  </conditionalFormatting>
  <conditionalFormatting sqref="BJ5:BK5 N5:T5">
    <cfRule type="cellIs" dxfId="215" priority="62" operator="between">
      <formula>$J$17</formula>
      <formula>$J$96</formula>
    </cfRule>
    <cfRule type="cellIs" dxfId="214" priority="63" operator="lessThan">
      <formula>$J$17</formula>
    </cfRule>
    <cfRule type="cellIs" dxfId="213" priority="64" operator="greaterThan">
      <formula>$J$96</formula>
    </cfRule>
  </conditionalFormatting>
  <conditionalFormatting sqref="N5:T5">
    <cfRule type="cellIs" dxfId="212" priority="59" operator="between">
      <formula>$J$17</formula>
      <formula>$J$96</formula>
    </cfRule>
    <cfRule type="cellIs" dxfId="211" priority="60" operator="lessThan">
      <formula>$J$17</formula>
    </cfRule>
    <cfRule type="cellIs" dxfId="210" priority="61" operator="greaterThan">
      <formula>$J$96</formula>
    </cfRule>
  </conditionalFormatting>
  <conditionalFormatting sqref="BJ6:BK6 N6:T6">
    <cfRule type="cellIs" dxfId="209" priority="56" operator="between">
      <formula>$J$43</formula>
      <formula>$K$94</formula>
    </cfRule>
    <cfRule type="cellIs" dxfId="208" priority="57" operator="lessThan">
      <formula>$J$43</formula>
    </cfRule>
    <cfRule type="cellIs" dxfId="207" priority="58" operator="greaterThan">
      <formula>$K$94</formula>
    </cfRule>
  </conditionalFormatting>
  <conditionalFormatting sqref="Z5:AF5">
    <cfRule type="cellIs" dxfId="206" priority="53" operator="between">
      <formula>$J$17</formula>
      <formula>$J$96</formula>
    </cfRule>
    <cfRule type="cellIs" dxfId="205" priority="54" operator="lessThan">
      <formula>$J$17</formula>
    </cfRule>
    <cfRule type="cellIs" dxfId="204" priority="55" operator="greaterThan">
      <formula>$J$96</formula>
    </cfRule>
  </conditionalFormatting>
  <conditionalFormatting sqref="Z6:AF6">
    <cfRule type="cellIs" dxfId="203" priority="49" operator="between">
      <formula>$J$43</formula>
      <formula>$K$94</formula>
    </cfRule>
    <cfRule type="cellIs" dxfId="202" priority="50" operator="lessThan">
      <formula>$J$43</formula>
    </cfRule>
    <cfRule type="cellIs" dxfId="201" priority="51" operator="greaterThan">
      <formula>$K$94</formula>
    </cfRule>
    <cfRule type="cellIs" dxfId="200" priority="52" operator="greaterThan">
      <formula>$K$94</formula>
    </cfRule>
  </conditionalFormatting>
  <conditionalFormatting sqref="AL5:AR5">
    <cfRule type="cellIs" dxfId="199" priority="46" operator="between">
      <formula>$J$17</formula>
      <formula>$J$96</formula>
    </cfRule>
    <cfRule type="cellIs" dxfId="198" priority="47" operator="lessThan">
      <formula>$J$17</formula>
    </cfRule>
    <cfRule type="cellIs" dxfId="197" priority="48" operator="greaterThan">
      <formula>$J$96</formula>
    </cfRule>
  </conditionalFormatting>
  <conditionalFormatting sqref="AL6:AR6">
    <cfRule type="cellIs" dxfId="196" priority="43" operator="between">
      <formula>$J$43</formula>
      <formula>$K$94</formula>
    </cfRule>
    <cfRule type="cellIs" dxfId="195" priority="44" operator="lessThan">
      <formula>$J$43</formula>
    </cfRule>
    <cfRule type="cellIs" dxfId="194" priority="45" operator="greaterThan">
      <formula>$K$94</formula>
    </cfRule>
  </conditionalFormatting>
  <conditionalFormatting sqref="AX5:BD5">
    <cfRule type="cellIs" dxfId="193" priority="38" operator="between">
      <formula>$J$96</formula>
      <formula>635</formula>
    </cfRule>
    <cfRule type="cellIs" dxfId="192" priority="39" operator="lessThan">
      <formula>$J$17</formula>
    </cfRule>
    <cfRule type="cellIs" dxfId="191" priority="40" operator="greaterThan">
      <formula>$J$96</formula>
    </cfRule>
    <cfRule type="cellIs" dxfId="190" priority="41" operator="lessThan">
      <formula>$J$17</formula>
    </cfRule>
    <cfRule type="cellIs" dxfId="189" priority="42" operator="greaterThan">
      <formula>$J$96</formula>
    </cfRule>
  </conditionalFormatting>
  <conditionalFormatting sqref="AX6:BD6">
    <cfRule type="cellIs" dxfId="188" priority="35" operator="between">
      <formula>$J$43</formula>
      <formula>$K$94</formula>
    </cfRule>
    <cfRule type="cellIs" dxfId="187" priority="36" operator="lessThan">
      <formula>$J$43</formula>
    </cfRule>
    <cfRule type="cellIs" dxfId="186" priority="37" operator="greaterThan">
      <formula>$K$94</formula>
    </cfRule>
  </conditionalFormatting>
  <conditionalFormatting sqref="AX5:AY5">
    <cfRule type="cellIs" dxfId="185" priority="26" operator="lessThan">
      <formula>$J$83</formula>
    </cfRule>
    <cfRule type="cellIs" dxfId="184" priority="27" operator="between">
      <formula>$J$83</formula>
      <formula>$J$90</formula>
    </cfRule>
    <cfRule type="cellIs" dxfId="183" priority="28" operator="greaterThan">
      <formula>$J$96</formula>
    </cfRule>
  </conditionalFormatting>
  <conditionalFormatting sqref="AX6:AY6">
    <cfRule type="cellIs" dxfId="182" priority="22" operator="lessThan">
      <formula>$K$83</formula>
    </cfRule>
    <cfRule type="cellIs" dxfId="181" priority="23" operator="between">
      <formula>$K$83</formula>
      <formula>$K$90</formula>
    </cfRule>
    <cfRule type="cellIs" dxfId="180" priority="24" operator="greaterThan">
      <formula>$K$94</formula>
    </cfRule>
    <cfRule type="cellIs" dxfId="179" priority="25" operator="greaterThan">
      <formula>$J$96</formula>
    </cfRule>
  </conditionalFormatting>
  <conditionalFormatting sqref="AX5:AY5">
    <cfRule type="cellIs" dxfId="178" priority="19" operator="between">
      <formula>$J$17</formula>
      <formula>$J$96</formula>
    </cfRule>
    <cfRule type="cellIs" dxfId="177" priority="20" operator="lessThan">
      <formula>$J$17</formula>
    </cfRule>
    <cfRule type="cellIs" dxfId="176" priority="21" operator="greaterThan">
      <formula>$J$96</formula>
    </cfRule>
  </conditionalFormatting>
  <conditionalFormatting sqref="AX6:AY6">
    <cfRule type="cellIs" dxfId="175" priority="16" operator="between">
      <formula>$J$43</formula>
      <formula>$K$94</formula>
    </cfRule>
    <cfRule type="cellIs" dxfId="174" priority="17" operator="lessThan">
      <formula>$J$43</formula>
    </cfRule>
    <cfRule type="cellIs" dxfId="173" priority="18" operator="greaterThan">
      <formula>$K$94</formula>
    </cfRule>
  </conditionalFormatting>
  <conditionalFormatting sqref="BA5:BD5">
    <cfRule type="cellIs" dxfId="172" priority="13" operator="lessThan">
      <formula>$J$83</formula>
    </cfRule>
    <cfRule type="cellIs" dxfId="171" priority="14" operator="between">
      <formula>$J$83</formula>
      <formula>$J$90</formula>
    </cfRule>
    <cfRule type="cellIs" dxfId="170" priority="15" operator="greaterThan">
      <formula>$J$96</formula>
    </cfRule>
  </conditionalFormatting>
  <conditionalFormatting sqref="BA6:BD6">
    <cfRule type="cellIs" dxfId="169" priority="9" operator="lessThan">
      <formula>$K$83</formula>
    </cfRule>
    <cfRule type="cellIs" dxfId="168" priority="10" operator="between">
      <formula>$K$83</formula>
      <formula>$K$90</formula>
    </cfRule>
    <cfRule type="cellIs" dxfId="167" priority="11" operator="greaterThan">
      <formula>$K$94</formula>
    </cfRule>
    <cfRule type="cellIs" dxfId="166" priority="12" operator="greaterThan">
      <formula>$J$96</formula>
    </cfRule>
  </conditionalFormatting>
  <conditionalFormatting sqref="BA5:BD5">
    <cfRule type="cellIs" dxfId="165" priority="6" operator="between">
      <formula>$J$17</formula>
      <formula>$J$96</formula>
    </cfRule>
    <cfRule type="cellIs" dxfId="164" priority="7" operator="lessThan">
      <formula>$J$17</formula>
    </cfRule>
    <cfRule type="cellIs" dxfId="163" priority="8" operator="greaterThan">
      <formula>$J$96</formula>
    </cfRule>
  </conditionalFormatting>
  <conditionalFormatting sqref="BA6:BD6">
    <cfRule type="cellIs" dxfId="162" priority="3" operator="between">
      <formula>$J$43</formula>
      <formula>$K$94</formula>
    </cfRule>
    <cfRule type="cellIs" dxfId="161" priority="4" operator="lessThan">
      <formula>$J$43</formula>
    </cfRule>
    <cfRule type="cellIs" dxfId="160" priority="5" operator="greaterThan">
      <formula>$K$94</formula>
    </cfRule>
  </conditionalFormatting>
  <conditionalFormatting sqref="BW7">
    <cfRule type="cellIs" dxfId="159" priority="1" operator="lessThan">
      <formula>-10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00000000-0003-0000-1B00-00000A01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4-2020'!BJ47:BJ47</xm:f>
              <xm:sqref>BJ48</xm:sqref>
            </x14:sparkline>
          </x14:sparklines>
        </x14:sparklineGroup>
        <x14:sparklineGroup type="stacked" displayEmptyCellsAs="gap" negative="1" xr2:uid="{00000000-0003-0000-1B00-000009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4-2020'!BJ76:BJ76</xm:f>
              <xm:sqref>BJ77</xm:sqref>
            </x14:sparkline>
          </x14:sparklines>
        </x14:sparklineGroup>
        <x14:sparklineGroup type="stacked" displayEmptyCellsAs="gap" negative="1" xr2:uid="{00000000-0003-0000-1B00-000008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4-2020'!BJ81:BJ81</xm:f>
              <xm:sqref>BJ82</xm:sqref>
            </x14:sparkline>
          </x14:sparklines>
        </x14:sparklineGroup>
        <x14:sparklineGroup type="stacked" displayEmptyCellsAs="gap" negative="1" xr2:uid="{00000000-0003-0000-1B00-000007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4-2020'!N81:N81</xm:f>
              <xm:sqref>N82</xm:sqref>
            </x14:sparkline>
            <x14:sparkline>
              <xm:f>'RAWABI INCOME 4-2020'!O81:O81</xm:f>
              <xm:sqref>O82</xm:sqref>
            </x14:sparkline>
            <x14:sparkline>
              <xm:f>'RAWABI INCOME 4-2020'!P81:P81</xm:f>
              <xm:sqref>P82</xm:sqref>
            </x14:sparkline>
            <x14:sparkline>
              <xm:f>'RAWABI INCOME 4-2020'!Q81:Q81</xm:f>
              <xm:sqref>Q82</xm:sqref>
            </x14:sparkline>
            <x14:sparkline>
              <xm:f>'RAWABI INCOME 4-2020'!R81:R81</xm:f>
              <xm:sqref>R82</xm:sqref>
            </x14:sparkline>
            <x14:sparkline>
              <xm:f>'RAWABI INCOME 4-2020'!S81:S81</xm:f>
              <xm:sqref>S82</xm:sqref>
            </x14:sparkline>
            <x14:sparkline>
              <xm:f>'RAWABI INCOME 4-2020'!T81:T81</xm:f>
              <xm:sqref>T82</xm:sqref>
            </x14:sparkline>
            <x14:sparkline>
              <xm:f>'RAWABI INCOME 4-2020'!V81:V81</xm:f>
              <xm:sqref>V82</xm:sqref>
            </x14:sparkline>
            <x14:sparkline>
              <xm:f>'RAWABI INCOME 4-2020'!W81:W81</xm:f>
              <xm:sqref>W82</xm:sqref>
            </x14:sparkline>
            <x14:sparkline>
              <xm:f>'RAWABI INCOME 4-2020'!X81:X81</xm:f>
              <xm:sqref>X82</xm:sqref>
            </x14:sparkline>
            <x14:sparkline>
              <xm:f>'RAWABI INCOME 4-2020'!Y81:Y81</xm:f>
              <xm:sqref>Y82</xm:sqref>
            </x14:sparkline>
            <x14:sparkline>
              <xm:f>'RAWABI INCOME 4-2020'!Z81:Z81</xm:f>
              <xm:sqref>Z82</xm:sqref>
            </x14:sparkline>
            <x14:sparkline>
              <xm:f>'RAWABI INCOME 4-2020'!AA81:AA81</xm:f>
              <xm:sqref>AA82</xm:sqref>
            </x14:sparkline>
            <x14:sparkline>
              <xm:f>'RAWABI INCOME 4-2020'!AB81:AB81</xm:f>
              <xm:sqref>AB82</xm:sqref>
            </x14:sparkline>
            <x14:sparkline>
              <xm:f>'RAWABI INCOME 4-2020'!AC81:AC81</xm:f>
              <xm:sqref>AC82</xm:sqref>
            </x14:sparkline>
            <x14:sparkline>
              <xm:f>'RAWABI INCOME 4-2020'!AD81:AD81</xm:f>
              <xm:sqref>AD82</xm:sqref>
            </x14:sparkline>
            <x14:sparkline>
              <xm:f>'RAWABI INCOME 4-2020'!AE81:AE81</xm:f>
              <xm:sqref>AE82</xm:sqref>
            </x14:sparkline>
            <x14:sparkline>
              <xm:f>'RAWABI INCOME 4-2020'!AF81:AF81</xm:f>
              <xm:sqref>AF82</xm:sqref>
            </x14:sparkline>
            <x14:sparkline>
              <xm:f>'RAWABI INCOME 4-2020'!AG81:AG81</xm:f>
              <xm:sqref>AG82</xm:sqref>
            </x14:sparkline>
            <x14:sparkline>
              <xm:f>'RAWABI INCOME 4-2020'!AH81:AH81</xm:f>
              <xm:sqref>AH82</xm:sqref>
            </x14:sparkline>
            <x14:sparkline>
              <xm:f>'RAWABI INCOME 4-2020'!AI81:AI81</xm:f>
              <xm:sqref>AI82</xm:sqref>
            </x14:sparkline>
            <x14:sparkline>
              <xm:f>'RAWABI INCOME 4-2020'!AJ81:AJ81</xm:f>
              <xm:sqref>AJ82</xm:sqref>
            </x14:sparkline>
            <x14:sparkline>
              <xm:f>'RAWABI INCOME 4-2020'!AK81:AK81</xm:f>
              <xm:sqref>AK82</xm:sqref>
            </x14:sparkline>
            <x14:sparkline>
              <xm:f>'RAWABI INCOME 4-2020'!AL81:AL81</xm:f>
              <xm:sqref>AL82</xm:sqref>
            </x14:sparkline>
            <x14:sparkline>
              <xm:f>'RAWABI INCOME 4-2020'!AM81:AM81</xm:f>
              <xm:sqref>AM82</xm:sqref>
            </x14:sparkline>
            <x14:sparkline>
              <xm:f>'RAWABI INCOME 4-2020'!AN81:AN81</xm:f>
              <xm:sqref>AN82</xm:sqref>
            </x14:sparkline>
            <x14:sparkline>
              <xm:f>'RAWABI INCOME 4-2020'!AO81:AO81</xm:f>
              <xm:sqref>AO82</xm:sqref>
            </x14:sparkline>
            <x14:sparkline>
              <xm:f>'RAWABI INCOME 4-2020'!AP81:AP81</xm:f>
              <xm:sqref>AP82</xm:sqref>
            </x14:sparkline>
            <x14:sparkline>
              <xm:f>'RAWABI INCOME 4-2020'!AQ81:AQ81</xm:f>
              <xm:sqref>AQ82</xm:sqref>
            </x14:sparkline>
            <x14:sparkline>
              <xm:f>'RAWABI INCOME 4-2020'!AR81:AR81</xm:f>
              <xm:sqref>AR82</xm:sqref>
            </x14:sparkline>
            <x14:sparkline>
              <xm:f>'RAWABI INCOME 4-2020'!AS81:AS81</xm:f>
              <xm:sqref>AS82</xm:sqref>
            </x14:sparkline>
            <x14:sparkline>
              <xm:f>'RAWABI INCOME 4-2020'!AT81:AT81</xm:f>
              <xm:sqref>AT82</xm:sqref>
            </x14:sparkline>
            <x14:sparkline>
              <xm:f>'RAWABI INCOME 4-2020'!AU81:AU81</xm:f>
              <xm:sqref>AU82</xm:sqref>
            </x14:sparkline>
            <x14:sparkline>
              <xm:f>'RAWABI INCOME 4-2020'!AV81:AV81</xm:f>
              <xm:sqref>AV82</xm:sqref>
            </x14:sparkline>
            <x14:sparkline>
              <xm:f>'RAWABI INCOME 4-2020'!AW81:AW81</xm:f>
              <xm:sqref>AW82</xm:sqref>
            </x14:sparkline>
            <x14:sparkline>
              <xm:f>'RAWABI INCOME 4-2020'!AX81:AX81</xm:f>
              <xm:sqref>AX82</xm:sqref>
            </x14:sparkline>
            <x14:sparkline>
              <xm:f>'RAWABI INCOME 4-2020'!AY81:AY81</xm:f>
              <xm:sqref>AY82</xm:sqref>
            </x14:sparkline>
            <x14:sparkline>
              <xm:f>'RAWABI INCOME 4-2020'!AZ81:AZ81</xm:f>
              <xm:sqref>AZ82</xm:sqref>
            </x14:sparkline>
            <x14:sparkline>
              <xm:f>'RAWABI INCOME 4-2020'!BA81:BA81</xm:f>
              <xm:sqref>BA82</xm:sqref>
            </x14:sparkline>
            <x14:sparkline>
              <xm:f>'RAWABI INCOME 4-2020'!BB81:BB81</xm:f>
              <xm:sqref>BB82</xm:sqref>
            </x14:sparkline>
            <x14:sparkline>
              <xm:f>'RAWABI INCOME 4-2020'!BC81:BC81</xm:f>
              <xm:sqref>BC82</xm:sqref>
            </x14:sparkline>
            <x14:sparkline>
              <xm:f>'RAWABI INCOME 4-2020'!BD81:BD81</xm:f>
              <xm:sqref>BD82</xm:sqref>
            </x14:sparkline>
            <x14:sparkline>
              <xm:f>'RAWABI INCOME 4-2020'!BE81:BE81</xm:f>
              <xm:sqref>BE82</xm:sqref>
            </x14:sparkline>
            <x14:sparkline>
              <xm:f>'RAWABI INCOME 4-2020'!BF81:BF81</xm:f>
              <xm:sqref>BF82</xm:sqref>
            </x14:sparkline>
            <x14:sparkline>
              <xm:f>'RAWABI INCOME 4-2020'!BG81:BG81</xm:f>
              <xm:sqref>BG82</xm:sqref>
            </x14:sparkline>
            <x14:sparkline>
              <xm:f>'RAWABI INCOME 4-2020'!BH81:BH81</xm:f>
              <xm:sqref>BH82</xm:sqref>
            </x14:sparkline>
            <x14:sparkline>
              <xm:f>'RAWABI INCOME 4-2020'!BI81:BI81</xm:f>
              <xm:sqref>BI82</xm:sqref>
            </x14:sparkline>
            <x14:sparkline>
              <xm:f>'RAWABI INCOME 4-2020'!BK81:BK81</xm:f>
              <xm:sqref>BK82</xm:sqref>
            </x14:sparkline>
            <x14:sparkline>
              <xm:f>'RAWABI INCOME 4-2020'!BL81:BL81</xm:f>
              <xm:sqref>BL82</xm:sqref>
            </x14:sparkline>
            <x14:sparkline>
              <xm:f>'RAWABI INCOME 4-2020'!BM81:BM81</xm:f>
              <xm:sqref>BM82</xm:sqref>
            </x14:sparkline>
            <x14:sparkline>
              <xm:f>'RAWABI INCOME 4-2020'!BN81:BN81</xm:f>
              <xm:sqref>BN82</xm:sqref>
            </x14:sparkline>
            <x14:sparkline>
              <xm:f>'RAWABI INCOME 4-2020'!BO81:BO81</xm:f>
              <xm:sqref>BO82</xm:sqref>
            </x14:sparkline>
            <x14:sparkline>
              <xm:f>'RAWABI INCOME 4-2020'!BQ81:BQ81</xm:f>
              <xm:sqref>BQ82</xm:sqref>
            </x14:sparkline>
          </x14:sparklines>
        </x14:sparklineGroup>
        <x14:sparklineGroup type="stacked" displayEmptyCellsAs="gap" negative="1" xr2:uid="{00000000-0003-0000-1B00-000006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4-2020'!AH47:AH47</xm:f>
              <xm:sqref>AH48</xm:sqref>
            </x14:sparkline>
          </x14:sparklines>
        </x14:sparklineGroup>
        <x14:sparklineGroup type="stacked" displayEmptyCellsAs="gap" negative="1" xr2:uid="{00000000-0003-0000-1B00-000005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4-2020'!V47:V47</xm:f>
              <xm:sqref>V48</xm:sqref>
            </x14:sparkline>
            <x14:sparkline>
              <xm:f>'RAWABI INCOME 4-2020'!W47:W47</xm:f>
              <xm:sqref>W48</xm:sqref>
            </x14:sparkline>
            <x14:sparkline>
              <xm:f>'RAWABI INCOME 4-2020'!X47:X47</xm:f>
              <xm:sqref>X48</xm:sqref>
            </x14:sparkline>
          </x14:sparklines>
        </x14:sparklineGroup>
        <x14:sparklineGroup type="stacked" displayEmptyCellsAs="gap" negative="1" xr2:uid="{00000000-0003-0000-1B00-000004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4-2020'!Z47:Z47</xm:f>
              <xm:sqref>Z48</xm:sqref>
            </x14:sparkline>
            <x14:sparkline>
              <xm:f>'RAWABI INCOME 4-2020'!AA47:AA47</xm:f>
              <xm:sqref>AA48</xm:sqref>
            </x14:sparkline>
            <x14:sparkline>
              <xm:f>'RAWABI INCOME 4-2020'!AB47:AB47</xm:f>
              <xm:sqref>AB48</xm:sqref>
            </x14:sparkline>
            <x14:sparkline>
              <xm:f>'RAWABI INCOME 4-2020'!AC47:AC47</xm:f>
              <xm:sqref>AC48</xm:sqref>
            </x14:sparkline>
            <x14:sparkline>
              <xm:f>'RAWABI INCOME 4-2020'!AD47:AD47</xm:f>
              <xm:sqref>AD48</xm:sqref>
            </x14:sparkline>
            <x14:sparkline>
              <xm:f>'RAWABI INCOME 4-2020'!AE47:AE47</xm:f>
              <xm:sqref>AE48</xm:sqref>
            </x14:sparkline>
            <x14:sparkline>
              <xm:f>'RAWABI INCOME 4-2020'!AF47:AF47</xm:f>
              <xm:sqref>AF48</xm:sqref>
            </x14:sparkline>
          </x14:sparklines>
        </x14:sparklineGroup>
        <x14:sparklineGroup type="stacked" displayEmptyCellsAs="gap" negative="1" xr2:uid="{00000000-0003-0000-1B00-00000301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4-2020'!BP47:BP47</xm:f>
              <xm:sqref>BP48</xm:sqref>
            </x14:sparkline>
          </x14:sparklines>
        </x14:sparklineGroup>
        <x14:sparklineGroup type="stacked" displayEmptyCellsAs="gap" negative="1" xr2:uid="{00000000-0003-0000-1B00-000002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4-2020'!BQ88:BQ88</xm:f>
              <xm:sqref>BR88</xm:sqref>
            </x14:sparkline>
          </x14:sparklines>
        </x14:sparklineGroup>
        <x14:sparklineGroup type="stacked" displayEmptyCellsAs="gap" negative="1" xr2:uid="{00000000-0003-0000-1B00-000001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4-2020'!BQ86:BQ86</xm:f>
              <xm:sqref>BR86</xm:sqref>
            </x14:sparkline>
          </x14:sparklines>
        </x14:sparklineGroup>
        <x14:sparklineGroup type="stacked" displayEmptyCellsAs="gap" negative="1" xr2:uid="{00000000-0003-0000-1B00-00000001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4-2020'!U81:U81</xm:f>
              <xm:sqref>U82</xm:sqref>
            </x14:sparkline>
          </x14:sparklines>
        </x14:sparklineGroup>
        <x14:sparklineGroup type="stacked" displayEmptyCellsAs="gap" negative="1" xr2:uid="{00000000-0003-0000-1B00-0000F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4-2020'!BP81:BP81</xm:f>
              <xm:sqref>BP82</xm:sqref>
            </x14:sparkline>
          </x14:sparklines>
        </x14:sparklineGroup>
        <x14:sparklineGroup type="stacked" displayEmptyCellsAs="gap" negative="1" xr2:uid="{00000000-0003-0000-1B00-0000F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4-2020'!BQ83:BQ83</xm:f>
              <xm:sqref>BR83</xm:sqref>
            </x14:sparkline>
            <x14:sparkline>
              <xm:f>'RAWABI INCOME 4-2020'!BQ85:BQ85</xm:f>
              <xm:sqref>BR85</xm:sqref>
            </x14:sparkline>
          </x14:sparklines>
        </x14:sparklineGroup>
        <x14:sparklineGroup type="stacked" displayEmptyCellsAs="gap" negative="1" xr2:uid="{00000000-0003-0000-1B00-0000F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4-2020'!BP76:BP76</xm:f>
              <xm:sqref>BP77</xm:sqref>
            </x14:sparkline>
          </x14:sparklines>
        </x14:sparklineGroup>
        <x14:sparklineGroup type="stacked" displayEmptyCellsAs="gap" negative="1" xr2:uid="{00000000-0003-0000-1B00-0000F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4-2020'!U47:U47</xm:f>
              <xm:sqref>U48</xm:sqref>
            </x14:sparkline>
          </x14:sparklines>
        </x14:sparklineGroup>
        <x14:sparklineGroup type="stacked" displayEmptyCellsAs="gap" negative="1" xr2:uid="{00000000-0003-0000-1B00-0000F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4-2020'!N76:N76</xm:f>
              <xm:sqref>N77</xm:sqref>
            </x14:sparkline>
            <x14:sparkline>
              <xm:f>'RAWABI INCOME 4-2020'!V76:V76</xm:f>
              <xm:sqref>V77</xm:sqref>
            </x14:sparkline>
            <x14:sparkline>
              <xm:f>'RAWABI INCOME 4-2020'!W76:W76</xm:f>
              <xm:sqref>W77</xm:sqref>
            </x14:sparkline>
            <x14:sparkline>
              <xm:f>'RAWABI INCOME 4-2020'!X76:X76</xm:f>
              <xm:sqref>X77</xm:sqref>
            </x14:sparkline>
            <x14:sparkline>
              <xm:f>'RAWABI INCOME 4-2020'!Y76:Y76</xm:f>
              <xm:sqref>Y77</xm:sqref>
            </x14:sparkline>
            <x14:sparkline>
              <xm:f>'RAWABI INCOME 4-2020'!Z76:Z76</xm:f>
              <xm:sqref>Z77</xm:sqref>
            </x14:sparkline>
            <x14:sparkline>
              <xm:f>'RAWABI INCOME 4-2020'!AG76:AG76</xm:f>
              <xm:sqref>AG77</xm:sqref>
            </x14:sparkline>
            <x14:sparkline>
              <xm:f>'RAWABI INCOME 4-2020'!AH76:AH76</xm:f>
              <xm:sqref>AH77</xm:sqref>
            </x14:sparkline>
            <x14:sparkline>
              <xm:f>'RAWABI INCOME 4-2020'!AI76:AI76</xm:f>
              <xm:sqref>AI77</xm:sqref>
            </x14:sparkline>
            <x14:sparkline>
              <xm:f>'RAWABI INCOME 4-2020'!AJ76:AJ76</xm:f>
              <xm:sqref>AJ77</xm:sqref>
            </x14:sparkline>
            <x14:sparkline>
              <xm:f>'RAWABI INCOME 4-2020'!AK76:AK76</xm:f>
              <xm:sqref>AK77</xm:sqref>
            </x14:sparkline>
            <x14:sparkline>
              <xm:f>'RAWABI INCOME 4-2020'!AL76:AL76</xm:f>
              <xm:sqref>AL77</xm:sqref>
            </x14:sparkline>
            <x14:sparkline>
              <xm:f>'RAWABI INCOME 4-2020'!AS76:AS76</xm:f>
              <xm:sqref>AS77</xm:sqref>
            </x14:sparkline>
            <x14:sparkline>
              <xm:f>'RAWABI INCOME 4-2020'!AT76:AT76</xm:f>
              <xm:sqref>AT77</xm:sqref>
            </x14:sparkline>
            <x14:sparkline>
              <xm:f>'RAWABI INCOME 4-2020'!AU76:AU76</xm:f>
              <xm:sqref>AU77</xm:sqref>
            </x14:sparkline>
            <x14:sparkline>
              <xm:f>'RAWABI INCOME 4-2020'!AV76:AV76</xm:f>
              <xm:sqref>AV77</xm:sqref>
            </x14:sparkline>
            <x14:sparkline>
              <xm:f>'RAWABI INCOME 4-2020'!AW76:AW76</xm:f>
              <xm:sqref>AW77</xm:sqref>
            </x14:sparkline>
            <x14:sparkline>
              <xm:f>'RAWABI INCOME 4-2020'!AX76:AX76</xm:f>
              <xm:sqref>AX77</xm:sqref>
            </x14:sparkline>
            <x14:sparkline>
              <xm:f>'RAWABI INCOME 4-2020'!BE76:BE76</xm:f>
              <xm:sqref>BE77</xm:sqref>
            </x14:sparkline>
            <x14:sparkline>
              <xm:f>'RAWABI INCOME 4-2020'!BF76:BF76</xm:f>
              <xm:sqref>BF77</xm:sqref>
            </x14:sparkline>
            <x14:sparkline>
              <xm:f>'RAWABI INCOME 4-2020'!BG76:BG76</xm:f>
              <xm:sqref>BG77</xm:sqref>
            </x14:sparkline>
            <x14:sparkline>
              <xm:f>'RAWABI INCOME 4-2020'!BH76:BH76</xm:f>
              <xm:sqref>BH77</xm:sqref>
            </x14:sparkline>
            <x14:sparkline>
              <xm:f>'RAWABI INCOME 4-2020'!BI76:BI76</xm:f>
              <xm:sqref>BI77</xm:sqref>
            </x14:sparkline>
            <x14:sparkline>
              <xm:f>'RAWABI INCOME 4-2020'!BK76:BK76</xm:f>
              <xm:sqref>BK77</xm:sqref>
            </x14:sparkline>
            <x14:sparkline>
              <xm:f>'RAWABI INCOME 4-2020'!BL76:BL76</xm:f>
              <xm:sqref>BL77</xm:sqref>
            </x14:sparkline>
            <x14:sparkline>
              <xm:f>'RAWABI INCOME 4-2020'!BM76:BM76</xm:f>
              <xm:sqref>BM77</xm:sqref>
            </x14:sparkline>
            <x14:sparkline>
              <xm:f>'RAWABI INCOME 4-2020'!BN76:BN76</xm:f>
              <xm:sqref>BN77</xm:sqref>
            </x14:sparkline>
            <x14:sparkline>
              <xm:f>'RAWABI INCOME 4-2020'!BO76:BO76</xm:f>
              <xm:sqref>BO77</xm:sqref>
            </x14:sparkline>
            <x14:sparkline>
              <xm:f>'RAWABI INCOME 4-2020'!BQ76:BQ76</xm:f>
              <xm:sqref>BQ77</xm:sqref>
            </x14:sparkline>
            <x14:sparkline>
              <xm:f>'RAWABI INCOME 4-2020'!AR76:AR76</xm:f>
              <xm:sqref>AR77</xm:sqref>
            </x14:sparkline>
            <x14:sparkline>
              <xm:f>'RAWABI INCOME 4-2020'!BD76:BD76</xm:f>
              <xm:sqref>BD77</xm:sqref>
            </x14:sparkline>
            <x14:sparkline>
              <xm:f>'RAWABI INCOME 4-2020'!T76:T76</xm:f>
              <xm:sqref>T77</xm:sqref>
            </x14:sparkline>
            <x14:sparkline>
              <xm:f>'RAWABI INCOME 4-2020'!O76:O76</xm:f>
              <xm:sqref>O77</xm:sqref>
            </x14:sparkline>
            <x14:sparkline>
              <xm:f>'RAWABI INCOME 4-2020'!AA76:AA76</xm:f>
              <xm:sqref>AA77</xm:sqref>
            </x14:sparkline>
            <x14:sparkline>
              <xm:f>'RAWABI INCOME 4-2020'!AF76:AF76</xm:f>
              <xm:sqref>AF77</xm:sqref>
            </x14:sparkline>
            <x14:sparkline>
              <xm:f>'RAWABI INCOME 4-2020'!AM76:AM76</xm:f>
              <xm:sqref>AM77</xm:sqref>
            </x14:sparkline>
            <x14:sparkline>
              <xm:f>'RAWABI INCOME 4-2020'!AY76:AY76</xm:f>
              <xm:sqref>AY77</xm:sqref>
            </x14:sparkline>
            <x14:sparkline>
              <xm:f>'RAWABI INCOME 4-2020'!AZ76:AZ76</xm:f>
              <xm:sqref>AZ77</xm:sqref>
            </x14:sparkline>
            <x14:sparkline>
              <xm:f>'RAWABI INCOME 4-2020'!BA76:BA76</xm:f>
              <xm:sqref>BA77</xm:sqref>
            </x14:sparkline>
            <x14:sparkline>
              <xm:f>'RAWABI INCOME 4-2020'!P76:P76</xm:f>
              <xm:sqref>P77</xm:sqref>
            </x14:sparkline>
            <x14:sparkline>
              <xm:f>'RAWABI INCOME 4-2020'!Q76:Q76</xm:f>
              <xm:sqref>Q77</xm:sqref>
            </x14:sparkline>
            <x14:sparkline>
              <xm:f>'RAWABI INCOME 4-2020'!AN76:AN76</xm:f>
              <xm:sqref>AN77</xm:sqref>
            </x14:sparkline>
            <x14:sparkline>
              <xm:f>'RAWABI INCOME 4-2020'!AO76:AO76</xm:f>
              <xm:sqref>AO77</xm:sqref>
            </x14:sparkline>
            <x14:sparkline>
              <xm:f>'RAWABI INCOME 4-2020'!AP76:AP76</xm:f>
              <xm:sqref>AP77</xm:sqref>
            </x14:sparkline>
            <x14:sparkline>
              <xm:f>'RAWABI INCOME 4-2020'!BB76:BB76</xm:f>
              <xm:sqref>BB77</xm:sqref>
            </x14:sparkline>
            <x14:sparkline>
              <xm:f>'RAWABI INCOME 4-2020'!BC76:BC76</xm:f>
              <xm:sqref>BC77</xm:sqref>
            </x14:sparkline>
            <x14:sparkline>
              <xm:f>'RAWABI INCOME 4-2020'!R76:R76</xm:f>
              <xm:sqref>R77</xm:sqref>
            </x14:sparkline>
            <x14:sparkline>
              <xm:f>'RAWABI INCOME 4-2020'!S76:S76</xm:f>
              <xm:sqref>S77</xm:sqref>
            </x14:sparkline>
            <x14:sparkline>
              <xm:f>'RAWABI INCOME 4-2020'!AB76:AB76</xm:f>
              <xm:sqref>AB77</xm:sqref>
            </x14:sparkline>
            <x14:sparkline>
              <xm:f>'RAWABI INCOME 4-2020'!AC76:AC76</xm:f>
              <xm:sqref>AC77</xm:sqref>
            </x14:sparkline>
            <x14:sparkline>
              <xm:f>'RAWABI INCOME 4-2020'!AD76:AD76</xm:f>
              <xm:sqref>AD77</xm:sqref>
            </x14:sparkline>
            <x14:sparkline>
              <xm:f>'RAWABI INCOME 4-2020'!AE76:AE76</xm:f>
              <xm:sqref>AE77</xm:sqref>
            </x14:sparkline>
            <x14:sparkline>
              <xm:f>'RAWABI INCOME 4-2020'!AQ76:AQ76</xm:f>
              <xm:sqref>AQ77</xm:sqref>
            </x14:sparkline>
          </x14:sparklines>
        </x14:sparklineGroup>
        <x14:sparklineGroup type="stacked" displayEmptyCellsAs="gap" negative="1" xr2:uid="{00000000-0003-0000-1B00-0000F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4-2020'!N47:N47</xm:f>
              <xm:sqref>N48</xm:sqref>
            </x14:sparkline>
            <x14:sparkline>
              <xm:f>'RAWABI INCOME 4-2020'!O47:O47</xm:f>
              <xm:sqref>O48</xm:sqref>
            </x14:sparkline>
            <x14:sparkline>
              <xm:f>'RAWABI INCOME 4-2020'!P47:P47</xm:f>
              <xm:sqref>P48</xm:sqref>
            </x14:sparkline>
            <x14:sparkline>
              <xm:f>'RAWABI INCOME 4-2020'!Q47:Q47</xm:f>
              <xm:sqref>Q48</xm:sqref>
            </x14:sparkline>
            <x14:sparkline>
              <xm:f>'RAWABI INCOME 4-2020'!R47:R47</xm:f>
              <xm:sqref>R48</xm:sqref>
            </x14:sparkline>
            <x14:sparkline>
              <xm:f>'RAWABI INCOME 4-2020'!S47:S47</xm:f>
              <xm:sqref>S48</xm:sqref>
            </x14:sparkline>
            <x14:sparkline>
              <xm:f>'RAWABI INCOME 4-2020'!T47:T47</xm:f>
              <xm:sqref>T48</xm:sqref>
            </x14:sparkline>
          </x14:sparklines>
        </x14:sparklineGroup>
        <x14:sparklineGroup type="stacked" displayEmptyCellsAs="gap" negative="1" xr2:uid="{00000000-0003-0000-1B00-0000F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'RAWABI INCOME 4-2020'!Y47:Y47</xm:f>
              <xm:sqref>Y48</xm:sqref>
            </x14:sparkline>
            <x14:sparkline>
              <xm:f>'RAWABI INCOME 4-2020'!AG47:AG47</xm:f>
              <xm:sqref>AG48</xm:sqref>
            </x14:sparkline>
            <x14:sparkline>
              <xm:f>'RAWABI INCOME 4-2020'!AI47:AI47</xm:f>
              <xm:sqref>AI48</xm:sqref>
            </x14:sparkline>
            <x14:sparkline>
              <xm:f>'RAWABI INCOME 4-2020'!AJ47:AJ47</xm:f>
              <xm:sqref>AJ48</xm:sqref>
            </x14:sparkline>
            <x14:sparkline>
              <xm:f>'RAWABI INCOME 4-2020'!AK47:AK47</xm:f>
              <xm:sqref>AK48</xm:sqref>
            </x14:sparkline>
            <x14:sparkline>
              <xm:f>'RAWABI INCOME 4-2020'!AL47:AL47</xm:f>
              <xm:sqref>AL48</xm:sqref>
            </x14:sparkline>
            <x14:sparkline>
              <xm:f>'RAWABI INCOME 4-2020'!AM47:AM47</xm:f>
              <xm:sqref>AM48</xm:sqref>
            </x14:sparkline>
            <x14:sparkline>
              <xm:f>'RAWABI INCOME 4-2020'!AR47:AR47</xm:f>
              <xm:sqref>AR48</xm:sqref>
            </x14:sparkline>
            <x14:sparkline>
              <xm:f>'RAWABI INCOME 4-2020'!AS47:AS47</xm:f>
              <xm:sqref>AS48</xm:sqref>
            </x14:sparkline>
            <x14:sparkline>
              <xm:f>'RAWABI INCOME 4-2020'!AT47:AT47</xm:f>
              <xm:sqref>AT48</xm:sqref>
            </x14:sparkline>
            <x14:sparkline>
              <xm:f>'RAWABI INCOME 4-2020'!AU47:AU47</xm:f>
              <xm:sqref>AU48</xm:sqref>
            </x14:sparkline>
            <x14:sparkline>
              <xm:f>'RAWABI INCOME 4-2020'!AV47:AV47</xm:f>
              <xm:sqref>AV48</xm:sqref>
            </x14:sparkline>
            <x14:sparkline>
              <xm:f>'RAWABI INCOME 4-2020'!AW47:AW47</xm:f>
              <xm:sqref>AW48</xm:sqref>
            </x14:sparkline>
            <x14:sparkline>
              <xm:f>'RAWABI INCOME 4-2020'!AX47:AX47</xm:f>
              <xm:sqref>AX48</xm:sqref>
            </x14:sparkline>
            <x14:sparkline>
              <xm:f>'RAWABI INCOME 4-2020'!BD47:BD47</xm:f>
              <xm:sqref>BD48</xm:sqref>
            </x14:sparkline>
            <x14:sparkline>
              <xm:f>'RAWABI INCOME 4-2020'!BE47:BE47</xm:f>
              <xm:sqref>BE48</xm:sqref>
            </x14:sparkline>
            <x14:sparkline>
              <xm:f>'RAWABI INCOME 4-2020'!BF47:BF47</xm:f>
              <xm:sqref>BF48</xm:sqref>
            </x14:sparkline>
            <x14:sparkline>
              <xm:f>'RAWABI INCOME 4-2020'!BG47:BG47</xm:f>
              <xm:sqref>BG48</xm:sqref>
            </x14:sparkline>
            <x14:sparkline>
              <xm:f>'RAWABI INCOME 4-2020'!BH47:BH47</xm:f>
              <xm:sqref>BH48</xm:sqref>
            </x14:sparkline>
            <x14:sparkline>
              <xm:f>'RAWABI INCOME 4-2020'!BI47:BI47</xm:f>
              <xm:sqref>BI48</xm:sqref>
            </x14:sparkline>
            <x14:sparkline>
              <xm:f>'RAWABI INCOME 4-2020'!BK47:BK47</xm:f>
              <xm:sqref>BK48</xm:sqref>
            </x14:sparkline>
            <x14:sparkline>
              <xm:f>'RAWABI INCOME 4-2020'!BL47:BL47</xm:f>
              <xm:sqref>BL48</xm:sqref>
            </x14:sparkline>
            <x14:sparkline>
              <xm:f>'RAWABI INCOME 4-2020'!BM47:BM47</xm:f>
              <xm:sqref>BM48</xm:sqref>
            </x14:sparkline>
            <x14:sparkline>
              <xm:f>'RAWABI INCOME 4-2020'!BN47:BN47</xm:f>
              <xm:sqref>BN48</xm:sqref>
            </x14:sparkline>
            <x14:sparkline>
              <xm:f>'RAWABI INCOME 4-2020'!BO47:BO47</xm:f>
              <xm:sqref>BO48</xm:sqref>
            </x14:sparkline>
            <x14:sparkline>
              <xm:f>'RAWABI INCOME 4-2020'!AY47:AY47</xm:f>
              <xm:sqref>AY48</xm:sqref>
            </x14:sparkline>
            <x14:sparkline>
              <xm:f>'RAWABI INCOME 4-2020'!AZ47:AZ47</xm:f>
              <xm:sqref>AZ48</xm:sqref>
            </x14:sparkline>
            <x14:sparkline>
              <xm:f>'RAWABI INCOME 4-2020'!BA47:BA47</xm:f>
              <xm:sqref>BA48</xm:sqref>
            </x14:sparkline>
            <x14:sparkline>
              <xm:f>'RAWABI INCOME 4-2020'!AN47:AN47</xm:f>
              <xm:sqref>AN48</xm:sqref>
            </x14:sparkline>
            <x14:sparkline>
              <xm:f>'RAWABI INCOME 4-2020'!AO47:AO47</xm:f>
              <xm:sqref>AO48</xm:sqref>
            </x14:sparkline>
            <x14:sparkline>
              <xm:f>'RAWABI INCOME 4-2020'!AP47:AP47</xm:f>
              <xm:sqref>AP48</xm:sqref>
            </x14:sparkline>
            <x14:sparkline>
              <xm:f>'RAWABI INCOME 4-2020'!BB47:BB47</xm:f>
              <xm:sqref>BB48</xm:sqref>
            </x14:sparkline>
            <x14:sparkline>
              <xm:f>'RAWABI INCOME 4-2020'!BC47:BC47</xm:f>
              <xm:sqref>BC48</xm:sqref>
            </x14:sparkline>
            <x14:sparkline>
              <xm:f>'RAWABI INCOME 4-2020'!AQ47:AQ47</xm:f>
              <xm:sqref>AQ48</xm:sqref>
            </x14:sparkline>
          </x14:sparklines>
        </x14:sparklineGroup>
        <x14:sparklineGroup type="stacked" displayEmptyCellsAs="gap" negative="1" xr2:uid="{00000000-0003-0000-1B00-0000F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4-2020'!U76:U76</xm:f>
              <xm:sqref>U77</xm:sqref>
            </x14:sparkline>
          </x14:sparklines>
        </x14:sparklineGroup>
        <x14:sparklineGroup type="stacked" displayEmptyCellsAs="gap" negative="1" xr2:uid="{00000000-0003-0000-1B00-0000F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4-2020'!BQ47:BQ47</xm:f>
              <xm:sqref>BQ48</xm:sqref>
            </x14:sparkline>
          </x14:sparklines>
        </x14:sparklineGroup>
        <x14:sparklineGroup type="stacked" displayEmptyCellsAs="gap" negative="1" xr2:uid="{00000000-0003-0000-1B00-0000F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4-2020'!BQ47:BQ47</xm:f>
              <xm:sqref>BR47</xm:sqref>
            </x14:sparkline>
          </x14:sparklines>
        </x14:sparklineGroup>
        <x14:sparklineGroup type="stacked" displayEmptyCellsAs="gap" negative="1" xr2:uid="{00000000-0003-0000-1B00-0000F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'RAWABI INCOME 4-2020'!BQ87:BQ87</xm:f>
              <xm:sqref>BR87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FR97"/>
  <sheetViews>
    <sheetView zoomScale="80" zoomScaleNormal="80" zoomScaleSheetLayoutView="80" workbookViewId="0">
      <pane xSplit="12" ySplit="14" topLeftCell="BQ15" activePane="bottomRight" state="frozen"/>
      <selection pane="topRight" activeCell="M1" sqref="M1"/>
      <selection pane="bottomLeft" activeCell="A16" sqref="A16"/>
      <selection pane="bottomRight" activeCell="CE6" sqref="CE6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7.25" style="1719" bestFit="1" customWidth="1"/>
    <col min="4" max="4" width="0.875" style="1923" customWidth="1"/>
    <col min="5" max="5" width="12.125" style="1719" customWidth="1"/>
    <col min="6" max="9" width="10.875" style="1719" hidden="1" customWidth="1"/>
    <col min="10" max="10" width="12.125" style="1719" bestFit="1" customWidth="1"/>
    <col min="11" max="11" width="11.625" style="1719" bestFit="1" customWidth="1"/>
    <col min="12" max="12" width="0.875" style="1719" customWidth="1"/>
    <col min="13" max="13" width="0.875" style="1923" customWidth="1"/>
    <col min="14" max="16" width="10.875" style="1719" hidden="1" customWidth="1"/>
    <col min="17" max="17" width="12.25" style="1719" hidden="1" customWidth="1"/>
    <col min="18" max="20" width="10.875" style="1719" hidden="1" customWidth="1"/>
    <col min="21" max="21" width="0.875" style="1923" customWidth="1"/>
    <col min="22" max="22" width="10.625" style="1719" bestFit="1" customWidth="1"/>
    <col min="23" max="23" width="9.25" style="1719" bestFit="1" customWidth="1"/>
    <col min="24" max="24" width="10" style="1719" customWidth="1"/>
    <col min="25" max="25" width="0.875" style="1923" customWidth="1"/>
    <col min="26" max="28" width="10.875" style="1719" hidden="1" customWidth="1"/>
    <col min="29" max="29" width="12.25" style="1719" hidden="1" customWidth="1"/>
    <col min="30" max="32" width="10.875" style="1719" hidden="1" customWidth="1"/>
    <col min="33" max="33" width="0.875" style="1923" customWidth="1"/>
    <col min="34" max="34" width="10" style="1719" customWidth="1"/>
    <col min="35" max="35" width="9.25" style="1719" customWidth="1"/>
    <col min="36" max="36" width="10" style="1719" customWidth="1"/>
    <col min="37" max="37" width="0.875" style="1923" customWidth="1"/>
    <col min="38" max="40" width="10.875" style="1719" hidden="1" customWidth="1"/>
    <col min="41" max="41" width="12.25" style="1719" hidden="1" customWidth="1"/>
    <col min="42" max="44" width="10.875" style="1719" hidden="1" customWidth="1"/>
    <col min="45" max="45" width="0.875" style="1923" customWidth="1"/>
    <col min="46" max="46" width="10" style="1719" customWidth="1"/>
    <col min="47" max="47" width="9.25" style="1719" customWidth="1"/>
    <col min="48" max="48" width="10" style="1719" customWidth="1"/>
    <col min="49" max="49" width="0.875" style="1923" customWidth="1"/>
    <col min="50" max="52" width="10.875" style="1719" hidden="1" customWidth="1"/>
    <col min="53" max="53" width="12.25" style="1719" hidden="1" customWidth="1"/>
    <col min="54" max="56" width="10.875" style="1719" hidden="1" customWidth="1"/>
    <col min="57" max="57" width="0.875" style="1923" customWidth="1"/>
    <col min="58" max="59" width="10" style="1719" customWidth="1"/>
    <col min="60" max="60" width="9.25" style="1719" customWidth="1"/>
    <col min="61" max="61" width="0.875" style="1719" customWidth="1"/>
    <col min="62" max="62" width="10.875" style="1719" hidden="1" customWidth="1"/>
    <col min="63" max="64" width="10.875" style="1719" customWidth="1"/>
    <col min="65" max="65" width="0.875" style="1719" customWidth="1"/>
    <col min="66" max="66" width="10.625" style="1719" customWidth="1"/>
    <col min="67" max="67" width="10" style="1719" customWidth="1"/>
    <col min="68" max="68" width="9.25" style="1719" customWidth="1"/>
    <col min="69" max="69" width="0.875" style="1719" customWidth="1"/>
    <col min="70" max="71" width="10" style="1719" bestFit="1" customWidth="1"/>
    <col min="72" max="72" width="0.875" style="1719" customWidth="1"/>
    <col min="73" max="73" width="10.25" style="1719" customWidth="1"/>
    <col min="74" max="74" width="9.875" style="1719" bestFit="1" customWidth="1"/>
    <col min="75" max="75" width="0.875" style="1923" customWidth="1"/>
    <col min="76" max="76" width="10.25" style="1719" bestFit="1" customWidth="1"/>
    <col min="77" max="77" width="1.875" style="1719" customWidth="1"/>
    <col min="78" max="79" width="12.25" style="1719" bestFit="1" customWidth="1"/>
    <col min="80" max="80" width="13" style="1719" bestFit="1" customWidth="1"/>
    <col min="81" max="81" width="15.625" style="1719" bestFit="1" customWidth="1"/>
    <col min="82" max="82" width="12.125" style="1719" customWidth="1"/>
    <col min="83" max="83" width="12" style="1719" customWidth="1"/>
    <col min="84" max="84" width="10.875" style="1719" customWidth="1"/>
    <col min="85" max="85" width="10" style="1719" bestFit="1" customWidth="1"/>
    <col min="86" max="86" width="13" style="1719" bestFit="1" customWidth="1"/>
    <col min="87" max="87" width="12" style="1719" bestFit="1" customWidth="1"/>
    <col min="88" max="88" width="12.125" style="1719" bestFit="1" customWidth="1"/>
    <col min="89" max="89" width="11" style="1719" bestFit="1" customWidth="1"/>
    <col min="90" max="91" width="9.125" style="1719" customWidth="1"/>
    <col min="92" max="16384" width="9.125" style="1719"/>
  </cols>
  <sheetData>
    <row r="1" spans="2:174" s="1726" customFormat="1" ht="18" customHeight="1" x14ac:dyDescent="0.2">
      <c r="C1" s="4558" t="s">
        <v>280</v>
      </c>
      <c r="D1" s="4559"/>
      <c r="E1" s="4559"/>
      <c r="F1" s="4559"/>
      <c r="G1" s="4559"/>
      <c r="H1" s="4559"/>
      <c r="I1" s="4559"/>
      <c r="J1" s="4559"/>
      <c r="K1" s="4560"/>
      <c r="M1" s="2453"/>
      <c r="N1" s="4572" t="s">
        <v>135</v>
      </c>
      <c r="O1" s="4573"/>
      <c r="P1" s="4573"/>
      <c r="Q1" s="4573"/>
      <c r="R1" s="4573"/>
      <c r="S1" s="4573"/>
      <c r="T1" s="4574"/>
      <c r="U1" s="1860"/>
      <c r="V1" s="4541" t="s">
        <v>139</v>
      </c>
      <c r="W1" s="4542"/>
      <c r="X1" s="4543"/>
      <c r="Y1" s="1860"/>
      <c r="Z1" s="4572" t="s">
        <v>136</v>
      </c>
      <c r="AA1" s="4573"/>
      <c r="AB1" s="4573"/>
      <c r="AC1" s="4573"/>
      <c r="AD1" s="4573"/>
      <c r="AE1" s="4573"/>
      <c r="AF1" s="4574"/>
      <c r="AG1" s="1860"/>
      <c r="AH1" s="4541" t="s">
        <v>140</v>
      </c>
      <c r="AI1" s="4542"/>
      <c r="AJ1" s="4543"/>
      <c r="AK1" s="1860"/>
      <c r="AL1" s="4572" t="s">
        <v>137</v>
      </c>
      <c r="AM1" s="4573"/>
      <c r="AN1" s="4573"/>
      <c r="AO1" s="4573"/>
      <c r="AP1" s="4573"/>
      <c r="AQ1" s="4573"/>
      <c r="AR1" s="4574"/>
      <c r="AS1" s="1860"/>
      <c r="AT1" s="4541" t="s">
        <v>141</v>
      </c>
      <c r="AU1" s="4542"/>
      <c r="AV1" s="4543"/>
      <c r="AW1" s="1860"/>
      <c r="AX1" s="4572" t="s">
        <v>138</v>
      </c>
      <c r="AY1" s="4573"/>
      <c r="AZ1" s="4573"/>
      <c r="BA1" s="4573"/>
      <c r="BB1" s="4573"/>
      <c r="BC1" s="4573"/>
      <c r="BD1" s="4574"/>
      <c r="BE1" s="1860"/>
      <c r="BF1" s="4541" t="s">
        <v>142</v>
      </c>
      <c r="BG1" s="4542"/>
      <c r="BH1" s="4543"/>
      <c r="BJ1" s="4664" t="s">
        <v>145</v>
      </c>
      <c r="BK1" s="4678"/>
      <c r="BL1" s="4679"/>
      <c r="BN1" s="4541" t="s">
        <v>146</v>
      </c>
      <c r="BO1" s="4542"/>
      <c r="BP1" s="4543"/>
      <c r="BR1" s="4613" t="s">
        <v>54</v>
      </c>
      <c r="BS1" s="4579" t="s">
        <v>61</v>
      </c>
      <c r="BU1" s="4582">
        <f>CA20/31</f>
        <v>0.77419354838709675</v>
      </c>
      <c r="BV1" s="4583"/>
      <c r="BW1" s="4583"/>
      <c r="BX1" s="4584"/>
      <c r="BZ1" s="2454">
        <f>BU5/CA20*24</f>
        <v>23234.948000000004</v>
      </c>
      <c r="CA1" s="2455">
        <f>BZ1*BU7</f>
        <v>5220.3020000000006</v>
      </c>
      <c r="CB1" s="2456">
        <f>CA1-E42</f>
        <v>2588.7520000000009</v>
      </c>
      <c r="CC1" s="2762">
        <f>CB1/2</f>
        <v>1294.3760000000004</v>
      </c>
      <c r="CD1" s="4676"/>
      <c r="CE1" s="4676"/>
      <c r="CF1" s="4676"/>
      <c r="CH1" s="4676"/>
      <c r="CI1" s="4676"/>
      <c r="CJ1" s="4676"/>
    </row>
    <row r="2" spans="2:174" ht="20.25" customHeight="1" thickBot="1" x14ac:dyDescent="0.25">
      <c r="C2" s="4561"/>
      <c r="D2" s="4652"/>
      <c r="E2" s="4562"/>
      <c r="F2" s="4562"/>
      <c r="G2" s="4562"/>
      <c r="H2" s="4562"/>
      <c r="I2" s="4562"/>
      <c r="J2" s="4562"/>
      <c r="K2" s="4563"/>
      <c r="L2" s="1720"/>
      <c r="M2" s="3216"/>
      <c r="N2" s="4575"/>
      <c r="O2" s="4576"/>
      <c r="P2" s="4576"/>
      <c r="Q2" s="4576"/>
      <c r="R2" s="4576"/>
      <c r="S2" s="4576"/>
      <c r="T2" s="4577"/>
      <c r="U2" s="3217"/>
      <c r="V2" s="4544"/>
      <c r="W2" s="4545"/>
      <c r="X2" s="4546"/>
      <c r="Y2" s="3217"/>
      <c r="Z2" s="4575"/>
      <c r="AA2" s="4576"/>
      <c r="AB2" s="4576"/>
      <c r="AC2" s="4576"/>
      <c r="AD2" s="4576"/>
      <c r="AE2" s="4576"/>
      <c r="AF2" s="4577"/>
      <c r="AG2" s="3217"/>
      <c r="AH2" s="4544"/>
      <c r="AI2" s="4545"/>
      <c r="AJ2" s="4546"/>
      <c r="AK2" s="3217"/>
      <c r="AL2" s="4575"/>
      <c r="AM2" s="4576"/>
      <c r="AN2" s="4576"/>
      <c r="AO2" s="4576"/>
      <c r="AP2" s="4576"/>
      <c r="AQ2" s="4576"/>
      <c r="AR2" s="4577"/>
      <c r="AS2" s="3217"/>
      <c r="AT2" s="4544"/>
      <c r="AU2" s="4545"/>
      <c r="AV2" s="4546"/>
      <c r="AW2" s="3217"/>
      <c r="AX2" s="4575"/>
      <c r="AY2" s="4576"/>
      <c r="AZ2" s="4576"/>
      <c r="BA2" s="4576"/>
      <c r="BB2" s="4576"/>
      <c r="BC2" s="4576"/>
      <c r="BD2" s="4577"/>
      <c r="BE2" s="3217"/>
      <c r="BF2" s="4544"/>
      <c r="BG2" s="4545"/>
      <c r="BH2" s="4546"/>
      <c r="BI2" s="1724"/>
      <c r="BJ2" s="4665"/>
      <c r="BK2" s="4680"/>
      <c r="BL2" s="4681"/>
      <c r="BM2" s="1724"/>
      <c r="BN2" s="4544"/>
      <c r="BO2" s="4545"/>
      <c r="BP2" s="4546"/>
      <c r="BR2" s="4614"/>
      <c r="BS2" s="4580"/>
      <c r="BU2" s="4585"/>
      <c r="BV2" s="4586"/>
      <c r="BW2" s="4586"/>
      <c r="BX2" s="4587"/>
      <c r="BZ2" s="3192">
        <f>(K5*31)-BZ1</f>
        <v>6776.8598333333321</v>
      </c>
      <c r="CA2" s="2833">
        <f>CA1/BZ1</f>
        <v>0.2246745721143856</v>
      </c>
      <c r="CB2" s="2745"/>
      <c r="CC2" s="2746"/>
      <c r="CD2" s="4676"/>
      <c r="CE2" s="4676"/>
      <c r="CF2" s="4676"/>
      <c r="CG2" s="1725"/>
      <c r="CH2" s="4676"/>
      <c r="CI2" s="4676"/>
      <c r="CJ2" s="4676"/>
      <c r="CK2" s="1725"/>
    </row>
    <row r="3" spans="2:174" ht="20.25" customHeight="1" x14ac:dyDescent="0.2">
      <c r="C3" s="4666" t="s">
        <v>189</v>
      </c>
      <c r="D3" s="3216"/>
      <c r="E3" s="3207"/>
      <c r="F3" s="3207"/>
      <c r="G3" s="3207"/>
      <c r="H3" s="3207"/>
      <c r="I3" s="3207"/>
      <c r="J3" s="4669" t="s">
        <v>274</v>
      </c>
      <c r="K3" s="4669"/>
      <c r="L3" s="1720"/>
      <c r="M3" s="3216"/>
      <c r="N3" s="1752"/>
      <c r="O3" s="1752">
        <f t="shared" ref="O3:P3" si="0">(O5-O4)/O4</f>
        <v>5.172765184388856E-5</v>
      </c>
      <c r="P3" s="1752">
        <f t="shared" si="0"/>
        <v>3.779289493575208E-4</v>
      </c>
      <c r="Q3" s="1752">
        <f t="shared" ref="Q3:R3" si="1">(Q5-Q4)/Q4</f>
        <v>9.1012514220700173E-4</v>
      </c>
      <c r="R3" s="1752">
        <f t="shared" si="1"/>
        <v>0</v>
      </c>
      <c r="S3" s="1752">
        <f t="shared" ref="S3:T3" si="2">(S5-S4)/S4</f>
        <v>0</v>
      </c>
      <c r="T3" s="1752">
        <f t="shared" si="2"/>
        <v>4.1953850764162151E-4</v>
      </c>
      <c r="U3" s="3217"/>
      <c r="V3" s="3039">
        <f>(V5-V4)/V4</f>
        <v>3.0215988050321242E-4</v>
      </c>
      <c r="W3" s="3036"/>
      <c r="X3" s="3037"/>
      <c r="Y3" s="3217"/>
      <c r="Z3" s="3075"/>
      <c r="AA3" s="3075">
        <f t="shared" ref="AA3:AB3" si="3">(AA5-AA4)/AA4</f>
        <v>3.0341370762443706E-4</v>
      </c>
      <c r="AB3" s="3075">
        <f t="shared" si="3"/>
        <v>5.5865921787701025E-4</v>
      </c>
      <c r="AC3" s="3075">
        <f t="shared" ref="AC3:AD3" si="4">(AC5-AC4)/AC4</f>
        <v>4.5044071119183012E-4</v>
      </c>
      <c r="AD3" s="3075">
        <f t="shared" si="4"/>
        <v>7.2860275848938096E-5</v>
      </c>
      <c r="AE3" s="3075">
        <f t="shared" ref="AE3:AF3" si="5">(AE5-AE4)/AE4</f>
        <v>1.94764724213121E-4</v>
      </c>
      <c r="AF3" s="3075">
        <f t="shared" si="5"/>
        <v>0</v>
      </c>
      <c r="AG3" s="3217"/>
      <c r="AH3" s="3087">
        <f>(AH5-AH4)/AH4</f>
        <v>2.8990375738830847E-4</v>
      </c>
      <c r="AI3" s="3071"/>
      <c r="AJ3" s="3072"/>
      <c r="AK3" s="3217"/>
      <c r="AL3" s="1752"/>
      <c r="AM3" s="1752">
        <f t="shared" ref="AM3:AN3" si="6">(AM5-AM4)/AM4</f>
        <v>9.1977089343192359E-4</v>
      </c>
      <c r="AN3" s="1752">
        <f t="shared" si="6"/>
        <v>1.5241160888728711E-4</v>
      </c>
      <c r="AO3" s="1752">
        <f t="shared" ref="AO3:AP3" si="7">(AO5-AO4)/AO4</f>
        <v>4.8665968472194722E-5</v>
      </c>
      <c r="AP3" s="1752">
        <f t="shared" si="7"/>
        <v>7.9611179001750905E-4</v>
      </c>
      <c r="AQ3" s="1752">
        <f t="shared" ref="AQ3:AR3" si="8">(AQ5-AQ4)/AQ4</f>
        <v>1.1071458886138545E-3</v>
      </c>
      <c r="AR3" s="1752">
        <f t="shared" si="8"/>
        <v>9.3600838289107713E-4</v>
      </c>
      <c r="AS3" s="3217"/>
      <c r="AT3" s="3099">
        <f>(AT5-AT4)/AT4</f>
        <v>7.6501598883409519E-4</v>
      </c>
      <c r="AU3" s="3100"/>
      <c r="AV3" s="3101"/>
      <c r="AW3" s="3217"/>
      <c r="AX3" s="1752"/>
      <c r="AY3" s="1752"/>
      <c r="AZ3" s="1752"/>
      <c r="BA3" s="1752">
        <f t="shared" ref="BA3:BB3" si="9">(BA5-BA4)/BA4</f>
        <v>2.0869081296665936E-3</v>
      </c>
      <c r="BB3" s="1752">
        <f t="shared" si="9"/>
        <v>1.8080927738636221E-3</v>
      </c>
      <c r="BC3" s="1752">
        <f t="shared" ref="BC3:BD3" si="10">(BC5-BC4)/BC4</f>
        <v>7.2918398478630535E-4</v>
      </c>
      <c r="BD3" s="1752">
        <f t="shared" si="10"/>
        <v>1.1772994070178347E-3</v>
      </c>
      <c r="BE3" s="3217"/>
      <c r="BF3" s="3099">
        <f>(BF5-BF4)/BF4</f>
        <v>1.4235253997602617E-3</v>
      </c>
      <c r="BG3" s="3036"/>
      <c r="BH3" s="3037"/>
      <c r="BI3" s="1724"/>
      <c r="BJ3" s="3125"/>
      <c r="BK3" s="3125">
        <f t="shared" ref="BK3:BL3" si="11">(BK5-BK4)/BK4</f>
        <v>2.2636976808648669E-3</v>
      </c>
      <c r="BL3" s="3125">
        <f t="shared" si="11"/>
        <v>6.66631113007283E-4</v>
      </c>
      <c r="BM3" s="1724"/>
      <c r="BN3" s="3099">
        <f>(BN5-BN4)/BN4</f>
        <v>1.5067912540004647E-3</v>
      </c>
      <c r="BO3" s="3036"/>
      <c r="BP3" s="3037"/>
      <c r="BR3" s="4614"/>
      <c r="BS3" s="4580"/>
      <c r="BU3" s="3208"/>
      <c r="BV3" s="3209"/>
      <c r="BW3" s="3035"/>
      <c r="BX3" s="3043"/>
      <c r="BZ3" s="3503">
        <f>BZ2+BZ1</f>
        <v>30011.807833333336</v>
      </c>
      <c r="CA3" s="3129">
        <f>BV7</f>
        <v>5246.2870000000003</v>
      </c>
      <c r="CB3" s="3128">
        <f>CA3-E42</f>
        <v>2614.7370000000005</v>
      </c>
      <c r="CC3" s="3504">
        <f>CB3/2</f>
        <v>1307.3685000000003</v>
      </c>
      <c r="CD3" s="3507">
        <f>BZ3*CA2</f>
        <v>6742.8900833333337</v>
      </c>
      <c r="CE3" s="3219"/>
      <c r="CF3" s="3219"/>
      <c r="CG3" s="1725"/>
      <c r="CH3" s="3219"/>
      <c r="CI3" s="3219"/>
      <c r="CJ3" s="3219"/>
      <c r="CK3" s="1725"/>
    </row>
    <row r="4" spans="2:174" ht="20.25" customHeight="1" thickBot="1" x14ac:dyDescent="0.25">
      <c r="C4" s="4667"/>
      <c r="D4" s="3216"/>
      <c r="E4" s="3207"/>
      <c r="F4" s="3207"/>
      <c r="G4" s="3207"/>
      <c r="H4" s="3207"/>
      <c r="I4" s="3207"/>
      <c r="J4" s="4677"/>
      <c r="K4" s="4677"/>
      <c r="L4" s="1720"/>
      <c r="M4" s="3216"/>
      <c r="N4" s="1747"/>
      <c r="O4" s="1747">
        <v>966.601</v>
      </c>
      <c r="P4" s="1747">
        <v>661.5</v>
      </c>
      <c r="Q4" s="1747">
        <v>879</v>
      </c>
      <c r="R4" s="1747">
        <v>767.65</v>
      </c>
      <c r="S4" s="1747">
        <v>689.78300000000002</v>
      </c>
      <c r="T4" s="1747">
        <v>834.25</v>
      </c>
      <c r="U4" s="3217"/>
      <c r="V4" s="2021">
        <f>SUM(N4:T4)</f>
        <v>4798.7839999999997</v>
      </c>
      <c r="W4" s="3058">
        <f>V5-V4</f>
        <v>1.4500000000007276</v>
      </c>
      <c r="X4" s="3038"/>
      <c r="Y4" s="3217"/>
      <c r="Z4" s="3226"/>
      <c r="AA4" s="3226">
        <v>988.74900000000002</v>
      </c>
      <c r="AB4" s="1747">
        <v>1074</v>
      </c>
      <c r="AC4" s="1747">
        <v>1110.0239999999999</v>
      </c>
      <c r="AD4" s="1747">
        <v>686.245</v>
      </c>
      <c r="AE4" s="1747">
        <v>770.16</v>
      </c>
      <c r="AF4" s="1747">
        <v>889.89499999999998</v>
      </c>
      <c r="AG4" s="3217"/>
      <c r="AH4" s="2956">
        <f>SUM(Z4:AF4)</f>
        <v>5519.0730000000003</v>
      </c>
      <c r="AI4" s="3073">
        <f>AH5-AH4</f>
        <v>1.6000000000003638</v>
      </c>
      <c r="AJ4" s="3074"/>
      <c r="AK4" s="3217"/>
      <c r="AL4" s="1747"/>
      <c r="AM4" s="1747">
        <v>1195.95</v>
      </c>
      <c r="AN4" s="1747">
        <v>656.11800000000005</v>
      </c>
      <c r="AO4" s="1747">
        <v>1027.412</v>
      </c>
      <c r="AP4" s="1747">
        <v>1004.884</v>
      </c>
      <c r="AQ4" s="1747">
        <v>1625.8019999999999</v>
      </c>
      <c r="AR4" s="1747">
        <v>2136.7330000000002</v>
      </c>
      <c r="AS4" s="3217"/>
      <c r="AT4" s="3102">
        <f>SUM(AL4:AR4)</f>
        <v>7646.8990000000003</v>
      </c>
      <c r="AU4" s="3103">
        <f>AT5-AT4</f>
        <v>5.8499999999994543</v>
      </c>
      <c r="AV4" s="3104"/>
      <c r="AW4" s="3217"/>
      <c r="AX4" s="1747"/>
      <c r="AY4" s="1747"/>
      <c r="AZ4" s="1747"/>
      <c r="BA4" s="1747">
        <v>646.89</v>
      </c>
      <c r="BB4" s="1747">
        <v>801.95</v>
      </c>
      <c r="BC4" s="1747">
        <v>685.69799999999998</v>
      </c>
      <c r="BD4" s="1747">
        <v>1061.752</v>
      </c>
      <c r="BE4" s="3217"/>
      <c r="BF4" s="2021">
        <f>SUM(AX4:BD4)</f>
        <v>3196.29</v>
      </c>
      <c r="BG4" s="3058">
        <f>BF5-BF4</f>
        <v>4.5499999999997272</v>
      </c>
      <c r="BH4" s="3038"/>
      <c r="BI4" s="1724"/>
      <c r="BJ4" s="3124"/>
      <c r="BK4" s="3124">
        <v>1082.3</v>
      </c>
      <c r="BL4" s="3124">
        <v>975.05200000000002</v>
      </c>
      <c r="BM4" s="1724"/>
      <c r="BN4" s="2021">
        <f>SUM(BJ4:BL4)</f>
        <v>2057.3519999999999</v>
      </c>
      <c r="BO4" s="3058">
        <f>BN5-BN4</f>
        <v>3.1000000000003638</v>
      </c>
      <c r="BP4" s="3038"/>
      <c r="BR4" s="4614"/>
      <c r="BS4" s="4580"/>
      <c r="BU4" s="3210"/>
      <c r="BV4" s="3211"/>
      <c r="BW4" s="3035"/>
      <c r="BX4" s="3044"/>
      <c r="BZ4" s="2744"/>
      <c r="CA4" s="2833">
        <f>CA3/BU5</f>
        <v>0.22579293054583119</v>
      </c>
      <c r="CB4" s="2745"/>
      <c r="CC4" s="3505"/>
      <c r="CD4" s="3508">
        <f>CD3-E42</f>
        <v>4111.3400833333344</v>
      </c>
      <c r="CE4" s="3219"/>
      <c r="CF4" s="3219"/>
      <c r="CG4" s="1725"/>
      <c r="CH4" s="3219"/>
      <c r="CI4" s="3219"/>
      <c r="CJ4" s="3219"/>
      <c r="CK4" s="1725"/>
    </row>
    <row r="5" spans="2:174" s="1726" customFormat="1" ht="24" thickBot="1" x14ac:dyDescent="0.25">
      <c r="C5" s="4667"/>
      <c r="D5" s="3055"/>
      <c r="E5" s="2260"/>
      <c r="F5" s="2260"/>
      <c r="G5" s="2260"/>
      <c r="H5" s="2260"/>
      <c r="I5" s="3048"/>
      <c r="J5" s="1728">
        <f>BU5</f>
        <v>23234.948000000004</v>
      </c>
      <c r="K5" s="2383">
        <f>BU5/CA20</f>
        <v>968.12283333333346</v>
      </c>
      <c r="L5" s="1730"/>
      <c r="M5" s="1731"/>
      <c r="N5" s="1732"/>
      <c r="O5" s="1732">
        <v>966.65099999999995</v>
      </c>
      <c r="P5" s="1732">
        <v>661.75</v>
      </c>
      <c r="Q5" s="1732">
        <v>879.8</v>
      </c>
      <c r="R5" s="1732">
        <v>767.65</v>
      </c>
      <c r="S5" s="1732">
        <v>689.78300000000002</v>
      </c>
      <c r="T5" s="1732">
        <v>834.6</v>
      </c>
      <c r="U5" s="1733"/>
      <c r="V5" s="3220">
        <f>SUM(N5:T5)</f>
        <v>4800.2340000000004</v>
      </c>
      <c r="W5" s="2275">
        <f>($J$42*100/20)*6</f>
        <v>3289.4374999999995</v>
      </c>
      <c r="X5" s="3224">
        <f>V5-W5</f>
        <v>1510.7965000000008</v>
      </c>
      <c r="Y5" s="1737"/>
      <c r="Z5" s="1732"/>
      <c r="AA5" s="1732">
        <v>989.04899999999998</v>
      </c>
      <c r="AB5" s="1732">
        <v>1074.5999999999999</v>
      </c>
      <c r="AC5" s="1732">
        <v>1110.5239999999999</v>
      </c>
      <c r="AD5" s="1732">
        <v>686.29499999999996</v>
      </c>
      <c r="AE5" s="1732">
        <v>770.31</v>
      </c>
      <c r="AF5" s="1732">
        <v>889.89499999999998</v>
      </c>
      <c r="AG5" s="1738"/>
      <c r="AH5" s="3220">
        <f>SUM(Z5:AF5)</f>
        <v>5520.6730000000007</v>
      </c>
      <c r="AI5" s="2275">
        <f>($J$42*100/20)*6</f>
        <v>3289.4374999999995</v>
      </c>
      <c r="AJ5" s="3224">
        <f>AH5-AI5</f>
        <v>2231.2355000000011</v>
      </c>
      <c r="AK5" s="1738"/>
      <c r="AL5" s="1732"/>
      <c r="AM5" s="1732">
        <v>1197.05</v>
      </c>
      <c r="AN5" s="1732">
        <v>656.21799999999996</v>
      </c>
      <c r="AO5" s="1732">
        <v>1027.462</v>
      </c>
      <c r="AP5" s="1732">
        <v>1005.684</v>
      </c>
      <c r="AQ5" s="1732">
        <v>1627.6020000000001</v>
      </c>
      <c r="AR5" s="1732">
        <v>2138.7330000000002</v>
      </c>
      <c r="AS5" s="3008">
        <v>417.84800000000001</v>
      </c>
      <c r="AT5" s="3220">
        <f>SUM(AL5:AR5)</f>
        <v>7652.7489999999998</v>
      </c>
      <c r="AU5" s="2275">
        <f>($J$42*100/24)*6</f>
        <v>2741.1979166666661</v>
      </c>
      <c r="AV5" s="3224">
        <f>AT5-AU5</f>
        <v>4911.5510833333337</v>
      </c>
      <c r="AW5" s="2205"/>
      <c r="AX5" s="1732"/>
      <c r="AY5" s="1732"/>
      <c r="AZ5" s="1732"/>
      <c r="BA5" s="1732">
        <v>648.24</v>
      </c>
      <c r="BB5" s="1732">
        <v>803.4</v>
      </c>
      <c r="BC5" s="1732">
        <v>686.19799999999998</v>
      </c>
      <c r="BD5" s="1732">
        <v>1063.002</v>
      </c>
      <c r="BE5" s="2205"/>
      <c r="BF5" s="3220">
        <f>SUM(AX5:BD5)</f>
        <v>3200.8399999999997</v>
      </c>
      <c r="BG5" s="2275">
        <f>($J$42*100/24)*3</f>
        <v>1370.598958333333</v>
      </c>
      <c r="BH5" s="3224">
        <f>BF5-BG5</f>
        <v>1830.2410416666667</v>
      </c>
      <c r="BI5" s="1861"/>
      <c r="BJ5" s="3024"/>
      <c r="BK5" s="3024">
        <v>1084.75</v>
      </c>
      <c r="BL5" s="3510">
        <v>975.702</v>
      </c>
      <c r="BM5" s="1861"/>
      <c r="BN5" s="3220">
        <f>SUM(BJ5:BL5)</f>
        <v>2060.4520000000002</v>
      </c>
      <c r="BO5" s="2275">
        <f>($J$42*100/24)*2</f>
        <v>913.73263888888869</v>
      </c>
      <c r="BP5" s="3224">
        <f>BN5-BO5</f>
        <v>1146.7193611111115</v>
      </c>
      <c r="BR5" s="4614"/>
      <c r="BS5" s="4580"/>
      <c r="BU5" s="3040">
        <f>SUM(N5:T5)+SUM(Z5:AF5)+SUM(AL5:AR5)+SUM(AX5:BD5)+SUM(BJ5:BL5)</f>
        <v>23234.948000000004</v>
      </c>
      <c r="BV5" s="3041">
        <f>BU5/BZ5</f>
        <v>1.7658754726301993</v>
      </c>
      <c r="BW5" s="1997"/>
      <c r="BX5" s="2797">
        <f>BU5/CA20*30</f>
        <v>29043.685000000005</v>
      </c>
      <c r="BY5" s="1740"/>
      <c r="BZ5" s="2747">
        <f>C42</f>
        <v>13157.75</v>
      </c>
      <c r="CA5" s="2748">
        <f>BZ5-BU5</f>
        <v>-10077.198000000004</v>
      </c>
      <c r="CB5" s="2749">
        <f>CA5/CA23</f>
        <v>1439.5997142857148</v>
      </c>
      <c r="CC5" s="3506">
        <f>BZ1/'RAWABI INCOME 4-2020'!BY1-1</f>
        <v>-8.0527004187362916E-3</v>
      </c>
      <c r="CD5" s="3509">
        <f>CD4/2</f>
        <v>2055.6700416666672</v>
      </c>
      <c r="CE5" s="3108">
        <f>CD5-CC3</f>
        <v>748.30154166666694</v>
      </c>
      <c r="CF5" s="3108"/>
      <c r="CG5" s="1742"/>
      <c r="CH5" s="3108"/>
      <c r="CI5" s="3108"/>
      <c r="CJ5" s="3108"/>
      <c r="CK5" s="1742"/>
    </row>
    <row r="6" spans="2:174" s="2713" customFormat="1" ht="24" thickBot="1" x14ac:dyDescent="0.25">
      <c r="C6" s="4667"/>
      <c r="D6" s="3056"/>
      <c r="E6" s="2716"/>
      <c r="F6" s="2716"/>
      <c r="G6" s="2716"/>
      <c r="H6" s="2716"/>
      <c r="I6" s="3049"/>
      <c r="J6" s="3052">
        <f>BU6</f>
        <v>5220.3020000000006</v>
      </c>
      <c r="K6" s="3053">
        <f>C42/K5</f>
        <v>13.590992327592037</v>
      </c>
      <c r="L6" s="2719"/>
      <c r="M6" s="2720"/>
      <c r="N6" s="2782"/>
      <c r="O6" s="2782">
        <v>227.839</v>
      </c>
      <c r="P6" s="2782">
        <v>154.19999999999999</v>
      </c>
      <c r="Q6" s="2782">
        <v>210.63200000000001</v>
      </c>
      <c r="R6" s="2782">
        <v>185.98</v>
      </c>
      <c r="S6" s="2782">
        <v>168.381</v>
      </c>
      <c r="T6" s="2782">
        <v>209.86500000000001</v>
      </c>
      <c r="U6" s="2722"/>
      <c r="V6" s="2781">
        <f>SUM(N6:T6)</f>
        <v>1156.8969999999999</v>
      </c>
      <c r="W6" s="2782">
        <f>W5*V7</f>
        <v>792.78226341413745</v>
      </c>
      <c r="X6" s="2783">
        <f>X5*V7</f>
        <v>364.11473658586243</v>
      </c>
      <c r="Y6" s="2723"/>
      <c r="Z6" s="2721"/>
      <c r="AA6" s="2721">
        <v>217.309</v>
      </c>
      <c r="AB6" s="2721">
        <v>250.53100000000001</v>
      </c>
      <c r="AC6" s="2721">
        <v>244.13300000000001</v>
      </c>
      <c r="AD6" s="2721">
        <v>144.56200000000001</v>
      </c>
      <c r="AE6" s="2721">
        <v>160.44900000000001</v>
      </c>
      <c r="AF6" s="2721">
        <v>180.21600000000001</v>
      </c>
      <c r="AG6" s="2724"/>
      <c r="AH6" s="2781">
        <f>SUM(Z6:AF6)</f>
        <v>1197.2000000000003</v>
      </c>
      <c r="AI6" s="2782">
        <f>AI5*AH7</f>
        <v>713.33958287331996</v>
      </c>
      <c r="AJ6" s="2783">
        <f>AJ5*25%</f>
        <v>557.80887500000028</v>
      </c>
      <c r="AK6" s="2724"/>
      <c r="AL6" s="2721"/>
      <c r="AM6" s="2721">
        <v>253.21899999999999</v>
      </c>
      <c r="AN6" s="2721">
        <v>151.55600000000001</v>
      </c>
      <c r="AO6" s="2721">
        <v>235.97300000000001</v>
      </c>
      <c r="AP6" s="2721">
        <v>234.24</v>
      </c>
      <c r="AQ6" s="2721">
        <v>360.69099999999997</v>
      </c>
      <c r="AR6" s="2721">
        <v>459.755</v>
      </c>
      <c r="AS6" s="3009">
        <v>85.138999999999996</v>
      </c>
      <c r="AT6" s="2781">
        <f>SUM(AL6:AR6)</f>
        <v>1695.4340000000002</v>
      </c>
      <c r="AU6" s="2782">
        <f>AU5*AT7</f>
        <v>607.30074234054098</v>
      </c>
      <c r="AV6" s="2783">
        <f>AV5*25%</f>
        <v>1227.8877708333334</v>
      </c>
      <c r="AW6" s="2725"/>
      <c r="AX6" s="2721"/>
      <c r="AY6" s="2721"/>
      <c r="AZ6" s="2721"/>
      <c r="BA6" s="2721">
        <v>145.92099999999999</v>
      </c>
      <c r="BB6" s="2721">
        <v>178.995</v>
      </c>
      <c r="BC6" s="2721">
        <v>150.13499999999999</v>
      </c>
      <c r="BD6" s="2721">
        <v>218.41200000000001</v>
      </c>
      <c r="BE6" s="2725"/>
      <c r="BF6" s="2781">
        <f>SUM(AX6:BD6)</f>
        <v>693.46299999999997</v>
      </c>
      <c r="BG6" s="2782">
        <f>BG5*BF7</f>
        <v>296.94069851748549</v>
      </c>
      <c r="BH6" s="2783">
        <f>BH5*25%</f>
        <v>457.56026041666667</v>
      </c>
      <c r="BI6" s="2726"/>
      <c r="BJ6" s="2721"/>
      <c r="BK6" s="2721">
        <v>238.654</v>
      </c>
      <c r="BL6" s="2721">
        <v>238.654</v>
      </c>
      <c r="BM6" s="2726"/>
      <c r="BN6" s="2781">
        <f>SUM(BJ6:BL6)</f>
        <v>477.30799999999999</v>
      </c>
      <c r="BO6" s="2782">
        <f>BO5*BN7</f>
        <v>211.66807011411944</v>
      </c>
      <c r="BP6" s="2783">
        <f>BP5*25%</f>
        <v>286.67984027777788</v>
      </c>
      <c r="BR6" s="4614"/>
      <c r="BS6" s="4580"/>
      <c r="BU6" s="2727">
        <f>SUM(N6:T6)+SUM(Z6:AF6)+SUM(AL6:AR6)+SUM(AX6:BD6)+SUM(BJ6:BL6)</f>
        <v>5220.3020000000006</v>
      </c>
      <c r="BV6" s="2728">
        <f>BU6/E42</f>
        <v>1.9837365811023926</v>
      </c>
      <c r="BW6" s="2729"/>
      <c r="BX6" s="2798">
        <f>BZ6-BU6</f>
        <v>-2588.7520000000009</v>
      </c>
      <c r="BY6" s="2730"/>
      <c r="BZ6" s="2750">
        <f>E42</f>
        <v>2631.5499999999997</v>
      </c>
      <c r="CA6" s="2751">
        <f>CA5/K5</f>
        <v>-10.409007672407963</v>
      </c>
      <c r="CB6" s="2752" t="s">
        <v>251</v>
      </c>
      <c r="CC6" s="3112" t="s">
        <v>253</v>
      </c>
      <c r="CD6" s="3109"/>
      <c r="CE6" s="3109"/>
      <c r="CF6" s="3109"/>
      <c r="CG6" s="2734"/>
      <c r="CH6" s="3109"/>
      <c r="CI6" s="3109"/>
      <c r="CJ6" s="3109"/>
      <c r="CK6" s="2734"/>
    </row>
    <row r="7" spans="2:174" s="1885" customFormat="1" ht="23.25" x14ac:dyDescent="0.2">
      <c r="C7" s="4667"/>
      <c r="D7" s="3057"/>
      <c r="E7" s="2813"/>
      <c r="F7" s="2813"/>
      <c r="G7" s="2813"/>
      <c r="H7" s="2813"/>
      <c r="I7" s="3050"/>
      <c r="J7" s="2001">
        <f>J6-E42</f>
        <v>2588.7520000000009</v>
      </c>
      <c r="K7" s="3054"/>
      <c r="L7" s="2816"/>
      <c r="M7" s="2817"/>
      <c r="N7" s="2818" t="e">
        <f t="shared" ref="N7:T7" si="12">N6/N5</f>
        <v>#DIV/0!</v>
      </c>
      <c r="O7" s="2818">
        <f t="shared" si="12"/>
        <v>0.23569933719615457</v>
      </c>
      <c r="P7" s="2818">
        <f t="shared" ref="P7:Q7" si="13">P6/P5</f>
        <v>0.23301851152247827</v>
      </c>
      <c r="Q7" s="2818">
        <f t="shared" si="13"/>
        <v>0.23940895658104117</v>
      </c>
      <c r="R7" s="2818">
        <f t="shared" ref="R7:S7" si="14">R6/R5</f>
        <v>0.24227186869015827</v>
      </c>
      <c r="S7" s="2818">
        <f t="shared" si="14"/>
        <v>0.24410720472960337</v>
      </c>
      <c r="T7" s="2818">
        <f t="shared" si="12"/>
        <v>0.25145578720345074</v>
      </c>
      <c r="U7" s="2819"/>
      <c r="V7" s="2820">
        <f>V6/V5</f>
        <v>0.24100845917094871</v>
      </c>
      <c r="W7" s="2821">
        <v>1157.298</v>
      </c>
      <c r="X7" s="2245">
        <f>W7-V6</f>
        <v>0.4010000000000673</v>
      </c>
      <c r="Y7" s="2822"/>
      <c r="Z7" s="2818"/>
      <c r="AA7" s="2818">
        <f t="shared" ref="AA7:AB7" si="15">AA6/AA5</f>
        <v>0.21971510006076544</v>
      </c>
      <c r="AB7" s="2818">
        <f t="shared" si="15"/>
        <v>0.23313884235994792</v>
      </c>
      <c r="AC7" s="2818">
        <f t="shared" ref="AC7:AD7" si="16">AC6/AC5</f>
        <v>0.21983586126909463</v>
      </c>
      <c r="AD7" s="2818">
        <f t="shared" si="16"/>
        <v>0.21064119656998814</v>
      </c>
      <c r="AE7" s="2818">
        <f t="shared" ref="AE7:AF7" si="17">AE6/AE5</f>
        <v>0.20829146707169843</v>
      </c>
      <c r="AF7" s="2818">
        <f t="shared" si="17"/>
        <v>0.20251377971558443</v>
      </c>
      <c r="AG7" s="2823"/>
      <c r="AH7" s="2820">
        <f>AH6/AH5</f>
        <v>0.21685761862729419</v>
      </c>
      <c r="AI7" s="2821">
        <v>1196.741</v>
      </c>
      <c r="AJ7" s="2245">
        <f>AI7-AH6</f>
        <v>-0.4590000000002874</v>
      </c>
      <c r="AK7" s="2823"/>
      <c r="AL7" s="2818"/>
      <c r="AM7" s="2818">
        <f t="shared" ref="AM7:AN7" si="18">AM6/AM5</f>
        <v>0.21153585898667557</v>
      </c>
      <c r="AN7" s="2818">
        <f t="shared" si="18"/>
        <v>0.23095373793464979</v>
      </c>
      <c r="AO7" s="2818">
        <f t="shared" ref="AO7:AP7" si="19">AO6/AO5</f>
        <v>0.22966591465183142</v>
      </c>
      <c r="AP7" s="2818">
        <f t="shared" si="19"/>
        <v>0.23291610485997591</v>
      </c>
      <c r="AQ7" s="2818">
        <f t="shared" ref="AQ7:AR7" si="20">AQ6/AQ5</f>
        <v>0.22160884540569498</v>
      </c>
      <c r="AR7" s="2818">
        <f t="shared" si="20"/>
        <v>0.21496605700664831</v>
      </c>
      <c r="AS7" s="3010">
        <f t="shared" ref="AS7" si="21">AS6/AS5</f>
        <v>0.20375591124045106</v>
      </c>
      <c r="AT7" s="2820">
        <f>AT6/AT5</f>
        <v>0.22154574780905531</v>
      </c>
      <c r="AU7" s="2821">
        <v>1696.9649999999999</v>
      </c>
      <c r="AV7" s="2245">
        <f>AU7-AT6</f>
        <v>1.5309999999997217</v>
      </c>
      <c r="AW7" s="2402"/>
      <c r="AX7" s="2818"/>
      <c r="AY7" s="2818"/>
      <c r="AZ7" s="2818"/>
      <c r="BA7" s="2818">
        <f t="shared" ref="BA7:BB7" si="22">BA6/BA5</f>
        <v>0.22510335678143895</v>
      </c>
      <c r="BB7" s="2818">
        <f t="shared" si="22"/>
        <v>0.22279686333084392</v>
      </c>
      <c r="BC7" s="2818">
        <f t="shared" ref="BC7:BD7" si="23">BC6/BC5</f>
        <v>0.21879253509919877</v>
      </c>
      <c r="BD7" s="2818">
        <f t="shared" si="23"/>
        <v>0.20546715810506472</v>
      </c>
      <c r="BE7" s="2823"/>
      <c r="BF7" s="2820">
        <f>BF6/BF5</f>
        <v>0.21665031679184216</v>
      </c>
      <c r="BG7" s="2821">
        <v>693.37800000000004</v>
      </c>
      <c r="BH7" s="2245">
        <f>BG7-BF6</f>
        <v>-8.4999999999922693E-2</v>
      </c>
      <c r="BI7" s="2011"/>
      <c r="BJ7" s="2818" t="e">
        <f t="shared" ref="BJ7:BL7" si="24">BJ6/BJ5</f>
        <v>#DIV/0!</v>
      </c>
      <c r="BK7" s="2818">
        <f t="shared" si="24"/>
        <v>0.22000829684259046</v>
      </c>
      <c r="BL7" s="2818">
        <f t="shared" si="24"/>
        <v>0.24459722333253389</v>
      </c>
      <c r="BM7" s="2823"/>
      <c r="BN7" s="2820">
        <f>BN6/BN5</f>
        <v>0.23165208410581753</v>
      </c>
      <c r="BO7" s="2821">
        <v>467.27800000000002</v>
      </c>
      <c r="BP7" s="2245">
        <f>BO7-BN6</f>
        <v>-10.029999999999973</v>
      </c>
      <c r="BR7" s="4614"/>
      <c r="BS7" s="4580"/>
      <c r="BU7" s="2820">
        <f>BU6/BU5</f>
        <v>0.2246745721143856</v>
      </c>
      <c r="BV7" s="3042">
        <v>5246.2870000000003</v>
      </c>
      <c r="BW7" s="2010"/>
      <c r="BX7" s="2824">
        <f>BV7-BU6</f>
        <v>25.984999999999673</v>
      </c>
      <c r="BY7" s="1900"/>
      <c r="BZ7" s="2825"/>
      <c r="CA7" s="2826"/>
      <c r="CB7" s="2752"/>
      <c r="CC7" s="2828"/>
      <c r="CD7" s="3110"/>
      <c r="CE7" s="3110"/>
      <c r="CF7" s="3110"/>
      <c r="CG7" s="2832"/>
      <c r="CH7" s="3110"/>
      <c r="CI7" s="3110"/>
      <c r="CJ7" s="3110"/>
      <c r="CK7" s="2832"/>
    </row>
    <row r="8" spans="2:174" ht="24" thickBot="1" x14ac:dyDescent="0.25">
      <c r="C8" s="4668"/>
      <c r="D8" s="1847"/>
      <c r="E8" s="1745"/>
      <c r="F8" s="1745"/>
      <c r="G8" s="1745"/>
      <c r="H8" s="1745"/>
      <c r="I8" s="3229"/>
      <c r="J8" s="1746"/>
      <c r="K8" s="2382"/>
      <c r="L8" s="1720"/>
      <c r="M8" s="3216"/>
      <c r="N8" s="1747"/>
      <c r="O8" s="1747"/>
      <c r="P8" s="1747"/>
      <c r="Q8" s="1747"/>
      <c r="R8" s="1747"/>
      <c r="S8" s="1747"/>
      <c r="T8" s="1747"/>
      <c r="U8" s="1748"/>
      <c r="V8" s="2021"/>
      <c r="W8" s="1786"/>
      <c r="X8" s="2278"/>
      <c r="Y8" s="3218"/>
      <c r="Z8" s="1747"/>
      <c r="AA8" s="1747"/>
      <c r="AB8" s="1747"/>
      <c r="AC8" s="1747"/>
      <c r="AD8" s="1747"/>
      <c r="AE8" s="1747"/>
      <c r="AF8" s="1747"/>
      <c r="AG8" s="1723"/>
      <c r="AH8" s="2021"/>
      <c r="AI8" s="1786"/>
      <c r="AJ8" s="2278"/>
      <c r="AK8" s="1723"/>
      <c r="AL8" s="1747"/>
      <c r="AM8" s="1747"/>
      <c r="AN8" s="1747"/>
      <c r="AO8" s="1747"/>
      <c r="AP8" s="1747"/>
      <c r="AQ8" s="1747"/>
      <c r="AR8" s="1747"/>
      <c r="AS8" s="3011"/>
      <c r="AT8" s="2021"/>
      <c r="AU8" s="1786"/>
      <c r="AV8" s="2278"/>
      <c r="AW8" s="2039"/>
      <c r="AX8" s="1747"/>
      <c r="AY8" s="1747"/>
      <c r="AZ8" s="1747"/>
      <c r="BA8" s="1747"/>
      <c r="BB8" s="1747"/>
      <c r="BC8" s="1747"/>
      <c r="BD8" s="1747"/>
      <c r="BE8" s="2039"/>
      <c r="BF8" s="2021"/>
      <c r="BG8" s="1786"/>
      <c r="BH8" s="2278"/>
      <c r="BI8" s="1994"/>
      <c r="BJ8" s="1747"/>
      <c r="BK8" s="1747"/>
      <c r="BL8" s="1747"/>
      <c r="BM8" s="1994"/>
      <c r="BN8" s="2021"/>
      <c r="BO8" s="1786"/>
      <c r="BP8" s="2278"/>
      <c r="BR8" s="4614"/>
      <c r="BS8" s="4580"/>
      <c r="BU8" s="2326"/>
      <c r="BV8" s="2022">
        <f>BV7/BU5</f>
        <v>0.22579293054583119</v>
      </c>
      <c r="BW8" s="1993"/>
      <c r="BX8" s="3026">
        <f>BX7/BU6</f>
        <v>4.9776813678594975E-3</v>
      </c>
      <c r="BY8" s="1754"/>
      <c r="BZ8" s="2753"/>
      <c r="CA8" s="2754"/>
      <c r="CB8" s="2755"/>
      <c r="CC8" s="1755"/>
      <c r="CD8" s="2271"/>
      <c r="CE8" s="2271"/>
      <c r="CF8" s="2271"/>
      <c r="CG8" s="1725"/>
      <c r="CH8" s="2271"/>
      <c r="CI8" s="2271"/>
      <c r="CJ8" s="2271"/>
      <c r="CK8" s="1725"/>
    </row>
    <row r="9" spans="2:174" s="1923" customFormat="1" ht="5.25" customHeight="1" thickBot="1" x14ac:dyDescent="0.25">
      <c r="C9" s="2273"/>
      <c r="D9" s="1800"/>
      <c r="E9" s="1804"/>
      <c r="F9" s="1804"/>
      <c r="G9" s="1804"/>
      <c r="H9" s="1804"/>
      <c r="I9" s="1804"/>
      <c r="J9" s="1803"/>
      <c r="K9" s="2272"/>
      <c r="L9" s="3216"/>
      <c r="M9" s="3216"/>
      <c r="N9" s="2026"/>
      <c r="O9" s="2026"/>
      <c r="P9" s="2026"/>
      <c r="Q9" s="2026"/>
      <c r="R9" s="2026"/>
      <c r="S9" s="2026"/>
      <c r="T9" s="2026"/>
      <c r="U9" s="1994"/>
      <c r="V9" s="3213"/>
      <c r="W9" s="1801"/>
      <c r="X9" s="3213"/>
      <c r="Y9" s="3217"/>
      <c r="Z9" s="2026"/>
      <c r="AA9" s="2026"/>
      <c r="AB9" s="2026"/>
      <c r="AC9" s="2026"/>
      <c r="AD9" s="2026"/>
      <c r="AE9" s="2026"/>
      <c r="AF9" s="2026"/>
      <c r="AG9" s="3217"/>
      <c r="AH9" s="3213"/>
      <c r="AI9" s="1801"/>
      <c r="AJ9" s="3213"/>
      <c r="AK9" s="3217"/>
      <c r="AL9" s="2026"/>
      <c r="AM9" s="2026"/>
      <c r="AN9" s="2026"/>
      <c r="AO9" s="2026"/>
      <c r="AP9" s="2026"/>
      <c r="AQ9" s="2026"/>
      <c r="AR9" s="2026"/>
      <c r="AS9" s="1994"/>
      <c r="AT9" s="3213"/>
      <c r="AU9" s="1801"/>
      <c r="AV9" s="3213"/>
      <c r="AW9" s="1994"/>
      <c r="AX9" s="2026"/>
      <c r="AY9" s="2026"/>
      <c r="AZ9" s="2026"/>
      <c r="BA9" s="2026"/>
      <c r="BB9" s="2026"/>
      <c r="BC9" s="2026"/>
      <c r="BD9" s="2026"/>
      <c r="BE9" s="1994"/>
      <c r="BF9" s="3213"/>
      <c r="BG9" s="1801"/>
      <c r="BH9" s="3213"/>
      <c r="BI9" s="1994"/>
      <c r="BJ9" s="3228"/>
      <c r="BK9" s="3228"/>
      <c r="BL9" s="3228"/>
      <c r="BM9" s="1994"/>
      <c r="BN9" s="3213"/>
      <c r="BO9" s="1801"/>
      <c r="BP9" s="3213"/>
      <c r="BR9" s="4614"/>
      <c r="BS9" s="4580"/>
      <c r="BU9" s="1805"/>
      <c r="BV9" s="1993"/>
      <c r="BW9" s="1993"/>
      <c r="BX9" s="2325"/>
      <c r="BY9" s="1994"/>
      <c r="BZ9" s="2270"/>
      <c r="CA9" s="2270"/>
      <c r="CB9" s="2270"/>
      <c r="CC9" s="1755"/>
      <c r="CD9" s="2271"/>
      <c r="CE9" s="2271"/>
      <c r="CF9" s="2271"/>
      <c r="CG9" s="1725"/>
      <c r="CH9" s="2271"/>
      <c r="CI9" s="2271"/>
      <c r="CJ9" s="2271"/>
      <c r="CK9" s="1725"/>
    </row>
    <row r="10" spans="2:174" s="1810" customFormat="1" ht="17.25" customHeight="1" x14ac:dyDescent="0.2">
      <c r="C10" s="1811" t="s">
        <v>190</v>
      </c>
      <c r="D10" s="1727"/>
      <c r="E10" s="1812"/>
      <c r="F10" s="1812"/>
      <c r="G10" s="1812"/>
      <c r="H10" s="1812"/>
      <c r="I10" s="1812"/>
      <c r="J10" s="1813">
        <f>BU10</f>
        <v>1229.8729583333336</v>
      </c>
      <c r="K10" s="4564">
        <f>CC1-J10</f>
        <v>64.503041666666832</v>
      </c>
      <c r="L10" s="1760"/>
      <c r="M10" s="1761"/>
      <c r="N10" s="1735">
        <f t="shared" ref="N10:T10" si="25">(N6-N42)/2</f>
        <v>0</v>
      </c>
      <c r="O10" s="1735">
        <f t="shared" si="25"/>
        <v>59.095541666666676</v>
      </c>
      <c r="P10" s="1735">
        <f t="shared" si="25"/>
        <v>22.276041666666671</v>
      </c>
      <c r="Q10" s="1735">
        <f t="shared" si="25"/>
        <v>50.49204166666668</v>
      </c>
      <c r="R10" s="1735">
        <f>(R6-R42)/2</f>
        <v>38.166041666666672</v>
      </c>
      <c r="S10" s="1735">
        <f t="shared" si="25"/>
        <v>29.366541666666677</v>
      </c>
      <c r="T10" s="1735">
        <f t="shared" si="25"/>
        <v>50.108541666666682</v>
      </c>
      <c r="U10" s="3227"/>
      <c r="V10" s="1771">
        <f>SUM(N10:T10)</f>
        <v>249.50475000000006</v>
      </c>
      <c r="W10" s="1815"/>
      <c r="X10" s="1816"/>
      <c r="Y10" s="1764"/>
      <c r="Z10" s="1735">
        <f t="shared" ref="Z10:AF10" si="26">(Z6-Z42)/2</f>
        <v>0</v>
      </c>
      <c r="AA10" s="1735">
        <f t="shared" si="26"/>
        <v>53.830541666666676</v>
      </c>
      <c r="AB10" s="1735">
        <f t="shared" si="26"/>
        <v>70.44154166666668</v>
      </c>
      <c r="AC10" s="1735">
        <f t="shared" si="26"/>
        <v>67.242541666666682</v>
      </c>
      <c r="AD10" s="1735">
        <f t="shared" si="26"/>
        <v>17.457041666666683</v>
      </c>
      <c r="AE10" s="1735">
        <f t="shared" si="26"/>
        <v>25.400541666666683</v>
      </c>
      <c r="AF10" s="1735">
        <f t="shared" si="26"/>
        <v>35.284041666666681</v>
      </c>
      <c r="AG10" s="1764"/>
      <c r="AH10" s="1771">
        <f>SUM(Z10:AF10)</f>
        <v>269.65625000000006</v>
      </c>
      <c r="AI10" s="1815"/>
      <c r="AJ10" s="1816"/>
      <c r="AK10" s="1764"/>
      <c r="AL10" s="1735">
        <f t="shared" ref="AL10:AR10" si="27">(AL6-AL42)/2</f>
        <v>0</v>
      </c>
      <c r="AM10" s="1735">
        <f t="shared" si="27"/>
        <v>71.785541666666674</v>
      </c>
      <c r="AN10" s="1735">
        <f t="shared" si="27"/>
        <v>20.954041666666683</v>
      </c>
      <c r="AO10" s="1735">
        <f t="shared" si="27"/>
        <v>63.162541666666684</v>
      </c>
      <c r="AP10" s="1735">
        <f t="shared" si="27"/>
        <v>62.296041666666682</v>
      </c>
      <c r="AQ10" s="1735">
        <f t="shared" si="27"/>
        <v>125.52154166666666</v>
      </c>
      <c r="AR10" s="1735">
        <f t="shared" si="27"/>
        <v>175.05354166666666</v>
      </c>
      <c r="AS10" s="2289"/>
      <c r="AT10" s="1771">
        <f>SUM(AL10:AR10)</f>
        <v>518.77325000000008</v>
      </c>
      <c r="AU10" s="1815"/>
      <c r="AV10" s="1816"/>
      <c r="AW10" s="2289"/>
      <c r="AX10" s="1735">
        <f t="shared" ref="AX10:BD10" si="28">(AX6-AX42)/2</f>
        <v>0</v>
      </c>
      <c r="AY10" s="1735">
        <f t="shared" si="28"/>
        <v>0</v>
      </c>
      <c r="AZ10" s="1735">
        <f t="shared" si="28"/>
        <v>0</v>
      </c>
      <c r="BA10" s="1735">
        <f t="shared" si="28"/>
        <v>18.136541666666673</v>
      </c>
      <c r="BB10" s="1735">
        <f t="shared" si="28"/>
        <v>34.673541666666679</v>
      </c>
      <c r="BC10" s="1735">
        <f t="shared" si="28"/>
        <v>20.243541666666673</v>
      </c>
      <c r="BD10" s="1735">
        <f t="shared" si="28"/>
        <v>54.38204166666668</v>
      </c>
      <c r="BE10" s="2289"/>
      <c r="BF10" s="1771">
        <f>SUM(AX10:BD10)</f>
        <v>127.43566666666671</v>
      </c>
      <c r="BG10" s="1815"/>
      <c r="BH10" s="1816"/>
      <c r="BI10" s="3227"/>
      <c r="BJ10" s="1735">
        <f>(BJ6-BJ42)/2</f>
        <v>0</v>
      </c>
      <c r="BK10" s="1735">
        <f>(BK6-BK42)/2</f>
        <v>64.503041666666675</v>
      </c>
      <c r="BL10" s="1735">
        <f>(BL6-BL42)/2</f>
        <v>64.503041666666675</v>
      </c>
      <c r="BM10" s="3227"/>
      <c r="BN10" s="1771">
        <f>SUM(BJ10:BL10)</f>
        <v>129.00608333333335</v>
      </c>
      <c r="BO10" s="1815"/>
      <c r="BP10" s="1816"/>
      <c r="BQ10" s="1766"/>
      <c r="BR10" s="4614"/>
      <c r="BS10" s="4580"/>
      <c r="BT10" s="1766"/>
      <c r="BU10" s="1771">
        <f>SUM(N10:T10)+SUM(Z10:AF10)+SUM(AL10:AR10)+SUM(AX10:BD10)+SUM(BL10:BL10)</f>
        <v>1229.8729583333336</v>
      </c>
      <c r="BV10" s="2340"/>
      <c r="BW10" s="1830"/>
      <c r="BX10" s="2348">
        <v>0</v>
      </c>
      <c r="BY10" s="1817"/>
      <c r="BZ10" s="4578" t="s">
        <v>226</v>
      </c>
      <c r="CA10" s="4578"/>
      <c r="CB10" s="1818"/>
      <c r="CC10" s="1774"/>
      <c r="CD10" s="1766"/>
      <c r="CE10" s="1766"/>
      <c r="CF10" s="1819"/>
      <c r="CG10" s="1820"/>
      <c r="CH10" s="1766"/>
      <c r="CI10" s="1766"/>
      <c r="CJ10" s="1819"/>
      <c r="CK10" s="1820"/>
      <c r="CL10" s="1821"/>
      <c r="CM10" s="1821"/>
      <c r="CN10" s="1821"/>
      <c r="CO10" s="1821"/>
      <c r="CP10" s="1821"/>
      <c r="CQ10" s="1821"/>
      <c r="CR10" s="1821"/>
      <c r="CS10" s="1821"/>
      <c r="CT10" s="1821"/>
      <c r="CU10" s="1821"/>
      <c r="CV10" s="1821"/>
      <c r="CW10" s="1821"/>
      <c r="CX10" s="1821"/>
      <c r="CY10" s="1821"/>
      <c r="CZ10" s="1821"/>
      <c r="DA10" s="1821"/>
      <c r="DB10" s="1821"/>
      <c r="DC10" s="1821"/>
      <c r="DD10" s="1821"/>
      <c r="DE10" s="1821"/>
      <c r="DF10" s="1821"/>
      <c r="DG10" s="1821"/>
      <c r="DH10" s="1821"/>
      <c r="DI10" s="1821"/>
      <c r="DJ10" s="1821"/>
      <c r="DK10" s="1821"/>
      <c r="DL10" s="1821"/>
      <c r="DM10" s="1821"/>
      <c r="DN10" s="1821"/>
      <c r="DO10" s="1821"/>
      <c r="DP10" s="1821"/>
      <c r="DQ10" s="1821"/>
      <c r="DR10" s="1821"/>
      <c r="DS10" s="1821"/>
      <c r="DT10" s="1821"/>
      <c r="DU10" s="1821"/>
      <c r="DV10" s="1821"/>
      <c r="DW10" s="1821"/>
      <c r="DX10" s="1821"/>
      <c r="DY10" s="1821"/>
      <c r="DZ10" s="1821"/>
      <c r="EA10" s="1821"/>
      <c r="EB10" s="1821"/>
      <c r="EC10" s="1821"/>
      <c r="ED10" s="1821"/>
      <c r="EE10" s="1821"/>
      <c r="EF10" s="1821"/>
      <c r="EG10" s="1821"/>
      <c r="EH10" s="1821"/>
      <c r="EI10" s="1821"/>
      <c r="EJ10" s="1821"/>
      <c r="EK10" s="1821"/>
      <c r="EL10" s="1821"/>
      <c r="EM10" s="1821"/>
      <c r="EN10" s="1821"/>
      <c r="EO10" s="1821"/>
      <c r="EP10" s="1821"/>
      <c r="EQ10" s="1821"/>
      <c r="ER10" s="1821"/>
      <c r="ES10" s="1821"/>
      <c r="ET10" s="1821"/>
      <c r="EU10" s="1821"/>
      <c r="EV10" s="1821"/>
      <c r="EW10" s="1821"/>
      <c r="EX10" s="1821"/>
      <c r="EY10" s="1821"/>
      <c r="EZ10" s="1821"/>
      <c r="FA10" s="1821"/>
      <c r="FB10" s="1821"/>
      <c r="FC10" s="1821"/>
      <c r="FD10" s="1821"/>
      <c r="FE10" s="1821"/>
      <c r="FF10" s="1821"/>
      <c r="FG10" s="1821"/>
      <c r="FH10" s="1821"/>
      <c r="FI10" s="1821"/>
      <c r="FJ10" s="1821"/>
      <c r="FK10" s="1821"/>
      <c r="FL10" s="1821"/>
      <c r="FM10" s="1821"/>
      <c r="FN10" s="1821"/>
      <c r="FO10" s="1821"/>
      <c r="FP10" s="1821"/>
      <c r="FQ10" s="1821"/>
      <c r="FR10" s="1821"/>
    </row>
    <row r="11" spans="2:174" s="1777" customFormat="1" ht="17.25" customHeight="1" thickBot="1" x14ac:dyDescent="0.25">
      <c r="C11" s="1822" t="s">
        <v>169</v>
      </c>
      <c r="D11" s="1744"/>
      <c r="E11" s="1823"/>
      <c r="F11" s="1823"/>
      <c r="G11" s="1823"/>
      <c r="H11" s="1823"/>
      <c r="I11" s="1823"/>
      <c r="J11" s="1824"/>
      <c r="K11" s="4565">
        <f t="shared" ref="K11" si="29">BR51</f>
        <v>0</v>
      </c>
      <c r="L11" s="1782"/>
      <c r="M11" s="1783"/>
      <c r="N11" s="1750">
        <f t="shared" ref="N11:T11" si="30">N10</f>
        <v>0</v>
      </c>
      <c r="O11" s="1750">
        <f t="shared" si="30"/>
        <v>59.095541666666676</v>
      </c>
      <c r="P11" s="1750">
        <f t="shared" si="30"/>
        <v>22.276041666666671</v>
      </c>
      <c r="Q11" s="1750">
        <f t="shared" si="30"/>
        <v>50.49204166666668</v>
      </c>
      <c r="R11" s="1750">
        <f t="shared" si="30"/>
        <v>38.166041666666672</v>
      </c>
      <c r="S11" s="1750">
        <f t="shared" si="30"/>
        <v>29.366541666666677</v>
      </c>
      <c r="T11" s="1750">
        <f t="shared" si="30"/>
        <v>50.108541666666682</v>
      </c>
      <c r="U11" s="1801"/>
      <c r="V11" s="1785">
        <f>SUM(N11:T11)</f>
        <v>249.50475000000006</v>
      </c>
      <c r="W11" s="1825"/>
      <c r="X11" s="1826"/>
      <c r="Y11" s="1788"/>
      <c r="Z11" s="1750">
        <f t="shared" ref="Z11:AF11" si="31">Z10</f>
        <v>0</v>
      </c>
      <c r="AA11" s="1750">
        <f t="shared" si="31"/>
        <v>53.830541666666676</v>
      </c>
      <c r="AB11" s="1750">
        <f t="shared" si="31"/>
        <v>70.44154166666668</v>
      </c>
      <c r="AC11" s="1750">
        <f t="shared" si="31"/>
        <v>67.242541666666682</v>
      </c>
      <c r="AD11" s="1750">
        <f t="shared" si="31"/>
        <v>17.457041666666683</v>
      </c>
      <c r="AE11" s="1750">
        <f t="shared" si="31"/>
        <v>25.400541666666683</v>
      </c>
      <c r="AF11" s="1750">
        <f t="shared" si="31"/>
        <v>35.284041666666681</v>
      </c>
      <c r="AG11" s="1788"/>
      <c r="AH11" s="1785">
        <f>SUM(Z11:AF11)</f>
        <v>269.65625000000006</v>
      </c>
      <c r="AI11" s="1825"/>
      <c r="AJ11" s="1826"/>
      <c r="AK11" s="1788"/>
      <c r="AL11" s="1750">
        <f t="shared" ref="AL11:AR11" si="32">AL10</f>
        <v>0</v>
      </c>
      <c r="AM11" s="1750">
        <f t="shared" si="32"/>
        <v>71.785541666666674</v>
      </c>
      <c r="AN11" s="1750">
        <f t="shared" si="32"/>
        <v>20.954041666666683</v>
      </c>
      <c r="AO11" s="1750">
        <f t="shared" si="32"/>
        <v>63.162541666666684</v>
      </c>
      <c r="AP11" s="1750">
        <f t="shared" si="32"/>
        <v>62.296041666666682</v>
      </c>
      <c r="AQ11" s="1750">
        <f t="shared" si="32"/>
        <v>125.52154166666666</v>
      </c>
      <c r="AR11" s="1750">
        <f t="shared" si="32"/>
        <v>175.05354166666666</v>
      </c>
      <c r="AS11" s="2290"/>
      <c r="AT11" s="1785">
        <f>SUM(AL11:AR11)</f>
        <v>518.77325000000008</v>
      </c>
      <c r="AU11" s="1825"/>
      <c r="AV11" s="1826"/>
      <c r="AW11" s="2290"/>
      <c r="AX11" s="1750">
        <f t="shared" ref="AX11:BD11" si="33">AX10</f>
        <v>0</v>
      </c>
      <c r="AY11" s="1750">
        <f t="shared" si="33"/>
        <v>0</v>
      </c>
      <c r="AZ11" s="1750">
        <f t="shared" si="33"/>
        <v>0</v>
      </c>
      <c r="BA11" s="1750">
        <f t="shared" si="33"/>
        <v>18.136541666666673</v>
      </c>
      <c r="BB11" s="1750">
        <f t="shared" si="33"/>
        <v>34.673541666666679</v>
      </c>
      <c r="BC11" s="1750">
        <f t="shared" si="33"/>
        <v>20.243541666666673</v>
      </c>
      <c r="BD11" s="1750">
        <f t="shared" si="33"/>
        <v>54.38204166666668</v>
      </c>
      <c r="BE11" s="2290"/>
      <c r="BF11" s="1785">
        <f>SUM(AX11:BD11)</f>
        <v>127.43566666666671</v>
      </c>
      <c r="BG11" s="1825"/>
      <c r="BH11" s="1826"/>
      <c r="BI11" s="1801"/>
      <c r="BJ11" s="1750">
        <f t="shared" ref="BJ11:BL11" si="34">BJ10</f>
        <v>0</v>
      </c>
      <c r="BK11" s="1750">
        <f t="shared" si="34"/>
        <v>64.503041666666675</v>
      </c>
      <c r="BL11" s="1750">
        <f t="shared" si="34"/>
        <v>64.503041666666675</v>
      </c>
      <c r="BM11" s="1801"/>
      <c r="BN11" s="1785">
        <f>SUM(BJ11:BL11)</f>
        <v>129.00608333333335</v>
      </c>
      <c r="BO11" s="1825"/>
      <c r="BP11" s="1826"/>
      <c r="BQ11" s="1792"/>
      <c r="BR11" s="4614"/>
      <c r="BS11" s="4580"/>
      <c r="BT11" s="1792"/>
      <c r="BU11" s="1793"/>
      <c r="BV11" s="2341"/>
      <c r="BW11" s="1802"/>
      <c r="BX11" s="2349"/>
      <c r="BY11" s="1795"/>
      <c r="BZ11" s="4578"/>
      <c r="CA11" s="4578"/>
      <c r="CB11" s="1805"/>
      <c r="CC11" s="1797"/>
      <c r="CD11" s="1791"/>
      <c r="CE11" s="1791"/>
      <c r="CF11" s="1807"/>
      <c r="CG11" s="1798"/>
      <c r="CH11" s="1791"/>
      <c r="CI11" s="1791"/>
      <c r="CJ11" s="1807"/>
      <c r="CK11" s="1798"/>
      <c r="CL11" s="1799"/>
      <c r="CM11" s="1799"/>
      <c r="CN11" s="1799"/>
      <c r="CO11" s="1799"/>
      <c r="CP11" s="1799"/>
      <c r="CQ11" s="1799"/>
      <c r="CR11" s="1799"/>
      <c r="CS11" s="1799"/>
      <c r="CT11" s="1799"/>
      <c r="CU11" s="1799"/>
      <c r="CV11" s="1799"/>
      <c r="CW11" s="1799"/>
      <c r="CX11" s="1799"/>
      <c r="CY11" s="1799"/>
      <c r="CZ11" s="1799"/>
      <c r="DA11" s="1799"/>
      <c r="DB11" s="1799"/>
      <c r="DC11" s="1799"/>
      <c r="DD11" s="1799"/>
      <c r="DE11" s="1799"/>
      <c r="DF11" s="1799"/>
      <c r="DG11" s="1799"/>
      <c r="DH11" s="1799"/>
      <c r="DI11" s="1799"/>
      <c r="DJ11" s="1799"/>
      <c r="DK11" s="1799"/>
      <c r="DL11" s="1799"/>
      <c r="DM11" s="1799"/>
      <c r="DN11" s="1799"/>
      <c r="DO11" s="1799"/>
      <c r="DP11" s="1799"/>
      <c r="DQ11" s="1799"/>
      <c r="DR11" s="1799"/>
      <c r="DS11" s="1799"/>
      <c r="DT11" s="1799"/>
      <c r="DU11" s="1799"/>
      <c r="DV11" s="1799"/>
      <c r="DW11" s="1799"/>
      <c r="DX11" s="1799"/>
      <c r="DY11" s="1799"/>
      <c r="DZ11" s="1799"/>
      <c r="EA11" s="1799"/>
      <c r="EB11" s="1799"/>
      <c r="EC11" s="1799"/>
      <c r="ED11" s="1799"/>
      <c r="EE11" s="1799"/>
      <c r="EF11" s="1799"/>
      <c r="EG11" s="1799"/>
      <c r="EH11" s="1799"/>
      <c r="EI11" s="1799"/>
      <c r="EJ11" s="1799"/>
      <c r="EK11" s="1799"/>
      <c r="EL11" s="1799"/>
      <c r="EM11" s="1799"/>
      <c r="EN11" s="1799"/>
      <c r="EO11" s="1799"/>
      <c r="EP11" s="1799"/>
      <c r="EQ11" s="1799"/>
      <c r="ER11" s="1799"/>
      <c r="ES11" s="1799"/>
      <c r="ET11" s="1799"/>
      <c r="EU11" s="1799"/>
      <c r="EV11" s="1799"/>
      <c r="EW11" s="1799"/>
      <c r="EX11" s="1799"/>
      <c r="EY11" s="1799"/>
      <c r="EZ11" s="1799"/>
      <c r="FA11" s="1799"/>
      <c r="FB11" s="1799"/>
      <c r="FC11" s="1799"/>
      <c r="FD11" s="1799"/>
      <c r="FE11" s="1799"/>
      <c r="FF11" s="1799"/>
      <c r="FG11" s="1799"/>
      <c r="FH11" s="1799"/>
      <c r="FI11" s="1799"/>
      <c r="FJ11" s="1799"/>
      <c r="FK11" s="1799"/>
      <c r="FL11" s="1799"/>
      <c r="FM11" s="1799"/>
      <c r="FN11" s="1799"/>
      <c r="FO11" s="1799"/>
      <c r="FP11" s="1799"/>
      <c r="FQ11" s="1799"/>
      <c r="FR11" s="1799"/>
    </row>
    <row r="12" spans="2:174" s="1800" customFormat="1" ht="4.5" customHeight="1" thickBot="1" x14ac:dyDescent="0.25">
      <c r="E12" s="1791"/>
      <c r="F12" s="1791"/>
      <c r="G12" s="1791"/>
      <c r="H12" s="1791"/>
      <c r="I12" s="1791"/>
      <c r="J12" s="1791"/>
      <c r="K12" s="1783"/>
      <c r="L12" s="1782"/>
      <c r="M12" s="1783"/>
      <c r="N12" s="1803"/>
      <c r="O12" s="1803"/>
      <c r="P12" s="1803"/>
      <c r="Q12" s="1803"/>
      <c r="R12" s="1803"/>
      <c r="S12" s="1803"/>
      <c r="T12" s="1803"/>
      <c r="U12" s="1801"/>
      <c r="V12" s="1801"/>
      <c r="W12" s="1801"/>
      <c r="X12" s="1801"/>
      <c r="Y12" s="1791"/>
      <c r="Z12" s="1803"/>
      <c r="AA12" s="1803"/>
      <c r="AB12" s="1803"/>
      <c r="AC12" s="1803"/>
      <c r="AD12" s="1803"/>
      <c r="AE12" s="1803"/>
      <c r="AF12" s="1803"/>
      <c r="AG12" s="1791"/>
      <c r="AH12" s="1801"/>
      <c r="AI12" s="1801"/>
      <c r="AJ12" s="1801"/>
      <c r="AK12" s="1791"/>
      <c r="AL12" s="1803"/>
      <c r="AM12" s="1803"/>
      <c r="AN12" s="1803"/>
      <c r="AO12" s="1803"/>
      <c r="AP12" s="1803"/>
      <c r="AQ12" s="1803"/>
      <c r="AR12" s="1803"/>
      <c r="AS12" s="1801"/>
      <c r="AT12" s="1801"/>
      <c r="AU12" s="1801"/>
      <c r="AV12" s="1801"/>
      <c r="AW12" s="1801"/>
      <c r="AX12" s="1803"/>
      <c r="AY12" s="1803"/>
      <c r="AZ12" s="1803"/>
      <c r="BA12" s="1803"/>
      <c r="BB12" s="1803"/>
      <c r="BC12" s="1803"/>
      <c r="BD12" s="1803"/>
      <c r="BE12" s="1801"/>
      <c r="BF12" s="1801"/>
      <c r="BG12" s="1801"/>
      <c r="BH12" s="1801"/>
      <c r="BI12" s="1801"/>
      <c r="BJ12" s="1803"/>
      <c r="BK12" s="1803"/>
      <c r="BL12" s="1803"/>
      <c r="BM12" s="1801"/>
      <c r="BN12" s="1801"/>
      <c r="BO12" s="1801"/>
      <c r="BP12" s="1801"/>
      <c r="BQ12" s="1791"/>
      <c r="BR12" s="4614"/>
      <c r="BS12" s="4580"/>
      <c r="BT12" s="1791"/>
      <c r="BU12" s="1801"/>
      <c r="BV12" s="1802"/>
      <c r="BW12" s="1802"/>
      <c r="BX12" s="1805"/>
      <c r="BY12" s="1806"/>
      <c r="BZ12" s="1801"/>
      <c r="CA12" s="1805"/>
      <c r="CB12" s="1805"/>
      <c r="CC12" s="1797"/>
      <c r="CD12" s="1791"/>
      <c r="CE12" s="1791"/>
      <c r="CF12" s="1807"/>
      <c r="CG12" s="1808"/>
      <c r="CH12" s="1791"/>
      <c r="CI12" s="1791"/>
      <c r="CJ12" s="1807"/>
      <c r="CK12" s="1808"/>
      <c r="CL12" s="1809"/>
      <c r="CM12" s="1809"/>
      <c r="CN12" s="1809"/>
      <c r="CO12" s="1809"/>
      <c r="CP12" s="1809"/>
      <c r="CQ12" s="1809"/>
      <c r="CR12" s="1809"/>
      <c r="CS12" s="1809"/>
      <c r="CT12" s="1809"/>
      <c r="CU12" s="1809"/>
      <c r="CV12" s="1809"/>
      <c r="CW12" s="1809"/>
      <c r="CX12" s="1809"/>
      <c r="CY12" s="1809"/>
      <c r="CZ12" s="1809"/>
      <c r="DA12" s="1809"/>
      <c r="DB12" s="1809"/>
      <c r="DC12" s="1809"/>
      <c r="DD12" s="1809"/>
      <c r="DE12" s="1809"/>
      <c r="DF12" s="1809"/>
      <c r="DG12" s="1809"/>
      <c r="DH12" s="1809"/>
      <c r="DI12" s="1809"/>
      <c r="DJ12" s="1809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  <c r="FR12" s="1809"/>
    </row>
    <row r="13" spans="2:174" s="1756" customFormat="1" ht="15" customHeight="1" x14ac:dyDescent="0.2">
      <c r="C13" s="1810"/>
      <c r="D13" s="1810"/>
      <c r="K13" s="1810"/>
      <c r="L13" s="1827"/>
      <c r="M13" s="1810"/>
      <c r="N13" s="1735" t="str">
        <f>TEXT(N14,"DDDD")</f>
        <v>الجمعة</v>
      </c>
      <c r="O13" s="1735" t="str">
        <f t="shared" ref="O13:T13" si="35">TEXT(O14,"DDDD")</f>
        <v>السبت</v>
      </c>
      <c r="P13" s="1735" t="str">
        <f t="shared" si="35"/>
        <v>الأحد</v>
      </c>
      <c r="Q13" s="1735" t="str">
        <f t="shared" si="35"/>
        <v>الإثنين</v>
      </c>
      <c r="R13" s="1735" t="str">
        <f t="shared" si="35"/>
        <v>الثلاثاء</v>
      </c>
      <c r="S13" s="1735" t="str">
        <f t="shared" si="35"/>
        <v>الأربعاء</v>
      </c>
      <c r="T13" s="1735" t="str">
        <f t="shared" si="35"/>
        <v>الخميس</v>
      </c>
      <c r="U13" s="3227"/>
      <c r="V13" s="1771"/>
      <c r="W13" s="1815"/>
      <c r="X13" s="1816"/>
      <c r="Y13" s="1764"/>
      <c r="Z13" s="1735" t="str">
        <f>TEXT(Z14,"DDDD")</f>
        <v>الجمعة</v>
      </c>
      <c r="AA13" s="1735" t="str">
        <f t="shared" ref="AA13:AF13" si="36">TEXT(AA14,"DDDD")</f>
        <v>السبت</v>
      </c>
      <c r="AB13" s="1735" t="str">
        <f t="shared" si="36"/>
        <v>الأحد</v>
      </c>
      <c r="AC13" s="1735" t="str">
        <f t="shared" si="36"/>
        <v>الإثنين</v>
      </c>
      <c r="AD13" s="1735" t="str">
        <f t="shared" si="36"/>
        <v>الثلاثاء</v>
      </c>
      <c r="AE13" s="1735" t="str">
        <f t="shared" si="36"/>
        <v>الأربعاء</v>
      </c>
      <c r="AF13" s="1735" t="str">
        <f t="shared" si="36"/>
        <v>الخميس</v>
      </c>
      <c r="AG13" s="1764"/>
      <c r="AH13" s="1771"/>
      <c r="AI13" s="1815"/>
      <c r="AJ13" s="1829"/>
      <c r="AK13" s="1764"/>
      <c r="AL13" s="1735" t="str">
        <f>TEXT(AL14,"DDDD")</f>
        <v>الجمعة</v>
      </c>
      <c r="AM13" s="1735" t="str">
        <f t="shared" ref="AM13:AR13" si="37">TEXT(AM14,"DDDD")</f>
        <v>السبت</v>
      </c>
      <c r="AN13" s="1735" t="str">
        <f t="shared" si="37"/>
        <v>الأحد</v>
      </c>
      <c r="AO13" s="1735" t="str">
        <f t="shared" si="37"/>
        <v>الإثنين</v>
      </c>
      <c r="AP13" s="1735" t="str">
        <f t="shared" si="37"/>
        <v>الثلاثاء</v>
      </c>
      <c r="AQ13" s="1735" t="str">
        <f t="shared" si="37"/>
        <v>الأربعاء</v>
      </c>
      <c r="AR13" s="1735" t="str">
        <f t="shared" si="37"/>
        <v>الخميس</v>
      </c>
      <c r="AS13" s="2289"/>
      <c r="AT13" s="1771"/>
      <c r="AU13" s="1815"/>
      <c r="AV13" s="1816"/>
      <c r="AW13" s="2289"/>
      <c r="AX13" s="1735" t="str">
        <f>TEXT(AX14,"DDDD")</f>
        <v>الجمعة</v>
      </c>
      <c r="AY13" s="1735" t="str">
        <f t="shared" ref="AY13:BD13" si="38">TEXT(AY14,"DDDD")</f>
        <v>السبت</v>
      </c>
      <c r="AZ13" s="1735" t="str">
        <f t="shared" si="38"/>
        <v>الأحد</v>
      </c>
      <c r="BA13" s="1735" t="str">
        <f t="shared" si="38"/>
        <v>الإثنين</v>
      </c>
      <c r="BB13" s="1735" t="str">
        <f t="shared" si="38"/>
        <v>الثلاثاء</v>
      </c>
      <c r="BC13" s="1735" t="str">
        <f t="shared" si="38"/>
        <v>الأربعاء</v>
      </c>
      <c r="BD13" s="1735" t="str">
        <f t="shared" si="38"/>
        <v>الخميس</v>
      </c>
      <c r="BE13" s="2289"/>
      <c r="BF13" s="1771"/>
      <c r="BG13" s="1815"/>
      <c r="BH13" s="1816"/>
      <c r="BI13" s="3227"/>
      <c r="BJ13" s="1735" t="str">
        <f>TEXT(BJ14,"DDDD")</f>
        <v>الجمعة</v>
      </c>
      <c r="BK13" s="1735" t="str">
        <f t="shared" ref="BK13:BL13" si="39">TEXT(BK14,"DDDD")</f>
        <v>السبت</v>
      </c>
      <c r="BL13" s="1735" t="str">
        <f t="shared" si="39"/>
        <v>الأحد</v>
      </c>
      <c r="BM13" s="3227"/>
      <c r="BN13" s="1771"/>
      <c r="BO13" s="1815"/>
      <c r="BP13" s="1816"/>
      <c r="BR13" s="4614"/>
      <c r="BS13" s="4580"/>
      <c r="BU13" s="3227"/>
      <c r="BV13" s="1830"/>
      <c r="BW13" s="1830"/>
      <c r="BX13" s="1818"/>
      <c r="BY13" s="3202"/>
      <c r="BZ13" s="2742">
        <f>BV5-BU1</f>
        <v>0.99168192424310253</v>
      </c>
      <c r="CA13" s="4607"/>
      <c r="CB13" s="4608" t="s">
        <v>101</v>
      </c>
      <c r="CC13" s="1831"/>
      <c r="CD13" s="1832"/>
      <c r="CE13" s="1832" t="s">
        <v>252</v>
      </c>
      <c r="CF13" s="1833"/>
      <c r="CG13" s="1776"/>
      <c r="CH13" s="1776"/>
      <c r="CI13" s="1776"/>
      <c r="CJ13" s="1834"/>
      <c r="CK13" s="1776"/>
      <c r="CL13" s="1776"/>
      <c r="CM13" s="1776"/>
      <c r="CN13" s="1776"/>
      <c r="CO13" s="1776"/>
      <c r="CP13" s="1776"/>
      <c r="CQ13" s="1776"/>
      <c r="CR13" s="1776"/>
      <c r="CS13" s="1776"/>
      <c r="CT13" s="1776"/>
      <c r="CU13" s="1776"/>
      <c r="CV13" s="1776"/>
      <c r="CW13" s="1776"/>
      <c r="CX13" s="1776"/>
      <c r="CY13" s="1776"/>
      <c r="CZ13" s="1776"/>
      <c r="DA13" s="1776"/>
      <c r="DB13" s="1776"/>
      <c r="DC13" s="1776"/>
      <c r="DD13" s="1776"/>
      <c r="DE13" s="1776"/>
      <c r="DF13" s="1776"/>
      <c r="DG13" s="1776"/>
      <c r="DH13" s="1776"/>
      <c r="DI13" s="1776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  <c r="FR13" s="1776"/>
    </row>
    <row r="14" spans="2:174" s="1777" customFormat="1" ht="18.75" thickBot="1" x14ac:dyDescent="0.25">
      <c r="B14" s="1835" t="s">
        <v>0</v>
      </c>
      <c r="C14" s="1836" t="s">
        <v>1</v>
      </c>
      <c r="D14" s="1744"/>
      <c r="E14" s="1836" t="s">
        <v>24</v>
      </c>
      <c r="F14" s="1837" t="s">
        <v>108</v>
      </c>
      <c r="G14" s="1838" t="s">
        <v>109</v>
      </c>
      <c r="H14" s="1839" t="s">
        <v>110</v>
      </c>
      <c r="I14" s="1840" t="s">
        <v>111</v>
      </c>
      <c r="J14" s="1841" t="s">
        <v>107</v>
      </c>
      <c r="K14" s="1836" t="s">
        <v>2</v>
      </c>
      <c r="L14" s="1842"/>
      <c r="M14" s="1800"/>
      <c r="N14" s="3130">
        <v>43952</v>
      </c>
      <c r="O14" s="3130">
        <v>43953</v>
      </c>
      <c r="P14" s="3130">
        <v>43954</v>
      </c>
      <c r="Q14" s="3130">
        <v>43955</v>
      </c>
      <c r="R14" s="3130">
        <v>43956</v>
      </c>
      <c r="S14" s="3130">
        <v>43957</v>
      </c>
      <c r="T14" s="3130">
        <v>43958</v>
      </c>
      <c r="U14" s="1843"/>
      <c r="V14" s="1844"/>
      <c r="W14" s="1845"/>
      <c r="X14" s="1846"/>
      <c r="Y14" s="1847"/>
      <c r="Z14" s="3130">
        <v>43959</v>
      </c>
      <c r="AA14" s="3130">
        <v>43960</v>
      </c>
      <c r="AB14" s="3130">
        <v>43961</v>
      </c>
      <c r="AC14" s="3130">
        <v>43962</v>
      </c>
      <c r="AD14" s="3130">
        <v>43963</v>
      </c>
      <c r="AE14" s="3130">
        <v>43964</v>
      </c>
      <c r="AF14" s="3130">
        <v>43965</v>
      </c>
      <c r="AG14" s="1744"/>
      <c r="AH14" s="1844"/>
      <c r="AI14" s="1845"/>
      <c r="AJ14" s="1846"/>
      <c r="AK14" s="1744"/>
      <c r="AL14" s="3130">
        <v>43966</v>
      </c>
      <c r="AM14" s="3130">
        <v>43967</v>
      </c>
      <c r="AN14" s="3130">
        <v>43968</v>
      </c>
      <c r="AO14" s="3130">
        <v>43969</v>
      </c>
      <c r="AP14" s="3130">
        <v>43970</v>
      </c>
      <c r="AQ14" s="3130">
        <v>43971</v>
      </c>
      <c r="AR14" s="3130">
        <v>43972</v>
      </c>
      <c r="AS14" s="2291"/>
      <c r="AT14" s="1844"/>
      <c r="AU14" s="1845"/>
      <c r="AV14" s="1846"/>
      <c r="AW14" s="2291"/>
      <c r="AX14" s="3130">
        <v>43973</v>
      </c>
      <c r="AY14" s="3130">
        <v>43974</v>
      </c>
      <c r="AZ14" s="3130">
        <v>43975</v>
      </c>
      <c r="BA14" s="3130">
        <v>43976</v>
      </c>
      <c r="BB14" s="3130">
        <v>43977</v>
      </c>
      <c r="BC14" s="3130">
        <v>43978</v>
      </c>
      <c r="BD14" s="3130">
        <v>43979</v>
      </c>
      <c r="BE14" s="2291"/>
      <c r="BF14" s="1844"/>
      <c r="BG14" s="1845"/>
      <c r="BH14" s="1846"/>
      <c r="BI14" s="1806"/>
      <c r="BJ14" s="3130">
        <v>43980</v>
      </c>
      <c r="BK14" s="3130">
        <v>43981</v>
      </c>
      <c r="BL14" s="3130">
        <v>43982</v>
      </c>
      <c r="BM14" s="1806"/>
      <c r="BN14" s="1844"/>
      <c r="BO14" s="1845"/>
      <c r="BP14" s="1846"/>
      <c r="BR14" s="4615"/>
      <c r="BS14" s="4581"/>
      <c r="BU14" s="1835" t="s">
        <v>7</v>
      </c>
      <c r="BV14" s="1835" t="s">
        <v>2</v>
      </c>
      <c r="BW14" s="1806"/>
      <c r="BX14" s="1806"/>
      <c r="BY14" s="1795"/>
      <c r="BZ14" s="2743">
        <f>BV6-BU1</f>
        <v>1.2095430327152958</v>
      </c>
      <c r="CA14" s="4607"/>
      <c r="CB14" s="4608"/>
      <c r="CC14" s="1848"/>
      <c r="CD14" s="1799"/>
      <c r="CE14" s="1799"/>
      <c r="CF14" s="1799"/>
      <c r="CG14" s="1799"/>
      <c r="CH14" s="1799"/>
      <c r="CI14" s="1799"/>
      <c r="CJ14" s="1799"/>
      <c r="CK14" s="1799"/>
      <c r="CL14" s="1799"/>
      <c r="CM14" s="1799"/>
      <c r="CN14" s="1799"/>
      <c r="CO14" s="1799"/>
      <c r="CP14" s="1799"/>
      <c r="CQ14" s="1799"/>
      <c r="CR14" s="1799"/>
      <c r="CS14" s="1799"/>
      <c r="CT14" s="1799"/>
      <c r="CU14" s="1799"/>
      <c r="CV14" s="1799"/>
      <c r="CW14" s="1799"/>
      <c r="CX14" s="1799"/>
      <c r="CY14" s="1799"/>
      <c r="CZ14" s="1799"/>
      <c r="DA14" s="1799"/>
      <c r="DB14" s="1799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  <c r="FR14" s="1799"/>
    </row>
    <row r="15" spans="2:174" s="1777" customFormat="1" ht="4.5" customHeight="1" x14ac:dyDescent="0.2">
      <c r="B15" s="1806"/>
      <c r="C15" s="1800"/>
      <c r="D15" s="1800"/>
      <c r="E15" s="1800"/>
      <c r="F15" s="1849"/>
      <c r="G15" s="1850"/>
      <c r="H15" s="1851"/>
      <c r="I15" s="1852"/>
      <c r="J15" s="1800"/>
      <c r="K15" s="1800"/>
      <c r="L15" s="1842"/>
      <c r="M15" s="1800"/>
      <c r="N15" s="1806"/>
      <c r="O15" s="1806"/>
      <c r="P15" s="1806"/>
      <c r="Q15" s="1806"/>
      <c r="R15" s="1806"/>
      <c r="S15" s="1806"/>
      <c r="T15" s="1806"/>
      <c r="U15" s="1806"/>
      <c r="V15" s="1806"/>
      <c r="W15" s="1806"/>
      <c r="X15" s="1806"/>
      <c r="Y15" s="1800"/>
      <c r="Z15" s="1806"/>
      <c r="AA15" s="1806"/>
      <c r="AB15" s="1806"/>
      <c r="AC15" s="1806"/>
      <c r="AD15" s="1806"/>
      <c r="AE15" s="1806"/>
      <c r="AF15" s="1806"/>
      <c r="AG15" s="1800"/>
      <c r="AH15" s="1806"/>
      <c r="AI15" s="1806"/>
      <c r="AJ15" s="1806"/>
      <c r="AK15" s="1800"/>
      <c r="AL15" s="1806"/>
      <c r="AM15" s="1806"/>
      <c r="AN15" s="1806"/>
      <c r="AO15" s="1806"/>
      <c r="AP15" s="1806"/>
      <c r="AQ15" s="1806"/>
      <c r="AR15" s="1806"/>
      <c r="AS15" s="1806"/>
      <c r="AT15" s="1806"/>
      <c r="AU15" s="1806"/>
      <c r="AV15" s="1806"/>
      <c r="AW15" s="1806"/>
      <c r="AX15" s="1806"/>
      <c r="AY15" s="1806"/>
      <c r="AZ15" s="1806"/>
      <c r="BA15" s="1806"/>
      <c r="BB15" s="1806"/>
      <c r="BC15" s="1806"/>
      <c r="BD15" s="1806"/>
      <c r="BE15" s="1806"/>
      <c r="BF15" s="1806"/>
      <c r="BG15" s="1806"/>
      <c r="BH15" s="1806"/>
      <c r="BI15" s="1806"/>
      <c r="BJ15" s="1806"/>
      <c r="BK15" s="1806"/>
      <c r="BL15" s="1806"/>
      <c r="BM15" s="1806"/>
      <c r="BN15" s="1806"/>
      <c r="BO15" s="1806"/>
      <c r="BP15" s="1806"/>
      <c r="BR15" s="1853"/>
      <c r="BS15" s="1854"/>
      <c r="BU15" s="1800"/>
      <c r="BV15" s="1800"/>
      <c r="BW15" s="1800"/>
      <c r="BX15" s="1800"/>
      <c r="BZ15" s="1855"/>
      <c r="CA15" s="1800"/>
      <c r="CB15" s="1800"/>
      <c r="CC15" s="1856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  <c r="CY15" s="1800"/>
      <c r="CZ15" s="1800"/>
      <c r="DA15" s="1800"/>
      <c r="DB15" s="1800"/>
      <c r="DC15" s="1800"/>
      <c r="DD15" s="1800"/>
      <c r="DE15" s="1800"/>
      <c r="DF15" s="1800"/>
      <c r="DG15" s="1800"/>
      <c r="DH15" s="1800"/>
      <c r="DI15" s="1800"/>
      <c r="DJ15" s="1800"/>
      <c r="DK15" s="1800"/>
      <c r="DL15" s="1800"/>
      <c r="DM15" s="1800"/>
      <c r="DN15" s="1800"/>
      <c r="DO15" s="1800"/>
      <c r="DP15" s="1800"/>
      <c r="DQ15" s="1800"/>
      <c r="DR15" s="1800"/>
      <c r="DS15" s="1800"/>
      <c r="DT15" s="1800"/>
      <c r="DU15" s="1800"/>
      <c r="DV15" s="1800"/>
      <c r="DW15" s="1800"/>
      <c r="DX15" s="1800"/>
      <c r="DY15" s="1800"/>
      <c r="DZ15" s="1800"/>
      <c r="EA15" s="1800"/>
      <c r="EB15" s="1800"/>
      <c r="EC15" s="1800"/>
      <c r="ED15" s="1800"/>
      <c r="EE15" s="1800"/>
      <c r="EF15" s="1800"/>
      <c r="EG15" s="1800"/>
      <c r="EH15" s="1800"/>
      <c r="EI15" s="1800"/>
      <c r="EJ15" s="1800"/>
      <c r="EK15" s="1800"/>
      <c r="EL15" s="1800"/>
      <c r="EM15" s="1800"/>
      <c r="EN15" s="1800"/>
      <c r="EO15" s="1800"/>
      <c r="EP15" s="1800"/>
      <c r="EQ15" s="1800"/>
      <c r="ER15" s="1800"/>
      <c r="ES15" s="1800"/>
      <c r="ET15" s="1800"/>
      <c r="EU15" s="1800"/>
      <c r="EV15" s="1800"/>
      <c r="EW15" s="1800"/>
      <c r="EX15" s="1800"/>
      <c r="EY15" s="1800"/>
      <c r="EZ15" s="1800"/>
      <c r="FA15" s="1800"/>
      <c r="FB15" s="1800"/>
      <c r="FC15" s="1800"/>
      <c r="FD15" s="1800"/>
      <c r="FE15" s="1800"/>
      <c r="FF15" s="1800"/>
      <c r="FG15" s="1800"/>
      <c r="FH15" s="1800"/>
      <c r="FI15" s="1800"/>
      <c r="FJ15" s="1800"/>
      <c r="FK15" s="1800"/>
      <c r="FL15" s="1800"/>
      <c r="FM15" s="1800"/>
      <c r="FN15" s="1800"/>
      <c r="FO15" s="1800"/>
      <c r="FP15" s="1800"/>
      <c r="FQ15" s="1800"/>
      <c r="FR15" s="1800"/>
    </row>
    <row r="16" spans="2:174" s="1810" customFormat="1" ht="21" thickBot="1" x14ac:dyDescent="0.25">
      <c r="B16" s="1963"/>
      <c r="C16" s="1964" t="s">
        <v>188</v>
      </c>
      <c r="D16" s="2578"/>
      <c r="E16" s="1728"/>
      <c r="F16" s="1728"/>
      <c r="G16" s="1728"/>
      <c r="H16" s="1728"/>
      <c r="I16" s="1728"/>
      <c r="J16" s="1728">
        <f>J42*100/20</f>
        <v>548.23958333333326</v>
      </c>
      <c r="K16" s="2383">
        <f>J16*CA20</f>
        <v>13157.749999999998</v>
      </c>
      <c r="L16" s="1924"/>
      <c r="M16" s="1966"/>
      <c r="N16" s="3205" t="s">
        <v>275</v>
      </c>
      <c r="O16" s="2266"/>
      <c r="P16" s="2266"/>
      <c r="Q16" s="2266"/>
      <c r="R16" s="2266"/>
      <c r="S16" s="2266"/>
      <c r="T16" s="2266"/>
      <c r="U16" s="3227"/>
      <c r="V16" s="4588"/>
      <c r="W16" s="4588"/>
      <c r="X16" s="4588"/>
      <c r="Y16" s="1766"/>
      <c r="Z16" s="3246" t="s">
        <v>275</v>
      </c>
      <c r="AA16" s="2266"/>
      <c r="AB16" s="2266"/>
      <c r="AC16" s="2266"/>
      <c r="AD16" s="2266"/>
      <c r="AE16" s="2266"/>
      <c r="AF16" s="2266"/>
      <c r="AG16" s="1766"/>
      <c r="AH16" s="4588"/>
      <c r="AI16" s="4588"/>
      <c r="AJ16" s="4588"/>
      <c r="AK16" s="1766"/>
      <c r="AL16" s="3293" t="s">
        <v>275</v>
      </c>
      <c r="AM16" s="2266"/>
      <c r="AN16" s="2266"/>
      <c r="AO16" s="2266"/>
      <c r="AP16" s="2266"/>
      <c r="AQ16" s="2266"/>
      <c r="AR16" s="3205"/>
      <c r="AS16" s="3227"/>
      <c r="AT16" s="4588"/>
      <c r="AU16" s="4588"/>
      <c r="AV16" s="4588"/>
      <c r="AW16" s="3227"/>
      <c r="AX16" s="3322" t="s">
        <v>275</v>
      </c>
      <c r="AY16" s="3322" t="s">
        <v>275</v>
      </c>
      <c r="AZ16" s="3322" t="s">
        <v>275</v>
      </c>
      <c r="BA16" s="2266"/>
      <c r="BB16" s="2266"/>
      <c r="BC16" s="2266"/>
      <c r="BD16" s="2266"/>
      <c r="BE16" s="3227"/>
      <c r="BF16" s="4588"/>
      <c r="BG16" s="4588"/>
      <c r="BH16" s="4588"/>
      <c r="BI16" s="3227"/>
      <c r="BJ16" s="3493" t="s">
        <v>275</v>
      </c>
      <c r="BK16" s="3205"/>
      <c r="BL16" s="3205"/>
      <c r="BM16" s="3227"/>
      <c r="BN16" s="4588"/>
      <c r="BO16" s="4588"/>
      <c r="BP16" s="4588"/>
      <c r="BR16" s="3205"/>
      <c r="BS16" s="1968"/>
      <c r="BT16" s="1817"/>
      <c r="BU16" s="3227"/>
      <c r="BV16" s="1830"/>
      <c r="BW16" s="1830"/>
      <c r="BX16" s="1761"/>
      <c r="BZ16" s="1860"/>
      <c r="CA16" s="3212"/>
      <c r="CB16" s="1860"/>
      <c r="CC16" s="1860"/>
      <c r="CD16" s="1860"/>
      <c r="CE16" s="1860"/>
      <c r="CF16" s="1860"/>
      <c r="CG16" s="1860"/>
      <c r="CH16" s="1860"/>
    </row>
    <row r="17" spans="1:87" x14ac:dyDescent="0.2">
      <c r="A17" s="1777"/>
      <c r="B17" s="1987">
        <v>13</v>
      </c>
      <c r="C17" s="1987" t="s">
        <v>197</v>
      </c>
      <c r="D17" s="1836"/>
      <c r="E17" s="1746">
        <v>1500</v>
      </c>
      <c r="F17" s="1746">
        <v>108.33333333333333</v>
      </c>
      <c r="G17" s="1746">
        <v>72.222222222222214</v>
      </c>
      <c r="H17" s="1746">
        <v>54.166666666666664</v>
      </c>
      <c r="I17" s="1746">
        <v>43.333333333333329</v>
      </c>
      <c r="J17" s="1746">
        <f>E17/24</f>
        <v>62.5</v>
      </c>
      <c r="K17" s="2583">
        <f t="shared" ref="K17:K40" si="40">E17/$E$42</f>
        <v>0.57000627006897087</v>
      </c>
      <c r="L17" s="1909"/>
      <c r="M17" s="1910"/>
      <c r="N17" s="1746"/>
      <c r="O17" s="1746">
        <f t="shared" ref="O17:T17" si="41">$J$17</f>
        <v>62.5</v>
      </c>
      <c r="P17" s="1746">
        <f t="shared" si="41"/>
        <v>62.5</v>
      </c>
      <c r="Q17" s="1746">
        <f t="shared" si="41"/>
        <v>62.5</v>
      </c>
      <c r="R17" s="1746">
        <f t="shared" si="41"/>
        <v>62.5</v>
      </c>
      <c r="S17" s="1746">
        <f t="shared" si="41"/>
        <v>62.5</v>
      </c>
      <c r="T17" s="1746">
        <f t="shared" si="41"/>
        <v>62.5</v>
      </c>
      <c r="U17" s="3213"/>
      <c r="V17" s="1972">
        <f>SUM(N17:T17)</f>
        <v>375</v>
      </c>
      <c r="W17" s="1973">
        <f t="shared" ref="W17:W40" si="42">($V$5*K17)*$V$7</f>
        <v>659.43854382398217</v>
      </c>
      <c r="X17" s="1974">
        <f>W17-V17</f>
        <v>284.43854382398217</v>
      </c>
      <c r="Y17" s="1914"/>
      <c r="Z17" s="1746"/>
      <c r="AA17" s="1746">
        <f t="shared" ref="AA17:AF17" si="43">$J$17</f>
        <v>62.5</v>
      </c>
      <c r="AB17" s="1746">
        <f t="shared" si="43"/>
        <v>62.5</v>
      </c>
      <c r="AC17" s="1746">
        <f t="shared" si="43"/>
        <v>62.5</v>
      </c>
      <c r="AD17" s="1746">
        <f t="shared" si="43"/>
        <v>62.5</v>
      </c>
      <c r="AE17" s="1746">
        <f t="shared" si="43"/>
        <v>62.5</v>
      </c>
      <c r="AF17" s="1746">
        <f t="shared" si="43"/>
        <v>62.5</v>
      </c>
      <c r="AG17" s="1914"/>
      <c r="AH17" s="1972">
        <f>SUM(Z17:AF17)</f>
        <v>375</v>
      </c>
      <c r="AI17" s="1973">
        <f t="shared" ref="AI17:AI40" si="44">($AH$5*K17)*$AH$7</f>
        <v>682.41150652657211</v>
      </c>
      <c r="AJ17" s="1974">
        <f>AI17-AH17</f>
        <v>307.41150652657211</v>
      </c>
      <c r="AK17" s="1914"/>
      <c r="AL17" s="1990"/>
      <c r="AM17" s="1990">
        <f t="shared" ref="AM17:AR17" si="45">$J$17</f>
        <v>62.5</v>
      </c>
      <c r="AN17" s="1990">
        <f t="shared" si="45"/>
        <v>62.5</v>
      </c>
      <c r="AO17" s="1990">
        <f t="shared" si="45"/>
        <v>62.5</v>
      </c>
      <c r="AP17" s="1990">
        <f t="shared" si="45"/>
        <v>62.5</v>
      </c>
      <c r="AQ17" s="1990">
        <f t="shared" si="45"/>
        <v>62.5</v>
      </c>
      <c r="AR17" s="1990">
        <f t="shared" si="45"/>
        <v>62.5</v>
      </c>
      <c r="AS17" s="2297"/>
      <c r="AT17" s="1972">
        <f>SUM(AL17:AR17)</f>
        <v>375</v>
      </c>
      <c r="AU17" s="1973">
        <f t="shared" ref="AU17:AU40" si="46">($AT$5*K17)*$AT$7</f>
        <v>966.40801048811568</v>
      </c>
      <c r="AV17" s="1974">
        <f>AU17-AT17</f>
        <v>591.40801048811568</v>
      </c>
      <c r="AW17" s="2297"/>
      <c r="AX17" s="1990"/>
      <c r="AY17" s="1990"/>
      <c r="AZ17" s="1990"/>
      <c r="BA17" s="1990">
        <f t="shared" ref="BA17:BD17" si="47">$J$17</f>
        <v>62.5</v>
      </c>
      <c r="BB17" s="1990">
        <f t="shared" si="47"/>
        <v>62.5</v>
      </c>
      <c r="BC17" s="1990">
        <f t="shared" si="47"/>
        <v>62.5</v>
      </c>
      <c r="BD17" s="1990">
        <f t="shared" si="47"/>
        <v>62.5</v>
      </c>
      <c r="BE17" s="2297"/>
      <c r="BF17" s="1972">
        <f>SUM(AX17:BD17)</f>
        <v>250</v>
      </c>
      <c r="BG17" s="1973">
        <f t="shared" ref="BG17:BG40" si="48">($BF$5*K17)*$BF$7</f>
        <v>395.27825806083871</v>
      </c>
      <c r="BH17" s="1974">
        <f>BG17-BF17</f>
        <v>145.27825806083871</v>
      </c>
      <c r="BI17" s="3213"/>
      <c r="BJ17" s="1746"/>
      <c r="BK17" s="1746">
        <f t="shared" ref="BK17:BL17" si="49">$J$17</f>
        <v>62.5</v>
      </c>
      <c r="BL17" s="1746">
        <f t="shared" si="49"/>
        <v>62.5</v>
      </c>
      <c r="BM17" s="3213"/>
      <c r="BN17" s="1972">
        <f>SUM(BJ17:BL17)</f>
        <v>125</v>
      </c>
      <c r="BO17" s="1973">
        <f t="shared" ref="BO17:BO40" si="50">($BN$5*K17)*$BN$7</f>
        <v>272.06855275408032</v>
      </c>
      <c r="BP17" s="1974">
        <f>BO17-BN17</f>
        <v>147.06855275408032</v>
      </c>
      <c r="BR17" s="1747">
        <v>0</v>
      </c>
      <c r="BS17" s="1752">
        <f t="shared" ref="BS17:BS40" si="51">BR17/E17</f>
        <v>0</v>
      </c>
      <c r="BT17" s="1754"/>
      <c r="BU17" s="1975">
        <f t="shared" ref="BU17:BU40" si="52">SUM(N17:T17)+SUM(Z17:AF17)+SUM(AL17:AR17)+SUM(AX17:BD17)+SUM(BL17:BL17)</f>
        <v>1437.5</v>
      </c>
      <c r="BV17" s="1976">
        <f t="shared" ref="BV17:BV40" si="53">BU17/E17</f>
        <v>0.95833333333333337</v>
      </c>
      <c r="BW17" s="1993"/>
      <c r="BX17" s="1977"/>
      <c r="BZ17" s="1923"/>
      <c r="CA17" s="1978"/>
      <c r="CB17" s="1979"/>
      <c r="CC17" s="1980"/>
      <c r="CD17" s="1980"/>
      <c r="CE17" s="1980"/>
      <c r="CF17" s="1980"/>
      <c r="CG17" s="1980"/>
      <c r="CH17" s="1981"/>
      <c r="CI17" s="1923"/>
    </row>
    <row r="18" spans="1:87" s="1726" customFormat="1" x14ac:dyDescent="0.2">
      <c r="B18" s="1963">
        <v>14</v>
      </c>
      <c r="C18" s="1963" t="s">
        <v>198</v>
      </c>
      <c r="D18" s="2578"/>
      <c r="E18" s="1728">
        <v>450</v>
      </c>
      <c r="F18" s="1728">
        <v>45</v>
      </c>
      <c r="G18" s="1728">
        <v>30</v>
      </c>
      <c r="H18" s="1728">
        <v>22.5</v>
      </c>
      <c r="I18" s="1728">
        <v>18</v>
      </c>
      <c r="J18" s="1728">
        <f t="shared" ref="J18:J40" si="54">E18/24</f>
        <v>18.75</v>
      </c>
      <c r="K18" s="1729">
        <f t="shared" si="40"/>
        <v>0.17100188102069125</v>
      </c>
      <c r="L18" s="1876"/>
      <c r="M18" s="1877"/>
      <c r="N18" s="1728"/>
      <c r="O18" s="1728">
        <f t="shared" ref="O18:T18" si="55">$J$18</f>
        <v>18.75</v>
      </c>
      <c r="P18" s="1728">
        <f t="shared" si="55"/>
        <v>18.75</v>
      </c>
      <c r="Q18" s="1728">
        <f t="shared" si="55"/>
        <v>18.75</v>
      </c>
      <c r="R18" s="1728">
        <f t="shared" si="55"/>
        <v>18.75</v>
      </c>
      <c r="S18" s="1728">
        <f t="shared" si="55"/>
        <v>18.75</v>
      </c>
      <c r="T18" s="1728">
        <f t="shared" si="55"/>
        <v>18.75</v>
      </c>
      <c r="U18" s="3214"/>
      <c r="V18" s="1982">
        <f>SUM(N18:T18)</f>
        <v>112.5</v>
      </c>
      <c r="W18" s="2268">
        <f t="shared" si="42"/>
        <v>197.83156314719463</v>
      </c>
      <c r="X18" s="1984">
        <f>W18-V18</f>
        <v>85.331563147194629</v>
      </c>
      <c r="Y18" s="1881"/>
      <c r="Z18" s="1728"/>
      <c r="AA18" s="1728">
        <f t="shared" ref="AA18:AF18" si="56">$J$18</f>
        <v>18.75</v>
      </c>
      <c r="AB18" s="1728">
        <f t="shared" si="56"/>
        <v>18.75</v>
      </c>
      <c r="AC18" s="1728">
        <f t="shared" si="56"/>
        <v>18.75</v>
      </c>
      <c r="AD18" s="1728">
        <f t="shared" si="56"/>
        <v>18.75</v>
      </c>
      <c r="AE18" s="1728">
        <f t="shared" si="56"/>
        <v>18.75</v>
      </c>
      <c r="AF18" s="1728">
        <f t="shared" si="56"/>
        <v>18.75</v>
      </c>
      <c r="AG18" s="1881"/>
      <c r="AH18" s="1982">
        <f>SUM(Z18:AF18)</f>
        <v>112.5</v>
      </c>
      <c r="AI18" s="2268">
        <f t="shared" si="44"/>
        <v>204.7234519579716</v>
      </c>
      <c r="AJ18" s="1984">
        <f>AI18-AH18</f>
        <v>92.223451957971605</v>
      </c>
      <c r="AK18" s="1881"/>
      <c r="AL18" s="2268"/>
      <c r="AM18" s="2268">
        <f t="shared" ref="AM18:AR18" si="57">$J$18</f>
        <v>18.75</v>
      </c>
      <c r="AN18" s="2268">
        <f t="shared" si="57"/>
        <v>18.75</v>
      </c>
      <c r="AO18" s="2268">
        <f t="shared" si="57"/>
        <v>18.75</v>
      </c>
      <c r="AP18" s="2268">
        <f t="shared" si="57"/>
        <v>18.75</v>
      </c>
      <c r="AQ18" s="2268">
        <f t="shared" si="57"/>
        <v>18.75</v>
      </c>
      <c r="AR18" s="2268">
        <f t="shared" si="57"/>
        <v>18.75</v>
      </c>
      <c r="AS18" s="2293"/>
      <c r="AT18" s="1982">
        <f>SUM(AL18:AR18)</f>
        <v>112.5</v>
      </c>
      <c r="AU18" s="2268">
        <f t="shared" si="46"/>
        <v>289.9224031464347</v>
      </c>
      <c r="AV18" s="1984">
        <f>AU18-AT18</f>
        <v>177.4224031464347</v>
      </c>
      <c r="AW18" s="2293"/>
      <c r="AX18" s="2268"/>
      <c r="AY18" s="2268"/>
      <c r="AZ18" s="2268"/>
      <c r="BA18" s="2268">
        <f t="shared" ref="BA18:BD18" si="58">$J$18</f>
        <v>18.75</v>
      </c>
      <c r="BB18" s="2268">
        <f t="shared" si="58"/>
        <v>18.75</v>
      </c>
      <c r="BC18" s="2268">
        <f t="shared" si="58"/>
        <v>18.75</v>
      </c>
      <c r="BD18" s="2268">
        <f t="shared" si="58"/>
        <v>18.75</v>
      </c>
      <c r="BE18" s="2293"/>
      <c r="BF18" s="1982">
        <f>SUM(AX18:BD18)</f>
        <v>75</v>
      </c>
      <c r="BG18" s="2268">
        <f t="shared" si="48"/>
        <v>118.58347741825162</v>
      </c>
      <c r="BH18" s="1984">
        <f>BG18-BF18</f>
        <v>43.583477418251618</v>
      </c>
      <c r="BI18" s="3214"/>
      <c r="BJ18" s="1728"/>
      <c r="BK18" s="1728">
        <f t="shared" ref="BK18:BL18" si="59">$J$18</f>
        <v>18.75</v>
      </c>
      <c r="BL18" s="1728">
        <f t="shared" si="59"/>
        <v>18.75</v>
      </c>
      <c r="BM18" s="3214"/>
      <c r="BN18" s="1982">
        <f t="shared" ref="BN18:BN40" si="60">SUM(BJ18:BL18)</f>
        <v>37.5</v>
      </c>
      <c r="BO18" s="2268">
        <f t="shared" si="50"/>
        <v>81.620565826224095</v>
      </c>
      <c r="BP18" s="1984">
        <f>BO18-BN18</f>
        <v>44.120565826224095</v>
      </c>
      <c r="BR18" s="1732">
        <v>0</v>
      </c>
      <c r="BS18" s="1882">
        <f t="shared" si="51"/>
        <v>0</v>
      </c>
      <c r="BT18" s="1740"/>
      <c r="BU18" s="1734">
        <f t="shared" si="52"/>
        <v>431.25</v>
      </c>
      <c r="BV18" s="1918">
        <f t="shared" si="53"/>
        <v>0.95833333333333337</v>
      </c>
      <c r="BW18" s="1997"/>
      <c r="BX18" s="3212"/>
      <c r="BZ18" s="1860"/>
      <c r="CA18" s="1985">
        <v>43982</v>
      </c>
      <c r="CB18" s="1830"/>
      <c r="CC18" s="1817"/>
      <c r="CD18" s="1810"/>
      <c r="CE18" s="1810"/>
      <c r="CF18" s="1810"/>
      <c r="CG18" s="1810"/>
      <c r="CH18" s="1986"/>
      <c r="CI18" s="1810"/>
    </row>
    <row r="19" spans="1:87" s="1947" customFormat="1" x14ac:dyDescent="0.2">
      <c r="B19" s="2000">
        <v>15</v>
      </c>
      <c r="C19" s="2000" t="s">
        <v>239</v>
      </c>
      <c r="D19" s="2579"/>
      <c r="E19" s="2001">
        <v>0</v>
      </c>
      <c r="F19" s="2001"/>
      <c r="G19" s="2001"/>
      <c r="H19" s="2001"/>
      <c r="I19" s="2001"/>
      <c r="J19" s="2001">
        <f t="shared" si="54"/>
        <v>0</v>
      </c>
      <c r="K19" s="2584">
        <f t="shared" si="40"/>
        <v>0</v>
      </c>
      <c r="L19" s="2003"/>
      <c r="M19" s="1950"/>
      <c r="N19" s="2001"/>
      <c r="O19" s="2001">
        <f t="shared" ref="O19:T19" si="61">$J$19</f>
        <v>0</v>
      </c>
      <c r="P19" s="2001">
        <f t="shared" si="61"/>
        <v>0</v>
      </c>
      <c r="Q19" s="2001">
        <f t="shared" si="61"/>
        <v>0</v>
      </c>
      <c r="R19" s="2001">
        <f t="shared" si="61"/>
        <v>0</v>
      </c>
      <c r="S19" s="2001">
        <f t="shared" si="61"/>
        <v>0</v>
      </c>
      <c r="T19" s="2001">
        <f t="shared" si="61"/>
        <v>0</v>
      </c>
      <c r="U19" s="1951"/>
      <c r="V19" s="2004">
        <f>SUM(N19:T19)</f>
        <v>0</v>
      </c>
      <c r="W19" s="2005">
        <f t="shared" si="42"/>
        <v>0</v>
      </c>
      <c r="X19" s="2006">
        <f t="shared" ref="X19:X39" si="62">W19-V19</f>
        <v>0</v>
      </c>
      <c r="Y19" s="1955"/>
      <c r="Z19" s="2001"/>
      <c r="AA19" s="2001">
        <f t="shared" ref="AA19:AF19" si="63">$J$19</f>
        <v>0</v>
      </c>
      <c r="AB19" s="2001">
        <f t="shared" si="63"/>
        <v>0</v>
      </c>
      <c r="AC19" s="2001">
        <f t="shared" si="63"/>
        <v>0</v>
      </c>
      <c r="AD19" s="2001">
        <f t="shared" si="63"/>
        <v>0</v>
      </c>
      <c r="AE19" s="2001">
        <f t="shared" si="63"/>
        <v>0</v>
      </c>
      <c r="AF19" s="2001">
        <f t="shared" si="63"/>
        <v>0</v>
      </c>
      <c r="AG19" s="1955"/>
      <c r="AH19" s="2004">
        <f t="shared" ref="AH19:AH40" si="64">SUM(Z19:AF19)</f>
        <v>0</v>
      </c>
      <c r="AI19" s="2005">
        <f t="shared" si="44"/>
        <v>0</v>
      </c>
      <c r="AJ19" s="2006">
        <f t="shared" ref="AJ19:AJ40" si="65">AI19-AH19</f>
        <v>0</v>
      </c>
      <c r="AK19" s="1955"/>
      <c r="AL19" s="2005"/>
      <c r="AM19" s="2005">
        <f t="shared" ref="AM19:AR19" si="66">$J$19</f>
        <v>0</v>
      </c>
      <c r="AN19" s="2005">
        <f t="shared" si="66"/>
        <v>0</v>
      </c>
      <c r="AO19" s="2005">
        <f t="shared" si="66"/>
        <v>0</v>
      </c>
      <c r="AP19" s="2005">
        <f t="shared" si="66"/>
        <v>0</v>
      </c>
      <c r="AQ19" s="2005">
        <f t="shared" si="66"/>
        <v>0</v>
      </c>
      <c r="AR19" s="2005">
        <f t="shared" si="66"/>
        <v>0</v>
      </c>
      <c r="AS19" s="2299"/>
      <c r="AT19" s="2004">
        <f t="shared" ref="AT19:AT40" si="67">SUM(AL19:AR19)</f>
        <v>0</v>
      </c>
      <c r="AU19" s="2005">
        <f t="shared" si="46"/>
        <v>0</v>
      </c>
      <c r="AV19" s="2006">
        <f t="shared" ref="AV19:AV40" si="68">AU19-AT19</f>
        <v>0</v>
      </c>
      <c r="AW19" s="2299"/>
      <c r="AX19" s="2005"/>
      <c r="AY19" s="2005"/>
      <c r="AZ19" s="2005"/>
      <c r="BA19" s="2005">
        <f t="shared" ref="BA19:BD19" si="69">$J$19</f>
        <v>0</v>
      </c>
      <c r="BB19" s="2005">
        <f t="shared" si="69"/>
        <v>0</v>
      </c>
      <c r="BC19" s="2005">
        <f t="shared" si="69"/>
        <v>0</v>
      </c>
      <c r="BD19" s="2005">
        <f t="shared" si="69"/>
        <v>0</v>
      </c>
      <c r="BE19" s="2299"/>
      <c r="BF19" s="2004">
        <f t="shared" ref="BF19:BF40" si="70">SUM(AX19:BD19)</f>
        <v>0</v>
      </c>
      <c r="BG19" s="2005">
        <f t="shared" si="48"/>
        <v>0</v>
      </c>
      <c r="BH19" s="2006">
        <f t="shared" ref="BH19:BH40" si="71">BG19-BF19</f>
        <v>0</v>
      </c>
      <c r="BI19" s="1951"/>
      <c r="BJ19" s="2001"/>
      <c r="BK19" s="2001">
        <f t="shared" ref="BK19:BL19" si="72">$J$19</f>
        <v>0</v>
      </c>
      <c r="BL19" s="2001">
        <f t="shared" si="72"/>
        <v>0</v>
      </c>
      <c r="BM19" s="1951"/>
      <c r="BN19" s="2004">
        <f t="shared" si="60"/>
        <v>0</v>
      </c>
      <c r="BO19" s="2005">
        <f t="shared" si="50"/>
        <v>0</v>
      </c>
      <c r="BP19" s="2006">
        <f t="shared" ref="BP19" si="73">BO19-BN19</f>
        <v>0</v>
      </c>
      <c r="BR19" s="2007">
        <v>0</v>
      </c>
      <c r="BS19" s="2008" t="e">
        <f t="shared" si="51"/>
        <v>#DIV/0!</v>
      </c>
      <c r="BT19" s="1959"/>
      <c r="BU19" s="1901">
        <f t="shared" si="52"/>
        <v>0</v>
      </c>
      <c r="BV19" s="1902" t="e">
        <f t="shared" si="53"/>
        <v>#DIV/0!</v>
      </c>
      <c r="BW19" s="1962"/>
      <c r="BX19" s="1905"/>
      <c r="BZ19" s="3295"/>
      <c r="CA19" s="2009">
        <v>43951</v>
      </c>
      <c r="CB19" s="2010"/>
      <c r="CC19" s="2011"/>
      <c r="CD19" s="1946"/>
      <c r="CE19" s="1946"/>
      <c r="CF19" s="1946"/>
      <c r="CG19" s="1946"/>
      <c r="CH19" s="2012"/>
      <c r="CI19" s="1946"/>
    </row>
    <row r="20" spans="1:87" s="1756" customFormat="1" x14ac:dyDescent="0.2">
      <c r="B20" s="1963">
        <v>16</v>
      </c>
      <c r="C20" s="1963" t="s">
        <v>268</v>
      </c>
      <c r="D20" s="2578"/>
      <c r="E20" s="1728">
        <v>0</v>
      </c>
      <c r="F20" s="1728"/>
      <c r="G20" s="1728"/>
      <c r="H20" s="1728"/>
      <c r="I20" s="1728"/>
      <c r="J20" s="1728">
        <f t="shared" si="54"/>
        <v>0</v>
      </c>
      <c r="K20" s="1729">
        <f t="shared" si="40"/>
        <v>0</v>
      </c>
      <c r="L20" s="1931"/>
      <c r="M20" s="1924"/>
      <c r="N20" s="1728"/>
      <c r="O20" s="1728">
        <f t="shared" ref="O20:T20" si="74">$J$20</f>
        <v>0</v>
      </c>
      <c r="P20" s="1728">
        <f t="shared" si="74"/>
        <v>0</v>
      </c>
      <c r="Q20" s="1728">
        <f t="shared" si="74"/>
        <v>0</v>
      </c>
      <c r="R20" s="1728">
        <f t="shared" si="74"/>
        <v>0</v>
      </c>
      <c r="S20" s="1728">
        <f t="shared" si="74"/>
        <v>0</v>
      </c>
      <c r="T20" s="1728">
        <f t="shared" si="74"/>
        <v>0</v>
      </c>
      <c r="U20" s="3299"/>
      <c r="V20" s="1982">
        <f t="shared" ref="V20:V82" si="75">SUM(N20:T20)</f>
        <v>0</v>
      </c>
      <c r="W20" s="2268">
        <f t="shared" si="42"/>
        <v>0</v>
      </c>
      <c r="X20" s="1984">
        <f t="shared" si="62"/>
        <v>0</v>
      </c>
      <c r="Y20" s="1764"/>
      <c r="Z20" s="1728"/>
      <c r="AA20" s="1728">
        <f t="shared" ref="AA20:AF20" si="76">$J$20</f>
        <v>0</v>
      </c>
      <c r="AB20" s="1728">
        <f t="shared" si="76"/>
        <v>0</v>
      </c>
      <c r="AC20" s="1728">
        <f t="shared" si="76"/>
        <v>0</v>
      </c>
      <c r="AD20" s="1728">
        <f t="shared" si="76"/>
        <v>0</v>
      </c>
      <c r="AE20" s="1728">
        <f t="shared" si="76"/>
        <v>0</v>
      </c>
      <c r="AF20" s="1728">
        <f t="shared" si="76"/>
        <v>0</v>
      </c>
      <c r="AG20" s="1764"/>
      <c r="AH20" s="1982">
        <f t="shared" si="64"/>
        <v>0</v>
      </c>
      <c r="AI20" s="2268">
        <f t="shared" si="44"/>
        <v>0</v>
      </c>
      <c r="AJ20" s="1984">
        <f t="shared" si="65"/>
        <v>0</v>
      </c>
      <c r="AK20" s="1764"/>
      <c r="AL20" s="2268"/>
      <c r="AM20" s="2268">
        <f t="shared" ref="AM20:AR20" si="77">$J$20</f>
        <v>0</v>
      </c>
      <c r="AN20" s="2268">
        <f t="shared" si="77"/>
        <v>0</v>
      </c>
      <c r="AO20" s="2268">
        <f t="shared" si="77"/>
        <v>0</v>
      </c>
      <c r="AP20" s="2268">
        <f t="shared" si="77"/>
        <v>0</v>
      </c>
      <c r="AQ20" s="2268">
        <f t="shared" si="77"/>
        <v>0</v>
      </c>
      <c r="AR20" s="2268">
        <f t="shared" si="77"/>
        <v>0</v>
      </c>
      <c r="AS20" s="2289"/>
      <c r="AT20" s="1982">
        <f t="shared" si="67"/>
        <v>0</v>
      </c>
      <c r="AU20" s="2268">
        <f t="shared" si="46"/>
        <v>0</v>
      </c>
      <c r="AV20" s="1984">
        <f t="shared" si="68"/>
        <v>0</v>
      </c>
      <c r="AW20" s="2289"/>
      <c r="AX20" s="2268"/>
      <c r="AY20" s="2268"/>
      <c r="AZ20" s="2268"/>
      <c r="BA20" s="2268">
        <f t="shared" ref="BA20:BD20" si="78">$J$20</f>
        <v>0</v>
      </c>
      <c r="BB20" s="2268">
        <f t="shared" si="78"/>
        <v>0</v>
      </c>
      <c r="BC20" s="2268">
        <f t="shared" si="78"/>
        <v>0</v>
      </c>
      <c r="BD20" s="2268">
        <f t="shared" si="78"/>
        <v>0</v>
      </c>
      <c r="BE20" s="2289"/>
      <c r="BF20" s="1982">
        <f t="shared" si="70"/>
        <v>0</v>
      </c>
      <c r="BG20" s="2268">
        <f t="shared" si="48"/>
        <v>0</v>
      </c>
      <c r="BH20" s="1984">
        <f t="shared" si="71"/>
        <v>0</v>
      </c>
      <c r="BI20" s="3299"/>
      <c r="BJ20" s="1728"/>
      <c r="BK20" s="1728">
        <f t="shared" ref="BK20:BL20" si="79">$J$20</f>
        <v>0</v>
      </c>
      <c r="BL20" s="1728">
        <f t="shared" si="79"/>
        <v>0</v>
      </c>
      <c r="BM20" s="3299"/>
      <c r="BN20" s="1982">
        <f t="shared" si="60"/>
        <v>0</v>
      </c>
      <c r="BO20" s="2268">
        <f t="shared" si="50"/>
        <v>0</v>
      </c>
      <c r="BP20" s="1984">
        <f>BO20-BN20</f>
        <v>0</v>
      </c>
      <c r="BR20" s="1735">
        <v>0</v>
      </c>
      <c r="BS20" s="1768" t="e">
        <f t="shared" si="51"/>
        <v>#DIV/0!</v>
      </c>
      <c r="BT20" s="3294"/>
      <c r="BU20" s="1763">
        <f t="shared" si="52"/>
        <v>0</v>
      </c>
      <c r="BV20" s="1883" t="e">
        <f t="shared" si="53"/>
        <v>#DIV/0!</v>
      </c>
      <c r="BW20" s="1830"/>
      <c r="BX20" s="1761"/>
      <c r="BZ20" s="3297"/>
      <c r="CA20" s="1996">
        <f>CA18-CA19-7</f>
        <v>24</v>
      </c>
      <c r="CB20" s="1997"/>
      <c r="CC20" s="1861"/>
      <c r="CD20" s="1860"/>
      <c r="CE20" s="1860"/>
      <c r="CF20" s="1860"/>
      <c r="CG20" s="1860"/>
      <c r="CH20" s="1998"/>
      <c r="CI20" s="1860"/>
    </row>
    <row r="21" spans="1:87" s="1777" customFormat="1" x14ac:dyDescent="0.2">
      <c r="B21" s="1987">
        <v>17</v>
      </c>
      <c r="C21" s="1987" t="s">
        <v>257</v>
      </c>
      <c r="D21" s="1836"/>
      <c r="E21" s="1746">
        <v>0</v>
      </c>
      <c r="F21" s="1746">
        <v>5</v>
      </c>
      <c r="G21" s="1746">
        <v>3.3333333333333335</v>
      </c>
      <c r="H21" s="1746">
        <v>2.5</v>
      </c>
      <c r="I21" s="1746">
        <v>2</v>
      </c>
      <c r="J21" s="1746">
        <f t="shared" si="54"/>
        <v>0</v>
      </c>
      <c r="K21" s="2583">
        <f t="shared" si="40"/>
        <v>0</v>
      </c>
      <c r="L21" s="1866"/>
      <c r="M21" s="1867"/>
      <c r="N21" s="1746"/>
      <c r="O21" s="1746">
        <f t="shared" ref="O21:T21" si="80">$J$21</f>
        <v>0</v>
      </c>
      <c r="P21" s="1746">
        <f t="shared" si="80"/>
        <v>0</v>
      </c>
      <c r="Q21" s="1746">
        <f t="shared" si="80"/>
        <v>0</v>
      </c>
      <c r="R21" s="1746">
        <f t="shared" si="80"/>
        <v>0</v>
      </c>
      <c r="S21" s="1746">
        <f t="shared" si="80"/>
        <v>0</v>
      </c>
      <c r="T21" s="1746">
        <f t="shared" si="80"/>
        <v>0</v>
      </c>
      <c r="U21" s="1801"/>
      <c r="V21" s="1989">
        <f t="shared" si="75"/>
        <v>0</v>
      </c>
      <c r="W21" s="1990">
        <f t="shared" si="42"/>
        <v>0</v>
      </c>
      <c r="X21" s="1991">
        <f t="shared" si="62"/>
        <v>0</v>
      </c>
      <c r="Y21" s="1788"/>
      <c r="Z21" s="1746"/>
      <c r="AA21" s="1746">
        <f t="shared" ref="AA21:AF21" si="81">$J$21</f>
        <v>0</v>
      </c>
      <c r="AB21" s="1746">
        <f t="shared" si="81"/>
        <v>0</v>
      </c>
      <c r="AC21" s="1746">
        <f t="shared" si="81"/>
        <v>0</v>
      </c>
      <c r="AD21" s="1746">
        <f t="shared" si="81"/>
        <v>0</v>
      </c>
      <c r="AE21" s="1746">
        <f t="shared" si="81"/>
        <v>0</v>
      </c>
      <c r="AF21" s="1746">
        <f t="shared" si="81"/>
        <v>0</v>
      </c>
      <c r="AG21" s="1788"/>
      <c r="AH21" s="1989">
        <f t="shared" si="64"/>
        <v>0</v>
      </c>
      <c r="AI21" s="1990">
        <f t="shared" si="44"/>
        <v>0</v>
      </c>
      <c r="AJ21" s="1991">
        <f t="shared" si="65"/>
        <v>0</v>
      </c>
      <c r="AK21" s="1788"/>
      <c r="AL21" s="1990"/>
      <c r="AM21" s="1990">
        <f t="shared" ref="AM21:AR21" si="82">$J$21</f>
        <v>0</v>
      </c>
      <c r="AN21" s="1990">
        <f t="shared" si="82"/>
        <v>0</v>
      </c>
      <c r="AO21" s="1990">
        <f t="shared" si="82"/>
        <v>0</v>
      </c>
      <c r="AP21" s="1990">
        <f t="shared" si="82"/>
        <v>0</v>
      </c>
      <c r="AQ21" s="1990">
        <f t="shared" si="82"/>
        <v>0</v>
      </c>
      <c r="AR21" s="1990">
        <f t="shared" si="82"/>
        <v>0</v>
      </c>
      <c r="AS21" s="2290"/>
      <c r="AT21" s="1989">
        <f t="shared" si="67"/>
        <v>0</v>
      </c>
      <c r="AU21" s="1990">
        <f t="shared" si="46"/>
        <v>0</v>
      </c>
      <c r="AV21" s="1991">
        <f t="shared" si="68"/>
        <v>0</v>
      </c>
      <c r="AW21" s="2290"/>
      <c r="AX21" s="1990"/>
      <c r="AY21" s="1990"/>
      <c r="AZ21" s="1990"/>
      <c r="BA21" s="1990">
        <f t="shared" ref="BA21:BD21" si="83">$J$21</f>
        <v>0</v>
      </c>
      <c r="BB21" s="1990">
        <f t="shared" si="83"/>
        <v>0</v>
      </c>
      <c r="BC21" s="1990">
        <f t="shared" si="83"/>
        <v>0</v>
      </c>
      <c r="BD21" s="1990">
        <f t="shared" si="83"/>
        <v>0</v>
      </c>
      <c r="BE21" s="2290"/>
      <c r="BF21" s="1989">
        <f t="shared" si="70"/>
        <v>0</v>
      </c>
      <c r="BG21" s="1990">
        <f t="shared" si="48"/>
        <v>0</v>
      </c>
      <c r="BH21" s="1991">
        <f t="shared" si="71"/>
        <v>0</v>
      </c>
      <c r="BI21" s="1801"/>
      <c r="BJ21" s="1746"/>
      <c r="BK21" s="1746">
        <f t="shared" ref="BK21:BL21" si="84">$J$21</f>
        <v>0</v>
      </c>
      <c r="BL21" s="1746">
        <f t="shared" si="84"/>
        <v>0</v>
      </c>
      <c r="BM21" s="1801"/>
      <c r="BN21" s="1989">
        <f t="shared" si="60"/>
        <v>0</v>
      </c>
      <c r="BO21" s="1990">
        <f t="shared" si="50"/>
        <v>0</v>
      </c>
      <c r="BP21" s="1991">
        <f>BO21-BN21</f>
        <v>0</v>
      </c>
      <c r="BR21" s="1750">
        <v>0</v>
      </c>
      <c r="BS21" s="1871" t="e">
        <f t="shared" si="51"/>
        <v>#DIV/0!</v>
      </c>
      <c r="BT21" s="1795"/>
      <c r="BU21" s="1935">
        <f t="shared" si="52"/>
        <v>0</v>
      </c>
      <c r="BV21" s="1930" t="e">
        <f t="shared" si="53"/>
        <v>#DIV/0!</v>
      </c>
      <c r="BW21" s="1802"/>
      <c r="BX21" s="1783"/>
      <c r="BZ21" s="1916"/>
      <c r="CA21" s="1992">
        <v>43982</v>
      </c>
      <c r="CB21" s="1993"/>
      <c r="CC21" s="1994"/>
      <c r="CD21" s="1923"/>
      <c r="CE21" s="1923"/>
      <c r="CF21" s="1923"/>
      <c r="CG21" s="1923"/>
      <c r="CH21" s="1995"/>
      <c r="CI21" s="1923"/>
    </row>
    <row r="22" spans="1:87" s="1756" customFormat="1" x14ac:dyDescent="0.2">
      <c r="B22" s="1963">
        <v>18</v>
      </c>
      <c r="C22" s="1963" t="s">
        <v>211</v>
      </c>
      <c r="D22" s="2578"/>
      <c r="E22" s="1728">
        <v>150</v>
      </c>
      <c r="F22" s="1728"/>
      <c r="G22" s="1728"/>
      <c r="H22" s="1728"/>
      <c r="I22" s="1728"/>
      <c r="J22" s="1728">
        <f t="shared" si="54"/>
        <v>6.25</v>
      </c>
      <c r="K22" s="1729">
        <f t="shared" si="40"/>
        <v>5.7000627006897085E-2</v>
      </c>
      <c r="L22" s="1931"/>
      <c r="M22" s="1924"/>
      <c r="N22" s="1728"/>
      <c r="O22" s="1728">
        <f t="shared" ref="O22:T22" si="85">$J$22</f>
        <v>6.25</v>
      </c>
      <c r="P22" s="1728">
        <f t="shared" si="85"/>
        <v>6.25</v>
      </c>
      <c r="Q22" s="1728">
        <f t="shared" si="85"/>
        <v>6.25</v>
      </c>
      <c r="R22" s="1728">
        <f t="shared" si="85"/>
        <v>6.25</v>
      </c>
      <c r="S22" s="1728">
        <f t="shared" si="85"/>
        <v>6.25</v>
      </c>
      <c r="T22" s="1728">
        <f t="shared" si="85"/>
        <v>6.25</v>
      </c>
      <c r="U22" s="3227"/>
      <c r="V22" s="1982">
        <f t="shared" si="75"/>
        <v>37.5</v>
      </c>
      <c r="W22" s="2268">
        <f t="shared" si="42"/>
        <v>65.9438543823982</v>
      </c>
      <c r="X22" s="1984">
        <f t="shared" si="62"/>
        <v>28.4438543823982</v>
      </c>
      <c r="Y22" s="1764"/>
      <c r="Z22" s="1728"/>
      <c r="AA22" s="1728">
        <f t="shared" ref="AA22:AF22" si="86">$J$22</f>
        <v>6.25</v>
      </c>
      <c r="AB22" s="1728">
        <f t="shared" si="86"/>
        <v>6.25</v>
      </c>
      <c r="AC22" s="1728">
        <f t="shared" si="86"/>
        <v>6.25</v>
      </c>
      <c r="AD22" s="1728">
        <f t="shared" si="86"/>
        <v>6.25</v>
      </c>
      <c r="AE22" s="1728">
        <f t="shared" si="86"/>
        <v>6.25</v>
      </c>
      <c r="AF22" s="1728">
        <f t="shared" si="86"/>
        <v>6.25</v>
      </c>
      <c r="AG22" s="1764"/>
      <c r="AH22" s="1982">
        <f t="shared" si="64"/>
        <v>37.5</v>
      </c>
      <c r="AI22" s="2268">
        <f t="shared" si="44"/>
        <v>68.241150652657197</v>
      </c>
      <c r="AJ22" s="1984">
        <f t="shared" si="65"/>
        <v>30.741150652657197</v>
      </c>
      <c r="AK22" s="1764"/>
      <c r="AL22" s="2268"/>
      <c r="AM22" s="2268">
        <f t="shared" ref="AM22:AR22" si="87">$J$22</f>
        <v>6.25</v>
      </c>
      <c r="AN22" s="2268">
        <f t="shared" si="87"/>
        <v>6.25</v>
      </c>
      <c r="AO22" s="2268">
        <f t="shared" si="87"/>
        <v>6.25</v>
      </c>
      <c r="AP22" s="2268">
        <f t="shared" si="87"/>
        <v>6.25</v>
      </c>
      <c r="AQ22" s="2268">
        <f t="shared" si="87"/>
        <v>6.25</v>
      </c>
      <c r="AR22" s="2268">
        <f t="shared" si="87"/>
        <v>6.25</v>
      </c>
      <c r="AS22" s="2289"/>
      <c r="AT22" s="1982">
        <f t="shared" si="67"/>
        <v>37.5</v>
      </c>
      <c r="AU22" s="2268">
        <f t="shared" si="46"/>
        <v>96.640801048811568</v>
      </c>
      <c r="AV22" s="1984">
        <f t="shared" si="68"/>
        <v>59.140801048811568</v>
      </c>
      <c r="AW22" s="2289"/>
      <c r="AX22" s="2268"/>
      <c r="AY22" s="2268"/>
      <c r="AZ22" s="2268"/>
      <c r="BA22" s="2268">
        <f t="shared" ref="BA22:BD22" si="88">$J$22</f>
        <v>6.25</v>
      </c>
      <c r="BB22" s="2268">
        <f t="shared" si="88"/>
        <v>6.25</v>
      </c>
      <c r="BC22" s="2268">
        <f t="shared" si="88"/>
        <v>6.25</v>
      </c>
      <c r="BD22" s="2268">
        <f t="shared" si="88"/>
        <v>6.25</v>
      </c>
      <c r="BE22" s="2289"/>
      <c r="BF22" s="1982">
        <f t="shared" si="70"/>
        <v>25</v>
      </c>
      <c r="BG22" s="2268">
        <f t="shared" si="48"/>
        <v>39.527825806083868</v>
      </c>
      <c r="BH22" s="1984">
        <f t="shared" si="71"/>
        <v>14.527825806083868</v>
      </c>
      <c r="BI22" s="3227"/>
      <c r="BJ22" s="1728"/>
      <c r="BK22" s="1728">
        <f t="shared" ref="BK22:BL22" si="89">$J$22</f>
        <v>6.25</v>
      </c>
      <c r="BL22" s="1728">
        <f t="shared" si="89"/>
        <v>6.25</v>
      </c>
      <c r="BM22" s="3227"/>
      <c r="BN22" s="1982">
        <f t="shared" si="60"/>
        <v>12.5</v>
      </c>
      <c r="BO22" s="2268">
        <f t="shared" si="50"/>
        <v>27.206855275408035</v>
      </c>
      <c r="BP22" s="1984">
        <f>BO22-BN22</f>
        <v>14.706855275408035</v>
      </c>
      <c r="BR22" s="1735">
        <v>0</v>
      </c>
      <c r="BS22" s="1768">
        <f t="shared" si="51"/>
        <v>0</v>
      </c>
      <c r="BT22" s="3202"/>
      <c r="BU22" s="1763">
        <f t="shared" si="52"/>
        <v>143.75</v>
      </c>
      <c r="BV22" s="1883">
        <f t="shared" si="53"/>
        <v>0.95833333333333337</v>
      </c>
      <c r="BW22" s="1830"/>
      <c r="BX22" s="1761"/>
      <c r="BZ22" s="3212"/>
      <c r="CA22" s="2015">
        <v>43982</v>
      </c>
      <c r="CB22" s="1997"/>
      <c r="CC22" s="1861"/>
      <c r="CD22" s="1860"/>
      <c r="CE22" s="1860"/>
      <c r="CF22" s="1860"/>
      <c r="CG22" s="1860"/>
      <c r="CH22" s="1998"/>
      <c r="CI22" s="1860"/>
    </row>
    <row r="23" spans="1:87" s="1947" customFormat="1" x14ac:dyDescent="0.2">
      <c r="B23" s="2000">
        <v>19</v>
      </c>
      <c r="C23" s="1987" t="s">
        <v>255</v>
      </c>
      <c r="D23" s="1836"/>
      <c r="E23" s="1746">
        <v>75</v>
      </c>
      <c r="F23" s="1746"/>
      <c r="G23" s="1746"/>
      <c r="H23" s="1746"/>
      <c r="I23" s="1746"/>
      <c r="J23" s="1746">
        <f t="shared" si="54"/>
        <v>3.125</v>
      </c>
      <c r="K23" s="2583">
        <f t="shared" si="40"/>
        <v>2.8500313503448543E-2</v>
      </c>
      <c r="L23" s="2003"/>
      <c r="M23" s="1950"/>
      <c r="N23" s="2001"/>
      <c r="O23" s="2001">
        <f t="shared" ref="O23:T23" si="90">$J$23</f>
        <v>3.125</v>
      </c>
      <c r="P23" s="2001">
        <f t="shared" si="90"/>
        <v>3.125</v>
      </c>
      <c r="Q23" s="2001">
        <f t="shared" si="90"/>
        <v>3.125</v>
      </c>
      <c r="R23" s="2001">
        <f t="shared" si="90"/>
        <v>3.125</v>
      </c>
      <c r="S23" s="2001">
        <f t="shared" si="90"/>
        <v>3.125</v>
      </c>
      <c r="T23" s="2001">
        <f t="shared" si="90"/>
        <v>3.125</v>
      </c>
      <c r="U23" s="1951"/>
      <c r="V23" s="2004">
        <f t="shared" si="75"/>
        <v>18.75</v>
      </c>
      <c r="W23" s="2005">
        <f t="shared" si="42"/>
        <v>32.9719271911991</v>
      </c>
      <c r="X23" s="2006">
        <f t="shared" si="62"/>
        <v>14.2219271911991</v>
      </c>
      <c r="Y23" s="1955"/>
      <c r="Z23" s="2001"/>
      <c r="AA23" s="2001">
        <f t="shared" ref="AA23:AF23" si="91">$J$23</f>
        <v>3.125</v>
      </c>
      <c r="AB23" s="2001">
        <f t="shared" si="91"/>
        <v>3.125</v>
      </c>
      <c r="AC23" s="2001">
        <f t="shared" si="91"/>
        <v>3.125</v>
      </c>
      <c r="AD23" s="2001">
        <f t="shared" si="91"/>
        <v>3.125</v>
      </c>
      <c r="AE23" s="2001">
        <f t="shared" si="91"/>
        <v>3.125</v>
      </c>
      <c r="AF23" s="2001">
        <f t="shared" si="91"/>
        <v>3.125</v>
      </c>
      <c r="AG23" s="1955"/>
      <c r="AH23" s="2004">
        <f t="shared" si="64"/>
        <v>18.75</v>
      </c>
      <c r="AI23" s="2005">
        <f t="shared" si="44"/>
        <v>34.120575326328598</v>
      </c>
      <c r="AJ23" s="2006">
        <f t="shared" si="65"/>
        <v>15.370575326328598</v>
      </c>
      <c r="AK23" s="1955"/>
      <c r="AL23" s="2005"/>
      <c r="AM23" s="2005">
        <f t="shared" ref="AM23:AR23" si="92">$J$23</f>
        <v>3.125</v>
      </c>
      <c r="AN23" s="2005">
        <f t="shared" si="92"/>
        <v>3.125</v>
      </c>
      <c r="AO23" s="2005">
        <f t="shared" si="92"/>
        <v>3.125</v>
      </c>
      <c r="AP23" s="2005">
        <f t="shared" si="92"/>
        <v>3.125</v>
      </c>
      <c r="AQ23" s="2005">
        <f t="shared" si="92"/>
        <v>3.125</v>
      </c>
      <c r="AR23" s="2005">
        <f t="shared" si="92"/>
        <v>3.125</v>
      </c>
      <c r="AS23" s="2299"/>
      <c r="AT23" s="2004">
        <f t="shared" si="67"/>
        <v>18.75</v>
      </c>
      <c r="AU23" s="2005">
        <f t="shared" si="46"/>
        <v>48.320400524405784</v>
      </c>
      <c r="AV23" s="2006">
        <f t="shared" si="68"/>
        <v>29.570400524405784</v>
      </c>
      <c r="AW23" s="2299"/>
      <c r="AX23" s="2005"/>
      <c r="AY23" s="2005"/>
      <c r="AZ23" s="2005"/>
      <c r="BA23" s="2005">
        <f t="shared" ref="BA23:BD23" si="93">$J$23</f>
        <v>3.125</v>
      </c>
      <c r="BB23" s="2005">
        <f t="shared" si="93"/>
        <v>3.125</v>
      </c>
      <c r="BC23" s="2005">
        <f t="shared" si="93"/>
        <v>3.125</v>
      </c>
      <c r="BD23" s="2005">
        <f t="shared" si="93"/>
        <v>3.125</v>
      </c>
      <c r="BE23" s="2299"/>
      <c r="BF23" s="2004">
        <f t="shared" si="70"/>
        <v>12.5</v>
      </c>
      <c r="BG23" s="2005">
        <f t="shared" si="48"/>
        <v>19.763912903041934</v>
      </c>
      <c r="BH23" s="2006">
        <f t="shared" si="71"/>
        <v>7.263912903041934</v>
      </c>
      <c r="BI23" s="1951"/>
      <c r="BJ23" s="2001"/>
      <c r="BK23" s="2001">
        <f t="shared" ref="BK23:BL23" si="94">$J$23</f>
        <v>3.125</v>
      </c>
      <c r="BL23" s="2001">
        <f t="shared" si="94"/>
        <v>3.125</v>
      </c>
      <c r="BM23" s="1951"/>
      <c r="BN23" s="2004">
        <f t="shared" si="60"/>
        <v>6.25</v>
      </c>
      <c r="BO23" s="2005">
        <f t="shared" si="50"/>
        <v>13.603427637704018</v>
      </c>
      <c r="BP23" s="2006">
        <f>BO23-BN23</f>
        <v>7.3534276377040175</v>
      </c>
      <c r="BR23" s="2007">
        <v>0</v>
      </c>
      <c r="BS23" s="2008">
        <f t="shared" si="51"/>
        <v>0</v>
      </c>
      <c r="BT23" s="1959"/>
      <c r="BU23" s="1901">
        <f t="shared" si="52"/>
        <v>71.875</v>
      </c>
      <c r="BV23" s="1902">
        <f t="shared" si="53"/>
        <v>0.95833333333333337</v>
      </c>
      <c r="BW23" s="1962"/>
      <c r="BX23" s="1905"/>
      <c r="BZ23" s="3203"/>
      <c r="CA23" s="2479">
        <f>CA22-CA21-7</f>
        <v>-7</v>
      </c>
      <c r="CB23" s="2010"/>
      <c r="CC23" s="2011"/>
      <c r="CD23" s="1946"/>
      <c r="CE23" s="1946"/>
      <c r="CF23" s="1946"/>
      <c r="CG23" s="1946"/>
      <c r="CH23" s="2012"/>
      <c r="CI23" s="1946"/>
    </row>
    <row r="24" spans="1:87" s="1756" customFormat="1" x14ac:dyDescent="0.2">
      <c r="B24" s="1963">
        <v>20</v>
      </c>
      <c r="C24" s="1963" t="s">
        <v>235</v>
      </c>
      <c r="D24" s="2578"/>
      <c r="E24" s="1728">
        <v>50</v>
      </c>
      <c r="F24" s="1728">
        <v>10</v>
      </c>
      <c r="G24" s="1728">
        <v>6.666666666666667</v>
      </c>
      <c r="H24" s="1728">
        <v>5</v>
      </c>
      <c r="I24" s="1728">
        <v>4</v>
      </c>
      <c r="J24" s="1728">
        <f t="shared" si="54"/>
        <v>2.0833333333333335</v>
      </c>
      <c r="K24" s="1729">
        <f t="shared" si="40"/>
        <v>1.9000209002299026E-2</v>
      </c>
      <c r="L24" s="1931"/>
      <c r="M24" s="1924"/>
      <c r="N24" s="1728"/>
      <c r="O24" s="1728">
        <f t="shared" ref="O24:T24" si="95">$J$24</f>
        <v>2.0833333333333335</v>
      </c>
      <c r="P24" s="1728">
        <f t="shared" si="95"/>
        <v>2.0833333333333335</v>
      </c>
      <c r="Q24" s="1728">
        <f t="shared" si="95"/>
        <v>2.0833333333333335</v>
      </c>
      <c r="R24" s="1728">
        <f t="shared" si="95"/>
        <v>2.0833333333333335</v>
      </c>
      <c r="S24" s="1728">
        <f t="shared" si="95"/>
        <v>2.0833333333333335</v>
      </c>
      <c r="T24" s="1728">
        <f t="shared" si="95"/>
        <v>2.0833333333333335</v>
      </c>
      <c r="U24" s="3299"/>
      <c r="V24" s="1982">
        <f t="shared" si="75"/>
        <v>12.500000000000002</v>
      </c>
      <c r="W24" s="2268">
        <f t="shared" si="42"/>
        <v>21.981284794132733</v>
      </c>
      <c r="X24" s="1984">
        <f t="shared" si="62"/>
        <v>9.4812847941327316</v>
      </c>
      <c r="Y24" s="1764"/>
      <c r="Z24" s="1728"/>
      <c r="AA24" s="1728">
        <f t="shared" ref="AA24:AF24" si="96">$J$24</f>
        <v>2.0833333333333335</v>
      </c>
      <c r="AB24" s="1728">
        <f t="shared" si="96"/>
        <v>2.0833333333333335</v>
      </c>
      <c r="AC24" s="1728">
        <f t="shared" si="96"/>
        <v>2.0833333333333335</v>
      </c>
      <c r="AD24" s="1728">
        <f t="shared" si="96"/>
        <v>2.0833333333333335</v>
      </c>
      <c r="AE24" s="1728">
        <f t="shared" si="96"/>
        <v>2.0833333333333335</v>
      </c>
      <c r="AF24" s="1728">
        <f t="shared" si="96"/>
        <v>2.0833333333333335</v>
      </c>
      <c r="AG24" s="1764"/>
      <c r="AH24" s="1982">
        <f t="shared" si="64"/>
        <v>12.500000000000002</v>
      </c>
      <c r="AI24" s="2268">
        <f t="shared" si="44"/>
        <v>22.747050217552399</v>
      </c>
      <c r="AJ24" s="1984">
        <f t="shared" si="65"/>
        <v>10.247050217552397</v>
      </c>
      <c r="AK24" s="1764"/>
      <c r="AL24" s="2268"/>
      <c r="AM24" s="2268">
        <f t="shared" ref="AM24:AR24" si="97">$J$24</f>
        <v>2.0833333333333335</v>
      </c>
      <c r="AN24" s="2268">
        <f t="shared" si="97"/>
        <v>2.0833333333333335</v>
      </c>
      <c r="AO24" s="2268">
        <f t="shared" si="97"/>
        <v>2.0833333333333335</v>
      </c>
      <c r="AP24" s="2268">
        <f t="shared" si="97"/>
        <v>2.0833333333333335</v>
      </c>
      <c r="AQ24" s="2268">
        <f t="shared" si="97"/>
        <v>2.0833333333333335</v>
      </c>
      <c r="AR24" s="2268">
        <f t="shared" si="97"/>
        <v>2.0833333333333335</v>
      </c>
      <c r="AS24" s="2289"/>
      <c r="AT24" s="1982">
        <f t="shared" si="67"/>
        <v>12.500000000000002</v>
      </c>
      <c r="AU24" s="2268">
        <f t="shared" si="46"/>
        <v>32.213600349603851</v>
      </c>
      <c r="AV24" s="1984">
        <f t="shared" si="68"/>
        <v>19.713600349603851</v>
      </c>
      <c r="AW24" s="2289"/>
      <c r="AX24" s="2268"/>
      <c r="AY24" s="2268"/>
      <c r="AZ24" s="2268"/>
      <c r="BA24" s="2268">
        <f t="shared" ref="BA24:BD24" si="98">$J$24</f>
        <v>2.0833333333333335</v>
      </c>
      <c r="BB24" s="2268">
        <f t="shared" si="98"/>
        <v>2.0833333333333335</v>
      </c>
      <c r="BC24" s="2268">
        <f t="shared" si="98"/>
        <v>2.0833333333333335</v>
      </c>
      <c r="BD24" s="2268">
        <f t="shared" si="98"/>
        <v>2.0833333333333335</v>
      </c>
      <c r="BE24" s="2289"/>
      <c r="BF24" s="1982">
        <f t="shared" si="70"/>
        <v>8.3333333333333339</v>
      </c>
      <c r="BG24" s="2268">
        <f t="shared" si="48"/>
        <v>13.175941935361289</v>
      </c>
      <c r="BH24" s="1984">
        <f t="shared" si="71"/>
        <v>4.8426086020279548</v>
      </c>
      <c r="BI24" s="3299"/>
      <c r="BJ24" s="1728"/>
      <c r="BK24" s="1728">
        <f t="shared" ref="BK24:BL24" si="99">$J$24</f>
        <v>2.0833333333333335</v>
      </c>
      <c r="BL24" s="1728">
        <f t="shared" si="99"/>
        <v>2.0833333333333335</v>
      </c>
      <c r="BM24" s="3299"/>
      <c r="BN24" s="1982">
        <f t="shared" si="60"/>
        <v>4.166666666666667</v>
      </c>
      <c r="BO24" s="2268">
        <f t="shared" si="50"/>
        <v>9.0689517584693444</v>
      </c>
      <c r="BP24" s="1984">
        <f t="shared" ref="BP24:BP40" si="100">BO24-BN24</f>
        <v>4.9022850918026775</v>
      </c>
      <c r="BR24" s="1735">
        <v>0</v>
      </c>
      <c r="BS24" s="1768">
        <f t="shared" si="51"/>
        <v>0</v>
      </c>
      <c r="BT24" s="3294"/>
      <c r="BU24" s="1763">
        <f t="shared" si="52"/>
        <v>47.916666666666679</v>
      </c>
      <c r="BV24" s="1883">
        <f t="shared" si="53"/>
        <v>0.95833333333333359</v>
      </c>
      <c r="BW24" s="1830"/>
      <c r="BX24" s="1761"/>
      <c r="BZ24" s="3297"/>
      <c r="CA24" s="1985"/>
      <c r="CB24" s="1997"/>
      <c r="CC24" s="1861"/>
      <c r="CD24" s="1860"/>
      <c r="CE24" s="1860"/>
      <c r="CF24" s="1860"/>
      <c r="CG24" s="1860"/>
      <c r="CH24" s="1998"/>
      <c r="CI24" s="1860"/>
    </row>
    <row r="25" spans="1:87" s="1947" customFormat="1" x14ac:dyDescent="0.2">
      <c r="B25" s="2000">
        <v>21</v>
      </c>
      <c r="C25" s="2000" t="s">
        <v>202</v>
      </c>
      <c r="D25" s="2579"/>
      <c r="E25" s="2001">
        <v>50</v>
      </c>
      <c r="F25" s="2001"/>
      <c r="G25" s="2001"/>
      <c r="H25" s="2001"/>
      <c r="I25" s="2001"/>
      <c r="J25" s="2001">
        <f t="shared" si="54"/>
        <v>2.0833333333333335</v>
      </c>
      <c r="K25" s="2584">
        <f t="shared" si="40"/>
        <v>1.9000209002299026E-2</v>
      </c>
      <c r="L25" s="2003"/>
      <c r="M25" s="1950"/>
      <c r="N25" s="2001"/>
      <c r="O25" s="2001">
        <f t="shared" ref="O25:T25" si="101">$J$25</f>
        <v>2.0833333333333335</v>
      </c>
      <c r="P25" s="2001">
        <f t="shared" si="101"/>
        <v>2.0833333333333335</v>
      </c>
      <c r="Q25" s="2001">
        <f t="shared" si="101"/>
        <v>2.0833333333333335</v>
      </c>
      <c r="R25" s="2001">
        <f t="shared" si="101"/>
        <v>2.0833333333333335</v>
      </c>
      <c r="S25" s="2001">
        <f t="shared" si="101"/>
        <v>2.0833333333333335</v>
      </c>
      <c r="T25" s="2001">
        <f t="shared" si="101"/>
        <v>2.0833333333333335</v>
      </c>
      <c r="U25" s="1951"/>
      <c r="V25" s="2004">
        <f t="shared" si="75"/>
        <v>12.500000000000002</v>
      </c>
      <c r="W25" s="2005">
        <f t="shared" si="42"/>
        <v>21.981284794132733</v>
      </c>
      <c r="X25" s="2006">
        <f t="shared" si="62"/>
        <v>9.4812847941327316</v>
      </c>
      <c r="Y25" s="1955"/>
      <c r="Z25" s="2001"/>
      <c r="AA25" s="2001">
        <f t="shared" ref="AA25:AF25" si="102">$J$25</f>
        <v>2.0833333333333335</v>
      </c>
      <c r="AB25" s="2001">
        <f t="shared" si="102"/>
        <v>2.0833333333333335</v>
      </c>
      <c r="AC25" s="2001">
        <f t="shared" si="102"/>
        <v>2.0833333333333335</v>
      </c>
      <c r="AD25" s="2001">
        <f t="shared" si="102"/>
        <v>2.0833333333333335</v>
      </c>
      <c r="AE25" s="2001">
        <f t="shared" si="102"/>
        <v>2.0833333333333335</v>
      </c>
      <c r="AF25" s="2001">
        <f t="shared" si="102"/>
        <v>2.0833333333333335</v>
      </c>
      <c r="AG25" s="1955"/>
      <c r="AH25" s="2004">
        <f t="shared" si="64"/>
        <v>12.500000000000002</v>
      </c>
      <c r="AI25" s="2005">
        <f t="shared" si="44"/>
        <v>22.747050217552399</v>
      </c>
      <c r="AJ25" s="2006">
        <f t="shared" si="65"/>
        <v>10.247050217552397</v>
      </c>
      <c r="AK25" s="1955"/>
      <c r="AL25" s="2005"/>
      <c r="AM25" s="2005">
        <f t="shared" ref="AM25:AR25" si="103">$J$25</f>
        <v>2.0833333333333335</v>
      </c>
      <c r="AN25" s="2005">
        <f t="shared" si="103"/>
        <v>2.0833333333333335</v>
      </c>
      <c r="AO25" s="2005">
        <f t="shared" si="103"/>
        <v>2.0833333333333335</v>
      </c>
      <c r="AP25" s="2005">
        <f t="shared" si="103"/>
        <v>2.0833333333333335</v>
      </c>
      <c r="AQ25" s="2005">
        <f t="shared" si="103"/>
        <v>2.0833333333333335</v>
      </c>
      <c r="AR25" s="2005">
        <f t="shared" si="103"/>
        <v>2.0833333333333335</v>
      </c>
      <c r="AS25" s="2299"/>
      <c r="AT25" s="2004">
        <f t="shared" si="67"/>
        <v>12.500000000000002</v>
      </c>
      <c r="AU25" s="2005">
        <f t="shared" si="46"/>
        <v>32.213600349603851</v>
      </c>
      <c r="AV25" s="2006">
        <f t="shared" si="68"/>
        <v>19.713600349603851</v>
      </c>
      <c r="AW25" s="2299"/>
      <c r="AX25" s="2005"/>
      <c r="AY25" s="2005"/>
      <c r="AZ25" s="2005"/>
      <c r="BA25" s="2005">
        <f t="shared" ref="BA25:BD25" si="104">$J$25</f>
        <v>2.0833333333333335</v>
      </c>
      <c r="BB25" s="2005">
        <f t="shared" si="104"/>
        <v>2.0833333333333335</v>
      </c>
      <c r="BC25" s="2005">
        <f t="shared" si="104"/>
        <v>2.0833333333333335</v>
      </c>
      <c r="BD25" s="2005">
        <f t="shared" si="104"/>
        <v>2.0833333333333335</v>
      </c>
      <c r="BE25" s="2299"/>
      <c r="BF25" s="2004">
        <f t="shared" si="70"/>
        <v>8.3333333333333339</v>
      </c>
      <c r="BG25" s="2005">
        <f t="shared" si="48"/>
        <v>13.175941935361289</v>
      </c>
      <c r="BH25" s="2006">
        <f t="shared" si="71"/>
        <v>4.8426086020279548</v>
      </c>
      <c r="BI25" s="1951"/>
      <c r="BJ25" s="2001"/>
      <c r="BK25" s="2001">
        <f t="shared" ref="BK25:BL25" si="105">$J$25</f>
        <v>2.0833333333333335</v>
      </c>
      <c r="BL25" s="2001">
        <f t="shared" si="105"/>
        <v>2.0833333333333335</v>
      </c>
      <c r="BM25" s="1951"/>
      <c r="BN25" s="2004">
        <f t="shared" si="60"/>
        <v>4.166666666666667</v>
      </c>
      <c r="BO25" s="2005">
        <f t="shared" si="50"/>
        <v>9.0689517584693444</v>
      </c>
      <c r="BP25" s="2006">
        <f t="shared" si="100"/>
        <v>4.9022850918026775</v>
      </c>
      <c r="BR25" s="2007">
        <v>0</v>
      </c>
      <c r="BS25" s="2008">
        <f t="shared" si="51"/>
        <v>0</v>
      </c>
      <c r="BT25" s="1959"/>
      <c r="BU25" s="1901">
        <f t="shared" si="52"/>
        <v>47.916666666666679</v>
      </c>
      <c r="BV25" s="1902">
        <f t="shared" si="53"/>
        <v>0.95833333333333359</v>
      </c>
      <c r="BW25" s="1962"/>
      <c r="BX25" s="1905"/>
      <c r="BZ25" s="3295"/>
      <c r="CA25" s="2488"/>
      <c r="CB25" s="2010" t="s">
        <v>157</v>
      </c>
      <c r="CC25" s="2490">
        <f>BU1</f>
        <v>0.77419354838709675</v>
      </c>
      <c r="CD25" s="1946"/>
      <c r="CE25" s="1946"/>
      <c r="CF25" s="1946"/>
      <c r="CG25" s="1946"/>
      <c r="CH25" s="2012"/>
      <c r="CI25" s="1946"/>
    </row>
    <row r="26" spans="1:87" s="1726" customFormat="1" x14ac:dyDescent="0.2">
      <c r="A26" s="1756"/>
      <c r="B26" s="1963">
        <v>22</v>
      </c>
      <c r="C26" s="1963" t="s">
        <v>262</v>
      </c>
      <c r="D26" s="2578"/>
      <c r="E26" s="1728">
        <v>50</v>
      </c>
      <c r="F26" s="1728">
        <v>0.5</v>
      </c>
      <c r="G26" s="1728">
        <v>0.33333333333333331</v>
      </c>
      <c r="H26" s="1728">
        <v>0.25</v>
      </c>
      <c r="I26" s="1728">
        <v>0.2</v>
      </c>
      <c r="J26" s="1728">
        <f t="shared" si="54"/>
        <v>2.0833333333333335</v>
      </c>
      <c r="K26" s="1729">
        <f t="shared" si="40"/>
        <v>1.9000209002299026E-2</v>
      </c>
      <c r="L26" s="1931"/>
      <c r="M26" s="1877"/>
      <c r="N26" s="1728"/>
      <c r="O26" s="1728">
        <f t="shared" ref="O26:T26" si="106">$J$26</f>
        <v>2.0833333333333335</v>
      </c>
      <c r="P26" s="1728">
        <f t="shared" si="106"/>
        <v>2.0833333333333335</v>
      </c>
      <c r="Q26" s="1728">
        <f t="shared" si="106"/>
        <v>2.0833333333333335</v>
      </c>
      <c r="R26" s="1728">
        <f t="shared" si="106"/>
        <v>2.0833333333333335</v>
      </c>
      <c r="S26" s="1728">
        <f t="shared" si="106"/>
        <v>2.0833333333333335</v>
      </c>
      <c r="T26" s="1728">
        <f t="shared" si="106"/>
        <v>2.0833333333333335</v>
      </c>
      <c r="U26" s="3298"/>
      <c r="V26" s="1982">
        <f t="shared" si="75"/>
        <v>12.500000000000002</v>
      </c>
      <c r="W26" s="2268">
        <f t="shared" si="42"/>
        <v>21.981284794132733</v>
      </c>
      <c r="X26" s="1984">
        <f t="shared" si="62"/>
        <v>9.4812847941327316</v>
      </c>
      <c r="Y26" s="1881"/>
      <c r="Z26" s="1728"/>
      <c r="AA26" s="1728">
        <f t="shared" ref="AA26:AF26" si="107">$J$26</f>
        <v>2.0833333333333335</v>
      </c>
      <c r="AB26" s="1728">
        <f t="shared" si="107"/>
        <v>2.0833333333333335</v>
      </c>
      <c r="AC26" s="1728">
        <f t="shared" si="107"/>
        <v>2.0833333333333335</v>
      </c>
      <c r="AD26" s="1728">
        <f t="shared" si="107"/>
        <v>2.0833333333333335</v>
      </c>
      <c r="AE26" s="1728">
        <f t="shared" si="107"/>
        <v>2.0833333333333335</v>
      </c>
      <c r="AF26" s="1728">
        <f t="shared" si="107"/>
        <v>2.0833333333333335</v>
      </c>
      <c r="AG26" s="1881"/>
      <c r="AH26" s="1982">
        <f t="shared" si="64"/>
        <v>12.500000000000002</v>
      </c>
      <c r="AI26" s="2268">
        <f t="shared" si="44"/>
        <v>22.747050217552399</v>
      </c>
      <c r="AJ26" s="1984">
        <f t="shared" si="65"/>
        <v>10.247050217552397</v>
      </c>
      <c r="AK26" s="1881"/>
      <c r="AL26" s="2268"/>
      <c r="AM26" s="2268">
        <f t="shared" ref="AM26:AR26" si="108">$J$26</f>
        <v>2.0833333333333335</v>
      </c>
      <c r="AN26" s="2268">
        <f t="shared" si="108"/>
        <v>2.0833333333333335</v>
      </c>
      <c r="AO26" s="2268">
        <f t="shared" si="108"/>
        <v>2.0833333333333335</v>
      </c>
      <c r="AP26" s="2268">
        <f t="shared" si="108"/>
        <v>2.0833333333333335</v>
      </c>
      <c r="AQ26" s="2268">
        <f t="shared" si="108"/>
        <v>2.0833333333333335</v>
      </c>
      <c r="AR26" s="2268">
        <f t="shared" si="108"/>
        <v>2.0833333333333335</v>
      </c>
      <c r="AS26" s="2293"/>
      <c r="AT26" s="1982">
        <f t="shared" si="67"/>
        <v>12.500000000000002</v>
      </c>
      <c r="AU26" s="2268">
        <f t="shared" si="46"/>
        <v>32.213600349603851</v>
      </c>
      <c r="AV26" s="1984">
        <f t="shared" si="68"/>
        <v>19.713600349603851</v>
      </c>
      <c r="AW26" s="2293"/>
      <c r="AX26" s="2268"/>
      <c r="AY26" s="2268"/>
      <c r="AZ26" s="2268"/>
      <c r="BA26" s="2268">
        <f t="shared" ref="BA26:BD26" si="109">$J$26</f>
        <v>2.0833333333333335</v>
      </c>
      <c r="BB26" s="2268">
        <f t="shared" si="109"/>
        <v>2.0833333333333335</v>
      </c>
      <c r="BC26" s="2268">
        <f t="shared" si="109"/>
        <v>2.0833333333333335</v>
      </c>
      <c r="BD26" s="2268">
        <f t="shared" si="109"/>
        <v>2.0833333333333335</v>
      </c>
      <c r="BE26" s="2293"/>
      <c r="BF26" s="1982">
        <f t="shared" si="70"/>
        <v>8.3333333333333339</v>
      </c>
      <c r="BG26" s="2268">
        <f t="shared" si="48"/>
        <v>13.175941935361289</v>
      </c>
      <c r="BH26" s="1984">
        <f t="shared" si="71"/>
        <v>4.8426086020279548</v>
      </c>
      <c r="BI26" s="3298"/>
      <c r="BJ26" s="1728"/>
      <c r="BK26" s="1728">
        <f t="shared" ref="BK26:BL26" si="110">$J$26</f>
        <v>2.0833333333333335</v>
      </c>
      <c r="BL26" s="1728">
        <f t="shared" si="110"/>
        <v>2.0833333333333335</v>
      </c>
      <c r="BM26" s="3298"/>
      <c r="BN26" s="1982">
        <f t="shared" si="60"/>
        <v>4.166666666666667</v>
      </c>
      <c r="BO26" s="2268">
        <f t="shared" si="50"/>
        <v>9.0689517584693444</v>
      </c>
      <c r="BP26" s="1984">
        <f t="shared" si="100"/>
        <v>4.9022850918026775</v>
      </c>
      <c r="BR26" s="1732">
        <v>0</v>
      </c>
      <c r="BS26" s="1882">
        <f t="shared" si="51"/>
        <v>0</v>
      </c>
      <c r="BT26" s="1740"/>
      <c r="BU26" s="1734">
        <f t="shared" si="52"/>
        <v>47.916666666666679</v>
      </c>
      <c r="BV26" s="1918">
        <f t="shared" si="53"/>
        <v>0.95833333333333359</v>
      </c>
      <c r="BW26" s="1997"/>
      <c r="BX26" s="3297"/>
      <c r="BZ26" s="2014"/>
      <c r="CA26" s="3300"/>
      <c r="CB26" s="1830"/>
      <c r="CC26" s="3301"/>
      <c r="CD26" s="1810"/>
      <c r="CE26" s="1810"/>
      <c r="CF26" s="1810"/>
      <c r="CG26" s="1810"/>
      <c r="CH26" s="1986"/>
      <c r="CI26" s="1810"/>
    </row>
    <row r="27" spans="1:87" s="1885" customFormat="1" x14ac:dyDescent="0.2">
      <c r="A27" s="1947"/>
      <c r="B27" s="2000">
        <v>23</v>
      </c>
      <c r="C27" s="2000" t="s">
        <v>240</v>
      </c>
      <c r="D27" s="2579"/>
      <c r="E27" s="2001">
        <v>30</v>
      </c>
      <c r="F27" s="2001">
        <v>5</v>
      </c>
      <c r="G27" s="2001">
        <v>3.3333333333333335</v>
      </c>
      <c r="H27" s="2001">
        <v>2.5</v>
      </c>
      <c r="I27" s="2001">
        <v>2</v>
      </c>
      <c r="J27" s="2001">
        <f t="shared" si="54"/>
        <v>1.25</v>
      </c>
      <c r="K27" s="2584">
        <f t="shared" si="40"/>
        <v>1.1400125401379416E-2</v>
      </c>
      <c r="L27" s="1891"/>
      <c r="M27" s="1950"/>
      <c r="N27" s="2001"/>
      <c r="O27" s="2001">
        <f t="shared" ref="O27:T27" si="111">$J$27</f>
        <v>1.25</v>
      </c>
      <c r="P27" s="2001">
        <f t="shared" si="111"/>
        <v>1.25</v>
      </c>
      <c r="Q27" s="2001">
        <f t="shared" si="111"/>
        <v>1.25</v>
      </c>
      <c r="R27" s="2001">
        <f t="shared" si="111"/>
        <v>1.25</v>
      </c>
      <c r="S27" s="2001">
        <f t="shared" si="111"/>
        <v>1.25</v>
      </c>
      <c r="T27" s="2001">
        <f t="shared" si="111"/>
        <v>1.25</v>
      </c>
      <c r="U27" s="3296"/>
      <c r="V27" s="2004">
        <f t="shared" si="75"/>
        <v>7.5</v>
      </c>
      <c r="W27" s="2005">
        <f t="shared" si="42"/>
        <v>13.188770876479641</v>
      </c>
      <c r="X27" s="2006">
        <f t="shared" si="62"/>
        <v>5.6887708764796407</v>
      </c>
      <c r="Y27" s="1896"/>
      <c r="Z27" s="2001"/>
      <c r="AA27" s="2001">
        <f t="shared" ref="AA27:AF27" si="112">$J$27</f>
        <v>1.25</v>
      </c>
      <c r="AB27" s="2001">
        <f t="shared" si="112"/>
        <v>1.25</v>
      </c>
      <c r="AC27" s="2001">
        <f t="shared" si="112"/>
        <v>1.25</v>
      </c>
      <c r="AD27" s="2001">
        <f t="shared" si="112"/>
        <v>1.25</v>
      </c>
      <c r="AE27" s="2001">
        <f t="shared" si="112"/>
        <v>1.25</v>
      </c>
      <c r="AF27" s="2001">
        <f t="shared" si="112"/>
        <v>1.25</v>
      </c>
      <c r="AG27" s="1896"/>
      <c r="AH27" s="2004">
        <f t="shared" si="64"/>
        <v>7.5</v>
      </c>
      <c r="AI27" s="2005">
        <f t="shared" si="44"/>
        <v>13.648230130531442</v>
      </c>
      <c r="AJ27" s="2006">
        <f t="shared" si="65"/>
        <v>6.1482301305314415</v>
      </c>
      <c r="AK27" s="1896"/>
      <c r="AL27" s="2005"/>
      <c r="AM27" s="2005">
        <f t="shared" ref="AM27:AR27" si="113">$J$27</f>
        <v>1.25</v>
      </c>
      <c r="AN27" s="2005">
        <f t="shared" si="113"/>
        <v>1.25</v>
      </c>
      <c r="AO27" s="2005">
        <f t="shared" si="113"/>
        <v>1.25</v>
      </c>
      <c r="AP27" s="2005">
        <f t="shared" si="113"/>
        <v>1.25</v>
      </c>
      <c r="AQ27" s="2005">
        <f t="shared" si="113"/>
        <v>1.25</v>
      </c>
      <c r="AR27" s="2005">
        <f t="shared" si="113"/>
        <v>1.25</v>
      </c>
      <c r="AS27" s="2295"/>
      <c r="AT27" s="2004">
        <f t="shared" si="67"/>
        <v>7.5</v>
      </c>
      <c r="AU27" s="2005">
        <f t="shared" si="46"/>
        <v>19.328160209762309</v>
      </c>
      <c r="AV27" s="2006">
        <f t="shared" si="68"/>
        <v>11.828160209762309</v>
      </c>
      <c r="AW27" s="2295"/>
      <c r="AX27" s="2005"/>
      <c r="AY27" s="2005"/>
      <c r="AZ27" s="2005"/>
      <c r="BA27" s="2005">
        <f t="shared" ref="BA27:BD27" si="114">$J$27</f>
        <v>1.25</v>
      </c>
      <c r="BB27" s="2005">
        <f t="shared" si="114"/>
        <v>1.25</v>
      </c>
      <c r="BC27" s="2005">
        <f t="shared" si="114"/>
        <v>1.25</v>
      </c>
      <c r="BD27" s="2005">
        <f t="shared" si="114"/>
        <v>1.25</v>
      </c>
      <c r="BE27" s="2295"/>
      <c r="BF27" s="2004">
        <f t="shared" si="70"/>
        <v>5</v>
      </c>
      <c r="BG27" s="2005">
        <f t="shared" si="48"/>
        <v>7.9055651612167743</v>
      </c>
      <c r="BH27" s="2006">
        <f t="shared" si="71"/>
        <v>2.9055651612167743</v>
      </c>
      <c r="BI27" s="3296"/>
      <c r="BJ27" s="2001"/>
      <c r="BK27" s="2001">
        <f t="shared" ref="BK27:BL27" si="115">$J$27</f>
        <v>1.25</v>
      </c>
      <c r="BL27" s="2001">
        <f t="shared" si="115"/>
        <v>1.25</v>
      </c>
      <c r="BM27" s="3296"/>
      <c r="BN27" s="2004">
        <f t="shared" si="60"/>
        <v>2.5</v>
      </c>
      <c r="BO27" s="2005">
        <f t="shared" si="50"/>
        <v>5.441371055081607</v>
      </c>
      <c r="BP27" s="2006">
        <f t="shared" si="100"/>
        <v>2.941371055081607</v>
      </c>
      <c r="BR27" s="1898">
        <v>0</v>
      </c>
      <c r="BS27" s="1899">
        <f t="shared" si="51"/>
        <v>0</v>
      </c>
      <c r="BT27" s="1900"/>
      <c r="BU27" s="2244">
        <f t="shared" si="52"/>
        <v>28.75</v>
      </c>
      <c r="BV27" s="2387">
        <f t="shared" si="53"/>
        <v>0.95833333333333337</v>
      </c>
      <c r="BW27" s="2010"/>
      <c r="BX27" s="3295"/>
      <c r="BZ27" s="3295"/>
      <c r="CA27" s="2488"/>
      <c r="CB27" s="2010"/>
      <c r="CC27" s="2490"/>
      <c r="CD27" s="1906"/>
      <c r="CE27" s="1906"/>
      <c r="CF27" s="1906"/>
      <c r="CG27" s="1906"/>
      <c r="CH27" s="2386"/>
      <c r="CI27" s="1906"/>
    </row>
    <row r="28" spans="1:87" s="1726" customFormat="1" x14ac:dyDescent="0.2">
      <c r="B28" s="1963">
        <v>24</v>
      </c>
      <c r="C28" s="1963" t="s">
        <v>254</v>
      </c>
      <c r="D28" s="2578"/>
      <c r="E28" s="1728">
        <v>26.35</v>
      </c>
      <c r="F28" s="1728">
        <v>5</v>
      </c>
      <c r="G28" s="1728">
        <v>3.3333333333333335</v>
      </c>
      <c r="H28" s="1728">
        <v>2.5</v>
      </c>
      <c r="I28" s="1728">
        <v>2</v>
      </c>
      <c r="J28" s="1728">
        <f t="shared" si="54"/>
        <v>1.0979166666666667</v>
      </c>
      <c r="K28" s="1729">
        <f t="shared" si="40"/>
        <v>1.0013110144211588E-2</v>
      </c>
      <c r="L28" s="1931"/>
      <c r="M28" s="1924"/>
      <c r="N28" s="1728"/>
      <c r="O28" s="1728">
        <f t="shared" ref="O28:T28" si="116">$J$28</f>
        <v>1.0979166666666667</v>
      </c>
      <c r="P28" s="1728">
        <f t="shared" si="116"/>
        <v>1.0979166666666667</v>
      </c>
      <c r="Q28" s="1728">
        <f t="shared" si="116"/>
        <v>1.0979166666666667</v>
      </c>
      <c r="R28" s="1728">
        <f t="shared" si="116"/>
        <v>1.0979166666666667</v>
      </c>
      <c r="S28" s="1728">
        <f t="shared" si="116"/>
        <v>1.0979166666666667</v>
      </c>
      <c r="T28" s="1728">
        <f t="shared" si="116"/>
        <v>1.0979166666666667</v>
      </c>
      <c r="U28" s="3298"/>
      <c r="V28" s="1982">
        <f t="shared" si="75"/>
        <v>6.5874999999999995</v>
      </c>
      <c r="W28" s="2268">
        <f t="shared" si="42"/>
        <v>11.584137086507953</v>
      </c>
      <c r="X28" s="1984">
        <f>W28-V28</f>
        <v>4.9966370865079535</v>
      </c>
      <c r="Y28" s="1881"/>
      <c r="Z28" s="1728"/>
      <c r="AA28" s="1728">
        <f t="shared" ref="AA28:AF28" si="117">$J$28</f>
        <v>1.0979166666666667</v>
      </c>
      <c r="AB28" s="1728">
        <f t="shared" si="117"/>
        <v>1.0979166666666667</v>
      </c>
      <c r="AC28" s="1728">
        <f t="shared" si="117"/>
        <v>1.0979166666666667</v>
      </c>
      <c r="AD28" s="1728">
        <f t="shared" si="117"/>
        <v>1.0979166666666667</v>
      </c>
      <c r="AE28" s="1728">
        <f t="shared" si="117"/>
        <v>1.0979166666666667</v>
      </c>
      <c r="AF28" s="1728">
        <f t="shared" si="117"/>
        <v>1.0979166666666667</v>
      </c>
      <c r="AG28" s="1881"/>
      <c r="AH28" s="1982">
        <f t="shared" si="64"/>
        <v>6.5874999999999995</v>
      </c>
      <c r="AI28" s="2268">
        <f t="shared" si="44"/>
        <v>11.987695464650116</v>
      </c>
      <c r="AJ28" s="1984">
        <f t="shared" si="65"/>
        <v>5.4001954646501167</v>
      </c>
      <c r="AK28" s="1881"/>
      <c r="AL28" s="2268"/>
      <c r="AM28" s="2268">
        <f t="shared" ref="AM28:AR28" si="118">$J$28</f>
        <v>1.0979166666666667</v>
      </c>
      <c r="AN28" s="2268">
        <f t="shared" si="118"/>
        <v>1.0979166666666667</v>
      </c>
      <c r="AO28" s="2268">
        <f t="shared" si="118"/>
        <v>1.0979166666666667</v>
      </c>
      <c r="AP28" s="2268">
        <f t="shared" si="118"/>
        <v>1.0979166666666667</v>
      </c>
      <c r="AQ28" s="2268">
        <f t="shared" si="118"/>
        <v>1.0979166666666667</v>
      </c>
      <c r="AR28" s="2268">
        <f t="shared" si="118"/>
        <v>1.0979166666666667</v>
      </c>
      <c r="AS28" s="2293"/>
      <c r="AT28" s="1982">
        <f t="shared" si="67"/>
        <v>6.5874999999999995</v>
      </c>
      <c r="AU28" s="2268">
        <f t="shared" si="46"/>
        <v>16.976567384241232</v>
      </c>
      <c r="AV28" s="1984">
        <f t="shared" si="68"/>
        <v>10.389067384241233</v>
      </c>
      <c r="AW28" s="2293"/>
      <c r="AX28" s="2268"/>
      <c r="AY28" s="2268"/>
      <c r="AZ28" s="2268"/>
      <c r="BA28" s="2268">
        <f t="shared" ref="BA28:BD28" si="119">$J$28</f>
        <v>1.0979166666666667</v>
      </c>
      <c r="BB28" s="2268">
        <f t="shared" si="119"/>
        <v>1.0979166666666667</v>
      </c>
      <c r="BC28" s="2268">
        <f t="shared" si="119"/>
        <v>1.0979166666666667</v>
      </c>
      <c r="BD28" s="2268">
        <f t="shared" si="119"/>
        <v>1.0979166666666667</v>
      </c>
      <c r="BE28" s="2293"/>
      <c r="BF28" s="1982">
        <f t="shared" si="70"/>
        <v>4.3916666666666666</v>
      </c>
      <c r="BG28" s="2268">
        <f t="shared" si="48"/>
        <v>6.9437213999354004</v>
      </c>
      <c r="BH28" s="1984">
        <f t="shared" si="71"/>
        <v>2.5520547332687338</v>
      </c>
      <c r="BI28" s="3298"/>
      <c r="BJ28" s="1728"/>
      <c r="BK28" s="1728">
        <f t="shared" ref="BK28:BL28" si="120">$J$28</f>
        <v>1.0979166666666667</v>
      </c>
      <c r="BL28" s="1728">
        <f t="shared" si="120"/>
        <v>1.0979166666666667</v>
      </c>
      <c r="BM28" s="3298"/>
      <c r="BN28" s="1982">
        <f t="shared" si="60"/>
        <v>2.1958333333333333</v>
      </c>
      <c r="BO28" s="2268">
        <f t="shared" si="50"/>
        <v>4.7793375767133446</v>
      </c>
      <c r="BP28" s="1984">
        <f t="shared" si="100"/>
        <v>2.5835042433800113</v>
      </c>
      <c r="BR28" s="1732">
        <v>0</v>
      </c>
      <c r="BS28" s="1882">
        <f t="shared" si="51"/>
        <v>0</v>
      </c>
      <c r="BT28" s="1740"/>
      <c r="BU28" s="1734">
        <f t="shared" si="52"/>
        <v>25.252083333333331</v>
      </c>
      <c r="BV28" s="1918">
        <f t="shared" si="53"/>
        <v>0.95833333333333326</v>
      </c>
      <c r="BW28" s="1997"/>
      <c r="BX28" s="3297"/>
      <c r="BZ28" s="3297"/>
      <c r="CA28" s="2961"/>
      <c r="CB28" s="1861"/>
      <c r="CC28" s="1861"/>
      <c r="CD28" s="1810"/>
      <c r="CE28" s="1810"/>
      <c r="CF28" s="1810"/>
      <c r="CG28" s="1810"/>
      <c r="CH28" s="1986"/>
      <c r="CI28" s="1810"/>
    </row>
    <row r="29" spans="1:87" s="1885" customFormat="1" x14ac:dyDescent="0.2">
      <c r="B29" s="2580">
        <v>25</v>
      </c>
      <c r="C29" s="2580" t="s">
        <v>205</v>
      </c>
      <c r="D29" s="2596"/>
      <c r="E29" s="2597">
        <v>25.5</v>
      </c>
      <c r="F29" s="2597"/>
      <c r="G29" s="2597"/>
      <c r="H29" s="2597"/>
      <c r="I29" s="2597"/>
      <c r="J29" s="2597">
        <f t="shared" si="54"/>
        <v>1.0625</v>
      </c>
      <c r="K29" s="2598">
        <f t="shared" si="40"/>
        <v>9.6901065911725037E-3</v>
      </c>
      <c r="L29" s="2003"/>
      <c r="M29" s="1950"/>
      <c r="N29" s="2001"/>
      <c r="O29" s="2001">
        <f t="shared" ref="O29:T29" si="121">$J$29</f>
        <v>1.0625</v>
      </c>
      <c r="P29" s="2001">
        <f t="shared" si="121"/>
        <v>1.0625</v>
      </c>
      <c r="Q29" s="2001">
        <f t="shared" si="121"/>
        <v>1.0625</v>
      </c>
      <c r="R29" s="2001">
        <f t="shared" si="121"/>
        <v>1.0625</v>
      </c>
      <c r="S29" s="2001">
        <f t="shared" si="121"/>
        <v>1.0625</v>
      </c>
      <c r="T29" s="2001">
        <f t="shared" si="121"/>
        <v>1.0625</v>
      </c>
      <c r="U29" s="3296"/>
      <c r="V29" s="2481">
        <f t="shared" si="75"/>
        <v>6.375</v>
      </c>
      <c r="W29" s="2482">
        <f t="shared" si="42"/>
        <v>11.210455245007694</v>
      </c>
      <c r="X29" s="2483">
        <f t="shared" si="62"/>
        <v>4.8354552450076937</v>
      </c>
      <c r="Y29" s="1896"/>
      <c r="Z29" s="2001"/>
      <c r="AA29" s="2001">
        <f t="shared" ref="AA29:AF29" si="122">$J$29</f>
        <v>1.0625</v>
      </c>
      <c r="AB29" s="2001">
        <f t="shared" si="122"/>
        <v>1.0625</v>
      </c>
      <c r="AC29" s="2001">
        <f t="shared" si="122"/>
        <v>1.0625</v>
      </c>
      <c r="AD29" s="2001">
        <f t="shared" si="122"/>
        <v>1.0625</v>
      </c>
      <c r="AE29" s="2001">
        <f t="shared" si="122"/>
        <v>1.0625</v>
      </c>
      <c r="AF29" s="2001">
        <f t="shared" si="122"/>
        <v>1.0625</v>
      </c>
      <c r="AG29" s="1896"/>
      <c r="AH29" s="2481">
        <f t="shared" si="64"/>
        <v>6.375</v>
      </c>
      <c r="AI29" s="2482">
        <f t="shared" si="44"/>
        <v>11.600995610951724</v>
      </c>
      <c r="AJ29" s="2483">
        <f t="shared" si="65"/>
        <v>5.225995610951724</v>
      </c>
      <c r="AK29" s="1896"/>
      <c r="AL29" s="2005"/>
      <c r="AM29" s="2005">
        <f t="shared" ref="AM29:AR29" si="123">$J$29</f>
        <v>1.0625</v>
      </c>
      <c r="AN29" s="2005">
        <f t="shared" si="123"/>
        <v>1.0625</v>
      </c>
      <c r="AO29" s="2005">
        <f t="shared" si="123"/>
        <v>1.0625</v>
      </c>
      <c r="AP29" s="2005">
        <f t="shared" si="123"/>
        <v>1.0625</v>
      </c>
      <c r="AQ29" s="2005">
        <f t="shared" si="123"/>
        <v>1.0625</v>
      </c>
      <c r="AR29" s="2005">
        <f t="shared" si="123"/>
        <v>1.0625</v>
      </c>
      <c r="AS29" s="2295"/>
      <c r="AT29" s="2481">
        <f t="shared" si="67"/>
        <v>6.375</v>
      </c>
      <c r="AU29" s="2482">
        <f t="shared" si="46"/>
        <v>16.428936178297963</v>
      </c>
      <c r="AV29" s="2483">
        <f t="shared" si="68"/>
        <v>10.053936178297963</v>
      </c>
      <c r="AW29" s="2295"/>
      <c r="AX29" s="2005"/>
      <c r="AY29" s="2005"/>
      <c r="AZ29" s="2005"/>
      <c r="BA29" s="2005">
        <f t="shared" ref="BA29:BD29" si="124">$J$29</f>
        <v>1.0625</v>
      </c>
      <c r="BB29" s="2005">
        <f t="shared" si="124"/>
        <v>1.0625</v>
      </c>
      <c r="BC29" s="2005">
        <f t="shared" si="124"/>
        <v>1.0625</v>
      </c>
      <c r="BD29" s="2005">
        <f t="shared" si="124"/>
        <v>1.0625</v>
      </c>
      <c r="BE29" s="2295"/>
      <c r="BF29" s="2481">
        <f t="shared" si="70"/>
        <v>4.25</v>
      </c>
      <c r="BG29" s="2482">
        <f t="shared" si="48"/>
        <v>6.7197303870342573</v>
      </c>
      <c r="BH29" s="2483">
        <f t="shared" si="71"/>
        <v>2.4697303870342573</v>
      </c>
      <c r="BI29" s="3296"/>
      <c r="BJ29" s="2001"/>
      <c r="BK29" s="2001">
        <f t="shared" ref="BK29:BL29" si="125">$J$29</f>
        <v>1.0625</v>
      </c>
      <c r="BL29" s="2001">
        <f t="shared" si="125"/>
        <v>1.0625</v>
      </c>
      <c r="BM29" s="3296"/>
      <c r="BN29" s="2481">
        <f t="shared" si="60"/>
        <v>2.125</v>
      </c>
      <c r="BO29" s="2482">
        <f t="shared" si="50"/>
        <v>4.6251653968193658</v>
      </c>
      <c r="BP29" s="2483">
        <f t="shared" si="100"/>
        <v>2.5001653968193658</v>
      </c>
      <c r="BR29" s="1898">
        <v>0</v>
      </c>
      <c r="BS29" s="1899">
        <f t="shared" si="51"/>
        <v>0</v>
      </c>
      <c r="BT29" s="1900"/>
      <c r="BU29" s="2388">
        <f t="shared" si="52"/>
        <v>24.4375</v>
      </c>
      <c r="BV29" s="2389">
        <f t="shared" si="53"/>
        <v>0.95833333333333337</v>
      </c>
      <c r="BW29" s="2010"/>
      <c r="BX29" s="3295"/>
      <c r="BZ29" s="3295"/>
      <c r="CA29" s="2488"/>
      <c r="CB29" s="2404" t="s">
        <v>155</v>
      </c>
      <c r="CC29" s="2010" t="s">
        <v>156</v>
      </c>
      <c r="CD29" s="1906"/>
      <c r="CE29" s="1906"/>
      <c r="CF29" s="1906"/>
      <c r="CG29" s="1906"/>
      <c r="CH29" s="2386"/>
      <c r="CI29" s="1906"/>
    </row>
    <row r="30" spans="1:87" s="1726" customFormat="1" x14ac:dyDescent="0.2">
      <c r="B30" s="1963">
        <v>26</v>
      </c>
      <c r="C30" s="1963" t="s">
        <v>206</v>
      </c>
      <c r="D30" s="2578"/>
      <c r="E30" s="1728">
        <v>16.7</v>
      </c>
      <c r="F30" s="1728"/>
      <c r="G30" s="1728"/>
      <c r="H30" s="1728"/>
      <c r="I30" s="1728"/>
      <c r="J30" s="1728">
        <f t="shared" si="54"/>
        <v>0.6958333333333333</v>
      </c>
      <c r="K30" s="1729">
        <f t="shared" si="40"/>
        <v>6.3460698067678749E-3</v>
      </c>
      <c r="L30" s="1931"/>
      <c r="M30" s="1924"/>
      <c r="N30" s="1728"/>
      <c r="O30" s="1728">
        <f t="shared" ref="O30:T30" si="126">$J$30</f>
        <v>0.6958333333333333</v>
      </c>
      <c r="P30" s="1728">
        <f t="shared" si="126"/>
        <v>0.6958333333333333</v>
      </c>
      <c r="Q30" s="1728">
        <f t="shared" si="126"/>
        <v>0.6958333333333333</v>
      </c>
      <c r="R30" s="1728">
        <f t="shared" si="126"/>
        <v>0.6958333333333333</v>
      </c>
      <c r="S30" s="1728">
        <f t="shared" si="126"/>
        <v>0.6958333333333333</v>
      </c>
      <c r="T30" s="1728">
        <f t="shared" si="126"/>
        <v>0.6958333333333333</v>
      </c>
      <c r="U30" s="3214"/>
      <c r="V30" s="2016">
        <f t="shared" si="75"/>
        <v>4.1749999999999998</v>
      </c>
      <c r="W30" s="2017">
        <f t="shared" si="42"/>
        <v>7.3417491212403334</v>
      </c>
      <c r="X30" s="2018">
        <f t="shared" si="62"/>
        <v>3.1667491212403336</v>
      </c>
      <c r="Y30" s="1881"/>
      <c r="Z30" s="1728"/>
      <c r="AA30" s="1728">
        <f t="shared" ref="AA30:AF30" si="127">$J$30</f>
        <v>0.6958333333333333</v>
      </c>
      <c r="AB30" s="1728">
        <f t="shared" si="127"/>
        <v>0.6958333333333333</v>
      </c>
      <c r="AC30" s="1728">
        <f t="shared" si="127"/>
        <v>0.6958333333333333</v>
      </c>
      <c r="AD30" s="1728">
        <f t="shared" si="127"/>
        <v>0.6958333333333333</v>
      </c>
      <c r="AE30" s="1728">
        <f t="shared" si="127"/>
        <v>0.6958333333333333</v>
      </c>
      <c r="AF30" s="1728">
        <f t="shared" si="127"/>
        <v>0.6958333333333333</v>
      </c>
      <c r="AG30" s="1881"/>
      <c r="AH30" s="2016">
        <f>SUM(Z30:AF30)</f>
        <v>4.1749999999999998</v>
      </c>
      <c r="AI30" s="2017">
        <f t="shared" si="44"/>
        <v>7.5975147726625014</v>
      </c>
      <c r="AJ30" s="2018">
        <f>AI30-AH30</f>
        <v>3.4225147726625016</v>
      </c>
      <c r="AK30" s="1881"/>
      <c r="AL30" s="2268"/>
      <c r="AM30" s="2268">
        <f t="shared" ref="AM30:AR30" si="128">$J$30</f>
        <v>0.6958333333333333</v>
      </c>
      <c r="AN30" s="2268">
        <f t="shared" si="128"/>
        <v>0.6958333333333333</v>
      </c>
      <c r="AO30" s="2268">
        <f t="shared" si="128"/>
        <v>0.6958333333333333</v>
      </c>
      <c r="AP30" s="2268">
        <f t="shared" si="128"/>
        <v>0.6958333333333333</v>
      </c>
      <c r="AQ30" s="2268">
        <f t="shared" si="128"/>
        <v>0.6958333333333333</v>
      </c>
      <c r="AR30" s="2268">
        <f t="shared" si="128"/>
        <v>0.6958333333333333</v>
      </c>
      <c r="AS30" s="2293"/>
      <c r="AT30" s="2016">
        <f t="shared" si="67"/>
        <v>4.1749999999999998</v>
      </c>
      <c r="AU30" s="2017">
        <f t="shared" si="46"/>
        <v>10.759342516767685</v>
      </c>
      <c r="AV30" s="2018">
        <f t="shared" si="68"/>
        <v>6.584342516767685</v>
      </c>
      <c r="AW30" s="2293"/>
      <c r="AX30" s="2268"/>
      <c r="AY30" s="2268"/>
      <c r="AZ30" s="2268"/>
      <c r="BA30" s="2268">
        <f t="shared" ref="BA30:BD30" si="129">$J$30</f>
        <v>0.6958333333333333</v>
      </c>
      <c r="BB30" s="2268">
        <f t="shared" si="129"/>
        <v>0.6958333333333333</v>
      </c>
      <c r="BC30" s="2268">
        <f t="shared" si="129"/>
        <v>0.6958333333333333</v>
      </c>
      <c r="BD30" s="2268">
        <f t="shared" si="129"/>
        <v>0.6958333333333333</v>
      </c>
      <c r="BE30" s="2293"/>
      <c r="BF30" s="2016">
        <f t="shared" si="70"/>
        <v>2.7833333333333332</v>
      </c>
      <c r="BG30" s="2017">
        <f t="shared" si="48"/>
        <v>4.4007646064106707</v>
      </c>
      <c r="BH30" s="2018">
        <f t="shared" si="71"/>
        <v>1.6174312730773375</v>
      </c>
      <c r="BI30" s="3214"/>
      <c r="BJ30" s="1728"/>
      <c r="BK30" s="1728">
        <f t="shared" ref="BK30:BL30" si="130">$J$30</f>
        <v>0.6958333333333333</v>
      </c>
      <c r="BL30" s="1728">
        <f t="shared" si="130"/>
        <v>0.6958333333333333</v>
      </c>
      <c r="BM30" s="3214"/>
      <c r="BN30" s="2016">
        <f t="shared" si="60"/>
        <v>1.3916666666666666</v>
      </c>
      <c r="BO30" s="2017">
        <f t="shared" si="50"/>
        <v>3.0290298873287607</v>
      </c>
      <c r="BP30" s="2018">
        <f t="shared" si="100"/>
        <v>1.6373632206620941</v>
      </c>
      <c r="BR30" s="1732">
        <v>0</v>
      </c>
      <c r="BS30" s="1882">
        <f t="shared" si="51"/>
        <v>0</v>
      </c>
      <c r="BT30" s="1740"/>
      <c r="BU30" s="2019">
        <f t="shared" si="52"/>
        <v>16.004166666666666</v>
      </c>
      <c r="BV30" s="2020">
        <f t="shared" si="53"/>
        <v>0.95833333333333337</v>
      </c>
      <c r="BW30" s="1997"/>
      <c r="BX30" s="3212"/>
      <c r="BZ30" s="3212"/>
      <c r="CA30" s="2036" t="s">
        <v>159</v>
      </c>
      <c r="CB30" s="2059">
        <v>0.5</v>
      </c>
      <c r="CC30" s="1997" t="str">
        <f>IF(CC25&lt;=CB30,CC25," ")</f>
        <v xml:space="preserve"> </v>
      </c>
      <c r="CD30" s="1810"/>
      <c r="CE30" s="1810"/>
      <c r="CF30" s="1810"/>
      <c r="CG30" s="1810"/>
      <c r="CH30" s="1986"/>
      <c r="CI30" s="1810"/>
    </row>
    <row r="31" spans="1:87" x14ac:dyDescent="0.2">
      <c r="B31" s="1987">
        <v>27</v>
      </c>
      <c r="C31" s="2000" t="s">
        <v>258</v>
      </c>
      <c r="D31" s="2579"/>
      <c r="E31" s="2001">
        <v>15</v>
      </c>
      <c r="F31" s="2001">
        <v>5</v>
      </c>
      <c r="G31" s="2001">
        <v>3.3333333333333335</v>
      </c>
      <c r="H31" s="2001">
        <v>2.5</v>
      </c>
      <c r="I31" s="2001">
        <v>2</v>
      </c>
      <c r="J31" s="2001">
        <f t="shared" si="54"/>
        <v>0.625</v>
      </c>
      <c r="K31" s="2584">
        <f t="shared" si="40"/>
        <v>5.7000627006897082E-3</v>
      </c>
      <c r="L31" s="1866"/>
      <c r="M31" s="1867"/>
      <c r="N31" s="1746"/>
      <c r="O31" s="1746">
        <f t="shared" ref="O31:T31" si="131">$J$31</f>
        <v>0.625</v>
      </c>
      <c r="P31" s="1746">
        <f t="shared" si="131"/>
        <v>0.625</v>
      </c>
      <c r="Q31" s="1746">
        <f t="shared" si="131"/>
        <v>0.625</v>
      </c>
      <c r="R31" s="1746">
        <f t="shared" si="131"/>
        <v>0.625</v>
      </c>
      <c r="S31" s="1746">
        <f t="shared" si="131"/>
        <v>0.625</v>
      </c>
      <c r="T31" s="1746">
        <f t="shared" si="131"/>
        <v>0.625</v>
      </c>
      <c r="U31" s="3213"/>
      <c r="V31" s="2953">
        <f t="shared" si="75"/>
        <v>3.75</v>
      </c>
      <c r="W31" s="2954">
        <f t="shared" si="42"/>
        <v>6.5943854382398204</v>
      </c>
      <c r="X31" s="2955">
        <f t="shared" si="62"/>
        <v>2.8443854382398204</v>
      </c>
      <c r="Y31" s="1914"/>
      <c r="Z31" s="1746"/>
      <c r="AA31" s="1746">
        <f t="shared" ref="AA31:AF31" si="132">$J$31</f>
        <v>0.625</v>
      </c>
      <c r="AB31" s="1746">
        <f t="shared" si="132"/>
        <v>0.625</v>
      </c>
      <c r="AC31" s="1746">
        <f t="shared" si="132"/>
        <v>0.625</v>
      </c>
      <c r="AD31" s="1746">
        <f t="shared" si="132"/>
        <v>0.625</v>
      </c>
      <c r="AE31" s="1746">
        <f t="shared" si="132"/>
        <v>0.625</v>
      </c>
      <c r="AF31" s="1746">
        <f t="shared" si="132"/>
        <v>0.625</v>
      </c>
      <c r="AG31" s="1914"/>
      <c r="AH31" s="2953">
        <f t="shared" ref="AH31:AH37" si="133">SUM(Z31:AF31)</f>
        <v>3.75</v>
      </c>
      <c r="AI31" s="2954">
        <f t="shared" si="44"/>
        <v>6.8241150652657208</v>
      </c>
      <c r="AJ31" s="2955">
        <f t="shared" ref="AJ31:AJ37" si="134">AI31-AH31</f>
        <v>3.0741150652657208</v>
      </c>
      <c r="AK31" s="1914"/>
      <c r="AL31" s="1990"/>
      <c r="AM31" s="1990">
        <f t="shared" ref="AM31:AR31" si="135">$J$31</f>
        <v>0.625</v>
      </c>
      <c r="AN31" s="1990">
        <f t="shared" si="135"/>
        <v>0.625</v>
      </c>
      <c r="AO31" s="1990">
        <f t="shared" si="135"/>
        <v>0.625</v>
      </c>
      <c r="AP31" s="1990">
        <f t="shared" si="135"/>
        <v>0.625</v>
      </c>
      <c r="AQ31" s="1990">
        <f t="shared" si="135"/>
        <v>0.625</v>
      </c>
      <c r="AR31" s="1990">
        <f t="shared" si="135"/>
        <v>0.625</v>
      </c>
      <c r="AS31" s="2297"/>
      <c r="AT31" s="2953">
        <f t="shared" si="67"/>
        <v>3.75</v>
      </c>
      <c r="AU31" s="2954">
        <f t="shared" si="46"/>
        <v>9.6640801048811547</v>
      </c>
      <c r="AV31" s="2955">
        <f t="shared" si="68"/>
        <v>5.9140801048811547</v>
      </c>
      <c r="AW31" s="2297"/>
      <c r="AX31" s="1990"/>
      <c r="AY31" s="1990"/>
      <c r="AZ31" s="1990"/>
      <c r="BA31" s="1990">
        <f t="shared" ref="BA31:BD31" si="136">$J$31</f>
        <v>0.625</v>
      </c>
      <c r="BB31" s="1990">
        <f t="shared" si="136"/>
        <v>0.625</v>
      </c>
      <c r="BC31" s="1990">
        <f t="shared" si="136"/>
        <v>0.625</v>
      </c>
      <c r="BD31" s="1990">
        <f t="shared" si="136"/>
        <v>0.625</v>
      </c>
      <c r="BE31" s="2297"/>
      <c r="BF31" s="2953">
        <f t="shared" si="70"/>
        <v>2.5</v>
      </c>
      <c r="BG31" s="2954">
        <f t="shared" si="48"/>
        <v>3.9527825806083872</v>
      </c>
      <c r="BH31" s="2955">
        <f t="shared" si="71"/>
        <v>1.4527825806083872</v>
      </c>
      <c r="BI31" s="3213"/>
      <c r="BJ31" s="1746"/>
      <c r="BK31" s="1746">
        <f t="shared" ref="BK31:BL31" si="137">$J$31</f>
        <v>0.625</v>
      </c>
      <c r="BL31" s="1746">
        <f t="shared" si="137"/>
        <v>0.625</v>
      </c>
      <c r="BM31" s="3213"/>
      <c r="BN31" s="2953">
        <f t="shared" si="60"/>
        <v>1.25</v>
      </c>
      <c r="BO31" s="2954">
        <f t="shared" si="50"/>
        <v>2.7206855275408035</v>
      </c>
      <c r="BP31" s="2955">
        <f t="shared" si="100"/>
        <v>1.4706855275408035</v>
      </c>
      <c r="BR31" s="1747">
        <v>0</v>
      </c>
      <c r="BS31" s="1752">
        <f t="shared" si="51"/>
        <v>0</v>
      </c>
      <c r="BT31" s="1754"/>
      <c r="BU31" s="2956">
        <f t="shared" si="52"/>
        <v>14.375</v>
      </c>
      <c r="BV31" s="2957">
        <f t="shared" si="53"/>
        <v>0.95833333333333337</v>
      </c>
      <c r="BW31" s="1993"/>
      <c r="BX31" s="1916"/>
      <c r="BZ31" s="1916"/>
      <c r="CA31" s="2958" t="s">
        <v>160</v>
      </c>
      <c r="CB31" s="2463">
        <v>0.75</v>
      </c>
      <c r="CC31" s="1802" t="str">
        <f>IF(AND(CC25&gt;CB30,CC25&lt;=CB31),CC25," ")</f>
        <v xml:space="preserve"> </v>
      </c>
      <c r="CD31" s="1800"/>
      <c r="CE31" s="1800"/>
      <c r="CF31" s="1800"/>
      <c r="CG31" s="1800"/>
      <c r="CH31" s="2959"/>
      <c r="CI31" s="1800"/>
    </row>
    <row r="32" spans="1:87" s="1726" customFormat="1" x14ac:dyDescent="0.2">
      <c r="B32" s="2508">
        <v>28</v>
      </c>
      <c r="C32" s="1963" t="s">
        <v>259</v>
      </c>
      <c r="D32" s="2578"/>
      <c r="E32" s="1728">
        <v>15</v>
      </c>
      <c r="F32" s="1728">
        <v>5</v>
      </c>
      <c r="G32" s="1728">
        <v>3.3333333333333335</v>
      </c>
      <c r="H32" s="1728">
        <v>2.5</v>
      </c>
      <c r="I32" s="1728">
        <v>2</v>
      </c>
      <c r="J32" s="1728">
        <f t="shared" si="54"/>
        <v>0.625</v>
      </c>
      <c r="K32" s="1729">
        <f t="shared" si="40"/>
        <v>5.7000627006897082E-3</v>
      </c>
      <c r="L32" s="1931"/>
      <c r="M32" s="1924"/>
      <c r="N32" s="1728"/>
      <c r="O32" s="1728">
        <f t="shared" ref="O32:T32" si="138">$J$32</f>
        <v>0.625</v>
      </c>
      <c r="P32" s="1728">
        <f t="shared" si="138"/>
        <v>0.625</v>
      </c>
      <c r="Q32" s="1728">
        <f t="shared" si="138"/>
        <v>0.625</v>
      </c>
      <c r="R32" s="1728">
        <f t="shared" si="138"/>
        <v>0.625</v>
      </c>
      <c r="S32" s="1728">
        <f t="shared" si="138"/>
        <v>0.625</v>
      </c>
      <c r="T32" s="1728">
        <f t="shared" si="138"/>
        <v>0.625</v>
      </c>
      <c r="U32" s="3214"/>
      <c r="V32" s="2016">
        <f t="shared" si="75"/>
        <v>3.75</v>
      </c>
      <c r="W32" s="2017">
        <f t="shared" si="42"/>
        <v>6.5943854382398204</v>
      </c>
      <c r="X32" s="2018">
        <f t="shared" si="62"/>
        <v>2.8443854382398204</v>
      </c>
      <c r="Y32" s="1881"/>
      <c r="Z32" s="1728"/>
      <c r="AA32" s="1728">
        <f t="shared" ref="AA32:AF32" si="139">$J$32</f>
        <v>0.625</v>
      </c>
      <c r="AB32" s="1728">
        <f t="shared" si="139"/>
        <v>0.625</v>
      </c>
      <c r="AC32" s="1728">
        <f t="shared" si="139"/>
        <v>0.625</v>
      </c>
      <c r="AD32" s="1728">
        <f t="shared" si="139"/>
        <v>0.625</v>
      </c>
      <c r="AE32" s="1728">
        <f t="shared" si="139"/>
        <v>0.625</v>
      </c>
      <c r="AF32" s="1728">
        <f t="shared" si="139"/>
        <v>0.625</v>
      </c>
      <c r="AG32" s="1881"/>
      <c r="AH32" s="2016">
        <f t="shared" si="133"/>
        <v>3.75</v>
      </c>
      <c r="AI32" s="2017">
        <f t="shared" si="44"/>
        <v>6.8241150652657208</v>
      </c>
      <c r="AJ32" s="2018">
        <f t="shared" si="134"/>
        <v>3.0741150652657208</v>
      </c>
      <c r="AK32" s="1881"/>
      <c r="AL32" s="2268"/>
      <c r="AM32" s="2268">
        <f t="shared" ref="AM32:AR32" si="140">$J$32</f>
        <v>0.625</v>
      </c>
      <c r="AN32" s="2268">
        <f t="shared" si="140"/>
        <v>0.625</v>
      </c>
      <c r="AO32" s="2268">
        <f t="shared" si="140"/>
        <v>0.625</v>
      </c>
      <c r="AP32" s="2268">
        <f t="shared" si="140"/>
        <v>0.625</v>
      </c>
      <c r="AQ32" s="2268">
        <f t="shared" si="140"/>
        <v>0.625</v>
      </c>
      <c r="AR32" s="2268">
        <f t="shared" si="140"/>
        <v>0.625</v>
      </c>
      <c r="AS32" s="2293"/>
      <c r="AT32" s="2016">
        <f t="shared" si="67"/>
        <v>3.75</v>
      </c>
      <c r="AU32" s="2017">
        <f t="shared" si="46"/>
        <v>9.6640801048811547</v>
      </c>
      <c r="AV32" s="2018">
        <f t="shared" si="68"/>
        <v>5.9140801048811547</v>
      </c>
      <c r="AW32" s="2293"/>
      <c r="AX32" s="2268"/>
      <c r="AY32" s="2268"/>
      <c r="AZ32" s="2268"/>
      <c r="BA32" s="2268">
        <f t="shared" ref="BA32:BD32" si="141">$J$32</f>
        <v>0.625</v>
      </c>
      <c r="BB32" s="2268">
        <f t="shared" si="141"/>
        <v>0.625</v>
      </c>
      <c r="BC32" s="2268">
        <f t="shared" si="141"/>
        <v>0.625</v>
      </c>
      <c r="BD32" s="2268">
        <f t="shared" si="141"/>
        <v>0.625</v>
      </c>
      <c r="BE32" s="2293"/>
      <c r="BF32" s="2016">
        <f t="shared" si="70"/>
        <v>2.5</v>
      </c>
      <c r="BG32" s="2017">
        <f t="shared" si="48"/>
        <v>3.9527825806083872</v>
      </c>
      <c r="BH32" s="2018">
        <f t="shared" si="71"/>
        <v>1.4527825806083872</v>
      </c>
      <c r="BI32" s="3214"/>
      <c r="BJ32" s="1728"/>
      <c r="BK32" s="1728">
        <f t="shared" ref="BK32:BL32" si="142">$J$32</f>
        <v>0.625</v>
      </c>
      <c r="BL32" s="1728">
        <f t="shared" si="142"/>
        <v>0.625</v>
      </c>
      <c r="BM32" s="3214"/>
      <c r="BN32" s="2016">
        <f t="shared" si="60"/>
        <v>1.25</v>
      </c>
      <c r="BO32" s="2017">
        <f t="shared" si="50"/>
        <v>2.7206855275408035</v>
      </c>
      <c r="BP32" s="2018">
        <f t="shared" si="100"/>
        <v>1.4706855275408035</v>
      </c>
      <c r="BR32" s="1732">
        <v>0</v>
      </c>
      <c r="BS32" s="1882">
        <f t="shared" si="51"/>
        <v>0</v>
      </c>
      <c r="BT32" s="1740"/>
      <c r="BU32" s="2019">
        <f t="shared" si="52"/>
        <v>14.375</v>
      </c>
      <c r="BV32" s="2020">
        <f t="shared" si="53"/>
        <v>0.95833333333333337</v>
      </c>
      <c r="BW32" s="1997"/>
      <c r="BX32" s="3212"/>
      <c r="BZ32" s="3212"/>
      <c r="CA32" s="2036" t="s">
        <v>161</v>
      </c>
      <c r="CB32" s="2059">
        <v>1</v>
      </c>
      <c r="CC32" s="2037">
        <f>IF(CC25&gt;CB31,CC25," ")</f>
        <v>0.77419354838709675</v>
      </c>
      <c r="CD32" s="1810"/>
      <c r="CE32" s="1810"/>
      <c r="CF32" s="1810"/>
      <c r="CG32" s="1810"/>
      <c r="CH32" s="1986"/>
      <c r="CI32" s="1810"/>
    </row>
    <row r="33" spans="1:87" x14ac:dyDescent="0.2">
      <c r="B33" s="1987">
        <v>29</v>
      </c>
      <c r="C33" s="2000" t="s">
        <v>244</v>
      </c>
      <c r="D33" s="2579"/>
      <c r="E33" s="2001">
        <v>5</v>
      </c>
      <c r="F33" s="2001">
        <v>5</v>
      </c>
      <c r="G33" s="2001">
        <v>3.3333333333333335</v>
      </c>
      <c r="H33" s="2001">
        <v>2.5</v>
      </c>
      <c r="I33" s="2001">
        <v>2</v>
      </c>
      <c r="J33" s="2001">
        <f t="shared" si="54"/>
        <v>0.20833333333333334</v>
      </c>
      <c r="K33" s="2584">
        <f t="shared" si="40"/>
        <v>1.9000209002299027E-3</v>
      </c>
      <c r="L33" s="1866"/>
      <c r="M33" s="1867"/>
      <c r="N33" s="1746"/>
      <c r="O33" s="1746">
        <f t="shared" ref="O33:T33" si="143">$J$33</f>
        <v>0.20833333333333334</v>
      </c>
      <c r="P33" s="1746">
        <f t="shared" si="143"/>
        <v>0.20833333333333334</v>
      </c>
      <c r="Q33" s="1746">
        <f t="shared" si="143"/>
        <v>0.20833333333333334</v>
      </c>
      <c r="R33" s="1746">
        <f t="shared" si="143"/>
        <v>0.20833333333333334</v>
      </c>
      <c r="S33" s="1746">
        <f t="shared" si="143"/>
        <v>0.20833333333333334</v>
      </c>
      <c r="T33" s="1746">
        <f t="shared" si="143"/>
        <v>0.20833333333333334</v>
      </c>
      <c r="U33" s="3213"/>
      <c r="V33" s="2953">
        <f t="shared" si="75"/>
        <v>1.25</v>
      </c>
      <c r="W33" s="2954">
        <f t="shared" si="42"/>
        <v>2.1981284794132736</v>
      </c>
      <c r="X33" s="2955">
        <f t="shared" si="62"/>
        <v>0.94812847941327361</v>
      </c>
      <c r="Y33" s="1914"/>
      <c r="Z33" s="1746"/>
      <c r="AA33" s="1746">
        <f t="shared" ref="AA33:AF33" si="144">$J$33</f>
        <v>0.20833333333333334</v>
      </c>
      <c r="AB33" s="1746">
        <f t="shared" si="144"/>
        <v>0.20833333333333334</v>
      </c>
      <c r="AC33" s="1746">
        <f t="shared" si="144"/>
        <v>0.20833333333333334</v>
      </c>
      <c r="AD33" s="1746">
        <f t="shared" si="144"/>
        <v>0.20833333333333334</v>
      </c>
      <c r="AE33" s="1746">
        <f t="shared" si="144"/>
        <v>0.20833333333333334</v>
      </c>
      <c r="AF33" s="1746">
        <f t="shared" si="144"/>
        <v>0.20833333333333334</v>
      </c>
      <c r="AG33" s="1914"/>
      <c r="AH33" s="2953">
        <f t="shared" si="133"/>
        <v>1.25</v>
      </c>
      <c r="AI33" s="2954">
        <f t="shared" si="44"/>
        <v>2.2747050217552398</v>
      </c>
      <c r="AJ33" s="2955">
        <f t="shared" si="134"/>
        <v>1.0247050217552398</v>
      </c>
      <c r="AK33" s="1914"/>
      <c r="AL33" s="1990"/>
      <c r="AM33" s="1990">
        <f t="shared" ref="AM33:AR33" si="145">$J$33</f>
        <v>0.20833333333333334</v>
      </c>
      <c r="AN33" s="1990">
        <f t="shared" si="145"/>
        <v>0.20833333333333334</v>
      </c>
      <c r="AO33" s="1990">
        <f t="shared" si="145"/>
        <v>0.20833333333333334</v>
      </c>
      <c r="AP33" s="1990">
        <f t="shared" si="145"/>
        <v>0.20833333333333334</v>
      </c>
      <c r="AQ33" s="1990">
        <f t="shared" si="145"/>
        <v>0.20833333333333334</v>
      </c>
      <c r="AR33" s="1990">
        <f t="shared" si="145"/>
        <v>0.20833333333333334</v>
      </c>
      <c r="AS33" s="2297"/>
      <c r="AT33" s="2953">
        <f t="shared" si="67"/>
        <v>1.25</v>
      </c>
      <c r="AU33" s="2954">
        <f t="shared" si="46"/>
        <v>3.221360034960385</v>
      </c>
      <c r="AV33" s="2955">
        <f t="shared" si="68"/>
        <v>1.971360034960385</v>
      </c>
      <c r="AW33" s="2297"/>
      <c r="AX33" s="1990"/>
      <c r="AY33" s="1990"/>
      <c r="AZ33" s="1990"/>
      <c r="BA33" s="1990">
        <f t="shared" ref="BA33:BD33" si="146">$J$33</f>
        <v>0.20833333333333334</v>
      </c>
      <c r="BB33" s="1990">
        <f t="shared" si="146"/>
        <v>0.20833333333333334</v>
      </c>
      <c r="BC33" s="1990">
        <f t="shared" si="146"/>
        <v>0.20833333333333334</v>
      </c>
      <c r="BD33" s="1990">
        <f t="shared" si="146"/>
        <v>0.20833333333333334</v>
      </c>
      <c r="BE33" s="2297"/>
      <c r="BF33" s="2953">
        <f t="shared" si="70"/>
        <v>0.83333333333333337</v>
      </c>
      <c r="BG33" s="2954">
        <f t="shared" si="48"/>
        <v>1.3175941935361291</v>
      </c>
      <c r="BH33" s="2955">
        <f t="shared" si="71"/>
        <v>0.48426086020279568</v>
      </c>
      <c r="BI33" s="3213"/>
      <c r="BJ33" s="1746"/>
      <c r="BK33" s="1746">
        <f t="shared" ref="BK33:BL33" si="147">$J$33</f>
        <v>0.20833333333333334</v>
      </c>
      <c r="BL33" s="1746">
        <f t="shared" si="147"/>
        <v>0.20833333333333334</v>
      </c>
      <c r="BM33" s="3213"/>
      <c r="BN33" s="2953">
        <f t="shared" si="60"/>
        <v>0.41666666666666669</v>
      </c>
      <c r="BO33" s="2954">
        <f t="shared" si="50"/>
        <v>0.90689517584693435</v>
      </c>
      <c r="BP33" s="2955">
        <f t="shared" si="100"/>
        <v>0.49022850918026767</v>
      </c>
      <c r="BR33" s="1747">
        <v>0</v>
      </c>
      <c r="BS33" s="1752">
        <f t="shared" si="51"/>
        <v>0</v>
      </c>
      <c r="BT33" s="1754"/>
      <c r="BU33" s="2956">
        <f t="shared" si="52"/>
        <v>4.7916666666666661</v>
      </c>
      <c r="BV33" s="2957">
        <f t="shared" si="53"/>
        <v>0.95833333333333326</v>
      </c>
      <c r="BW33" s="1993"/>
      <c r="BX33" s="1916"/>
      <c r="BZ33" s="1916"/>
      <c r="CA33" s="2029"/>
      <c r="CB33" s="2047" t="s">
        <v>158</v>
      </c>
      <c r="CC33" s="2952">
        <f>MAX(100%,CC25)-CC25</f>
        <v>0.22580645161290325</v>
      </c>
      <c r="CD33" s="1800"/>
      <c r="CE33" s="1800"/>
      <c r="CF33" s="1800"/>
      <c r="CG33" s="1800"/>
      <c r="CH33" s="2959"/>
      <c r="CI33" s="1800"/>
    </row>
    <row r="34" spans="1:87" s="1726" customFormat="1" ht="17.25" thickBot="1" x14ac:dyDescent="0.25">
      <c r="B34" s="1963">
        <v>30</v>
      </c>
      <c r="C34" s="1963" t="s">
        <v>230</v>
      </c>
      <c r="D34" s="2578"/>
      <c r="E34" s="1728">
        <v>0</v>
      </c>
      <c r="F34" s="1728"/>
      <c r="G34" s="1728"/>
      <c r="H34" s="1728"/>
      <c r="I34" s="1728"/>
      <c r="J34" s="1728">
        <f t="shared" si="54"/>
        <v>0</v>
      </c>
      <c r="K34" s="1729">
        <f t="shared" si="40"/>
        <v>0</v>
      </c>
      <c r="L34" s="1931"/>
      <c r="M34" s="1924"/>
      <c r="N34" s="1728"/>
      <c r="O34" s="1728">
        <f t="shared" ref="O34:T34" si="148">$J$34</f>
        <v>0</v>
      </c>
      <c r="P34" s="1728">
        <f t="shared" si="148"/>
        <v>0</v>
      </c>
      <c r="Q34" s="1728">
        <f t="shared" si="148"/>
        <v>0</v>
      </c>
      <c r="R34" s="1728">
        <f t="shared" si="148"/>
        <v>0</v>
      </c>
      <c r="S34" s="1728">
        <f t="shared" si="148"/>
        <v>0</v>
      </c>
      <c r="T34" s="1728">
        <f t="shared" si="148"/>
        <v>0</v>
      </c>
      <c r="U34" s="3214"/>
      <c r="V34" s="2016">
        <f t="shared" si="75"/>
        <v>0</v>
      </c>
      <c r="W34" s="2017">
        <f t="shared" si="42"/>
        <v>0</v>
      </c>
      <c r="X34" s="2018">
        <f t="shared" si="62"/>
        <v>0</v>
      </c>
      <c r="Y34" s="1881"/>
      <c r="Z34" s="1728"/>
      <c r="AA34" s="1728">
        <f t="shared" ref="AA34:AF34" si="149">$J$34</f>
        <v>0</v>
      </c>
      <c r="AB34" s="1728">
        <f t="shared" si="149"/>
        <v>0</v>
      </c>
      <c r="AC34" s="1728">
        <f t="shared" si="149"/>
        <v>0</v>
      </c>
      <c r="AD34" s="1728">
        <f t="shared" si="149"/>
        <v>0</v>
      </c>
      <c r="AE34" s="1728">
        <f t="shared" si="149"/>
        <v>0</v>
      </c>
      <c r="AF34" s="1728">
        <f t="shared" si="149"/>
        <v>0</v>
      </c>
      <c r="AG34" s="1881"/>
      <c r="AH34" s="2016">
        <f t="shared" si="133"/>
        <v>0</v>
      </c>
      <c r="AI34" s="2017">
        <f t="shared" si="44"/>
        <v>0</v>
      </c>
      <c r="AJ34" s="2018">
        <f t="shared" si="134"/>
        <v>0</v>
      </c>
      <c r="AK34" s="1881"/>
      <c r="AL34" s="2268"/>
      <c r="AM34" s="2268">
        <f t="shared" ref="AM34:AR34" si="150">$J$34</f>
        <v>0</v>
      </c>
      <c r="AN34" s="2268">
        <f t="shared" si="150"/>
        <v>0</v>
      </c>
      <c r="AO34" s="2268">
        <f t="shared" si="150"/>
        <v>0</v>
      </c>
      <c r="AP34" s="2268">
        <f t="shared" si="150"/>
        <v>0</v>
      </c>
      <c r="AQ34" s="2268">
        <f t="shared" si="150"/>
        <v>0</v>
      </c>
      <c r="AR34" s="2268">
        <f t="shared" si="150"/>
        <v>0</v>
      </c>
      <c r="AS34" s="2293"/>
      <c r="AT34" s="2016">
        <f t="shared" si="67"/>
        <v>0</v>
      </c>
      <c r="AU34" s="2017">
        <f t="shared" si="46"/>
        <v>0</v>
      </c>
      <c r="AV34" s="2018">
        <f t="shared" si="68"/>
        <v>0</v>
      </c>
      <c r="AW34" s="2293"/>
      <c r="AX34" s="2268"/>
      <c r="AY34" s="2268"/>
      <c r="AZ34" s="2268"/>
      <c r="BA34" s="2268">
        <f t="shared" ref="BA34:BD34" si="151">$J$34</f>
        <v>0</v>
      </c>
      <c r="BB34" s="2268">
        <f t="shared" si="151"/>
        <v>0</v>
      </c>
      <c r="BC34" s="2268">
        <f t="shared" si="151"/>
        <v>0</v>
      </c>
      <c r="BD34" s="2268">
        <f t="shared" si="151"/>
        <v>0</v>
      </c>
      <c r="BE34" s="2293"/>
      <c r="BF34" s="2016">
        <f t="shared" si="70"/>
        <v>0</v>
      </c>
      <c r="BG34" s="2017">
        <f t="shared" si="48"/>
        <v>0</v>
      </c>
      <c r="BH34" s="2018">
        <f t="shared" si="71"/>
        <v>0</v>
      </c>
      <c r="BI34" s="3214"/>
      <c r="BJ34" s="1728"/>
      <c r="BK34" s="1728">
        <f t="shared" ref="BK34:BL34" si="152">$J$34</f>
        <v>0</v>
      </c>
      <c r="BL34" s="1728">
        <f t="shared" si="152"/>
        <v>0</v>
      </c>
      <c r="BM34" s="3214"/>
      <c r="BN34" s="2016">
        <f t="shared" si="60"/>
        <v>0</v>
      </c>
      <c r="BO34" s="2017">
        <f t="shared" si="50"/>
        <v>0</v>
      </c>
      <c r="BP34" s="2018">
        <f t="shared" si="100"/>
        <v>0</v>
      </c>
      <c r="BR34" s="1732">
        <v>0</v>
      </c>
      <c r="BS34" s="1882" t="e">
        <f t="shared" si="51"/>
        <v>#DIV/0!</v>
      </c>
      <c r="BT34" s="1740"/>
      <c r="BU34" s="2019">
        <f t="shared" si="52"/>
        <v>0</v>
      </c>
      <c r="BV34" s="2020" t="e">
        <f t="shared" si="53"/>
        <v>#DIV/0!</v>
      </c>
      <c r="BW34" s="1997"/>
      <c r="BX34" s="3212"/>
      <c r="BZ34" s="3212"/>
      <c r="CA34" s="2984"/>
      <c r="CB34" s="2985"/>
      <c r="CC34" s="2649"/>
      <c r="CD34" s="2986"/>
      <c r="CE34" s="2986"/>
      <c r="CF34" s="2986"/>
      <c r="CG34" s="2986"/>
      <c r="CH34" s="2987"/>
      <c r="CI34" s="1810"/>
    </row>
    <row r="35" spans="1:87" s="1885" customFormat="1" x14ac:dyDescent="0.2">
      <c r="B35" s="2580">
        <v>31</v>
      </c>
      <c r="C35" s="2000" t="s">
        <v>199</v>
      </c>
      <c r="D35" s="2579"/>
      <c r="E35" s="2001">
        <v>0</v>
      </c>
      <c r="F35" s="2001">
        <v>0</v>
      </c>
      <c r="G35" s="2001">
        <v>0</v>
      </c>
      <c r="H35" s="2001">
        <v>0</v>
      </c>
      <c r="I35" s="2001">
        <v>0</v>
      </c>
      <c r="J35" s="2001">
        <f t="shared" si="54"/>
        <v>0</v>
      </c>
      <c r="K35" s="2584">
        <f t="shared" si="40"/>
        <v>0</v>
      </c>
      <c r="L35" s="2003"/>
      <c r="M35" s="1950"/>
      <c r="N35" s="2001"/>
      <c r="O35" s="2001">
        <f t="shared" ref="O35:T35" si="153">$J$35</f>
        <v>0</v>
      </c>
      <c r="P35" s="2001">
        <f t="shared" si="153"/>
        <v>0</v>
      </c>
      <c r="Q35" s="2001">
        <f t="shared" si="153"/>
        <v>0</v>
      </c>
      <c r="R35" s="2001">
        <f t="shared" si="153"/>
        <v>0</v>
      </c>
      <c r="S35" s="2001">
        <f t="shared" si="153"/>
        <v>0</v>
      </c>
      <c r="T35" s="2001">
        <f t="shared" si="153"/>
        <v>0</v>
      </c>
      <c r="U35" s="3204"/>
      <c r="V35" s="2481">
        <f t="shared" si="75"/>
        <v>0</v>
      </c>
      <c r="W35" s="2482">
        <f t="shared" si="42"/>
        <v>0</v>
      </c>
      <c r="X35" s="2483">
        <f t="shared" si="62"/>
        <v>0</v>
      </c>
      <c r="Y35" s="1896"/>
      <c r="Z35" s="2001"/>
      <c r="AA35" s="2001">
        <f t="shared" ref="AA35:AF35" si="154">$J$35</f>
        <v>0</v>
      </c>
      <c r="AB35" s="2001">
        <f t="shared" si="154"/>
        <v>0</v>
      </c>
      <c r="AC35" s="2001">
        <f t="shared" si="154"/>
        <v>0</v>
      </c>
      <c r="AD35" s="2001">
        <f t="shared" si="154"/>
        <v>0</v>
      </c>
      <c r="AE35" s="2001">
        <f t="shared" si="154"/>
        <v>0</v>
      </c>
      <c r="AF35" s="2001">
        <f t="shared" si="154"/>
        <v>0</v>
      </c>
      <c r="AG35" s="1896"/>
      <c r="AH35" s="2481">
        <f t="shared" si="133"/>
        <v>0</v>
      </c>
      <c r="AI35" s="2482">
        <f t="shared" si="44"/>
        <v>0</v>
      </c>
      <c r="AJ35" s="2483">
        <f t="shared" si="134"/>
        <v>0</v>
      </c>
      <c r="AK35" s="1896"/>
      <c r="AL35" s="2005"/>
      <c r="AM35" s="2005">
        <f t="shared" ref="AM35:AR35" si="155">$J$35</f>
        <v>0</v>
      </c>
      <c r="AN35" s="2005">
        <f t="shared" si="155"/>
        <v>0</v>
      </c>
      <c r="AO35" s="2005">
        <f t="shared" si="155"/>
        <v>0</v>
      </c>
      <c r="AP35" s="2005">
        <f t="shared" si="155"/>
        <v>0</v>
      </c>
      <c r="AQ35" s="2005">
        <f t="shared" si="155"/>
        <v>0</v>
      </c>
      <c r="AR35" s="2005">
        <f t="shared" si="155"/>
        <v>0</v>
      </c>
      <c r="AS35" s="2295"/>
      <c r="AT35" s="2481">
        <f t="shared" si="67"/>
        <v>0</v>
      </c>
      <c r="AU35" s="2482">
        <f t="shared" si="46"/>
        <v>0</v>
      </c>
      <c r="AV35" s="2483">
        <f t="shared" si="68"/>
        <v>0</v>
      </c>
      <c r="AW35" s="2295"/>
      <c r="AX35" s="2005"/>
      <c r="AY35" s="2005"/>
      <c r="AZ35" s="2005"/>
      <c r="BA35" s="2005">
        <f t="shared" ref="BA35:BD35" si="156">$J$35</f>
        <v>0</v>
      </c>
      <c r="BB35" s="2005">
        <f t="shared" si="156"/>
        <v>0</v>
      </c>
      <c r="BC35" s="2005">
        <f t="shared" si="156"/>
        <v>0</v>
      </c>
      <c r="BD35" s="2005">
        <f t="shared" si="156"/>
        <v>0</v>
      </c>
      <c r="BE35" s="2295"/>
      <c r="BF35" s="2481">
        <f t="shared" si="70"/>
        <v>0</v>
      </c>
      <c r="BG35" s="2482">
        <f t="shared" si="48"/>
        <v>0</v>
      </c>
      <c r="BH35" s="2483">
        <f t="shared" si="71"/>
        <v>0</v>
      </c>
      <c r="BI35" s="3204"/>
      <c r="BJ35" s="2001"/>
      <c r="BK35" s="2001">
        <f t="shared" ref="BK35:BL35" si="157">$J$35</f>
        <v>0</v>
      </c>
      <c r="BL35" s="2001">
        <f t="shared" si="157"/>
        <v>0</v>
      </c>
      <c r="BM35" s="3204"/>
      <c r="BN35" s="2481">
        <f t="shared" si="60"/>
        <v>0</v>
      </c>
      <c r="BO35" s="2482">
        <f t="shared" si="50"/>
        <v>0</v>
      </c>
      <c r="BP35" s="2483">
        <f t="shared" si="100"/>
        <v>0</v>
      </c>
      <c r="BR35" s="1898">
        <v>0</v>
      </c>
      <c r="BS35" s="1899" t="e">
        <f t="shared" si="51"/>
        <v>#DIV/0!</v>
      </c>
      <c r="BT35" s="1900"/>
      <c r="BU35" s="2388">
        <f t="shared" si="52"/>
        <v>0</v>
      </c>
      <c r="BV35" s="2389" t="e">
        <f t="shared" si="53"/>
        <v>#DIV/0!</v>
      </c>
      <c r="BW35" s="2010"/>
      <c r="BX35" s="3203"/>
      <c r="BZ35" s="3203"/>
      <c r="CA35" s="2988"/>
      <c r="CB35" s="2989"/>
      <c r="CC35" s="2990"/>
      <c r="CD35" s="2991"/>
      <c r="CE35" s="2991"/>
      <c r="CF35" s="2991"/>
      <c r="CG35" s="2991"/>
      <c r="CH35" s="2991"/>
      <c r="CI35" s="1906"/>
    </row>
    <row r="36" spans="1:87" s="1726" customFormat="1" x14ac:dyDescent="0.2">
      <c r="B36" s="1963">
        <v>32</v>
      </c>
      <c r="C36" s="1963" t="s">
        <v>247</v>
      </c>
      <c r="D36" s="2578"/>
      <c r="E36" s="1728">
        <v>0</v>
      </c>
      <c r="F36" s="1728">
        <v>0</v>
      </c>
      <c r="G36" s="1728">
        <v>0</v>
      </c>
      <c r="H36" s="1728">
        <v>0</v>
      </c>
      <c r="I36" s="1728">
        <v>0</v>
      </c>
      <c r="J36" s="1728">
        <f t="shared" si="54"/>
        <v>0</v>
      </c>
      <c r="K36" s="1729">
        <f t="shared" si="40"/>
        <v>0</v>
      </c>
      <c r="L36" s="1931"/>
      <c r="M36" s="1924"/>
      <c r="N36" s="1728"/>
      <c r="O36" s="1728">
        <f t="shared" ref="O36:T36" si="158">$J$36</f>
        <v>0</v>
      </c>
      <c r="P36" s="1728">
        <f t="shared" si="158"/>
        <v>0</v>
      </c>
      <c r="Q36" s="1728">
        <f t="shared" si="158"/>
        <v>0</v>
      </c>
      <c r="R36" s="1728">
        <f t="shared" si="158"/>
        <v>0</v>
      </c>
      <c r="S36" s="1728">
        <f t="shared" si="158"/>
        <v>0</v>
      </c>
      <c r="T36" s="1728">
        <f t="shared" si="158"/>
        <v>0</v>
      </c>
      <c r="U36" s="3214"/>
      <c r="V36" s="2016">
        <f t="shared" si="75"/>
        <v>0</v>
      </c>
      <c r="W36" s="2017">
        <f t="shared" si="42"/>
        <v>0</v>
      </c>
      <c r="X36" s="2018">
        <f t="shared" si="62"/>
        <v>0</v>
      </c>
      <c r="Y36" s="1881"/>
      <c r="Z36" s="1728"/>
      <c r="AA36" s="1728">
        <f t="shared" ref="AA36:AF36" si="159">$J$36</f>
        <v>0</v>
      </c>
      <c r="AB36" s="1728">
        <f t="shared" si="159"/>
        <v>0</v>
      </c>
      <c r="AC36" s="1728">
        <f t="shared" si="159"/>
        <v>0</v>
      </c>
      <c r="AD36" s="1728">
        <f t="shared" si="159"/>
        <v>0</v>
      </c>
      <c r="AE36" s="1728">
        <f t="shared" si="159"/>
        <v>0</v>
      </c>
      <c r="AF36" s="1728">
        <f t="shared" si="159"/>
        <v>0</v>
      </c>
      <c r="AG36" s="1881"/>
      <c r="AH36" s="2016">
        <f t="shared" si="133"/>
        <v>0</v>
      </c>
      <c r="AI36" s="2017">
        <f t="shared" si="44"/>
        <v>0</v>
      </c>
      <c r="AJ36" s="2018">
        <f t="shared" si="134"/>
        <v>0</v>
      </c>
      <c r="AK36" s="1881"/>
      <c r="AL36" s="2268"/>
      <c r="AM36" s="2268">
        <f t="shared" ref="AM36:AR36" si="160">$J$36</f>
        <v>0</v>
      </c>
      <c r="AN36" s="2268">
        <f t="shared" si="160"/>
        <v>0</v>
      </c>
      <c r="AO36" s="2268">
        <f t="shared" si="160"/>
        <v>0</v>
      </c>
      <c r="AP36" s="2268">
        <f t="shared" si="160"/>
        <v>0</v>
      </c>
      <c r="AQ36" s="2268">
        <f t="shared" si="160"/>
        <v>0</v>
      </c>
      <c r="AR36" s="2268">
        <f t="shared" si="160"/>
        <v>0</v>
      </c>
      <c r="AS36" s="2293"/>
      <c r="AT36" s="2016">
        <f t="shared" si="67"/>
        <v>0</v>
      </c>
      <c r="AU36" s="2017">
        <f t="shared" si="46"/>
        <v>0</v>
      </c>
      <c r="AV36" s="2018">
        <f t="shared" si="68"/>
        <v>0</v>
      </c>
      <c r="AW36" s="2293"/>
      <c r="AX36" s="2268"/>
      <c r="AY36" s="2268"/>
      <c r="AZ36" s="2268"/>
      <c r="BA36" s="2268">
        <f t="shared" ref="BA36:BD36" si="161">$J$36</f>
        <v>0</v>
      </c>
      <c r="BB36" s="2268">
        <f t="shared" si="161"/>
        <v>0</v>
      </c>
      <c r="BC36" s="2268">
        <f t="shared" si="161"/>
        <v>0</v>
      </c>
      <c r="BD36" s="2268">
        <f t="shared" si="161"/>
        <v>0</v>
      </c>
      <c r="BE36" s="2293"/>
      <c r="BF36" s="2016">
        <f t="shared" si="70"/>
        <v>0</v>
      </c>
      <c r="BG36" s="2017">
        <f t="shared" si="48"/>
        <v>0</v>
      </c>
      <c r="BH36" s="2018">
        <f t="shared" si="71"/>
        <v>0</v>
      </c>
      <c r="BI36" s="3214"/>
      <c r="BJ36" s="1728"/>
      <c r="BK36" s="1728">
        <f t="shared" ref="BK36:BL36" si="162">$J$36</f>
        <v>0</v>
      </c>
      <c r="BL36" s="1728">
        <f t="shared" si="162"/>
        <v>0</v>
      </c>
      <c r="BM36" s="3214"/>
      <c r="BN36" s="2016">
        <f t="shared" si="60"/>
        <v>0</v>
      </c>
      <c r="BO36" s="2017">
        <f t="shared" si="50"/>
        <v>0</v>
      </c>
      <c r="BP36" s="2018">
        <f t="shared" si="100"/>
        <v>0</v>
      </c>
      <c r="BR36" s="1732">
        <v>0</v>
      </c>
      <c r="BS36" s="1882" t="e">
        <f t="shared" si="51"/>
        <v>#DIV/0!</v>
      </c>
      <c r="BT36" s="1740"/>
      <c r="BU36" s="2019">
        <f t="shared" si="52"/>
        <v>0</v>
      </c>
      <c r="BV36" s="2020" t="e">
        <f t="shared" si="53"/>
        <v>#DIV/0!</v>
      </c>
      <c r="BW36" s="1997"/>
      <c r="BX36" s="3212"/>
      <c r="BZ36" s="3212"/>
      <c r="CA36" s="2992"/>
      <c r="CB36" s="1830"/>
      <c r="CC36" s="1817"/>
      <c r="CD36" s="1810"/>
      <c r="CE36" s="1810"/>
      <c r="CF36" s="1810"/>
      <c r="CG36" s="1810"/>
      <c r="CH36" s="1810"/>
      <c r="CI36" s="1810"/>
    </row>
    <row r="37" spans="1:87" s="1885" customFormat="1" x14ac:dyDescent="0.2">
      <c r="B37" s="2000">
        <v>33</v>
      </c>
      <c r="C37" s="1987" t="s">
        <v>260</v>
      </c>
      <c r="D37" s="1836"/>
      <c r="E37" s="1746">
        <v>0</v>
      </c>
      <c r="F37" s="1746">
        <v>5</v>
      </c>
      <c r="G37" s="1746">
        <v>3.3333333333333335</v>
      </c>
      <c r="H37" s="1746">
        <v>2.5</v>
      </c>
      <c r="I37" s="1746">
        <v>2</v>
      </c>
      <c r="J37" s="1746">
        <f t="shared" si="54"/>
        <v>0</v>
      </c>
      <c r="K37" s="2583">
        <f t="shared" si="40"/>
        <v>0</v>
      </c>
      <c r="L37" s="2003"/>
      <c r="M37" s="1950"/>
      <c r="N37" s="2001"/>
      <c r="O37" s="2001">
        <f t="shared" ref="O37:T37" si="163">$J$37</f>
        <v>0</v>
      </c>
      <c r="P37" s="2001">
        <f t="shared" si="163"/>
        <v>0</v>
      </c>
      <c r="Q37" s="2001">
        <f t="shared" si="163"/>
        <v>0</v>
      </c>
      <c r="R37" s="2001">
        <f t="shared" si="163"/>
        <v>0</v>
      </c>
      <c r="S37" s="2001">
        <f t="shared" si="163"/>
        <v>0</v>
      </c>
      <c r="T37" s="2001">
        <f t="shared" si="163"/>
        <v>0</v>
      </c>
      <c r="U37" s="3204"/>
      <c r="V37" s="2481">
        <f t="shared" si="75"/>
        <v>0</v>
      </c>
      <c r="W37" s="2482">
        <f t="shared" si="42"/>
        <v>0</v>
      </c>
      <c r="X37" s="2483">
        <f t="shared" si="62"/>
        <v>0</v>
      </c>
      <c r="Y37" s="1896"/>
      <c r="Z37" s="2001"/>
      <c r="AA37" s="2001">
        <f t="shared" ref="AA37:AF37" si="164">$J$37</f>
        <v>0</v>
      </c>
      <c r="AB37" s="2001">
        <f t="shared" si="164"/>
        <v>0</v>
      </c>
      <c r="AC37" s="2001">
        <f t="shared" si="164"/>
        <v>0</v>
      </c>
      <c r="AD37" s="2001">
        <f t="shared" si="164"/>
        <v>0</v>
      </c>
      <c r="AE37" s="2001">
        <f t="shared" si="164"/>
        <v>0</v>
      </c>
      <c r="AF37" s="2001">
        <f t="shared" si="164"/>
        <v>0</v>
      </c>
      <c r="AG37" s="1896"/>
      <c r="AH37" s="2481">
        <f t="shared" si="133"/>
        <v>0</v>
      </c>
      <c r="AI37" s="2482">
        <f t="shared" si="44"/>
        <v>0</v>
      </c>
      <c r="AJ37" s="2483">
        <f t="shared" si="134"/>
        <v>0</v>
      </c>
      <c r="AK37" s="1896"/>
      <c r="AL37" s="2005"/>
      <c r="AM37" s="2005">
        <f t="shared" ref="AM37:AR37" si="165">$J$37</f>
        <v>0</v>
      </c>
      <c r="AN37" s="2005">
        <f t="shared" si="165"/>
        <v>0</v>
      </c>
      <c r="AO37" s="2005">
        <f t="shared" si="165"/>
        <v>0</v>
      </c>
      <c r="AP37" s="2005">
        <f t="shared" si="165"/>
        <v>0</v>
      </c>
      <c r="AQ37" s="2005">
        <f t="shared" si="165"/>
        <v>0</v>
      </c>
      <c r="AR37" s="2005">
        <f t="shared" si="165"/>
        <v>0</v>
      </c>
      <c r="AS37" s="2295"/>
      <c r="AT37" s="2481">
        <f t="shared" si="67"/>
        <v>0</v>
      </c>
      <c r="AU37" s="2482">
        <f t="shared" si="46"/>
        <v>0</v>
      </c>
      <c r="AV37" s="2483">
        <f t="shared" si="68"/>
        <v>0</v>
      </c>
      <c r="AW37" s="2295"/>
      <c r="AX37" s="2005"/>
      <c r="AY37" s="2005"/>
      <c r="AZ37" s="2005"/>
      <c r="BA37" s="2005">
        <f t="shared" ref="BA37:BD37" si="166">$J$37</f>
        <v>0</v>
      </c>
      <c r="BB37" s="2005">
        <f t="shared" si="166"/>
        <v>0</v>
      </c>
      <c r="BC37" s="2005">
        <f t="shared" si="166"/>
        <v>0</v>
      </c>
      <c r="BD37" s="2005">
        <f t="shared" si="166"/>
        <v>0</v>
      </c>
      <c r="BE37" s="2295"/>
      <c r="BF37" s="2481">
        <f t="shared" si="70"/>
        <v>0</v>
      </c>
      <c r="BG37" s="2482">
        <f t="shared" si="48"/>
        <v>0</v>
      </c>
      <c r="BH37" s="2483">
        <f t="shared" si="71"/>
        <v>0</v>
      </c>
      <c r="BI37" s="3204"/>
      <c r="BJ37" s="2001"/>
      <c r="BK37" s="2001">
        <f t="shared" ref="BK37:BL37" si="167">$J$37</f>
        <v>0</v>
      </c>
      <c r="BL37" s="2001">
        <f t="shared" si="167"/>
        <v>0</v>
      </c>
      <c r="BM37" s="3204"/>
      <c r="BN37" s="2481">
        <f t="shared" si="60"/>
        <v>0</v>
      </c>
      <c r="BO37" s="2482">
        <f t="shared" si="50"/>
        <v>0</v>
      </c>
      <c r="BP37" s="2483">
        <f t="shared" si="100"/>
        <v>0</v>
      </c>
      <c r="BR37" s="1898">
        <v>0</v>
      </c>
      <c r="BS37" s="1899" t="e">
        <f t="shared" si="51"/>
        <v>#DIV/0!</v>
      </c>
      <c r="BT37" s="1900"/>
      <c r="BU37" s="2388">
        <f t="shared" si="52"/>
        <v>0</v>
      </c>
      <c r="BV37" s="2389" t="e">
        <f t="shared" si="53"/>
        <v>#DIV/0!</v>
      </c>
      <c r="BW37" s="2010"/>
      <c r="BX37" s="3203"/>
      <c r="BZ37" s="3203"/>
      <c r="CA37" s="2993"/>
      <c r="CB37" s="1962"/>
      <c r="CC37" s="1960"/>
      <c r="CD37" s="1906"/>
      <c r="CE37" s="1906"/>
      <c r="CF37" s="1906"/>
      <c r="CG37" s="1906"/>
      <c r="CH37" s="1906"/>
      <c r="CI37" s="1906"/>
    </row>
    <row r="38" spans="1:87" s="1726" customFormat="1" x14ac:dyDescent="0.2">
      <c r="B38" s="2508">
        <v>34</v>
      </c>
      <c r="C38" s="1963" t="s">
        <v>214</v>
      </c>
      <c r="D38" s="2578"/>
      <c r="E38" s="1728">
        <v>63</v>
      </c>
      <c r="F38" s="1728">
        <v>75.3</v>
      </c>
      <c r="G38" s="1728">
        <v>50.2</v>
      </c>
      <c r="H38" s="1728">
        <v>37.65</v>
      </c>
      <c r="I38" s="1728">
        <v>30.12</v>
      </c>
      <c r="J38" s="1728">
        <f t="shared" si="54"/>
        <v>2.625</v>
      </c>
      <c r="K38" s="1729">
        <f t="shared" si="40"/>
        <v>2.3940263342896773E-2</v>
      </c>
      <c r="L38" s="1931"/>
      <c r="M38" s="1924"/>
      <c r="N38" s="1728"/>
      <c r="O38" s="1728">
        <f t="shared" ref="O38:T38" si="168">$J$38</f>
        <v>2.625</v>
      </c>
      <c r="P38" s="1728">
        <f t="shared" si="168"/>
        <v>2.625</v>
      </c>
      <c r="Q38" s="1728">
        <f t="shared" si="168"/>
        <v>2.625</v>
      </c>
      <c r="R38" s="1728">
        <f t="shared" si="168"/>
        <v>2.625</v>
      </c>
      <c r="S38" s="1728">
        <f t="shared" si="168"/>
        <v>2.625</v>
      </c>
      <c r="T38" s="1728">
        <f t="shared" si="168"/>
        <v>2.625</v>
      </c>
      <c r="U38" s="3214"/>
      <c r="V38" s="2016">
        <f t="shared" si="75"/>
        <v>15.75</v>
      </c>
      <c r="W38" s="2017">
        <f t="shared" si="42"/>
        <v>27.696418840607247</v>
      </c>
      <c r="X38" s="2018">
        <f t="shared" si="62"/>
        <v>11.946418840607247</v>
      </c>
      <c r="Y38" s="1881"/>
      <c r="Z38" s="1728"/>
      <c r="AA38" s="1728">
        <f t="shared" ref="AA38:AF38" si="169">$J$38</f>
        <v>2.625</v>
      </c>
      <c r="AB38" s="1728">
        <f t="shared" si="169"/>
        <v>2.625</v>
      </c>
      <c r="AC38" s="1728">
        <f t="shared" si="169"/>
        <v>2.625</v>
      </c>
      <c r="AD38" s="1728">
        <f t="shared" si="169"/>
        <v>2.625</v>
      </c>
      <c r="AE38" s="1728">
        <f t="shared" si="169"/>
        <v>2.625</v>
      </c>
      <c r="AF38" s="1728">
        <f t="shared" si="169"/>
        <v>2.625</v>
      </c>
      <c r="AG38" s="1881"/>
      <c r="AH38" s="2016">
        <f t="shared" si="64"/>
        <v>15.75</v>
      </c>
      <c r="AI38" s="2017">
        <f t="shared" si="44"/>
        <v>28.661283274116023</v>
      </c>
      <c r="AJ38" s="2018">
        <f t="shared" si="65"/>
        <v>12.911283274116023</v>
      </c>
      <c r="AK38" s="1881"/>
      <c r="AL38" s="2268"/>
      <c r="AM38" s="2268">
        <f t="shared" ref="AM38:AR38" si="170">$J$38</f>
        <v>2.625</v>
      </c>
      <c r="AN38" s="2268">
        <f t="shared" si="170"/>
        <v>2.625</v>
      </c>
      <c r="AO38" s="2268">
        <f t="shared" si="170"/>
        <v>2.625</v>
      </c>
      <c r="AP38" s="2268">
        <f t="shared" si="170"/>
        <v>2.625</v>
      </c>
      <c r="AQ38" s="2268">
        <f t="shared" si="170"/>
        <v>2.625</v>
      </c>
      <c r="AR38" s="2268">
        <f t="shared" si="170"/>
        <v>2.625</v>
      </c>
      <c r="AS38" s="2293"/>
      <c r="AT38" s="2016">
        <f t="shared" si="67"/>
        <v>15.75</v>
      </c>
      <c r="AU38" s="2017">
        <f t="shared" si="46"/>
        <v>40.589136440500852</v>
      </c>
      <c r="AV38" s="2018">
        <f t="shared" si="68"/>
        <v>24.839136440500852</v>
      </c>
      <c r="AW38" s="2293"/>
      <c r="AX38" s="2268"/>
      <c r="AY38" s="2268"/>
      <c r="AZ38" s="2268"/>
      <c r="BA38" s="2268">
        <f t="shared" ref="BA38:BD38" si="171">$J$38</f>
        <v>2.625</v>
      </c>
      <c r="BB38" s="2268">
        <f t="shared" si="171"/>
        <v>2.625</v>
      </c>
      <c r="BC38" s="2268">
        <f t="shared" si="171"/>
        <v>2.625</v>
      </c>
      <c r="BD38" s="2268">
        <f t="shared" si="171"/>
        <v>2.625</v>
      </c>
      <c r="BE38" s="2293"/>
      <c r="BF38" s="2016">
        <f t="shared" si="70"/>
        <v>10.5</v>
      </c>
      <c r="BG38" s="2017">
        <f t="shared" si="48"/>
        <v>16.601686838555224</v>
      </c>
      <c r="BH38" s="2018">
        <f t="shared" si="71"/>
        <v>6.1016868385552243</v>
      </c>
      <c r="BI38" s="3214"/>
      <c r="BJ38" s="1728"/>
      <c r="BK38" s="1728">
        <f t="shared" ref="BK38:BL38" si="172">$J$38</f>
        <v>2.625</v>
      </c>
      <c r="BL38" s="1728">
        <f t="shared" si="172"/>
        <v>2.625</v>
      </c>
      <c r="BM38" s="3214"/>
      <c r="BN38" s="2016">
        <f t="shared" si="60"/>
        <v>5.25</v>
      </c>
      <c r="BO38" s="2017">
        <f t="shared" si="50"/>
        <v>11.426879215671374</v>
      </c>
      <c r="BP38" s="2018">
        <f t="shared" si="100"/>
        <v>6.1768792156713737</v>
      </c>
      <c r="BR38" s="1732">
        <v>0</v>
      </c>
      <c r="BS38" s="1882">
        <f t="shared" si="51"/>
        <v>0</v>
      </c>
      <c r="BT38" s="1740"/>
      <c r="BU38" s="2019">
        <f t="shared" si="52"/>
        <v>60.375</v>
      </c>
      <c r="BV38" s="2020">
        <f t="shared" si="53"/>
        <v>0.95833333333333337</v>
      </c>
      <c r="BW38" s="1997"/>
      <c r="BX38" s="3212"/>
      <c r="BZ38" s="3212"/>
      <c r="CA38" s="2992"/>
      <c r="CB38" s="1830"/>
      <c r="CC38" s="1817"/>
      <c r="CD38" s="1810"/>
      <c r="CE38" s="1810"/>
      <c r="CF38" s="1810"/>
      <c r="CG38" s="1810"/>
      <c r="CH38" s="1810"/>
      <c r="CI38" s="1810"/>
    </row>
    <row r="39" spans="1:87" x14ac:dyDescent="0.2">
      <c r="B39" s="1987">
        <v>35</v>
      </c>
      <c r="C39" s="1987" t="s">
        <v>282</v>
      </c>
      <c r="D39" s="1836"/>
      <c r="E39" s="1746">
        <v>110</v>
      </c>
      <c r="F39" s="1746"/>
      <c r="G39" s="1746"/>
      <c r="H39" s="1746"/>
      <c r="I39" s="1746"/>
      <c r="J39" s="1746">
        <f t="shared" si="54"/>
        <v>4.583333333333333</v>
      </c>
      <c r="K39" s="2583">
        <f t="shared" si="40"/>
        <v>4.1800459805057859E-2</v>
      </c>
      <c r="L39" s="1866"/>
      <c r="M39" s="1867"/>
      <c r="N39" s="1746"/>
      <c r="O39" s="1746">
        <f t="shared" ref="O39:T39" si="173">$J$39</f>
        <v>4.583333333333333</v>
      </c>
      <c r="P39" s="1746">
        <f t="shared" si="173"/>
        <v>4.583333333333333</v>
      </c>
      <c r="Q39" s="1746">
        <f t="shared" si="173"/>
        <v>4.583333333333333</v>
      </c>
      <c r="R39" s="1746">
        <f t="shared" si="173"/>
        <v>4.583333333333333</v>
      </c>
      <c r="S39" s="1746">
        <f t="shared" si="173"/>
        <v>4.583333333333333</v>
      </c>
      <c r="T39" s="1746">
        <f t="shared" si="173"/>
        <v>4.583333333333333</v>
      </c>
      <c r="U39" s="3213"/>
      <c r="V39" s="2953">
        <f t="shared" si="75"/>
        <v>27.499999999999996</v>
      </c>
      <c r="W39" s="2954">
        <f t="shared" si="42"/>
        <v>48.358826547092015</v>
      </c>
      <c r="X39" s="2955">
        <f t="shared" si="62"/>
        <v>20.858826547092018</v>
      </c>
      <c r="Y39" s="1914"/>
      <c r="Z39" s="1746"/>
      <c r="AA39" s="1746">
        <f t="shared" ref="AA39:AF39" si="174">$J$39</f>
        <v>4.583333333333333</v>
      </c>
      <c r="AB39" s="1746">
        <f t="shared" si="174"/>
        <v>4.583333333333333</v>
      </c>
      <c r="AC39" s="1746">
        <f t="shared" si="174"/>
        <v>4.583333333333333</v>
      </c>
      <c r="AD39" s="1746">
        <f t="shared" si="174"/>
        <v>4.583333333333333</v>
      </c>
      <c r="AE39" s="1746">
        <f t="shared" si="174"/>
        <v>4.583333333333333</v>
      </c>
      <c r="AF39" s="1746">
        <f t="shared" si="174"/>
        <v>4.583333333333333</v>
      </c>
      <c r="AG39" s="1914"/>
      <c r="AH39" s="2953">
        <f t="shared" si="64"/>
        <v>27.499999999999996</v>
      </c>
      <c r="AI39" s="2954">
        <f t="shared" si="44"/>
        <v>50.043510478615282</v>
      </c>
      <c r="AJ39" s="2955">
        <f t="shared" si="65"/>
        <v>22.543510478615286</v>
      </c>
      <c r="AK39" s="1914"/>
      <c r="AL39" s="1990"/>
      <c r="AM39" s="1990">
        <f t="shared" ref="AM39:AR39" si="175">$J$39</f>
        <v>4.583333333333333</v>
      </c>
      <c r="AN39" s="1990">
        <f t="shared" si="175"/>
        <v>4.583333333333333</v>
      </c>
      <c r="AO39" s="1990">
        <f t="shared" si="175"/>
        <v>4.583333333333333</v>
      </c>
      <c r="AP39" s="1990">
        <f t="shared" si="175"/>
        <v>4.583333333333333</v>
      </c>
      <c r="AQ39" s="1990">
        <f t="shared" si="175"/>
        <v>4.583333333333333</v>
      </c>
      <c r="AR39" s="1990">
        <f t="shared" si="175"/>
        <v>4.583333333333333</v>
      </c>
      <c r="AS39" s="2297"/>
      <c r="AT39" s="2953">
        <f t="shared" si="67"/>
        <v>27.499999999999996</v>
      </c>
      <c r="AU39" s="2954">
        <f t="shared" si="46"/>
        <v>70.86992076912847</v>
      </c>
      <c r="AV39" s="2955">
        <f t="shared" si="68"/>
        <v>43.36992076912847</v>
      </c>
      <c r="AW39" s="2297"/>
      <c r="AX39" s="1990"/>
      <c r="AY39" s="1990"/>
      <c r="AZ39" s="1990"/>
      <c r="BA39" s="1990">
        <f t="shared" ref="BA39:BD39" si="176">$J$39</f>
        <v>4.583333333333333</v>
      </c>
      <c r="BB39" s="1990">
        <f t="shared" si="176"/>
        <v>4.583333333333333</v>
      </c>
      <c r="BC39" s="1990">
        <f t="shared" si="176"/>
        <v>4.583333333333333</v>
      </c>
      <c r="BD39" s="1990">
        <f t="shared" si="176"/>
        <v>4.583333333333333</v>
      </c>
      <c r="BE39" s="2297"/>
      <c r="BF39" s="2953">
        <f t="shared" si="70"/>
        <v>18.333333333333332</v>
      </c>
      <c r="BG39" s="2954">
        <f t="shared" si="48"/>
        <v>28.987072257794839</v>
      </c>
      <c r="BH39" s="2955">
        <f t="shared" si="71"/>
        <v>10.653738924461507</v>
      </c>
      <c r="BI39" s="3213"/>
      <c r="BJ39" s="1746"/>
      <c r="BK39" s="1746">
        <f t="shared" ref="BK39:BL39" si="177">$J$39</f>
        <v>4.583333333333333</v>
      </c>
      <c r="BL39" s="1746">
        <f t="shared" si="177"/>
        <v>4.583333333333333</v>
      </c>
      <c r="BM39" s="3213"/>
      <c r="BN39" s="2953">
        <f t="shared" si="60"/>
        <v>9.1666666666666661</v>
      </c>
      <c r="BO39" s="2954">
        <f t="shared" si="50"/>
        <v>19.951693868632557</v>
      </c>
      <c r="BP39" s="2955">
        <f t="shared" si="100"/>
        <v>10.785027201965891</v>
      </c>
      <c r="BR39" s="1747">
        <v>0</v>
      </c>
      <c r="BS39" s="1752">
        <f t="shared" si="51"/>
        <v>0</v>
      </c>
      <c r="BT39" s="1754"/>
      <c r="BU39" s="2956">
        <f t="shared" si="52"/>
        <v>105.41666666666664</v>
      </c>
      <c r="BV39" s="2957">
        <f t="shared" si="53"/>
        <v>0.95833333333333315</v>
      </c>
      <c r="BW39" s="1993"/>
      <c r="BX39" s="1916"/>
      <c r="BZ39" s="1916"/>
      <c r="CA39" s="2994"/>
      <c r="CB39" s="1802"/>
      <c r="CC39" s="1806"/>
      <c r="CD39" s="1800"/>
      <c r="CE39" s="1800"/>
      <c r="CF39" s="1800"/>
      <c r="CG39" s="1800"/>
      <c r="CH39" s="1800"/>
      <c r="CI39" s="1800"/>
    </row>
    <row r="40" spans="1:87" s="1726" customFormat="1" ht="17.25" thickBot="1" x14ac:dyDescent="0.25">
      <c r="B40" s="1963">
        <v>36</v>
      </c>
      <c r="C40" s="1963" t="s">
        <v>261</v>
      </c>
      <c r="D40" s="2578"/>
      <c r="E40" s="1728">
        <v>0</v>
      </c>
      <c r="F40" s="1728">
        <v>5</v>
      </c>
      <c r="G40" s="1728">
        <v>3.3333333333333335</v>
      </c>
      <c r="H40" s="1728">
        <v>2.5</v>
      </c>
      <c r="I40" s="1728">
        <v>2</v>
      </c>
      <c r="J40" s="1728">
        <f t="shared" si="54"/>
        <v>0</v>
      </c>
      <c r="K40" s="1729">
        <f t="shared" si="40"/>
        <v>0</v>
      </c>
      <c r="L40" s="1931"/>
      <c r="M40" s="1924"/>
      <c r="N40" s="1728"/>
      <c r="O40" s="1728">
        <f t="shared" ref="O40:T40" si="178">$J$40</f>
        <v>0</v>
      </c>
      <c r="P40" s="1728">
        <f t="shared" si="178"/>
        <v>0</v>
      </c>
      <c r="Q40" s="1728">
        <f t="shared" si="178"/>
        <v>0</v>
      </c>
      <c r="R40" s="1728">
        <f t="shared" si="178"/>
        <v>0</v>
      </c>
      <c r="S40" s="1728">
        <f t="shared" si="178"/>
        <v>0</v>
      </c>
      <c r="T40" s="1728">
        <f t="shared" si="178"/>
        <v>0</v>
      </c>
      <c r="U40" s="3214"/>
      <c r="V40" s="2799">
        <f>SUM(N40:T40)</f>
        <v>0</v>
      </c>
      <c r="W40" s="2800">
        <f t="shared" si="42"/>
        <v>0</v>
      </c>
      <c r="X40" s="2801">
        <f>W40-V40</f>
        <v>0</v>
      </c>
      <c r="Y40" s="1881"/>
      <c r="Z40" s="1728"/>
      <c r="AA40" s="1728">
        <f t="shared" ref="AA40:AF40" si="179">$J$40</f>
        <v>0</v>
      </c>
      <c r="AB40" s="1728">
        <f t="shared" si="179"/>
        <v>0</v>
      </c>
      <c r="AC40" s="1728">
        <f t="shared" si="179"/>
        <v>0</v>
      </c>
      <c r="AD40" s="1728">
        <f t="shared" si="179"/>
        <v>0</v>
      </c>
      <c r="AE40" s="1728">
        <f t="shared" si="179"/>
        <v>0</v>
      </c>
      <c r="AF40" s="1728">
        <f t="shared" si="179"/>
        <v>0</v>
      </c>
      <c r="AG40" s="1881"/>
      <c r="AH40" s="2799">
        <f t="shared" si="64"/>
        <v>0</v>
      </c>
      <c r="AI40" s="2800">
        <f t="shared" si="44"/>
        <v>0</v>
      </c>
      <c r="AJ40" s="2801">
        <f t="shared" si="65"/>
        <v>0</v>
      </c>
      <c r="AK40" s="1881"/>
      <c r="AL40" s="2268"/>
      <c r="AM40" s="2268">
        <f t="shared" ref="AM40:AR40" si="180">$J$40</f>
        <v>0</v>
      </c>
      <c r="AN40" s="2268">
        <f t="shared" si="180"/>
        <v>0</v>
      </c>
      <c r="AO40" s="2268">
        <f t="shared" si="180"/>
        <v>0</v>
      </c>
      <c r="AP40" s="2268">
        <f t="shared" si="180"/>
        <v>0</v>
      </c>
      <c r="AQ40" s="2268">
        <f t="shared" si="180"/>
        <v>0</v>
      </c>
      <c r="AR40" s="2268">
        <f t="shared" si="180"/>
        <v>0</v>
      </c>
      <c r="AS40" s="2293"/>
      <c r="AT40" s="2799">
        <f t="shared" si="67"/>
        <v>0</v>
      </c>
      <c r="AU40" s="2800">
        <f t="shared" si="46"/>
        <v>0</v>
      </c>
      <c r="AV40" s="2801">
        <f t="shared" si="68"/>
        <v>0</v>
      </c>
      <c r="AW40" s="2293"/>
      <c r="AX40" s="2268"/>
      <c r="AY40" s="2268"/>
      <c r="AZ40" s="2268"/>
      <c r="BA40" s="2268">
        <f t="shared" ref="BA40:BD40" si="181">$J$40</f>
        <v>0</v>
      </c>
      <c r="BB40" s="2268">
        <f t="shared" si="181"/>
        <v>0</v>
      </c>
      <c r="BC40" s="2268">
        <f t="shared" si="181"/>
        <v>0</v>
      </c>
      <c r="BD40" s="2268">
        <f t="shared" si="181"/>
        <v>0</v>
      </c>
      <c r="BE40" s="2293"/>
      <c r="BF40" s="2799">
        <f t="shared" si="70"/>
        <v>0</v>
      </c>
      <c r="BG40" s="2800">
        <f t="shared" si="48"/>
        <v>0</v>
      </c>
      <c r="BH40" s="2801">
        <f t="shared" si="71"/>
        <v>0</v>
      </c>
      <c r="BI40" s="3214"/>
      <c r="BJ40" s="1728"/>
      <c r="BK40" s="1728">
        <f t="shared" ref="BK40:BL40" si="182">$J$40</f>
        <v>0</v>
      </c>
      <c r="BL40" s="1728">
        <f t="shared" si="182"/>
        <v>0</v>
      </c>
      <c r="BM40" s="3214"/>
      <c r="BN40" s="2799">
        <f t="shared" si="60"/>
        <v>0</v>
      </c>
      <c r="BO40" s="2800">
        <f t="shared" si="50"/>
        <v>0</v>
      </c>
      <c r="BP40" s="2801">
        <f t="shared" si="100"/>
        <v>0</v>
      </c>
      <c r="BR40" s="1732">
        <v>0</v>
      </c>
      <c r="BS40" s="1882" t="e">
        <f t="shared" si="51"/>
        <v>#DIV/0!</v>
      </c>
      <c r="BT40" s="1740"/>
      <c r="BU40" s="3221">
        <f t="shared" si="52"/>
        <v>0</v>
      </c>
      <c r="BV40" s="2802" t="e">
        <f t="shared" si="53"/>
        <v>#DIV/0!</v>
      </c>
      <c r="BW40" s="1997"/>
      <c r="BX40" s="3212"/>
      <c r="BZ40" s="3212"/>
      <c r="CA40" s="2992"/>
      <c r="CB40" s="1997"/>
      <c r="CC40" s="1861"/>
      <c r="CD40" s="1860"/>
      <c r="CE40" s="1860"/>
      <c r="CF40" s="1860"/>
      <c r="CG40" s="1860"/>
      <c r="CH40" s="1860"/>
      <c r="CI40" s="1860"/>
    </row>
    <row r="41" spans="1:87" s="1923" customFormat="1" ht="4.5" customHeight="1" thickBot="1" x14ac:dyDescent="0.25">
      <c r="B41" s="2525"/>
      <c r="C41" s="2526"/>
      <c r="D41" s="1800"/>
      <c r="E41" s="2527"/>
      <c r="F41" s="2527"/>
      <c r="G41" s="2527"/>
      <c r="H41" s="2527"/>
      <c r="I41" s="2527"/>
      <c r="J41" s="2527"/>
      <c r="K41" s="2528"/>
      <c r="L41" s="1866"/>
      <c r="M41" s="1867"/>
      <c r="N41" s="2026"/>
      <c r="O41" s="2026"/>
      <c r="P41" s="2026"/>
      <c r="Q41" s="2026"/>
      <c r="R41" s="2026"/>
      <c r="S41" s="2026"/>
      <c r="T41" s="2026"/>
      <c r="U41" s="3213"/>
      <c r="V41" s="3213"/>
      <c r="W41" s="3213"/>
      <c r="X41" s="3213"/>
      <c r="Y41" s="1915"/>
      <c r="Z41" s="2026"/>
      <c r="AA41" s="2026"/>
      <c r="AB41" s="2026"/>
      <c r="AC41" s="2026"/>
      <c r="AD41" s="2026"/>
      <c r="AE41" s="2026"/>
      <c r="AF41" s="2026"/>
      <c r="AG41" s="1915"/>
      <c r="AH41" s="3213"/>
      <c r="AI41" s="3213"/>
      <c r="AJ41" s="3213"/>
      <c r="AK41" s="1915"/>
      <c r="AL41" s="2026"/>
      <c r="AM41" s="2026"/>
      <c r="AN41" s="2026"/>
      <c r="AO41" s="2026"/>
      <c r="AP41" s="2026"/>
      <c r="AQ41" s="2026"/>
      <c r="AR41" s="2026"/>
      <c r="AS41" s="3213"/>
      <c r="AT41" s="3213"/>
      <c r="AU41" s="3213"/>
      <c r="AV41" s="3213"/>
      <c r="AW41" s="3213"/>
      <c r="AX41" s="2026"/>
      <c r="AY41" s="2026"/>
      <c r="AZ41" s="2026"/>
      <c r="BA41" s="2026"/>
      <c r="BB41" s="2026"/>
      <c r="BC41" s="2026"/>
      <c r="BD41" s="2026"/>
      <c r="BE41" s="3213"/>
      <c r="BF41" s="3213"/>
      <c r="BG41" s="3213"/>
      <c r="BH41" s="3213"/>
      <c r="BI41" s="3213"/>
      <c r="BJ41" s="2026"/>
      <c r="BK41" s="2026"/>
      <c r="BL41" s="2026"/>
      <c r="BM41" s="3213"/>
      <c r="BN41" s="3213"/>
      <c r="BO41" s="3213"/>
      <c r="BP41" s="3213"/>
      <c r="BR41" s="3213"/>
      <c r="BS41" s="1993"/>
      <c r="BT41" s="1994"/>
      <c r="BU41" s="2027"/>
      <c r="BV41" s="2028"/>
      <c r="BW41" s="1993"/>
      <c r="BX41" s="1916"/>
      <c r="BZ41" s="1916"/>
      <c r="CA41" s="1993"/>
      <c r="CB41" s="2030"/>
      <c r="CC41" s="1994"/>
    </row>
    <row r="42" spans="1:87" s="1885" customFormat="1" ht="17.25" thickBot="1" x14ac:dyDescent="0.25">
      <c r="B42" s="2000"/>
      <c r="C42" s="2803">
        <f>E42*100/20</f>
        <v>13157.75</v>
      </c>
      <c r="D42" s="1888"/>
      <c r="E42" s="2001">
        <f>SUM(E17:E40)</f>
        <v>2631.5499999999997</v>
      </c>
      <c r="F42" s="2001">
        <f t="shared" ref="F42:K42" si="183">SUM(F17:F40)</f>
        <v>279.13333333333333</v>
      </c>
      <c r="G42" s="2001">
        <f t="shared" si="183"/>
        <v>186.08888888888887</v>
      </c>
      <c r="H42" s="2001">
        <f t="shared" si="183"/>
        <v>139.56666666666666</v>
      </c>
      <c r="I42" s="2001">
        <f t="shared" si="183"/>
        <v>111.65333333333334</v>
      </c>
      <c r="J42" s="2001">
        <f>SUM(J17:J40)</f>
        <v>109.64791666666665</v>
      </c>
      <c r="K42" s="2584">
        <f t="shared" si="183"/>
        <v>1.0000000000000002</v>
      </c>
      <c r="L42" s="1949"/>
      <c r="M42" s="1950"/>
      <c r="N42" s="2001"/>
      <c r="O42" s="2001">
        <f t="shared" ref="O42:P42" si="184">SUM(O17:O40)</f>
        <v>109.64791666666665</v>
      </c>
      <c r="P42" s="2001">
        <f t="shared" si="184"/>
        <v>109.64791666666665</v>
      </c>
      <c r="Q42" s="2001">
        <f t="shared" ref="Q42" si="185">SUM(Q17:Q40)</f>
        <v>109.64791666666665</v>
      </c>
      <c r="R42" s="2001">
        <f>SUM(R17:R40)</f>
        <v>109.64791666666665</v>
      </c>
      <c r="S42" s="2001">
        <f>SUM(S17:S40)</f>
        <v>109.64791666666665</v>
      </c>
      <c r="T42" s="2001">
        <f>SUM(T17:T40)</f>
        <v>109.64791666666665</v>
      </c>
      <c r="U42" s="3204"/>
      <c r="V42" s="2804">
        <f>SUM(V17:V40)</f>
        <v>657.88749999999993</v>
      </c>
      <c r="W42" s="2805">
        <f>SUM(W17:W40)</f>
        <v>1156.8970000000006</v>
      </c>
      <c r="X42" s="2806">
        <f t="shared" ref="X42" si="186">SUM(X17:X40)</f>
        <v>499.0095</v>
      </c>
      <c r="Y42" s="1896"/>
      <c r="Z42" s="2001"/>
      <c r="AA42" s="2001">
        <f t="shared" ref="AA42:AF42" si="187">SUM(AA17:AA40)</f>
        <v>109.64791666666665</v>
      </c>
      <c r="AB42" s="2001">
        <f t="shared" si="187"/>
        <v>109.64791666666665</v>
      </c>
      <c r="AC42" s="2001">
        <f t="shared" si="187"/>
        <v>109.64791666666665</v>
      </c>
      <c r="AD42" s="2001">
        <f t="shared" si="187"/>
        <v>109.64791666666665</v>
      </c>
      <c r="AE42" s="2001">
        <f t="shared" si="187"/>
        <v>109.64791666666665</v>
      </c>
      <c r="AF42" s="2001">
        <f t="shared" si="187"/>
        <v>109.64791666666665</v>
      </c>
      <c r="AG42" s="1896"/>
      <c r="AH42" s="2804">
        <f>SUM(AH17:AH40)</f>
        <v>657.88749999999993</v>
      </c>
      <c r="AI42" s="2805">
        <f>SUM(AI17:AI40)</f>
        <v>1197.2</v>
      </c>
      <c r="AJ42" s="2806">
        <f>SUM(AJ17:AJ40)</f>
        <v>539.31250000000057</v>
      </c>
      <c r="AK42" s="1896"/>
      <c r="AL42" s="2005"/>
      <c r="AM42" s="2005">
        <f t="shared" ref="AM42:AN42" si="188">SUM(AM17:AM40)</f>
        <v>109.64791666666665</v>
      </c>
      <c r="AN42" s="2005">
        <f t="shared" si="188"/>
        <v>109.64791666666665</v>
      </c>
      <c r="AO42" s="2005">
        <f t="shared" ref="AO42:AP42" si="189">SUM(AO17:AO40)</f>
        <v>109.64791666666665</v>
      </c>
      <c r="AP42" s="2005">
        <f t="shared" si="189"/>
        <v>109.64791666666665</v>
      </c>
      <c r="AQ42" s="2005">
        <f t="shared" ref="AQ42" si="190">SUM(AQ17:AQ40)</f>
        <v>109.64791666666665</v>
      </c>
      <c r="AR42" s="2005">
        <f t="shared" ref="AR42" si="191">SUM(AR17:AR40)</f>
        <v>109.64791666666665</v>
      </c>
      <c r="AS42" s="2295"/>
      <c r="AT42" s="2804">
        <f>SUM(AT17:AT40)</f>
        <v>657.88749999999993</v>
      </c>
      <c r="AU42" s="2805">
        <f>SUM(AU17:AU40)</f>
        <v>1695.4340000000007</v>
      </c>
      <c r="AV42" s="2806">
        <f>SUM(AV17:AV40)</f>
        <v>1037.5465000000006</v>
      </c>
      <c r="AW42" s="2295"/>
      <c r="AX42" s="2005"/>
      <c r="AY42" s="2005"/>
      <c r="AZ42" s="2005"/>
      <c r="BA42" s="2005">
        <f t="shared" ref="BA42:BB42" si="192">SUM(BA17:BA40)</f>
        <v>109.64791666666665</v>
      </c>
      <c r="BB42" s="2005">
        <f t="shared" si="192"/>
        <v>109.64791666666665</v>
      </c>
      <c r="BC42" s="2005">
        <f t="shared" ref="BC42:BD42" si="193">SUM(BC17:BC40)</f>
        <v>109.64791666666665</v>
      </c>
      <c r="BD42" s="2005">
        <f t="shared" si="193"/>
        <v>109.64791666666665</v>
      </c>
      <c r="BE42" s="2295"/>
      <c r="BF42" s="2804">
        <f>SUM(BF17:BF40)</f>
        <v>438.59166666666658</v>
      </c>
      <c r="BG42" s="2805">
        <f>SUM(BG17:BG40)</f>
        <v>693.46300000000019</v>
      </c>
      <c r="BH42" s="2806">
        <f>SUM(BH17:BH40)</f>
        <v>254.87133333333333</v>
      </c>
      <c r="BI42" s="3204"/>
      <c r="BJ42" s="2005"/>
      <c r="BK42" s="2005">
        <f t="shared" ref="BK42:BL42" si="194">SUM(BK17:BK40)</f>
        <v>109.64791666666665</v>
      </c>
      <c r="BL42" s="2005">
        <f t="shared" si="194"/>
        <v>109.64791666666665</v>
      </c>
      <c r="BM42" s="3204"/>
      <c r="BN42" s="2804">
        <f>SUM(BN17:BN40)</f>
        <v>219.29583333333329</v>
      </c>
      <c r="BO42" s="2805">
        <f>SUM(BO17:BO40)</f>
        <v>477.30799999999999</v>
      </c>
      <c r="BP42" s="2806">
        <f>SUM(BP17:BP40)</f>
        <v>258.0121666666667</v>
      </c>
      <c r="BR42" s="2397">
        <f>SUM(BR17:BR40)</f>
        <v>0</v>
      </c>
      <c r="BS42" s="2398">
        <f>BR42/E42</f>
        <v>0</v>
      </c>
      <c r="BT42" s="1900"/>
      <c r="BU42" s="2397">
        <f>SUM(BU17:BU40)</f>
        <v>2521.9020833333325</v>
      </c>
      <c r="BV42" s="2398">
        <f>BU42/E42</f>
        <v>0.95833333333333315</v>
      </c>
      <c r="BW42" s="2010"/>
      <c r="BX42" s="3203"/>
      <c r="BZ42" s="3203"/>
      <c r="CA42" s="1946"/>
      <c r="CB42" s="1946"/>
      <c r="CC42" s="1946"/>
      <c r="CD42" s="1946"/>
      <c r="CE42" s="1946"/>
      <c r="CF42" s="1946"/>
      <c r="CG42" s="1946"/>
      <c r="CH42" s="1946"/>
      <c r="CI42" s="1946"/>
    </row>
    <row r="43" spans="1:87" s="1947" customFormat="1" ht="4.5" customHeight="1" thickBot="1" x14ac:dyDescent="0.25">
      <c r="B43" s="2634"/>
      <c r="C43" s="2635"/>
      <c r="D43" s="1906"/>
      <c r="E43" s="2392"/>
      <c r="F43" s="2392"/>
      <c r="G43" s="2392"/>
      <c r="H43" s="2392"/>
      <c r="I43" s="2392"/>
      <c r="J43" s="2392"/>
      <c r="K43" s="2636"/>
      <c r="L43" s="1949"/>
      <c r="M43" s="1950"/>
      <c r="N43" s="2392"/>
      <c r="O43" s="2392"/>
      <c r="P43" s="2392"/>
      <c r="Q43" s="2392"/>
      <c r="R43" s="2392"/>
      <c r="S43" s="2392"/>
      <c r="T43" s="2392"/>
      <c r="U43" s="1951"/>
      <c r="V43" s="1951"/>
      <c r="W43" s="1951"/>
      <c r="X43" s="1951"/>
      <c r="Y43" s="1956"/>
      <c r="Z43" s="2392"/>
      <c r="AA43" s="2392"/>
      <c r="AB43" s="2392"/>
      <c r="AC43" s="2392"/>
      <c r="AD43" s="2392"/>
      <c r="AE43" s="2392"/>
      <c r="AF43" s="2392"/>
      <c r="AG43" s="1956"/>
      <c r="AH43" s="1951"/>
      <c r="AI43" s="1951"/>
      <c r="AJ43" s="1951"/>
      <c r="AK43" s="1956"/>
      <c r="AL43" s="2392"/>
      <c r="AM43" s="2392"/>
      <c r="AN43" s="2392"/>
      <c r="AO43" s="2392"/>
      <c r="AP43" s="2392"/>
      <c r="AQ43" s="2392"/>
      <c r="AR43" s="2392"/>
      <c r="AS43" s="1951"/>
      <c r="AT43" s="1951"/>
      <c r="AU43" s="1951"/>
      <c r="AV43" s="1951"/>
      <c r="AW43" s="1951"/>
      <c r="AX43" s="2392"/>
      <c r="AY43" s="2392"/>
      <c r="AZ43" s="2392"/>
      <c r="BA43" s="2392"/>
      <c r="BB43" s="2392"/>
      <c r="BC43" s="2392"/>
      <c r="BD43" s="2392"/>
      <c r="BE43" s="1951"/>
      <c r="BF43" s="1951"/>
      <c r="BG43" s="1951"/>
      <c r="BH43" s="1951"/>
      <c r="BI43" s="1951"/>
      <c r="BJ43" s="2392"/>
      <c r="BK43" s="2392"/>
      <c r="BL43" s="2392"/>
      <c r="BM43" s="1951"/>
      <c r="BN43" s="1951"/>
      <c r="BO43" s="1951"/>
      <c r="BP43" s="1951"/>
      <c r="BR43" s="1951"/>
      <c r="BS43" s="1962"/>
      <c r="BT43" s="1959"/>
      <c r="BU43" s="1951"/>
      <c r="BV43" s="1962"/>
      <c r="BW43" s="1962"/>
      <c r="BX43" s="1905"/>
      <c r="BZ43" s="1905"/>
      <c r="CA43" s="1906"/>
      <c r="CB43" s="1906"/>
      <c r="CC43" s="1906"/>
      <c r="CD43" s="1906"/>
      <c r="CE43" s="1906"/>
      <c r="CF43" s="1906"/>
      <c r="CG43" s="1906"/>
      <c r="CH43" s="1906"/>
      <c r="CI43" s="1906"/>
    </row>
    <row r="44" spans="1:87" s="1726" customFormat="1" ht="17.25" thickBot="1" x14ac:dyDescent="0.25">
      <c r="B44" s="1963">
        <v>37</v>
      </c>
      <c r="C44" s="1963"/>
      <c r="D44" s="1727"/>
      <c r="E44" s="1728"/>
      <c r="F44" s="1728"/>
      <c r="G44" s="1728"/>
      <c r="H44" s="1728"/>
      <c r="I44" s="1728"/>
      <c r="J44" s="1728"/>
      <c r="K44" s="1729"/>
      <c r="L44" s="1760"/>
      <c r="M44" s="1924"/>
      <c r="N44" s="1728"/>
      <c r="O44" s="1728"/>
      <c r="P44" s="1728"/>
      <c r="Q44" s="1728"/>
      <c r="R44" s="1728"/>
      <c r="S44" s="1728"/>
      <c r="T44" s="1728"/>
      <c r="U44" s="3214"/>
      <c r="V44" s="2031"/>
      <c r="W44" s="2032"/>
      <c r="X44" s="2033"/>
      <c r="Y44" s="1881"/>
      <c r="Z44" s="1728"/>
      <c r="AA44" s="1728"/>
      <c r="AB44" s="1728"/>
      <c r="AC44" s="1728"/>
      <c r="AD44" s="1728"/>
      <c r="AE44" s="1728"/>
      <c r="AF44" s="1728"/>
      <c r="AG44" s="1881"/>
      <c r="AH44" s="2031"/>
      <c r="AI44" s="2032"/>
      <c r="AJ44" s="2033"/>
      <c r="AK44" s="1881"/>
      <c r="AL44" s="2268"/>
      <c r="AM44" s="2268"/>
      <c r="AN44" s="2268"/>
      <c r="AO44" s="2268"/>
      <c r="AP44" s="2268"/>
      <c r="AQ44" s="2268"/>
      <c r="AR44" s="2268"/>
      <c r="AS44" s="2293"/>
      <c r="AT44" s="2031"/>
      <c r="AU44" s="2032"/>
      <c r="AV44" s="2033"/>
      <c r="AW44" s="2293"/>
      <c r="AX44" s="2268"/>
      <c r="AY44" s="2268"/>
      <c r="AZ44" s="2268"/>
      <c r="BA44" s="2268"/>
      <c r="BB44" s="2268"/>
      <c r="BC44" s="2268"/>
      <c r="BD44" s="2268"/>
      <c r="BE44" s="2293"/>
      <c r="BF44" s="2031"/>
      <c r="BG44" s="2032"/>
      <c r="BH44" s="2033"/>
      <c r="BI44" s="3214"/>
      <c r="BJ44" s="2268"/>
      <c r="BK44" s="2268"/>
      <c r="BL44" s="2268"/>
      <c r="BM44" s="3214"/>
      <c r="BN44" s="2031"/>
      <c r="BO44" s="2032"/>
      <c r="BP44" s="2033"/>
      <c r="BR44" s="2034"/>
      <c r="BS44" s="2035"/>
      <c r="BT44" s="1740"/>
      <c r="BU44" s="2034"/>
      <c r="BV44" s="2035"/>
      <c r="BW44" s="1997"/>
      <c r="BX44" s="3212"/>
      <c r="BZ44" s="3212"/>
      <c r="CA44" s="1860"/>
      <c r="CB44" s="1860"/>
      <c r="CC44" s="1860"/>
      <c r="CD44" s="1860"/>
      <c r="CE44" s="1860"/>
      <c r="CF44" s="1860"/>
      <c r="CG44" s="1860"/>
      <c r="CH44" s="1860"/>
      <c r="CI44" s="1860"/>
    </row>
    <row r="45" spans="1:87" s="1923" customFormat="1" ht="4.5" customHeight="1" thickBot="1" x14ac:dyDescent="0.25">
      <c r="B45" s="3228"/>
      <c r="C45" s="2024"/>
      <c r="D45" s="1800"/>
      <c r="E45" s="1803"/>
      <c r="F45" s="1803"/>
      <c r="G45" s="1803"/>
      <c r="H45" s="1803"/>
      <c r="I45" s="1803"/>
      <c r="J45" s="1803"/>
      <c r="K45" s="2025"/>
      <c r="L45" s="1866"/>
      <c r="M45" s="1867"/>
      <c r="N45" s="2026"/>
      <c r="O45" s="2026"/>
      <c r="P45" s="2026"/>
      <c r="Q45" s="2026"/>
      <c r="R45" s="2026"/>
      <c r="S45" s="2026"/>
      <c r="T45" s="2026"/>
      <c r="U45" s="3213"/>
      <c r="V45" s="3213"/>
      <c r="W45" s="3213"/>
      <c r="X45" s="3213"/>
      <c r="Y45" s="1915"/>
      <c r="Z45" s="2026"/>
      <c r="AA45" s="2026"/>
      <c r="AB45" s="2026"/>
      <c r="AC45" s="2026"/>
      <c r="AD45" s="2026"/>
      <c r="AE45" s="2026"/>
      <c r="AF45" s="2026"/>
      <c r="AG45" s="1915"/>
      <c r="AH45" s="3213"/>
      <c r="AI45" s="3213"/>
      <c r="AJ45" s="3213"/>
      <c r="AK45" s="1915"/>
      <c r="AL45" s="2026"/>
      <c r="AM45" s="2026"/>
      <c r="AN45" s="2026"/>
      <c r="AO45" s="2026"/>
      <c r="AP45" s="2026"/>
      <c r="AQ45" s="2026"/>
      <c r="AR45" s="2026"/>
      <c r="AS45" s="3213"/>
      <c r="AT45" s="3213"/>
      <c r="AU45" s="3213"/>
      <c r="AV45" s="3213"/>
      <c r="AW45" s="3213"/>
      <c r="AX45" s="2026"/>
      <c r="AY45" s="2026"/>
      <c r="AZ45" s="2026"/>
      <c r="BA45" s="2026"/>
      <c r="BB45" s="2026"/>
      <c r="BC45" s="2026"/>
      <c r="BD45" s="2026"/>
      <c r="BE45" s="3213"/>
      <c r="BF45" s="2274"/>
      <c r="BG45" s="2274"/>
      <c r="BH45" s="2274"/>
      <c r="BI45" s="3213"/>
      <c r="BJ45" s="2026"/>
      <c r="BK45" s="2026"/>
      <c r="BL45" s="2026"/>
      <c r="BM45" s="3213"/>
      <c r="BN45" s="2274"/>
      <c r="BO45" s="2274"/>
      <c r="BP45" s="2274"/>
      <c r="BR45" s="3213"/>
      <c r="BS45" s="1993"/>
      <c r="BT45" s="1994"/>
      <c r="BU45" s="3213"/>
      <c r="BV45" s="1993"/>
      <c r="BW45" s="1993"/>
      <c r="BX45" s="1916"/>
      <c r="BZ45" s="1916"/>
    </row>
    <row r="46" spans="1:87" s="1885" customFormat="1" ht="17.25" thickBot="1" x14ac:dyDescent="0.25">
      <c r="B46" s="2117"/>
      <c r="C46" s="2212" t="s">
        <v>150</v>
      </c>
      <c r="D46" s="2119"/>
      <c r="E46" s="2123">
        <f>E42*100/20</f>
        <v>13157.75</v>
      </c>
      <c r="F46" s="2121" t="e">
        <f>#REF!*100/30</f>
        <v>#REF!</v>
      </c>
      <c r="G46" s="2121" t="e">
        <f>#REF!*100/30</f>
        <v>#REF!</v>
      </c>
      <c r="H46" s="2121" t="e">
        <f>#REF!*100/30</f>
        <v>#REF!</v>
      </c>
      <c r="I46" s="2121" t="e">
        <f>#REF!*100/30</f>
        <v>#REF!</v>
      </c>
      <c r="J46" s="2121">
        <f>J42*100/20</f>
        <v>548.23958333333326</v>
      </c>
      <c r="K46" s="2130">
        <f>E46/E89</f>
        <v>0.52820626047510566</v>
      </c>
      <c r="L46" s="1949"/>
      <c r="M46" s="2214"/>
      <c r="N46" s="2120"/>
      <c r="O46" s="2123">
        <f t="shared" ref="O46:P46" si="195">O11</f>
        <v>59.095541666666676</v>
      </c>
      <c r="P46" s="2123">
        <f t="shared" si="195"/>
        <v>22.276041666666671</v>
      </c>
      <c r="Q46" s="2123">
        <f t="shared" ref="Q46:R46" si="196">Q11</f>
        <v>50.49204166666668</v>
      </c>
      <c r="R46" s="2123">
        <f t="shared" si="196"/>
        <v>38.166041666666672</v>
      </c>
      <c r="S46" s="2123">
        <f t="shared" ref="S46:T46" si="197">S11</f>
        <v>29.366541666666677</v>
      </c>
      <c r="T46" s="2124">
        <f t="shared" si="197"/>
        <v>50.108541666666682</v>
      </c>
      <c r="U46" s="1951"/>
      <c r="V46" s="2120">
        <f>SUM(N46:T46)</f>
        <v>249.50475000000006</v>
      </c>
      <c r="W46" s="2123"/>
      <c r="X46" s="2124"/>
      <c r="Y46" s="1956"/>
      <c r="Z46" s="2120"/>
      <c r="AA46" s="2121">
        <f t="shared" ref="AA46" si="198">AA11</f>
        <v>53.830541666666676</v>
      </c>
      <c r="AB46" s="2121">
        <f t="shared" ref="AB46:AC46" si="199">AB11</f>
        <v>70.44154166666668</v>
      </c>
      <c r="AC46" s="2121">
        <f t="shared" si="199"/>
        <v>67.242541666666682</v>
      </c>
      <c r="AD46" s="2121">
        <f t="shared" ref="AD46:AE46" si="200">AD11</f>
        <v>17.457041666666683</v>
      </c>
      <c r="AE46" s="2121">
        <f t="shared" si="200"/>
        <v>25.400541666666683</v>
      </c>
      <c r="AF46" s="2121">
        <f t="shared" ref="AF46" si="201">AF11</f>
        <v>35.284041666666681</v>
      </c>
      <c r="AG46" s="1956"/>
      <c r="AH46" s="2120">
        <f>SUM(Z46:AF46)</f>
        <v>269.65625000000006</v>
      </c>
      <c r="AI46" s="2123"/>
      <c r="AJ46" s="2124"/>
      <c r="AK46" s="1955"/>
      <c r="AL46" s="2120"/>
      <c r="AM46" s="2121">
        <f t="shared" ref="AM46:AN46" si="202">AM11</f>
        <v>71.785541666666674</v>
      </c>
      <c r="AN46" s="2121">
        <f t="shared" si="202"/>
        <v>20.954041666666683</v>
      </c>
      <c r="AO46" s="2121">
        <f t="shared" ref="AO46:AP46" si="203">AO11</f>
        <v>63.162541666666684</v>
      </c>
      <c r="AP46" s="2121">
        <f t="shared" si="203"/>
        <v>62.296041666666682</v>
      </c>
      <c r="AQ46" s="2121">
        <f t="shared" ref="AQ46" si="204">AQ11</f>
        <v>125.52154166666666</v>
      </c>
      <c r="AR46" s="2121">
        <f t="shared" ref="AR46" si="205">AR11</f>
        <v>175.05354166666666</v>
      </c>
      <c r="AS46" s="2254"/>
      <c r="AT46" s="2120">
        <f>SUM(AL46:AR46)</f>
        <v>518.77325000000008</v>
      </c>
      <c r="AU46" s="2123"/>
      <c r="AV46" s="2124"/>
      <c r="AW46" s="1951"/>
      <c r="AX46" s="2120"/>
      <c r="AY46" s="2121"/>
      <c r="AZ46" s="2121"/>
      <c r="BA46" s="2121">
        <f t="shared" ref="BA46:BB46" si="206">BA11</f>
        <v>18.136541666666673</v>
      </c>
      <c r="BB46" s="2121">
        <f t="shared" si="206"/>
        <v>34.673541666666679</v>
      </c>
      <c r="BC46" s="2121">
        <f t="shared" ref="BC46:BD46" si="207">BC11</f>
        <v>20.243541666666673</v>
      </c>
      <c r="BD46" s="2121">
        <f t="shared" si="207"/>
        <v>54.38204166666668</v>
      </c>
      <c r="BE46" s="1951"/>
      <c r="BF46" s="2120">
        <f>SUM(AX46:BD46)</f>
        <v>127.43566666666671</v>
      </c>
      <c r="BG46" s="2123"/>
      <c r="BH46" s="2124"/>
      <c r="BI46" s="1900"/>
      <c r="BJ46" s="2120"/>
      <c r="BK46" s="2121">
        <f t="shared" ref="BK46:BL46" si="208">BK11</f>
        <v>64.503041666666675</v>
      </c>
      <c r="BL46" s="2124">
        <f t="shared" si="208"/>
        <v>64.503041666666675</v>
      </c>
      <c r="BM46" s="2317"/>
      <c r="BN46" s="2215">
        <f>SUM(BJ46:BL46)</f>
        <v>129.00608333333335</v>
      </c>
      <c r="BO46" s="2677"/>
      <c r="BP46" s="2124"/>
      <c r="BQ46" s="1897"/>
      <c r="BR46" s="2215">
        <f>SUM(N46:T46)+SUM(Z46:AF46)+SUM(AL46:AR46)+SUM(AX46:BD46)+SUM(BL46:BL46)</f>
        <v>1229.8729583333336</v>
      </c>
      <c r="BS46" s="2130"/>
      <c r="BT46" s="1900"/>
      <c r="BU46" s="2011"/>
      <c r="BV46" s="2011"/>
      <c r="BW46" s="2011"/>
      <c r="BZ46" s="3203"/>
      <c r="CA46" s="1946"/>
      <c r="CB46" s="1946"/>
      <c r="CC46" s="1946"/>
      <c r="CD46" s="1946"/>
      <c r="CE46" s="1946"/>
      <c r="CF46" s="1946"/>
      <c r="CG46" s="1946"/>
      <c r="CH46" s="1946"/>
      <c r="CI46" s="1946"/>
    </row>
    <row r="47" spans="1:87" s="1860" customFormat="1" ht="17.25" thickBot="1" x14ac:dyDescent="0.25">
      <c r="B47" s="1861"/>
      <c r="C47" s="1861" t="s">
        <v>143</v>
      </c>
      <c r="D47" s="1861"/>
      <c r="E47" s="3214"/>
      <c r="F47" s="3214"/>
      <c r="G47" s="3214"/>
      <c r="H47" s="3214"/>
      <c r="I47" s="3214"/>
      <c r="J47" s="3214"/>
      <c r="K47" s="2059"/>
      <c r="L47" s="1931"/>
      <c r="M47" s="1877"/>
      <c r="N47" s="3214"/>
      <c r="O47" s="3214"/>
      <c r="P47" s="3232"/>
      <c r="Q47" s="3236"/>
      <c r="R47" s="3240"/>
      <c r="S47" s="3244"/>
      <c r="T47" s="3214"/>
      <c r="U47" s="3214"/>
      <c r="V47" s="3214"/>
      <c r="W47" s="3214"/>
      <c r="X47" s="3214"/>
      <c r="Y47" s="1862"/>
      <c r="Z47" s="3214"/>
      <c r="AA47" s="3214"/>
      <c r="AB47" s="3275"/>
      <c r="AC47" s="3280"/>
      <c r="AD47" s="3285"/>
      <c r="AE47" s="3290"/>
      <c r="AF47" s="3214"/>
      <c r="AG47" s="1862"/>
      <c r="AH47" s="3214"/>
      <c r="AI47" s="3214"/>
      <c r="AJ47" s="3214"/>
      <c r="AK47" s="1862"/>
      <c r="AL47" s="3214"/>
      <c r="AM47" s="3214"/>
      <c r="AN47" s="3304"/>
      <c r="AO47" s="3308"/>
      <c r="AP47" s="3312"/>
      <c r="AQ47" s="3316"/>
      <c r="AR47" s="3320"/>
      <c r="AS47" s="3214"/>
      <c r="AT47" s="3214"/>
      <c r="AU47" s="3214"/>
      <c r="AV47" s="3214"/>
      <c r="AW47" s="3214"/>
      <c r="AX47" s="3214"/>
      <c r="AY47" s="3214"/>
      <c r="AZ47" s="3214"/>
      <c r="BA47" s="3214"/>
      <c r="BB47" s="3490"/>
      <c r="BC47" s="3495"/>
      <c r="BD47" s="3499"/>
      <c r="BE47" s="3214"/>
      <c r="BF47" s="3214"/>
      <c r="BG47" s="3214"/>
      <c r="BH47" s="3214"/>
      <c r="BI47" s="3214"/>
      <c r="BJ47" s="3214"/>
      <c r="BK47" s="3214"/>
      <c r="BL47" s="3214"/>
      <c r="BM47" s="3214"/>
      <c r="BN47" s="3214"/>
      <c r="BO47" s="3214"/>
      <c r="BP47" s="3214"/>
      <c r="BQ47" s="1862"/>
      <c r="BR47" s="3214"/>
      <c r="BS47" s="2639"/>
      <c r="BT47" s="1861"/>
      <c r="BU47" s="4634" t="s">
        <v>99</v>
      </c>
      <c r="BV47" s="4634"/>
      <c r="BW47" s="3214"/>
      <c r="BX47" s="1862"/>
      <c r="BZ47" s="3212"/>
    </row>
    <row r="48" spans="1:87" s="1900" customFormat="1" ht="15.75" x14ac:dyDescent="0.2">
      <c r="A48" s="2464"/>
      <c r="B48" s="2280">
        <v>38</v>
      </c>
      <c r="C48" s="2405" t="s">
        <v>245</v>
      </c>
      <c r="D48" s="2119"/>
      <c r="E48" s="2410">
        <v>106</v>
      </c>
      <c r="F48" s="2678"/>
      <c r="G48" s="2678"/>
      <c r="H48" s="2678"/>
      <c r="I48" s="2678"/>
      <c r="J48" s="2406">
        <f t="shared" ref="J48:J56" si="209">E48/24</f>
        <v>4.416666666666667</v>
      </c>
      <c r="K48" s="2407">
        <f>E48/$E$57</f>
        <v>0.31500742942050519</v>
      </c>
      <c r="L48" s="2468"/>
      <c r="M48" s="2339"/>
      <c r="N48" s="2679"/>
      <c r="O48" s="2406">
        <f t="shared" ref="O48:P48" si="210">IF(O46&gt;$J$57,$J$48,IF(O46&lt;$J$57,(IF(O46&lt;0,0,O46*$K$48))))</f>
        <v>4.416666666666667</v>
      </c>
      <c r="P48" s="2406">
        <f t="shared" si="210"/>
        <v>4.416666666666667</v>
      </c>
      <c r="Q48" s="2406">
        <f t="shared" ref="Q48:R48" si="211">IF(Q46&gt;$J$57,$J$48,IF(Q46&lt;$J$57,(IF(Q46&lt;0,0,Q46*$K$48))))</f>
        <v>4.416666666666667</v>
      </c>
      <c r="R48" s="2406">
        <f t="shared" si="211"/>
        <v>4.416666666666667</v>
      </c>
      <c r="S48" s="2406">
        <f t="shared" ref="S48:T48" si="212">IF(S46&gt;$J$57,$J$48,IF(S46&lt;$J$57,(IF(S46&lt;0,0,S46*$K$48))))</f>
        <v>4.416666666666667</v>
      </c>
      <c r="T48" s="2409">
        <f t="shared" si="212"/>
        <v>4.416666666666667</v>
      </c>
      <c r="U48" s="1951"/>
      <c r="V48" s="2410">
        <f t="shared" si="75"/>
        <v>26.500000000000004</v>
      </c>
      <c r="W48" s="2408">
        <f>$J$48*0</f>
        <v>0</v>
      </c>
      <c r="X48" s="2411">
        <f>V48-W48</f>
        <v>26.500000000000004</v>
      </c>
      <c r="Y48" s="1951"/>
      <c r="Z48" s="2410"/>
      <c r="AA48" s="2408">
        <f t="shared" ref="AA48" si="213">IF(AA46&gt;$J$57,$J$48,IF(AA46&lt;$J$57,(IF(AA46&lt;0,0,AA46*$K$48))))</f>
        <v>4.416666666666667</v>
      </c>
      <c r="AB48" s="2408">
        <f t="shared" ref="AB48:AC48" si="214">IF(AB46&gt;$J$57,$J$48,IF(AB46&lt;$J$57,(IF(AB46&lt;0,0,AB46*$K$48))))</f>
        <v>4.416666666666667</v>
      </c>
      <c r="AC48" s="2408">
        <f t="shared" si="214"/>
        <v>4.416666666666667</v>
      </c>
      <c r="AD48" s="2408">
        <f t="shared" ref="AD48:AE48" si="215">IF(AD46&gt;$J$57,$J$48,IF(AD46&lt;$J$57,(IF(AD46&lt;0,0,AD46*$K$48))))</f>
        <v>4.416666666666667</v>
      </c>
      <c r="AE48" s="2408">
        <f t="shared" si="215"/>
        <v>4.416666666666667</v>
      </c>
      <c r="AF48" s="2409">
        <f t="shared" ref="AF48" si="216">IF(AF46&gt;$J$57,$J$48,IF(AF46&lt;$J$57,(IF(AF46&lt;0,0,AF46*$K$48))))</f>
        <v>4.416666666666667</v>
      </c>
      <c r="AG48" s="1951"/>
      <c r="AH48" s="2410">
        <f>SUM(Z48:AF48)</f>
        <v>26.500000000000004</v>
      </c>
      <c r="AI48" s="2408">
        <f>$J$48*0</f>
        <v>0</v>
      </c>
      <c r="AJ48" s="2411">
        <f>AH48-AI48</f>
        <v>26.500000000000004</v>
      </c>
      <c r="AK48" s="1951"/>
      <c r="AL48" s="2410"/>
      <c r="AM48" s="2406">
        <f t="shared" ref="AM48:AN48" si="217">IF(AM46&gt;$J$57,$J$48,IF(AM46&lt;$J$57,(IF(AM46&lt;0,0,AM46*$K$48))))</f>
        <v>4.416666666666667</v>
      </c>
      <c r="AN48" s="2406">
        <f t="shared" si="217"/>
        <v>4.416666666666667</v>
      </c>
      <c r="AO48" s="2406">
        <f t="shared" ref="AO48:AP48" si="218">IF(AO46&gt;$J$57,$J$48,IF(AO46&lt;$J$57,(IF(AO46&lt;0,0,AO46*$K$48))))</f>
        <v>4.416666666666667</v>
      </c>
      <c r="AP48" s="2406">
        <f t="shared" si="218"/>
        <v>4.416666666666667</v>
      </c>
      <c r="AQ48" s="2406">
        <f t="shared" ref="AQ48" si="219">IF(AQ46&gt;$J$57,$J$48,IF(AQ46&lt;$J$57,(IF(AQ46&lt;0,0,AQ46*$K$48))))</f>
        <v>4.416666666666667</v>
      </c>
      <c r="AR48" s="2406">
        <f t="shared" ref="AR48" si="220">IF(AR46&gt;$J$57,$J$48,IF(AR46&lt;$J$57,(IF(AR46&lt;0,0,AR46*$K$48))))</f>
        <v>4.416666666666667</v>
      </c>
      <c r="AS48" s="1951"/>
      <c r="AT48" s="2410">
        <f>SUM(AL48:AR48)</f>
        <v>26.500000000000004</v>
      </c>
      <c r="AU48" s="2408">
        <f>$J$48*0</f>
        <v>0</v>
      </c>
      <c r="AV48" s="2411">
        <f>AT48-AU48</f>
        <v>26.500000000000004</v>
      </c>
      <c r="AW48" s="1951"/>
      <c r="AX48" s="2410"/>
      <c r="AY48" s="2406"/>
      <c r="AZ48" s="2406"/>
      <c r="BA48" s="2406">
        <f t="shared" ref="BA48:BB48" si="221">IF(BA46&gt;$J$57,$J$48,IF(BA46&lt;$J$57,(IF(BA46&lt;0,0,BA46*$K$48))))</f>
        <v>4.416666666666667</v>
      </c>
      <c r="BB48" s="2406">
        <f t="shared" si="221"/>
        <v>4.416666666666667</v>
      </c>
      <c r="BC48" s="2406">
        <f t="shared" ref="BC48:BD48" si="222">IF(BC46&gt;$J$57,$J$48,IF(BC46&lt;$J$57,(IF(BC46&lt;0,0,BC46*$K$48))))</f>
        <v>4.416666666666667</v>
      </c>
      <c r="BD48" s="2406">
        <f t="shared" si="222"/>
        <v>4.416666666666667</v>
      </c>
      <c r="BE48" s="1951"/>
      <c r="BF48" s="2410">
        <f>SUM(AX48:BD48)</f>
        <v>17.666666666666668</v>
      </c>
      <c r="BG48" s="2408">
        <f>$J$48*0</f>
        <v>0</v>
      </c>
      <c r="BH48" s="2411">
        <f>BF48-BG48</f>
        <v>17.666666666666668</v>
      </c>
      <c r="BI48" s="1951"/>
      <c r="BJ48" s="2410"/>
      <c r="BK48" s="2406">
        <f t="shared" ref="BK48:BL48" si="223">IF(BK46&gt;$J$57,$J$48,IF(BK46&lt;$J$57,(IF(BK46&lt;0,0,BK46*$K$48))))</f>
        <v>4.416666666666667</v>
      </c>
      <c r="BL48" s="2409">
        <f t="shared" si="223"/>
        <v>4.416666666666667</v>
      </c>
      <c r="BM48" s="1951"/>
      <c r="BN48" s="2410">
        <f>SUM(BJ48:BL48)</f>
        <v>8.8333333333333339</v>
      </c>
      <c r="BO48" s="2408">
        <f>$J$48*0</f>
        <v>0</v>
      </c>
      <c r="BP48" s="2411">
        <f>BN48-BO48</f>
        <v>8.8333333333333339</v>
      </c>
      <c r="BR48" s="2410"/>
      <c r="BS48" s="2412"/>
      <c r="BU48" s="2410">
        <f t="shared" ref="BU48:BU56" si="224">SUM(N48:T48)+SUM(Z48:AF48)+SUM(AL48:AR48)+SUM(AX48:BD48)+SUM(BL48:BL48)</f>
        <v>101.58333333333336</v>
      </c>
      <c r="BV48" s="2413">
        <f t="shared" ref="BV48:BV57" si="225">BU48/E48</f>
        <v>0.95833333333333359</v>
      </c>
      <c r="BW48" s="2353"/>
      <c r="BX48" s="4635">
        <f>BV57-BU1</f>
        <v>0.18413978494623651</v>
      </c>
      <c r="BZ48" s="4627"/>
      <c r="CA48" s="2011"/>
      <c r="CB48" s="2011"/>
      <c r="CC48" s="2011"/>
      <c r="CD48" s="2011"/>
      <c r="CE48" s="2011"/>
      <c r="CF48" s="2011"/>
      <c r="CG48" s="2011"/>
      <c r="CH48" s="2011"/>
      <c r="CI48" s="2011"/>
    </row>
    <row r="49" spans="1:87" s="1740" customFormat="1" ht="15.75" x14ac:dyDescent="0.2">
      <c r="A49" s="2466"/>
      <c r="B49" s="2151">
        <v>39</v>
      </c>
      <c r="C49" s="2152" t="s">
        <v>241</v>
      </c>
      <c r="D49" s="2051"/>
      <c r="E49" s="2090">
        <v>63</v>
      </c>
      <c r="F49" s="2154"/>
      <c r="G49" s="2154"/>
      <c r="H49" s="2154"/>
      <c r="I49" s="2154"/>
      <c r="J49" s="2154">
        <f t="shared" si="209"/>
        <v>2.625</v>
      </c>
      <c r="K49" s="2155">
        <f>E49/$E$57</f>
        <v>0.18722139673105498</v>
      </c>
      <c r="L49" s="2465"/>
      <c r="M49" s="2131"/>
      <c r="N49" s="2615"/>
      <c r="O49" s="2154">
        <f t="shared" ref="O49:P49" si="226">IF(O46&gt;$J$57,$J$49,IF(O46&lt;$J$57,(IF(O46&lt;0,0,O46*$K$49))))</f>
        <v>2.625</v>
      </c>
      <c r="P49" s="2154">
        <f t="shared" si="226"/>
        <v>2.625</v>
      </c>
      <c r="Q49" s="2154">
        <f t="shared" ref="Q49:R49" si="227">IF(Q46&gt;$J$57,$J$49,IF(Q46&lt;$J$57,(IF(Q46&lt;0,0,Q46*$K$49))))</f>
        <v>2.625</v>
      </c>
      <c r="R49" s="2154">
        <f t="shared" si="227"/>
        <v>2.625</v>
      </c>
      <c r="S49" s="2154">
        <f t="shared" ref="S49:T49" si="228">IF(S46&gt;$J$57,$J$49,IF(S46&lt;$J$57,(IF(S46&lt;0,0,S46*$K$49))))</f>
        <v>2.625</v>
      </c>
      <c r="T49" s="2154">
        <f t="shared" si="228"/>
        <v>2.625</v>
      </c>
      <c r="U49" s="3227"/>
      <c r="V49" s="2153">
        <f>SUM(N49:T49)</f>
        <v>15.75</v>
      </c>
      <c r="W49" s="2157">
        <f>$J$49*0</f>
        <v>0</v>
      </c>
      <c r="X49" s="2158">
        <f>V49-W49</f>
        <v>15.75</v>
      </c>
      <c r="Y49" s="3227"/>
      <c r="Z49" s="2153"/>
      <c r="AA49" s="2157">
        <f t="shared" ref="AA49" si="229">IF(AA46&gt;$J$57,$J$49,IF(AA46&lt;$J$57,(IF(AA46&lt;0,0,AA46*$K$49))))</f>
        <v>2.625</v>
      </c>
      <c r="AB49" s="2157">
        <f t="shared" ref="AB49:AC49" si="230">IF(AB46&gt;$J$57,$J$49,IF(AB46&lt;$J$57,(IF(AB46&lt;0,0,AB46*$K$49))))</f>
        <v>2.625</v>
      </c>
      <c r="AC49" s="2157">
        <f t="shared" si="230"/>
        <v>2.625</v>
      </c>
      <c r="AD49" s="2157">
        <f t="shared" ref="AD49:AE49" si="231">IF(AD46&gt;$J$57,$J$49,IF(AD46&lt;$J$57,(IF(AD46&lt;0,0,AD46*$K$49))))</f>
        <v>2.625</v>
      </c>
      <c r="AE49" s="2157">
        <f t="shared" si="231"/>
        <v>2.625</v>
      </c>
      <c r="AF49" s="2156">
        <f t="shared" ref="AF49" si="232">IF(AF46&gt;$J$57,$J$49,IF(AF46&lt;$J$57,(IF(AF46&lt;0,0,AF46*$K$49))))</f>
        <v>2.625</v>
      </c>
      <c r="AG49" s="3227"/>
      <c r="AH49" s="2153">
        <f t="shared" ref="AH49:AH69" si="233">SUM(Z49:AF49)</f>
        <v>15.75</v>
      </c>
      <c r="AI49" s="2157">
        <f>$J$49*0</f>
        <v>0</v>
      </c>
      <c r="AJ49" s="2158">
        <f t="shared" ref="AJ49:AJ69" si="234">AH49-AI49</f>
        <v>15.75</v>
      </c>
      <c r="AK49" s="3227"/>
      <c r="AL49" s="2153"/>
      <c r="AM49" s="2154">
        <f t="shared" ref="AM49:AN49" si="235">IF(AM46&gt;$J$57,$J$49,IF(AM46&lt;$J$57,(IF(AM46&lt;0,0,AM46*$K$49))))</f>
        <v>2.625</v>
      </c>
      <c r="AN49" s="2154">
        <f t="shared" si="235"/>
        <v>2.625</v>
      </c>
      <c r="AO49" s="2154">
        <f t="shared" ref="AO49:AP49" si="236">IF(AO46&gt;$J$57,$J$49,IF(AO46&lt;$J$57,(IF(AO46&lt;0,0,AO46*$K$49))))</f>
        <v>2.625</v>
      </c>
      <c r="AP49" s="2154">
        <f t="shared" si="236"/>
        <v>2.625</v>
      </c>
      <c r="AQ49" s="2154">
        <f t="shared" ref="AQ49" si="237">IF(AQ46&gt;$J$57,$J$49,IF(AQ46&lt;$J$57,(IF(AQ46&lt;0,0,AQ46*$K$49))))</f>
        <v>2.625</v>
      </c>
      <c r="AR49" s="2154">
        <f t="shared" ref="AR49" si="238">IF(AR46&gt;$J$57,$J$49,IF(AR46&lt;$J$57,(IF(AR46&lt;0,0,AR46*$K$49))))</f>
        <v>2.625</v>
      </c>
      <c r="AS49" s="3227"/>
      <c r="AT49" s="2153">
        <f t="shared" ref="AT49:AT56" si="239">SUM(AL49:AR49)</f>
        <v>15.75</v>
      </c>
      <c r="AU49" s="2157">
        <f>$J$49*0</f>
        <v>0</v>
      </c>
      <c r="AV49" s="2158">
        <f t="shared" ref="AV49:AV56" si="240">AT49-AU49</f>
        <v>15.75</v>
      </c>
      <c r="AW49" s="3227"/>
      <c r="AX49" s="2090"/>
      <c r="AY49" s="2088"/>
      <c r="AZ49" s="2088"/>
      <c r="BA49" s="2088">
        <f t="shared" ref="BA49:BB49" si="241">IF(BA46&gt;$J$57,$J$49,IF(BA46&lt;$J$57,(IF(BA46&lt;0,0,BA46*$K$49))))</f>
        <v>2.625</v>
      </c>
      <c r="BB49" s="2088">
        <f t="shared" si="241"/>
        <v>2.625</v>
      </c>
      <c r="BC49" s="2088">
        <f t="shared" ref="BC49:BD49" si="242">IF(BC46&gt;$J$57,$J$49,IF(BC46&lt;$J$57,(IF(BC46&lt;0,0,BC46*$K$49))))</f>
        <v>2.625</v>
      </c>
      <c r="BD49" s="2088">
        <f t="shared" si="242"/>
        <v>2.625</v>
      </c>
      <c r="BE49" s="3227"/>
      <c r="BF49" s="2153">
        <f t="shared" ref="BF49:BF56" si="243">SUM(AX49:BD49)</f>
        <v>10.5</v>
      </c>
      <c r="BG49" s="2157">
        <f>$J$49*0</f>
        <v>0</v>
      </c>
      <c r="BH49" s="2158">
        <f t="shared" ref="BH49:BH56" si="244">BF49-BG49</f>
        <v>10.5</v>
      </c>
      <c r="BI49" s="3227"/>
      <c r="BJ49" s="2090"/>
      <c r="BK49" s="2088">
        <f t="shared" ref="BK49:BL49" si="245">IF(BK46&gt;$J$57,$J$49,IF(BK46&lt;$J$57,(IF(BK46&lt;0,0,BK46*$K$49))))</f>
        <v>2.625</v>
      </c>
      <c r="BL49" s="2091">
        <f t="shared" si="245"/>
        <v>2.625</v>
      </c>
      <c r="BM49" s="3227"/>
      <c r="BN49" s="2153">
        <f t="shared" ref="BN49:BN55" si="246">SUM(BJ49:BL49)</f>
        <v>5.25</v>
      </c>
      <c r="BO49" s="2157">
        <f>$J$49*0</f>
        <v>0</v>
      </c>
      <c r="BP49" s="2158">
        <f t="shared" ref="BP49:BP56" si="247">BN49-BO49</f>
        <v>5.25</v>
      </c>
      <c r="BR49" s="2153"/>
      <c r="BS49" s="2616"/>
      <c r="BU49" s="2153">
        <f t="shared" si="224"/>
        <v>60.375</v>
      </c>
      <c r="BV49" s="2617">
        <f t="shared" si="225"/>
        <v>0.95833333333333337</v>
      </c>
      <c r="BW49" s="2351"/>
      <c r="BX49" s="4636"/>
      <c r="BZ49" s="4627"/>
      <c r="CA49" s="1861"/>
      <c r="CB49" s="1861"/>
      <c r="CC49" s="1861"/>
      <c r="CD49" s="1861"/>
      <c r="CE49" s="1861"/>
      <c r="CF49" s="1861"/>
      <c r="CG49" s="1861"/>
      <c r="CH49" s="1861"/>
      <c r="CI49" s="1861"/>
    </row>
    <row r="50" spans="1:87" s="1900" customFormat="1" ht="15.75" x14ac:dyDescent="0.2">
      <c r="A50" s="2464"/>
      <c r="B50" s="2161">
        <v>40</v>
      </c>
      <c r="C50" s="2162" t="s">
        <v>117</v>
      </c>
      <c r="D50" s="2119"/>
      <c r="E50" s="2169">
        <v>37</v>
      </c>
      <c r="F50" s="2176">
        <f t="shared" ref="F50:F56" si="248">E50/10</f>
        <v>3.7</v>
      </c>
      <c r="G50" s="2176">
        <f t="shared" ref="G50:G56" si="249">E50/15</f>
        <v>2.4666666666666668</v>
      </c>
      <c r="H50" s="2176">
        <f t="shared" ref="H50:H56" si="250">E50/20</f>
        <v>1.85</v>
      </c>
      <c r="I50" s="2176">
        <f t="shared" ref="I50:I56" si="251">E50/25</f>
        <v>1.48</v>
      </c>
      <c r="J50" s="2176">
        <f t="shared" si="209"/>
        <v>1.5416666666666667</v>
      </c>
      <c r="K50" s="2177">
        <f t="shared" ref="K50:K56" si="252">E50/$E$57</f>
        <v>0.10995542347696879</v>
      </c>
      <c r="L50" s="2468"/>
      <c r="M50" s="2339"/>
      <c r="N50" s="2618"/>
      <c r="O50" s="2164">
        <f t="shared" ref="O50:P50" si="253">IF(O46&gt;$J$57,$J$50,IF(O46&lt;$J$57,(IF(O46&lt;0,0,O46*$K$50))))</f>
        <v>1.5416666666666667</v>
      </c>
      <c r="P50" s="2164">
        <f t="shared" si="253"/>
        <v>1.5416666666666667</v>
      </c>
      <c r="Q50" s="2164">
        <f t="shared" ref="Q50:R50" si="254">IF(Q46&gt;$J$57,$J$50,IF(Q46&lt;$J$57,(IF(Q46&lt;0,0,Q46*$K$50))))</f>
        <v>1.5416666666666667</v>
      </c>
      <c r="R50" s="2164">
        <f t="shared" si="254"/>
        <v>1.5416666666666667</v>
      </c>
      <c r="S50" s="2164">
        <f t="shared" ref="S50:T50" si="255">IF(S46&gt;$J$57,$J$50,IF(S46&lt;$J$57,(IF(S46&lt;0,0,S46*$K$50))))</f>
        <v>1.5416666666666667</v>
      </c>
      <c r="T50" s="2164">
        <f t="shared" si="255"/>
        <v>1.5416666666666667</v>
      </c>
      <c r="U50" s="1951"/>
      <c r="V50" s="2163">
        <f t="shared" ref="V50" si="256">SUM(N50:T50)</f>
        <v>9.25</v>
      </c>
      <c r="W50" s="2167">
        <f>$J$50*0</f>
        <v>0</v>
      </c>
      <c r="X50" s="2168">
        <f>V50-W50</f>
        <v>9.25</v>
      </c>
      <c r="Y50" s="1951"/>
      <c r="Z50" s="2163"/>
      <c r="AA50" s="2167">
        <f t="shared" ref="AA50" si="257">IF(AA46&gt;$J$57,$J$50,IF(AA46&lt;$J$57,(IF(AA46&lt;0,0,AA46*$K$50))))</f>
        <v>1.5416666666666667</v>
      </c>
      <c r="AB50" s="2167">
        <f t="shared" ref="AB50:AC50" si="258">IF(AB46&gt;$J$57,$J$50,IF(AB46&lt;$J$57,(IF(AB46&lt;0,0,AB46*$K$50))))</f>
        <v>1.5416666666666667</v>
      </c>
      <c r="AC50" s="2167">
        <f t="shared" si="258"/>
        <v>1.5416666666666667</v>
      </c>
      <c r="AD50" s="2167">
        <f t="shared" ref="AD50:AE50" si="259">IF(AD46&gt;$J$57,$J$50,IF(AD46&lt;$J$57,(IF(AD46&lt;0,0,AD46*$K$50))))</f>
        <v>1.5416666666666667</v>
      </c>
      <c r="AE50" s="2167">
        <f t="shared" si="259"/>
        <v>1.5416666666666667</v>
      </c>
      <c r="AF50" s="2166">
        <f t="shared" ref="AF50" si="260">IF(AF46&gt;$J$57,$J$50,IF(AF46&lt;$J$57,(IF(AF46&lt;0,0,AF46*$K$50))))</f>
        <v>1.5416666666666667</v>
      </c>
      <c r="AG50" s="1951"/>
      <c r="AH50" s="2163">
        <f t="shared" si="233"/>
        <v>9.25</v>
      </c>
      <c r="AI50" s="2167">
        <f>$J$50*0</f>
        <v>0</v>
      </c>
      <c r="AJ50" s="2168">
        <f t="shared" si="234"/>
        <v>9.25</v>
      </c>
      <c r="AK50" s="1951"/>
      <c r="AL50" s="2163"/>
      <c r="AM50" s="2164">
        <f t="shared" ref="AM50:AN50" si="261">IF(AM46&gt;$J$57,$J$50,IF(AM46&lt;$J$57,(IF(AM46&lt;0,0,AM46*$K$50))))</f>
        <v>1.5416666666666667</v>
      </c>
      <c r="AN50" s="2164">
        <f t="shared" si="261"/>
        <v>1.5416666666666667</v>
      </c>
      <c r="AO50" s="2164">
        <f t="shared" ref="AO50:AP50" si="262">IF(AO46&gt;$J$57,$J$50,IF(AO46&lt;$J$57,(IF(AO46&lt;0,0,AO46*$K$50))))</f>
        <v>1.5416666666666667</v>
      </c>
      <c r="AP50" s="2164">
        <f t="shared" si="262"/>
        <v>1.5416666666666667</v>
      </c>
      <c r="AQ50" s="2164">
        <f t="shared" ref="AQ50" si="263">IF(AQ46&gt;$J$57,$J$50,IF(AQ46&lt;$J$57,(IF(AQ46&lt;0,0,AQ46*$K$50))))</f>
        <v>1.5416666666666667</v>
      </c>
      <c r="AR50" s="2164">
        <f t="shared" ref="AR50" si="264">IF(AR46&gt;$J$57,$J$50,IF(AR46&lt;$J$57,(IF(AR46&lt;0,0,AR46*$K$50))))</f>
        <v>1.5416666666666667</v>
      </c>
      <c r="AS50" s="1951"/>
      <c r="AT50" s="2163">
        <f t="shared" si="239"/>
        <v>9.25</v>
      </c>
      <c r="AU50" s="2167">
        <f>$J$50*0</f>
        <v>0</v>
      </c>
      <c r="AV50" s="2168">
        <f t="shared" si="240"/>
        <v>9.25</v>
      </c>
      <c r="AW50" s="1951"/>
      <c r="AX50" s="2169"/>
      <c r="AY50" s="2176"/>
      <c r="AZ50" s="2176"/>
      <c r="BA50" s="2176">
        <f t="shared" ref="BA50:BB50" si="265">IF(BA46&gt;$J$57,$J$50,IF(BA46&lt;$J$57,(IF(BA46&lt;0,0,BA46*$K$50))))</f>
        <v>1.5416666666666667</v>
      </c>
      <c r="BB50" s="2176">
        <f t="shared" si="265"/>
        <v>1.5416666666666667</v>
      </c>
      <c r="BC50" s="2176">
        <f t="shared" ref="BC50:BD50" si="266">IF(BC46&gt;$J$57,$J$50,IF(BC46&lt;$J$57,(IF(BC46&lt;0,0,BC46*$K$50))))</f>
        <v>1.5416666666666667</v>
      </c>
      <c r="BD50" s="2176">
        <f t="shared" si="266"/>
        <v>1.5416666666666667</v>
      </c>
      <c r="BE50" s="1951"/>
      <c r="BF50" s="2163">
        <f t="shared" si="243"/>
        <v>6.166666666666667</v>
      </c>
      <c r="BG50" s="2167">
        <f>$J$50*0</f>
        <v>0</v>
      </c>
      <c r="BH50" s="2168">
        <f t="shared" si="244"/>
        <v>6.166666666666667</v>
      </c>
      <c r="BI50" s="1951"/>
      <c r="BJ50" s="2169"/>
      <c r="BK50" s="2176">
        <f t="shared" ref="BK50:BL50" si="267">IF(BK46&gt;$J$57,$J$50,IF(BK46&lt;$J$57,(IF(BK46&lt;0,0,BK46*$K$50))))</f>
        <v>1.5416666666666667</v>
      </c>
      <c r="BL50" s="2171">
        <f t="shared" si="267"/>
        <v>1.5416666666666667</v>
      </c>
      <c r="BM50" s="1951"/>
      <c r="BN50" s="2163">
        <f t="shared" si="246"/>
        <v>3.0833333333333335</v>
      </c>
      <c r="BO50" s="2167">
        <f>$J$50*0</f>
        <v>0</v>
      </c>
      <c r="BP50" s="2168">
        <f t="shared" si="247"/>
        <v>3.0833333333333335</v>
      </c>
      <c r="BR50" s="2163"/>
      <c r="BS50" s="2619"/>
      <c r="BU50" s="2163">
        <f t="shared" si="224"/>
        <v>35.458333333333329</v>
      </c>
      <c r="BV50" s="2620">
        <f t="shared" si="225"/>
        <v>0.95833333333333326</v>
      </c>
      <c r="BW50" s="2353"/>
      <c r="BX50" s="4636"/>
      <c r="BZ50" s="4627"/>
      <c r="CA50" s="2011"/>
      <c r="CB50" s="2011"/>
      <c r="CC50" s="2011"/>
      <c r="CD50" s="2011"/>
      <c r="CE50" s="2011"/>
      <c r="CF50" s="2011"/>
      <c r="CG50" s="2011"/>
      <c r="CH50" s="2011"/>
      <c r="CI50" s="2011"/>
    </row>
    <row r="51" spans="1:87" s="1726" customFormat="1" x14ac:dyDescent="0.2">
      <c r="B51" s="2085">
        <v>41</v>
      </c>
      <c r="C51" s="2086" t="s">
        <v>246</v>
      </c>
      <c r="D51" s="2051"/>
      <c r="E51" s="2087">
        <v>37</v>
      </c>
      <c r="F51" s="2088">
        <f t="shared" si="248"/>
        <v>3.7</v>
      </c>
      <c r="G51" s="2088">
        <f t="shared" si="249"/>
        <v>2.4666666666666668</v>
      </c>
      <c r="H51" s="2088">
        <f t="shared" si="250"/>
        <v>1.85</v>
      </c>
      <c r="I51" s="2088">
        <f t="shared" si="251"/>
        <v>1.48</v>
      </c>
      <c r="J51" s="2088">
        <f t="shared" si="209"/>
        <v>1.5416666666666667</v>
      </c>
      <c r="K51" s="2089">
        <f t="shared" si="252"/>
        <v>0.10995542347696879</v>
      </c>
      <c r="L51" s="1931"/>
      <c r="M51" s="1924"/>
      <c r="N51" s="2284"/>
      <c r="O51" s="2088">
        <f t="shared" ref="O51:P51" si="268">IF(O46&gt;$J$57,$J$51,IF(O46&lt;$J$57,(IF(O46&lt;0,0,O46*$K$51))))</f>
        <v>1.5416666666666667</v>
      </c>
      <c r="P51" s="2088">
        <f t="shared" si="268"/>
        <v>1.5416666666666667</v>
      </c>
      <c r="Q51" s="2088">
        <f t="shared" ref="Q51:R51" si="269">IF(Q46&gt;$J$57,$J$51,IF(Q46&lt;$J$57,(IF(Q46&lt;0,0,Q46*$K$51))))</f>
        <v>1.5416666666666667</v>
      </c>
      <c r="R51" s="2088">
        <f t="shared" si="269"/>
        <v>1.5416666666666667</v>
      </c>
      <c r="S51" s="2088">
        <f t="shared" ref="S51:T51" si="270">IF(S46&gt;$J$57,$J$51,IF(S46&lt;$J$57,(IF(S46&lt;0,0,S46*$K$51))))</f>
        <v>1.5416666666666667</v>
      </c>
      <c r="T51" s="2091">
        <f t="shared" si="270"/>
        <v>1.5416666666666667</v>
      </c>
      <c r="U51" s="3227"/>
      <c r="V51" s="2090">
        <f t="shared" si="75"/>
        <v>9.25</v>
      </c>
      <c r="W51" s="2087">
        <f>$J$51*0</f>
        <v>0</v>
      </c>
      <c r="X51" s="2174">
        <f>V51-W51</f>
        <v>9.25</v>
      </c>
      <c r="Y51" s="1766"/>
      <c r="Z51" s="2090"/>
      <c r="AA51" s="2087">
        <f t="shared" ref="AA51" si="271">IF(AA46&gt;$J$57,$J$51,IF(AA46&lt;$J$57,(IF(AA46&lt;0,0,AA46*$K$51))))</f>
        <v>1.5416666666666667</v>
      </c>
      <c r="AB51" s="2087">
        <f t="shared" ref="AB51:AC51" si="272">IF(AB46&gt;$J$57,$J$51,IF(AB46&lt;$J$57,(IF(AB46&lt;0,0,AB46*$K$51))))</f>
        <v>1.5416666666666667</v>
      </c>
      <c r="AC51" s="2087">
        <f t="shared" si="272"/>
        <v>1.5416666666666667</v>
      </c>
      <c r="AD51" s="2087">
        <f t="shared" ref="AD51:AE51" si="273">IF(AD46&gt;$J$57,$J$51,IF(AD46&lt;$J$57,(IF(AD46&lt;0,0,AD46*$K$51))))</f>
        <v>1.5416666666666667</v>
      </c>
      <c r="AE51" s="2087">
        <f t="shared" si="273"/>
        <v>1.5416666666666667</v>
      </c>
      <c r="AF51" s="2091">
        <f t="shared" ref="AF51" si="274">IF(AF46&gt;$J$57,$J$51,IF(AF46&lt;$J$57,(IF(AF46&lt;0,0,AF46*$K$51))))</f>
        <v>1.5416666666666667</v>
      </c>
      <c r="AG51" s="1766"/>
      <c r="AH51" s="2090">
        <f t="shared" si="233"/>
        <v>9.25</v>
      </c>
      <c r="AI51" s="2087">
        <f>$J$51*0</f>
        <v>0</v>
      </c>
      <c r="AJ51" s="2174">
        <f t="shared" si="234"/>
        <v>9.25</v>
      </c>
      <c r="AK51" s="1766"/>
      <c r="AL51" s="2090"/>
      <c r="AM51" s="2088">
        <f t="shared" ref="AM51:AN51" si="275">IF(AM46&gt;$J$57,$J$51,IF(AM46&lt;$J$57,(IF(AM46&lt;0,0,AM46*$K$51))))</f>
        <v>1.5416666666666667</v>
      </c>
      <c r="AN51" s="2088">
        <f t="shared" si="275"/>
        <v>1.5416666666666667</v>
      </c>
      <c r="AO51" s="2088">
        <f t="shared" ref="AO51:AP51" si="276">IF(AO46&gt;$J$57,$J$51,IF(AO46&lt;$J$57,(IF(AO46&lt;0,0,AO46*$K$51))))</f>
        <v>1.5416666666666667</v>
      </c>
      <c r="AP51" s="2088">
        <f t="shared" si="276"/>
        <v>1.5416666666666667</v>
      </c>
      <c r="AQ51" s="2088">
        <f t="shared" ref="AQ51" si="277">IF(AQ46&gt;$J$57,$J$51,IF(AQ46&lt;$J$57,(IF(AQ46&lt;0,0,AQ46*$K$51))))</f>
        <v>1.5416666666666667</v>
      </c>
      <c r="AR51" s="2088">
        <f t="shared" ref="AR51" si="278">IF(AR46&gt;$J$57,$J$51,IF(AR46&lt;$J$57,(IF(AR46&lt;0,0,AR46*$K$51))))</f>
        <v>1.5416666666666667</v>
      </c>
      <c r="AS51" s="3227"/>
      <c r="AT51" s="2090">
        <f t="shared" si="239"/>
        <v>9.25</v>
      </c>
      <c r="AU51" s="2087">
        <f>$J$51*0</f>
        <v>0</v>
      </c>
      <c r="AV51" s="2174">
        <f t="shared" si="240"/>
        <v>9.25</v>
      </c>
      <c r="AW51" s="3227"/>
      <c r="AX51" s="2284"/>
      <c r="AY51" s="2088"/>
      <c r="AZ51" s="2088"/>
      <c r="BA51" s="2088">
        <f t="shared" ref="BA51:BB51" si="279">IF(BA46&gt;$J$57,$J$51,IF(BA46&lt;$J$57,(IF(BA46&lt;0,0,BA46*$K$51))))</f>
        <v>1.5416666666666667</v>
      </c>
      <c r="BB51" s="2088">
        <f t="shared" si="279"/>
        <v>1.5416666666666667</v>
      </c>
      <c r="BC51" s="2088">
        <f t="shared" ref="BC51:BD51" si="280">IF(BC46&gt;$J$57,$J$51,IF(BC46&lt;$J$57,(IF(BC46&lt;0,0,BC46*$K$51))))</f>
        <v>1.5416666666666667</v>
      </c>
      <c r="BD51" s="2088">
        <f t="shared" si="280"/>
        <v>1.5416666666666667</v>
      </c>
      <c r="BE51" s="3227"/>
      <c r="BF51" s="2090">
        <f t="shared" si="243"/>
        <v>6.166666666666667</v>
      </c>
      <c r="BG51" s="2087">
        <f>$J$51*0</f>
        <v>0</v>
      </c>
      <c r="BH51" s="2174">
        <f t="shared" si="244"/>
        <v>6.166666666666667</v>
      </c>
      <c r="BI51" s="3227"/>
      <c r="BJ51" s="2090"/>
      <c r="BK51" s="2088">
        <f t="shared" ref="BK51:BL51" si="281">IF(BK46&gt;$J$57,$J$51,IF(BK46&lt;$J$57,(IF(BK46&lt;0,0,BK46*$K$51))))</f>
        <v>1.5416666666666667</v>
      </c>
      <c r="BL51" s="2091">
        <f t="shared" si="281"/>
        <v>1.5416666666666667</v>
      </c>
      <c r="BM51" s="3227"/>
      <c r="BN51" s="2090">
        <f t="shared" si="246"/>
        <v>3.0833333333333335</v>
      </c>
      <c r="BO51" s="2087">
        <f>$J$51*0</f>
        <v>0</v>
      </c>
      <c r="BP51" s="2174">
        <f t="shared" si="247"/>
        <v>3.0833333333333335</v>
      </c>
      <c r="BR51" s="2090"/>
      <c r="BS51" s="2159"/>
      <c r="BT51" s="1740"/>
      <c r="BU51" s="2090">
        <f t="shared" si="224"/>
        <v>35.458333333333329</v>
      </c>
      <c r="BV51" s="2160">
        <f t="shared" si="225"/>
        <v>0.95833333333333326</v>
      </c>
      <c r="BW51" s="2351"/>
      <c r="BX51" s="4636"/>
      <c r="BZ51" s="4627"/>
      <c r="CA51" s="1830"/>
      <c r="CB51" s="2131"/>
      <c r="CC51" s="1830"/>
      <c r="CD51" s="1860"/>
      <c r="CE51" s="1860"/>
      <c r="CF51" s="1860"/>
      <c r="CG51" s="1860"/>
      <c r="CH51" s="1860"/>
      <c r="CI51" s="1860"/>
    </row>
    <row r="52" spans="1:87" s="1885" customFormat="1" x14ac:dyDescent="0.2">
      <c r="B52" s="2182">
        <v>42</v>
      </c>
      <c r="C52" s="2175" t="s">
        <v>118</v>
      </c>
      <c r="D52" s="2119"/>
      <c r="E52" s="2170">
        <v>35</v>
      </c>
      <c r="F52" s="2176">
        <f t="shared" si="248"/>
        <v>3.5</v>
      </c>
      <c r="G52" s="2176">
        <f t="shared" si="249"/>
        <v>2.3333333333333335</v>
      </c>
      <c r="H52" s="2176">
        <f t="shared" si="250"/>
        <v>1.75</v>
      </c>
      <c r="I52" s="2176">
        <f t="shared" si="251"/>
        <v>1.4</v>
      </c>
      <c r="J52" s="2176">
        <f t="shared" si="209"/>
        <v>1.4583333333333333</v>
      </c>
      <c r="K52" s="2177">
        <f t="shared" si="252"/>
        <v>0.10401188707280833</v>
      </c>
      <c r="L52" s="2003"/>
      <c r="M52" s="1950"/>
      <c r="N52" s="2415"/>
      <c r="O52" s="2176">
        <f t="shared" ref="O52:P52" si="282">IF(O46&gt;$J$57,$J$52,IF(O46&lt;$J$57,(IF(O46&lt;0,0,O46*$K$52))))</f>
        <v>1.4583333333333333</v>
      </c>
      <c r="P52" s="2176">
        <f t="shared" si="282"/>
        <v>1.4583333333333333</v>
      </c>
      <c r="Q52" s="2176">
        <f t="shared" ref="Q52:R52" si="283">IF(Q46&gt;$J$57,$J$52,IF(Q46&lt;$J$57,(IF(Q46&lt;0,0,Q46*$K$52))))</f>
        <v>1.4583333333333333</v>
      </c>
      <c r="R52" s="2176">
        <f t="shared" si="283"/>
        <v>1.4583333333333333</v>
      </c>
      <c r="S52" s="2176">
        <f t="shared" ref="S52:T52" si="284">IF(S46&gt;$J$57,$J$52,IF(S46&lt;$J$57,(IF(S46&lt;0,0,S46*$K$52))))</f>
        <v>1.4583333333333333</v>
      </c>
      <c r="T52" s="2171">
        <f t="shared" si="284"/>
        <v>1.4583333333333333</v>
      </c>
      <c r="U52" s="1951"/>
      <c r="V52" s="2169">
        <f t="shared" si="75"/>
        <v>8.75</v>
      </c>
      <c r="W52" s="2176">
        <f>$J$52*0</f>
        <v>0</v>
      </c>
      <c r="X52" s="2171">
        <f t="shared" ref="X52:X69" si="285">V52-W52</f>
        <v>8.75</v>
      </c>
      <c r="Y52" s="1956"/>
      <c r="Z52" s="2169"/>
      <c r="AA52" s="2176">
        <f t="shared" ref="AA52" si="286">IF(AA46&gt;$J$57,$J$52,IF(AA46&lt;$J$57,(IF(AA46&lt;0,0,AA46*$K$52))))</f>
        <v>1.4583333333333333</v>
      </c>
      <c r="AB52" s="2176">
        <f t="shared" ref="AB52:AC52" si="287">IF(AB46&gt;$J$57,$J$52,IF(AB46&lt;$J$57,(IF(AB46&lt;0,0,AB46*$K$52))))</f>
        <v>1.4583333333333333</v>
      </c>
      <c r="AC52" s="2176">
        <f t="shared" si="287"/>
        <v>1.4583333333333333</v>
      </c>
      <c r="AD52" s="2176">
        <f t="shared" ref="AD52:AE52" si="288">IF(AD46&gt;$J$57,$J$52,IF(AD46&lt;$J$57,(IF(AD46&lt;0,0,AD46*$K$52))))</f>
        <v>1.4583333333333333</v>
      </c>
      <c r="AE52" s="2176">
        <f t="shared" si="288"/>
        <v>1.4583333333333333</v>
      </c>
      <c r="AF52" s="2171">
        <f t="shared" ref="AF52" si="289">IF(AF46&gt;$J$57,$J$52,IF(AF46&lt;$J$57,(IF(AF46&lt;0,0,AF46*$K$52))))</f>
        <v>1.4583333333333333</v>
      </c>
      <c r="AG52" s="1956"/>
      <c r="AH52" s="2169">
        <f t="shared" si="233"/>
        <v>8.75</v>
      </c>
      <c r="AI52" s="2176">
        <f>$J$52*0</f>
        <v>0</v>
      </c>
      <c r="AJ52" s="2171">
        <f t="shared" si="234"/>
        <v>8.75</v>
      </c>
      <c r="AK52" s="1956"/>
      <c r="AL52" s="2169"/>
      <c r="AM52" s="2176">
        <f t="shared" ref="AM52:AN52" si="290">IF(AM46&gt;$J$57,$J$52,IF(AM46&lt;$J$57,(IF(AM46&lt;0,0,AM46*$K$52))))</f>
        <v>1.4583333333333333</v>
      </c>
      <c r="AN52" s="2176">
        <f t="shared" si="290"/>
        <v>1.4583333333333333</v>
      </c>
      <c r="AO52" s="2176">
        <f t="shared" ref="AO52:AP52" si="291">IF(AO46&gt;$J$57,$J$52,IF(AO46&lt;$J$57,(IF(AO46&lt;0,0,AO46*$K$52))))</f>
        <v>1.4583333333333333</v>
      </c>
      <c r="AP52" s="2176">
        <f t="shared" si="291"/>
        <v>1.4583333333333333</v>
      </c>
      <c r="AQ52" s="2176">
        <f t="shared" ref="AQ52" si="292">IF(AQ46&gt;$J$57,$J$52,IF(AQ46&lt;$J$57,(IF(AQ46&lt;0,0,AQ46*$K$52))))</f>
        <v>1.4583333333333333</v>
      </c>
      <c r="AR52" s="2176">
        <f t="shared" ref="AR52" si="293">IF(AR46&gt;$J$57,$J$52,IF(AR46&lt;$J$57,(IF(AR46&lt;0,0,AR46*$K$52))))</f>
        <v>1.4583333333333333</v>
      </c>
      <c r="AS52" s="1951"/>
      <c r="AT52" s="2169">
        <f t="shared" si="239"/>
        <v>8.75</v>
      </c>
      <c r="AU52" s="2176">
        <f>$J$52*0</f>
        <v>0</v>
      </c>
      <c r="AV52" s="2171">
        <f t="shared" si="240"/>
        <v>8.75</v>
      </c>
      <c r="AW52" s="1951"/>
      <c r="AX52" s="2415"/>
      <c r="AY52" s="2176"/>
      <c r="AZ52" s="2176"/>
      <c r="BA52" s="2176">
        <f t="shared" ref="BA52:BB52" si="294">IF(BA46&gt;$J$57,$J$52,IF(BA46&lt;$J$57,(IF(BA46&lt;0,0,BA46*$K$52))))</f>
        <v>1.4583333333333333</v>
      </c>
      <c r="BB52" s="2176">
        <f t="shared" si="294"/>
        <v>1.4583333333333333</v>
      </c>
      <c r="BC52" s="2176">
        <f t="shared" ref="BC52:BD52" si="295">IF(BC46&gt;$J$57,$J$52,IF(BC46&lt;$J$57,(IF(BC46&lt;0,0,BC46*$K$52))))</f>
        <v>1.4583333333333333</v>
      </c>
      <c r="BD52" s="2176">
        <f t="shared" si="295"/>
        <v>1.4583333333333333</v>
      </c>
      <c r="BE52" s="1951"/>
      <c r="BF52" s="2169">
        <f t="shared" si="243"/>
        <v>5.833333333333333</v>
      </c>
      <c r="BG52" s="2176">
        <f>$J$52*0</f>
        <v>0</v>
      </c>
      <c r="BH52" s="2171">
        <f t="shared" si="244"/>
        <v>5.833333333333333</v>
      </c>
      <c r="BI52" s="1951"/>
      <c r="BJ52" s="2169"/>
      <c r="BK52" s="2176">
        <f t="shared" ref="BK52:BL52" si="296">IF(BK46&gt;$J$57,$J$52,IF(BK46&lt;$J$57,(IF(BK46&lt;0,0,BK46*$K$52))))</f>
        <v>1.4583333333333333</v>
      </c>
      <c r="BL52" s="2171">
        <f t="shared" si="296"/>
        <v>1.4583333333333333</v>
      </c>
      <c r="BM52" s="1951"/>
      <c r="BN52" s="2169">
        <f t="shared" si="246"/>
        <v>2.9166666666666665</v>
      </c>
      <c r="BO52" s="2176">
        <f>$J$52*0</f>
        <v>0</v>
      </c>
      <c r="BP52" s="2171">
        <f t="shared" si="247"/>
        <v>2.9166666666666665</v>
      </c>
      <c r="BR52" s="2179"/>
      <c r="BS52" s="2180"/>
      <c r="BT52" s="1900"/>
      <c r="BU52" s="2179">
        <f t="shared" si="224"/>
        <v>33.541666666666671</v>
      </c>
      <c r="BV52" s="2181">
        <f t="shared" si="225"/>
        <v>0.95833333333333348</v>
      </c>
      <c r="BW52" s="2353"/>
      <c r="BX52" s="4636"/>
      <c r="BZ52" s="4627"/>
      <c r="CA52" s="1962"/>
      <c r="CB52" s="2339"/>
      <c r="CC52" s="1962"/>
      <c r="CD52" s="1946"/>
      <c r="CE52" s="1946"/>
      <c r="CF52" s="1946"/>
      <c r="CG52" s="1946"/>
      <c r="CH52" s="1946"/>
      <c r="CI52" s="1946"/>
    </row>
    <row r="53" spans="1:87" s="1726" customFormat="1" x14ac:dyDescent="0.2">
      <c r="A53" s="1756"/>
      <c r="B53" s="2085">
        <v>43</v>
      </c>
      <c r="C53" s="2086" t="s">
        <v>269</v>
      </c>
      <c r="D53" s="2051"/>
      <c r="E53" s="2087">
        <v>29.5</v>
      </c>
      <c r="F53" s="2088">
        <f t="shared" si="248"/>
        <v>2.95</v>
      </c>
      <c r="G53" s="2088">
        <f t="shared" si="249"/>
        <v>1.9666666666666666</v>
      </c>
      <c r="H53" s="2088">
        <f t="shared" si="250"/>
        <v>1.4750000000000001</v>
      </c>
      <c r="I53" s="2088">
        <f t="shared" si="251"/>
        <v>1.18</v>
      </c>
      <c r="J53" s="2088">
        <f t="shared" si="209"/>
        <v>1.2291666666666667</v>
      </c>
      <c r="K53" s="2089">
        <f t="shared" si="252"/>
        <v>8.7667161961367007E-2</v>
      </c>
      <c r="L53" s="1931"/>
      <c r="M53" s="1924"/>
      <c r="N53" s="2284"/>
      <c r="O53" s="2088">
        <f t="shared" ref="O53:P53" si="297">IF(O46&gt;$J$57,$J$53,IF(O46&lt;$J$57,(IF(O46&lt;0,0,O46*$K$53))))</f>
        <v>1.2291666666666667</v>
      </c>
      <c r="P53" s="2088">
        <f t="shared" si="297"/>
        <v>1.2291666666666667</v>
      </c>
      <c r="Q53" s="2088">
        <f t="shared" ref="Q53:R53" si="298">IF(Q46&gt;$J$57,$J$53,IF(Q46&lt;$J$57,(IF(Q46&lt;0,0,Q46*$K$53))))</f>
        <v>1.2291666666666667</v>
      </c>
      <c r="R53" s="2088">
        <f t="shared" si="298"/>
        <v>1.2291666666666667</v>
      </c>
      <c r="S53" s="2088">
        <f t="shared" ref="S53:T53" si="299">IF(S46&gt;$J$57,$J$53,IF(S46&lt;$J$57,(IF(S46&lt;0,0,S46*$K$53))))</f>
        <v>1.2291666666666667</v>
      </c>
      <c r="T53" s="2091">
        <f t="shared" si="299"/>
        <v>1.2291666666666667</v>
      </c>
      <c r="U53" s="3227"/>
      <c r="V53" s="2090">
        <f t="shared" si="75"/>
        <v>7.3750000000000009</v>
      </c>
      <c r="W53" s="2088">
        <f>$J$53*0</f>
        <v>0</v>
      </c>
      <c r="X53" s="2091">
        <f t="shared" si="285"/>
        <v>7.3750000000000009</v>
      </c>
      <c r="Y53" s="1766"/>
      <c r="Z53" s="2090"/>
      <c r="AA53" s="2088">
        <f t="shared" ref="AA53" si="300">IF(AA46&gt;$J$57,$J$53,IF(AA46&lt;$J$57,(IF(AA46&lt;0,0,AA46*$K$53))))</f>
        <v>1.2291666666666667</v>
      </c>
      <c r="AB53" s="2088">
        <f t="shared" ref="AB53:AC53" si="301">IF(AB46&gt;$J$57,$J$53,IF(AB46&lt;$J$57,(IF(AB46&lt;0,0,AB46*$K$53))))</f>
        <v>1.2291666666666667</v>
      </c>
      <c r="AC53" s="2088">
        <f t="shared" si="301"/>
        <v>1.2291666666666667</v>
      </c>
      <c r="AD53" s="2088">
        <f t="shared" ref="AD53:AE53" si="302">IF(AD46&gt;$J$57,$J$53,IF(AD46&lt;$J$57,(IF(AD46&lt;0,0,AD46*$K$53))))</f>
        <v>1.2291666666666667</v>
      </c>
      <c r="AE53" s="2088">
        <f t="shared" si="302"/>
        <v>1.2291666666666667</v>
      </c>
      <c r="AF53" s="2091">
        <f t="shared" ref="AF53" si="303">IF(AF46&gt;$J$57,$J$53,IF(AF46&lt;$J$57,(IF(AF46&lt;0,0,AF46*$K$53))))</f>
        <v>1.2291666666666667</v>
      </c>
      <c r="AG53" s="1766"/>
      <c r="AH53" s="2090">
        <f t="shared" si="233"/>
        <v>7.3750000000000009</v>
      </c>
      <c r="AI53" s="2088">
        <f>$J$53*0</f>
        <v>0</v>
      </c>
      <c r="AJ53" s="2091">
        <f t="shared" si="234"/>
        <v>7.3750000000000009</v>
      </c>
      <c r="AK53" s="1766"/>
      <c r="AL53" s="2090"/>
      <c r="AM53" s="2088">
        <f t="shared" ref="AM53:AN53" si="304">IF(AM46&gt;$J$57,$J$53,IF(AM46&lt;$J$57,(IF(AM46&lt;0,0,AM46*$K$53))))</f>
        <v>1.2291666666666667</v>
      </c>
      <c r="AN53" s="2088">
        <f t="shared" si="304"/>
        <v>1.2291666666666667</v>
      </c>
      <c r="AO53" s="2088">
        <f t="shared" ref="AO53:AP53" si="305">IF(AO46&gt;$J$57,$J$53,IF(AO46&lt;$J$57,(IF(AO46&lt;0,0,AO46*$K$53))))</f>
        <v>1.2291666666666667</v>
      </c>
      <c r="AP53" s="2088">
        <f t="shared" si="305"/>
        <v>1.2291666666666667</v>
      </c>
      <c r="AQ53" s="2088">
        <f t="shared" ref="AQ53" si="306">IF(AQ46&gt;$J$57,$J$53,IF(AQ46&lt;$J$57,(IF(AQ46&lt;0,0,AQ46*$K$53))))</f>
        <v>1.2291666666666667</v>
      </c>
      <c r="AR53" s="2088">
        <f t="shared" ref="AR53" si="307">IF(AR46&gt;$J$57,$J$53,IF(AR46&lt;$J$57,(IF(AR46&lt;0,0,AR46*$K$53))))</f>
        <v>1.2291666666666667</v>
      </c>
      <c r="AS53" s="3227"/>
      <c r="AT53" s="2090">
        <f t="shared" si="239"/>
        <v>7.3750000000000009</v>
      </c>
      <c r="AU53" s="2088">
        <f>$J$53*0</f>
        <v>0</v>
      </c>
      <c r="AV53" s="2091">
        <f t="shared" si="240"/>
        <v>7.3750000000000009</v>
      </c>
      <c r="AW53" s="3227"/>
      <c r="AX53" s="2284"/>
      <c r="AY53" s="2088"/>
      <c r="AZ53" s="2088"/>
      <c r="BA53" s="2088">
        <f t="shared" ref="BA53:BB53" si="308">IF(BA46&gt;$J$57,$J$53,IF(BA46&lt;$J$57,(IF(BA46&lt;0,0,BA46*$K$53))))</f>
        <v>1.2291666666666667</v>
      </c>
      <c r="BB53" s="2088">
        <f t="shared" si="308"/>
        <v>1.2291666666666667</v>
      </c>
      <c r="BC53" s="2088">
        <f t="shared" ref="BC53:BD53" si="309">IF(BC46&gt;$J$57,$J$53,IF(BC46&lt;$J$57,(IF(BC46&lt;0,0,BC46*$K$53))))</f>
        <v>1.2291666666666667</v>
      </c>
      <c r="BD53" s="2088">
        <f t="shared" si="309"/>
        <v>1.2291666666666667</v>
      </c>
      <c r="BE53" s="3227"/>
      <c r="BF53" s="2090">
        <f t="shared" si="243"/>
        <v>4.916666666666667</v>
      </c>
      <c r="BG53" s="2088">
        <f>$J$53*0</f>
        <v>0</v>
      </c>
      <c r="BH53" s="2091">
        <f t="shared" si="244"/>
        <v>4.916666666666667</v>
      </c>
      <c r="BI53" s="3227"/>
      <c r="BJ53" s="2090"/>
      <c r="BK53" s="2088">
        <f t="shared" ref="BK53:BL53" si="310">IF(BK46&gt;$J$57,$J$53,IF(BK46&lt;$J$57,(IF(BK46&lt;0,0,BK46*$K$53))))</f>
        <v>1.2291666666666667</v>
      </c>
      <c r="BL53" s="2091">
        <f t="shared" si="310"/>
        <v>1.2291666666666667</v>
      </c>
      <c r="BM53" s="3227"/>
      <c r="BN53" s="2090">
        <f t="shared" si="246"/>
        <v>2.4583333333333335</v>
      </c>
      <c r="BO53" s="2088">
        <f>$J$53*0</f>
        <v>0</v>
      </c>
      <c r="BP53" s="2091">
        <f t="shared" si="247"/>
        <v>2.4583333333333335</v>
      </c>
      <c r="BR53" s="2092"/>
      <c r="BS53" s="2093"/>
      <c r="BT53" s="1740"/>
      <c r="BU53" s="2092">
        <f t="shared" si="224"/>
        <v>28.270833333333339</v>
      </c>
      <c r="BV53" s="2094">
        <f t="shared" si="225"/>
        <v>0.95833333333333348</v>
      </c>
      <c r="BW53" s="2351"/>
      <c r="BX53" s="4636"/>
      <c r="BZ53" s="4627"/>
      <c r="CA53" s="3212"/>
      <c r="CB53" s="3212"/>
      <c r="CC53" s="1860"/>
      <c r="CD53" s="1860"/>
      <c r="CE53" s="1860"/>
      <c r="CF53" s="1860"/>
      <c r="CG53" s="1860"/>
      <c r="CH53" s="1860"/>
      <c r="CI53" s="1860"/>
    </row>
    <row r="54" spans="1:87" s="1885" customFormat="1" x14ac:dyDescent="0.2">
      <c r="B54" s="2182">
        <v>44</v>
      </c>
      <c r="C54" s="2175" t="s">
        <v>123</v>
      </c>
      <c r="D54" s="2119"/>
      <c r="E54" s="2170">
        <v>25</v>
      </c>
      <c r="F54" s="2176">
        <f t="shared" si="248"/>
        <v>2.5</v>
      </c>
      <c r="G54" s="2176">
        <f t="shared" si="249"/>
        <v>1.6666666666666667</v>
      </c>
      <c r="H54" s="2176">
        <f t="shared" si="250"/>
        <v>1.25</v>
      </c>
      <c r="I54" s="2176">
        <f t="shared" si="251"/>
        <v>1</v>
      </c>
      <c r="J54" s="2176">
        <f t="shared" si="209"/>
        <v>1.0416666666666667</v>
      </c>
      <c r="K54" s="2177">
        <f t="shared" si="252"/>
        <v>7.4294205052005943E-2</v>
      </c>
      <c r="L54" s="2003"/>
      <c r="M54" s="1950"/>
      <c r="N54" s="2415"/>
      <c r="O54" s="2176">
        <f t="shared" ref="O54:P54" si="311">IF(O46&gt;$J$57,$J$54,IF(O46&lt;$J$57,(IF(O46&lt;0,0,O46*$K$54))))</f>
        <v>1.0416666666666667</v>
      </c>
      <c r="P54" s="2176">
        <f t="shared" si="311"/>
        <v>1.0416666666666667</v>
      </c>
      <c r="Q54" s="2176">
        <f t="shared" ref="Q54:R54" si="312">IF(Q46&gt;$J$57,$J$54,IF(Q46&lt;$J$57,(IF(Q46&lt;0,0,Q46*$K$54))))</f>
        <v>1.0416666666666667</v>
      </c>
      <c r="R54" s="2176">
        <f t="shared" si="312"/>
        <v>1.0416666666666667</v>
      </c>
      <c r="S54" s="2176">
        <f t="shared" ref="S54:T54" si="313">IF(S46&gt;$J$57,$J$54,IF(S46&lt;$J$57,(IF(S46&lt;0,0,S46*$K$54))))</f>
        <v>1.0416666666666667</v>
      </c>
      <c r="T54" s="2171">
        <f t="shared" si="313"/>
        <v>1.0416666666666667</v>
      </c>
      <c r="U54" s="1951"/>
      <c r="V54" s="2169">
        <f t="shared" si="75"/>
        <v>6.2500000000000009</v>
      </c>
      <c r="W54" s="2176">
        <f>$J$54*0</f>
        <v>0</v>
      </c>
      <c r="X54" s="2171">
        <f t="shared" si="285"/>
        <v>6.2500000000000009</v>
      </c>
      <c r="Y54" s="1956"/>
      <c r="Z54" s="2169"/>
      <c r="AA54" s="2176">
        <f t="shared" ref="AA54" si="314">IF(AA46&gt;$J$57,$J$54,IF(AA46&lt;$J$57,(IF(AA46&lt;0,0,AA46*$K$54))))</f>
        <v>1.0416666666666667</v>
      </c>
      <c r="AB54" s="2176">
        <f t="shared" ref="AB54:AC54" si="315">IF(AB46&gt;$J$57,$J$54,IF(AB46&lt;$J$57,(IF(AB46&lt;0,0,AB46*$K$54))))</f>
        <v>1.0416666666666667</v>
      </c>
      <c r="AC54" s="2176">
        <f t="shared" si="315"/>
        <v>1.0416666666666667</v>
      </c>
      <c r="AD54" s="2176">
        <f t="shared" ref="AD54:AE54" si="316">IF(AD46&gt;$J$57,$J$54,IF(AD46&lt;$J$57,(IF(AD46&lt;0,0,AD46*$K$54))))</f>
        <v>1.0416666666666667</v>
      </c>
      <c r="AE54" s="2176">
        <f t="shared" si="316"/>
        <v>1.0416666666666667</v>
      </c>
      <c r="AF54" s="2171">
        <f t="shared" ref="AF54" si="317">IF(AF46&gt;$J$57,$J$54,IF(AF46&lt;$J$57,(IF(AF46&lt;0,0,AF46*$K$54))))</f>
        <v>1.0416666666666667</v>
      </c>
      <c r="AG54" s="1956"/>
      <c r="AH54" s="2169">
        <f t="shared" si="233"/>
        <v>6.2500000000000009</v>
      </c>
      <c r="AI54" s="2176">
        <f>$J$54*0</f>
        <v>0</v>
      </c>
      <c r="AJ54" s="2171">
        <f t="shared" si="234"/>
        <v>6.2500000000000009</v>
      </c>
      <c r="AK54" s="1956"/>
      <c r="AL54" s="2169"/>
      <c r="AM54" s="2176">
        <f t="shared" ref="AM54:AN54" si="318">IF(AM46&gt;$J$57,$J$54,IF(AM46&lt;$J$57,(IF(AM46&lt;0,0,AM46*$K$54))))</f>
        <v>1.0416666666666667</v>
      </c>
      <c r="AN54" s="2176">
        <f t="shared" si="318"/>
        <v>1.0416666666666667</v>
      </c>
      <c r="AO54" s="2176">
        <f t="shared" ref="AO54:AP54" si="319">IF(AO46&gt;$J$57,$J$54,IF(AO46&lt;$J$57,(IF(AO46&lt;0,0,AO46*$K$54))))</f>
        <v>1.0416666666666667</v>
      </c>
      <c r="AP54" s="2176">
        <f t="shared" si="319"/>
        <v>1.0416666666666667</v>
      </c>
      <c r="AQ54" s="2176">
        <f t="shared" ref="AQ54" si="320">IF(AQ46&gt;$J$57,$J$54,IF(AQ46&lt;$J$57,(IF(AQ46&lt;0,0,AQ46*$K$54))))</f>
        <v>1.0416666666666667</v>
      </c>
      <c r="AR54" s="2176">
        <f t="shared" ref="AR54" si="321">IF(AR46&gt;$J$57,$J$54,IF(AR46&lt;$J$57,(IF(AR46&lt;0,0,AR46*$K$54))))</f>
        <v>1.0416666666666667</v>
      </c>
      <c r="AS54" s="1951"/>
      <c r="AT54" s="2169">
        <f t="shared" si="239"/>
        <v>6.2500000000000009</v>
      </c>
      <c r="AU54" s="2176">
        <f>$J$54*0</f>
        <v>0</v>
      </c>
      <c r="AV54" s="2171">
        <f t="shared" si="240"/>
        <v>6.2500000000000009</v>
      </c>
      <c r="AW54" s="1951"/>
      <c r="AX54" s="2415"/>
      <c r="AY54" s="2176"/>
      <c r="AZ54" s="2176"/>
      <c r="BA54" s="2176">
        <f t="shared" ref="BA54:BB54" si="322">IF(BA46&gt;$J$57,$J$54,IF(BA46&lt;$J$57,(IF(BA46&lt;0,0,BA46*$K$54))))</f>
        <v>1.0416666666666667</v>
      </c>
      <c r="BB54" s="2176">
        <f t="shared" si="322"/>
        <v>1.0416666666666667</v>
      </c>
      <c r="BC54" s="2176">
        <f t="shared" ref="BC54:BD54" si="323">IF(BC46&gt;$J$57,$J$54,IF(BC46&lt;$J$57,(IF(BC46&lt;0,0,BC46*$K$54))))</f>
        <v>1.0416666666666667</v>
      </c>
      <c r="BD54" s="2176">
        <f t="shared" si="323"/>
        <v>1.0416666666666667</v>
      </c>
      <c r="BE54" s="1951"/>
      <c r="BF54" s="2169">
        <f t="shared" si="243"/>
        <v>4.166666666666667</v>
      </c>
      <c r="BG54" s="2176">
        <f>$J$54*0</f>
        <v>0</v>
      </c>
      <c r="BH54" s="2171">
        <f t="shared" si="244"/>
        <v>4.166666666666667</v>
      </c>
      <c r="BI54" s="1951"/>
      <c r="BJ54" s="2169"/>
      <c r="BK54" s="2176">
        <f t="shared" ref="BK54:BL54" si="324">IF(BK46&gt;$J$57,$J$54,IF(BK46&lt;$J$57,(IF(BK46&lt;0,0,BK46*$K$54))))</f>
        <v>1.0416666666666667</v>
      </c>
      <c r="BL54" s="2171">
        <f t="shared" si="324"/>
        <v>1.0416666666666667</v>
      </c>
      <c r="BM54" s="1951"/>
      <c r="BN54" s="2169">
        <f t="shared" si="246"/>
        <v>2.0833333333333335</v>
      </c>
      <c r="BO54" s="2176">
        <f>$J$54*0</f>
        <v>0</v>
      </c>
      <c r="BP54" s="2171">
        <f t="shared" si="247"/>
        <v>2.0833333333333335</v>
      </c>
      <c r="BR54" s="2179"/>
      <c r="BS54" s="2180"/>
      <c r="BT54" s="1900"/>
      <c r="BU54" s="2179">
        <f t="shared" si="224"/>
        <v>23.958333333333339</v>
      </c>
      <c r="BV54" s="2181">
        <f t="shared" si="225"/>
        <v>0.95833333333333359</v>
      </c>
      <c r="BW54" s="2353"/>
      <c r="BX54" s="4636"/>
      <c r="BZ54" s="4627"/>
      <c r="CA54" s="3203"/>
      <c r="CB54" s="3203"/>
      <c r="CC54" s="1946"/>
      <c r="CD54" s="1946"/>
      <c r="CE54" s="1946"/>
      <c r="CF54" s="1946"/>
      <c r="CG54" s="1946"/>
      <c r="CH54" s="1946"/>
      <c r="CI54" s="1946"/>
    </row>
    <row r="55" spans="1:87" s="1726" customFormat="1" x14ac:dyDescent="0.2">
      <c r="B55" s="2085">
        <v>45</v>
      </c>
      <c r="C55" s="2108" t="s">
        <v>119</v>
      </c>
      <c r="D55" s="2051"/>
      <c r="E55" s="2110">
        <v>4</v>
      </c>
      <c r="F55" s="2111">
        <f t="shared" si="248"/>
        <v>0.4</v>
      </c>
      <c r="G55" s="2111">
        <f t="shared" si="249"/>
        <v>0.26666666666666666</v>
      </c>
      <c r="H55" s="2111">
        <f t="shared" si="250"/>
        <v>0.2</v>
      </c>
      <c r="I55" s="2111">
        <f t="shared" si="251"/>
        <v>0.16</v>
      </c>
      <c r="J55" s="2111">
        <f t="shared" si="209"/>
        <v>0.16666666666666666</v>
      </c>
      <c r="K55" s="2112">
        <f t="shared" si="252"/>
        <v>1.188707280832095E-2</v>
      </c>
      <c r="L55" s="1931"/>
      <c r="M55" s="1924"/>
      <c r="N55" s="2284"/>
      <c r="O55" s="2088">
        <f t="shared" ref="O55:P55" si="325">IF(O46&gt;$J$57,$J$55,IF(O46&lt;$J$57,(IF(O46&lt;0,0,O46*$K$55))))</f>
        <v>0.16666666666666666</v>
      </c>
      <c r="P55" s="2088">
        <f t="shared" si="325"/>
        <v>0.16666666666666666</v>
      </c>
      <c r="Q55" s="2088">
        <f t="shared" ref="Q55:R55" si="326">IF(Q46&gt;$J$57,$J$55,IF(Q46&lt;$J$57,(IF(Q46&lt;0,0,Q46*$K$55))))</f>
        <v>0.16666666666666666</v>
      </c>
      <c r="R55" s="2088">
        <f t="shared" si="326"/>
        <v>0.16666666666666666</v>
      </c>
      <c r="S55" s="2088">
        <f t="shared" ref="S55:T55" si="327">IF(S46&gt;$J$57,$J$55,IF(S46&lt;$J$57,(IF(S46&lt;0,0,S46*$K$55))))</f>
        <v>0.16666666666666666</v>
      </c>
      <c r="T55" s="2091">
        <f t="shared" si="327"/>
        <v>0.16666666666666666</v>
      </c>
      <c r="U55" s="3227"/>
      <c r="V55" s="2090">
        <f>SUM(N55:T55)</f>
        <v>0.99999999999999989</v>
      </c>
      <c r="W55" s="2087">
        <f>$J$55*0</f>
        <v>0</v>
      </c>
      <c r="X55" s="2174">
        <f t="shared" si="285"/>
        <v>0.99999999999999989</v>
      </c>
      <c r="Y55" s="1766"/>
      <c r="Z55" s="2090"/>
      <c r="AA55" s="2087">
        <f t="shared" ref="AA55" si="328">IF(AA46&gt;$J$57,$J$55,IF(AA46&lt;$J$57,(IF(AA46&lt;0,0,AA46*$K$55))))</f>
        <v>0.16666666666666666</v>
      </c>
      <c r="AB55" s="2087">
        <f t="shared" ref="AB55:AC55" si="329">IF(AB46&gt;$J$57,$J$55,IF(AB46&lt;$J$57,(IF(AB46&lt;0,0,AB46*$K$55))))</f>
        <v>0.16666666666666666</v>
      </c>
      <c r="AC55" s="2087">
        <f t="shared" si="329"/>
        <v>0.16666666666666666</v>
      </c>
      <c r="AD55" s="2087">
        <f t="shared" ref="AD55:AE55" si="330">IF(AD46&gt;$J$57,$J$55,IF(AD46&lt;$J$57,(IF(AD46&lt;0,0,AD46*$K$55))))</f>
        <v>0.16666666666666666</v>
      </c>
      <c r="AE55" s="2087">
        <f t="shared" si="330"/>
        <v>0.16666666666666666</v>
      </c>
      <c r="AF55" s="2091">
        <f t="shared" ref="AF55" si="331">IF(AF46&gt;$J$57,$J$55,IF(AF46&lt;$J$57,(IF(AF46&lt;0,0,AF46*$K$55))))</f>
        <v>0.16666666666666666</v>
      </c>
      <c r="AG55" s="1766"/>
      <c r="AH55" s="2090">
        <f t="shared" si="233"/>
        <v>0.99999999999999989</v>
      </c>
      <c r="AI55" s="2087">
        <f>$J$55*0</f>
        <v>0</v>
      </c>
      <c r="AJ55" s="2174">
        <f t="shared" si="234"/>
        <v>0.99999999999999989</v>
      </c>
      <c r="AK55" s="1766"/>
      <c r="AL55" s="2090"/>
      <c r="AM55" s="2088">
        <f t="shared" ref="AM55:AN55" si="332">IF(AM46&gt;$J$57,$J$55,IF(AM46&lt;$J$57,(IF(AM46&lt;0,0,AM46*$K$55))))</f>
        <v>0.16666666666666666</v>
      </c>
      <c r="AN55" s="2088">
        <f t="shared" si="332"/>
        <v>0.16666666666666666</v>
      </c>
      <c r="AO55" s="2088">
        <f t="shared" ref="AO55:AP55" si="333">IF(AO46&gt;$J$57,$J$55,IF(AO46&lt;$J$57,(IF(AO46&lt;0,0,AO46*$K$55))))</f>
        <v>0.16666666666666666</v>
      </c>
      <c r="AP55" s="2088">
        <f t="shared" si="333"/>
        <v>0.16666666666666666</v>
      </c>
      <c r="AQ55" s="2088">
        <f t="shared" ref="AQ55" si="334">IF(AQ46&gt;$J$57,$J$55,IF(AQ46&lt;$J$57,(IF(AQ46&lt;0,0,AQ46*$K$55))))</f>
        <v>0.16666666666666666</v>
      </c>
      <c r="AR55" s="2088">
        <f t="shared" ref="AR55" si="335">IF(AR46&gt;$J$57,$J$55,IF(AR46&lt;$J$57,(IF(AR46&lt;0,0,AR46*$K$55))))</f>
        <v>0.16666666666666666</v>
      </c>
      <c r="AS55" s="3227"/>
      <c r="AT55" s="2090">
        <f t="shared" si="239"/>
        <v>0.99999999999999989</v>
      </c>
      <c r="AU55" s="2087">
        <f>$J$55*0</f>
        <v>0</v>
      </c>
      <c r="AV55" s="2174">
        <f t="shared" si="240"/>
        <v>0.99999999999999989</v>
      </c>
      <c r="AW55" s="3227"/>
      <c r="AX55" s="2284"/>
      <c r="AY55" s="2088"/>
      <c r="AZ55" s="2088"/>
      <c r="BA55" s="2088">
        <f t="shared" ref="BA55:BB55" si="336">IF(BA46&gt;$J$57,$J$55,IF(BA46&lt;$J$57,(IF(BA46&lt;0,0,BA46*$K$55))))</f>
        <v>0.16666666666666666</v>
      </c>
      <c r="BB55" s="2088">
        <f t="shared" si="336"/>
        <v>0.16666666666666666</v>
      </c>
      <c r="BC55" s="2088">
        <f t="shared" ref="BC55:BD55" si="337">IF(BC46&gt;$J$57,$J$55,IF(BC46&lt;$J$57,(IF(BC46&lt;0,0,BC46*$K$55))))</f>
        <v>0.16666666666666666</v>
      </c>
      <c r="BD55" s="2088">
        <f t="shared" si="337"/>
        <v>0.16666666666666666</v>
      </c>
      <c r="BE55" s="3227"/>
      <c r="BF55" s="2090">
        <f t="shared" si="243"/>
        <v>0.66666666666666663</v>
      </c>
      <c r="BG55" s="2087">
        <f>$J$55*0</f>
        <v>0</v>
      </c>
      <c r="BH55" s="2174">
        <f t="shared" si="244"/>
        <v>0.66666666666666663</v>
      </c>
      <c r="BI55" s="3227"/>
      <c r="BJ55" s="2090"/>
      <c r="BK55" s="2088">
        <f t="shared" ref="BK55:BL55" si="338">IF(BK46&gt;$J$57,$J$55,IF(BK46&lt;$J$57,(IF(BK46&lt;0,0,BK46*$K$55))))</f>
        <v>0.16666666666666666</v>
      </c>
      <c r="BL55" s="2091">
        <f t="shared" si="338"/>
        <v>0.16666666666666666</v>
      </c>
      <c r="BM55" s="3227"/>
      <c r="BN55" s="2090">
        <f t="shared" si="246"/>
        <v>0.33333333333333331</v>
      </c>
      <c r="BO55" s="2087">
        <f>$J$55*0</f>
        <v>0</v>
      </c>
      <c r="BP55" s="2174">
        <f t="shared" si="247"/>
        <v>0.33333333333333331</v>
      </c>
      <c r="BR55" s="2092"/>
      <c r="BS55" s="2093"/>
      <c r="BT55" s="1740"/>
      <c r="BU55" s="2092">
        <f t="shared" si="224"/>
        <v>3.8333333333333326</v>
      </c>
      <c r="BV55" s="2094">
        <f t="shared" si="225"/>
        <v>0.95833333333333315</v>
      </c>
      <c r="BW55" s="2351"/>
      <c r="BX55" s="4636"/>
      <c r="BZ55" s="4627"/>
      <c r="CA55" s="3212"/>
      <c r="CB55" s="1860"/>
      <c r="CC55" s="1860"/>
      <c r="CD55" s="1860"/>
      <c r="CE55" s="1860"/>
      <c r="CF55" s="1860"/>
      <c r="CG55" s="1860"/>
      <c r="CH55" s="1860"/>
      <c r="CI55" s="1860"/>
    </row>
    <row r="56" spans="1:87" s="1885" customFormat="1" ht="17.25" thickBot="1" x14ac:dyDescent="0.25">
      <c r="B56" s="2420">
        <v>46</v>
      </c>
      <c r="C56" s="2417" t="s">
        <v>237</v>
      </c>
      <c r="D56" s="2680"/>
      <c r="E56" s="2681">
        <v>0</v>
      </c>
      <c r="F56" s="2418">
        <f t="shared" si="248"/>
        <v>0</v>
      </c>
      <c r="G56" s="2418">
        <f t="shared" si="249"/>
        <v>0</v>
      </c>
      <c r="H56" s="2418">
        <f t="shared" si="250"/>
        <v>0</v>
      </c>
      <c r="I56" s="2418">
        <f t="shared" si="251"/>
        <v>0</v>
      </c>
      <c r="J56" s="2418">
        <f t="shared" si="209"/>
        <v>0</v>
      </c>
      <c r="K56" s="2419">
        <f t="shared" si="252"/>
        <v>0</v>
      </c>
      <c r="L56" s="2003"/>
      <c r="M56" s="1950"/>
      <c r="N56" s="2682"/>
      <c r="O56" s="2418">
        <f t="shared" ref="O56:P56" si="339">IF(O46&gt;$J$57,$J$56,IF(O46&lt;$J$57,(IF(O46&lt;0,0,O46*$K$56))))</f>
        <v>0</v>
      </c>
      <c r="P56" s="2418">
        <f t="shared" si="339"/>
        <v>0</v>
      </c>
      <c r="Q56" s="2418">
        <f t="shared" ref="Q56:R56" si="340">IF(Q46&gt;$J$57,$J$56,IF(Q46&lt;$J$57,(IF(Q46&lt;0,0,Q46*$K$56))))</f>
        <v>0</v>
      </c>
      <c r="R56" s="2418">
        <f t="shared" si="340"/>
        <v>0</v>
      </c>
      <c r="S56" s="2418">
        <f t="shared" ref="S56:T56" si="341">IF(S46&gt;$J$57,$J$56,IF(S46&lt;$J$57,(IF(S46&lt;0,0,S46*$K$56))))</f>
        <v>0</v>
      </c>
      <c r="T56" s="2683">
        <f t="shared" si="341"/>
        <v>0</v>
      </c>
      <c r="U56" s="1951"/>
      <c r="V56" s="2179">
        <f t="shared" ref="V56:V68" si="342">SUM(N56:T56)</f>
        <v>0</v>
      </c>
      <c r="W56" s="2681">
        <f>$J$56*0</f>
        <v>0</v>
      </c>
      <c r="X56" s="2684">
        <f t="shared" si="285"/>
        <v>0</v>
      </c>
      <c r="Y56" s="1956"/>
      <c r="Z56" s="2179"/>
      <c r="AA56" s="2681">
        <f t="shared" ref="AA56" si="343">IF(AA46&gt;$J$57,$J$56,IF(AA46&lt;$J$57,(IF(AA46&lt;0,0,AA46*$K$56))))</f>
        <v>0</v>
      </c>
      <c r="AB56" s="2681">
        <f t="shared" ref="AB56:AC56" si="344">IF(AB46&gt;$J$57,$J$56,IF(AB46&lt;$J$57,(IF(AB46&lt;0,0,AB46*$K$56))))</f>
        <v>0</v>
      </c>
      <c r="AC56" s="2681">
        <f t="shared" si="344"/>
        <v>0</v>
      </c>
      <c r="AD56" s="2681">
        <f t="shared" ref="AD56:AE56" si="345">IF(AD46&gt;$J$57,$J$56,IF(AD46&lt;$J$57,(IF(AD46&lt;0,0,AD46*$K$56))))</f>
        <v>0</v>
      </c>
      <c r="AE56" s="2681">
        <f t="shared" si="345"/>
        <v>0</v>
      </c>
      <c r="AF56" s="2683">
        <f t="shared" ref="AF56" si="346">IF(AF46&gt;$J$57,$J$56,IF(AF46&lt;$J$57,(IF(AF46&lt;0,0,AF46*$K$56))))</f>
        <v>0</v>
      </c>
      <c r="AG56" s="1956"/>
      <c r="AH56" s="2179">
        <f t="shared" si="233"/>
        <v>0</v>
      </c>
      <c r="AI56" s="2681">
        <f>$J$56*0</f>
        <v>0</v>
      </c>
      <c r="AJ56" s="2684">
        <f t="shared" si="234"/>
        <v>0</v>
      </c>
      <c r="AK56" s="1956"/>
      <c r="AL56" s="2179"/>
      <c r="AM56" s="2418">
        <f t="shared" ref="AM56:AN56" si="347">IF(AM46&gt;$J$57,$J$56,IF(AM46&lt;$J$57,(IF(AM46&lt;0,0,AM46*$K$56))))</f>
        <v>0</v>
      </c>
      <c r="AN56" s="2418">
        <f t="shared" si="347"/>
        <v>0</v>
      </c>
      <c r="AO56" s="2418">
        <f t="shared" ref="AO56:AP56" si="348">IF(AO46&gt;$J$57,$J$56,IF(AO46&lt;$J$57,(IF(AO46&lt;0,0,AO46*$K$56))))</f>
        <v>0</v>
      </c>
      <c r="AP56" s="2418">
        <f t="shared" si="348"/>
        <v>0</v>
      </c>
      <c r="AQ56" s="2418">
        <f t="shared" ref="AQ56" si="349">IF(AQ46&gt;$J$57,$J$56,IF(AQ46&lt;$J$57,(IF(AQ46&lt;0,0,AQ46*$K$56))))</f>
        <v>0</v>
      </c>
      <c r="AR56" s="2418">
        <f t="shared" ref="AR56" si="350">IF(AR46&gt;$J$57,$J$56,IF(AR46&lt;$J$57,(IF(AR46&lt;0,0,AR46*$K$56))))</f>
        <v>0</v>
      </c>
      <c r="AS56" s="1951"/>
      <c r="AT56" s="2169">
        <f t="shared" si="239"/>
        <v>0</v>
      </c>
      <c r="AU56" s="2170">
        <f>$J$56*0</f>
        <v>0</v>
      </c>
      <c r="AV56" s="2178">
        <f t="shared" si="240"/>
        <v>0</v>
      </c>
      <c r="AW56" s="1951"/>
      <c r="AX56" s="2187"/>
      <c r="AY56" s="2308"/>
      <c r="AZ56" s="2308"/>
      <c r="BA56" s="2308">
        <f t="shared" ref="BA56:BB56" si="351">IF(BA46&gt;$J$57,$J$56,IF(BA46&lt;$J$57,(IF(BA46&lt;0,0,BA46*$K$56))))</f>
        <v>0</v>
      </c>
      <c r="BB56" s="2308">
        <f t="shared" si="351"/>
        <v>0</v>
      </c>
      <c r="BC56" s="2308">
        <f t="shared" ref="BC56:BD56" si="352">IF(BC46&gt;$J$57,$J$56,IF(BC46&lt;$J$57,(IF(BC46&lt;0,0,BC46*$K$56))))</f>
        <v>0</v>
      </c>
      <c r="BD56" s="2308">
        <f t="shared" si="352"/>
        <v>0</v>
      </c>
      <c r="BE56" s="1951"/>
      <c r="BF56" s="2169">
        <f t="shared" si="243"/>
        <v>0</v>
      </c>
      <c r="BG56" s="2170">
        <f>$J$56*0</f>
        <v>0</v>
      </c>
      <c r="BH56" s="2178">
        <f t="shared" si="244"/>
        <v>0</v>
      </c>
      <c r="BI56" s="1951"/>
      <c r="BJ56" s="2187"/>
      <c r="BK56" s="2308">
        <f t="shared" ref="BK56:BL56" si="353">IF(BK46&gt;$J$57,$J$56,IF(BK46&lt;$J$57,(IF(BK46&lt;0,0,BK46*$K$56))))</f>
        <v>0</v>
      </c>
      <c r="BL56" s="2309">
        <f t="shared" si="353"/>
        <v>0</v>
      </c>
      <c r="BM56" s="1951"/>
      <c r="BN56" s="2179">
        <f>SUM(BJ56:BL56)</f>
        <v>0</v>
      </c>
      <c r="BO56" s="2681">
        <f>$J$56*0</f>
        <v>0</v>
      </c>
      <c r="BP56" s="2684">
        <f t="shared" si="247"/>
        <v>0</v>
      </c>
      <c r="BR56" s="2179"/>
      <c r="BS56" s="2180"/>
      <c r="BT56" s="1900"/>
      <c r="BU56" s="2179">
        <f t="shared" si="224"/>
        <v>0</v>
      </c>
      <c r="BV56" s="2181" t="e">
        <f t="shared" si="225"/>
        <v>#DIV/0!</v>
      </c>
      <c r="BW56" s="2353"/>
      <c r="BX56" s="4636"/>
      <c r="BZ56" s="4627"/>
      <c r="CA56" s="3203"/>
      <c r="CB56" s="1946"/>
      <c r="CC56" s="1946"/>
      <c r="CD56" s="1946"/>
      <c r="CE56" s="1946"/>
      <c r="CF56" s="1946"/>
      <c r="CG56" s="1946"/>
      <c r="CH56" s="1946"/>
      <c r="CI56" s="1946"/>
    </row>
    <row r="57" spans="1:87" s="1726" customFormat="1" ht="17.25" thickBot="1" x14ac:dyDescent="0.25">
      <c r="B57" s="2049"/>
      <c r="C57" s="2190" t="s">
        <v>192</v>
      </c>
      <c r="D57" s="2051"/>
      <c r="E57" s="2056">
        <f>SUM(E48:E56)</f>
        <v>336.5</v>
      </c>
      <c r="F57" s="2053"/>
      <c r="G57" s="2053"/>
      <c r="H57" s="2053"/>
      <c r="I57" s="2053"/>
      <c r="J57" s="2053">
        <f t="shared" ref="J57:K57" si="354">SUM(J48:J56)</f>
        <v>14.020833333333332</v>
      </c>
      <c r="K57" s="2191">
        <f t="shared" si="354"/>
        <v>1</v>
      </c>
      <c r="L57" s="1931"/>
      <c r="M57" s="1924"/>
      <c r="N57" s="2642"/>
      <c r="O57" s="2053">
        <f t="shared" ref="O57:P57" si="355">SUM(O48:O56)</f>
        <v>14.020833333333332</v>
      </c>
      <c r="P57" s="2053">
        <f t="shared" si="355"/>
        <v>14.020833333333332</v>
      </c>
      <c r="Q57" s="2053">
        <f t="shared" ref="Q57:R57" si="356">SUM(Q48:Q56)</f>
        <v>14.020833333333332</v>
      </c>
      <c r="R57" s="2053">
        <f t="shared" si="356"/>
        <v>14.020833333333332</v>
      </c>
      <c r="S57" s="2053">
        <f t="shared" ref="S57:T57" si="357">SUM(S48:S56)</f>
        <v>14.020833333333332</v>
      </c>
      <c r="T57" s="2057">
        <f t="shared" si="357"/>
        <v>14.020833333333332</v>
      </c>
      <c r="U57" s="3227"/>
      <c r="V57" s="2056">
        <f>SUM(V48:V56)</f>
        <v>84.125</v>
      </c>
      <c r="W57" s="2052">
        <f t="shared" ref="W57" si="358">SUM(W48:W56)</f>
        <v>0</v>
      </c>
      <c r="X57" s="2192">
        <f>SUM(X48:X56)</f>
        <v>84.125</v>
      </c>
      <c r="Y57" s="1766"/>
      <c r="Z57" s="2056"/>
      <c r="AA57" s="2052">
        <f t="shared" ref="AA57" si="359">SUM(AA48:AA56)</f>
        <v>14.020833333333332</v>
      </c>
      <c r="AB57" s="2052">
        <f t="shared" ref="AB57:AC57" si="360">SUM(AB48:AB56)</f>
        <v>14.020833333333332</v>
      </c>
      <c r="AC57" s="2052">
        <f t="shared" si="360"/>
        <v>14.020833333333332</v>
      </c>
      <c r="AD57" s="2052">
        <f t="shared" ref="AD57:AE57" si="361">SUM(AD48:AD56)</f>
        <v>14.020833333333332</v>
      </c>
      <c r="AE57" s="2052">
        <f t="shared" si="361"/>
        <v>14.020833333333332</v>
      </c>
      <c r="AF57" s="2057">
        <f t="shared" ref="AF57" si="362">SUM(AF48:AF56)</f>
        <v>14.020833333333332</v>
      </c>
      <c r="AG57" s="1766"/>
      <c r="AH57" s="2056">
        <f>SUM(AH48:AH56)</f>
        <v>84.125</v>
      </c>
      <c r="AI57" s="2052">
        <f>SUM(AI48:AI56)</f>
        <v>0</v>
      </c>
      <c r="AJ57" s="2192">
        <f>SUM(AJ48:AJ56)</f>
        <v>84.125</v>
      </c>
      <c r="AK57" s="1766"/>
      <c r="AL57" s="2056"/>
      <c r="AM57" s="2053">
        <f t="shared" ref="AM57:AN57" si="363">SUM(AM48:AM56)</f>
        <v>14.020833333333332</v>
      </c>
      <c r="AN57" s="2053">
        <f t="shared" si="363"/>
        <v>14.020833333333332</v>
      </c>
      <c r="AO57" s="2053">
        <f t="shared" ref="AO57:AP57" si="364">SUM(AO48:AO56)</f>
        <v>14.020833333333332</v>
      </c>
      <c r="AP57" s="2053">
        <f t="shared" si="364"/>
        <v>14.020833333333332</v>
      </c>
      <c r="AQ57" s="2053">
        <f t="shared" ref="AQ57" si="365">SUM(AQ48:AQ56)</f>
        <v>14.020833333333332</v>
      </c>
      <c r="AR57" s="2053">
        <f t="shared" ref="AR57" si="366">SUM(AR48:AR56)</f>
        <v>14.020833333333332</v>
      </c>
      <c r="AS57" s="3227"/>
      <c r="AT57" s="2056">
        <f>SUM(AT48:AT56)</f>
        <v>84.125</v>
      </c>
      <c r="AU57" s="2052">
        <f>SUM(AU48:AU56)</f>
        <v>0</v>
      </c>
      <c r="AV57" s="2192">
        <f>SUM(AV48:AV56)</f>
        <v>84.125</v>
      </c>
      <c r="AW57" s="3227"/>
      <c r="AX57" s="2056"/>
      <c r="AY57" s="2053"/>
      <c r="AZ57" s="2053"/>
      <c r="BA57" s="2053">
        <f t="shared" ref="BA57:BB57" si="367">SUM(BA48:BA56)</f>
        <v>14.020833333333332</v>
      </c>
      <c r="BB57" s="2053">
        <f t="shared" si="367"/>
        <v>14.020833333333332</v>
      </c>
      <c r="BC57" s="2053">
        <f t="shared" ref="BC57:BD57" si="368">SUM(BC48:BC56)</f>
        <v>14.020833333333332</v>
      </c>
      <c r="BD57" s="2053">
        <f t="shared" si="368"/>
        <v>14.020833333333332</v>
      </c>
      <c r="BE57" s="3227"/>
      <c r="BF57" s="2056">
        <f>SUM(BF48:BF56)</f>
        <v>56.083333333333329</v>
      </c>
      <c r="BG57" s="2052">
        <f>SUM(BG48:BG56)</f>
        <v>0</v>
      </c>
      <c r="BH57" s="2192">
        <f>SUM(BH48:BH56)</f>
        <v>56.083333333333329</v>
      </c>
      <c r="BI57" s="3227"/>
      <c r="BJ57" s="2056"/>
      <c r="BK57" s="2053">
        <f t="shared" ref="BK57:BL57" si="369">SUM(BK48:BK56)</f>
        <v>14.020833333333332</v>
      </c>
      <c r="BL57" s="2057">
        <f t="shared" si="369"/>
        <v>14.020833333333332</v>
      </c>
      <c r="BM57" s="3227"/>
      <c r="BN57" s="2056">
        <f>SUM(BN48:BN56)</f>
        <v>28.041666666666664</v>
      </c>
      <c r="BO57" s="2052">
        <f>SUM(BO48:BO56)</f>
        <v>0</v>
      </c>
      <c r="BP57" s="2192">
        <f>SUM(BP48:BP56)</f>
        <v>28.041666666666664</v>
      </c>
      <c r="BR57" s="2056">
        <f>X57+AJ57+AV57</f>
        <v>252.375</v>
      </c>
      <c r="BS57" s="2253"/>
      <c r="BT57" s="1740"/>
      <c r="BU57" s="2056">
        <f>SUM(BU48:BU56)</f>
        <v>322.47916666666663</v>
      </c>
      <c r="BV57" s="2054">
        <f t="shared" si="225"/>
        <v>0.95833333333333326</v>
      </c>
      <c r="BW57" s="2351"/>
      <c r="BX57" s="4637"/>
      <c r="BZ57" s="4627"/>
      <c r="CA57" s="3212"/>
      <c r="CB57" s="1860"/>
      <c r="CC57" s="1860"/>
      <c r="CD57" s="1860"/>
      <c r="CE57" s="1860"/>
      <c r="CF57" s="1860"/>
      <c r="CG57" s="1860"/>
      <c r="CH57" s="1860"/>
      <c r="CI57" s="1860"/>
    </row>
    <row r="58" spans="1:87" s="1810" customFormat="1" ht="4.5" customHeight="1" thickBot="1" x14ac:dyDescent="0.25">
      <c r="B58" s="1817"/>
      <c r="C58" s="1817"/>
      <c r="D58" s="1817"/>
      <c r="E58" s="3227"/>
      <c r="F58" s="3227"/>
      <c r="G58" s="3227"/>
      <c r="H58" s="3227"/>
      <c r="I58" s="3227"/>
      <c r="J58" s="3227"/>
      <c r="K58" s="2131"/>
      <c r="L58" s="1924"/>
      <c r="M58" s="1924"/>
      <c r="N58" s="3205"/>
      <c r="O58" s="3205"/>
      <c r="P58" s="3230"/>
      <c r="Q58" s="3234"/>
      <c r="R58" s="3238"/>
      <c r="S58" s="3242"/>
      <c r="T58" s="3205"/>
      <c r="U58" s="3227"/>
      <c r="V58" s="3227"/>
      <c r="W58" s="3227"/>
      <c r="X58" s="3227"/>
      <c r="Y58" s="1766"/>
      <c r="Z58" s="3205"/>
      <c r="AA58" s="3205"/>
      <c r="AB58" s="3273"/>
      <c r="AC58" s="3278"/>
      <c r="AD58" s="3283"/>
      <c r="AE58" s="3288"/>
      <c r="AF58" s="3205"/>
      <c r="AG58" s="1766"/>
      <c r="AH58" s="3227"/>
      <c r="AI58" s="3227"/>
      <c r="AJ58" s="3227"/>
      <c r="AK58" s="1766"/>
      <c r="AL58" s="3205"/>
      <c r="AM58" s="3205"/>
      <c r="AN58" s="3302"/>
      <c r="AO58" s="3306"/>
      <c r="AP58" s="3310"/>
      <c r="AQ58" s="3314"/>
      <c r="AR58" s="3318"/>
      <c r="AS58" s="3227"/>
      <c r="AT58" s="2137"/>
      <c r="AU58" s="2137"/>
      <c r="AV58" s="2137"/>
      <c r="AW58" s="3227"/>
      <c r="AX58" s="3215"/>
      <c r="AY58" s="3215"/>
      <c r="AZ58" s="3215"/>
      <c r="BA58" s="3215"/>
      <c r="BB58" s="3491"/>
      <c r="BC58" s="3496"/>
      <c r="BD58" s="3500"/>
      <c r="BE58" s="3227"/>
      <c r="BF58" s="2137"/>
      <c r="BG58" s="2137"/>
      <c r="BH58" s="2137"/>
      <c r="BI58" s="3227"/>
      <c r="BJ58" s="3205"/>
      <c r="BK58" s="3205"/>
      <c r="BL58" s="3205"/>
      <c r="BM58" s="3227"/>
      <c r="BN58" s="3227"/>
      <c r="BO58" s="3227"/>
      <c r="BP58" s="3227"/>
      <c r="BR58" s="3227"/>
      <c r="BS58" s="2132"/>
      <c r="BT58" s="1817"/>
      <c r="BU58" s="3227"/>
      <c r="BV58" s="1830"/>
      <c r="BW58" s="1830"/>
      <c r="BX58" s="2643"/>
      <c r="CA58" s="1761"/>
    </row>
    <row r="59" spans="1:87" s="1906" customFormat="1" ht="17.25" thickBot="1" x14ac:dyDescent="0.25">
      <c r="B59" s="1960"/>
      <c r="C59" s="1960" t="s">
        <v>143</v>
      </c>
      <c r="D59" s="1960"/>
      <c r="E59" s="2687"/>
      <c r="F59" s="1951"/>
      <c r="G59" s="1951"/>
      <c r="H59" s="1951"/>
      <c r="I59" s="1951"/>
      <c r="J59" s="1951"/>
      <c r="K59" s="2339"/>
      <c r="L59" s="2003"/>
      <c r="M59" s="1950"/>
      <c r="N59" s="2120"/>
      <c r="O59" s="2123">
        <f t="shared" ref="O59:P59" si="370">O46-O57</f>
        <v>45.074708333333348</v>
      </c>
      <c r="P59" s="2123">
        <f t="shared" si="370"/>
        <v>8.2552083333333393</v>
      </c>
      <c r="Q59" s="2123">
        <f t="shared" ref="Q59:R59" si="371">Q46-Q57</f>
        <v>36.471208333333351</v>
      </c>
      <c r="R59" s="2123">
        <f t="shared" si="371"/>
        <v>24.14520833333334</v>
      </c>
      <c r="S59" s="2123">
        <f t="shared" ref="S59:T59" si="372">S46-S57</f>
        <v>15.345708333333345</v>
      </c>
      <c r="T59" s="2124">
        <f t="shared" si="372"/>
        <v>36.087708333333353</v>
      </c>
      <c r="U59" s="1951"/>
      <c r="V59" s="1951"/>
      <c r="W59" s="1951"/>
      <c r="X59" s="1951"/>
      <c r="Y59" s="1956"/>
      <c r="Z59" s="2120"/>
      <c r="AA59" s="2123">
        <f t="shared" ref="AA59" si="373">AA46-AA57</f>
        <v>39.809708333333347</v>
      </c>
      <c r="AB59" s="2123">
        <f t="shared" ref="AB59:AC59" si="374">AB46-AB57</f>
        <v>56.420708333333351</v>
      </c>
      <c r="AC59" s="2123">
        <f t="shared" si="374"/>
        <v>53.221708333333353</v>
      </c>
      <c r="AD59" s="2123">
        <f t="shared" ref="AD59:AE59" si="375">AD46-AD57</f>
        <v>3.4362083333333509</v>
      </c>
      <c r="AE59" s="2123">
        <f t="shared" si="375"/>
        <v>11.379708333333351</v>
      </c>
      <c r="AF59" s="2124">
        <f t="shared" ref="AF59" si="376">AF46-AF57</f>
        <v>21.263208333333349</v>
      </c>
      <c r="AG59" s="1956"/>
      <c r="AH59" s="1951"/>
      <c r="AI59" s="1951"/>
      <c r="AJ59" s="1951"/>
      <c r="AK59" s="1956"/>
      <c r="AL59" s="2120"/>
      <c r="AM59" s="2123">
        <f t="shared" ref="AM59:AN59" si="377">AM46-AM57</f>
        <v>57.764708333333346</v>
      </c>
      <c r="AN59" s="2123">
        <f t="shared" si="377"/>
        <v>6.9332083333333507</v>
      </c>
      <c r="AO59" s="2123">
        <f t="shared" ref="AO59:AP59" si="378">AO46-AO57</f>
        <v>49.141708333333355</v>
      </c>
      <c r="AP59" s="2123">
        <f t="shared" si="378"/>
        <v>48.275208333333353</v>
      </c>
      <c r="AQ59" s="2123">
        <f t="shared" ref="AQ59" si="379">AQ46-AQ57</f>
        <v>111.50070833333334</v>
      </c>
      <c r="AR59" s="2123">
        <f t="shared" ref="AR59" si="380">AR46-AR57</f>
        <v>161.03270833333332</v>
      </c>
      <c r="AS59" s="1951"/>
      <c r="AT59" s="1951"/>
      <c r="AU59" s="1951"/>
      <c r="AV59" s="1951"/>
      <c r="AW59" s="1951"/>
      <c r="AX59" s="2120"/>
      <c r="AY59" s="2121"/>
      <c r="AZ59" s="2121"/>
      <c r="BA59" s="2121">
        <f t="shared" ref="BA59:BB59" si="381">BA46-BA57</f>
        <v>4.1157083333333411</v>
      </c>
      <c r="BB59" s="2121">
        <f t="shared" si="381"/>
        <v>20.652708333333347</v>
      </c>
      <c r="BC59" s="2121">
        <f t="shared" ref="BC59:BD59" si="382">BC46-BC57</f>
        <v>6.2227083333333404</v>
      </c>
      <c r="BD59" s="2121">
        <f t="shared" si="382"/>
        <v>40.361208333333352</v>
      </c>
      <c r="BE59" s="1951"/>
      <c r="BF59" s="1951"/>
      <c r="BG59" s="1951"/>
      <c r="BH59" s="1951"/>
      <c r="BI59" s="1951"/>
      <c r="BJ59" s="2120"/>
      <c r="BK59" s="2121">
        <f t="shared" ref="BK59:BL59" si="383">BK46-BK57</f>
        <v>50.482208333333347</v>
      </c>
      <c r="BL59" s="2124">
        <f t="shared" si="383"/>
        <v>50.482208333333347</v>
      </c>
      <c r="BM59" s="1951"/>
      <c r="BN59" s="1951"/>
      <c r="BO59" s="1951"/>
      <c r="BP59" s="1951"/>
      <c r="BR59" s="2007"/>
      <c r="BS59" s="2688"/>
      <c r="BT59" s="1960"/>
      <c r="BU59" s="2007"/>
      <c r="BV59" s="2008"/>
      <c r="BW59" s="1962"/>
      <c r="BX59" s="2689"/>
      <c r="CA59" s="1905"/>
    </row>
    <row r="60" spans="1:87" s="1810" customFormat="1" ht="4.5" customHeight="1" thickBot="1" x14ac:dyDescent="0.25">
      <c r="B60" s="1817"/>
      <c r="C60" s="1817"/>
      <c r="D60" s="1817"/>
      <c r="E60" s="3227"/>
      <c r="F60" s="3227"/>
      <c r="G60" s="3227"/>
      <c r="H60" s="3227"/>
      <c r="I60" s="3227"/>
      <c r="J60" s="3227"/>
      <c r="K60" s="2131"/>
      <c r="L60" s="1924"/>
      <c r="M60" s="1924"/>
      <c r="N60" s="2137"/>
      <c r="O60" s="2137"/>
      <c r="P60" s="2137"/>
      <c r="Q60" s="2137"/>
      <c r="R60" s="2137"/>
      <c r="S60" s="2137"/>
      <c r="T60" s="2137"/>
      <c r="U60" s="3227"/>
      <c r="V60" s="3227"/>
      <c r="W60" s="3227"/>
      <c r="X60" s="3227"/>
      <c r="Y60" s="1766"/>
      <c r="Z60" s="3215"/>
      <c r="AA60" s="3215"/>
      <c r="AB60" s="3276"/>
      <c r="AC60" s="3281"/>
      <c r="AD60" s="3286"/>
      <c r="AE60" s="3291"/>
      <c r="AF60" s="3215"/>
      <c r="AG60" s="1766"/>
      <c r="AH60" s="3227"/>
      <c r="AI60" s="3227"/>
      <c r="AJ60" s="3227"/>
      <c r="AK60" s="1766"/>
      <c r="AL60" s="2137"/>
      <c r="AM60" s="2137"/>
      <c r="AN60" s="2137"/>
      <c r="AO60" s="2137"/>
      <c r="AP60" s="2137"/>
      <c r="AQ60" s="2137"/>
      <c r="AR60" s="2137"/>
      <c r="AS60" s="3227"/>
      <c r="AT60" s="3227"/>
      <c r="AU60" s="3227"/>
      <c r="AV60" s="3227"/>
      <c r="AW60" s="3227"/>
      <c r="AX60" s="2137"/>
      <c r="AY60" s="2137"/>
      <c r="AZ60" s="2137"/>
      <c r="BA60" s="2137"/>
      <c r="BB60" s="2137"/>
      <c r="BC60" s="2137"/>
      <c r="BD60" s="2137"/>
      <c r="BE60" s="3227"/>
      <c r="BF60" s="3227"/>
      <c r="BG60" s="3227"/>
      <c r="BH60" s="3227"/>
      <c r="BI60" s="3227"/>
      <c r="BJ60" s="2137"/>
      <c r="BK60" s="2137"/>
      <c r="BL60" s="2137"/>
      <c r="BM60" s="3227"/>
      <c r="BN60" s="3227"/>
      <c r="BO60" s="3227"/>
      <c r="BP60" s="3227"/>
      <c r="BR60" s="2137"/>
      <c r="BS60" s="2138"/>
      <c r="BT60" s="1817"/>
      <c r="BU60" s="2137"/>
      <c r="BV60" s="2139"/>
      <c r="BW60" s="1830"/>
      <c r="BX60" s="2644"/>
      <c r="CA60" s="1761"/>
    </row>
    <row r="61" spans="1:87" s="1740" customFormat="1" ht="15.75" x14ac:dyDescent="0.2">
      <c r="A61" s="2466"/>
      <c r="B61" s="2444">
        <v>47</v>
      </c>
      <c r="C61" s="2281" t="s">
        <v>132</v>
      </c>
      <c r="D61" s="1817"/>
      <c r="E61" s="2067">
        <v>465</v>
      </c>
      <c r="F61" s="2065">
        <f>E61/10</f>
        <v>46.5</v>
      </c>
      <c r="G61" s="2065">
        <f>E61/15</f>
        <v>31</v>
      </c>
      <c r="H61" s="2065">
        <f>E61/20</f>
        <v>23.25</v>
      </c>
      <c r="I61" s="2065">
        <f>E61/25</f>
        <v>18.600000000000001</v>
      </c>
      <c r="J61" s="2065">
        <f t="shared" ref="J61:J69" si="384">E61/24</f>
        <v>19.375</v>
      </c>
      <c r="K61" s="2066">
        <f t="shared" ref="K61:K69" si="385">E61/$E$70</f>
        <v>0.27944711538461536</v>
      </c>
      <c r="L61" s="2465"/>
      <c r="M61" s="2131"/>
      <c r="N61" s="2067"/>
      <c r="O61" s="2065">
        <f t="shared" ref="O61:P61" si="386">IF(O59&gt;$J$70,$J$61,IF(O59&lt;$J$70,(IF(O59&lt;0,0,O59*$K$61))))</f>
        <v>12.595997220552889</v>
      </c>
      <c r="P61" s="2065">
        <f t="shared" si="386"/>
        <v>2.3068941556490401</v>
      </c>
      <c r="Q61" s="2065">
        <f t="shared" ref="Q61:R61" si="387">IF(Q59&gt;$J$70,$J$61,IF(Q59&lt;$J$70,(IF(Q59&lt;0,0,Q59*$K$61))))</f>
        <v>10.191773963341351</v>
      </c>
      <c r="R61" s="2065">
        <f t="shared" si="387"/>
        <v>6.7473088191105779</v>
      </c>
      <c r="S61" s="2065">
        <f t="shared" ref="S61:T61" si="388">IF(S59&gt;$J$70,$J$61,IF(S59&lt;$J$70,(IF(S59&lt;0,0,S59*$K$61))))</f>
        <v>4.2883139272836566</v>
      </c>
      <c r="T61" s="2069">
        <f t="shared" si="388"/>
        <v>10.084605994591351</v>
      </c>
      <c r="U61" s="3227"/>
      <c r="V61" s="2067">
        <f t="shared" si="342"/>
        <v>46.214894080528865</v>
      </c>
      <c r="W61" s="2068">
        <f>$J$61*0</f>
        <v>0</v>
      </c>
      <c r="X61" s="2070">
        <f t="shared" si="285"/>
        <v>46.214894080528865</v>
      </c>
      <c r="Y61" s="3227"/>
      <c r="Z61" s="2090"/>
      <c r="AA61" s="2087">
        <f t="shared" ref="AA61" si="389">IF(AA59&gt;$J$70,$J$61,IF(AA59&lt;$J$70,(IF(AA59&lt;0,0,AA59*$K$61))))</f>
        <v>11.124708158052888</v>
      </c>
      <c r="AB61" s="2087">
        <f t="shared" ref="AB61:AC61" si="390">IF(AB59&gt;$J$70,$J$61,IF(AB59&lt;$J$70,(IF(AB59&lt;0,0,AB59*$K$61))))</f>
        <v>15.766604191706735</v>
      </c>
      <c r="AC61" s="2087">
        <f t="shared" si="390"/>
        <v>14.87265286959135</v>
      </c>
      <c r="AD61" s="2087">
        <f t="shared" ref="AD61:AE61" si="391">IF(AD59&gt;$J$70,$J$61,IF(AD59&lt;$J$70,(IF(AD59&lt;0,0,AD59*$K$61))))</f>
        <v>0.96023850661058174</v>
      </c>
      <c r="AE61" s="2087">
        <f t="shared" si="391"/>
        <v>3.1800266676682738</v>
      </c>
      <c r="AF61" s="2091">
        <f t="shared" ref="AF61" si="392">IF(AF59&gt;$J$70,$J$61,IF(AF59&lt;$J$70,(IF(AF59&lt;0,0,AF59*$K$61))))</f>
        <v>5.941942232572119</v>
      </c>
      <c r="AG61" s="3227"/>
      <c r="AH61" s="2067">
        <f t="shared" si="233"/>
        <v>51.846172626201941</v>
      </c>
      <c r="AI61" s="2068">
        <f>$J$61*0</f>
        <v>0</v>
      </c>
      <c r="AJ61" s="2070">
        <f>AH61-AI61</f>
        <v>51.846172626201941</v>
      </c>
      <c r="AK61" s="3227"/>
      <c r="AL61" s="2067"/>
      <c r="AM61" s="2065">
        <f t="shared" ref="AM61:AN61" si="393">IF(AM59&gt;$J$70,$J$61,IF(AM59&lt;$J$70,(IF(AM59&lt;0,0,AM59*$K$61))))</f>
        <v>16.142181114783657</v>
      </c>
      <c r="AN61" s="2065">
        <f t="shared" si="393"/>
        <v>1.9374650691105817</v>
      </c>
      <c r="AO61" s="2065">
        <f t="shared" ref="AO61:AP61" si="394">IF(AO59&gt;$J$70,$J$61,IF(AO59&lt;$J$70,(IF(AO59&lt;0,0,AO59*$K$61))))</f>
        <v>13.73250863882212</v>
      </c>
      <c r="AP61" s="2065">
        <f t="shared" si="394"/>
        <v>13.490367713341351</v>
      </c>
      <c r="AQ61" s="2065">
        <f t="shared" ref="AQ61" si="395">IF(AQ59&gt;$J$70,$J$61,IF(AQ59&lt;$J$70,(IF(AQ59&lt;0,0,AQ59*$K$61))))</f>
        <v>19.375</v>
      </c>
      <c r="AR61" s="2065">
        <f t="shared" ref="AR61" si="396">IF(AR59&gt;$J$70,$J$61,IF(AR59&lt;$J$70,(IF(AR59&lt;0,0,AR59*$K$61))))</f>
        <v>19.375</v>
      </c>
      <c r="AS61" s="3227"/>
      <c r="AT61" s="2067">
        <f>SUM(AL61:AR61)</f>
        <v>84.052522536057708</v>
      </c>
      <c r="AU61" s="2068">
        <f>$J$61*0</f>
        <v>0</v>
      </c>
      <c r="AV61" s="2070">
        <f>AT61-AU61</f>
        <v>84.052522536057708</v>
      </c>
      <c r="AW61" s="3227"/>
      <c r="AX61" s="2067"/>
      <c r="AY61" s="2065"/>
      <c r="AZ61" s="2065"/>
      <c r="BA61" s="2065">
        <f t="shared" ref="BA61:BB61" si="397">IF(BA59&gt;$J$70,$J$61,IF(BA59&lt;$J$70,(IF(BA59&lt;0,0,BA59*$K$61))))</f>
        <v>1.1501228215144252</v>
      </c>
      <c r="BB61" s="2065">
        <f t="shared" si="397"/>
        <v>5.7713397686298116</v>
      </c>
      <c r="BC61" s="2065">
        <f t="shared" ref="BC61:BD61" si="398">IF(BC59&gt;$J$70,$J$61,IF(BC59&lt;$J$70,(IF(BC59&lt;0,0,BC59*$K$61))))</f>
        <v>1.7389178936298095</v>
      </c>
      <c r="BD61" s="2065">
        <f t="shared" si="398"/>
        <v>11.278823242187505</v>
      </c>
      <c r="BE61" s="3227"/>
      <c r="BF61" s="2067">
        <f t="shared" ref="BF61:BF69" si="399">SUM(AX61:BD61)</f>
        <v>19.939203725961551</v>
      </c>
      <c r="BG61" s="2068">
        <f>$J$61*0</f>
        <v>0</v>
      </c>
      <c r="BH61" s="2070">
        <f t="shared" ref="BH61:BH69" si="400">BF61-BG61</f>
        <v>19.939203725961551</v>
      </c>
      <c r="BI61" s="3227"/>
      <c r="BJ61" s="2067"/>
      <c r="BK61" s="2065">
        <f t="shared" ref="BK61:BL61" si="401">IF(BK59&gt;$J$70,$J$61,IF(BK59&lt;$J$70,(IF(BK59&lt;0,0,BK59*$K$61))))</f>
        <v>14.107107496995194</v>
      </c>
      <c r="BL61" s="2069">
        <f t="shared" si="401"/>
        <v>14.107107496995194</v>
      </c>
      <c r="BM61" s="3227"/>
      <c r="BN61" s="2067">
        <f>SUM(BJ61:BL61)</f>
        <v>28.214214993990389</v>
      </c>
      <c r="BO61" s="2068">
        <f>$J$61*0</f>
        <v>0</v>
      </c>
      <c r="BP61" s="2070">
        <f t="shared" ref="BP61:BP69" si="402">BN61-BO61</f>
        <v>28.214214993990389</v>
      </c>
      <c r="BR61" s="2067"/>
      <c r="BS61" s="2071"/>
      <c r="BU61" s="2067">
        <f t="shared" ref="BU61:BU69" si="403">SUM(N61:T61)+SUM(Z61:AF61)+SUM(AL61:AR61)+SUM(AX61:BD61)+SUM(BL61:BL61)</f>
        <v>216.15990046574527</v>
      </c>
      <c r="BV61" s="2072">
        <f t="shared" ref="BV61:BV70" si="404">BU61/E61</f>
        <v>0.46486000100160274</v>
      </c>
      <c r="BW61" s="2351"/>
      <c r="BX61" s="4635">
        <f>BV70-BU1</f>
        <v>-0.30933354738549407</v>
      </c>
      <c r="CA61" s="1997"/>
      <c r="CB61" s="1861"/>
      <c r="CC61" s="1861"/>
      <c r="CD61" s="1861"/>
      <c r="CE61" s="1861"/>
      <c r="CF61" s="1861"/>
      <c r="CG61" s="1861"/>
      <c r="CH61" s="1861"/>
      <c r="CI61" s="1861"/>
    </row>
    <row r="62" spans="1:87" s="1900" customFormat="1" ht="15.75" x14ac:dyDescent="0.2">
      <c r="A62" s="2464"/>
      <c r="B62" s="2161">
        <v>48</v>
      </c>
      <c r="C62" s="2162" t="s">
        <v>232</v>
      </c>
      <c r="D62" s="1960"/>
      <c r="E62" s="2163">
        <v>345</v>
      </c>
      <c r="F62" s="2164">
        <f>E62/10</f>
        <v>34.5</v>
      </c>
      <c r="G62" s="2164">
        <f>E62/15</f>
        <v>23</v>
      </c>
      <c r="H62" s="2164">
        <f>E62/20</f>
        <v>17.25</v>
      </c>
      <c r="I62" s="2164">
        <f>E62/25</f>
        <v>13.8</v>
      </c>
      <c r="J62" s="2164">
        <f t="shared" si="384"/>
        <v>14.375</v>
      </c>
      <c r="K62" s="2165">
        <f t="shared" si="385"/>
        <v>0.20733173076923078</v>
      </c>
      <c r="L62" s="2468"/>
      <c r="M62" s="2339"/>
      <c r="N62" s="2163"/>
      <c r="O62" s="2164">
        <f t="shared" ref="O62:P62" si="405">IF(O59&gt;$J$70,$J$62,IF(O59&lt;$J$70,(IF(O59&lt;0,0,O59*$K$62))))</f>
        <v>9.345417292668273</v>
      </c>
      <c r="P62" s="2164">
        <f t="shared" si="405"/>
        <v>1.7115666316105782</v>
      </c>
      <c r="Q62" s="2164">
        <f t="shared" ref="Q62:R62" si="406">IF(Q59&gt;$J$70,$J$62,IF(Q59&lt;$J$70,(IF(Q59&lt;0,0,Q59*$K$62))))</f>
        <v>7.5616387469951967</v>
      </c>
      <c r="R62" s="2164">
        <f t="shared" si="406"/>
        <v>5.0060678335336553</v>
      </c>
      <c r="S62" s="2164">
        <f t="shared" ref="S62:T62" si="407">IF(S59&gt;$J$70,$J$62,IF(S59&lt;$J$70,(IF(S59&lt;0,0,S59*$K$62))))</f>
        <v>3.1816522686298101</v>
      </c>
      <c r="T62" s="2166">
        <f t="shared" si="407"/>
        <v>7.4821270282451966</v>
      </c>
      <c r="U62" s="1951"/>
      <c r="V62" s="2163">
        <f t="shared" si="342"/>
        <v>34.288469801682709</v>
      </c>
      <c r="W62" s="2167">
        <f>$J$62*0</f>
        <v>0</v>
      </c>
      <c r="X62" s="2168">
        <f t="shared" si="285"/>
        <v>34.288469801682709</v>
      </c>
      <c r="Y62" s="1951"/>
      <c r="Z62" s="2169"/>
      <c r="AA62" s="2170">
        <f t="shared" ref="AA62" si="408">IF(AA59&gt;$J$70,$J$62,IF(AA59&lt;$J$70,(IF(AA59&lt;0,0,AA59*$K$62))))</f>
        <v>8.253815730168272</v>
      </c>
      <c r="AB62" s="2170">
        <f t="shared" ref="AB62:AC62" si="409">IF(AB59&gt;$J$70,$J$62,IF(AB59&lt;$J$70,(IF(AB59&lt;0,0,AB59*$K$62))))</f>
        <v>11.697803109975967</v>
      </c>
      <c r="AC62" s="2170">
        <f t="shared" si="409"/>
        <v>11.034548903245197</v>
      </c>
      <c r="AD62" s="2170">
        <f t="shared" ref="AD62:AE62" si="410">IF(AD59&gt;$J$70,$J$62,IF(AD59&lt;$J$70,(IF(AD59&lt;0,0,AD59*$K$62))))</f>
        <v>0.71243502103365752</v>
      </c>
      <c r="AE62" s="2170">
        <f t="shared" si="410"/>
        <v>2.3593746243990421</v>
      </c>
      <c r="AF62" s="2171">
        <f t="shared" ref="AF62" si="411">IF(AF59&gt;$J$70,$J$62,IF(AF59&lt;$J$70,(IF(AF59&lt;0,0,AF59*$K$62))))</f>
        <v>4.4085377854567342</v>
      </c>
      <c r="AG62" s="1951"/>
      <c r="AH62" s="2163">
        <f>SUM(Z62:AF62)</f>
        <v>38.466515174278875</v>
      </c>
      <c r="AI62" s="2167">
        <f>$J$62*0</f>
        <v>0</v>
      </c>
      <c r="AJ62" s="2168">
        <f t="shared" ref="AJ62:AJ63" si="412">AH62-AI62</f>
        <v>38.466515174278875</v>
      </c>
      <c r="AK62" s="1951"/>
      <c r="AL62" s="2163"/>
      <c r="AM62" s="2164">
        <f t="shared" ref="AM62:AN62" si="413">IF(AM59&gt;$J$70,$J$62,IF(AM59&lt;$J$70,(IF(AM59&lt;0,0,AM59*$K$62))))</f>
        <v>11.976456956129811</v>
      </c>
      <c r="AN62" s="2164">
        <f t="shared" si="413"/>
        <v>1.4374740835336575</v>
      </c>
      <c r="AO62" s="2164">
        <f t="shared" ref="AO62:AP62" si="414">IF(AO59&gt;$J$70,$J$62,IF(AO59&lt;$J$70,(IF(AO59&lt;0,0,AO59*$K$62))))</f>
        <v>10.188635441706737</v>
      </c>
      <c r="AP62" s="2164">
        <f t="shared" si="414"/>
        <v>10.008982496995197</v>
      </c>
      <c r="AQ62" s="2164">
        <f t="shared" ref="AQ62" si="415">IF(AQ59&gt;$J$70,$J$62,IF(AQ59&lt;$J$70,(IF(AQ59&lt;0,0,AQ59*$K$62))))</f>
        <v>14.375</v>
      </c>
      <c r="AR62" s="2164">
        <f t="shared" ref="AR62" si="416">IF(AR59&gt;$J$70,$J$62,IF(AR59&lt;$J$70,(IF(AR59&lt;0,0,AR59*$K$62))))</f>
        <v>14.375</v>
      </c>
      <c r="AS62" s="1951"/>
      <c r="AT62" s="2163">
        <f t="shared" ref="AT62:AT69" si="417">SUM(AL62:AR62)</f>
        <v>62.361548978365398</v>
      </c>
      <c r="AU62" s="2167">
        <f>$J$62*0</f>
        <v>0</v>
      </c>
      <c r="AV62" s="2168">
        <f t="shared" ref="AV62:AV69" si="418">AT62-AU62</f>
        <v>62.361548978365398</v>
      </c>
      <c r="AW62" s="1951"/>
      <c r="AX62" s="2169"/>
      <c r="AY62" s="2176"/>
      <c r="AZ62" s="2176"/>
      <c r="BA62" s="2176">
        <f t="shared" ref="BA62:BB62" si="419">IF(BA59&gt;$J$70,$J$62,IF(BA59&lt;$J$70,(IF(BA59&lt;0,0,BA59*$K$62))))</f>
        <v>0.85331693209134785</v>
      </c>
      <c r="BB62" s="2176">
        <f t="shared" si="419"/>
        <v>4.2819617638221183</v>
      </c>
      <c r="BC62" s="2176">
        <f t="shared" ref="BC62:BD62" si="420">IF(BC59&gt;$J$70,$J$62,IF(BC59&lt;$J$70,(IF(BC59&lt;0,0,BC59*$K$62))))</f>
        <v>1.2901648888221169</v>
      </c>
      <c r="BD62" s="2176">
        <f t="shared" si="420"/>
        <v>8.3681591796875043</v>
      </c>
      <c r="BE62" s="1951"/>
      <c r="BF62" s="2163">
        <f t="shared" si="399"/>
        <v>14.793602764423088</v>
      </c>
      <c r="BG62" s="2167">
        <f>$J$62*0</f>
        <v>0</v>
      </c>
      <c r="BH62" s="2168">
        <f t="shared" si="400"/>
        <v>14.793602764423088</v>
      </c>
      <c r="BI62" s="1951"/>
      <c r="BJ62" s="2169"/>
      <c r="BK62" s="2176">
        <f t="shared" ref="BK62:BL62" si="421">IF(BK59&gt;$J$70,$J$62,IF(BK59&lt;$J$70,(IF(BK59&lt;0,0,BK59*$K$62))))</f>
        <v>10.466563626802888</v>
      </c>
      <c r="BL62" s="2171">
        <f t="shared" si="421"/>
        <v>10.466563626802888</v>
      </c>
      <c r="BM62" s="1951"/>
      <c r="BN62" s="2169">
        <f t="shared" ref="BN62:BN69" si="422">SUM(BJ62:BL62)</f>
        <v>20.933127253605775</v>
      </c>
      <c r="BO62" s="2170">
        <f>$J$62*0</f>
        <v>0</v>
      </c>
      <c r="BP62" s="2178">
        <f t="shared" si="402"/>
        <v>20.933127253605775</v>
      </c>
      <c r="BR62" s="2169"/>
      <c r="BS62" s="2172"/>
      <c r="BU62" s="2169">
        <f t="shared" si="403"/>
        <v>160.37670034555296</v>
      </c>
      <c r="BV62" s="2173">
        <f t="shared" si="404"/>
        <v>0.4648600010016028</v>
      </c>
      <c r="BW62" s="2353"/>
      <c r="BX62" s="4636"/>
      <c r="CA62" s="2010"/>
      <c r="CB62" s="2011"/>
      <c r="CC62" s="2011"/>
      <c r="CD62" s="2011"/>
      <c r="CE62" s="2011"/>
      <c r="CF62" s="2011"/>
      <c r="CG62" s="2011"/>
      <c r="CH62" s="2011"/>
      <c r="CI62" s="2011"/>
    </row>
    <row r="63" spans="1:87" s="1726" customFormat="1" x14ac:dyDescent="0.2">
      <c r="A63" s="1756"/>
      <c r="B63" s="2151">
        <v>49</v>
      </c>
      <c r="C63" s="2152" t="s">
        <v>4</v>
      </c>
      <c r="D63" s="1817"/>
      <c r="E63" s="2153">
        <v>300</v>
      </c>
      <c r="F63" s="2154"/>
      <c r="G63" s="2154"/>
      <c r="H63" s="2154"/>
      <c r="I63" s="2154"/>
      <c r="J63" s="2154">
        <f t="shared" si="384"/>
        <v>12.5</v>
      </c>
      <c r="K63" s="2155">
        <f t="shared" si="385"/>
        <v>0.18028846153846154</v>
      </c>
      <c r="L63" s="1931"/>
      <c r="M63" s="1924"/>
      <c r="N63" s="2153"/>
      <c r="O63" s="2154">
        <f t="shared" ref="O63:P63" si="423">IF(O59&gt;$J$70,$J$63,IF(O59&lt;$J$70,(IF(O59&lt;0,0,O59*$K$63))))</f>
        <v>8.1264498197115405</v>
      </c>
      <c r="P63" s="2154">
        <f t="shared" si="423"/>
        <v>1.4883188100961549</v>
      </c>
      <c r="Q63" s="2154">
        <f t="shared" ref="Q63:R63" si="424">IF(Q59&gt;$J$70,$J$63,IF(Q59&lt;$J$70,(IF(Q59&lt;0,0,Q59*$K$63))))</f>
        <v>6.5753380408653879</v>
      </c>
      <c r="R63" s="2154">
        <f t="shared" si="424"/>
        <v>4.3531024639423084</v>
      </c>
      <c r="S63" s="2154">
        <f t="shared" ref="S63:T63" si="425">IF(S59&gt;$J$70,$J$63,IF(S59&lt;$J$70,(IF(S59&lt;0,0,S59*$K$63))))</f>
        <v>2.7666541466346173</v>
      </c>
      <c r="T63" s="2156">
        <f t="shared" si="425"/>
        <v>6.5061974158653877</v>
      </c>
      <c r="U63" s="3227"/>
      <c r="V63" s="2153">
        <f t="shared" si="342"/>
        <v>29.816060697115393</v>
      </c>
      <c r="W63" s="2157">
        <f>$J$63*0</f>
        <v>0</v>
      </c>
      <c r="X63" s="2158">
        <f t="shared" si="285"/>
        <v>29.816060697115393</v>
      </c>
      <c r="Y63" s="1766"/>
      <c r="Z63" s="2090"/>
      <c r="AA63" s="2087">
        <f t="shared" ref="AA63" si="426">IF(AA59&gt;$J$70,$J$63,IF(AA59&lt;$J$70,(IF(AA59&lt;0,0,AA59*$K$63))))</f>
        <v>7.1772310697115405</v>
      </c>
      <c r="AB63" s="2087">
        <f t="shared" ref="AB63:AC63" si="427">IF(AB59&gt;$J$70,$J$63,IF(AB59&lt;$J$70,(IF(AB59&lt;0,0,AB59*$K$63))))</f>
        <v>10.172002704326927</v>
      </c>
      <c r="AC63" s="2087">
        <f t="shared" si="427"/>
        <v>9.5952599158653875</v>
      </c>
      <c r="AD63" s="2087">
        <f t="shared" ref="AD63:AE63" si="428">IF(AD59&gt;$J$70,$J$63,IF(AD59&lt;$J$70,(IF(AD59&lt;0,0,AD59*$K$63))))</f>
        <v>0.61950871394231088</v>
      </c>
      <c r="AE63" s="2087">
        <f t="shared" si="428"/>
        <v>2.0516301081730801</v>
      </c>
      <c r="AF63" s="2091">
        <f t="shared" ref="AF63" si="429">IF(AF59&gt;$J$70,$J$63,IF(AF59&lt;$J$70,(IF(AF59&lt;0,0,AF59*$K$63))))</f>
        <v>3.8335111177884644</v>
      </c>
      <c r="AG63" s="1766"/>
      <c r="AH63" s="2153">
        <f t="shared" ref="AH63" si="430">SUM(Z63:AF63)</f>
        <v>33.449143629807708</v>
      </c>
      <c r="AI63" s="2157">
        <f>$J$63*0</f>
        <v>0</v>
      </c>
      <c r="AJ63" s="2158">
        <f t="shared" si="412"/>
        <v>33.449143629807708</v>
      </c>
      <c r="AK63" s="1766"/>
      <c r="AL63" s="2153"/>
      <c r="AM63" s="2154">
        <f t="shared" ref="AM63:AN63" si="431">IF(AM59&gt;$J$70,$J$63,IF(AM59&lt;$J$70,(IF(AM59&lt;0,0,AM59*$K$63))))</f>
        <v>10.414310396634617</v>
      </c>
      <c r="AN63" s="2154">
        <f t="shared" si="431"/>
        <v>1.2499774639423109</v>
      </c>
      <c r="AO63" s="2154">
        <f t="shared" ref="AO63:AP63" si="432">IF(AO59&gt;$J$70,$J$63,IF(AO59&lt;$J$70,(IF(AO59&lt;0,0,AO59*$K$63))))</f>
        <v>8.8596829927884659</v>
      </c>
      <c r="AP63" s="2154">
        <f t="shared" si="432"/>
        <v>8.7034630408653886</v>
      </c>
      <c r="AQ63" s="2154">
        <f t="shared" ref="AQ63" si="433">IF(AQ59&gt;$J$70,$J$63,IF(AQ59&lt;$J$70,(IF(AQ59&lt;0,0,AQ59*$K$63))))</f>
        <v>12.5</v>
      </c>
      <c r="AR63" s="2154">
        <f t="shared" ref="AR63" si="434">IF(AR59&gt;$J$70,$J$63,IF(AR59&lt;$J$70,(IF(AR59&lt;0,0,AR59*$K$63))))</f>
        <v>12.5</v>
      </c>
      <c r="AS63" s="3227"/>
      <c r="AT63" s="2153">
        <f t="shared" si="417"/>
        <v>54.227433894230785</v>
      </c>
      <c r="AU63" s="2157">
        <f>$J$63*0</f>
        <v>0</v>
      </c>
      <c r="AV63" s="2158">
        <f t="shared" si="418"/>
        <v>54.227433894230785</v>
      </c>
      <c r="AW63" s="3227"/>
      <c r="AX63" s="2090"/>
      <c r="AY63" s="2088"/>
      <c r="AZ63" s="2088"/>
      <c r="BA63" s="2088">
        <f t="shared" ref="BA63:BB63" si="435">IF(BA59&gt;$J$70,$J$63,IF(BA59&lt;$J$70,(IF(BA59&lt;0,0,BA59*$K$63))))</f>
        <v>0.74201472355769371</v>
      </c>
      <c r="BB63" s="2088">
        <f t="shared" si="435"/>
        <v>3.7234450120192331</v>
      </c>
      <c r="BC63" s="2088">
        <f t="shared" ref="BC63:BD63" si="436">IF(BC59&gt;$J$70,$J$63,IF(BC59&lt;$J$70,(IF(BC59&lt;0,0,BC59*$K$63))))</f>
        <v>1.1218825120192319</v>
      </c>
      <c r="BD63" s="2088">
        <f t="shared" si="436"/>
        <v>7.2766601562500028</v>
      </c>
      <c r="BE63" s="3227"/>
      <c r="BF63" s="2153">
        <f t="shared" si="399"/>
        <v>12.864002403846161</v>
      </c>
      <c r="BG63" s="2157">
        <f>$J$63*0</f>
        <v>0</v>
      </c>
      <c r="BH63" s="2158">
        <f t="shared" si="400"/>
        <v>12.864002403846161</v>
      </c>
      <c r="BI63" s="3227"/>
      <c r="BJ63" s="2090"/>
      <c r="BK63" s="2088">
        <f t="shared" ref="BK63:BL63" si="437">IF(BK59&gt;$J$70,$J$63,IF(BK59&lt;$J$70,(IF(BK59&lt;0,0,BK59*$K$63))))</f>
        <v>9.1013596754807722</v>
      </c>
      <c r="BL63" s="2091">
        <f t="shared" si="437"/>
        <v>9.1013596754807722</v>
      </c>
      <c r="BM63" s="3227"/>
      <c r="BN63" s="2090">
        <f t="shared" si="422"/>
        <v>18.202719350961544</v>
      </c>
      <c r="BO63" s="2087">
        <f>$J$63*0</f>
        <v>0</v>
      </c>
      <c r="BP63" s="2174">
        <f t="shared" si="402"/>
        <v>18.202719350961544</v>
      </c>
      <c r="BR63" s="2090"/>
      <c r="BS63" s="2159"/>
      <c r="BT63" s="1740"/>
      <c r="BU63" s="2090">
        <f t="shared" si="403"/>
        <v>139.45800030048082</v>
      </c>
      <c r="BV63" s="2160">
        <f t="shared" si="404"/>
        <v>0.46486000100160274</v>
      </c>
      <c r="BW63" s="2351"/>
      <c r="BX63" s="4636"/>
      <c r="CA63" s="3212"/>
      <c r="CB63" s="1860"/>
      <c r="CC63" s="1860"/>
      <c r="CD63" s="1860"/>
      <c r="CE63" s="1860"/>
      <c r="CF63" s="1860"/>
      <c r="CG63" s="1860"/>
      <c r="CH63" s="1860"/>
      <c r="CI63" s="1860"/>
    </row>
    <row r="64" spans="1:87" s="1900" customFormat="1" ht="15.75" x14ac:dyDescent="0.2">
      <c r="A64" s="2464"/>
      <c r="B64" s="2161">
        <v>50</v>
      </c>
      <c r="C64" s="2175" t="s">
        <v>121</v>
      </c>
      <c r="D64" s="1960"/>
      <c r="E64" s="2169">
        <v>270</v>
      </c>
      <c r="F64" s="2176">
        <f>E64/10</f>
        <v>27</v>
      </c>
      <c r="G64" s="2176">
        <f>E64/15</f>
        <v>18</v>
      </c>
      <c r="H64" s="2176">
        <f>E64/20</f>
        <v>13.5</v>
      </c>
      <c r="I64" s="2176">
        <f>E64/25</f>
        <v>10.8</v>
      </c>
      <c r="J64" s="2176">
        <f t="shared" si="384"/>
        <v>11.25</v>
      </c>
      <c r="K64" s="2177">
        <f t="shared" si="385"/>
        <v>0.16225961538461539</v>
      </c>
      <c r="L64" s="2468"/>
      <c r="M64" s="2339"/>
      <c r="N64" s="2169"/>
      <c r="O64" s="2176">
        <f t="shared" ref="O64:P64" si="438">IF(O59&gt;$J$70,$J$64,IF(O59&lt;$J$70,(IF(O59&lt;0,0,O59*$K$64))))</f>
        <v>7.3138048377403875</v>
      </c>
      <c r="P64" s="2176">
        <f t="shared" si="438"/>
        <v>1.3394869290865394</v>
      </c>
      <c r="Q64" s="2176">
        <f t="shared" ref="Q64:R64" si="439">IF(Q59&gt;$J$70,$J$64,IF(Q59&lt;$J$70,(IF(Q59&lt;0,0,Q59*$K$64))))</f>
        <v>5.9178042367788493</v>
      </c>
      <c r="R64" s="2176">
        <f t="shared" si="439"/>
        <v>3.9177922175480782</v>
      </c>
      <c r="S64" s="2176">
        <f t="shared" ref="S64:T64" si="440">IF(S59&gt;$J$70,$J$64,IF(S59&lt;$J$70,(IF(S59&lt;0,0,S59*$K$64))))</f>
        <v>2.489988731971156</v>
      </c>
      <c r="T64" s="2171">
        <f t="shared" si="440"/>
        <v>5.8555776742788499</v>
      </c>
      <c r="U64" s="1951"/>
      <c r="V64" s="2169">
        <f t="shared" si="342"/>
        <v>26.834454627403858</v>
      </c>
      <c r="W64" s="2170">
        <f>$J$64*0</f>
        <v>0</v>
      </c>
      <c r="X64" s="2178">
        <f t="shared" si="285"/>
        <v>26.834454627403858</v>
      </c>
      <c r="Y64" s="1951"/>
      <c r="Z64" s="2169"/>
      <c r="AA64" s="2170">
        <f t="shared" ref="AA64" si="441">IF(AA59&gt;$J$70,$J$64,IF(AA59&lt;$J$70,(IF(AA59&lt;0,0,AA59*$K$64))))</f>
        <v>6.4595079627403873</v>
      </c>
      <c r="AB64" s="2170">
        <f t="shared" ref="AB64:AC64" si="442">IF(AB59&gt;$J$70,$J$64,IF(AB59&lt;$J$70,(IF(AB59&lt;0,0,AB59*$K$64))))</f>
        <v>9.1548024338942344</v>
      </c>
      <c r="AC64" s="2170">
        <f t="shared" si="442"/>
        <v>8.6357339242788491</v>
      </c>
      <c r="AD64" s="2170">
        <f t="shared" ref="AD64:AE64" si="443">IF(AD59&gt;$J$70,$J$64,IF(AD59&lt;$J$70,(IF(AD59&lt;0,0,AD59*$K$64))))</f>
        <v>0.55755784254807983</v>
      </c>
      <c r="AE64" s="2170">
        <f t="shared" si="443"/>
        <v>1.8464670973557722</v>
      </c>
      <c r="AF64" s="2171">
        <f t="shared" ref="AF64" si="444">IF(AF59&gt;$J$70,$J$64,IF(AF59&lt;$J$70,(IF(AF59&lt;0,0,AF59*$K$64))))</f>
        <v>3.450160006009618</v>
      </c>
      <c r="AG64" s="1951"/>
      <c r="AH64" s="2169">
        <f t="shared" si="233"/>
        <v>30.104229266826941</v>
      </c>
      <c r="AI64" s="2170">
        <f>$J$64*0</f>
        <v>0</v>
      </c>
      <c r="AJ64" s="2178">
        <f t="shared" si="234"/>
        <v>30.104229266826941</v>
      </c>
      <c r="AK64" s="1951"/>
      <c r="AL64" s="2169"/>
      <c r="AM64" s="2176">
        <f t="shared" ref="AM64:AN64" si="445">IF(AM59&gt;$J$70,$J$64,IF(AM59&lt;$J$70,(IF(AM59&lt;0,0,AM59*$K$64))))</f>
        <v>9.3728793569711559</v>
      </c>
      <c r="AN64" s="2176">
        <f t="shared" si="445"/>
        <v>1.1249797175480798</v>
      </c>
      <c r="AO64" s="2176">
        <f t="shared" ref="AO64:AP64" si="446">IF(AO59&gt;$J$70,$J$64,IF(AO59&lt;$J$70,(IF(AO59&lt;0,0,AO59*$K$64))))</f>
        <v>7.9737146935096188</v>
      </c>
      <c r="AP64" s="2176">
        <f t="shared" si="446"/>
        <v>7.8331167367788499</v>
      </c>
      <c r="AQ64" s="2176">
        <f t="shared" ref="AQ64" si="447">IF(AQ59&gt;$J$70,$J$64,IF(AQ59&lt;$J$70,(IF(AQ59&lt;0,0,AQ59*$K$64))))</f>
        <v>11.25</v>
      </c>
      <c r="AR64" s="2176">
        <f t="shared" ref="AR64" si="448">IF(AR59&gt;$J$70,$J$64,IF(AR59&lt;$J$70,(IF(AR59&lt;0,0,AR59*$K$64))))</f>
        <v>11.25</v>
      </c>
      <c r="AS64" s="1951"/>
      <c r="AT64" s="2169">
        <f t="shared" si="417"/>
        <v>48.804690504807702</v>
      </c>
      <c r="AU64" s="2170">
        <f>$J$64*0</f>
        <v>0</v>
      </c>
      <c r="AV64" s="2178">
        <f t="shared" si="418"/>
        <v>48.804690504807702</v>
      </c>
      <c r="AW64" s="1951"/>
      <c r="AX64" s="2169"/>
      <c r="AY64" s="2176"/>
      <c r="AZ64" s="2176"/>
      <c r="BA64" s="2176">
        <f t="shared" ref="BA64:BB64" si="449">IF(BA59&gt;$J$70,$J$64,IF(BA59&lt;$J$70,(IF(BA59&lt;0,0,BA59*$K$64))))</f>
        <v>0.66781325120192436</v>
      </c>
      <c r="BB64" s="2176">
        <f t="shared" si="449"/>
        <v>3.35110051081731</v>
      </c>
      <c r="BC64" s="2176">
        <f t="shared" ref="BC64:BD64" si="450">IF(BC59&gt;$J$70,$J$64,IF(BC59&lt;$J$70,(IF(BC59&lt;0,0,BC59*$K$64))))</f>
        <v>1.009694260817309</v>
      </c>
      <c r="BD64" s="2176">
        <f t="shared" si="450"/>
        <v>6.5489941406250036</v>
      </c>
      <c r="BE64" s="1951"/>
      <c r="BF64" s="2169">
        <f t="shared" si="399"/>
        <v>11.577602163461547</v>
      </c>
      <c r="BG64" s="2170">
        <f>$J$64*0</f>
        <v>0</v>
      </c>
      <c r="BH64" s="2178">
        <f t="shared" si="400"/>
        <v>11.577602163461547</v>
      </c>
      <c r="BI64" s="1951"/>
      <c r="BJ64" s="2169"/>
      <c r="BK64" s="2176">
        <f t="shared" ref="BK64:BL64" si="451">IF(BK59&gt;$J$70,$J$64,IF(BK59&lt;$J$70,(IF(BK59&lt;0,0,BK59*$K$64))))</f>
        <v>8.1912237079326946</v>
      </c>
      <c r="BL64" s="2171">
        <f t="shared" si="451"/>
        <v>8.1912237079326946</v>
      </c>
      <c r="BM64" s="1951"/>
      <c r="BN64" s="2169">
        <f t="shared" si="422"/>
        <v>16.382447415865389</v>
      </c>
      <c r="BO64" s="2170">
        <f>$J$64*0</f>
        <v>0</v>
      </c>
      <c r="BP64" s="2178">
        <f t="shared" si="402"/>
        <v>16.382447415865389</v>
      </c>
      <c r="BR64" s="2179"/>
      <c r="BS64" s="2180"/>
      <c r="BU64" s="2179">
        <f t="shared" si="403"/>
        <v>125.51220027043274</v>
      </c>
      <c r="BV64" s="2181">
        <f t="shared" si="404"/>
        <v>0.46486000100160274</v>
      </c>
      <c r="BW64" s="2353"/>
      <c r="BX64" s="4636"/>
      <c r="CA64" s="2010"/>
      <c r="CB64" s="2011"/>
      <c r="CC64" s="2011"/>
      <c r="CD64" s="2011"/>
      <c r="CE64" s="2011"/>
      <c r="CF64" s="2011"/>
      <c r="CG64" s="2011"/>
      <c r="CH64" s="2011"/>
      <c r="CI64" s="2011"/>
    </row>
    <row r="65" spans="1:87" s="1740" customFormat="1" ht="15.75" x14ac:dyDescent="0.2">
      <c r="A65" s="2466"/>
      <c r="B65" s="2151">
        <v>51</v>
      </c>
      <c r="C65" s="2086" t="s">
        <v>229</v>
      </c>
      <c r="D65" s="1817"/>
      <c r="E65" s="2090">
        <v>209</v>
      </c>
      <c r="F65" s="2088">
        <f>E65/10</f>
        <v>20.9</v>
      </c>
      <c r="G65" s="2088">
        <f>E65/15</f>
        <v>13.933333333333334</v>
      </c>
      <c r="H65" s="2088">
        <f>E65/20</f>
        <v>10.45</v>
      </c>
      <c r="I65" s="2088">
        <f>E65/25</f>
        <v>8.36</v>
      </c>
      <c r="J65" s="2088">
        <f t="shared" si="384"/>
        <v>8.7083333333333339</v>
      </c>
      <c r="K65" s="2089">
        <f t="shared" si="385"/>
        <v>0.12560096153846154</v>
      </c>
      <c r="L65" s="2465"/>
      <c r="M65" s="2131"/>
      <c r="N65" s="2090"/>
      <c r="O65" s="2088">
        <f t="shared" ref="O65:P65" si="452">IF(O59&gt;$J$70,$J$65,IF(O59&lt;$J$70,(IF(O59&lt;0,0,O59*$K$65))))</f>
        <v>5.6614267077323737</v>
      </c>
      <c r="P65" s="2088">
        <f t="shared" si="452"/>
        <v>1.0368621043669879</v>
      </c>
      <c r="Q65" s="2088">
        <f t="shared" ref="Q65:R65" si="453">IF(Q59&gt;$J$70,$J$65,IF(Q59&lt;$J$70,(IF(Q59&lt;0,0,Q59*$K$65))))</f>
        <v>4.5808188351362205</v>
      </c>
      <c r="R65" s="2088">
        <f t="shared" si="453"/>
        <v>3.0326613832131417</v>
      </c>
      <c r="S65" s="2088">
        <f t="shared" ref="S65:T65" si="454">IF(S59&gt;$J$70,$J$65,IF(S59&lt;$J$70,(IF(S59&lt;0,0,S59*$K$65))))</f>
        <v>1.9274357221554501</v>
      </c>
      <c r="T65" s="2091">
        <f t="shared" si="454"/>
        <v>4.5326508663862199</v>
      </c>
      <c r="U65" s="3227"/>
      <c r="V65" s="2090">
        <f t="shared" si="342"/>
        <v>20.771855618990394</v>
      </c>
      <c r="W65" s="2087">
        <f>$J$65*0</f>
        <v>0</v>
      </c>
      <c r="X65" s="2174">
        <f t="shared" si="285"/>
        <v>20.771855618990394</v>
      </c>
      <c r="Y65" s="3227"/>
      <c r="Z65" s="2090"/>
      <c r="AA65" s="2087">
        <f t="shared" ref="AA65" si="455">IF(AA59&gt;$J$70,$J$65,IF(AA59&lt;$J$70,(IF(AA59&lt;0,0,AA59*$K$65))))</f>
        <v>5.0001376452323738</v>
      </c>
      <c r="AB65" s="2087">
        <f t="shared" ref="AB65:AC65" si="456">IF(AB59&gt;$J$70,$J$65,IF(AB59&lt;$J$70,(IF(AB59&lt;0,0,AB59*$K$65))))</f>
        <v>7.0864952173477587</v>
      </c>
      <c r="AC65" s="2087">
        <f t="shared" si="456"/>
        <v>6.6846977413862207</v>
      </c>
      <c r="AD65" s="2087">
        <f t="shared" ref="AD65:AE65" si="457">IF(AD59&gt;$J$70,$J$65,IF(AD59&lt;$J$70,(IF(AD59&lt;0,0,AD59*$K$65))))</f>
        <v>0.43159107071314323</v>
      </c>
      <c r="AE65" s="2087">
        <f t="shared" si="457"/>
        <v>1.4293023086939125</v>
      </c>
      <c r="AF65" s="2091">
        <f t="shared" ref="AF65" si="458">IF(AF59&gt;$J$70,$J$65,IF(AF59&lt;$J$70,(IF(AF59&lt;0,0,AF59*$K$65))))</f>
        <v>2.6706794120592967</v>
      </c>
      <c r="AG65" s="3227"/>
      <c r="AH65" s="2090">
        <f t="shared" si="233"/>
        <v>23.302903395432704</v>
      </c>
      <c r="AI65" s="2087">
        <f>$J$65*0</f>
        <v>0</v>
      </c>
      <c r="AJ65" s="2174">
        <f t="shared" si="234"/>
        <v>23.302903395432704</v>
      </c>
      <c r="AK65" s="3227"/>
      <c r="AL65" s="2090"/>
      <c r="AM65" s="2088">
        <f t="shared" ref="AM65:AN65" si="459">IF(AM59&gt;$J$70,$J$65,IF(AM59&lt;$J$70,(IF(AM59&lt;0,0,AM59*$K$65))))</f>
        <v>7.25530290965545</v>
      </c>
      <c r="AN65" s="2088">
        <f t="shared" si="459"/>
        <v>0.87081763321314321</v>
      </c>
      <c r="AO65" s="2088">
        <f t="shared" ref="AO65:AP65" si="460">IF(AO59&gt;$J$70,$J$65,IF(AO59&lt;$J$70,(IF(AO59&lt;0,0,AO59*$K$65))))</f>
        <v>6.1722458183092979</v>
      </c>
      <c r="AP65" s="2088">
        <f t="shared" si="460"/>
        <v>6.0634125851362199</v>
      </c>
      <c r="AQ65" s="2088">
        <f t="shared" ref="AQ65" si="461">IF(AQ59&gt;$J$70,$J$65,IF(AQ59&lt;$J$70,(IF(AQ59&lt;0,0,AQ59*$K$65))))</f>
        <v>8.7083333333333339</v>
      </c>
      <c r="AR65" s="2088">
        <f t="shared" ref="AR65" si="462">IF(AR59&gt;$J$70,$J$65,IF(AR59&lt;$J$70,(IF(AR59&lt;0,0,AR59*$K$65))))</f>
        <v>8.7083333333333339</v>
      </c>
      <c r="AS65" s="3227"/>
      <c r="AT65" s="2090">
        <f t="shared" si="417"/>
        <v>37.778445612980782</v>
      </c>
      <c r="AU65" s="2087">
        <f>$J$65*0</f>
        <v>0</v>
      </c>
      <c r="AV65" s="2174">
        <f t="shared" si="418"/>
        <v>37.778445612980782</v>
      </c>
      <c r="AW65" s="3227"/>
      <c r="AX65" s="2090"/>
      <c r="AY65" s="2088"/>
      <c r="AZ65" s="2088"/>
      <c r="BA65" s="2088">
        <f t="shared" ref="BA65:BB65" si="463">IF(BA59&gt;$J$70,$J$65,IF(BA59&lt;$J$70,(IF(BA59&lt;0,0,BA59*$K$65))))</f>
        <v>0.51693692407852665</v>
      </c>
      <c r="BB65" s="2088">
        <f t="shared" si="463"/>
        <v>2.5940000250400659</v>
      </c>
      <c r="BC65" s="2088">
        <f t="shared" ref="BC65:BD65" si="464">IF(BC59&gt;$J$70,$J$65,IF(BC59&lt;$J$70,(IF(BC59&lt;0,0,BC59*$K$65))))</f>
        <v>0.78157815004006492</v>
      </c>
      <c r="BD65" s="2088">
        <f t="shared" si="464"/>
        <v>5.0694065755208353</v>
      </c>
      <c r="BE65" s="3227"/>
      <c r="BF65" s="2090">
        <f t="shared" si="399"/>
        <v>8.961921674679493</v>
      </c>
      <c r="BG65" s="2087">
        <f>$J$65*0</f>
        <v>0</v>
      </c>
      <c r="BH65" s="2174">
        <f t="shared" si="400"/>
        <v>8.961921674679493</v>
      </c>
      <c r="BI65" s="3227"/>
      <c r="BJ65" s="2090"/>
      <c r="BK65" s="2088">
        <f t="shared" ref="BK65:BL65" si="465">IF(BK59&gt;$J$70,$J$65,IF(BK59&lt;$J$70,(IF(BK59&lt;0,0,BK59*$K$65))))</f>
        <v>6.3406139072516039</v>
      </c>
      <c r="BL65" s="2091">
        <f t="shared" si="465"/>
        <v>6.3406139072516039</v>
      </c>
      <c r="BM65" s="3227"/>
      <c r="BN65" s="2090">
        <f t="shared" si="422"/>
        <v>12.681227814503208</v>
      </c>
      <c r="BO65" s="2087">
        <f>$J$65*0</f>
        <v>0</v>
      </c>
      <c r="BP65" s="2174">
        <f t="shared" si="402"/>
        <v>12.681227814503208</v>
      </c>
      <c r="BR65" s="2092"/>
      <c r="BS65" s="2093"/>
      <c r="BU65" s="2092">
        <f t="shared" si="403"/>
        <v>97.155740209334965</v>
      </c>
      <c r="BV65" s="2094">
        <f t="shared" si="404"/>
        <v>0.46486000100160269</v>
      </c>
      <c r="BW65" s="2351"/>
      <c r="BX65" s="4636"/>
      <c r="CA65" s="1997"/>
      <c r="CB65" s="1861"/>
      <c r="CC65" s="1861"/>
      <c r="CD65" s="1861"/>
      <c r="CE65" s="1861"/>
      <c r="CF65" s="1861"/>
      <c r="CG65" s="1861"/>
      <c r="CH65" s="1861"/>
      <c r="CI65" s="1861"/>
    </row>
    <row r="66" spans="1:87" s="1885" customFormat="1" x14ac:dyDescent="0.2">
      <c r="A66" s="1947"/>
      <c r="B66" s="2690">
        <v>52</v>
      </c>
      <c r="C66" s="2417" t="s">
        <v>122</v>
      </c>
      <c r="D66" s="1960"/>
      <c r="E66" s="2179">
        <v>75</v>
      </c>
      <c r="F66" s="2418">
        <f>E66/10</f>
        <v>7.5</v>
      </c>
      <c r="G66" s="2418">
        <f>E66/15</f>
        <v>5</v>
      </c>
      <c r="H66" s="2418">
        <f>E66/20</f>
        <v>3.75</v>
      </c>
      <c r="I66" s="2418">
        <f>E66/25</f>
        <v>3</v>
      </c>
      <c r="J66" s="2418">
        <f t="shared" si="384"/>
        <v>3.125</v>
      </c>
      <c r="K66" s="2419">
        <f t="shared" si="385"/>
        <v>4.5072115384615384E-2</v>
      </c>
      <c r="L66" s="2003"/>
      <c r="M66" s="1950"/>
      <c r="N66" s="2169"/>
      <c r="O66" s="2176">
        <f t="shared" ref="O66:P66" si="466">IF(O59&gt;$J$70,$J$66,IF(O59&lt;$J$70,(IF(O59&lt;0,0,O59*$K$66))))</f>
        <v>2.0316124549278851</v>
      </c>
      <c r="P66" s="2176">
        <f t="shared" si="466"/>
        <v>0.37207970252403871</v>
      </c>
      <c r="Q66" s="2176">
        <f t="shared" ref="Q66:R66" si="467">IF(Q59&gt;$J$70,$J$66,IF(Q59&lt;$J$70,(IF(Q59&lt;0,0,Q59*$K$66))))</f>
        <v>1.643834510216347</v>
      </c>
      <c r="R66" s="2176">
        <f t="shared" si="467"/>
        <v>1.0882756159855771</v>
      </c>
      <c r="S66" s="2176">
        <f t="shared" ref="S66:T66" si="468">IF(S59&gt;$J$70,$J$66,IF(S59&lt;$J$70,(IF(S59&lt;0,0,S59*$K$66))))</f>
        <v>0.69166353665865432</v>
      </c>
      <c r="T66" s="2171">
        <f t="shared" si="468"/>
        <v>1.6265493539663469</v>
      </c>
      <c r="U66" s="1951"/>
      <c r="V66" s="2169">
        <f t="shared" si="342"/>
        <v>7.4540151742788483</v>
      </c>
      <c r="W66" s="2170">
        <f>$J$66*0</f>
        <v>0</v>
      </c>
      <c r="X66" s="2178">
        <f t="shared" si="285"/>
        <v>7.4540151742788483</v>
      </c>
      <c r="Y66" s="1956"/>
      <c r="Z66" s="2169"/>
      <c r="AA66" s="2170">
        <f t="shared" ref="AA66" si="469">IF(AA59&gt;$J$70,$J$66,IF(AA59&lt;$J$70,(IF(AA59&lt;0,0,AA59*$K$66))))</f>
        <v>1.7943077674278851</v>
      </c>
      <c r="AB66" s="2170">
        <f t="shared" ref="AB66:AC66" si="470">IF(AB59&gt;$J$70,$J$66,IF(AB59&lt;$J$70,(IF(AB59&lt;0,0,AB59*$K$66))))</f>
        <v>2.5430006760817316</v>
      </c>
      <c r="AC66" s="2170">
        <f t="shared" si="470"/>
        <v>2.3988149789663469</v>
      </c>
      <c r="AD66" s="2170">
        <f t="shared" ref="AD66:AE66" si="471">IF(AD59&gt;$J$70,$J$66,IF(AD59&lt;$J$70,(IF(AD59&lt;0,0,AD59*$K$66))))</f>
        <v>0.15487717848557772</v>
      </c>
      <c r="AE66" s="2170">
        <f t="shared" si="471"/>
        <v>0.51290752704327003</v>
      </c>
      <c r="AF66" s="2171">
        <f t="shared" ref="AF66" si="472">IF(AF59&gt;$J$70,$J$66,IF(AF59&lt;$J$70,(IF(AF59&lt;0,0,AF59*$K$66))))</f>
        <v>0.95837777944711611</v>
      </c>
      <c r="AG66" s="1956"/>
      <c r="AH66" s="2169">
        <f t="shared" si="233"/>
        <v>8.3622859074519269</v>
      </c>
      <c r="AI66" s="2170">
        <f>$J$66*0</f>
        <v>0</v>
      </c>
      <c r="AJ66" s="2178">
        <f t="shared" si="234"/>
        <v>8.3622859074519269</v>
      </c>
      <c r="AK66" s="1956"/>
      <c r="AL66" s="2169"/>
      <c r="AM66" s="2176">
        <f t="shared" ref="AM66:AN66" si="473">IF(AM59&gt;$J$70,$J$66,IF(AM59&lt;$J$70,(IF(AM59&lt;0,0,AM59*$K$66))))</f>
        <v>2.6035775991586543</v>
      </c>
      <c r="AN66" s="2176">
        <f t="shared" si="473"/>
        <v>0.31249436598557773</v>
      </c>
      <c r="AO66" s="2176">
        <f t="shared" ref="AO66:AP66" si="474">IF(AO59&gt;$J$70,$J$66,IF(AO59&lt;$J$70,(IF(AO59&lt;0,0,AO59*$K$66))))</f>
        <v>2.2149207481971165</v>
      </c>
      <c r="AP66" s="2176">
        <f t="shared" si="474"/>
        <v>2.1758657602163471</v>
      </c>
      <c r="AQ66" s="2176">
        <f t="shared" ref="AQ66" si="475">IF(AQ59&gt;$J$70,$J$66,IF(AQ59&lt;$J$70,(IF(AQ59&lt;0,0,AQ59*$K$66))))</f>
        <v>3.125</v>
      </c>
      <c r="AR66" s="2176">
        <f t="shared" ref="AR66" si="476">IF(AR59&gt;$J$70,$J$66,IF(AR59&lt;$J$70,(IF(AR59&lt;0,0,AR59*$K$66))))</f>
        <v>3.125</v>
      </c>
      <c r="AS66" s="1951"/>
      <c r="AT66" s="2169">
        <f t="shared" si="417"/>
        <v>13.556858473557696</v>
      </c>
      <c r="AU66" s="2170">
        <f>$J$66*0</f>
        <v>0</v>
      </c>
      <c r="AV66" s="2178">
        <f t="shared" si="418"/>
        <v>13.556858473557696</v>
      </c>
      <c r="AW66" s="1951"/>
      <c r="AX66" s="2169"/>
      <c r="AY66" s="2176"/>
      <c r="AZ66" s="2176"/>
      <c r="BA66" s="2176">
        <f t="shared" ref="BA66:BB66" si="477">IF(BA59&gt;$J$70,$J$66,IF(BA59&lt;$J$70,(IF(BA59&lt;0,0,BA59*$K$66))))</f>
        <v>0.18550368088942343</v>
      </c>
      <c r="BB66" s="2176">
        <f t="shared" si="477"/>
        <v>0.93086125300480826</v>
      </c>
      <c r="BC66" s="2176">
        <f t="shared" ref="BC66:BD66" si="478">IF(BC59&gt;$J$70,$J$66,IF(BC59&lt;$J$70,(IF(BC59&lt;0,0,BC59*$K$66))))</f>
        <v>0.28047062800480799</v>
      </c>
      <c r="BD66" s="2176">
        <f t="shared" si="478"/>
        <v>1.8191650390625007</v>
      </c>
      <c r="BE66" s="1951"/>
      <c r="BF66" s="2169">
        <f t="shared" si="399"/>
        <v>3.2160006009615403</v>
      </c>
      <c r="BG66" s="2170">
        <f>$J$66*0</f>
        <v>0</v>
      </c>
      <c r="BH66" s="2178">
        <f t="shared" si="400"/>
        <v>3.2160006009615403</v>
      </c>
      <c r="BI66" s="1951"/>
      <c r="BJ66" s="2169"/>
      <c r="BK66" s="2176">
        <f t="shared" ref="BK66:BL66" si="479">IF(BK59&gt;$J$70,$J$66,IF(BK59&lt;$J$70,(IF(BK59&lt;0,0,BK59*$K$66))))</f>
        <v>2.275339918870193</v>
      </c>
      <c r="BL66" s="2171">
        <f t="shared" si="479"/>
        <v>2.275339918870193</v>
      </c>
      <c r="BM66" s="1951"/>
      <c r="BN66" s="2169">
        <f t="shared" si="422"/>
        <v>4.5506798377403861</v>
      </c>
      <c r="BO66" s="2170">
        <f>$J$66*0</f>
        <v>0</v>
      </c>
      <c r="BP66" s="2178">
        <f t="shared" si="402"/>
        <v>4.5506798377403861</v>
      </c>
      <c r="BR66" s="2179"/>
      <c r="BS66" s="2180"/>
      <c r="BT66" s="1900"/>
      <c r="BU66" s="2179">
        <f t="shared" si="403"/>
        <v>34.864500075120205</v>
      </c>
      <c r="BV66" s="2181">
        <f t="shared" si="404"/>
        <v>0.46486000100160274</v>
      </c>
      <c r="BW66" s="2353"/>
      <c r="BX66" s="4636"/>
      <c r="CA66" s="3203"/>
      <c r="CB66" s="1946"/>
      <c r="CC66" s="1946"/>
      <c r="CD66" s="1946"/>
      <c r="CE66" s="1946"/>
      <c r="CF66" s="1946"/>
      <c r="CG66" s="1946"/>
      <c r="CH66" s="1946"/>
      <c r="CI66" s="1946"/>
    </row>
    <row r="67" spans="1:87" s="1726" customFormat="1" ht="17.25" thickBot="1" x14ac:dyDescent="0.25">
      <c r="A67" s="1756"/>
      <c r="B67" s="2107">
        <v>53</v>
      </c>
      <c r="C67" s="2108" t="s">
        <v>242</v>
      </c>
      <c r="D67" s="2646"/>
      <c r="E67" s="2092">
        <v>0</v>
      </c>
      <c r="F67" s="2111">
        <f>E67/10</f>
        <v>0</v>
      </c>
      <c r="G67" s="2111">
        <f>E67/15</f>
        <v>0</v>
      </c>
      <c r="H67" s="2111">
        <f>E67/20</f>
        <v>0</v>
      </c>
      <c r="I67" s="2111">
        <f>E67/25</f>
        <v>0</v>
      </c>
      <c r="J67" s="2111">
        <f t="shared" si="384"/>
        <v>0</v>
      </c>
      <c r="K67" s="2112">
        <f t="shared" si="385"/>
        <v>0</v>
      </c>
      <c r="L67" s="1931"/>
      <c r="M67" s="1924"/>
      <c r="N67" s="2090"/>
      <c r="O67" s="2088">
        <f t="shared" ref="O67:P67" si="480">IF(O59&gt;$J$70,$J$67,IF(O59&lt;$J$70,(IF(O59&lt;0,0,O59*$K$67))))</f>
        <v>0</v>
      </c>
      <c r="P67" s="2088">
        <f t="shared" si="480"/>
        <v>0</v>
      </c>
      <c r="Q67" s="2088">
        <f t="shared" ref="Q67:R67" si="481">IF(Q59&gt;$J$70,$J$67,IF(Q59&lt;$J$70,(IF(Q59&lt;0,0,Q59*$K$67))))</f>
        <v>0</v>
      </c>
      <c r="R67" s="2088">
        <f t="shared" si="481"/>
        <v>0</v>
      </c>
      <c r="S67" s="2088">
        <f t="shared" ref="S67:T67" si="482">IF(S59&gt;$J$70,$J$67,IF(S59&lt;$J$70,(IF(S59&lt;0,0,S59*$K$67))))</f>
        <v>0</v>
      </c>
      <c r="T67" s="2091">
        <f t="shared" si="482"/>
        <v>0</v>
      </c>
      <c r="U67" s="3227"/>
      <c r="V67" s="2090">
        <f t="shared" si="342"/>
        <v>0</v>
      </c>
      <c r="W67" s="2087">
        <f>$J$67*0</f>
        <v>0</v>
      </c>
      <c r="X67" s="2174">
        <f t="shared" si="285"/>
        <v>0</v>
      </c>
      <c r="Y67" s="1766"/>
      <c r="Z67" s="2090"/>
      <c r="AA67" s="2087">
        <f t="shared" ref="AA67" si="483">IF(AA59&gt;$J$70,$J$67,IF(AA59&lt;$J$70,(IF(AA59&lt;0,0,AA59*$K$67))))</f>
        <v>0</v>
      </c>
      <c r="AB67" s="2087">
        <f t="shared" ref="AB67:AC67" si="484">IF(AB59&gt;$J$70,$J$67,IF(AB59&lt;$J$70,(IF(AB59&lt;0,0,AB59*$K$67))))</f>
        <v>0</v>
      </c>
      <c r="AC67" s="2087">
        <f t="shared" si="484"/>
        <v>0</v>
      </c>
      <c r="AD67" s="2087">
        <f t="shared" ref="AD67:AE67" si="485">IF(AD59&gt;$J$70,$J$67,IF(AD59&lt;$J$70,(IF(AD59&lt;0,0,AD59*$K$67))))</f>
        <v>0</v>
      </c>
      <c r="AE67" s="2087">
        <f t="shared" si="485"/>
        <v>0</v>
      </c>
      <c r="AF67" s="2091">
        <f t="shared" ref="AF67" si="486">IF(AF59&gt;$J$70,$J$67,IF(AF59&lt;$J$70,(IF(AF59&lt;0,0,AF59*$K$67))))</f>
        <v>0</v>
      </c>
      <c r="AG67" s="1766"/>
      <c r="AH67" s="2090">
        <f t="shared" si="233"/>
        <v>0</v>
      </c>
      <c r="AI67" s="2087">
        <f>$J$67*0</f>
        <v>0</v>
      </c>
      <c r="AJ67" s="2174">
        <f t="shared" si="234"/>
        <v>0</v>
      </c>
      <c r="AK67" s="1766"/>
      <c r="AL67" s="2090"/>
      <c r="AM67" s="2088">
        <f t="shared" ref="AM67:AN67" si="487">IF(AM59&gt;$J$70,$J$67,IF(AM59&lt;$J$70,(IF(AM59&lt;0,0,AM59*$K$67))))</f>
        <v>0</v>
      </c>
      <c r="AN67" s="2088">
        <f t="shared" si="487"/>
        <v>0</v>
      </c>
      <c r="AO67" s="2088">
        <f t="shared" ref="AO67:AP67" si="488">IF(AO59&gt;$J$70,$J$67,IF(AO59&lt;$J$70,(IF(AO59&lt;0,0,AO59*$K$67))))</f>
        <v>0</v>
      </c>
      <c r="AP67" s="2088">
        <f t="shared" si="488"/>
        <v>0</v>
      </c>
      <c r="AQ67" s="2088">
        <f t="shared" ref="AQ67" si="489">IF(AQ59&gt;$J$70,$J$67,IF(AQ59&lt;$J$70,(IF(AQ59&lt;0,0,AQ59*$K$67))))</f>
        <v>0</v>
      </c>
      <c r="AR67" s="2088">
        <f t="shared" ref="AR67" si="490">IF(AR59&gt;$J$70,$J$67,IF(AR59&lt;$J$70,(IF(AR59&lt;0,0,AR59*$K$67))))</f>
        <v>0</v>
      </c>
      <c r="AS67" s="3227"/>
      <c r="AT67" s="2090">
        <f t="shared" si="417"/>
        <v>0</v>
      </c>
      <c r="AU67" s="2087">
        <f>$J$67*0</f>
        <v>0</v>
      </c>
      <c r="AV67" s="2174">
        <f t="shared" si="418"/>
        <v>0</v>
      </c>
      <c r="AW67" s="3227"/>
      <c r="AX67" s="2090"/>
      <c r="AY67" s="2088"/>
      <c r="AZ67" s="2088"/>
      <c r="BA67" s="2088">
        <f t="shared" ref="BA67:BB67" si="491">IF(BA59&gt;$J$70,$J$67,IF(BA59&lt;$J$70,(IF(BA59&lt;0,0,BA59*$K$67))))</f>
        <v>0</v>
      </c>
      <c r="BB67" s="2088">
        <f t="shared" si="491"/>
        <v>0</v>
      </c>
      <c r="BC67" s="2088">
        <f t="shared" ref="BC67:BD67" si="492">IF(BC59&gt;$J$70,$J$67,IF(BC59&lt;$J$70,(IF(BC59&lt;0,0,BC59*$K$67))))</f>
        <v>0</v>
      </c>
      <c r="BD67" s="2088">
        <f t="shared" si="492"/>
        <v>0</v>
      </c>
      <c r="BE67" s="3227"/>
      <c r="BF67" s="2090">
        <f t="shared" si="399"/>
        <v>0</v>
      </c>
      <c r="BG67" s="2087">
        <f>$J$67*0</f>
        <v>0</v>
      </c>
      <c r="BH67" s="2174">
        <f t="shared" si="400"/>
        <v>0</v>
      </c>
      <c r="BI67" s="3227"/>
      <c r="BJ67" s="2090"/>
      <c r="BK67" s="2088">
        <f t="shared" ref="BK67:BL67" si="493">IF(BK59&gt;$J$70,$J$67,IF(BK59&lt;$J$70,(IF(BK59&lt;0,0,BK59*$K$67))))</f>
        <v>0</v>
      </c>
      <c r="BL67" s="2091">
        <f t="shared" si="493"/>
        <v>0</v>
      </c>
      <c r="BM67" s="3227"/>
      <c r="BN67" s="2090">
        <f t="shared" si="422"/>
        <v>0</v>
      </c>
      <c r="BO67" s="2087">
        <f>$J$67*0</f>
        <v>0</v>
      </c>
      <c r="BP67" s="2174">
        <f t="shared" si="402"/>
        <v>0</v>
      </c>
      <c r="BR67" s="2092"/>
      <c r="BS67" s="2093"/>
      <c r="BT67" s="1740"/>
      <c r="BU67" s="2092">
        <f t="shared" si="403"/>
        <v>0</v>
      </c>
      <c r="BV67" s="2094" t="e">
        <f t="shared" si="404"/>
        <v>#DIV/0!</v>
      </c>
      <c r="BW67" s="2351"/>
      <c r="BX67" s="4636"/>
      <c r="CA67" s="3212"/>
      <c r="CB67" s="1860"/>
      <c r="CC67" s="1860"/>
      <c r="CD67" s="1860"/>
      <c r="CE67" s="1860"/>
      <c r="CF67" s="1860"/>
      <c r="CG67" s="1860"/>
      <c r="CH67" s="1860"/>
      <c r="CI67" s="1860"/>
    </row>
    <row r="68" spans="1:87" s="1885" customFormat="1" x14ac:dyDescent="0.2">
      <c r="B68" s="2691">
        <v>54</v>
      </c>
      <c r="C68" s="2692" t="s">
        <v>227</v>
      </c>
      <c r="D68" s="2693"/>
      <c r="E68" s="2694">
        <v>0</v>
      </c>
      <c r="F68" s="2695"/>
      <c r="G68" s="2695"/>
      <c r="H68" s="2695"/>
      <c r="I68" s="2695"/>
      <c r="J68" s="2695">
        <f t="shared" si="384"/>
        <v>0</v>
      </c>
      <c r="K68" s="2696">
        <f t="shared" si="385"/>
        <v>0</v>
      </c>
      <c r="L68" s="2003"/>
      <c r="M68" s="1950"/>
      <c r="N68" s="2169"/>
      <c r="O68" s="2176">
        <f t="shared" ref="O68:P68" si="494">IF(O59&gt;$J$70,$J$68,IF(O59&lt;$J$70,(IF(O59&lt;0,0,O59*$K$68))))</f>
        <v>0</v>
      </c>
      <c r="P68" s="2176">
        <f t="shared" si="494"/>
        <v>0</v>
      </c>
      <c r="Q68" s="2176">
        <f t="shared" ref="Q68:R68" si="495">IF(Q59&gt;$J$70,$J$68,IF(Q59&lt;$J$70,(IF(Q59&lt;0,0,Q59*$K$68))))</f>
        <v>0</v>
      </c>
      <c r="R68" s="2176">
        <f t="shared" si="495"/>
        <v>0</v>
      </c>
      <c r="S68" s="2176">
        <f t="shared" ref="S68:T68" si="496">IF(S59&gt;$J$70,$J$68,IF(S59&lt;$J$70,(IF(S59&lt;0,0,S59*$K$68))))</f>
        <v>0</v>
      </c>
      <c r="T68" s="2171">
        <f t="shared" si="496"/>
        <v>0</v>
      </c>
      <c r="U68" s="1951"/>
      <c r="V68" s="2169">
        <f t="shared" si="342"/>
        <v>0</v>
      </c>
      <c r="W68" s="2170">
        <f>$J$68*0</f>
        <v>0</v>
      </c>
      <c r="X68" s="2178">
        <f t="shared" si="285"/>
        <v>0</v>
      </c>
      <c r="Y68" s="1956"/>
      <c r="Z68" s="2169"/>
      <c r="AA68" s="2170">
        <f t="shared" ref="AA68" si="497">IF(AA59&gt;$J$70,$J$68,IF(AA59&lt;$J$70,(IF(AA59&lt;0,0,AA59*$K$68))))</f>
        <v>0</v>
      </c>
      <c r="AB68" s="2170">
        <f t="shared" ref="AB68:AC68" si="498">IF(AB59&gt;$J$70,$J$68,IF(AB59&lt;$J$70,(IF(AB59&lt;0,0,AB59*$K$68))))</f>
        <v>0</v>
      </c>
      <c r="AC68" s="2170">
        <f t="shared" si="498"/>
        <v>0</v>
      </c>
      <c r="AD68" s="2170">
        <f t="shared" ref="AD68:AE68" si="499">IF(AD59&gt;$J$70,$J$68,IF(AD59&lt;$J$70,(IF(AD59&lt;0,0,AD59*$K$68))))</f>
        <v>0</v>
      </c>
      <c r="AE68" s="2170">
        <f t="shared" si="499"/>
        <v>0</v>
      </c>
      <c r="AF68" s="2171">
        <f t="shared" ref="AF68" si="500">IF(AF59&gt;$J$70,$J$68,IF(AF59&lt;$J$70,(IF(AF59&lt;0,0,AF59*$K$68))))</f>
        <v>0</v>
      </c>
      <c r="AG68" s="1956"/>
      <c r="AH68" s="2169">
        <f t="shared" si="233"/>
        <v>0</v>
      </c>
      <c r="AI68" s="2170">
        <f>$J$68*0</f>
        <v>0</v>
      </c>
      <c r="AJ68" s="2178">
        <f t="shared" si="234"/>
        <v>0</v>
      </c>
      <c r="AK68" s="1956"/>
      <c r="AL68" s="2169"/>
      <c r="AM68" s="2176">
        <f t="shared" ref="AM68:AN68" si="501">IF(AM59&gt;$J$70,$J$68,IF(AM59&lt;$J$70,(IF(AM59&lt;0,0,AM59*$K$68))))</f>
        <v>0</v>
      </c>
      <c r="AN68" s="2176">
        <f t="shared" si="501"/>
        <v>0</v>
      </c>
      <c r="AO68" s="2176">
        <f t="shared" ref="AO68:AP68" si="502">IF(AO59&gt;$J$70,$J$68,IF(AO59&lt;$J$70,(IF(AO59&lt;0,0,AO59*$K$68))))</f>
        <v>0</v>
      </c>
      <c r="AP68" s="2176">
        <f t="shared" si="502"/>
        <v>0</v>
      </c>
      <c r="AQ68" s="2176">
        <f t="shared" ref="AQ68" si="503">IF(AQ59&gt;$J$70,$J$68,IF(AQ59&lt;$J$70,(IF(AQ59&lt;0,0,AQ59*$K$68))))</f>
        <v>0</v>
      </c>
      <c r="AR68" s="2176">
        <f t="shared" ref="AR68" si="504">IF(AR59&gt;$J$70,$J$68,IF(AR59&lt;$J$70,(IF(AR59&lt;0,0,AR59*$K$68))))</f>
        <v>0</v>
      </c>
      <c r="AS68" s="1951"/>
      <c r="AT68" s="2169">
        <f t="shared" si="417"/>
        <v>0</v>
      </c>
      <c r="AU68" s="2170">
        <f>$J$68*0</f>
        <v>0</v>
      </c>
      <c r="AV68" s="2178">
        <f t="shared" si="418"/>
        <v>0</v>
      </c>
      <c r="AW68" s="1951"/>
      <c r="AX68" s="2169"/>
      <c r="AY68" s="2176"/>
      <c r="AZ68" s="2176"/>
      <c r="BA68" s="2176">
        <f t="shared" ref="BA68:BB68" si="505">IF(BA59&gt;$J$70,$J$68,IF(BA59&lt;$J$70,(IF(BA59&lt;0,0,BA59*$K$68))))</f>
        <v>0</v>
      </c>
      <c r="BB68" s="2176">
        <f t="shared" si="505"/>
        <v>0</v>
      </c>
      <c r="BC68" s="2176">
        <f t="shared" ref="BC68:BD68" si="506">IF(BC59&gt;$J$70,$J$68,IF(BC59&lt;$J$70,(IF(BC59&lt;0,0,BC59*$K$68))))</f>
        <v>0</v>
      </c>
      <c r="BD68" s="2176">
        <f t="shared" si="506"/>
        <v>0</v>
      </c>
      <c r="BE68" s="1951"/>
      <c r="BF68" s="2169">
        <f t="shared" si="399"/>
        <v>0</v>
      </c>
      <c r="BG68" s="2170">
        <f>$J$68*0</f>
        <v>0</v>
      </c>
      <c r="BH68" s="2178">
        <f t="shared" si="400"/>
        <v>0</v>
      </c>
      <c r="BI68" s="1951"/>
      <c r="BJ68" s="2169"/>
      <c r="BK68" s="2176">
        <f t="shared" ref="BK68:BL68" si="507">IF(BK59&gt;$J$70,$J$68,IF(BK59&lt;$J$70,(IF(BK59&lt;0,0,BK59*$K$68))))</f>
        <v>0</v>
      </c>
      <c r="BL68" s="2171">
        <f t="shared" si="507"/>
        <v>0</v>
      </c>
      <c r="BM68" s="1951"/>
      <c r="BN68" s="2169">
        <f t="shared" si="422"/>
        <v>0</v>
      </c>
      <c r="BO68" s="2170">
        <f>$J$68*0</f>
        <v>0</v>
      </c>
      <c r="BP68" s="2178">
        <f t="shared" si="402"/>
        <v>0</v>
      </c>
      <c r="BR68" s="2179"/>
      <c r="BS68" s="2180"/>
      <c r="BT68" s="1900"/>
      <c r="BU68" s="2179">
        <f t="shared" si="403"/>
        <v>0</v>
      </c>
      <c r="BV68" s="2181" t="e">
        <f t="shared" si="404"/>
        <v>#DIV/0!</v>
      </c>
      <c r="BW68" s="2353"/>
      <c r="BX68" s="4636"/>
      <c r="CA68" s="3203"/>
      <c r="CB68" s="1946"/>
      <c r="CC68" s="1946"/>
      <c r="CD68" s="1946"/>
      <c r="CE68" s="1946"/>
      <c r="CF68" s="1946"/>
      <c r="CG68" s="1946"/>
      <c r="CH68" s="1946"/>
      <c r="CI68" s="1946"/>
    </row>
    <row r="69" spans="1:87" s="1726" customFormat="1" ht="17.25" thickBot="1" x14ac:dyDescent="0.25">
      <c r="B69" s="2647">
        <v>55</v>
      </c>
      <c r="C69" s="2648" t="s">
        <v>228</v>
      </c>
      <c r="D69" s="2649"/>
      <c r="E69" s="2193">
        <v>0</v>
      </c>
      <c r="F69" s="2313">
        <f>E69/10</f>
        <v>0</v>
      </c>
      <c r="G69" s="2313">
        <f>E69/15</f>
        <v>0</v>
      </c>
      <c r="H69" s="2313">
        <f>E69/20</f>
        <v>0</v>
      </c>
      <c r="I69" s="2313">
        <f>E69/25</f>
        <v>0</v>
      </c>
      <c r="J69" s="2313">
        <f t="shared" si="384"/>
        <v>0</v>
      </c>
      <c r="K69" s="2194">
        <f t="shared" si="385"/>
        <v>0</v>
      </c>
      <c r="L69" s="1931"/>
      <c r="M69" s="1924"/>
      <c r="N69" s="2090"/>
      <c r="O69" s="2088">
        <f t="shared" ref="O69:P69" si="508">IF(O59&gt;$J$70,$J$69,IF(O59&lt;$J$70,(IF(O59&lt;0,0,O59*$K$69))))</f>
        <v>0</v>
      </c>
      <c r="P69" s="2088">
        <f t="shared" si="508"/>
        <v>0</v>
      </c>
      <c r="Q69" s="2088">
        <f t="shared" ref="Q69:R69" si="509">IF(Q59&gt;$J$70,$J$69,IF(Q59&lt;$J$70,(IF(Q59&lt;0,0,Q59*$K$69))))</f>
        <v>0</v>
      </c>
      <c r="R69" s="2088">
        <f t="shared" si="509"/>
        <v>0</v>
      </c>
      <c r="S69" s="2088">
        <f t="shared" ref="S69:T69" si="510">IF(S59&gt;$J$70,$J$69,IF(S59&lt;$J$70,(IF(S59&lt;0,0,S59*$K$69))))</f>
        <v>0</v>
      </c>
      <c r="T69" s="2091">
        <f t="shared" si="510"/>
        <v>0</v>
      </c>
      <c r="U69" s="3227"/>
      <c r="V69" s="2445">
        <f t="shared" si="75"/>
        <v>0</v>
      </c>
      <c r="W69" s="2650">
        <f>$J$69*0</f>
        <v>0</v>
      </c>
      <c r="X69" s="2651">
        <f t="shared" si="285"/>
        <v>0</v>
      </c>
      <c r="Y69" s="1766"/>
      <c r="Z69" s="2445"/>
      <c r="AA69" s="2650">
        <f t="shared" ref="AA69" si="511">IF(AA59&gt;$J$70,$J$69,IF(AA59&lt;$J$70,(IF(AA59&lt;0,0,AA59*$K$69))))</f>
        <v>0</v>
      </c>
      <c r="AB69" s="2650">
        <f t="shared" ref="AB69:AC69" si="512">IF(AB59&gt;$J$70,$J$69,IF(AB59&lt;$J$70,(IF(AB59&lt;0,0,AB59*$K$69))))</f>
        <v>0</v>
      </c>
      <c r="AC69" s="2650">
        <f t="shared" si="512"/>
        <v>0</v>
      </c>
      <c r="AD69" s="2650">
        <f t="shared" ref="AD69:AE69" si="513">IF(AD59&gt;$J$70,$J$69,IF(AD59&lt;$J$70,(IF(AD59&lt;0,0,AD59*$K$69))))</f>
        <v>0</v>
      </c>
      <c r="AE69" s="2650">
        <f t="shared" si="513"/>
        <v>0</v>
      </c>
      <c r="AF69" s="2652">
        <f t="shared" ref="AF69" si="514">IF(AF59&gt;$J$70,$J$69,IF(AF59&lt;$J$70,(IF(AF59&lt;0,0,AF59*$K$69))))</f>
        <v>0</v>
      </c>
      <c r="AG69" s="1766"/>
      <c r="AH69" s="2445">
        <f t="shared" si="233"/>
        <v>0</v>
      </c>
      <c r="AI69" s="2650">
        <f>$J$69*0</f>
        <v>0</v>
      </c>
      <c r="AJ69" s="2651">
        <f t="shared" si="234"/>
        <v>0</v>
      </c>
      <c r="AK69" s="1766"/>
      <c r="AL69" s="2193"/>
      <c r="AM69" s="2313">
        <f t="shared" ref="AM69:AN69" si="515">IF(AM59&gt;$J$70,$J$69,IF(AM59&lt;$J$70,(IF(AM59&lt;0,0,AM59*$K$69))))</f>
        <v>0</v>
      </c>
      <c r="AN69" s="2313">
        <f t="shared" si="515"/>
        <v>0</v>
      </c>
      <c r="AO69" s="2313">
        <f t="shared" ref="AO69:AP69" si="516">IF(AO59&gt;$J$70,$J$69,IF(AO59&lt;$J$70,(IF(AO59&lt;0,0,AO59*$K$69))))</f>
        <v>0</v>
      </c>
      <c r="AP69" s="2313">
        <f t="shared" si="516"/>
        <v>0</v>
      </c>
      <c r="AQ69" s="2313">
        <f t="shared" ref="AQ69" si="517">IF(AQ59&gt;$J$70,$J$69,IF(AQ59&lt;$J$70,(IF(AQ59&lt;0,0,AQ59*$K$69))))</f>
        <v>0</v>
      </c>
      <c r="AR69" s="2313">
        <f t="shared" ref="AR69" si="518">IF(AR59&gt;$J$70,$J$69,IF(AR59&lt;$J$70,(IF(AR59&lt;0,0,AR59*$K$69))))</f>
        <v>0</v>
      </c>
      <c r="AS69" s="3227"/>
      <c r="AT69" s="2445">
        <f t="shared" si="417"/>
        <v>0</v>
      </c>
      <c r="AU69" s="2650">
        <f>$J$69*0</f>
        <v>0</v>
      </c>
      <c r="AV69" s="2651">
        <f t="shared" si="418"/>
        <v>0</v>
      </c>
      <c r="AW69" s="3227"/>
      <c r="AX69" s="2193"/>
      <c r="AY69" s="2313"/>
      <c r="AZ69" s="2313"/>
      <c r="BA69" s="2313">
        <f t="shared" ref="BA69:BB69" si="519">IF(BA59&gt;$J$70,$J$69,IF(BA59&lt;$J$70,(IF(BA59&lt;0,0,BA59*$K$69))))</f>
        <v>0</v>
      </c>
      <c r="BB69" s="2313">
        <f t="shared" si="519"/>
        <v>0</v>
      </c>
      <c r="BC69" s="2313">
        <f t="shared" ref="BC69:BD69" si="520">IF(BC59&gt;$J$70,$J$69,IF(BC59&lt;$J$70,(IF(BC59&lt;0,0,BC59*$K$69))))</f>
        <v>0</v>
      </c>
      <c r="BD69" s="2313">
        <f t="shared" si="520"/>
        <v>0</v>
      </c>
      <c r="BE69" s="3227"/>
      <c r="BF69" s="2445">
        <f t="shared" si="399"/>
        <v>0</v>
      </c>
      <c r="BG69" s="2650">
        <f>$J$69*0</f>
        <v>0</v>
      </c>
      <c r="BH69" s="2651">
        <f t="shared" si="400"/>
        <v>0</v>
      </c>
      <c r="BI69" s="3227"/>
      <c r="BJ69" s="2193"/>
      <c r="BK69" s="2313">
        <f t="shared" ref="BK69:BL69" si="521">IF(BK59&gt;$J$70,$J$69,IF(BK59&lt;$J$70,(IF(BK59&lt;0,0,BK59*$K$69))))</f>
        <v>0</v>
      </c>
      <c r="BL69" s="2314">
        <f t="shared" si="521"/>
        <v>0</v>
      </c>
      <c r="BM69" s="3227"/>
      <c r="BN69" s="2445">
        <f t="shared" si="422"/>
        <v>0</v>
      </c>
      <c r="BO69" s="2650">
        <f>$J$69*0</f>
        <v>0</v>
      </c>
      <c r="BP69" s="2651">
        <f t="shared" si="402"/>
        <v>0</v>
      </c>
      <c r="BR69" s="2193"/>
      <c r="BS69" s="2654"/>
      <c r="BT69" s="1740"/>
      <c r="BU69" s="2193">
        <f t="shared" si="403"/>
        <v>0</v>
      </c>
      <c r="BV69" s="2195" t="e">
        <f t="shared" si="404"/>
        <v>#DIV/0!</v>
      </c>
      <c r="BW69" s="2351"/>
      <c r="BX69" s="4636"/>
      <c r="CA69" s="3212"/>
      <c r="CB69" s="3212"/>
      <c r="CC69" s="1860"/>
      <c r="CD69" s="1860"/>
      <c r="CE69" s="1860"/>
      <c r="CF69" s="1860"/>
      <c r="CG69" s="1860"/>
      <c r="CH69" s="1860"/>
      <c r="CI69" s="1860"/>
    </row>
    <row r="70" spans="1:87" s="1885" customFormat="1" ht="17.25" thickBot="1" x14ac:dyDescent="0.25">
      <c r="B70" s="2697"/>
      <c r="C70" s="2698" t="s">
        <v>194</v>
      </c>
      <c r="D70" s="2119"/>
      <c r="E70" s="2183">
        <f>SUM(E61:E69)</f>
        <v>1664</v>
      </c>
      <c r="F70" s="2311">
        <f>SUM(F48:F69)</f>
        <v>153.15</v>
      </c>
      <c r="G70" s="2311">
        <f>SUM(G48:G69)</f>
        <v>102.10000000000001</v>
      </c>
      <c r="H70" s="2311">
        <f>SUM(H48:H69)</f>
        <v>76.575000000000003</v>
      </c>
      <c r="I70" s="2311">
        <f>SUM(I48:I69)</f>
        <v>61.260000000000005</v>
      </c>
      <c r="J70" s="2311">
        <f>SUM(J61:J69)</f>
        <v>69.333333333333329</v>
      </c>
      <c r="K70" s="2699">
        <f>SUM(K61:K69)</f>
        <v>1</v>
      </c>
      <c r="L70" s="2003"/>
      <c r="M70" s="1950"/>
      <c r="N70" s="2120"/>
      <c r="O70" s="2123">
        <f t="shared" ref="O70:P70" si="522">SUM(O61:O69)</f>
        <v>45.074708333333348</v>
      </c>
      <c r="P70" s="2123">
        <f t="shared" si="522"/>
        <v>8.2552083333333393</v>
      </c>
      <c r="Q70" s="2123">
        <f t="shared" ref="Q70:R70" si="523">SUM(Q61:Q69)</f>
        <v>36.471208333333351</v>
      </c>
      <c r="R70" s="2123">
        <f t="shared" si="523"/>
        <v>24.14520833333334</v>
      </c>
      <c r="S70" s="2123">
        <f t="shared" ref="S70:T70" si="524">SUM(S61:S69)</f>
        <v>15.345708333333343</v>
      </c>
      <c r="T70" s="2124">
        <f t="shared" si="524"/>
        <v>36.087708333333353</v>
      </c>
      <c r="U70" s="1951"/>
      <c r="V70" s="2120">
        <f>SUM(V61:V69)</f>
        <v>165.37975000000009</v>
      </c>
      <c r="W70" s="2123">
        <f>SUM(W61:W69)</f>
        <v>0</v>
      </c>
      <c r="X70" s="2125">
        <f>SUM(X61:X69)</f>
        <v>165.37975000000009</v>
      </c>
      <c r="Y70" s="1956"/>
      <c r="Z70" s="2120"/>
      <c r="AA70" s="2123">
        <f t="shared" ref="AA70" si="525">SUM(AA61:AA69)</f>
        <v>39.809708333333347</v>
      </c>
      <c r="AB70" s="2123">
        <f t="shared" ref="AB70:AC70" si="526">SUM(AB61:AB69)</f>
        <v>56.420708333333351</v>
      </c>
      <c r="AC70" s="2123">
        <f t="shared" si="526"/>
        <v>53.221708333333353</v>
      </c>
      <c r="AD70" s="2123">
        <f t="shared" ref="AD70:AE70" si="527">SUM(AD61:AD69)</f>
        <v>3.4362083333333513</v>
      </c>
      <c r="AE70" s="2123">
        <f t="shared" si="527"/>
        <v>11.379708333333351</v>
      </c>
      <c r="AF70" s="2124">
        <f t="shared" ref="AF70" si="528">SUM(AF61:AF69)</f>
        <v>21.263208333333349</v>
      </c>
      <c r="AG70" s="1956"/>
      <c r="AH70" s="2120">
        <f>SUM(Z70:AF70)</f>
        <v>185.53125000000011</v>
      </c>
      <c r="AI70" s="2123">
        <f>SUM(AI61:AI69)</f>
        <v>0</v>
      </c>
      <c r="AJ70" s="2125">
        <f>SUM(AJ48:AJ69)</f>
        <v>353.78125000000011</v>
      </c>
      <c r="AK70" s="1956"/>
      <c r="AL70" s="2120"/>
      <c r="AM70" s="2121">
        <f t="shared" ref="AM70:AN70" si="529">SUM(AM61:AM69)</f>
        <v>57.764708333333346</v>
      </c>
      <c r="AN70" s="2121">
        <f t="shared" si="529"/>
        <v>6.9332083333333498</v>
      </c>
      <c r="AO70" s="2121">
        <f t="shared" ref="AO70:AP70" si="530">SUM(AO61:AO69)</f>
        <v>49.141708333333355</v>
      </c>
      <c r="AP70" s="2121">
        <f t="shared" si="530"/>
        <v>48.275208333333353</v>
      </c>
      <c r="AQ70" s="2121">
        <f t="shared" ref="AQ70" si="531">SUM(AQ61:AQ69)</f>
        <v>69.333333333333329</v>
      </c>
      <c r="AR70" s="2121">
        <f t="shared" ref="AR70" si="532">SUM(AR61:AR69)</f>
        <v>69.333333333333329</v>
      </c>
      <c r="AS70" s="1951"/>
      <c r="AT70" s="2120">
        <f>SUM(AL70:AR70)</f>
        <v>300.78150000000005</v>
      </c>
      <c r="AU70" s="2123">
        <f>SUM(AU61:AU69)</f>
        <v>0</v>
      </c>
      <c r="AV70" s="2125">
        <f>SUM(AV48:AV69)</f>
        <v>469.03150000000005</v>
      </c>
      <c r="AW70" s="1951"/>
      <c r="AX70" s="2120"/>
      <c r="AY70" s="2121"/>
      <c r="AZ70" s="2121"/>
      <c r="BA70" s="2121">
        <f t="shared" ref="BA70:BB70" si="533">SUM(BA61:BA69)</f>
        <v>4.1157083333333411</v>
      </c>
      <c r="BB70" s="2121">
        <f t="shared" si="533"/>
        <v>20.652708333333347</v>
      </c>
      <c r="BC70" s="2121">
        <f t="shared" ref="BC70:BD70" si="534">SUM(BC61:BC69)</f>
        <v>6.2227083333333404</v>
      </c>
      <c r="BD70" s="2121">
        <f t="shared" si="534"/>
        <v>40.361208333333352</v>
      </c>
      <c r="BE70" s="1951"/>
      <c r="BF70" s="2187">
        <f>SUM(AX70:BD70)</f>
        <v>71.352333333333377</v>
      </c>
      <c r="BG70" s="2701">
        <f>SUM(BG61:BG69)</f>
        <v>0</v>
      </c>
      <c r="BH70" s="2702">
        <f>SUM(BH48:BH69)</f>
        <v>183.51900000000006</v>
      </c>
      <c r="BI70" s="1951"/>
      <c r="BJ70" s="2120"/>
      <c r="BK70" s="2121">
        <f t="shared" ref="BK70:BL70" si="535">SUM(BK61:BK69)</f>
        <v>50.482208333333347</v>
      </c>
      <c r="BL70" s="2124">
        <f t="shared" si="535"/>
        <v>50.482208333333347</v>
      </c>
      <c r="BM70" s="1951"/>
      <c r="BN70" s="2187">
        <f>SUM(BJ70:BL70)</f>
        <v>100.96441666666669</v>
      </c>
      <c r="BO70" s="2701">
        <f>SUM(BO48:BO69)</f>
        <v>0</v>
      </c>
      <c r="BP70" s="2702">
        <f>SUM(BP48:BP69)</f>
        <v>157.04775000000001</v>
      </c>
      <c r="BR70" s="2187">
        <f>X70+AJ70+AV70</f>
        <v>988.19250000000022</v>
      </c>
      <c r="BS70" s="2427"/>
      <c r="BT70" s="1900"/>
      <c r="BU70" s="2187">
        <f>SUM(BU61:BU69)</f>
        <v>773.52704166666683</v>
      </c>
      <c r="BV70" s="2189">
        <f t="shared" si="404"/>
        <v>0.46486000100160269</v>
      </c>
      <c r="BW70" s="2353"/>
      <c r="BX70" s="4637"/>
      <c r="CA70" s="3203"/>
      <c r="CB70" s="1946"/>
      <c r="CC70" s="1946"/>
      <c r="CD70" s="1946"/>
      <c r="CE70" s="1946"/>
      <c r="CF70" s="1946"/>
      <c r="CG70" s="1946"/>
      <c r="CH70" s="1946"/>
      <c r="CI70" s="1946"/>
    </row>
    <row r="71" spans="1:87" s="1860" customFormat="1" ht="4.5" customHeight="1" x14ac:dyDescent="0.2">
      <c r="B71" s="2196"/>
      <c r="C71" s="2196"/>
      <c r="D71" s="1861"/>
      <c r="E71" s="2197"/>
      <c r="F71" s="2197"/>
      <c r="G71" s="2197"/>
      <c r="H71" s="2197"/>
      <c r="I71" s="2197"/>
      <c r="J71" s="2197"/>
      <c r="K71" s="2198"/>
      <c r="L71" s="1760"/>
      <c r="M71" s="3212"/>
      <c r="N71" s="2197"/>
      <c r="O71" s="2197"/>
      <c r="P71" s="2197"/>
      <c r="Q71" s="2197"/>
      <c r="R71" s="2197"/>
      <c r="S71" s="2197"/>
      <c r="T71" s="2197"/>
      <c r="U71" s="3214"/>
      <c r="V71" s="3214"/>
      <c r="W71" s="3214"/>
      <c r="X71" s="3214"/>
      <c r="Y71" s="1862"/>
      <c r="Z71" s="2199"/>
      <c r="AA71" s="2199"/>
      <c r="AB71" s="2199"/>
      <c r="AC71" s="2199"/>
      <c r="AD71" s="2199"/>
      <c r="AE71" s="2199"/>
      <c r="AF71" s="2199"/>
      <c r="AG71" s="1862"/>
      <c r="AH71" s="3214"/>
      <c r="AI71" s="3214"/>
      <c r="AJ71" s="3214"/>
      <c r="AK71" s="1862"/>
      <c r="AL71" s="2197"/>
      <c r="AM71" s="2197"/>
      <c r="AN71" s="2197"/>
      <c r="AO71" s="2197"/>
      <c r="AP71" s="2197"/>
      <c r="AQ71" s="2197"/>
      <c r="AR71" s="2197"/>
      <c r="AS71" s="3214"/>
      <c r="AT71" s="3214"/>
      <c r="AU71" s="3214"/>
      <c r="AV71" s="3214"/>
      <c r="AW71" s="3214"/>
      <c r="AX71" s="2197"/>
      <c r="AY71" s="2197"/>
      <c r="AZ71" s="2197"/>
      <c r="BA71" s="2197"/>
      <c r="BB71" s="2197"/>
      <c r="BC71" s="2197"/>
      <c r="BD71" s="2197"/>
      <c r="BE71" s="3214"/>
      <c r="BF71" s="3214"/>
      <c r="BG71" s="3214"/>
      <c r="BH71" s="3214"/>
      <c r="BI71" s="3214"/>
      <c r="BJ71" s="2197"/>
      <c r="BK71" s="2197"/>
      <c r="BL71" s="2197"/>
      <c r="BM71" s="3214"/>
      <c r="BN71" s="3214"/>
      <c r="BO71" s="3214"/>
      <c r="BP71" s="3214"/>
      <c r="BR71" s="2197"/>
      <c r="BS71" s="2200"/>
      <c r="BT71" s="1861"/>
      <c r="BU71" s="2197"/>
      <c r="BV71" s="2198"/>
      <c r="BW71" s="1997"/>
      <c r="BX71" s="3212"/>
    </row>
    <row r="72" spans="1:87" s="1860" customFormat="1" ht="15.75" customHeight="1" x14ac:dyDescent="0.2">
      <c r="B72" s="2196"/>
      <c r="C72" s="2197"/>
      <c r="D72" s="1861"/>
      <c r="E72" s="1732">
        <f>E57+E70</f>
        <v>2000.5</v>
      </c>
      <c r="F72" s="1732">
        <f t="shared" ref="F72:I72" si="536">F57+F70</f>
        <v>153.15</v>
      </c>
      <c r="G72" s="1732">
        <f t="shared" si="536"/>
        <v>102.10000000000001</v>
      </c>
      <c r="H72" s="1732">
        <f t="shared" si="536"/>
        <v>76.575000000000003</v>
      </c>
      <c r="I72" s="1732">
        <f t="shared" si="536"/>
        <v>61.260000000000005</v>
      </c>
      <c r="J72" s="1732">
        <f>J57+J70</f>
        <v>83.354166666666657</v>
      </c>
      <c r="K72" s="1882">
        <f>E72/E91</f>
        <v>0.4015415341074457</v>
      </c>
      <c r="L72" s="1760"/>
      <c r="M72" s="3212"/>
      <c r="N72" s="1732"/>
      <c r="O72" s="1732">
        <f t="shared" ref="O72:P72" si="537">O59-O70</f>
        <v>0</v>
      </c>
      <c r="P72" s="1732">
        <f t="shared" si="537"/>
        <v>0</v>
      </c>
      <c r="Q72" s="1732">
        <f t="shared" ref="Q72:R72" si="538">Q59-Q70</f>
        <v>0</v>
      </c>
      <c r="R72" s="1732">
        <f t="shared" si="538"/>
        <v>0</v>
      </c>
      <c r="S72" s="1732">
        <f t="shared" ref="S72:T72" si="539">S59-S70</f>
        <v>0</v>
      </c>
      <c r="T72" s="1732">
        <f t="shared" si="539"/>
        <v>0</v>
      </c>
      <c r="U72" s="3214"/>
      <c r="V72" s="3214"/>
      <c r="W72" s="3214"/>
      <c r="X72" s="3214"/>
      <c r="Y72" s="1862"/>
      <c r="Z72" s="1732"/>
      <c r="AA72" s="1732">
        <f t="shared" ref="AA72" si="540">AA59-AA70</f>
        <v>0</v>
      </c>
      <c r="AB72" s="1732">
        <f t="shared" ref="AB72:AC72" si="541">AB59-AB70</f>
        <v>0</v>
      </c>
      <c r="AC72" s="1732">
        <f t="shared" si="541"/>
        <v>0</v>
      </c>
      <c r="AD72" s="1732">
        <f t="shared" ref="AD72:AE72" si="542">AD59-AD70</f>
        <v>0</v>
      </c>
      <c r="AE72" s="1732">
        <f t="shared" si="542"/>
        <v>0</v>
      </c>
      <c r="AF72" s="1732">
        <f t="shared" ref="AF72" si="543">AF59-AF70</f>
        <v>0</v>
      </c>
      <c r="AG72" s="1862"/>
      <c r="AH72" s="3214"/>
      <c r="AI72" s="3214"/>
      <c r="AJ72" s="3214"/>
      <c r="AK72" s="1862"/>
      <c r="AL72" s="1732"/>
      <c r="AM72" s="1732">
        <f t="shared" ref="AM72:AN72" si="544">AM59-AM70</f>
        <v>0</v>
      </c>
      <c r="AN72" s="1732">
        <f t="shared" si="544"/>
        <v>0</v>
      </c>
      <c r="AO72" s="1732">
        <f t="shared" ref="AO72:AP72" si="545">AO59-AO70</f>
        <v>0</v>
      </c>
      <c r="AP72" s="1732">
        <f t="shared" si="545"/>
        <v>0</v>
      </c>
      <c r="AQ72" s="1732">
        <f t="shared" ref="AQ72" si="546">AQ59-AQ70</f>
        <v>42.167375000000007</v>
      </c>
      <c r="AR72" s="1732">
        <f t="shared" ref="AR72" si="547">AR59-AR70</f>
        <v>91.699374999999989</v>
      </c>
      <c r="AS72" s="3214"/>
      <c r="AT72" s="3214"/>
      <c r="AU72" s="3214"/>
      <c r="AV72" s="3214"/>
      <c r="AW72" s="3214"/>
      <c r="AX72" s="1732"/>
      <c r="AY72" s="1732"/>
      <c r="AZ72" s="1732"/>
      <c r="BA72" s="1732">
        <f t="shared" ref="BA72:BB72" si="548">BA59-BA70</f>
        <v>0</v>
      </c>
      <c r="BB72" s="1732">
        <f t="shared" si="548"/>
        <v>0</v>
      </c>
      <c r="BC72" s="1732">
        <f t="shared" ref="BC72:BD72" si="549">BC59-BC70</f>
        <v>0</v>
      </c>
      <c r="BD72" s="1732">
        <f t="shared" si="549"/>
        <v>0</v>
      </c>
      <c r="BE72" s="3214"/>
      <c r="BF72" s="3214"/>
      <c r="BG72" s="3214"/>
      <c r="BH72" s="3214"/>
      <c r="BI72" s="3214"/>
      <c r="BJ72" s="1732"/>
      <c r="BK72" s="1732">
        <f t="shared" ref="BK72:BL72" si="550">BK59-BK70</f>
        <v>0</v>
      </c>
      <c r="BL72" s="1732">
        <f t="shared" si="550"/>
        <v>0</v>
      </c>
      <c r="BM72" s="3214"/>
      <c r="BN72" s="3214"/>
      <c r="BO72" s="3214"/>
      <c r="BP72" s="3214"/>
      <c r="BR72" s="1732"/>
      <c r="BS72" s="2211"/>
      <c r="BT72" s="1861"/>
      <c r="BU72" s="1732"/>
      <c r="BV72" s="1882"/>
      <c r="BW72" s="1997"/>
      <c r="BX72" s="3212"/>
    </row>
    <row r="73" spans="1:87" s="1860" customFormat="1" ht="4.5" customHeight="1" thickBot="1" x14ac:dyDescent="0.25">
      <c r="B73" s="2196"/>
      <c r="C73" s="2196"/>
      <c r="D73" s="1861"/>
      <c r="E73" s="2197"/>
      <c r="F73" s="2197"/>
      <c r="G73" s="2197"/>
      <c r="H73" s="2197"/>
      <c r="I73" s="2197"/>
      <c r="J73" s="2197"/>
      <c r="K73" s="2198"/>
      <c r="L73" s="1760"/>
      <c r="M73" s="3212"/>
      <c r="N73" s="3214"/>
      <c r="O73" s="3214"/>
      <c r="P73" s="3232"/>
      <c r="Q73" s="3236"/>
      <c r="R73" s="3240"/>
      <c r="S73" s="3244"/>
      <c r="T73" s="3214"/>
      <c r="U73" s="3214"/>
      <c r="V73" s="3214"/>
      <c r="W73" s="3214"/>
      <c r="X73" s="3214"/>
      <c r="Y73" s="1862"/>
      <c r="Z73" s="2232"/>
      <c r="AA73" s="2232"/>
      <c r="AB73" s="2232"/>
      <c r="AC73" s="2232"/>
      <c r="AD73" s="2232"/>
      <c r="AE73" s="2232"/>
      <c r="AF73" s="2232"/>
      <c r="AG73" s="1862"/>
      <c r="AH73" s="3214"/>
      <c r="AI73" s="3214"/>
      <c r="AJ73" s="3214"/>
      <c r="AK73" s="1862"/>
      <c r="AL73" s="2232"/>
      <c r="AM73" s="2232"/>
      <c r="AN73" s="2232"/>
      <c r="AO73" s="2232"/>
      <c r="AP73" s="2232"/>
      <c r="AQ73" s="2232"/>
      <c r="AR73" s="2232"/>
      <c r="AS73" s="3214"/>
      <c r="AT73" s="3214"/>
      <c r="AU73" s="3214"/>
      <c r="AV73" s="3214"/>
      <c r="AW73" s="3214"/>
      <c r="AX73" s="2232"/>
      <c r="AY73" s="2232"/>
      <c r="AZ73" s="2232"/>
      <c r="BA73" s="2232"/>
      <c r="BB73" s="2232"/>
      <c r="BC73" s="2232"/>
      <c r="BD73" s="2232"/>
      <c r="BE73" s="3214"/>
      <c r="BF73" s="3214"/>
      <c r="BG73" s="3214"/>
      <c r="BH73" s="3214"/>
      <c r="BI73" s="3214"/>
      <c r="BJ73" s="2199"/>
      <c r="BK73" s="2199"/>
      <c r="BL73" s="2199"/>
      <c r="BM73" s="3214"/>
      <c r="BN73" s="3214"/>
      <c r="BO73" s="3214"/>
      <c r="BP73" s="3214"/>
      <c r="BR73" s="2199"/>
      <c r="BS73" s="2203"/>
      <c r="BT73" s="1861"/>
      <c r="BU73" s="2199"/>
      <c r="BV73" s="2204"/>
      <c r="BW73" s="1997"/>
      <c r="BX73" s="3212"/>
    </row>
    <row r="74" spans="1:87" s="1885" customFormat="1" ht="17.25" thickBot="1" x14ac:dyDescent="0.25">
      <c r="B74" s="2401"/>
      <c r="C74" s="2401" t="s">
        <v>151</v>
      </c>
      <c r="D74" s="2402"/>
      <c r="E74" s="1898">
        <f>(E70+E57)*100/20</f>
        <v>10002.5</v>
      </c>
      <c r="F74" s="1898" t="e">
        <f>#REF!+F70</f>
        <v>#REF!</v>
      </c>
      <c r="G74" s="1898" t="e">
        <f>#REF!+G70</f>
        <v>#REF!</v>
      </c>
      <c r="H74" s="1898" t="e">
        <f>#REF!+H70</f>
        <v>#REF!</v>
      </c>
      <c r="I74" s="1898" t="e">
        <f>#REF!+I70</f>
        <v>#REF!</v>
      </c>
      <c r="J74" s="1898">
        <f>(J70+J57)*100/20</f>
        <v>416.77083333333331</v>
      </c>
      <c r="K74" s="1899">
        <f>E74/E89</f>
        <v>0.40154153410744575</v>
      </c>
      <c r="L74" s="1949"/>
      <c r="M74" s="3203"/>
      <c r="N74" s="3206"/>
      <c r="O74" s="3206"/>
      <c r="P74" s="3231"/>
      <c r="Q74" s="3235"/>
      <c r="R74" s="3239"/>
      <c r="S74" s="3243"/>
      <c r="T74" s="3206"/>
      <c r="U74" s="3204"/>
      <c r="V74" s="2319"/>
      <c r="W74" s="2321"/>
      <c r="X74" s="2433"/>
      <c r="Y74" s="1897"/>
      <c r="Z74" s="3206"/>
      <c r="AA74" s="3206"/>
      <c r="AB74" s="3274"/>
      <c r="AC74" s="3279"/>
      <c r="AD74" s="3284"/>
      <c r="AE74" s="3289"/>
      <c r="AF74" s="3206"/>
      <c r="AG74" s="1896"/>
      <c r="AH74" s="2319"/>
      <c r="AI74" s="2321"/>
      <c r="AJ74" s="2433"/>
      <c r="AK74" s="1897"/>
      <c r="AL74" s="3206"/>
      <c r="AM74" s="3206"/>
      <c r="AN74" s="3303"/>
      <c r="AO74" s="3307"/>
      <c r="AP74" s="3311"/>
      <c r="AQ74" s="3315"/>
      <c r="AR74" s="3319"/>
      <c r="AS74" s="2295"/>
      <c r="AT74" s="2319"/>
      <c r="AU74" s="2321"/>
      <c r="AV74" s="2433"/>
      <c r="AW74" s="3204"/>
      <c r="AX74" s="3206"/>
      <c r="AY74" s="3206"/>
      <c r="AZ74" s="3206"/>
      <c r="BA74" s="3206"/>
      <c r="BB74" s="3489"/>
      <c r="BC74" s="3494"/>
      <c r="BD74" s="3498"/>
      <c r="BE74" s="2295"/>
      <c r="BF74" s="2319">
        <f t="shared" ref="BF74:BF75" si="551">SUM(AX74:BD74)</f>
        <v>0</v>
      </c>
      <c r="BG74" s="2321"/>
      <c r="BH74" s="2433"/>
      <c r="BI74" s="3204"/>
      <c r="BJ74" s="1898"/>
      <c r="BK74" s="1898"/>
      <c r="BL74" s="1898"/>
      <c r="BM74" s="3204"/>
      <c r="BN74" s="2319">
        <f>SUM(BJ74:BL74)</f>
        <v>0</v>
      </c>
      <c r="BO74" s="2321"/>
      <c r="BP74" s="2433"/>
      <c r="BR74" s="1898"/>
      <c r="BS74" s="2202"/>
      <c r="BT74" s="1900"/>
      <c r="BU74" s="1898"/>
      <c r="BV74" s="1899"/>
      <c r="BW74" s="2010"/>
      <c r="BX74" s="3203"/>
    </row>
    <row r="75" spans="1:87" s="1726" customFormat="1" ht="17.25" thickBot="1" x14ac:dyDescent="0.25">
      <c r="B75" s="2049"/>
      <c r="C75" s="2050" t="s">
        <v>149</v>
      </c>
      <c r="D75" s="2051"/>
      <c r="E75" s="2052"/>
      <c r="F75" s="2053"/>
      <c r="G75" s="2053"/>
      <c r="H75" s="2053"/>
      <c r="I75" s="2053"/>
      <c r="J75" s="2053"/>
      <c r="K75" s="2253"/>
      <c r="L75" s="2216"/>
      <c r="M75" s="2055"/>
      <c r="N75" s="2056"/>
      <c r="O75" s="2053">
        <f>IF(O72&gt;$J$72,O72,IF(O72&lt;$J$72,(IF(O72&lt;0,-80.02,O59-$J$70))))</f>
        <v>-24.258624999999981</v>
      </c>
      <c r="P75" s="2053">
        <f t="shared" ref="P75:T75" si="552">IF(P72&gt;$J$72,P72,IF(P72&lt;$J$72,(IF(P72&lt;0,-80.02,P59-$J$70))))</f>
        <v>-61.078124999999986</v>
      </c>
      <c r="Q75" s="2053">
        <f t="shared" si="552"/>
        <v>-32.862124999999978</v>
      </c>
      <c r="R75" s="2053">
        <f t="shared" si="552"/>
        <v>-45.188124999999985</v>
      </c>
      <c r="S75" s="2053">
        <f t="shared" si="552"/>
        <v>-53.98762499999998</v>
      </c>
      <c r="T75" s="2057">
        <f t="shared" si="552"/>
        <v>-33.245624999999976</v>
      </c>
      <c r="U75" s="3227"/>
      <c r="V75" s="2056">
        <f>SUM(N75:T75)</f>
        <v>-250.62024999999988</v>
      </c>
      <c r="W75" s="2052"/>
      <c r="X75" s="2057"/>
      <c r="Y75" s="1766"/>
      <c r="Z75" s="2056"/>
      <c r="AA75" s="2053">
        <f t="shared" ref="AA75:AF75" si="553">IF(AA72&gt;$J$72,AA72,IF(AA72&lt;$J$72,(IF(AA72&lt;0,-80.02,AA59-$J$70))))</f>
        <v>-29.523624999999981</v>
      </c>
      <c r="AB75" s="2053">
        <f t="shared" si="553"/>
        <v>-12.912624999999977</v>
      </c>
      <c r="AC75" s="2053">
        <f t="shared" si="553"/>
        <v>-16.111624999999975</v>
      </c>
      <c r="AD75" s="2053">
        <f t="shared" si="553"/>
        <v>-65.897124999999974</v>
      </c>
      <c r="AE75" s="2053">
        <f t="shared" si="553"/>
        <v>-57.953624999999974</v>
      </c>
      <c r="AF75" s="2053">
        <f t="shared" si="553"/>
        <v>-48.070124999999976</v>
      </c>
      <c r="AG75" s="1766"/>
      <c r="AH75" s="2056">
        <f>SUM(Z75:AF75)</f>
        <v>-230.46874999999983</v>
      </c>
      <c r="AI75" s="2052"/>
      <c r="AJ75" s="2057"/>
      <c r="AK75" s="1764"/>
      <c r="AL75" s="2056"/>
      <c r="AM75" s="2053">
        <f t="shared" ref="AM75:AR75" si="554">IF(AM72&gt;$J$72,AM72,IF(AM72&lt;$J$72,(IF(AM72&lt;0,-80.02,AM59-$J$70))))</f>
        <v>-11.568624999999983</v>
      </c>
      <c r="AN75" s="2053">
        <f t="shared" si="554"/>
        <v>-62.400124999999974</v>
      </c>
      <c r="AO75" s="2053">
        <f t="shared" si="554"/>
        <v>-20.191624999999974</v>
      </c>
      <c r="AP75" s="2053">
        <f t="shared" si="554"/>
        <v>-21.058124999999976</v>
      </c>
      <c r="AQ75" s="2053">
        <f t="shared" si="554"/>
        <v>42.167375000000007</v>
      </c>
      <c r="AR75" s="2053">
        <f t="shared" si="554"/>
        <v>91.699374999999989</v>
      </c>
      <c r="AS75" s="2300"/>
      <c r="AT75" s="2056">
        <f t="shared" ref="AT75" si="555">SUM(AL75:AR75)</f>
        <v>18.64825000000009</v>
      </c>
      <c r="AU75" s="2052"/>
      <c r="AV75" s="2057"/>
      <c r="AW75" s="3227"/>
      <c r="AX75" s="2056"/>
      <c r="AY75" s="2053"/>
      <c r="AZ75" s="2053"/>
      <c r="BA75" s="2053">
        <f t="shared" ref="BA75:BB75" si="556">IF(BA72&gt;$J$72,BA72,IF(BA72&lt;$J$72,(IF(BA72&lt;0,-80.02,BA59-$J$70))))</f>
        <v>-65.217624999999984</v>
      </c>
      <c r="BB75" s="2053">
        <f t="shared" si="556"/>
        <v>-48.680624999999978</v>
      </c>
      <c r="BC75" s="2053">
        <f t="shared" ref="BC75:BD75" si="557">IF(BC72&gt;$J$72,BC72,IF(BC72&lt;$J$72,(IF(BC72&lt;0,-80.02,BC59-$J$70))))</f>
        <v>-63.110624999999985</v>
      </c>
      <c r="BD75" s="2053">
        <f t="shared" si="557"/>
        <v>-28.972124999999977</v>
      </c>
      <c r="BE75" s="3227"/>
      <c r="BF75" s="2056">
        <f t="shared" si="551"/>
        <v>-205.98099999999991</v>
      </c>
      <c r="BG75" s="2052"/>
      <c r="BH75" s="2057"/>
      <c r="BI75" s="1740"/>
      <c r="BJ75" s="2056"/>
      <c r="BK75" s="2053">
        <f t="shared" ref="BK75:BL75" si="558">IF(BK72&gt;$J$72,BK72,IF(BK72&lt;$J$72,(IF(BK72&lt;0,-80.02,BK59-$J$70))))</f>
        <v>-18.851124999999982</v>
      </c>
      <c r="BL75" s="2057">
        <f t="shared" si="558"/>
        <v>-18.851124999999982</v>
      </c>
      <c r="BM75" s="2301"/>
      <c r="BN75" s="2058">
        <f>SUM(BJ75:BL75)</f>
        <v>-37.702249999999964</v>
      </c>
      <c r="BO75" s="2324"/>
      <c r="BP75" s="2190"/>
      <c r="BQ75" s="1862"/>
      <c r="BR75" s="2058">
        <f>SUM(N75:T75)+SUM(Z75:AF75)+SUM(AL75:AR75)+SUM(AX75:BD75)+SUM(BL75:BL75)</f>
        <v>-687.27287499999954</v>
      </c>
      <c r="BS75" s="2054"/>
      <c r="BT75" s="1740"/>
      <c r="BU75" s="1740"/>
      <c r="BV75" s="1740"/>
      <c r="BW75" s="1861"/>
    </row>
    <row r="76" spans="1:87" s="1756" customFormat="1" ht="17.25" thickBot="1" x14ac:dyDescent="0.25">
      <c r="B76" s="1817"/>
      <c r="C76" s="1817"/>
      <c r="D76" s="1817"/>
      <c r="E76" s="3227"/>
      <c r="F76" s="3227"/>
      <c r="G76" s="3227"/>
      <c r="H76" s="3227"/>
      <c r="I76" s="3227"/>
      <c r="J76" s="3227"/>
      <c r="K76" s="1818"/>
      <c r="L76" s="2216"/>
      <c r="M76" s="2055"/>
      <c r="N76" s="3227"/>
      <c r="O76" s="3227"/>
      <c r="P76" s="3233"/>
      <c r="Q76" s="3237"/>
      <c r="R76" s="3241"/>
      <c r="S76" s="3245"/>
      <c r="T76" s="3227"/>
      <c r="U76" s="3227"/>
      <c r="V76" s="3227"/>
      <c r="W76" s="3227"/>
      <c r="X76" s="3227"/>
      <c r="Y76" s="1766"/>
      <c r="Z76" s="3227"/>
      <c r="AA76" s="3227"/>
      <c r="AB76" s="3277"/>
      <c r="AC76" s="3282"/>
      <c r="AD76" s="3287"/>
      <c r="AE76" s="3292"/>
      <c r="AF76" s="3227"/>
      <c r="AG76" s="1766"/>
      <c r="AH76" s="3227"/>
      <c r="AI76" s="3227"/>
      <c r="AJ76" s="3227"/>
      <c r="AK76" s="1766"/>
      <c r="AL76" s="3227"/>
      <c r="AM76" s="3227"/>
      <c r="AN76" s="3305"/>
      <c r="AO76" s="3309"/>
      <c r="AP76" s="3313"/>
      <c r="AQ76" s="3317"/>
      <c r="AR76" s="3321"/>
      <c r="AS76" s="3227"/>
      <c r="AT76" s="3227"/>
      <c r="AU76" s="3227"/>
      <c r="AV76" s="3227"/>
      <c r="AW76" s="3227"/>
      <c r="AX76" s="3227"/>
      <c r="AY76" s="3227"/>
      <c r="AZ76" s="3227"/>
      <c r="BA76" s="3227"/>
      <c r="BB76" s="3492"/>
      <c r="BC76" s="3497"/>
      <c r="BD76" s="3501"/>
      <c r="BE76" s="3227"/>
      <c r="BF76" s="3227"/>
      <c r="BG76" s="3227"/>
      <c r="BH76" s="3227"/>
      <c r="BI76" s="3227"/>
      <c r="BJ76" s="3227"/>
      <c r="BK76" s="3227"/>
      <c r="BL76" s="3227"/>
      <c r="BM76" s="3227"/>
      <c r="BN76" s="3227"/>
      <c r="BO76" s="3227"/>
      <c r="BP76" s="3227"/>
      <c r="BQ76" s="1766"/>
      <c r="BR76" s="3227"/>
      <c r="BS76" s="1830"/>
      <c r="BT76" s="3202"/>
      <c r="BU76" s="3202"/>
      <c r="BV76" s="3202"/>
      <c r="BW76" s="1817"/>
    </row>
    <row r="77" spans="1:87" s="1947" customFormat="1" x14ac:dyDescent="0.2">
      <c r="A77" s="2217"/>
      <c r="B77" s="2218">
        <v>56</v>
      </c>
      <c r="C77" s="2218" t="s">
        <v>74</v>
      </c>
      <c r="D77" s="2219"/>
      <c r="E77" s="2007">
        <v>350</v>
      </c>
      <c r="F77" s="2007">
        <f t="shared" ref="F77:F86" si="559">E77/10</f>
        <v>35</v>
      </c>
      <c r="G77" s="2007">
        <f t="shared" ref="G77:G78" si="560">E77/15</f>
        <v>23.333333333333332</v>
      </c>
      <c r="H77" s="2007">
        <f t="shared" ref="H77:H78" si="561">E77/20</f>
        <v>17.5</v>
      </c>
      <c r="I77" s="2007">
        <f t="shared" ref="I77:I78" si="562">E77/25</f>
        <v>14</v>
      </c>
      <c r="J77" s="2007">
        <f>E77/24</f>
        <v>14.583333333333334</v>
      </c>
      <c r="K77" s="2008">
        <f>E77/E91</f>
        <v>7.0252205417448643E-2</v>
      </c>
      <c r="L77" s="1949"/>
      <c r="M77" s="1905"/>
      <c r="N77" s="2007"/>
      <c r="O77" s="2007">
        <f>$E$77/29</f>
        <v>12.068965517241379</v>
      </c>
      <c r="P77" s="2007">
        <f t="shared" ref="P77:T77" si="563">$E$77/29</f>
        <v>12.068965517241379</v>
      </c>
      <c r="Q77" s="2007">
        <f t="shared" si="563"/>
        <v>12.068965517241379</v>
      </c>
      <c r="R77" s="2007">
        <f t="shared" si="563"/>
        <v>12.068965517241379</v>
      </c>
      <c r="S77" s="2007">
        <f t="shared" si="563"/>
        <v>12.068965517241379</v>
      </c>
      <c r="T77" s="2007">
        <f t="shared" si="563"/>
        <v>12.068965517241379</v>
      </c>
      <c r="U77" s="1951"/>
      <c r="V77" s="2220">
        <f t="shared" si="75"/>
        <v>72.41379310344827</v>
      </c>
      <c r="W77" s="2221"/>
      <c r="X77" s="2222"/>
      <c r="Y77" s="1955"/>
      <c r="Z77" s="2223"/>
      <c r="AA77" s="2223">
        <f t="shared" ref="AA77:AF77" si="564">$E$77/29</f>
        <v>12.068965517241379</v>
      </c>
      <c r="AB77" s="2223">
        <f t="shared" si="564"/>
        <v>12.068965517241379</v>
      </c>
      <c r="AC77" s="2223">
        <f t="shared" si="564"/>
        <v>12.068965517241379</v>
      </c>
      <c r="AD77" s="2223">
        <f t="shared" si="564"/>
        <v>12.068965517241379</v>
      </c>
      <c r="AE77" s="2223">
        <f t="shared" si="564"/>
        <v>12.068965517241379</v>
      </c>
      <c r="AF77" s="2223">
        <f t="shared" si="564"/>
        <v>12.068965517241379</v>
      </c>
      <c r="AG77" s="1955"/>
      <c r="AH77" s="2220">
        <f t="shared" ref="AH77:AH78" si="565">SUM(Z77:AF77)</f>
        <v>72.41379310344827</v>
      </c>
      <c r="AI77" s="2221"/>
      <c r="AJ77" s="2222"/>
      <c r="AK77" s="1955"/>
      <c r="AL77" s="2223"/>
      <c r="AM77" s="2223">
        <f t="shared" ref="AM77:AR77" si="566">$E$77/29</f>
        <v>12.068965517241379</v>
      </c>
      <c r="AN77" s="2223">
        <f t="shared" si="566"/>
        <v>12.068965517241379</v>
      </c>
      <c r="AO77" s="2223">
        <f t="shared" si="566"/>
        <v>12.068965517241379</v>
      </c>
      <c r="AP77" s="2223">
        <f t="shared" si="566"/>
        <v>12.068965517241379</v>
      </c>
      <c r="AQ77" s="2223">
        <f t="shared" si="566"/>
        <v>12.068965517241379</v>
      </c>
      <c r="AR77" s="2223">
        <f t="shared" si="566"/>
        <v>12.068965517241379</v>
      </c>
      <c r="AS77" s="2299"/>
      <c r="AT77" s="2220">
        <f t="shared" ref="AT77:AT80" si="567">SUM(AL77:AR77)</f>
        <v>72.41379310344827</v>
      </c>
      <c r="AU77" s="2221"/>
      <c r="AV77" s="2222"/>
      <c r="AW77" s="2299"/>
      <c r="AX77" s="2223"/>
      <c r="AY77" s="2223"/>
      <c r="AZ77" s="2223"/>
      <c r="BA77" s="2223">
        <f t="shared" ref="BA77:BD77" si="568">$E$77/29</f>
        <v>12.068965517241379</v>
      </c>
      <c r="BB77" s="2223">
        <f t="shared" si="568"/>
        <v>12.068965517241379</v>
      </c>
      <c r="BC77" s="2223">
        <f t="shared" si="568"/>
        <v>12.068965517241379</v>
      </c>
      <c r="BD77" s="2223">
        <f t="shared" si="568"/>
        <v>12.068965517241379</v>
      </c>
      <c r="BE77" s="2299"/>
      <c r="BF77" s="2220">
        <f t="shared" ref="BF77:BF78" si="569">SUM(AX77:BD77)</f>
        <v>48.275862068965516</v>
      </c>
      <c r="BG77" s="2221"/>
      <c r="BH77" s="2222"/>
      <c r="BI77" s="1951"/>
      <c r="BJ77" s="2007"/>
      <c r="BK77" s="2007">
        <f t="shared" ref="BK77:BL77" si="570">$E$77/29</f>
        <v>12.068965517241379</v>
      </c>
      <c r="BL77" s="2007">
        <f t="shared" si="570"/>
        <v>12.068965517241379</v>
      </c>
      <c r="BM77" s="1951"/>
      <c r="BN77" s="2220">
        <f>SUM(BJ77:BL77)</f>
        <v>24.137931034482758</v>
      </c>
      <c r="BO77" s="2221"/>
      <c r="BP77" s="2222"/>
      <c r="BR77" s="2007">
        <f>SUM(N77:T77)+SUM(Z77:AF77)+SUM(AL77:AR77)+SUM(AX77:BD77)+SUM(BL77:BL77)</f>
        <v>277.58620689655174</v>
      </c>
      <c r="BS77" s="2008">
        <f>BR77/E77</f>
        <v>0.7931034482758621</v>
      </c>
      <c r="BT77" s="1959"/>
      <c r="BU77" s="2224"/>
      <c r="BV77" s="2225"/>
      <c r="BW77" s="2339"/>
      <c r="BX77" s="1950"/>
    </row>
    <row r="78" spans="1:87" s="1860" customFormat="1" ht="17.25" thickBot="1" x14ac:dyDescent="0.25">
      <c r="B78" s="1739"/>
      <c r="C78" s="1739" t="s">
        <v>153</v>
      </c>
      <c r="D78" s="2205"/>
      <c r="E78" s="1732">
        <f>E77*100/20</f>
        <v>1750</v>
      </c>
      <c r="F78" s="1732">
        <f t="shared" si="559"/>
        <v>175</v>
      </c>
      <c r="G78" s="1732">
        <f t="shared" si="560"/>
        <v>116.66666666666667</v>
      </c>
      <c r="H78" s="1732">
        <f t="shared" si="561"/>
        <v>87.5</v>
      </c>
      <c r="I78" s="1732">
        <f t="shared" si="562"/>
        <v>70</v>
      </c>
      <c r="J78" s="1732">
        <f>J77*100/20</f>
        <v>72.916666666666671</v>
      </c>
      <c r="K78" s="1882">
        <f>E78/E89</f>
        <v>7.0252205417448643E-2</v>
      </c>
      <c r="L78" s="1760"/>
      <c r="M78" s="3212"/>
      <c r="N78" s="1732"/>
      <c r="O78" s="1732">
        <f t="shared" ref="O78:P78" si="571">O77*100/20</f>
        <v>60.344827586206897</v>
      </c>
      <c r="P78" s="1732">
        <f t="shared" si="571"/>
        <v>60.344827586206897</v>
      </c>
      <c r="Q78" s="1732">
        <f t="shared" ref="Q78:R78" si="572">Q77*100/20</f>
        <v>60.344827586206897</v>
      </c>
      <c r="R78" s="1732">
        <f t="shared" si="572"/>
        <v>60.344827586206897</v>
      </c>
      <c r="S78" s="1732">
        <f t="shared" ref="S78:T78" si="573">S77*100/20</f>
        <v>60.344827586206897</v>
      </c>
      <c r="T78" s="1732">
        <f t="shared" si="573"/>
        <v>60.344827586206897</v>
      </c>
      <c r="U78" s="3214"/>
      <c r="V78" s="3221">
        <f t="shared" si="75"/>
        <v>362.06896551724139</v>
      </c>
      <c r="W78" s="2227"/>
      <c r="X78" s="2228"/>
      <c r="Y78" s="1881"/>
      <c r="Z78" s="2210"/>
      <c r="AA78" s="2210">
        <f t="shared" ref="AA78" si="574">AA77*100/20</f>
        <v>60.344827586206897</v>
      </c>
      <c r="AB78" s="2210">
        <f t="shared" ref="AB78:AC78" si="575">AB77*100/20</f>
        <v>60.344827586206897</v>
      </c>
      <c r="AC78" s="2210">
        <f t="shared" si="575"/>
        <v>60.344827586206897</v>
      </c>
      <c r="AD78" s="2210">
        <f t="shared" ref="AD78:AE78" si="576">AD77*100/20</f>
        <v>60.344827586206897</v>
      </c>
      <c r="AE78" s="2210">
        <f t="shared" si="576"/>
        <v>60.344827586206897</v>
      </c>
      <c r="AF78" s="2210">
        <f t="shared" ref="AF78" si="577">AF77*100/20</f>
        <v>60.344827586206897</v>
      </c>
      <c r="AG78" s="1881"/>
      <c r="AH78" s="3221">
        <f t="shared" si="565"/>
        <v>362.06896551724139</v>
      </c>
      <c r="AI78" s="2227"/>
      <c r="AJ78" s="2228"/>
      <c r="AK78" s="1881"/>
      <c r="AL78" s="2210"/>
      <c r="AM78" s="2210">
        <f t="shared" ref="AM78:AN78" si="578">AM77*100/20</f>
        <v>60.344827586206897</v>
      </c>
      <c r="AN78" s="2210">
        <f t="shared" si="578"/>
        <v>60.344827586206897</v>
      </c>
      <c r="AO78" s="2210">
        <f t="shared" ref="AO78:AP78" si="579">AO77*100/20</f>
        <v>60.344827586206897</v>
      </c>
      <c r="AP78" s="2210">
        <f t="shared" si="579"/>
        <v>60.344827586206897</v>
      </c>
      <c r="AQ78" s="2210">
        <f t="shared" ref="AQ78" si="580">AQ77*100/20</f>
        <v>60.344827586206897</v>
      </c>
      <c r="AR78" s="2210">
        <f t="shared" ref="AR78" si="581">AR77*100/20</f>
        <v>60.344827586206897</v>
      </c>
      <c r="AS78" s="2293"/>
      <c r="AT78" s="3221">
        <f t="shared" si="567"/>
        <v>362.06896551724139</v>
      </c>
      <c r="AU78" s="2227"/>
      <c r="AV78" s="2228"/>
      <c r="AW78" s="2293"/>
      <c r="AX78" s="2210"/>
      <c r="AY78" s="2210"/>
      <c r="AZ78" s="2210"/>
      <c r="BA78" s="2210">
        <f t="shared" ref="BA78:BB78" si="582">BA77*100/20</f>
        <v>60.344827586206897</v>
      </c>
      <c r="BB78" s="2210">
        <f t="shared" si="582"/>
        <v>60.344827586206897</v>
      </c>
      <c r="BC78" s="2210">
        <f t="shared" ref="BC78:BD78" si="583">BC77*100/20</f>
        <v>60.344827586206897</v>
      </c>
      <c r="BD78" s="2210">
        <f t="shared" si="583"/>
        <v>60.344827586206897</v>
      </c>
      <c r="BE78" s="2293"/>
      <c r="BF78" s="3221">
        <f t="shared" si="569"/>
        <v>241.37931034482759</v>
      </c>
      <c r="BG78" s="2227"/>
      <c r="BH78" s="2228"/>
      <c r="BI78" s="3214"/>
      <c r="BJ78" s="1732"/>
      <c r="BK78" s="1732">
        <f t="shared" ref="BK78:BL78" si="584">BK77*100/20</f>
        <v>60.344827586206897</v>
      </c>
      <c r="BL78" s="1732">
        <f t="shared" si="584"/>
        <v>60.344827586206897</v>
      </c>
      <c r="BM78" s="3214"/>
      <c r="BN78" s="3221">
        <f>SUM(BJ78:BL78)</f>
        <v>120.68965517241379</v>
      </c>
      <c r="BO78" s="2227"/>
      <c r="BP78" s="2228"/>
      <c r="BQ78" s="1726"/>
      <c r="BR78" s="1732">
        <f>SUM(N78:T78)+SUM(Z78:AF78)+SUM(AL78:AR78)+SUM(AX78:BD78)+SUM(BL78:BL78)</f>
        <v>1387.9310344827588</v>
      </c>
      <c r="BS78" s="1882">
        <f>BR78/E78</f>
        <v>0.79310344827586221</v>
      </c>
      <c r="BT78" s="1740"/>
      <c r="BU78" s="2229"/>
      <c r="BV78" s="2230"/>
      <c r="BW78" s="2059"/>
      <c r="BX78" s="1877"/>
      <c r="BY78" s="1726"/>
    </row>
    <row r="79" spans="1:87" s="1860" customFormat="1" ht="4.5" customHeight="1" thickBot="1" x14ac:dyDescent="0.25">
      <c r="B79" s="2231"/>
      <c r="C79" s="2231"/>
      <c r="D79" s="1861"/>
      <c r="E79" s="2232"/>
      <c r="F79" s="2232"/>
      <c r="G79" s="2232"/>
      <c r="H79" s="2232"/>
      <c r="I79" s="2232"/>
      <c r="J79" s="2232"/>
      <c r="K79" s="2233"/>
      <c r="L79" s="1760"/>
      <c r="M79" s="3212"/>
      <c r="N79" s="2232"/>
      <c r="O79" s="2232"/>
      <c r="P79" s="2232"/>
      <c r="Q79" s="2232"/>
      <c r="R79" s="2232"/>
      <c r="S79" s="2232"/>
      <c r="T79" s="2232"/>
      <c r="U79" s="3214"/>
      <c r="V79" s="3214"/>
      <c r="W79" s="3214"/>
      <c r="X79" s="3214"/>
      <c r="Y79" s="1862"/>
      <c r="Z79" s="2232"/>
      <c r="AA79" s="2232"/>
      <c r="AB79" s="2232"/>
      <c r="AC79" s="2232"/>
      <c r="AD79" s="2232"/>
      <c r="AE79" s="2232"/>
      <c r="AF79" s="2232"/>
      <c r="AG79" s="1862"/>
      <c r="AH79" s="3214"/>
      <c r="AI79" s="3214"/>
      <c r="AJ79" s="3214"/>
      <c r="AK79" s="1862"/>
      <c r="AL79" s="2232"/>
      <c r="AM79" s="2232"/>
      <c r="AN79" s="2232"/>
      <c r="AO79" s="2232"/>
      <c r="AP79" s="2232"/>
      <c r="AQ79" s="2232"/>
      <c r="AR79" s="2232"/>
      <c r="AS79" s="3214"/>
      <c r="AT79" s="3214"/>
      <c r="AU79" s="3214"/>
      <c r="AV79" s="3214"/>
      <c r="AW79" s="3214"/>
      <c r="AX79" s="2232"/>
      <c r="AY79" s="2232"/>
      <c r="AZ79" s="2232"/>
      <c r="BA79" s="2232"/>
      <c r="BB79" s="2232"/>
      <c r="BC79" s="2232"/>
      <c r="BD79" s="2232"/>
      <c r="BE79" s="3214"/>
      <c r="BF79" s="3214"/>
      <c r="BG79" s="3214"/>
      <c r="BH79" s="3214"/>
      <c r="BI79" s="3214"/>
      <c r="BJ79" s="2232"/>
      <c r="BK79" s="2232"/>
      <c r="BL79" s="2232"/>
      <c r="BM79" s="3214"/>
      <c r="BN79" s="3214"/>
      <c r="BO79" s="3214"/>
      <c r="BP79" s="3214"/>
      <c r="BQ79" s="1726"/>
      <c r="BR79" s="2232"/>
      <c r="BS79" s="2233"/>
      <c r="BT79" s="1740"/>
      <c r="BU79" s="3214"/>
      <c r="BV79" s="2059"/>
      <c r="BW79" s="2059"/>
      <c r="BX79" s="1877"/>
      <c r="BY79" s="1726"/>
    </row>
    <row r="80" spans="1:87" s="1885" customFormat="1" ht="17.25" thickBot="1" x14ac:dyDescent="0.25">
      <c r="B80" s="2117"/>
      <c r="C80" s="2212" t="s">
        <v>154</v>
      </c>
      <c r="D80" s="2119"/>
      <c r="E80" s="2123"/>
      <c r="F80" s="2121"/>
      <c r="G80" s="2121"/>
      <c r="H80" s="2121"/>
      <c r="I80" s="2121"/>
      <c r="J80" s="2121"/>
      <c r="K80" s="2129"/>
      <c r="L80" s="2213"/>
      <c r="M80" s="2214"/>
      <c r="N80" s="2120"/>
      <c r="O80" s="2121">
        <f>IF(O75&gt;$J$77,O75-O77,IF(O75&lt;$J$77,(IF(O75&lt;0,-14,O75-O77))))</f>
        <v>-14</v>
      </c>
      <c r="P80" s="2121">
        <f t="shared" ref="P80:T80" si="585">IF(P75&gt;$J$77,P75-P77,IF(P75&lt;$J$77,(IF(P75&lt;0,-14,P75-P77))))</f>
        <v>-14</v>
      </c>
      <c r="Q80" s="2121">
        <f t="shared" si="585"/>
        <v>-14</v>
      </c>
      <c r="R80" s="2121">
        <f t="shared" si="585"/>
        <v>-14</v>
      </c>
      <c r="S80" s="2121">
        <f t="shared" si="585"/>
        <v>-14</v>
      </c>
      <c r="T80" s="2124">
        <f t="shared" si="585"/>
        <v>-14</v>
      </c>
      <c r="U80" s="1951"/>
      <c r="V80" s="2120">
        <f>SUM(N80:T80)</f>
        <v>-84</v>
      </c>
      <c r="W80" s="2123"/>
      <c r="X80" s="2124"/>
      <c r="Y80" s="1956"/>
      <c r="Z80" s="2120"/>
      <c r="AA80" s="2121">
        <f t="shared" ref="AA80:AF80" si="586">IF(AA75&gt;$J$77,AA75-AA77,IF(AA75&lt;$J$77,(IF(AA75&lt;0,-14,AA75-AA77))))</f>
        <v>-14</v>
      </c>
      <c r="AB80" s="2121">
        <f t="shared" si="586"/>
        <v>-14</v>
      </c>
      <c r="AC80" s="2121">
        <f t="shared" si="586"/>
        <v>-14</v>
      </c>
      <c r="AD80" s="2121">
        <f t="shared" si="586"/>
        <v>-14</v>
      </c>
      <c r="AE80" s="2121">
        <f t="shared" si="586"/>
        <v>-14</v>
      </c>
      <c r="AF80" s="2121">
        <f t="shared" si="586"/>
        <v>-14</v>
      </c>
      <c r="AG80" s="1956"/>
      <c r="AH80" s="2120">
        <f>SUM(Z80:AF80)</f>
        <v>-84</v>
      </c>
      <c r="AI80" s="2123"/>
      <c r="AJ80" s="2124"/>
      <c r="AK80" s="1955"/>
      <c r="AL80" s="2120"/>
      <c r="AM80" s="2121">
        <f t="shared" ref="AM80:AR80" si="587">IF(AM75&gt;$J$77,AM75-AM77,IF(AM75&lt;$J$77,(IF(AM75&lt;0,-14,AM75-AM77))))</f>
        <v>-14</v>
      </c>
      <c r="AN80" s="2121">
        <f t="shared" si="587"/>
        <v>-14</v>
      </c>
      <c r="AO80" s="2121">
        <f t="shared" si="587"/>
        <v>-14</v>
      </c>
      <c r="AP80" s="2121">
        <f t="shared" si="587"/>
        <v>-14</v>
      </c>
      <c r="AQ80" s="2121">
        <f t="shared" si="587"/>
        <v>30.098409482758626</v>
      </c>
      <c r="AR80" s="2121">
        <f t="shared" si="587"/>
        <v>79.630409482758608</v>
      </c>
      <c r="AS80" s="2254"/>
      <c r="AT80" s="2120">
        <f t="shared" si="567"/>
        <v>53.728818965517235</v>
      </c>
      <c r="AU80" s="2123"/>
      <c r="AV80" s="2124"/>
      <c r="AW80" s="1951"/>
      <c r="AX80" s="2120"/>
      <c r="AY80" s="2121"/>
      <c r="AZ80" s="2121"/>
      <c r="BA80" s="2121">
        <f>IF(BA75&gt;$J$77,BA75-BA77,IF(BA75&lt;$J$77,(IF(BA75&lt;0,-14,BA75-BA77))))</f>
        <v>-14</v>
      </c>
      <c r="BB80" s="2121">
        <f>IF(BB75&gt;$J$77,BB75-BB77,IF(BB75&lt;$J$77,(IF(BB75&lt;0,-14,BB75-BB77))))</f>
        <v>-14</v>
      </c>
      <c r="BC80" s="2121">
        <f>IF(BC75&gt;$J$77,BC75-BC77,IF(BC75&lt;$J$77,(IF(BC75&lt;0,-14,BC75-BC77))))</f>
        <v>-14</v>
      </c>
      <c r="BD80" s="2121">
        <f>IF(BD75&gt;$J$77,BD75-BD77,IF(BD75&lt;$J$77,(IF(BD75&lt;0,-14,BD75-BD77))))</f>
        <v>-14</v>
      </c>
      <c r="BE80" s="1951"/>
      <c r="BF80" s="2120">
        <f t="shared" ref="BF80" si="588">SUM(AX80:BD80)</f>
        <v>-56</v>
      </c>
      <c r="BG80" s="2123"/>
      <c r="BH80" s="2124"/>
      <c r="BI80" s="1900"/>
      <c r="BJ80" s="2120"/>
      <c r="BK80" s="2121">
        <f>IF(BK75&gt;$J$77,BK75-BK77,IF(BK75&lt;$J$77,(IF(BK75&lt;0,-14,BK75-BK77))))</f>
        <v>-14</v>
      </c>
      <c r="BL80" s="2124">
        <f>IF(BL75&gt;$J$77,BL75-BL77,IF(BL75&lt;$J$77,(IF(BL75&lt;0,-14,BL75-BL77))))</f>
        <v>-14</v>
      </c>
      <c r="BM80" s="2317"/>
      <c r="BN80" s="2215">
        <f>SUM(BJ80:BL80)</f>
        <v>-28</v>
      </c>
      <c r="BO80" s="2318"/>
      <c r="BP80" s="2118"/>
      <c r="BQ80" s="1897"/>
      <c r="BR80" s="2215">
        <f>SUM(N80:T80)+SUM(Z80:AF80)+SUM(AL80:AR80)+SUM(AX80:BD80)+SUM(BL80:BL80)</f>
        <v>-184.27118103448277</v>
      </c>
      <c r="BS80" s="2130">
        <f>BR80/E77</f>
        <v>-0.52648908866995081</v>
      </c>
      <c r="BT80" s="1900"/>
      <c r="BU80" s="1900"/>
      <c r="BV80" s="1900"/>
      <c r="BW80" s="2011"/>
    </row>
    <row r="81" spans="2:76" s="1756" customFormat="1" ht="17.25" thickBot="1" x14ac:dyDescent="0.25">
      <c r="B81" s="1817"/>
      <c r="C81" s="1817"/>
      <c r="D81" s="1817"/>
      <c r="E81" s="3227"/>
      <c r="F81" s="3227"/>
      <c r="G81" s="3227"/>
      <c r="H81" s="3227"/>
      <c r="I81" s="3227"/>
      <c r="J81" s="3227"/>
      <c r="K81" s="1818"/>
      <c r="L81" s="2216"/>
      <c r="M81" s="2055"/>
      <c r="N81" s="3227"/>
      <c r="O81" s="3227"/>
      <c r="P81" s="3227"/>
      <c r="Q81" s="3227"/>
      <c r="R81" s="3227"/>
      <c r="S81" s="3227"/>
      <c r="T81" s="3227"/>
      <c r="U81" s="3227"/>
      <c r="V81" s="3227"/>
      <c r="W81" s="3227"/>
      <c r="X81" s="3227"/>
      <c r="Y81" s="1766"/>
      <c r="Z81" s="3227"/>
      <c r="AA81" s="3227"/>
      <c r="AB81" s="3227"/>
      <c r="AC81" s="3227"/>
      <c r="AD81" s="3227"/>
      <c r="AE81" s="3227"/>
      <c r="AF81" s="3227"/>
      <c r="AG81" s="1766"/>
      <c r="AH81" s="3227"/>
      <c r="AI81" s="3227"/>
      <c r="AJ81" s="3227"/>
      <c r="AK81" s="1766"/>
      <c r="AL81" s="3227"/>
      <c r="AM81" s="3227"/>
      <c r="AN81" s="3227"/>
      <c r="AO81" s="3227"/>
      <c r="AP81" s="3227"/>
      <c r="AQ81" s="3227"/>
      <c r="AR81" s="3227"/>
      <c r="AS81" s="3227"/>
      <c r="AT81" s="3227"/>
      <c r="AU81" s="3227"/>
      <c r="AV81" s="3227"/>
      <c r="AW81" s="3227"/>
      <c r="AX81" s="3227"/>
      <c r="AY81" s="3227"/>
      <c r="AZ81" s="3227"/>
      <c r="BA81" s="3227"/>
      <c r="BB81" s="3227"/>
      <c r="BC81" s="3227"/>
      <c r="BD81" s="3227"/>
      <c r="BE81" s="3227"/>
      <c r="BF81" s="3227"/>
      <c r="BG81" s="3227"/>
      <c r="BH81" s="3227"/>
      <c r="BI81" s="3227"/>
      <c r="BJ81" s="3227"/>
      <c r="BK81" s="3227"/>
      <c r="BL81" s="3227"/>
      <c r="BM81" s="3227"/>
      <c r="BN81" s="3227"/>
      <c r="BO81" s="3227"/>
      <c r="BP81" s="3227"/>
      <c r="BQ81" s="1766"/>
      <c r="BR81" s="3227"/>
      <c r="BS81" s="1830"/>
      <c r="BT81" s="3202"/>
      <c r="BU81" s="3202"/>
      <c r="BV81" s="3202"/>
      <c r="BW81" s="1817"/>
    </row>
    <row r="82" spans="2:76" s="1860" customFormat="1" x14ac:dyDescent="0.2">
      <c r="B82" s="4649"/>
      <c r="C82" s="4647" t="s">
        <v>213</v>
      </c>
      <c r="D82" s="1861"/>
      <c r="E82" s="4645">
        <f>C42</f>
        <v>13157.75</v>
      </c>
      <c r="F82" s="2657"/>
      <c r="G82" s="2658"/>
      <c r="H82" s="2659"/>
      <c r="I82" s="2660"/>
      <c r="J82" s="4643">
        <f>E82/24</f>
        <v>548.23958333333337</v>
      </c>
      <c r="K82" s="4641">
        <f>J82*20%</f>
        <v>109.64791666666667</v>
      </c>
      <c r="L82" s="2216"/>
      <c r="M82" s="2055"/>
      <c r="N82" s="4628">
        <f>IF(N46&gt;0,"0.000",N46)</f>
        <v>0</v>
      </c>
      <c r="O82" s="4630" t="str">
        <f t="shared" ref="O82:T82" si="589">IF(O46&gt;0,"0.000",O46)</f>
        <v>0.000</v>
      </c>
      <c r="P82" s="4630" t="str">
        <f t="shared" si="589"/>
        <v>0.000</v>
      </c>
      <c r="Q82" s="4630" t="str">
        <f t="shared" si="589"/>
        <v>0.000</v>
      </c>
      <c r="R82" s="4630" t="str">
        <f t="shared" si="589"/>
        <v>0.000</v>
      </c>
      <c r="S82" s="4630" t="str">
        <f t="shared" si="589"/>
        <v>0.000</v>
      </c>
      <c r="T82" s="4632" t="str">
        <f t="shared" si="589"/>
        <v>0.000</v>
      </c>
      <c r="U82" s="3214"/>
      <c r="V82" s="4628">
        <f t="shared" si="75"/>
        <v>0</v>
      </c>
      <c r="W82" s="4630"/>
      <c r="X82" s="4632"/>
      <c r="Y82" s="1862"/>
      <c r="Z82" s="4628">
        <f t="shared" ref="Z82:AF82" si="590">IF(Z46&gt;0,"0.000",Z46)</f>
        <v>0</v>
      </c>
      <c r="AA82" s="4630" t="str">
        <f t="shared" si="590"/>
        <v>0.000</v>
      </c>
      <c r="AB82" s="4630" t="str">
        <f t="shared" si="590"/>
        <v>0.000</v>
      </c>
      <c r="AC82" s="4630" t="str">
        <f t="shared" si="590"/>
        <v>0.000</v>
      </c>
      <c r="AD82" s="4630" t="str">
        <f t="shared" si="590"/>
        <v>0.000</v>
      </c>
      <c r="AE82" s="4630" t="str">
        <f t="shared" si="590"/>
        <v>0.000</v>
      </c>
      <c r="AF82" s="4632" t="str">
        <f t="shared" si="590"/>
        <v>0.000</v>
      </c>
      <c r="AG82" s="1862"/>
      <c r="AH82" s="4628">
        <f t="shared" ref="AH82:AH87" si="591">SUM(Z82:AF82)</f>
        <v>0</v>
      </c>
      <c r="AI82" s="4630"/>
      <c r="AJ82" s="4632"/>
      <c r="AK82" s="1862"/>
      <c r="AL82" s="4628">
        <f t="shared" ref="AL82:AR82" si="592">IF(AL46&gt;0,"0.000",AL46)</f>
        <v>0</v>
      </c>
      <c r="AM82" s="4630" t="str">
        <f t="shared" si="592"/>
        <v>0.000</v>
      </c>
      <c r="AN82" s="4630" t="str">
        <f t="shared" si="592"/>
        <v>0.000</v>
      </c>
      <c r="AO82" s="4630" t="str">
        <f t="shared" si="592"/>
        <v>0.000</v>
      </c>
      <c r="AP82" s="4630" t="str">
        <f t="shared" si="592"/>
        <v>0.000</v>
      </c>
      <c r="AQ82" s="4630" t="str">
        <f t="shared" si="592"/>
        <v>0.000</v>
      </c>
      <c r="AR82" s="4632" t="str">
        <f t="shared" si="592"/>
        <v>0.000</v>
      </c>
      <c r="AS82" s="3214"/>
      <c r="AT82" s="4628">
        <f t="shared" ref="AT82:AT87" si="593">SUM(AL82:AR82)</f>
        <v>0</v>
      </c>
      <c r="AU82" s="4630"/>
      <c r="AV82" s="4632"/>
      <c r="AW82" s="3214"/>
      <c r="AX82" s="4628">
        <f t="shared" ref="AX82:BD82" si="594">IF(AX46&gt;0,"0.000",AX46)</f>
        <v>0</v>
      </c>
      <c r="AY82" s="4630">
        <f t="shared" si="594"/>
        <v>0</v>
      </c>
      <c r="AZ82" s="4630">
        <f t="shared" si="594"/>
        <v>0</v>
      </c>
      <c r="BA82" s="4630" t="str">
        <f t="shared" si="594"/>
        <v>0.000</v>
      </c>
      <c r="BB82" s="4630" t="str">
        <f t="shared" si="594"/>
        <v>0.000</v>
      </c>
      <c r="BC82" s="4630" t="str">
        <f t="shared" si="594"/>
        <v>0.000</v>
      </c>
      <c r="BD82" s="4632" t="str">
        <f t="shared" si="594"/>
        <v>0.000</v>
      </c>
      <c r="BE82" s="3214"/>
      <c r="BF82" s="4628">
        <f t="shared" ref="BF82:BF87" si="595">SUM(AX82:BD82)</f>
        <v>0</v>
      </c>
      <c r="BG82" s="4630"/>
      <c r="BH82" s="4632"/>
      <c r="BI82" s="3214"/>
      <c r="BJ82" s="4670">
        <f t="shared" ref="BJ82:BK82" si="596">IF(BJ46&gt;0,"0.000",BJ46)</f>
        <v>0</v>
      </c>
      <c r="BK82" s="4672" t="str">
        <f t="shared" si="596"/>
        <v>0.000</v>
      </c>
      <c r="BL82" s="4674" t="str">
        <f>IF(BL46&gt;0,"0.000",BL46)</f>
        <v>0.000</v>
      </c>
      <c r="BM82" s="3214"/>
      <c r="BN82" s="4628">
        <f>SUM(BJ82:BL82)</f>
        <v>0</v>
      </c>
      <c r="BO82" s="4630"/>
      <c r="BP82" s="4632"/>
      <c r="BQ82" s="1726"/>
      <c r="BR82" s="4628">
        <f>SUM(N82:T82)+SUM(Z82:AF82)+SUM(AL82:AR82)+SUM(AX82:BD82)+SUM(BL82:BL82)</f>
        <v>0</v>
      </c>
      <c r="BS82" s="4632"/>
      <c r="BT82" s="1740"/>
      <c r="BU82" s="3214"/>
      <c r="BV82" s="1997"/>
      <c r="BW82" s="1997"/>
      <c r="BX82" s="3212"/>
    </row>
    <row r="83" spans="2:76" s="1946" customFormat="1" ht="17.25" thickBot="1" x14ac:dyDescent="0.25">
      <c r="B83" s="4650"/>
      <c r="C83" s="4648"/>
      <c r="D83" s="2011"/>
      <c r="E83" s="4646"/>
      <c r="F83" s="2375"/>
      <c r="G83" s="2376"/>
      <c r="H83" s="2377"/>
      <c r="I83" s="2378"/>
      <c r="J83" s="4644"/>
      <c r="K83" s="4642"/>
      <c r="L83" s="2213"/>
      <c r="M83" s="2214"/>
      <c r="N83" s="4629"/>
      <c r="O83" s="4631"/>
      <c r="P83" s="4631"/>
      <c r="Q83" s="4631"/>
      <c r="R83" s="4631"/>
      <c r="S83" s="4631"/>
      <c r="T83" s="4633"/>
      <c r="U83" s="3204"/>
      <c r="V83" s="4629"/>
      <c r="W83" s="4631"/>
      <c r="X83" s="4633"/>
      <c r="Y83" s="1897"/>
      <c r="Z83" s="4629"/>
      <c r="AA83" s="4631"/>
      <c r="AB83" s="4631"/>
      <c r="AC83" s="4631"/>
      <c r="AD83" s="4631"/>
      <c r="AE83" s="4631"/>
      <c r="AF83" s="4633"/>
      <c r="AG83" s="1897"/>
      <c r="AH83" s="4629"/>
      <c r="AI83" s="4631"/>
      <c r="AJ83" s="4633"/>
      <c r="AK83" s="1897"/>
      <c r="AL83" s="4629"/>
      <c r="AM83" s="4631"/>
      <c r="AN83" s="4631"/>
      <c r="AO83" s="4631"/>
      <c r="AP83" s="4631"/>
      <c r="AQ83" s="4631"/>
      <c r="AR83" s="4633"/>
      <c r="AS83" s="3204"/>
      <c r="AT83" s="4629"/>
      <c r="AU83" s="4631"/>
      <c r="AV83" s="4633"/>
      <c r="AW83" s="3204"/>
      <c r="AX83" s="4629"/>
      <c r="AY83" s="4631"/>
      <c r="AZ83" s="4631"/>
      <c r="BA83" s="4631"/>
      <c r="BB83" s="4631"/>
      <c r="BC83" s="4631"/>
      <c r="BD83" s="4633"/>
      <c r="BE83" s="3204"/>
      <c r="BF83" s="4629"/>
      <c r="BG83" s="4631"/>
      <c r="BH83" s="4633"/>
      <c r="BI83" s="3204"/>
      <c r="BJ83" s="4671"/>
      <c r="BK83" s="4673"/>
      <c r="BL83" s="4675"/>
      <c r="BM83" s="3204"/>
      <c r="BN83" s="4629"/>
      <c r="BO83" s="4631"/>
      <c r="BP83" s="4633"/>
      <c r="BQ83" s="1885"/>
      <c r="BR83" s="4629"/>
      <c r="BS83" s="4633"/>
      <c r="BT83" s="1900"/>
      <c r="BU83" s="3204"/>
      <c r="BV83" s="2010"/>
      <c r="BW83" s="2010"/>
      <c r="BX83" s="3203"/>
    </row>
    <row r="84" spans="2:76" s="1860" customFormat="1" ht="5.25" customHeight="1" thickBot="1" x14ac:dyDescent="0.25">
      <c r="B84" s="1861"/>
      <c r="C84" s="1861"/>
      <c r="D84" s="1861"/>
      <c r="E84" s="3227"/>
      <c r="F84" s="2367"/>
      <c r="G84" s="2368"/>
      <c r="H84" s="2369"/>
      <c r="I84" s="2370"/>
      <c r="J84" s="3227"/>
      <c r="K84" s="1818"/>
      <c r="L84" s="2055"/>
      <c r="M84" s="2055"/>
      <c r="N84" s="3214"/>
      <c r="O84" s="3214"/>
      <c r="P84" s="3214"/>
      <c r="Q84" s="3214"/>
      <c r="R84" s="3214"/>
      <c r="S84" s="3214"/>
      <c r="T84" s="3214"/>
      <c r="U84" s="3214"/>
      <c r="V84" s="3214"/>
      <c r="W84" s="3214"/>
      <c r="X84" s="3214"/>
      <c r="Y84" s="1862"/>
      <c r="Z84" s="3214"/>
      <c r="AA84" s="3214"/>
      <c r="AB84" s="3214"/>
      <c r="AC84" s="3214"/>
      <c r="AD84" s="3214"/>
      <c r="AE84" s="3214"/>
      <c r="AF84" s="3214"/>
      <c r="AG84" s="1862"/>
      <c r="AH84" s="3214"/>
      <c r="AI84" s="3214"/>
      <c r="AJ84" s="3214"/>
      <c r="AK84" s="1862"/>
      <c r="AL84" s="3214"/>
      <c r="AM84" s="3214"/>
      <c r="AN84" s="3214"/>
      <c r="AO84" s="3214"/>
      <c r="AP84" s="3214"/>
      <c r="AQ84" s="3214"/>
      <c r="AR84" s="3214"/>
      <c r="AS84" s="3214"/>
      <c r="AT84" s="3214"/>
      <c r="AU84" s="3214"/>
      <c r="AV84" s="3214"/>
      <c r="AW84" s="3214"/>
      <c r="AX84" s="3214"/>
      <c r="AY84" s="3214"/>
      <c r="AZ84" s="3214"/>
      <c r="BA84" s="3214"/>
      <c r="BB84" s="3214"/>
      <c r="BC84" s="3214"/>
      <c r="BD84" s="3214"/>
      <c r="BE84" s="3214"/>
      <c r="BF84" s="3214"/>
      <c r="BG84" s="3214"/>
      <c r="BH84" s="3214"/>
      <c r="BI84" s="3214"/>
      <c r="BJ84" s="3214"/>
      <c r="BK84" s="3214"/>
      <c r="BL84" s="3214"/>
      <c r="BM84" s="3214"/>
      <c r="BN84" s="3214"/>
      <c r="BO84" s="3214"/>
      <c r="BP84" s="3214"/>
      <c r="BR84" s="3214"/>
      <c r="BS84" s="3214"/>
      <c r="BT84" s="1861"/>
      <c r="BU84" s="3214"/>
      <c r="BV84" s="1997"/>
      <c r="BW84" s="1997"/>
      <c r="BX84" s="3212"/>
    </row>
    <row r="85" spans="2:76" s="1726" customFormat="1" x14ac:dyDescent="0.2">
      <c r="B85" s="2655"/>
      <c r="C85" s="2656" t="s">
        <v>143</v>
      </c>
      <c r="D85" s="1861"/>
      <c r="E85" s="1771">
        <f>E74</f>
        <v>10002.5</v>
      </c>
      <c r="F85" s="2657">
        <f t="shared" si="559"/>
        <v>1000.25</v>
      </c>
      <c r="G85" s="2658">
        <f t="shared" ref="G85:G86" si="597">E85/15</f>
        <v>666.83333333333337</v>
      </c>
      <c r="H85" s="2659">
        <f t="shared" ref="H85:H86" si="598">E85/20</f>
        <v>500.125</v>
      </c>
      <c r="I85" s="2660">
        <f t="shared" ref="I85:I86" si="599">E85/25</f>
        <v>400.1</v>
      </c>
      <c r="J85" s="2661">
        <f>E85/24</f>
        <v>416.77083333333331</v>
      </c>
      <c r="K85" s="1773">
        <f>J85*20%</f>
        <v>83.354166666666671</v>
      </c>
      <c r="L85" s="2216"/>
      <c r="M85" s="2055"/>
      <c r="N85" s="3220">
        <f>IF(N75&gt;0,"0.000",N75)</f>
        <v>0</v>
      </c>
      <c r="O85" s="3222">
        <f>IF(O75&gt;0,"0.000",O75)</f>
        <v>-24.258624999999981</v>
      </c>
      <c r="P85" s="3222">
        <f t="shared" ref="P85:T85" si="600">IF(P75&gt;0,"0.000",P75)</f>
        <v>-61.078124999999986</v>
      </c>
      <c r="Q85" s="3222">
        <f t="shared" si="600"/>
        <v>-32.862124999999978</v>
      </c>
      <c r="R85" s="3222">
        <f t="shared" si="600"/>
        <v>-45.188124999999985</v>
      </c>
      <c r="S85" s="3222">
        <f t="shared" si="600"/>
        <v>-53.98762499999998</v>
      </c>
      <c r="T85" s="3224">
        <f t="shared" si="600"/>
        <v>-33.245624999999976</v>
      </c>
      <c r="U85" s="3214"/>
      <c r="V85" s="3220">
        <f t="shared" ref="V85:V87" si="601">SUM(N85:T85)</f>
        <v>-250.62024999999988</v>
      </c>
      <c r="W85" s="3222"/>
      <c r="X85" s="3224"/>
      <c r="Y85" s="1862"/>
      <c r="Z85" s="3220">
        <f t="shared" ref="Z85:AF85" si="602">IF(Z75&gt;0,"0.000",Z75)</f>
        <v>0</v>
      </c>
      <c r="AA85" s="3222">
        <f t="shared" si="602"/>
        <v>-29.523624999999981</v>
      </c>
      <c r="AB85" s="3222">
        <f t="shared" si="602"/>
        <v>-12.912624999999977</v>
      </c>
      <c r="AC85" s="3222">
        <f t="shared" si="602"/>
        <v>-16.111624999999975</v>
      </c>
      <c r="AD85" s="3222">
        <f t="shared" si="602"/>
        <v>-65.897124999999974</v>
      </c>
      <c r="AE85" s="3222">
        <f t="shared" si="602"/>
        <v>-57.953624999999974</v>
      </c>
      <c r="AF85" s="3224">
        <f t="shared" si="602"/>
        <v>-48.070124999999976</v>
      </c>
      <c r="AG85" s="1862"/>
      <c r="AH85" s="3220">
        <f>SUM(Z85:AF85)</f>
        <v>-230.46874999999983</v>
      </c>
      <c r="AI85" s="3222"/>
      <c r="AJ85" s="3224"/>
      <c r="AK85" s="1862"/>
      <c r="AL85" s="3220">
        <f t="shared" ref="AL85:AR85" si="603">IF(AL75&gt;0,"0.000",AL75)</f>
        <v>0</v>
      </c>
      <c r="AM85" s="3222">
        <f t="shared" si="603"/>
        <v>-11.568624999999983</v>
      </c>
      <c r="AN85" s="3222">
        <f t="shared" si="603"/>
        <v>-62.400124999999974</v>
      </c>
      <c r="AO85" s="3222">
        <f t="shared" si="603"/>
        <v>-20.191624999999974</v>
      </c>
      <c r="AP85" s="3222">
        <f t="shared" si="603"/>
        <v>-21.058124999999976</v>
      </c>
      <c r="AQ85" s="3222" t="str">
        <f t="shared" si="603"/>
        <v>0.000</v>
      </c>
      <c r="AR85" s="3224" t="str">
        <f t="shared" si="603"/>
        <v>0.000</v>
      </c>
      <c r="AS85" s="3214"/>
      <c r="AT85" s="3220">
        <f t="shared" si="593"/>
        <v>-115.21849999999991</v>
      </c>
      <c r="AU85" s="3222"/>
      <c r="AV85" s="3224"/>
      <c r="AW85" s="3214"/>
      <c r="AX85" s="3220">
        <f t="shared" ref="AX85:BD85" si="604">IF(AX75&gt;0,"0.000",AX75)</f>
        <v>0</v>
      </c>
      <c r="AY85" s="3222">
        <f t="shared" si="604"/>
        <v>0</v>
      </c>
      <c r="AZ85" s="3222">
        <f t="shared" si="604"/>
        <v>0</v>
      </c>
      <c r="BA85" s="3222">
        <f t="shared" si="604"/>
        <v>-65.217624999999984</v>
      </c>
      <c r="BB85" s="3222">
        <f t="shared" si="604"/>
        <v>-48.680624999999978</v>
      </c>
      <c r="BC85" s="3222">
        <f t="shared" si="604"/>
        <v>-63.110624999999985</v>
      </c>
      <c r="BD85" s="3224">
        <f t="shared" si="604"/>
        <v>-28.972124999999977</v>
      </c>
      <c r="BE85" s="3214"/>
      <c r="BF85" s="3220">
        <f t="shared" si="595"/>
        <v>-205.98099999999991</v>
      </c>
      <c r="BG85" s="3222"/>
      <c r="BH85" s="3224"/>
      <c r="BI85" s="3214"/>
      <c r="BJ85" s="3220">
        <f t="shared" ref="BJ85:BK85" si="605">IF(BJ75&gt;0,"0.000",BJ75)</f>
        <v>0</v>
      </c>
      <c r="BK85" s="3222">
        <f t="shared" si="605"/>
        <v>-18.851124999999982</v>
      </c>
      <c r="BL85" s="3224">
        <f>IF(BL75&gt;0,"0.000",BL75)</f>
        <v>-18.851124999999982</v>
      </c>
      <c r="BM85" s="3214"/>
      <c r="BN85" s="3220">
        <f>SUM(BJ85:BL85)</f>
        <v>-37.702249999999964</v>
      </c>
      <c r="BO85" s="3222"/>
      <c r="BP85" s="3224"/>
      <c r="BR85" s="2663">
        <f>SUM(N85:T85)+SUM(Z85:AF85)+SUM(AL85:AR85)+SUM(AX85:BD85)+SUM(BL85:BL85)</f>
        <v>-821.13962499999957</v>
      </c>
      <c r="BS85" s="3224"/>
      <c r="BT85" s="1740"/>
      <c r="BU85" s="3214"/>
      <c r="BV85" s="2246"/>
      <c r="BW85" s="2246"/>
      <c r="BX85" s="2247"/>
    </row>
    <row r="86" spans="2:76" s="1885" customFormat="1" ht="17.25" thickBot="1" x14ac:dyDescent="0.25">
      <c r="B86" s="2703"/>
      <c r="C86" s="2704" t="s">
        <v>178</v>
      </c>
      <c r="D86" s="2011"/>
      <c r="E86" s="2705">
        <f>E78</f>
        <v>1750</v>
      </c>
      <c r="F86" s="2706">
        <f t="shared" si="559"/>
        <v>175</v>
      </c>
      <c r="G86" s="2707">
        <f t="shared" si="597"/>
        <v>116.66666666666667</v>
      </c>
      <c r="H86" s="2708">
        <f t="shared" si="598"/>
        <v>87.5</v>
      </c>
      <c r="I86" s="2709">
        <f t="shared" si="599"/>
        <v>70</v>
      </c>
      <c r="J86" s="2710">
        <f>E86/24</f>
        <v>72.916666666666671</v>
      </c>
      <c r="K86" s="2711">
        <f>J86*20%</f>
        <v>14.583333333333336</v>
      </c>
      <c r="L86" s="2213"/>
      <c r="M86" s="2214"/>
      <c r="N86" s="2244">
        <f>IF(N80&gt;0,"0.000",N80)</f>
        <v>0</v>
      </c>
      <c r="O86" s="1898">
        <f t="shared" ref="O86:T86" si="606">IF(O80&gt;0,"0.000",O80)</f>
        <v>-14</v>
      </c>
      <c r="P86" s="1898">
        <f t="shared" si="606"/>
        <v>-14</v>
      </c>
      <c r="Q86" s="1898">
        <f t="shared" si="606"/>
        <v>-14</v>
      </c>
      <c r="R86" s="1898">
        <f t="shared" si="606"/>
        <v>-14</v>
      </c>
      <c r="S86" s="1898">
        <f t="shared" si="606"/>
        <v>-14</v>
      </c>
      <c r="T86" s="2245">
        <f t="shared" si="606"/>
        <v>-14</v>
      </c>
      <c r="U86" s="3204"/>
      <c r="V86" s="2244">
        <f t="shared" si="601"/>
        <v>-84</v>
      </c>
      <c r="W86" s="1898"/>
      <c r="X86" s="2245"/>
      <c r="Y86" s="1897"/>
      <c r="Z86" s="2244">
        <f t="shared" ref="Z86:AF86" si="607">IF(Z80&gt;0,"0.000",Z80)</f>
        <v>0</v>
      </c>
      <c r="AA86" s="1898">
        <f t="shared" si="607"/>
        <v>-14</v>
      </c>
      <c r="AB86" s="1898">
        <f t="shared" si="607"/>
        <v>-14</v>
      </c>
      <c r="AC86" s="1898">
        <f t="shared" si="607"/>
        <v>-14</v>
      </c>
      <c r="AD86" s="1898">
        <f t="shared" si="607"/>
        <v>-14</v>
      </c>
      <c r="AE86" s="1898">
        <f t="shared" si="607"/>
        <v>-14</v>
      </c>
      <c r="AF86" s="2245">
        <f t="shared" si="607"/>
        <v>-14</v>
      </c>
      <c r="AG86" s="1897"/>
      <c r="AH86" s="2244">
        <f t="shared" si="591"/>
        <v>-84</v>
      </c>
      <c r="AI86" s="1898"/>
      <c r="AJ86" s="2245"/>
      <c r="AK86" s="1897"/>
      <c r="AL86" s="2244">
        <f t="shared" ref="AL86:AR86" si="608">IF(AL80&gt;0,"0.000",AL80)</f>
        <v>0</v>
      </c>
      <c r="AM86" s="1898">
        <f t="shared" si="608"/>
        <v>-14</v>
      </c>
      <c r="AN86" s="1898">
        <f t="shared" si="608"/>
        <v>-14</v>
      </c>
      <c r="AO86" s="1898">
        <f t="shared" si="608"/>
        <v>-14</v>
      </c>
      <c r="AP86" s="1898">
        <f t="shared" si="608"/>
        <v>-14</v>
      </c>
      <c r="AQ86" s="1898" t="str">
        <f t="shared" si="608"/>
        <v>0.000</v>
      </c>
      <c r="AR86" s="2245" t="str">
        <f t="shared" si="608"/>
        <v>0.000</v>
      </c>
      <c r="AS86" s="3204"/>
      <c r="AT86" s="2244">
        <f t="shared" si="593"/>
        <v>-56</v>
      </c>
      <c r="AU86" s="1898"/>
      <c r="AV86" s="2245"/>
      <c r="AW86" s="3204"/>
      <c r="AX86" s="2244">
        <f t="shared" ref="AX86:BD86" si="609">IF(AX80&gt;0,"0.000",AX80)</f>
        <v>0</v>
      </c>
      <c r="AY86" s="1898">
        <f t="shared" si="609"/>
        <v>0</v>
      </c>
      <c r="AZ86" s="1898">
        <f t="shared" si="609"/>
        <v>0</v>
      </c>
      <c r="BA86" s="1898">
        <f t="shared" si="609"/>
        <v>-14</v>
      </c>
      <c r="BB86" s="1898">
        <f t="shared" si="609"/>
        <v>-14</v>
      </c>
      <c r="BC86" s="1898">
        <f t="shared" si="609"/>
        <v>-14</v>
      </c>
      <c r="BD86" s="2245">
        <f t="shared" si="609"/>
        <v>-14</v>
      </c>
      <c r="BE86" s="3204"/>
      <c r="BF86" s="2244">
        <f t="shared" si="595"/>
        <v>-56</v>
      </c>
      <c r="BG86" s="1898"/>
      <c r="BH86" s="2245"/>
      <c r="BI86" s="3204"/>
      <c r="BJ86" s="3025">
        <f t="shared" ref="BJ86:BK86" si="610">IF(BJ80&gt;0,"0.000",BJ80)</f>
        <v>0</v>
      </c>
      <c r="BK86" s="1898">
        <f t="shared" si="610"/>
        <v>-14</v>
      </c>
      <c r="BL86" s="2245">
        <f>IF(BL80&gt;0,"0.000",BL80)</f>
        <v>-14</v>
      </c>
      <c r="BM86" s="3204"/>
      <c r="BN86" s="2244">
        <f t="shared" ref="BN86:BN87" si="611">SUM(BJ86:BL86)</f>
        <v>-28</v>
      </c>
      <c r="BO86" s="1898"/>
      <c r="BP86" s="2245"/>
      <c r="BR86" s="2244">
        <f>SUM(N86:T86)+SUM(Z86:AF86)+SUM(AL86:AR86)+SUM(AX86:BD86)+SUM(BL86:BL86)</f>
        <v>-294</v>
      </c>
      <c r="BS86" s="2245"/>
      <c r="BT86" s="1900"/>
      <c r="BU86" s="3204"/>
      <c r="BV86" s="2251"/>
      <c r="BW86" s="2251"/>
      <c r="BX86" s="2252"/>
    </row>
    <row r="87" spans="2:76" s="1726" customFormat="1" ht="17.25" thickBot="1" x14ac:dyDescent="0.25">
      <c r="B87" s="2355"/>
      <c r="C87" s="2356" t="s">
        <v>272</v>
      </c>
      <c r="D87" s="1861"/>
      <c r="E87" s="2664">
        <f>E85+E86</f>
        <v>11752.5</v>
      </c>
      <c r="F87" s="2665"/>
      <c r="G87" s="2666"/>
      <c r="H87" s="2667"/>
      <c r="I87" s="2668"/>
      <c r="J87" s="2669">
        <f>J85+J86</f>
        <v>489.6875</v>
      </c>
      <c r="K87" s="2670">
        <f>K85+K86</f>
        <v>97.9375</v>
      </c>
      <c r="L87" s="2216"/>
      <c r="M87" s="2055"/>
      <c r="N87" s="3221">
        <f>IF(N80&lt;0,"0.000",N80)</f>
        <v>0</v>
      </c>
      <c r="O87" s="3223" t="str">
        <f t="shared" ref="O87:T87" si="612">IF(O80&lt;0,"0.000",O80)</f>
        <v>0.000</v>
      </c>
      <c r="P87" s="3223" t="str">
        <f t="shared" si="612"/>
        <v>0.000</v>
      </c>
      <c r="Q87" s="3223" t="str">
        <f t="shared" si="612"/>
        <v>0.000</v>
      </c>
      <c r="R87" s="3223" t="str">
        <f t="shared" si="612"/>
        <v>0.000</v>
      </c>
      <c r="S87" s="3223" t="str">
        <f t="shared" si="612"/>
        <v>0.000</v>
      </c>
      <c r="T87" s="3225" t="str">
        <f t="shared" si="612"/>
        <v>0.000</v>
      </c>
      <c r="U87" s="3214"/>
      <c r="V87" s="3221">
        <f t="shared" si="601"/>
        <v>0</v>
      </c>
      <c r="W87" s="3223"/>
      <c r="X87" s="3225"/>
      <c r="Y87" s="1862"/>
      <c r="Z87" s="3221">
        <f t="shared" ref="Z87:AF87" si="613">IF(Z80&lt;0,"0.000",Z80)</f>
        <v>0</v>
      </c>
      <c r="AA87" s="3223" t="str">
        <f t="shared" si="613"/>
        <v>0.000</v>
      </c>
      <c r="AB87" s="3223" t="str">
        <f t="shared" si="613"/>
        <v>0.000</v>
      </c>
      <c r="AC87" s="3223" t="str">
        <f t="shared" si="613"/>
        <v>0.000</v>
      </c>
      <c r="AD87" s="3223" t="str">
        <f t="shared" si="613"/>
        <v>0.000</v>
      </c>
      <c r="AE87" s="3223" t="str">
        <f t="shared" si="613"/>
        <v>0.000</v>
      </c>
      <c r="AF87" s="3225" t="str">
        <f t="shared" si="613"/>
        <v>0.000</v>
      </c>
      <c r="AG87" s="1862"/>
      <c r="AH87" s="3221">
        <f t="shared" si="591"/>
        <v>0</v>
      </c>
      <c r="AI87" s="3223"/>
      <c r="AJ87" s="3225"/>
      <c r="AK87" s="1862"/>
      <c r="AL87" s="3221">
        <f t="shared" ref="AL87:AR87" si="614">IF(AL80&lt;0,"0.000",AL80)</f>
        <v>0</v>
      </c>
      <c r="AM87" s="3223" t="str">
        <f t="shared" si="614"/>
        <v>0.000</v>
      </c>
      <c r="AN87" s="3223" t="str">
        <f t="shared" si="614"/>
        <v>0.000</v>
      </c>
      <c r="AO87" s="3223" t="str">
        <f t="shared" si="614"/>
        <v>0.000</v>
      </c>
      <c r="AP87" s="3223" t="str">
        <f t="shared" si="614"/>
        <v>0.000</v>
      </c>
      <c r="AQ87" s="3223">
        <f t="shared" si="614"/>
        <v>30.098409482758626</v>
      </c>
      <c r="AR87" s="3225">
        <f t="shared" si="614"/>
        <v>79.630409482758608</v>
      </c>
      <c r="AS87" s="3214"/>
      <c r="AT87" s="3221">
        <f t="shared" si="593"/>
        <v>109.72881896551723</v>
      </c>
      <c r="AU87" s="3223"/>
      <c r="AV87" s="3225"/>
      <c r="AW87" s="3214"/>
      <c r="AX87" s="3221">
        <f t="shared" ref="AX87:BD87" si="615">IF(AX80&lt;0,"0.000",AX80)</f>
        <v>0</v>
      </c>
      <c r="AY87" s="3223">
        <f t="shared" si="615"/>
        <v>0</v>
      </c>
      <c r="AZ87" s="3223">
        <f t="shared" si="615"/>
        <v>0</v>
      </c>
      <c r="BA87" s="3223" t="str">
        <f t="shared" si="615"/>
        <v>0.000</v>
      </c>
      <c r="BB87" s="3223" t="str">
        <f t="shared" si="615"/>
        <v>0.000</v>
      </c>
      <c r="BC87" s="3223" t="str">
        <f t="shared" si="615"/>
        <v>0.000</v>
      </c>
      <c r="BD87" s="3225" t="str">
        <f t="shared" si="615"/>
        <v>0.000</v>
      </c>
      <c r="BE87" s="3214"/>
      <c r="BF87" s="3221">
        <f t="shared" si="595"/>
        <v>0</v>
      </c>
      <c r="BG87" s="3223"/>
      <c r="BH87" s="3225"/>
      <c r="BI87" s="3214"/>
      <c r="BJ87" s="3221">
        <f t="shared" ref="BJ87:BK87" si="616">IF(BJ80&lt;0,"0.000",BJ80)</f>
        <v>0</v>
      </c>
      <c r="BK87" s="3223" t="str">
        <f t="shared" si="616"/>
        <v>0.000</v>
      </c>
      <c r="BL87" s="3225" t="str">
        <f>IF(BL80&lt;0,"0.000",BL80)</f>
        <v>0.000</v>
      </c>
      <c r="BM87" s="3214"/>
      <c r="BN87" s="3221">
        <f t="shared" si="611"/>
        <v>0</v>
      </c>
      <c r="BO87" s="3223"/>
      <c r="BP87" s="3225"/>
      <c r="BR87" s="3221">
        <f>SUM(N87:T87)+SUM(Z87:AF87)+SUM(AL87:AR87)+SUM(AX87:BD87)+SUM(BL87:BL87)</f>
        <v>109.72881896551723</v>
      </c>
      <c r="BS87" s="3225"/>
      <c r="BT87" s="1740"/>
      <c r="BU87" s="3214"/>
      <c r="BV87" s="2246"/>
      <c r="BW87" s="2246"/>
      <c r="BX87" s="2247"/>
    </row>
    <row r="88" spans="2:76" s="1726" customFormat="1" ht="4.5" customHeight="1" thickBot="1" x14ac:dyDescent="0.25">
      <c r="B88" s="1740"/>
      <c r="C88" s="1740"/>
      <c r="D88" s="1861"/>
      <c r="E88" s="1740"/>
      <c r="F88" s="1740"/>
      <c r="G88" s="1740"/>
      <c r="H88" s="1740"/>
      <c r="I88" s="1740"/>
      <c r="J88" s="1740"/>
      <c r="K88" s="1997"/>
      <c r="L88" s="1760"/>
      <c r="M88" s="3212"/>
      <c r="N88" s="1740"/>
      <c r="O88" s="1740"/>
      <c r="P88" s="1740"/>
      <c r="Q88" s="1740"/>
      <c r="R88" s="1740"/>
      <c r="S88" s="1740"/>
      <c r="T88" s="1740"/>
      <c r="U88" s="1861"/>
      <c r="V88" s="1740"/>
      <c r="W88" s="1740"/>
      <c r="X88" s="1740"/>
      <c r="Y88" s="1860"/>
      <c r="Z88" s="1740"/>
      <c r="AA88" s="1740"/>
      <c r="AB88" s="1740"/>
      <c r="AC88" s="1740"/>
      <c r="AD88" s="1740"/>
      <c r="AE88" s="1740"/>
      <c r="AF88" s="1740"/>
      <c r="AG88" s="1860"/>
      <c r="AH88" s="1740"/>
      <c r="AI88" s="1740"/>
      <c r="AJ88" s="1740"/>
      <c r="AK88" s="1860"/>
      <c r="AL88" s="1740"/>
      <c r="AM88" s="1740"/>
      <c r="AN88" s="1740"/>
      <c r="AO88" s="1740"/>
      <c r="AP88" s="1740"/>
      <c r="AQ88" s="1740"/>
      <c r="AR88" s="1740"/>
      <c r="AS88" s="1861"/>
      <c r="AT88" s="1740"/>
      <c r="AU88" s="1740"/>
      <c r="AV88" s="1740"/>
      <c r="AW88" s="1861"/>
      <c r="AX88" s="1740"/>
      <c r="AY88" s="1740"/>
      <c r="AZ88" s="1740"/>
      <c r="BA88" s="1740"/>
      <c r="BB88" s="1740"/>
      <c r="BC88" s="1740"/>
      <c r="BD88" s="1740"/>
      <c r="BE88" s="1861"/>
      <c r="BF88" s="1740"/>
      <c r="BG88" s="1740"/>
      <c r="BH88" s="1740"/>
      <c r="BI88" s="1740"/>
      <c r="BJ88" s="1740"/>
      <c r="BK88" s="1740"/>
      <c r="BL88" s="1740"/>
      <c r="BM88" s="1740"/>
      <c r="BN88" s="1740"/>
      <c r="BO88" s="1740"/>
      <c r="BP88" s="1740"/>
      <c r="BR88" s="1740"/>
      <c r="BS88" s="1740"/>
      <c r="BT88" s="1740"/>
      <c r="BU88" s="1740"/>
      <c r="BV88" s="1740"/>
      <c r="BW88" s="1861"/>
    </row>
    <row r="89" spans="2:76" s="1885" customFormat="1" ht="17.25" thickBot="1" x14ac:dyDescent="0.25">
      <c r="B89" s="2117"/>
      <c r="C89" s="2212"/>
      <c r="D89" s="2119"/>
      <c r="E89" s="2123">
        <f>SUM(E82:E86)</f>
        <v>24910.25</v>
      </c>
      <c r="F89" s="2121"/>
      <c r="G89" s="2121"/>
      <c r="H89" s="2121"/>
      <c r="I89" s="2121"/>
      <c r="J89" s="2121">
        <f>E89/24</f>
        <v>1037.9270833333333</v>
      </c>
      <c r="K89" s="2129">
        <f>J89*20%</f>
        <v>207.58541666666667</v>
      </c>
      <c r="L89" s="2213"/>
      <c r="M89" s="2214"/>
      <c r="N89" s="2120">
        <f>SUM(N82:N87)</f>
        <v>0</v>
      </c>
      <c r="O89" s="2123">
        <f t="shared" ref="O89:T89" si="617">SUM(O82:O87)</f>
        <v>-38.258624999999981</v>
      </c>
      <c r="P89" s="2123">
        <f t="shared" si="617"/>
        <v>-75.078124999999986</v>
      </c>
      <c r="Q89" s="2123">
        <f t="shared" si="617"/>
        <v>-46.862124999999978</v>
      </c>
      <c r="R89" s="2123">
        <f t="shared" si="617"/>
        <v>-59.188124999999985</v>
      </c>
      <c r="S89" s="2123">
        <f t="shared" si="617"/>
        <v>-67.98762499999998</v>
      </c>
      <c r="T89" s="2124">
        <f t="shared" si="617"/>
        <v>-47.245624999999976</v>
      </c>
      <c r="U89" s="1951"/>
      <c r="V89" s="2120">
        <f>SUM(N89:T89)</f>
        <v>-334.62024999999988</v>
      </c>
      <c r="W89" s="2123"/>
      <c r="X89" s="2124"/>
      <c r="Y89" s="1956"/>
      <c r="Z89" s="2120">
        <f t="shared" ref="Z89:AF89" si="618">SUM(Z82:Z87)</f>
        <v>0</v>
      </c>
      <c r="AA89" s="2123">
        <f t="shared" si="618"/>
        <v>-43.523624999999981</v>
      </c>
      <c r="AB89" s="2123">
        <f t="shared" si="618"/>
        <v>-26.912624999999977</v>
      </c>
      <c r="AC89" s="2123">
        <f t="shared" si="618"/>
        <v>-30.111624999999975</v>
      </c>
      <c r="AD89" s="2123">
        <f t="shared" si="618"/>
        <v>-79.897124999999974</v>
      </c>
      <c r="AE89" s="2123">
        <f t="shared" si="618"/>
        <v>-71.953624999999974</v>
      </c>
      <c r="AF89" s="2124">
        <f t="shared" si="618"/>
        <v>-62.070124999999976</v>
      </c>
      <c r="AG89" s="1956"/>
      <c r="AH89" s="2120">
        <f>SUM(Z89:AF89)</f>
        <v>-314.46874999999983</v>
      </c>
      <c r="AI89" s="2123"/>
      <c r="AJ89" s="2124"/>
      <c r="AK89" s="1955"/>
      <c r="AL89" s="2120">
        <f t="shared" ref="AL89:AR89" si="619">SUM(AL82:AL87)</f>
        <v>0</v>
      </c>
      <c r="AM89" s="2121">
        <f t="shared" si="619"/>
        <v>-25.568624999999983</v>
      </c>
      <c r="AN89" s="2121">
        <f t="shared" si="619"/>
        <v>-76.400124999999974</v>
      </c>
      <c r="AO89" s="2121">
        <f t="shared" si="619"/>
        <v>-34.191624999999974</v>
      </c>
      <c r="AP89" s="2121">
        <f t="shared" si="619"/>
        <v>-35.058124999999976</v>
      </c>
      <c r="AQ89" s="2121">
        <f t="shared" si="619"/>
        <v>30.098409482758626</v>
      </c>
      <c r="AR89" s="2124">
        <f t="shared" si="619"/>
        <v>79.630409482758608</v>
      </c>
      <c r="AS89" s="2254"/>
      <c r="AT89" s="2120">
        <f>SUM(AL89:AR89)</f>
        <v>-61.489681034482658</v>
      </c>
      <c r="AU89" s="2123"/>
      <c r="AV89" s="2124"/>
      <c r="AW89" s="1951"/>
      <c r="AX89" s="2120">
        <f t="shared" ref="AX89:BD89" si="620">SUM(AX82:AX87)</f>
        <v>0</v>
      </c>
      <c r="AY89" s="2121">
        <f t="shared" si="620"/>
        <v>0</v>
      </c>
      <c r="AZ89" s="2121">
        <f t="shared" si="620"/>
        <v>0</v>
      </c>
      <c r="BA89" s="2121">
        <f t="shared" si="620"/>
        <v>-79.217624999999984</v>
      </c>
      <c r="BB89" s="2121">
        <f t="shared" si="620"/>
        <v>-62.680624999999978</v>
      </c>
      <c r="BC89" s="2121">
        <f t="shared" si="620"/>
        <v>-77.110624999999985</v>
      </c>
      <c r="BD89" s="2124">
        <f t="shared" si="620"/>
        <v>-42.972124999999977</v>
      </c>
      <c r="BE89" s="1951"/>
      <c r="BF89" s="2120">
        <f>SUM(AX89:BD89)</f>
        <v>-261.98099999999988</v>
      </c>
      <c r="BG89" s="2123"/>
      <c r="BH89" s="2124"/>
      <c r="BI89" s="1900"/>
      <c r="BJ89" s="2120">
        <f t="shared" ref="BJ89:BL89" si="621">SUM(BJ82:BJ87)</f>
        <v>0</v>
      </c>
      <c r="BK89" s="2121">
        <f t="shared" si="621"/>
        <v>-32.851124999999982</v>
      </c>
      <c r="BL89" s="2124">
        <f t="shared" si="621"/>
        <v>-32.851124999999982</v>
      </c>
      <c r="BM89" s="2317"/>
      <c r="BN89" s="2215">
        <f>SUM(BJ89:BL89)</f>
        <v>-65.702249999999964</v>
      </c>
      <c r="BO89" s="2318"/>
      <c r="BP89" s="2118"/>
      <c r="BQ89" s="1897"/>
      <c r="BR89" s="2215">
        <f>SUM(N89:T89)+SUM(Z89:AF89)+SUM(AL89:AR89)+SUM(AX89:BD89)+SUM(BL89:BL89)</f>
        <v>-1005.4108060344822</v>
      </c>
      <c r="BS89" s="2130"/>
      <c r="BT89" s="1900"/>
      <c r="BU89" s="1900"/>
      <c r="BV89" s="1900"/>
      <c r="BW89" s="2011"/>
    </row>
    <row r="90" spans="2:76" s="1726" customFormat="1" ht="4.5" customHeight="1" thickBot="1" x14ac:dyDescent="0.25">
      <c r="B90" s="1740"/>
      <c r="C90" s="1740"/>
      <c r="D90" s="1861"/>
      <c r="E90" s="1740"/>
      <c r="F90" s="1740"/>
      <c r="G90" s="1740"/>
      <c r="H90" s="1740"/>
      <c r="I90" s="1740"/>
      <c r="J90" s="1740"/>
      <c r="K90" s="1861"/>
      <c r="L90" s="1827"/>
      <c r="M90" s="1810"/>
      <c r="N90" s="1740"/>
      <c r="O90" s="1740"/>
      <c r="P90" s="1740"/>
      <c r="Q90" s="1740"/>
      <c r="R90" s="1740"/>
      <c r="S90" s="1740"/>
      <c r="T90" s="1740"/>
      <c r="U90" s="1861"/>
      <c r="V90" s="1740"/>
      <c r="W90" s="1740"/>
      <c r="X90" s="1740"/>
      <c r="Y90" s="1860"/>
      <c r="AG90" s="1860"/>
      <c r="AH90" s="1740"/>
      <c r="AI90" s="1740"/>
      <c r="AJ90" s="1740"/>
      <c r="AK90" s="1860"/>
      <c r="AL90" s="1740"/>
      <c r="AM90" s="1740"/>
      <c r="AN90" s="1740"/>
      <c r="AO90" s="1740"/>
      <c r="AP90" s="1740"/>
      <c r="AQ90" s="1740"/>
      <c r="AR90" s="1740"/>
      <c r="AS90" s="1861"/>
      <c r="AT90" s="1740"/>
      <c r="AU90" s="1740"/>
      <c r="AV90" s="1740"/>
      <c r="AW90" s="1861"/>
      <c r="AX90" s="1740"/>
      <c r="AY90" s="1740"/>
      <c r="AZ90" s="1740"/>
      <c r="BA90" s="1740"/>
      <c r="BB90" s="1740"/>
      <c r="BC90" s="1740"/>
      <c r="BD90" s="1740"/>
      <c r="BE90" s="1861"/>
      <c r="BF90" s="1740"/>
      <c r="BG90" s="1740"/>
      <c r="BH90" s="1740"/>
      <c r="BI90" s="1740"/>
      <c r="BJ90" s="1740"/>
      <c r="BK90" s="1740"/>
      <c r="BL90" s="1740"/>
      <c r="BM90" s="1740"/>
      <c r="BN90" s="1740"/>
      <c r="BO90" s="1740"/>
      <c r="BP90" s="1740"/>
      <c r="BR90" s="1740"/>
      <c r="BS90" s="1740"/>
      <c r="BT90" s="1740"/>
      <c r="BU90" s="1740"/>
      <c r="BV90" s="1740"/>
      <c r="BW90" s="1861"/>
    </row>
    <row r="91" spans="2:76" s="1726" customFormat="1" ht="17.25" thickBot="1" x14ac:dyDescent="0.25">
      <c r="B91" s="2049"/>
      <c r="C91" s="2050"/>
      <c r="D91" s="2051"/>
      <c r="E91" s="2052">
        <f>E89*20%</f>
        <v>4982.05</v>
      </c>
      <c r="F91" s="2053"/>
      <c r="G91" s="2053"/>
      <c r="H91" s="2053"/>
      <c r="I91" s="2053"/>
      <c r="J91" s="2053"/>
      <c r="K91" s="2253"/>
      <c r="L91" s="2216"/>
      <c r="M91" s="2055"/>
      <c r="N91" s="2056">
        <f>N89*100/20</f>
        <v>0</v>
      </c>
      <c r="O91" s="2052">
        <f t="shared" ref="O91:T91" si="622">O89*100/30</f>
        <v>-127.52874999999993</v>
      </c>
      <c r="P91" s="2052">
        <f t="shared" si="622"/>
        <v>-250.2604166666666</v>
      </c>
      <c r="Q91" s="2052">
        <f t="shared" si="622"/>
        <v>-156.20708333333326</v>
      </c>
      <c r="R91" s="2052">
        <f t="shared" si="622"/>
        <v>-197.29374999999993</v>
      </c>
      <c r="S91" s="2052">
        <f t="shared" si="622"/>
        <v>-226.62541666666661</v>
      </c>
      <c r="T91" s="2192">
        <f t="shared" si="622"/>
        <v>-157.48541666666657</v>
      </c>
      <c r="U91" s="2300"/>
      <c r="V91" s="2056">
        <f>SUM(N91:T91)</f>
        <v>-1115.4008333333329</v>
      </c>
      <c r="W91" s="2052"/>
      <c r="X91" s="2057"/>
      <c r="Y91" s="1766"/>
      <c r="Z91" s="2673">
        <f t="shared" ref="Z91:AF91" si="623">Z89*100/30</f>
        <v>0</v>
      </c>
      <c r="AA91" s="2674">
        <f t="shared" si="623"/>
        <v>-145.07874999999996</v>
      </c>
      <c r="AB91" s="2674">
        <f t="shared" si="623"/>
        <v>-89.708749999999924</v>
      </c>
      <c r="AC91" s="2052">
        <f t="shared" si="623"/>
        <v>-100.37208333333325</v>
      </c>
      <c r="AD91" s="2674">
        <f t="shared" si="623"/>
        <v>-266.3237499999999</v>
      </c>
      <c r="AE91" s="2674">
        <f t="shared" si="623"/>
        <v>-239.84541666666658</v>
      </c>
      <c r="AF91" s="2675">
        <f t="shared" si="623"/>
        <v>-206.90041666666659</v>
      </c>
      <c r="AG91" s="1766"/>
      <c r="AH91" s="2056">
        <f>SUM(Z91:AF91)</f>
        <v>-1048.2291666666661</v>
      </c>
      <c r="AI91" s="2052"/>
      <c r="AJ91" s="2057"/>
      <c r="AK91" s="1764"/>
      <c r="AL91" s="2056">
        <f t="shared" ref="AL91:AR91" si="624">AL89*100/30</f>
        <v>0</v>
      </c>
      <c r="AM91" s="2053">
        <f t="shared" si="624"/>
        <v>-85.228749999999948</v>
      </c>
      <c r="AN91" s="2053">
        <f t="shared" si="624"/>
        <v>-254.66708333333324</v>
      </c>
      <c r="AO91" s="2053">
        <f t="shared" si="624"/>
        <v>-113.97208333333325</v>
      </c>
      <c r="AP91" s="2053">
        <f t="shared" si="624"/>
        <v>-116.86041666666659</v>
      </c>
      <c r="AQ91" s="2053">
        <f t="shared" si="624"/>
        <v>100.32803160919542</v>
      </c>
      <c r="AR91" s="2057">
        <f t="shared" si="624"/>
        <v>265.43469827586199</v>
      </c>
      <c r="AS91" s="2300"/>
      <c r="AT91" s="2056">
        <f>SUM(AL91:AR91)</f>
        <v>-204.9656034482756</v>
      </c>
      <c r="AU91" s="2052"/>
      <c r="AV91" s="2057"/>
      <c r="AW91" s="3227"/>
      <c r="AX91" s="2056">
        <f t="shared" ref="AX91:BD91" si="625">AX89*100/30</f>
        <v>0</v>
      </c>
      <c r="AY91" s="2053">
        <f t="shared" si="625"/>
        <v>0</v>
      </c>
      <c r="AZ91" s="2053">
        <f t="shared" si="625"/>
        <v>0</v>
      </c>
      <c r="BA91" s="2053">
        <f t="shared" si="625"/>
        <v>-264.05874999999992</v>
      </c>
      <c r="BB91" s="2053">
        <f t="shared" si="625"/>
        <v>-208.93541666666661</v>
      </c>
      <c r="BC91" s="2053">
        <f t="shared" si="625"/>
        <v>-257.03541666666661</v>
      </c>
      <c r="BD91" s="2057">
        <f t="shared" si="625"/>
        <v>-143.24041666666659</v>
      </c>
      <c r="BE91" s="3227"/>
      <c r="BF91" s="2056">
        <f>SUM(AX91:BD91)</f>
        <v>-873.26999999999975</v>
      </c>
      <c r="BG91" s="2052"/>
      <c r="BH91" s="2057"/>
      <c r="BI91" s="1740"/>
      <c r="BJ91" s="2056">
        <f t="shared" ref="BJ91:BL91" si="626">BJ89*100/30</f>
        <v>0</v>
      </c>
      <c r="BK91" s="2053">
        <f t="shared" si="626"/>
        <v>-109.50374999999994</v>
      </c>
      <c r="BL91" s="2057">
        <f t="shared" si="626"/>
        <v>-109.50374999999994</v>
      </c>
      <c r="BM91" s="2301"/>
      <c r="BN91" s="2058">
        <f>SUM(BJ91:BL91)</f>
        <v>-219.00749999999988</v>
      </c>
      <c r="BO91" s="2324"/>
      <c r="BP91" s="2190"/>
      <c r="BQ91" s="1862"/>
      <c r="BR91" s="2058">
        <f>SUM(N91:T91)+SUM(Z91:AF91)+SUM(AL91:AR91)+SUM(AX91:BD91)+SUM(BL91:BL91)</f>
        <v>-3351.3693534482745</v>
      </c>
      <c r="BS91" s="2676">
        <f>BR91/CA20</f>
        <v>-139.64038972701144</v>
      </c>
      <c r="BT91" s="1740"/>
      <c r="BU91" s="1740"/>
      <c r="BV91" s="1740"/>
      <c r="BW91" s="1861"/>
    </row>
    <row r="93" spans="2:76" ht="20.25" x14ac:dyDescent="0.2">
      <c r="C93" s="2448"/>
      <c r="D93" s="2450"/>
      <c r="E93" s="2449"/>
      <c r="F93" s="2449"/>
      <c r="G93" s="2449"/>
      <c r="H93" s="2449"/>
      <c r="I93" s="2449"/>
      <c r="J93" s="2449"/>
      <c r="K93" s="2983">
        <f>K94/24</f>
        <v>316.66666666666669</v>
      </c>
    </row>
    <row r="94" spans="2:76" ht="18" x14ac:dyDescent="0.2">
      <c r="C94" s="2448">
        <f>E94*20%</f>
        <v>9000</v>
      </c>
      <c r="D94" s="2450"/>
      <c r="E94" s="2449">
        <v>45000</v>
      </c>
      <c r="F94" s="2449"/>
      <c r="G94" s="2449"/>
      <c r="H94" s="2449"/>
      <c r="I94" s="2449"/>
      <c r="J94" s="2449">
        <v>38000</v>
      </c>
      <c r="K94" s="2449">
        <f>J94*20%</f>
        <v>7600</v>
      </c>
      <c r="P94" s="2255"/>
      <c r="Q94" s="2256"/>
      <c r="R94" s="2256"/>
      <c r="S94" s="2257"/>
      <c r="T94" s="2257"/>
      <c r="U94" s="1915"/>
    </row>
    <row r="95" spans="2:76" ht="18" x14ac:dyDescent="0.2">
      <c r="C95" s="2451">
        <f>C94-E42</f>
        <v>6368.4500000000007</v>
      </c>
      <c r="D95" s="3216"/>
      <c r="E95" s="2771"/>
      <c r="F95" s="2771"/>
      <c r="G95" s="2771"/>
      <c r="H95" s="2771"/>
      <c r="I95" s="2771"/>
      <c r="J95" s="2449">
        <f>J94/24</f>
        <v>1583.3333333333333</v>
      </c>
      <c r="K95" s="2449">
        <f>K94-E42</f>
        <v>4968.4500000000007</v>
      </c>
      <c r="AM95" s="2257"/>
    </row>
    <row r="96" spans="2:76" ht="18" x14ac:dyDescent="0.2">
      <c r="C96" s="2452">
        <f>C95/2</f>
        <v>3184.2250000000004</v>
      </c>
      <c r="D96" s="3216"/>
      <c r="E96" s="2771"/>
      <c r="F96" s="2771"/>
      <c r="G96" s="2771"/>
      <c r="H96" s="2771"/>
      <c r="I96" s="2771"/>
      <c r="J96" s="2450"/>
      <c r="K96" s="2771">
        <f>K95/2</f>
        <v>2484.2250000000004</v>
      </c>
    </row>
    <row r="97" spans="11:11" ht="18" x14ac:dyDescent="0.2">
      <c r="K97" s="2449"/>
    </row>
  </sheetData>
  <mergeCells count="89">
    <mergeCell ref="BO82:BO83"/>
    <mergeCell ref="BP82:BP83"/>
    <mergeCell ref="BR82:BR83"/>
    <mergeCell ref="BS82:BS83"/>
    <mergeCell ref="BG82:BG83"/>
    <mergeCell ref="BH82:BH83"/>
    <mergeCell ref="BJ82:BJ83"/>
    <mergeCell ref="BK82:BK83"/>
    <mergeCell ref="BL82:BL83"/>
    <mergeCell ref="BN82:BN83"/>
    <mergeCell ref="BF82:BF83"/>
    <mergeCell ref="AR82:AR83"/>
    <mergeCell ref="AT82:AT83"/>
    <mergeCell ref="AU82:AU83"/>
    <mergeCell ref="AV82:AV83"/>
    <mergeCell ref="AX82:AX83"/>
    <mergeCell ref="AY82:AY83"/>
    <mergeCell ref="AZ82:AZ83"/>
    <mergeCell ref="BA82:BA83"/>
    <mergeCell ref="BB82:BB83"/>
    <mergeCell ref="BC82:BC83"/>
    <mergeCell ref="BD82:BD83"/>
    <mergeCell ref="AB82:AB83"/>
    <mergeCell ref="AQ82:AQ83"/>
    <mergeCell ref="AD82:AD83"/>
    <mergeCell ref="AE82:AE83"/>
    <mergeCell ref="AF82:AF83"/>
    <mergeCell ref="AH82:AH83"/>
    <mergeCell ref="AI82:AI83"/>
    <mergeCell ref="AJ82:AJ83"/>
    <mergeCell ref="AL82:AL83"/>
    <mergeCell ref="AM82:AM83"/>
    <mergeCell ref="AN82:AN83"/>
    <mergeCell ref="AO82:AO83"/>
    <mergeCell ref="AP82:AP83"/>
    <mergeCell ref="V82:V83"/>
    <mergeCell ref="W82:W83"/>
    <mergeCell ref="X82:X83"/>
    <mergeCell ref="Z82:Z83"/>
    <mergeCell ref="AA82:AA83"/>
    <mergeCell ref="BX48:BX57"/>
    <mergeCell ref="BZ48:BZ57"/>
    <mergeCell ref="BX61:BX70"/>
    <mergeCell ref="B82:B83"/>
    <mergeCell ref="C82:C83"/>
    <mergeCell ref="E82:E83"/>
    <mergeCell ref="J82:J83"/>
    <mergeCell ref="K82:K83"/>
    <mergeCell ref="N82:N83"/>
    <mergeCell ref="O82:O83"/>
    <mergeCell ref="AC82:AC83"/>
    <mergeCell ref="P82:P83"/>
    <mergeCell ref="Q82:Q83"/>
    <mergeCell ref="R82:R83"/>
    <mergeCell ref="S82:S83"/>
    <mergeCell ref="T82:T83"/>
    <mergeCell ref="V16:X16"/>
    <mergeCell ref="AH16:AJ16"/>
    <mergeCell ref="AT16:AV16"/>
    <mergeCell ref="BF16:BH16"/>
    <mergeCell ref="BN16:BP16"/>
    <mergeCell ref="BU47:BV47"/>
    <mergeCell ref="CI1:CI2"/>
    <mergeCell ref="CJ1:CJ2"/>
    <mergeCell ref="C3:C8"/>
    <mergeCell ref="J3:K3"/>
    <mergeCell ref="J4:K4"/>
    <mergeCell ref="K10:K11"/>
    <mergeCell ref="BZ10:CA11"/>
    <mergeCell ref="BS1:BS14"/>
    <mergeCell ref="BU1:BX2"/>
    <mergeCell ref="CD1:CD2"/>
    <mergeCell ref="CE1:CE2"/>
    <mergeCell ref="CF1:CF2"/>
    <mergeCell ref="CH1:CH2"/>
    <mergeCell ref="CA13:CA14"/>
    <mergeCell ref="CB13:CB14"/>
    <mergeCell ref="BR1:BR14"/>
    <mergeCell ref="C1:K2"/>
    <mergeCell ref="N1:T2"/>
    <mergeCell ref="V1:X2"/>
    <mergeCell ref="Z1:AF2"/>
    <mergeCell ref="AH1:AJ2"/>
    <mergeCell ref="AL1:AR2"/>
    <mergeCell ref="AT1:AV2"/>
    <mergeCell ref="AX1:BD2"/>
    <mergeCell ref="BF1:BH2"/>
    <mergeCell ref="BJ1:BL2"/>
    <mergeCell ref="BN1:BP2"/>
  </mergeCells>
  <conditionalFormatting sqref="BS85">
    <cfRule type="cellIs" dxfId="158" priority="51" operator="greaterThan">
      <formula>0</formula>
    </cfRule>
    <cfRule type="cellIs" dxfId="157" priority="52" operator="lessThan">
      <formula>0</formula>
    </cfRule>
  </conditionalFormatting>
  <conditionalFormatting sqref="AL5:AR5 AX5:BD5">
    <cfRule type="cellIs" dxfId="156" priority="53" operator="lessThan">
      <formula>$J$82</formula>
    </cfRule>
    <cfRule type="cellIs" dxfId="155" priority="54" operator="between">
      <formula>$J$82</formula>
      <formula>$J$89</formula>
    </cfRule>
    <cfRule type="cellIs" dxfId="154" priority="55" operator="greaterThan">
      <formula>$J$95</formula>
    </cfRule>
  </conditionalFormatting>
  <conditionalFormatting sqref="AL6:AR6 AX6:BD6">
    <cfRule type="cellIs" dxfId="153" priority="56" operator="lessThan">
      <formula>$K$82</formula>
    </cfRule>
    <cfRule type="cellIs" dxfId="152" priority="57" operator="between">
      <formula>$K$82</formula>
      <formula>$K$89</formula>
    </cfRule>
    <cfRule type="cellIs" dxfId="151" priority="58" operator="greaterThan">
      <formula>$K$93</formula>
    </cfRule>
    <cfRule type="cellIs" dxfId="150" priority="59" operator="greaterThan">
      <formula>$J$95</formula>
    </cfRule>
  </conditionalFormatting>
  <conditionalFormatting sqref="N5:T5 Z5:AF5 AL5:AR5 BJ5:BL5">
    <cfRule type="cellIs" dxfId="149" priority="67" operator="between">
      <formula>$J$16</formula>
      <formula>$J$95</formula>
    </cfRule>
    <cfRule type="cellIs" dxfId="148" priority="68" operator="lessThan">
      <formula>$J$16</formula>
    </cfRule>
    <cfRule type="cellIs" dxfId="147" priority="69" operator="greaterThan">
      <formula>$J$95</formula>
    </cfRule>
  </conditionalFormatting>
  <conditionalFormatting sqref="N6:T6 AL6:AR6 AX6:BD6 BJ6:BL6">
    <cfRule type="cellIs" dxfId="146" priority="73" operator="between">
      <formula>$J$42</formula>
      <formula>$K$93</formula>
    </cfRule>
    <cfRule type="cellIs" dxfId="145" priority="74" operator="lessThan">
      <formula>$J$42</formula>
    </cfRule>
    <cfRule type="cellIs" dxfId="144" priority="75" operator="greaterThan">
      <formula>$K$93</formula>
    </cfRule>
  </conditionalFormatting>
  <conditionalFormatting sqref="Z6:AF6">
    <cfRule type="cellIs" dxfId="143" priority="79" operator="between">
      <formula>$J$42</formula>
      <formula>$K$93</formula>
    </cfRule>
    <cfRule type="cellIs" dxfId="142" priority="80" operator="lessThan">
      <formula>$J$42</formula>
    </cfRule>
    <cfRule type="cellIs" dxfId="141" priority="81" operator="greaterThan">
      <formula>$K$93</formula>
    </cfRule>
    <cfRule type="cellIs" dxfId="140" priority="82" operator="greaterThan">
      <formula>$K$93</formula>
    </cfRule>
  </conditionalFormatting>
  <conditionalFormatting sqref="AX5:BD5">
    <cfRule type="cellIs" dxfId="139" priority="89" operator="between">
      <formula>$J$95</formula>
      <formula>635</formula>
    </cfRule>
    <cfRule type="cellIs" dxfId="138" priority="90" operator="lessThan">
      <formula>$J$16</formula>
    </cfRule>
    <cfRule type="cellIs" dxfId="137" priority="91" operator="greaterThan">
      <formula>$J$95</formula>
    </cfRule>
    <cfRule type="cellIs" dxfId="136" priority="92" operator="lessThan">
      <formula>$J$16</formula>
    </cfRule>
    <cfRule type="cellIs" dxfId="135" priority="93" operator="greaterThan">
      <formula>$J$95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S57"/>
  <sheetViews>
    <sheetView zoomScale="80" zoomScaleNormal="80" workbookViewId="0">
      <pane xSplit="6" ySplit="13" topLeftCell="AH14" activePane="bottomRight" state="frozen"/>
      <selection pane="topRight" activeCell="G1" sqref="G1"/>
      <selection pane="bottomLeft" activeCell="A8" sqref="A8"/>
      <selection pane="bottomRight" activeCell="AH30" sqref="AH30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7" width="9.125" style="2"/>
    <col min="8" max="8" width="9.125" style="75"/>
    <col min="9" max="21" width="9.125" style="2"/>
    <col min="22" max="26" width="10" style="2" bestFit="1" customWidth="1"/>
    <col min="27" max="38" width="9.125" style="2"/>
    <col min="39" max="39" width="1.75" style="2" customWidth="1"/>
    <col min="40" max="40" width="9" style="2" customWidth="1"/>
    <col min="41" max="41" width="1.75" style="2" customWidth="1"/>
    <col min="42" max="42" width="9" style="2" customWidth="1"/>
    <col min="43" max="43" width="1.75" style="2" customWidth="1"/>
    <col min="44" max="44" width="10" style="2" bestFit="1" customWidth="1"/>
    <col min="45" max="45" width="7.75" style="2" bestFit="1" customWidth="1"/>
    <col min="46" max="16384" width="9.125" style="2"/>
  </cols>
  <sheetData>
    <row r="1" spans="2:45" ht="15.75" x14ac:dyDescent="0.2">
      <c r="D1" s="4436" t="s">
        <v>66</v>
      </c>
      <c r="E1" s="4436"/>
      <c r="F1" s="4437"/>
      <c r="G1" s="4427" t="s">
        <v>64</v>
      </c>
      <c r="H1" s="4430" t="s">
        <v>65</v>
      </c>
    </row>
    <row r="2" spans="2:45" ht="15.75" x14ac:dyDescent="0.2">
      <c r="C2" s="4433">
        <v>43313</v>
      </c>
      <c r="D2" s="4438" t="s">
        <v>67</v>
      </c>
      <c r="E2" s="4438"/>
      <c r="F2" s="4439"/>
      <c r="G2" s="4428"/>
      <c r="H2" s="4431"/>
    </row>
    <row r="3" spans="2:45" x14ac:dyDescent="0.2">
      <c r="C3" s="4433"/>
      <c r="G3" s="4428"/>
      <c r="H3" s="4431"/>
    </row>
    <row r="4" spans="2:45" x14ac:dyDescent="0.2">
      <c r="G4" s="4429"/>
      <c r="H4" s="4432"/>
    </row>
    <row r="5" spans="2:45" ht="4.5" customHeight="1" x14ac:dyDescent="0.2"/>
    <row r="6" spans="2:45" s="49" customFormat="1" ht="15" customHeight="1" x14ac:dyDescent="0.2">
      <c r="C6" s="43" t="s">
        <v>42</v>
      </c>
      <c r="D6" s="40">
        <f>D38/0.71</f>
        <v>2788.7323943661972</v>
      </c>
      <c r="E6" s="40">
        <v>0.71</v>
      </c>
      <c r="F6" s="41">
        <f>D6*E6</f>
        <v>1980</v>
      </c>
      <c r="G6" s="4446">
        <f t="shared" ref="G6:AL6" si="0">$F$6/31</f>
        <v>63.87096774193548</v>
      </c>
      <c r="H6" s="4447"/>
      <c r="I6" s="40">
        <f t="shared" si="0"/>
        <v>63.87096774193548</v>
      </c>
      <c r="J6" s="40">
        <f t="shared" si="0"/>
        <v>63.87096774193548</v>
      </c>
      <c r="K6" s="40">
        <f t="shared" si="0"/>
        <v>63.87096774193548</v>
      </c>
      <c r="L6" s="40">
        <f t="shared" si="0"/>
        <v>63.87096774193548</v>
      </c>
      <c r="M6" s="40">
        <f t="shared" si="0"/>
        <v>63.87096774193548</v>
      </c>
      <c r="N6" s="40">
        <f t="shared" si="0"/>
        <v>63.87096774193548</v>
      </c>
      <c r="O6" s="40">
        <f t="shared" si="0"/>
        <v>63.87096774193548</v>
      </c>
      <c r="P6" s="40">
        <f t="shared" si="0"/>
        <v>63.87096774193548</v>
      </c>
      <c r="Q6" s="40">
        <f t="shared" si="0"/>
        <v>63.87096774193548</v>
      </c>
      <c r="R6" s="40">
        <f t="shared" si="0"/>
        <v>63.87096774193548</v>
      </c>
      <c r="S6" s="40">
        <f t="shared" si="0"/>
        <v>63.87096774193548</v>
      </c>
      <c r="T6" s="40">
        <f t="shared" si="0"/>
        <v>63.87096774193548</v>
      </c>
      <c r="U6" s="40">
        <f t="shared" si="0"/>
        <v>63.87096774193548</v>
      </c>
      <c r="V6" s="40">
        <f t="shared" si="0"/>
        <v>63.87096774193548</v>
      </c>
      <c r="W6" s="40">
        <f t="shared" si="0"/>
        <v>63.87096774193548</v>
      </c>
      <c r="X6" s="40">
        <f t="shared" si="0"/>
        <v>63.87096774193548</v>
      </c>
      <c r="Y6" s="40">
        <f t="shared" si="0"/>
        <v>63.87096774193548</v>
      </c>
      <c r="Z6" s="40">
        <f t="shared" si="0"/>
        <v>63.87096774193548</v>
      </c>
      <c r="AA6" s="40">
        <f t="shared" si="0"/>
        <v>63.87096774193548</v>
      </c>
      <c r="AB6" s="40">
        <f t="shared" si="0"/>
        <v>63.87096774193548</v>
      </c>
      <c r="AC6" s="40">
        <f t="shared" si="0"/>
        <v>63.87096774193548</v>
      </c>
      <c r="AD6" s="40">
        <f t="shared" si="0"/>
        <v>63.87096774193548</v>
      </c>
      <c r="AE6" s="40">
        <f t="shared" si="0"/>
        <v>63.87096774193548</v>
      </c>
      <c r="AF6" s="40">
        <f t="shared" si="0"/>
        <v>63.87096774193548</v>
      </c>
      <c r="AG6" s="40">
        <f t="shared" si="0"/>
        <v>63.87096774193548</v>
      </c>
      <c r="AH6" s="40">
        <f t="shared" si="0"/>
        <v>63.87096774193548</v>
      </c>
      <c r="AI6" s="40">
        <f t="shared" si="0"/>
        <v>63.87096774193548</v>
      </c>
      <c r="AJ6" s="40">
        <f t="shared" si="0"/>
        <v>63.87096774193548</v>
      </c>
      <c r="AK6" s="40">
        <f t="shared" si="0"/>
        <v>63.87096774193548</v>
      </c>
      <c r="AL6" s="40">
        <f t="shared" si="0"/>
        <v>63.87096774193548</v>
      </c>
      <c r="AM6" s="50"/>
      <c r="AN6" s="4440" t="s">
        <v>54</v>
      </c>
      <c r="AO6" s="50"/>
      <c r="AP6" s="4443" t="s">
        <v>61</v>
      </c>
      <c r="AQ6" s="50"/>
      <c r="AR6" s="40">
        <f>SUM(G6:AL6)</f>
        <v>1979.9999999999984</v>
      </c>
      <c r="AS6" s="42"/>
    </row>
    <row r="7" spans="2:45" s="47" customFormat="1" ht="15" x14ac:dyDescent="0.2">
      <c r="C7" s="44" t="s">
        <v>40</v>
      </c>
      <c r="D7" s="45">
        <f>SUM(G7:AL7)</f>
        <v>84.561250000000285</v>
      </c>
      <c r="E7" s="45"/>
      <c r="F7" s="46"/>
      <c r="G7" s="4448">
        <f>'SHOP INCOME (8)'!G29</f>
        <v>-3.3579166666666538</v>
      </c>
      <c r="H7" s="4449"/>
      <c r="I7" s="45">
        <f>'SHOP INCOME (8)'!I29</f>
        <v>2.1008333333333482</v>
      </c>
      <c r="J7" s="45">
        <f>'SHOP INCOME (8)'!K29</f>
        <v>0</v>
      </c>
      <c r="K7" s="45">
        <f>'SHOP INCOME (8)'!M29</f>
        <v>-16.131666666666657</v>
      </c>
      <c r="L7" s="45">
        <f>'SHOP INCOME (8)'!N29</f>
        <v>-3.8666666666666529</v>
      </c>
      <c r="M7" s="45">
        <f>'SHOP INCOME (8)'!O29</f>
        <v>-1.9416666666666558</v>
      </c>
      <c r="N7" s="45">
        <f>'SHOP INCOME (8)'!P29</f>
        <v>-18.097916666666659</v>
      </c>
      <c r="O7" s="45">
        <f>'SHOP INCOME (8)'!Q29</f>
        <v>6.5833333333333499</v>
      </c>
      <c r="P7" s="45">
        <f>'SHOP INCOME (8)'!R29</f>
        <v>-19.142916666666657</v>
      </c>
      <c r="Q7" s="45">
        <f>'SHOP INCOME (8)'!S29</f>
        <v>0</v>
      </c>
      <c r="R7" s="45">
        <f>'SHOP INCOME (8)'!T29</f>
        <v>10.378333333333345</v>
      </c>
      <c r="S7" s="45">
        <f>'SHOP INCOME (8)'!U29</f>
        <v>-12.322916666666657</v>
      </c>
      <c r="T7" s="45">
        <f>'SHOP INCOME (8)'!V29</f>
        <v>5.4145833333333471</v>
      </c>
      <c r="U7" s="45">
        <f>'SHOP INCOME (8)'!W29</f>
        <v>-14.605416666666656</v>
      </c>
      <c r="V7" s="45">
        <f>'SHOP INCOME (8)'!X29</f>
        <v>-17.107916666666654</v>
      </c>
      <c r="W7" s="45">
        <f>'SHOP INCOME (8)'!Y29</f>
        <v>14.847083333333345</v>
      </c>
      <c r="X7" s="45">
        <f>'SHOP INCOME (8)'!Z29</f>
        <v>0</v>
      </c>
      <c r="Y7" s="45">
        <f>'SHOP INCOME (8)'!AA29</f>
        <v>9.2370833333333451</v>
      </c>
      <c r="Z7" s="45">
        <f>'SHOP INCOME (8)'!AB29</f>
        <v>43.639583333333348</v>
      </c>
      <c r="AA7" s="45">
        <f>'SHOP INCOME (8)'!AC29</f>
        <v>81.589583333333351</v>
      </c>
      <c r="AB7" s="45">
        <f>'SHOP INCOME (8)'!AD29</f>
        <v>0</v>
      </c>
      <c r="AC7" s="45">
        <f>'SHOP INCOME (8)'!AE29</f>
        <v>0</v>
      </c>
      <c r="AD7" s="45">
        <f>'SHOP INCOME (8)'!AF29</f>
        <v>13.69208333333335</v>
      </c>
      <c r="AE7" s="45">
        <f>'SHOP INCOME (8)'!AG29</f>
        <v>0</v>
      </c>
      <c r="AF7" s="45">
        <f>'SHOP INCOME (8)'!AH29</f>
        <v>-8.5554166666666589</v>
      </c>
      <c r="AG7" s="45">
        <f>'SHOP INCOME (8)'!AI29</f>
        <v>-0.26416666666665378</v>
      </c>
      <c r="AH7" s="45">
        <f>'SHOP INCOME (8)'!AJ29</f>
        <v>-7.0291666666666544</v>
      </c>
      <c r="AI7" s="45">
        <f>'SHOP INCOME (8)'!AK29</f>
        <v>0.43708333333334082</v>
      </c>
      <c r="AJ7" s="45">
        <f>'SHOP INCOME (8)'!AL29</f>
        <v>2.1145833333333499</v>
      </c>
      <c r="AK7" s="45">
        <f>'SHOP INCOME (8)'!AM29</f>
        <v>16.950833333333343</v>
      </c>
      <c r="AL7" s="45">
        <f>'SHOP INCOME (8)'!AN29</f>
        <v>0</v>
      </c>
      <c r="AM7" s="48"/>
      <c r="AN7" s="4441"/>
      <c r="AO7" s="36"/>
      <c r="AP7" s="4444"/>
      <c r="AQ7" s="48"/>
      <c r="AR7" s="45">
        <f>SUM(G7:AL7)</f>
        <v>84.561250000000285</v>
      </c>
      <c r="AS7" s="46"/>
    </row>
    <row r="8" spans="2:45" ht="15" x14ac:dyDescent="0.2">
      <c r="C8" s="1" t="s">
        <v>29</v>
      </c>
      <c r="D8" s="6"/>
      <c r="E8" s="6"/>
      <c r="F8" s="8"/>
      <c r="G8" s="4450"/>
      <c r="H8" s="4451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7"/>
      <c r="AN8" s="4441"/>
      <c r="AO8" s="48"/>
      <c r="AP8" s="4444"/>
      <c r="AQ8" s="7"/>
      <c r="AR8" s="5"/>
      <c r="AS8" s="27"/>
    </row>
    <row r="9" spans="2:45" ht="4.5" customHeight="1" x14ac:dyDescent="0.2">
      <c r="AN9" s="4441"/>
      <c r="AP9" s="4444"/>
    </row>
    <row r="10" spans="2:45" ht="15" x14ac:dyDescent="0.2">
      <c r="C10" s="3" t="s">
        <v>15</v>
      </c>
      <c r="D10" s="6"/>
      <c r="E10" s="6"/>
      <c r="F10" s="8"/>
      <c r="G10" s="4434">
        <f>SUM(G6:G8)</f>
        <v>60.513051075268827</v>
      </c>
      <c r="H10" s="4435"/>
      <c r="I10" s="5">
        <f t="shared" ref="I10:AS10" si="1">SUM(I6:I8)</f>
        <v>65.971801075268829</v>
      </c>
      <c r="J10" s="5">
        <f t="shared" si="1"/>
        <v>63.87096774193548</v>
      </c>
      <c r="K10" s="5">
        <f t="shared" si="1"/>
        <v>47.739301075268827</v>
      </c>
      <c r="L10" s="5">
        <f t="shared" si="1"/>
        <v>60.004301075268828</v>
      </c>
      <c r="M10" s="5">
        <f t="shared" si="1"/>
        <v>61.929301075268825</v>
      </c>
      <c r="N10" s="5">
        <f t="shared" si="1"/>
        <v>45.773051075268825</v>
      </c>
      <c r="O10" s="5">
        <f t="shared" si="1"/>
        <v>70.45430107526883</v>
      </c>
      <c r="P10" s="5">
        <f t="shared" si="1"/>
        <v>44.728051075268823</v>
      </c>
      <c r="Q10" s="5">
        <f t="shared" si="1"/>
        <v>63.87096774193548</v>
      </c>
      <c r="R10" s="5">
        <f t="shared" si="1"/>
        <v>74.249301075268818</v>
      </c>
      <c r="S10" s="5">
        <f t="shared" si="1"/>
        <v>51.548051075268823</v>
      </c>
      <c r="T10" s="5">
        <f t="shared" si="1"/>
        <v>69.285551075268828</v>
      </c>
      <c r="U10" s="5">
        <f t="shared" si="1"/>
        <v>49.265551075268824</v>
      </c>
      <c r="V10" s="5">
        <f t="shared" si="1"/>
        <v>46.763051075268827</v>
      </c>
      <c r="W10" s="5">
        <f t="shared" si="1"/>
        <v>78.718051075268818</v>
      </c>
      <c r="X10" s="5">
        <f t="shared" si="1"/>
        <v>63.87096774193548</v>
      </c>
      <c r="Y10" s="5">
        <f t="shared" si="1"/>
        <v>73.108051075268833</v>
      </c>
      <c r="Z10" s="5">
        <f t="shared" si="1"/>
        <v>107.51055107526884</v>
      </c>
      <c r="AA10" s="5">
        <f t="shared" si="1"/>
        <v>145.46055107526882</v>
      </c>
      <c r="AB10" s="5">
        <f t="shared" si="1"/>
        <v>63.87096774193548</v>
      </c>
      <c r="AC10" s="5">
        <f t="shared" si="1"/>
        <v>63.87096774193548</v>
      </c>
      <c r="AD10" s="5">
        <f t="shared" si="1"/>
        <v>77.563051075268831</v>
      </c>
      <c r="AE10" s="5">
        <f t="shared" si="1"/>
        <v>63.87096774193548</v>
      </c>
      <c r="AF10" s="5">
        <f t="shared" si="1"/>
        <v>55.315551075268822</v>
      </c>
      <c r="AG10" s="5">
        <f t="shared" si="1"/>
        <v>63.606801075268827</v>
      </c>
      <c r="AH10" s="5">
        <f t="shared" si="1"/>
        <v>56.841801075268826</v>
      </c>
      <c r="AI10" s="5">
        <f t="shared" si="1"/>
        <v>64.308051075268821</v>
      </c>
      <c r="AJ10" s="5">
        <f t="shared" si="1"/>
        <v>65.98555107526883</v>
      </c>
      <c r="AK10" s="5">
        <f t="shared" si="1"/>
        <v>80.821801075268823</v>
      </c>
      <c r="AL10" s="5">
        <f t="shared" si="1"/>
        <v>63.87096774193548</v>
      </c>
      <c r="AN10" s="4441"/>
      <c r="AP10" s="4444"/>
      <c r="AR10" s="5">
        <f t="shared" si="1"/>
        <v>2064.5612499999988</v>
      </c>
      <c r="AS10" s="8">
        <f t="shared" si="1"/>
        <v>0</v>
      </c>
    </row>
    <row r="11" spans="2:45" ht="4.5" customHeight="1" x14ac:dyDescent="0.2">
      <c r="AN11" s="4441"/>
      <c r="AP11" s="4444"/>
    </row>
    <row r="12" spans="2:45" ht="15" customHeight="1" x14ac:dyDescent="0.2">
      <c r="G12" s="4434" t="s">
        <v>50</v>
      </c>
      <c r="H12" s="4435"/>
      <c r="I12" s="5" t="s">
        <v>51</v>
      </c>
      <c r="J12" s="72" t="s">
        <v>45</v>
      </c>
      <c r="K12" s="5" t="s">
        <v>46</v>
      </c>
      <c r="L12" s="5" t="s">
        <v>47</v>
      </c>
      <c r="M12" s="5" t="s">
        <v>48</v>
      </c>
      <c r="N12" s="5" t="s">
        <v>49</v>
      </c>
      <c r="O12" s="5" t="s">
        <v>50</v>
      </c>
      <c r="P12" s="5" t="s">
        <v>51</v>
      </c>
      <c r="Q12" s="72" t="s">
        <v>45</v>
      </c>
      <c r="R12" s="5" t="s">
        <v>46</v>
      </c>
      <c r="S12" s="5" t="s">
        <v>47</v>
      </c>
      <c r="T12" s="5" t="s">
        <v>48</v>
      </c>
      <c r="U12" s="5" t="s">
        <v>49</v>
      </c>
      <c r="V12" s="5" t="s">
        <v>50</v>
      </c>
      <c r="W12" s="5" t="s">
        <v>51</v>
      </c>
      <c r="X12" s="73" t="s">
        <v>45</v>
      </c>
      <c r="Y12" s="5" t="s">
        <v>46</v>
      </c>
      <c r="Z12" s="5" t="s">
        <v>47</v>
      </c>
      <c r="AA12" s="5" t="s">
        <v>48</v>
      </c>
      <c r="AB12" s="5" t="s">
        <v>49</v>
      </c>
      <c r="AC12" s="5" t="s">
        <v>50</v>
      </c>
      <c r="AD12" s="5" t="s">
        <v>51</v>
      </c>
      <c r="AE12" s="73" t="s">
        <v>45</v>
      </c>
      <c r="AF12" s="5" t="s">
        <v>46</v>
      </c>
      <c r="AG12" s="5" t="s">
        <v>47</v>
      </c>
      <c r="AH12" s="5" t="s">
        <v>48</v>
      </c>
      <c r="AI12" s="5" t="s">
        <v>49</v>
      </c>
      <c r="AJ12" s="5" t="s">
        <v>50</v>
      </c>
      <c r="AK12" s="5" t="s">
        <v>51</v>
      </c>
      <c r="AL12" s="73" t="s">
        <v>45</v>
      </c>
      <c r="AN12" s="4441"/>
      <c r="AP12" s="4444"/>
    </row>
    <row r="13" spans="2:45" x14ac:dyDescent="0.2">
      <c r="B13" s="1" t="s">
        <v>0</v>
      </c>
      <c r="C13" s="1" t="s">
        <v>1</v>
      </c>
      <c r="D13" s="1" t="s">
        <v>24</v>
      </c>
      <c r="E13" s="1" t="s">
        <v>25</v>
      </c>
      <c r="F13" s="1" t="s">
        <v>2</v>
      </c>
      <c r="G13" s="4452">
        <v>1</v>
      </c>
      <c r="H13" s="4453"/>
      <c r="I13" s="1">
        <v>2</v>
      </c>
      <c r="J13" s="1">
        <v>3</v>
      </c>
      <c r="K13" s="1">
        <v>4</v>
      </c>
      <c r="L13" s="1">
        <v>5</v>
      </c>
      <c r="M13" s="1">
        <v>6</v>
      </c>
      <c r="N13" s="1">
        <v>7</v>
      </c>
      <c r="O13" s="1">
        <v>8</v>
      </c>
      <c r="P13" s="1">
        <v>9</v>
      </c>
      <c r="Q13" s="1">
        <v>10</v>
      </c>
      <c r="R13" s="1">
        <v>11</v>
      </c>
      <c r="S13" s="1">
        <v>12</v>
      </c>
      <c r="T13" s="1">
        <v>13</v>
      </c>
      <c r="U13" s="1">
        <v>14</v>
      </c>
      <c r="V13" s="1">
        <v>15</v>
      </c>
      <c r="W13" s="1">
        <v>16</v>
      </c>
      <c r="X13" s="1">
        <v>17</v>
      </c>
      <c r="Y13" s="1">
        <v>18</v>
      </c>
      <c r="Z13" s="1">
        <v>19</v>
      </c>
      <c r="AA13" s="1">
        <v>20</v>
      </c>
      <c r="AB13" s="1">
        <v>21</v>
      </c>
      <c r="AC13" s="1">
        <v>22</v>
      </c>
      <c r="AD13" s="1">
        <v>23</v>
      </c>
      <c r="AE13" s="1">
        <v>24</v>
      </c>
      <c r="AF13" s="1">
        <v>25</v>
      </c>
      <c r="AG13" s="1">
        <v>26</v>
      </c>
      <c r="AH13" s="1">
        <v>27</v>
      </c>
      <c r="AI13" s="1">
        <v>28</v>
      </c>
      <c r="AJ13" s="1">
        <v>29</v>
      </c>
      <c r="AK13" s="1">
        <v>30</v>
      </c>
      <c r="AL13" s="1">
        <v>31</v>
      </c>
      <c r="AN13" s="4442"/>
      <c r="AP13" s="4445"/>
      <c r="AR13" s="1" t="s">
        <v>7</v>
      </c>
      <c r="AS13" s="1" t="s">
        <v>2</v>
      </c>
    </row>
    <row r="14" spans="2:45" ht="4.5" customHeight="1" x14ac:dyDescent="0.2"/>
    <row r="15" spans="2:45" ht="15" customHeight="1" x14ac:dyDescent="0.2">
      <c r="C15" s="4" t="s">
        <v>19</v>
      </c>
    </row>
    <row r="16" spans="2:45" ht="15" x14ac:dyDescent="0.2">
      <c r="B16" s="1">
        <v>1</v>
      </c>
      <c r="C16" s="1" t="s">
        <v>3</v>
      </c>
      <c r="D16" s="6">
        <v>458</v>
      </c>
      <c r="E16" s="6">
        <f t="shared" ref="E16:E24" si="2">D16/31</f>
        <v>14.774193548387096</v>
      </c>
      <c r="F16" s="10">
        <f t="shared" ref="F16:F24" si="3">D16/$D$25</f>
        <v>0.33068592057761731</v>
      </c>
      <c r="G16" s="6">
        <f t="shared" ref="G16:AL16" si="4">$E$16</f>
        <v>14.774193548387096</v>
      </c>
      <c r="H16" s="76"/>
      <c r="I16" s="6">
        <f t="shared" si="4"/>
        <v>14.774193548387096</v>
      </c>
      <c r="J16" s="6">
        <f t="shared" si="4"/>
        <v>14.774193548387096</v>
      </c>
      <c r="K16" s="6">
        <f t="shared" si="4"/>
        <v>14.774193548387096</v>
      </c>
      <c r="L16" s="6">
        <f t="shared" si="4"/>
        <v>14.774193548387096</v>
      </c>
      <c r="M16" s="6">
        <f t="shared" si="4"/>
        <v>14.774193548387096</v>
      </c>
      <c r="N16" s="6">
        <f t="shared" si="4"/>
        <v>14.774193548387096</v>
      </c>
      <c r="O16" s="6">
        <f t="shared" si="4"/>
        <v>14.774193548387096</v>
      </c>
      <c r="P16" s="6">
        <f t="shared" si="4"/>
        <v>14.774193548387096</v>
      </c>
      <c r="Q16" s="6">
        <f t="shared" si="4"/>
        <v>14.774193548387096</v>
      </c>
      <c r="R16" s="6">
        <f t="shared" si="4"/>
        <v>14.774193548387096</v>
      </c>
      <c r="S16" s="6">
        <f t="shared" si="4"/>
        <v>14.774193548387096</v>
      </c>
      <c r="T16" s="6">
        <f t="shared" si="4"/>
        <v>14.774193548387096</v>
      </c>
      <c r="U16" s="6">
        <f t="shared" si="4"/>
        <v>14.774193548387096</v>
      </c>
      <c r="V16" s="6">
        <f t="shared" si="4"/>
        <v>14.774193548387096</v>
      </c>
      <c r="W16" s="6">
        <f t="shared" si="4"/>
        <v>14.774193548387096</v>
      </c>
      <c r="X16" s="6">
        <f t="shared" si="4"/>
        <v>14.774193548387096</v>
      </c>
      <c r="Y16" s="6">
        <f t="shared" si="4"/>
        <v>14.774193548387096</v>
      </c>
      <c r="Z16" s="6">
        <f t="shared" si="4"/>
        <v>14.774193548387096</v>
      </c>
      <c r="AA16" s="6">
        <f t="shared" si="4"/>
        <v>14.774193548387096</v>
      </c>
      <c r="AB16" s="6">
        <f t="shared" si="4"/>
        <v>14.774193548387096</v>
      </c>
      <c r="AC16" s="6">
        <f t="shared" si="4"/>
        <v>14.774193548387096</v>
      </c>
      <c r="AD16" s="6">
        <f t="shared" si="4"/>
        <v>14.774193548387096</v>
      </c>
      <c r="AE16" s="6">
        <f t="shared" si="4"/>
        <v>14.774193548387096</v>
      </c>
      <c r="AF16" s="6">
        <f t="shared" si="4"/>
        <v>14.774193548387096</v>
      </c>
      <c r="AG16" s="6">
        <f t="shared" si="4"/>
        <v>14.774193548387096</v>
      </c>
      <c r="AH16" s="6">
        <f t="shared" si="4"/>
        <v>14.774193548387096</v>
      </c>
      <c r="AI16" s="6">
        <f t="shared" si="4"/>
        <v>14.774193548387096</v>
      </c>
      <c r="AJ16" s="6">
        <f t="shared" si="4"/>
        <v>14.774193548387096</v>
      </c>
      <c r="AK16" s="6">
        <f t="shared" si="4"/>
        <v>14.774193548387096</v>
      </c>
      <c r="AL16" s="6">
        <f t="shared" si="4"/>
        <v>14.774193548387096</v>
      </c>
      <c r="AN16" s="43">
        <v>458</v>
      </c>
      <c r="AO16" s="49"/>
      <c r="AP16" s="74">
        <f>AN16/D16</f>
        <v>1</v>
      </c>
      <c r="AR16" s="5">
        <f t="shared" ref="AR16:AR24" si="5">SUM(G16:AL16)</f>
        <v>457.99999999999977</v>
      </c>
      <c r="AS16" s="70">
        <f t="shared" ref="AS16:AS24" si="6">AR16/$AR$25</f>
        <v>0.3306859205776172</v>
      </c>
    </row>
    <row r="17" spans="2:45" ht="15" x14ac:dyDescent="0.2">
      <c r="B17" s="1">
        <v>2</v>
      </c>
      <c r="C17" s="1" t="s">
        <v>12</v>
      </c>
      <c r="D17" s="6">
        <v>400</v>
      </c>
      <c r="E17" s="6">
        <f t="shared" si="2"/>
        <v>12.903225806451612</v>
      </c>
      <c r="F17" s="10">
        <f t="shared" si="3"/>
        <v>0.28880866425992779</v>
      </c>
      <c r="G17" s="6">
        <f t="shared" ref="G17:AL17" si="7">$E$17</f>
        <v>12.903225806451612</v>
      </c>
      <c r="H17" s="76"/>
      <c r="I17" s="6">
        <f t="shared" si="7"/>
        <v>12.903225806451612</v>
      </c>
      <c r="J17" s="6">
        <f t="shared" si="7"/>
        <v>12.903225806451612</v>
      </c>
      <c r="K17" s="6">
        <f t="shared" si="7"/>
        <v>12.903225806451612</v>
      </c>
      <c r="L17" s="6">
        <f t="shared" si="7"/>
        <v>12.903225806451612</v>
      </c>
      <c r="M17" s="6">
        <f t="shared" si="7"/>
        <v>12.903225806451612</v>
      </c>
      <c r="N17" s="6">
        <f t="shared" si="7"/>
        <v>12.903225806451612</v>
      </c>
      <c r="O17" s="6">
        <f t="shared" si="7"/>
        <v>12.903225806451612</v>
      </c>
      <c r="P17" s="6">
        <f t="shared" si="7"/>
        <v>12.903225806451612</v>
      </c>
      <c r="Q17" s="6">
        <f t="shared" si="7"/>
        <v>12.903225806451612</v>
      </c>
      <c r="R17" s="6">
        <f t="shared" si="7"/>
        <v>12.903225806451612</v>
      </c>
      <c r="S17" s="6">
        <f t="shared" si="7"/>
        <v>12.903225806451612</v>
      </c>
      <c r="T17" s="6">
        <f t="shared" si="7"/>
        <v>12.903225806451612</v>
      </c>
      <c r="U17" s="6">
        <f t="shared" si="7"/>
        <v>12.903225806451612</v>
      </c>
      <c r="V17" s="6">
        <f t="shared" si="7"/>
        <v>12.903225806451612</v>
      </c>
      <c r="W17" s="6">
        <f t="shared" si="7"/>
        <v>12.903225806451612</v>
      </c>
      <c r="X17" s="6">
        <f t="shared" si="7"/>
        <v>12.903225806451612</v>
      </c>
      <c r="Y17" s="6">
        <f t="shared" si="7"/>
        <v>12.903225806451612</v>
      </c>
      <c r="Z17" s="6">
        <f t="shared" si="7"/>
        <v>12.903225806451612</v>
      </c>
      <c r="AA17" s="6">
        <f t="shared" si="7"/>
        <v>12.903225806451612</v>
      </c>
      <c r="AB17" s="6">
        <f t="shared" si="7"/>
        <v>12.903225806451612</v>
      </c>
      <c r="AC17" s="6">
        <f t="shared" si="7"/>
        <v>12.903225806451612</v>
      </c>
      <c r="AD17" s="6">
        <f t="shared" si="7"/>
        <v>12.903225806451612</v>
      </c>
      <c r="AE17" s="6">
        <f t="shared" si="7"/>
        <v>12.903225806451612</v>
      </c>
      <c r="AF17" s="6">
        <f t="shared" si="7"/>
        <v>12.903225806451612</v>
      </c>
      <c r="AG17" s="6">
        <f t="shared" si="7"/>
        <v>12.903225806451612</v>
      </c>
      <c r="AH17" s="6">
        <f t="shared" si="7"/>
        <v>12.903225806451612</v>
      </c>
      <c r="AI17" s="6">
        <f t="shared" si="7"/>
        <v>12.903225806451612</v>
      </c>
      <c r="AJ17" s="6">
        <f t="shared" si="7"/>
        <v>12.903225806451612</v>
      </c>
      <c r="AK17" s="6">
        <f t="shared" si="7"/>
        <v>12.903225806451612</v>
      </c>
      <c r="AL17" s="6">
        <f t="shared" si="7"/>
        <v>12.903225806451612</v>
      </c>
      <c r="AN17" s="43">
        <v>400</v>
      </c>
      <c r="AO17" s="49"/>
      <c r="AP17" s="74">
        <f t="shared" ref="AP17:AP24" si="8">AN17/D17</f>
        <v>1</v>
      </c>
      <c r="AR17" s="5">
        <f t="shared" si="5"/>
        <v>399.99999999999972</v>
      </c>
      <c r="AS17" s="70">
        <f t="shared" si="6"/>
        <v>0.28880866425992763</v>
      </c>
    </row>
    <row r="18" spans="2:45" ht="15" x14ac:dyDescent="0.2">
      <c r="B18" s="1">
        <v>3</v>
      </c>
      <c r="C18" s="1" t="s">
        <v>11</v>
      </c>
      <c r="D18" s="6">
        <v>209</v>
      </c>
      <c r="E18" s="6">
        <f t="shared" si="2"/>
        <v>6.741935483870968</v>
      </c>
      <c r="F18" s="10">
        <f t="shared" si="3"/>
        <v>0.15090252707581228</v>
      </c>
      <c r="G18" s="6">
        <f t="shared" ref="G18:AL18" si="9">$E$18</f>
        <v>6.741935483870968</v>
      </c>
      <c r="H18" s="76"/>
      <c r="I18" s="6">
        <f t="shared" si="9"/>
        <v>6.741935483870968</v>
      </c>
      <c r="J18" s="6">
        <f t="shared" si="9"/>
        <v>6.741935483870968</v>
      </c>
      <c r="K18" s="6">
        <f t="shared" si="9"/>
        <v>6.741935483870968</v>
      </c>
      <c r="L18" s="6">
        <f t="shared" si="9"/>
        <v>6.741935483870968</v>
      </c>
      <c r="M18" s="6">
        <f t="shared" si="9"/>
        <v>6.741935483870968</v>
      </c>
      <c r="N18" s="6">
        <f t="shared" si="9"/>
        <v>6.741935483870968</v>
      </c>
      <c r="O18" s="6">
        <f t="shared" si="9"/>
        <v>6.741935483870968</v>
      </c>
      <c r="P18" s="6">
        <f t="shared" si="9"/>
        <v>6.741935483870968</v>
      </c>
      <c r="Q18" s="6">
        <f t="shared" si="9"/>
        <v>6.741935483870968</v>
      </c>
      <c r="R18" s="6">
        <f t="shared" si="9"/>
        <v>6.741935483870968</v>
      </c>
      <c r="S18" s="6">
        <f t="shared" si="9"/>
        <v>6.741935483870968</v>
      </c>
      <c r="T18" s="6">
        <f t="shared" si="9"/>
        <v>6.741935483870968</v>
      </c>
      <c r="U18" s="6">
        <f t="shared" si="9"/>
        <v>6.741935483870968</v>
      </c>
      <c r="V18" s="6">
        <f t="shared" si="9"/>
        <v>6.741935483870968</v>
      </c>
      <c r="W18" s="6">
        <f t="shared" si="9"/>
        <v>6.741935483870968</v>
      </c>
      <c r="X18" s="6">
        <f t="shared" si="9"/>
        <v>6.741935483870968</v>
      </c>
      <c r="Y18" s="6">
        <f t="shared" si="9"/>
        <v>6.741935483870968</v>
      </c>
      <c r="Z18" s="6">
        <f t="shared" si="9"/>
        <v>6.741935483870968</v>
      </c>
      <c r="AA18" s="6">
        <f t="shared" si="9"/>
        <v>6.741935483870968</v>
      </c>
      <c r="AB18" s="6">
        <f t="shared" si="9"/>
        <v>6.741935483870968</v>
      </c>
      <c r="AC18" s="6">
        <f t="shared" si="9"/>
        <v>6.741935483870968</v>
      </c>
      <c r="AD18" s="6">
        <f t="shared" si="9"/>
        <v>6.741935483870968</v>
      </c>
      <c r="AE18" s="6">
        <f t="shared" si="9"/>
        <v>6.741935483870968</v>
      </c>
      <c r="AF18" s="6">
        <f t="shared" si="9"/>
        <v>6.741935483870968</v>
      </c>
      <c r="AG18" s="6">
        <f t="shared" si="9"/>
        <v>6.741935483870968</v>
      </c>
      <c r="AH18" s="6">
        <f t="shared" si="9"/>
        <v>6.741935483870968</v>
      </c>
      <c r="AI18" s="6">
        <f t="shared" si="9"/>
        <v>6.741935483870968</v>
      </c>
      <c r="AJ18" s="6">
        <f t="shared" si="9"/>
        <v>6.741935483870968</v>
      </c>
      <c r="AK18" s="6">
        <f t="shared" si="9"/>
        <v>6.741935483870968</v>
      </c>
      <c r="AL18" s="6">
        <f t="shared" si="9"/>
        <v>6.741935483870968</v>
      </c>
      <c r="AN18" s="43">
        <v>210</v>
      </c>
      <c r="AO18" s="49"/>
      <c r="AP18" s="74">
        <f t="shared" si="8"/>
        <v>1.0047846889952152</v>
      </c>
      <c r="AR18" s="5">
        <f t="shared" si="5"/>
        <v>209.00000000000014</v>
      </c>
      <c r="AS18" s="70">
        <f t="shared" si="6"/>
        <v>0.15090252707581239</v>
      </c>
    </row>
    <row r="19" spans="2:45" ht="15" x14ac:dyDescent="0.2">
      <c r="B19" s="1">
        <v>4</v>
      </c>
      <c r="C19" s="1" t="s">
        <v>4</v>
      </c>
      <c r="D19" s="6">
        <v>150</v>
      </c>
      <c r="E19" s="6">
        <f t="shared" si="2"/>
        <v>4.838709677419355</v>
      </c>
      <c r="F19" s="10">
        <f t="shared" si="3"/>
        <v>0.10830324909747292</v>
      </c>
      <c r="G19" s="6">
        <f t="shared" ref="G19:AL19" si="10">$E$19</f>
        <v>4.838709677419355</v>
      </c>
      <c r="H19" s="76"/>
      <c r="I19" s="6">
        <f t="shared" si="10"/>
        <v>4.838709677419355</v>
      </c>
      <c r="J19" s="6">
        <f t="shared" si="10"/>
        <v>4.838709677419355</v>
      </c>
      <c r="K19" s="6">
        <f t="shared" si="10"/>
        <v>4.838709677419355</v>
      </c>
      <c r="L19" s="6">
        <f t="shared" si="10"/>
        <v>4.838709677419355</v>
      </c>
      <c r="M19" s="6">
        <f t="shared" si="10"/>
        <v>4.838709677419355</v>
      </c>
      <c r="N19" s="6">
        <f t="shared" si="10"/>
        <v>4.838709677419355</v>
      </c>
      <c r="O19" s="6">
        <f t="shared" si="10"/>
        <v>4.838709677419355</v>
      </c>
      <c r="P19" s="6">
        <f t="shared" si="10"/>
        <v>4.838709677419355</v>
      </c>
      <c r="Q19" s="6">
        <f t="shared" si="10"/>
        <v>4.838709677419355</v>
      </c>
      <c r="R19" s="6">
        <f t="shared" si="10"/>
        <v>4.838709677419355</v>
      </c>
      <c r="S19" s="6">
        <f t="shared" si="10"/>
        <v>4.838709677419355</v>
      </c>
      <c r="T19" s="6">
        <f t="shared" si="10"/>
        <v>4.838709677419355</v>
      </c>
      <c r="U19" s="6">
        <f t="shared" si="10"/>
        <v>4.838709677419355</v>
      </c>
      <c r="V19" s="6">
        <f t="shared" si="10"/>
        <v>4.838709677419355</v>
      </c>
      <c r="W19" s="6">
        <f t="shared" si="10"/>
        <v>4.838709677419355</v>
      </c>
      <c r="X19" s="6">
        <f t="shared" si="10"/>
        <v>4.838709677419355</v>
      </c>
      <c r="Y19" s="6">
        <f t="shared" si="10"/>
        <v>4.838709677419355</v>
      </c>
      <c r="Z19" s="6">
        <f t="shared" si="10"/>
        <v>4.838709677419355</v>
      </c>
      <c r="AA19" s="6">
        <f t="shared" si="10"/>
        <v>4.838709677419355</v>
      </c>
      <c r="AB19" s="6">
        <f t="shared" si="10"/>
        <v>4.838709677419355</v>
      </c>
      <c r="AC19" s="6">
        <f t="shared" si="10"/>
        <v>4.838709677419355</v>
      </c>
      <c r="AD19" s="6">
        <f t="shared" si="10"/>
        <v>4.838709677419355</v>
      </c>
      <c r="AE19" s="6">
        <f t="shared" si="10"/>
        <v>4.838709677419355</v>
      </c>
      <c r="AF19" s="6">
        <f t="shared" si="10"/>
        <v>4.838709677419355</v>
      </c>
      <c r="AG19" s="6">
        <f t="shared" si="10"/>
        <v>4.838709677419355</v>
      </c>
      <c r="AH19" s="6">
        <f t="shared" si="10"/>
        <v>4.838709677419355</v>
      </c>
      <c r="AI19" s="6">
        <f t="shared" si="10"/>
        <v>4.838709677419355</v>
      </c>
      <c r="AJ19" s="6">
        <f t="shared" si="10"/>
        <v>4.838709677419355</v>
      </c>
      <c r="AK19" s="6">
        <f t="shared" si="10"/>
        <v>4.838709677419355</v>
      </c>
      <c r="AL19" s="6">
        <f t="shared" si="10"/>
        <v>4.838709677419355</v>
      </c>
      <c r="AN19" s="43">
        <v>150</v>
      </c>
      <c r="AO19" s="49"/>
      <c r="AP19" s="74">
        <f t="shared" si="8"/>
        <v>1</v>
      </c>
      <c r="AR19" s="5">
        <f t="shared" si="5"/>
        <v>150.00000000000006</v>
      </c>
      <c r="AS19" s="70">
        <f t="shared" si="6"/>
        <v>0.10830324909747298</v>
      </c>
    </row>
    <row r="20" spans="2:45" ht="15" x14ac:dyDescent="0.2">
      <c r="B20" s="1">
        <v>5</v>
      </c>
      <c r="C20" s="1" t="s">
        <v>13</v>
      </c>
      <c r="D20" s="6">
        <v>118</v>
      </c>
      <c r="E20" s="6">
        <f t="shared" si="2"/>
        <v>3.806451612903226</v>
      </c>
      <c r="F20" s="10">
        <f t="shared" si="3"/>
        <v>8.5198555956678704E-2</v>
      </c>
      <c r="G20" s="6">
        <f t="shared" ref="G20:AL20" si="11">$E$20</f>
        <v>3.806451612903226</v>
      </c>
      <c r="H20" s="76"/>
      <c r="I20" s="6">
        <f t="shared" si="11"/>
        <v>3.806451612903226</v>
      </c>
      <c r="J20" s="6">
        <f t="shared" si="11"/>
        <v>3.806451612903226</v>
      </c>
      <c r="K20" s="6">
        <f t="shared" si="11"/>
        <v>3.806451612903226</v>
      </c>
      <c r="L20" s="6">
        <f t="shared" si="11"/>
        <v>3.806451612903226</v>
      </c>
      <c r="M20" s="6">
        <f t="shared" si="11"/>
        <v>3.806451612903226</v>
      </c>
      <c r="N20" s="6">
        <f t="shared" si="11"/>
        <v>3.806451612903226</v>
      </c>
      <c r="O20" s="6">
        <f t="shared" si="11"/>
        <v>3.806451612903226</v>
      </c>
      <c r="P20" s="6">
        <f t="shared" si="11"/>
        <v>3.806451612903226</v>
      </c>
      <c r="Q20" s="6">
        <f t="shared" si="11"/>
        <v>3.806451612903226</v>
      </c>
      <c r="R20" s="6">
        <f t="shared" si="11"/>
        <v>3.806451612903226</v>
      </c>
      <c r="S20" s="6">
        <f t="shared" si="11"/>
        <v>3.806451612903226</v>
      </c>
      <c r="T20" s="6">
        <f t="shared" si="11"/>
        <v>3.806451612903226</v>
      </c>
      <c r="U20" s="6">
        <f t="shared" si="11"/>
        <v>3.806451612903226</v>
      </c>
      <c r="V20" s="6">
        <f t="shared" si="11"/>
        <v>3.806451612903226</v>
      </c>
      <c r="W20" s="6">
        <f t="shared" si="11"/>
        <v>3.806451612903226</v>
      </c>
      <c r="X20" s="6">
        <f t="shared" si="11"/>
        <v>3.806451612903226</v>
      </c>
      <c r="Y20" s="6">
        <f t="shared" si="11"/>
        <v>3.806451612903226</v>
      </c>
      <c r="Z20" s="6">
        <f t="shared" si="11"/>
        <v>3.806451612903226</v>
      </c>
      <c r="AA20" s="6">
        <f t="shared" si="11"/>
        <v>3.806451612903226</v>
      </c>
      <c r="AB20" s="6">
        <f t="shared" si="11"/>
        <v>3.806451612903226</v>
      </c>
      <c r="AC20" s="6">
        <f t="shared" si="11"/>
        <v>3.806451612903226</v>
      </c>
      <c r="AD20" s="6">
        <f t="shared" si="11"/>
        <v>3.806451612903226</v>
      </c>
      <c r="AE20" s="6">
        <f t="shared" si="11"/>
        <v>3.806451612903226</v>
      </c>
      <c r="AF20" s="6">
        <f t="shared" si="11"/>
        <v>3.806451612903226</v>
      </c>
      <c r="AG20" s="6">
        <f t="shared" si="11"/>
        <v>3.806451612903226</v>
      </c>
      <c r="AH20" s="6">
        <f t="shared" si="11"/>
        <v>3.806451612903226</v>
      </c>
      <c r="AI20" s="6">
        <f t="shared" si="11"/>
        <v>3.806451612903226</v>
      </c>
      <c r="AJ20" s="6">
        <f t="shared" si="11"/>
        <v>3.806451612903226</v>
      </c>
      <c r="AK20" s="6">
        <f t="shared" si="11"/>
        <v>3.806451612903226</v>
      </c>
      <c r="AL20" s="6">
        <f t="shared" si="11"/>
        <v>3.806451612903226</v>
      </c>
      <c r="AN20" s="43">
        <v>118</v>
      </c>
      <c r="AO20" s="49"/>
      <c r="AP20" s="74">
        <f t="shared" si="8"/>
        <v>1</v>
      </c>
      <c r="AR20" s="5">
        <f t="shared" si="5"/>
        <v>118.00000000000006</v>
      </c>
      <c r="AS20" s="70">
        <f t="shared" si="6"/>
        <v>8.5198555956678759E-2</v>
      </c>
    </row>
    <row r="21" spans="2:45" ht="15" x14ac:dyDescent="0.2">
      <c r="B21" s="1">
        <v>6</v>
      </c>
      <c r="C21" s="1" t="s">
        <v>6</v>
      </c>
      <c r="D21" s="6">
        <v>25</v>
      </c>
      <c r="E21" s="6">
        <f t="shared" si="2"/>
        <v>0.80645161290322576</v>
      </c>
      <c r="F21" s="10">
        <f t="shared" si="3"/>
        <v>1.8050541516245487E-2</v>
      </c>
      <c r="G21" s="6">
        <f t="shared" ref="G21:AL21" si="12">$E$21</f>
        <v>0.80645161290322576</v>
      </c>
      <c r="H21" s="76"/>
      <c r="I21" s="6">
        <f t="shared" si="12"/>
        <v>0.80645161290322576</v>
      </c>
      <c r="J21" s="6">
        <f t="shared" si="12"/>
        <v>0.80645161290322576</v>
      </c>
      <c r="K21" s="6">
        <f t="shared" si="12"/>
        <v>0.80645161290322576</v>
      </c>
      <c r="L21" s="6">
        <f t="shared" si="12"/>
        <v>0.80645161290322576</v>
      </c>
      <c r="M21" s="6">
        <f t="shared" si="12"/>
        <v>0.80645161290322576</v>
      </c>
      <c r="N21" s="6">
        <f t="shared" si="12"/>
        <v>0.80645161290322576</v>
      </c>
      <c r="O21" s="6">
        <f t="shared" si="12"/>
        <v>0.80645161290322576</v>
      </c>
      <c r="P21" s="6">
        <f t="shared" si="12"/>
        <v>0.80645161290322576</v>
      </c>
      <c r="Q21" s="6">
        <f t="shared" si="12"/>
        <v>0.80645161290322576</v>
      </c>
      <c r="R21" s="6">
        <f t="shared" si="12"/>
        <v>0.80645161290322576</v>
      </c>
      <c r="S21" s="6">
        <f t="shared" si="12"/>
        <v>0.80645161290322576</v>
      </c>
      <c r="T21" s="6">
        <f t="shared" si="12"/>
        <v>0.80645161290322576</v>
      </c>
      <c r="U21" s="6">
        <f t="shared" si="12"/>
        <v>0.80645161290322576</v>
      </c>
      <c r="V21" s="6">
        <f t="shared" si="12"/>
        <v>0.80645161290322576</v>
      </c>
      <c r="W21" s="6">
        <f t="shared" si="12"/>
        <v>0.80645161290322576</v>
      </c>
      <c r="X21" s="6">
        <f t="shared" si="12"/>
        <v>0.80645161290322576</v>
      </c>
      <c r="Y21" s="6">
        <f t="shared" si="12"/>
        <v>0.80645161290322576</v>
      </c>
      <c r="Z21" s="6">
        <f t="shared" si="12"/>
        <v>0.80645161290322576</v>
      </c>
      <c r="AA21" s="6">
        <f t="shared" si="12"/>
        <v>0.80645161290322576</v>
      </c>
      <c r="AB21" s="6">
        <f t="shared" si="12"/>
        <v>0.80645161290322576</v>
      </c>
      <c r="AC21" s="6">
        <f t="shared" si="12"/>
        <v>0.80645161290322576</v>
      </c>
      <c r="AD21" s="6">
        <f t="shared" si="12"/>
        <v>0.80645161290322576</v>
      </c>
      <c r="AE21" s="6">
        <f t="shared" si="12"/>
        <v>0.80645161290322576</v>
      </c>
      <c r="AF21" s="6">
        <f t="shared" si="12"/>
        <v>0.80645161290322576</v>
      </c>
      <c r="AG21" s="6">
        <f t="shared" si="12"/>
        <v>0.80645161290322576</v>
      </c>
      <c r="AH21" s="6">
        <f t="shared" si="12"/>
        <v>0.80645161290322576</v>
      </c>
      <c r="AI21" s="6">
        <f t="shared" si="12"/>
        <v>0.80645161290322576</v>
      </c>
      <c r="AJ21" s="6">
        <f t="shared" si="12"/>
        <v>0.80645161290322576</v>
      </c>
      <c r="AK21" s="6">
        <f t="shared" si="12"/>
        <v>0.80645161290322576</v>
      </c>
      <c r="AL21" s="6">
        <f t="shared" si="12"/>
        <v>0.80645161290322576</v>
      </c>
      <c r="AN21" s="43">
        <v>25</v>
      </c>
      <c r="AO21" s="49"/>
      <c r="AP21" s="74">
        <f>AN21/D21</f>
        <v>1</v>
      </c>
      <c r="AR21" s="5">
        <f t="shared" si="5"/>
        <v>24.999999999999982</v>
      </c>
      <c r="AS21" s="70">
        <f t="shared" si="6"/>
        <v>1.8050541516245477E-2</v>
      </c>
    </row>
    <row r="22" spans="2:45" ht="15" x14ac:dyDescent="0.2">
      <c r="B22" s="1">
        <v>7</v>
      </c>
      <c r="C22" s="1" t="s">
        <v>16</v>
      </c>
      <c r="D22" s="6">
        <v>25</v>
      </c>
      <c r="E22" s="6">
        <f t="shared" si="2"/>
        <v>0.80645161290322576</v>
      </c>
      <c r="F22" s="10">
        <f t="shared" si="3"/>
        <v>1.8050541516245487E-2</v>
      </c>
      <c r="G22" s="6">
        <f t="shared" ref="G22:AL22" si="13">$E$22</f>
        <v>0.80645161290322576</v>
      </c>
      <c r="H22" s="76"/>
      <c r="I22" s="6">
        <f t="shared" si="13"/>
        <v>0.80645161290322576</v>
      </c>
      <c r="J22" s="6">
        <f t="shared" si="13"/>
        <v>0.80645161290322576</v>
      </c>
      <c r="K22" s="6">
        <f t="shared" si="13"/>
        <v>0.80645161290322576</v>
      </c>
      <c r="L22" s="6">
        <f t="shared" si="13"/>
        <v>0.80645161290322576</v>
      </c>
      <c r="M22" s="6">
        <f t="shared" si="13"/>
        <v>0.80645161290322576</v>
      </c>
      <c r="N22" s="6">
        <f t="shared" si="13"/>
        <v>0.80645161290322576</v>
      </c>
      <c r="O22" s="6">
        <f t="shared" si="13"/>
        <v>0.80645161290322576</v>
      </c>
      <c r="P22" s="6">
        <f t="shared" si="13"/>
        <v>0.80645161290322576</v>
      </c>
      <c r="Q22" s="6">
        <f t="shared" si="13"/>
        <v>0.80645161290322576</v>
      </c>
      <c r="R22" s="6">
        <f t="shared" si="13"/>
        <v>0.80645161290322576</v>
      </c>
      <c r="S22" s="6">
        <f t="shared" si="13"/>
        <v>0.80645161290322576</v>
      </c>
      <c r="T22" s="6">
        <f t="shared" si="13"/>
        <v>0.80645161290322576</v>
      </c>
      <c r="U22" s="6">
        <f t="shared" si="13"/>
        <v>0.80645161290322576</v>
      </c>
      <c r="V22" s="6">
        <f t="shared" si="13"/>
        <v>0.80645161290322576</v>
      </c>
      <c r="W22" s="6">
        <f t="shared" si="13"/>
        <v>0.80645161290322576</v>
      </c>
      <c r="X22" s="6">
        <f t="shared" si="13"/>
        <v>0.80645161290322576</v>
      </c>
      <c r="Y22" s="6">
        <f t="shared" si="13"/>
        <v>0.80645161290322576</v>
      </c>
      <c r="Z22" s="6">
        <f t="shared" si="13"/>
        <v>0.80645161290322576</v>
      </c>
      <c r="AA22" s="6">
        <f t="shared" si="13"/>
        <v>0.80645161290322576</v>
      </c>
      <c r="AB22" s="6">
        <f t="shared" si="13"/>
        <v>0.80645161290322576</v>
      </c>
      <c r="AC22" s="6">
        <f t="shared" si="13"/>
        <v>0.80645161290322576</v>
      </c>
      <c r="AD22" s="6">
        <f t="shared" si="13"/>
        <v>0.80645161290322576</v>
      </c>
      <c r="AE22" s="6">
        <f t="shared" si="13"/>
        <v>0.80645161290322576</v>
      </c>
      <c r="AF22" s="6">
        <f t="shared" si="13"/>
        <v>0.80645161290322576</v>
      </c>
      <c r="AG22" s="6">
        <f t="shared" si="13"/>
        <v>0.80645161290322576</v>
      </c>
      <c r="AH22" s="6">
        <f t="shared" si="13"/>
        <v>0.80645161290322576</v>
      </c>
      <c r="AI22" s="6">
        <f t="shared" si="13"/>
        <v>0.80645161290322576</v>
      </c>
      <c r="AJ22" s="6">
        <f t="shared" si="13"/>
        <v>0.80645161290322576</v>
      </c>
      <c r="AK22" s="6">
        <f t="shared" si="13"/>
        <v>0.80645161290322576</v>
      </c>
      <c r="AL22" s="6">
        <f t="shared" si="13"/>
        <v>0.80645161290322576</v>
      </c>
      <c r="AN22" s="43">
        <v>25</v>
      </c>
      <c r="AO22" s="49"/>
      <c r="AP22" s="74">
        <f t="shared" si="8"/>
        <v>1</v>
      </c>
      <c r="AR22" s="5">
        <f t="shared" si="5"/>
        <v>24.999999999999982</v>
      </c>
      <c r="AS22" s="70">
        <f t="shared" si="6"/>
        <v>1.8050541516245477E-2</v>
      </c>
    </row>
    <row r="23" spans="2:45" ht="15" x14ac:dyDescent="0.2">
      <c r="B23" s="1">
        <v>8</v>
      </c>
      <c r="C23" s="1" t="s">
        <v>44</v>
      </c>
      <c r="D23" s="6">
        <v>0</v>
      </c>
      <c r="E23" s="6">
        <f t="shared" si="2"/>
        <v>0</v>
      </c>
      <c r="F23" s="10">
        <f t="shared" si="3"/>
        <v>0</v>
      </c>
      <c r="G23" s="6">
        <f t="shared" ref="G23:AL23" si="14">$E$23</f>
        <v>0</v>
      </c>
      <c r="H23" s="76"/>
      <c r="I23" s="6">
        <f t="shared" si="14"/>
        <v>0</v>
      </c>
      <c r="J23" s="6">
        <f t="shared" si="14"/>
        <v>0</v>
      </c>
      <c r="K23" s="6">
        <f t="shared" si="14"/>
        <v>0</v>
      </c>
      <c r="L23" s="6">
        <f t="shared" si="14"/>
        <v>0</v>
      </c>
      <c r="M23" s="6">
        <f t="shared" si="14"/>
        <v>0</v>
      </c>
      <c r="N23" s="6">
        <f t="shared" si="14"/>
        <v>0</v>
      </c>
      <c r="O23" s="6">
        <f t="shared" si="14"/>
        <v>0</v>
      </c>
      <c r="P23" s="6">
        <f t="shared" si="14"/>
        <v>0</v>
      </c>
      <c r="Q23" s="6">
        <f t="shared" si="14"/>
        <v>0</v>
      </c>
      <c r="R23" s="6">
        <f t="shared" si="14"/>
        <v>0</v>
      </c>
      <c r="S23" s="6">
        <f t="shared" si="14"/>
        <v>0</v>
      </c>
      <c r="T23" s="6">
        <f t="shared" si="14"/>
        <v>0</v>
      </c>
      <c r="U23" s="6">
        <f t="shared" si="14"/>
        <v>0</v>
      </c>
      <c r="V23" s="6">
        <f t="shared" si="14"/>
        <v>0</v>
      </c>
      <c r="W23" s="6">
        <f t="shared" si="14"/>
        <v>0</v>
      </c>
      <c r="X23" s="6">
        <f t="shared" si="14"/>
        <v>0</v>
      </c>
      <c r="Y23" s="6">
        <f t="shared" si="14"/>
        <v>0</v>
      </c>
      <c r="Z23" s="6">
        <f t="shared" si="14"/>
        <v>0</v>
      </c>
      <c r="AA23" s="6">
        <f t="shared" si="14"/>
        <v>0</v>
      </c>
      <c r="AB23" s="6">
        <f t="shared" si="14"/>
        <v>0</v>
      </c>
      <c r="AC23" s="6">
        <f t="shared" si="14"/>
        <v>0</v>
      </c>
      <c r="AD23" s="6">
        <f t="shared" si="14"/>
        <v>0</v>
      </c>
      <c r="AE23" s="6">
        <f t="shared" si="14"/>
        <v>0</v>
      </c>
      <c r="AF23" s="6">
        <f t="shared" si="14"/>
        <v>0</v>
      </c>
      <c r="AG23" s="6">
        <f t="shared" si="14"/>
        <v>0</v>
      </c>
      <c r="AH23" s="6">
        <f t="shared" si="14"/>
        <v>0</v>
      </c>
      <c r="AI23" s="6">
        <f t="shared" si="14"/>
        <v>0</v>
      </c>
      <c r="AJ23" s="6">
        <f t="shared" si="14"/>
        <v>0</v>
      </c>
      <c r="AK23" s="6">
        <f t="shared" si="14"/>
        <v>0</v>
      </c>
      <c r="AL23" s="6">
        <f t="shared" si="14"/>
        <v>0</v>
      </c>
      <c r="AN23" s="43">
        <v>0</v>
      </c>
      <c r="AO23" s="49"/>
      <c r="AP23" s="74" t="e">
        <f>AN23/D23</f>
        <v>#DIV/0!</v>
      </c>
      <c r="AR23" s="5">
        <f>SUM(G23:AL23)</f>
        <v>0</v>
      </c>
      <c r="AS23" s="70">
        <f t="shared" si="6"/>
        <v>0</v>
      </c>
    </row>
    <row r="24" spans="2:45" ht="15" x14ac:dyDescent="0.2">
      <c r="B24" s="1">
        <v>9</v>
      </c>
      <c r="C24" s="1" t="s">
        <v>5</v>
      </c>
      <c r="D24" s="6">
        <v>0</v>
      </c>
      <c r="E24" s="6">
        <f t="shared" si="2"/>
        <v>0</v>
      </c>
      <c r="F24" s="10">
        <f t="shared" si="3"/>
        <v>0</v>
      </c>
      <c r="G24" s="6">
        <f t="shared" ref="G24:AL24" si="15">$E$24</f>
        <v>0</v>
      </c>
      <c r="H24" s="76"/>
      <c r="I24" s="6">
        <f t="shared" si="15"/>
        <v>0</v>
      </c>
      <c r="J24" s="6">
        <f t="shared" si="15"/>
        <v>0</v>
      </c>
      <c r="K24" s="6">
        <f t="shared" si="15"/>
        <v>0</v>
      </c>
      <c r="L24" s="6">
        <f t="shared" si="15"/>
        <v>0</v>
      </c>
      <c r="M24" s="6">
        <f t="shared" si="15"/>
        <v>0</v>
      </c>
      <c r="N24" s="6">
        <f t="shared" si="15"/>
        <v>0</v>
      </c>
      <c r="O24" s="6">
        <f t="shared" si="15"/>
        <v>0</v>
      </c>
      <c r="P24" s="6">
        <f t="shared" si="15"/>
        <v>0</v>
      </c>
      <c r="Q24" s="6">
        <f t="shared" si="15"/>
        <v>0</v>
      </c>
      <c r="R24" s="6">
        <f t="shared" si="15"/>
        <v>0</v>
      </c>
      <c r="S24" s="6">
        <f t="shared" si="15"/>
        <v>0</v>
      </c>
      <c r="T24" s="6">
        <f t="shared" si="15"/>
        <v>0</v>
      </c>
      <c r="U24" s="6">
        <f t="shared" si="15"/>
        <v>0</v>
      </c>
      <c r="V24" s="6">
        <f t="shared" si="15"/>
        <v>0</v>
      </c>
      <c r="W24" s="6">
        <f t="shared" si="15"/>
        <v>0</v>
      </c>
      <c r="X24" s="6">
        <f t="shared" si="15"/>
        <v>0</v>
      </c>
      <c r="Y24" s="6">
        <f t="shared" si="15"/>
        <v>0</v>
      </c>
      <c r="Z24" s="6">
        <f t="shared" si="15"/>
        <v>0</v>
      </c>
      <c r="AA24" s="6">
        <f t="shared" si="15"/>
        <v>0</v>
      </c>
      <c r="AB24" s="6">
        <f t="shared" si="15"/>
        <v>0</v>
      </c>
      <c r="AC24" s="6">
        <f t="shared" si="15"/>
        <v>0</v>
      </c>
      <c r="AD24" s="6">
        <f t="shared" si="15"/>
        <v>0</v>
      </c>
      <c r="AE24" s="6">
        <f t="shared" si="15"/>
        <v>0</v>
      </c>
      <c r="AF24" s="6">
        <f t="shared" si="15"/>
        <v>0</v>
      </c>
      <c r="AG24" s="6">
        <f t="shared" si="15"/>
        <v>0</v>
      </c>
      <c r="AH24" s="6">
        <f t="shared" si="15"/>
        <v>0</v>
      </c>
      <c r="AI24" s="6">
        <f t="shared" si="15"/>
        <v>0</v>
      </c>
      <c r="AJ24" s="6">
        <f t="shared" si="15"/>
        <v>0</v>
      </c>
      <c r="AK24" s="6">
        <f t="shared" si="15"/>
        <v>0</v>
      </c>
      <c r="AL24" s="6">
        <f t="shared" si="15"/>
        <v>0</v>
      </c>
      <c r="AN24" s="43">
        <v>0</v>
      </c>
      <c r="AO24" s="49"/>
      <c r="AP24" s="74" t="e">
        <f t="shared" si="8"/>
        <v>#DIV/0!</v>
      </c>
      <c r="AR24" s="5">
        <f t="shared" si="5"/>
        <v>0</v>
      </c>
      <c r="AS24" s="70">
        <f t="shared" si="6"/>
        <v>0</v>
      </c>
    </row>
    <row r="25" spans="2:45" ht="15" x14ac:dyDescent="0.2">
      <c r="B25" s="1"/>
      <c r="C25" s="3" t="s">
        <v>17</v>
      </c>
      <c r="D25" s="5">
        <f>SUM(D16:D24)</f>
        <v>1385</v>
      </c>
      <c r="E25" s="5">
        <f>SUM(E16:E24)</f>
        <v>44.677419354838705</v>
      </c>
      <c r="F25" s="15">
        <f>SUM(F16:F24)</f>
        <v>1</v>
      </c>
      <c r="G25" s="5">
        <f t="shared" ref="G25:AL25" si="16">SUM(G16:G24)</f>
        <v>44.677419354838705</v>
      </c>
      <c r="H25" s="76"/>
      <c r="I25" s="5">
        <f t="shared" si="16"/>
        <v>44.677419354838705</v>
      </c>
      <c r="J25" s="5">
        <f t="shared" si="16"/>
        <v>44.677419354838705</v>
      </c>
      <c r="K25" s="5">
        <f t="shared" si="16"/>
        <v>44.677419354838705</v>
      </c>
      <c r="L25" s="5">
        <f t="shared" si="16"/>
        <v>44.677419354838705</v>
      </c>
      <c r="M25" s="5">
        <f t="shared" si="16"/>
        <v>44.677419354838705</v>
      </c>
      <c r="N25" s="5">
        <f t="shared" si="16"/>
        <v>44.677419354838705</v>
      </c>
      <c r="O25" s="5">
        <f t="shared" si="16"/>
        <v>44.677419354838705</v>
      </c>
      <c r="P25" s="5">
        <f t="shared" si="16"/>
        <v>44.677419354838705</v>
      </c>
      <c r="Q25" s="5">
        <f t="shared" si="16"/>
        <v>44.677419354838705</v>
      </c>
      <c r="R25" s="5">
        <f t="shared" si="16"/>
        <v>44.677419354838705</v>
      </c>
      <c r="S25" s="5">
        <f t="shared" si="16"/>
        <v>44.677419354838705</v>
      </c>
      <c r="T25" s="5">
        <f t="shared" si="16"/>
        <v>44.677419354838705</v>
      </c>
      <c r="U25" s="5">
        <f t="shared" si="16"/>
        <v>44.677419354838705</v>
      </c>
      <c r="V25" s="5">
        <f t="shared" si="16"/>
        <v>44.677419354838705</v>
      </c>
      <c r="W25" s="5">
        <f t="shared" si="16"/>
        <v>44.677419354838705</v>
      </c>
      <c r="X25" s="5">
        <f t="shared" si="16"/>
        <v>44.677419354838705</v>
      </c>
      <c r="Y25" s="5">
        <f t="shared" si="16"/>
        <v>44.677419354838705</v>
      </c>
      <c r="Z25" s="5">
        <f t="shared" si="16"/>
        <v>44.677419354838705</v>
      </c>
      <c r="AA25" s="5">
        <f t="shared" si="16"/>
        <v>44.677419354838705</v>
      </c>
      <c r="AB25" s="5">
        <f t="shared" si="16"/>
        <v>44.677419354838705</v>
      </c>
      <c r="AC25" s="5">
        <f t="shared" si="16"/>
        <v>44.677419354838705</v>
      </c>
      <c r="AD25" s="5">
        <f t="shared" si="16"/>
        <v>44.677419354838705</v>
      </c>
      <c r="AE25" s="5">
        <f t="shared" si="16"/>
        <v>44.677419354838705</v>
      </c>
      <c r="AF25" s="5">
        <f t="shared" si="16"/>
        <v>44.677419354838705</v>
      </c>
      <c r="AG25" s="5">
        <f t="shared" si="16"/>
        <v>44.677419354838705</v>
      </c>
      <c r="AH25" s="5">
        <f t="shared" si="16"/>
        <v>44.677419354838705</v>
      </c>
      <c r="AI25" s="5">
        <f t="shared" si="16"/>
        <v>44.677419354838705</v>
      </c>
      <c r="AJ25" s="5">
        <f t="shared" si="16"/>
        <v>44.677419354838705</v>
      </c>
      <c r="AK25" s="5">
        <f t="shared" si="16"/>
        <v>44.677419354838705</v>
      </c>
      <c r="AL25" s="5">
        <f t="shared" si="16"/>
        <v>44.677419354838705</v>
      </c>
      <c r="AM25" s="4"/>
      <c r="AN25" s="43">
        <f>SUM(AN16:AN24)</f>
        <v>1386</v>
      </c>
      <c r="AO25" s="4"/>
      <c r="AP25" s="74">
        <f>AN25/D25</f>
        <v>1.0007220216606498</v>
      </c>
      <c r="AQ25" s="4"/>
      <c r="AR25" s="5">
        <f>SUM(AR16:AR24)</f>
        <v>1384.9999999999998</v>
      </c>
      <c r="AS25" s="70">
        <f>SUM(AS16:AS24)</f>
        <v>1</v>
      </c>
    </row>
    <row r="26" spans="2:45" s="13" customFormat="1" ht="15" x14ac:dyDescent="0.2">
      <c r="B26" s="17"/>
      <c r="C26" s="18"/>
      <c r="D26" s="19"/>
      <c r="E26" s="19"/>
      <c r="F26" s="20"/>
      <c r="G26" s="19"/>
      <c r="H26" s="78"/>
      <c r="I26" s="19"/>
      <c r="J26" s="19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6"/>
      <c r="AN26" s="16"/>
      <c r="AO26" s="16"/>
      <c r="AP26" s="16"/>
      <c r="AQ26" s="16"/>
      <c r="AR26" s="19"/>
      <c r="AS26" s="20"/>
    </row>
    <row r="27" spans="2:45" s="13" customFormat="1" ht="15" x14ac:dyDescent="0.2">
      <c r="B27" s="1"/>
      <c r="C27" s="3" t="s">
        <v>27</v>
      </c>
      <c r="D27" s="31"/>
      <c r="E27" s="31"/>
      <c r="F27" s="32"/>
      <c r="G27" s="4434">
        <f t="shared" ref="G27:AL27" si="17">G10-G25</f>
        <v>15.835631720430122</v>
      </c>
      <c r="H27" s="4435"/>
      <c r="I27" s="5">
        <f t="shared" si="17"/>
        <v>21.294381720430124</v>
      </c>
      <c r="J27" s="5">
        <f t="shared" si="17"/>
        <v>19.193548387096776</v>
      </c>
      <c r="K27" s="5">
        <f t="shared" si="17"/>
        <v>3.0618817204301223</v>
      </c>
      <c r="L27" s="5">
        <f t="shared" si="17"/>
        <v>15.326881720430123</v>
      </c>
      <c r="M27" s="5">
        <f t="shared" si="17"/>
        <v>17.25188172043012</v>
      </c>
      <c r="N27" s="5">
        <f t="shared" si="17"/>
        <v>1.09563172043012</v>
      </c>
      <c r="O27" s="5">
        <f t="shared" si="17"/>
        <v>25.776881720430126</v>
      </c>
      <c r="P27" s="5">
        <f t="shared" si="17"/>
        <v>5.0631720430118321E-2</v>
      </c>
      <c r="Q27" s="5">
        <f t="shared" si="17"/>
        <v>19.193548387096776</v>
      </c>
      <c r="R27" s="5">
        <f t="shared" si="17"/>
        <v>29.571881720430113</v>
      </c>
      <c r="S27" s="5">
        <f t="shared" si="17"/>
        <v>6.8706317204301186</v>
      </c>
      <c r="T27" s="5">
        <f t="shared" si="17"/>
        <v>24.608131720430123</v>
      </c>
      <c r="U27" s="5">
        <f t="shared" si="17"/>
        <v>4.5881317204301197</v>
      </c>
      <c r="V27" s="5">
        <f t="shared" si="17"/>
        <v>2.085631720430122</v>
      </c>
      <c r="W27" s="5">
        <f t="shared" si="17"/>
        <v>34.040631720430113</v>
      </c>
      <c r="X27" s="5">
        <f>X10-X25</f>
        <v>19.193548387096776</v>
      </c>
      <c r="Y27" s="5">
        <f t="shared" si="17"/>
        <v>28.430631720430128</v>
      </c>
      <c r="Z27" s="5">
        <f t="shared" si="17"/>
        <v>62.833131720430131</v>
      </c>
      <c r="AA27" s="5">
        <f t="shared" si="17"/>
        <v>100.78313172043012</v>
      </c>
      <c r="AB27" s="5">
        <f t="shared" si="17"/>
        <v>19.193548387096776</v>
      </c>
      <c r="AC27" s="5">
        <f t="shared" si="17"/>
        <v>19.193548387096776</v>
      </c>
      <c r="AD27" s="5">
        <f t="shared" si="17"/>
        <v>32.885631720430126</v>
      </c>
      <c r="AE27" s="5">
        <f t="shared" si="17"/>
        <v>19.193548387096776</v>
      </c>
      <c r="AF27" s="5">
        <f t="shared" si="17"/>
        <v>10.638131720430117</v>
      </c>
      <c r="AG27" s="5">
        <f t="shared" si="17"/>
        <v>18.929381720430122</v>
      </c>
      <c r="AH27" s="5">
        <f t="shared" si="17"/>
        <v>12.164381720430121</v>
      </c>
      <c r="AI27" s="5">
        <f t="shared" si="17"/>
        <v>19.630631720430117</v>
      </c>
      <c r="AJ27" s="5">
        <f t="shared" si="17"/>
        <v>21.308131720430126</v>
      </c>
      <c r="AK27" s="5">
        <f t="shared" si="17"/>
        <v>36.144381720430118</v>
      </c>
      <c r="AL27" s="5">
        <f t="shared" si="17"/>
        <v>19.193548387096776</v>
      </c>
      <c r="AM27" s="4"/>
      <c r="AN27" s="3"/>
      <c r="AO27" s="4"/>
      <c r="AP27" s="3"/>
      <c r="AQ27" s="4"/>
      <c r="AR27" s="5"/>
      <c r="AS27" s="12"/>
    </row>
    <row r="28" spans="2:45" s="13" customFormat="1" ht="15" x14ac:dyDescent="0.2">
      <c r="C28" s="16"/>
      <c r="D28" s="14"/>
      <c r="E28" s="14"/>
      <c r="F28" s="28"/>
      <c r="G28" s="14"/>
      <c r="H28" s="79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4"/>
      <c r="AN28" s="4"/>
      <c r="AO28" s="4"/>
      <c r="AP28" s="4"/>
      <c r="AQ28" s="4"/>
      <c r="AR28" s="14"/>
      <c r="AS28" s="28"/>
    </row>
    <row r="29" spans="2:45" s="13" customFormat="1" ht="15" x14ac:dyDescent="0.2">
      <c r="B29" s="22"/>
      <c r="C29" s="23" t="s">
        <v>20</v>
      </c>
      <c r="D29" s="24"/>
      <c r="E29" s="24"/>
      <c r="F29" s="25"/>
      <c r="G29" s="24"/>
      <c r="H29" s="82"/>
      <c r="I29" s="24"/>
      <c r="J29" s="24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16"/>
      <c r="AN29" s="16"/>
      <c r="AO29" s="16"/>
      <c r="AP29" s="16"/>
      <c r="AQ29" s="16"/>
      <c r="AR29" s="24"/>
      <c r="AS29" s="25"/>
    </row>
    <row r="30" spans="2:45" ht="15" x14ac:dyDescent="0.2">
      <c r="B30" s="1">
        <v>10</v>
      </c>
      <c r="C30" s="1" t="s">
        <v>8</v>
      </c>
      <c r="D30" s="6">
        <v>500</v>
      </c>
      <c r="E30" s="6">
        <f t="shared" ref="E30:E35" si="18">D30/31</f>
        <v>16.129032258064516</v>
      </c>
      <c r="F30" s="10">
        <f t="shared" ref="F30:F35" si="19">D30/$D$36</f>
        <v>0.84033613445378152</v>
      </c>
      <c r="G30" s="6">
        <f t="shared" ref="G30:G35" si="20">$G$27*F30</f>
        <v>13.307253546579934</v>
      </c>
      <c r="H30" s="76"/>
      <c r="I30" s="6">
        <f>$I$27*F30</f>
        <v>17.894438420529518</v>
      </c>
      <c r="J30" s="6">
        <f>$J$27*F30</f>
        <v>16.129032258064516</v>
      </c>
      <c r="K30" s="6">
        <f>$K$27*F30</f>
        <v>2.5730098491009432</v>
      </c>
      <c r="L30" s="6">
        <f>$L$27*F30</f>
        <v>12.879732538176574</v>
      </c>
      <c r="M30" s="6">
        <f>$M$27*F30</f>
        <v>14.497379597000101</v>
      </c>
      <c r="N30" s="6">
        <f>$N$27*F30</f>
        <v>0.9206989247311933</v>
      </c>
      <c r="O30" s="6">
        <f>$O$27*F30</f>
        <v>21.661245143218594</v>
      </c>
      <c r="P30" s="6">
        <f>$P$27*F30</f>
        <v>4.2547664226990189E-2</v>
      </c>
      <c r="Q30" s="6">
        <f>$Q$27*F30</f>
        <v>16.129032258064516</v>
      </c>
      <c r="R30" s="6">
        <f>$R$27*F30</f>
        <v>24.850320773470685</v>
      </c>
      <c r="S30" s="6">
        <f>$S$27*F30</f>
        <v>5.7736401012017806</v>
      </c>
      <c r="T30" s="6">
        <f t="shared" ref="T30:T35" si="21">$T$27*F30</f>
        <v>20.679102286075732</v>
      </c>
      <c r="U30" s="6">
        <f>$U$27*F30</f>
        <v>3.8555728743110249</v>
      </c>
      <c r="V30" s="6">
        <f>$V$27*F30</f>
        <v>1.7526316978404386</v>
      </c>
      <c r="W30" s="6">
        <f>$W$27*F30</f>
        <v>28.605572874311019</v>
      </c>
      <c r="X30" s="6">
        <f>$X$27*F30</f>
        <v>16.129032258064516</v>
      </c>
      <c r="Y30" s="6">
        <f>$Y$27*F30</f>
        <v>23.891287160025318</v>
      </c>
      <c r="Z30" s="6">
        <f>$Z$27*F30</f>
        <v>52.800951025571543</v>
      </c>
      <c r="AA30" s="6">
        <f>$AA$27*F30</f>
        <v>84.691707328092534</v>
      </c>
      <c r="AB30" s="6">
        <f>$AB$27*F30</f>
        <v>16.129032258064516</v>
      </c>
      <c r="AC30" s="6">
        <f>$AC$27*F30</f>
        <v>16.129032258064516</v>
      </c>
      <c r="AD30" s="6">
        <f>$AD$27*F30</f>
        <v>27.634984639016913</v>
      </c>
      <c r="AE30" s="6">
        <f>$AE$27*F30</f>
        <v>16.129032258064516</v>
      </c>
      <c r="AF30" s="6">
        <f>$AF$27*F30</f>
        <v>8.9396064877564001</v>
      </c>
      <c r="AG30" s="6">
        <f>$AG$27*F30</f>
        <v>15.907043462546321</v>
      </c>
      <c r="AH30" s="6">
        <f>$AH$27*F30</f>
        <v>10.222169512966488</v>
      </c>
      <c r="AI30" s="6">
        <f>$AI$27*F30</f>
        <v>16.496329176832031</v>
      </c>
      <c r="AJ30" s="6">
        <f>$AJ$27*F30</f>
        <v>17.905993042378256</v>
      </c>
      <c r="AK30" s="6">
        <f>$AK$27*F30</f>
        <v>30.373430017168168</v>
      </c>
      <c r="AL30" s="6">
        <f>$AL$27*F30</f>
        <v>16.129032258064516</v>
      </c>
      <c r="AN30" s="43">
        <v>500</v>
      </c>
      <c r="AO30" s="49"/>
      <c r="AP30" s="74">
        <f>AN30/D30</f>
        <v>1</v>
      </c>
      <c r="AR30" s="5">
        <f t="shared" ref="AR30:AR35" si="22">SUM(G30:AL30)</f>
        <v>571.05987394958015</v>
      </c>
      <c r="AS30" s="70">
        <f t="shared" ref="AS30:AS35" si="23">AR30/$AR$36</f>
        <v>0.84033613445378164</v>
      </c>
    </row>
    <row r="31" spans="2:45" ht="15" x14ac:dyDescent="0.2">
      <c r="B31" s="1">
        <v>11</v>
      </c>
      <c r="C31" s="1" t="s">
        <v>30</v>
      </c>
      <c r="D31" s="6">
        <v>50</v>
      </c>
      <c r="E31" s="6">
        <f t="shared" si="18"/>
        <v>1.6129032258064515</v>
      </c>
      <c r="F31" s="10">
        <f t="shared" si="19"/>
        <v>8.4033613445378158E-2</v>
      </c>
      <c r="G31" s="6">
        <f t="shared" si="20"/>
        <v>1.3307253546579936</v>
      </c>
      <c r="H31" s="76"/>
      <c r="I31" s="6">
        <f t="shared" ref="I31:I35" si="24">$I$27*F31</f>
        <v>1.7894438420529517</v>
      </c>
      <c r="J31" s="6">
        <f t="shared" ref="J31:J35" si="25">$J$27*F31</f>
        <v>1.612903225806452</v>
      </c>
      <c r="K31" s="6">
        <f t="shared" ref="K31:K35" si="26">$K$27*F31</f>
        <v>0.25730098491009434</v>
      </c>
      <c r="L31" s="6">
        <f t="shared" ref="L31:L35" si="27">$L$27*F31</f>
        <v>1.2879732538176576</v>
      </c>
      <c r="M31" s="6">
        <f t="shared" ref="M31:M35" si="28">$M$27*F31</f>
        <v>1.4497379597000102</v>
      </c>
      <c r="N31" s="6">
        <f t="shared" ref="N31:N35" si="29">$N$27*F31</f>
        <v>9.2069892473119336E-2</v>
      </c>
      <c r="O31" s="6">
        <f t="shared" ref="O31:O35" si="30">$O$27*F31</f>
        <v>2.1661245143218593</v>
      </c>
      <c r="P31" s="6">
        <f t="shared" ref="P31:P35" si="31">$P$27*F31</f>
        <v>4.2547664226990191E-3</v>
      </c>
      <c r="Q31" s="6">
        <f t="shared" ref="Q31:Q35" si="32">$Q$27*F31</f>
        <v>1.612903225806452</v>
      </c>
      <c r="R31" s="6">
        <f t="shared" ref="R31:R35" si="33">$R$27*F31</f>
        <v>2.4850320773470687</v>
      </c>
      <c r="S31" s="6">
        <f t="shared" ref="S31:S35" si="34">$S$27*F31</f>
        <v>0.57736401012017813</v>
      </c>
      <c r="T31" s="6">
        <f t="shared" si="21"/>
        <v>2.0679102286075737</v>
      </c>
      <c r="U31" s="6">
        <f t="shared" ref="U31:U35" si="35">$U$27*F31</f>
        <v>0.38555728743110251</v>
      </c>
      <c r="V31" s="6">
        <f t="shared" ref="V31:V35" si="36">$V$27*F31</f>
        <v>0.17526316978404388</v>
      </c>
      <c r="W31" s="6">
        <f t="shared" ref="W31:W35" si="37">$W$27*F31</f>
        <v>2.860557287431102</v>
      </c>
      <c r="X31" s="6">
        <f t="shared" ref="X31:X35" si="38">$X$27*F31</f>
        <v>1.612903225806452</v>
      </c>
      <c r="Y31" s="6">
        <f t="shared" ref="Y31:Y35" si="39">$Y$27*F31</f>
        <v>2.3891287160025318</v>
      </c>
      <c r="Z31" s="6">
        <f t="shared" ref="Z31:Z35" si="40">$Z$27*F31</f>
        <v>5.2800951025571541</v>
      </c>
      <c r="AA31" s="6">
        <f t="shared" ref="AA31:AA35" si="41">$AA$27*F31</f>
        <v>8.4691707328092551</v>
      </c>
      <c r="AB31" s="6">
        <f t="shared" ref="AB31:AB35" si="42">$AB$27*F31</f>
        <v>1.612903225806452</v>
      </c>
      <c r="AC31" s="6">
        <f t="shared" ref="AC31:AC35" si="43">$AC$27*F31</f>
        <v>1.612903225806452</v>
      </c>
      <c r="AD31" s="6">
        <f t="shared" ref="AD31:AD35" si="44">$AD$27*F31</f>
        <v>2.7634984639016915</v>
      </c>
      <c r="AE31" s="6">
        <f t="shared" ref="AE31:AE35" si="45">$AE$27*F31</f>
        <v>1.612903225806452</v>
      </c>
      <c r="AF31" s="6">
        <f t="shared" ref="AF31:AF35" si="46">$AF$27*F31</f>
        <v>0.89396064877564019</v>
      </c>
      <c r="AG31" s="6">
        <f t="shared" ref="AG31:AG35" si="47">$AG$27*F31</f>
        <v>1.5907043462546322</v>
      </c>
      <c r="AH31" s="6">
        <f t="shared" ref="AH31:AH35" si="48">$AH$27*F31</f>
        <v>1.022216951296649</v>
      </c>
      <c r="AI31" s="6">
        <f t="shared" ref="AI31:AI35" si="49">$AI$27*F31</f>
        <v>1.6496329176832032</v>
      </c>
      <c r="AJ31" s="6">
        <f t="shared" ref="AJ31:AJ35" si="50">$AJ$27*F31</f>
        <v>1.7905993042378259</v>
      </c>
      <c r="AK31" s="6">
        <f t="shared" ref="AK31:AK35" si="51">$AK$27*F31</f>
        <v>3.0373430017168168</v>
      </c>
      <c r="AL31" s="6">
        <f t="shared" ref="AL31:AL35" si="52">$AL$27*F31</f>
        <v>1.612903225806452</v>
      </c>
      <c r="AN31" s="43">
        <v>50</v>
      </c>
      <c r="AO31" s="4"/>
      <c r="AP31" s="74">
        <f t="shared" ref="AP31:AP36" si="53">AN31/D31</f>
        <v>1</v>
      </c>
      <c r="AR31" s="5">
        <f t="shared" si="22"/>
        <v>57.105987394958007</v>
      </c>
      <c r="AS31" s="70">
        <f t="shared" si="23"/>
        <v>8.4033613445378144E-2</v>
      </c>
    </row>
    <row r="32" spans="2:45" ht="15" x14ac:dyDescent="0.2">
      <c r="B32" s="1">
        <v>12</v>
      </c>
      <c r="C32" s="1" t="s">
        <v>9</v>
      </c>
      <c r="D32" s="6">
        <v>30</v>
      </c>
      <c r="E32" s="6">
        <f t="shared" si="18"/>
        <v>0.967741935483871</v>
      </c>
      <c r="F32" s="10">
        <f t="shared" si="19"/>
        <v>5.0420168067226892E-2</v>
      </c>
      <c r="G32" s="6">
        <f t="shared" si="20"/>
        <v>0.79843521279479612</v>
      </c>
      <c r="H32" s="76"/>
      <c r="I32" s="6">
        <f t="shared" si="24"/>
        <v>1.073666305231771</v>
      </c>
      <c r="J32" s="6">
        <f t="shared" si="25"/>
        <v>0.96774193548387111</v>
      </c>
      <c r="K32" s="6">
        <f t="shared" si="26"/>
        <v>0.15438059094605658</v>
      </c>
      <c r="L32" s="6">
        <f t="shared" si="27"/>
        <v>0.77278395229059449</v>
      </c>
      <c r="M32" s="6">
        <f t="shared" si="28"/>
        <v>0.86984277582000602</v>
      </c>
      <c r="N32" s="6">
        <f t="shared" si="29"/>
        <v>5.5241935483871601E-2</v>
      </c>
      <c r="O32" s="6">
        <f t="shared" si="30"/>
        <v>1.2996747085931155</v>
      </c>
      <c r="P32" s="6">
        <f t="shared" si="31"/>
        <v>2.552859853619411E-3</v>
      </c>
      <c r="Q32" s="6">
        <f t="shared" si="32"/>
        <v>0.96774193548387111</v>
      </c>
      <c r="R32" s="6">
        <f t="shared" si="33"/>
        <v>1.491019246408241</v>
      </c>
      <c r="S32" s="6">
        <f t="shared" si="34"/>
        <v>0.34641840607210683</v>
      </c>
      <c r="T32" s="6">
        <f t="shared" si="21"/>
        <v>1.2407461371645441</v>
      </c>
      <c r="U32" s="6">
        <f t="shared" si="35"/>
        <v>0.23133437245866151</v>
      </c>
      <c r="V32" s="6">
        <f t="shared" si="36"/>
        <v>0.10515790187042633</v>
      </c>
      <c r="W32" s="6">
        <f t="shared" si="37"/>
        <v>1.7163343724586613</v>
      </c>
      <c r="X32" s="6">
        <f t="shared" si="38"/>
        <v>0.96774193548387111</v>
      </c>
      <c r="Y32" s="6">
        <f t="shared" si="39"/>
        <v>1.433477229601519</v>
      </c>
      <c r="Z32" s="6">
        <f t="shared" si="40"/>
        <v>3.1680570615342925</v>
      </c>
      <c r="AA32" s="6">
        <f t="shared" si="41"/>
        <v>5.0815024396855524</v>
      </c>
      <c r="AB32" s="6">
        <f t="shared" si="42"/>
        <v>0.96774193548387111</v>
      </c>
      <c r="AC32" s="6">
        <f t="shared" si="43"/>
        <v>0.96774193548387111</v>
      </c>
      <c r="AD32" s="6">
        <f t="shared" si="44"/>
        <v>1.6580990783410148</v>
      </c>
      <c r="AE32" s="6">
        <f t="shared" si="45"/>
        <v>0.96774193548387111</v>
      </c>
      <c r="AF32" s="6">
        <f t="shared" si="46"/>
        <v>0.53637638926538411</v>
      </c>
      <c r="AG32" s="6">
        <f t="shared" si="47"/>
        <v>0.95442260775277932</v>
      </c>
      <c r="AH32" s="6">
        <f t="shared" si="48"/>
        <v>0.61333017077798935</v>
      </c>
      <c r="AI32" s="6">
        <f t="shared" si="49"/>
        <v>0.98977975060992185</v>
      </c>
      <c r="AJ32" s="6">
        <f t="shared" si="50"/>
        <v>1.0743595825426955</v>
      </c>
      <c r="AK32" s="6">
        <f t="shared" si="51"/>
        <v>1.8224058010300901</v>
      </c>
      <c r="AL32" s="6">
        <f t="shared" si="52"/>
        <v>0.96774193548387111</v>
      </c>
      <c r="AN32" s="43">
        <v>30</v>
      </c>
      <c r="AO32" s="4"/>
      <c r="AP32" s="74">
        <f t="shared" si="53"/>
        <v>1</v>
      </c>
      <c r="AR32" s="5">
        <f t="shared" si="22"/>
        <v>34.263592436974811</v>
      </c>
      <c r="AS32" s="70">
        <f t="shared" si="23"/>
        <v>5.0420168067226899E-2</v>
      </c>
    </row>
    <row r="33" spans="2:45" ht="15" x14ac:dyDescent="0.2">
      <c r="B33" s="1">
        <v>13</v>
      </c>
      <c r="C33" s="1" t="s">
        <v>10</v>
      </c>
      <c r="D33" s="6">
        <v>15</v>
      </c>
      <c r="E33" s="6">
        <f t="shared" si="18"/>
        <v>0.4838709677419355</v>
      </c>
      <c r="F33" s="10">
        <f t="shared" si="19"/>
        <v>2.5210084033613446E-2</v>
      </c>
      <c r="G33" s="6">
        <f t="shared" si="20"/>
        <v>0.39921760639739806</v>
      </c>
      <c r="H33" s="76"/>
      <c r="I33" s="6">
        <f t="shared" si="24"/>
        <v>0.53683315261588549</v>
      </c>
      <c r="J33" s="6">
        <f t="shared" si="25"/>
        <v>0.48387096774193555</v>
      </c>
      <c r="K33" s="6">
        <f t="shared" si="26"/>
        <v>7.7190295473028289E-2</v>
      </c>
      <c r="L33" s="6">
        <f t="shared" si="27"/>
        <v>0.38639197614529724</v>
      </c>
      <c r="M33" s="6">
        <f t="shared" si="28"/>
        <v>0.43492138791000301</v>
      </c>
      <c r="N33" s="6">
        <f t="shared" si="29"/>
        <v>2.7620967741935801E-2</v>
      </c>
      <c r="O33" s="6">
        <f t="shared" si="30"/>
        <v>0.64983735429655776</v>
      </c>
      <c r="P33" s="6">
        <f t="shared" si="31"/>
        <v>1.2764299268097055E-3</v>
      </c>
      <c r="Q33" s="6">
        <f t="shared" si="32"/>
        <v>0.48387096774193555</v>
      </c>
      <c r="R33" s="6">
        <f t="shared" si="33"/>
        <v>0.74550962320412051</v>
      </c>
      <c r="S33" s="6">
        <f t="shared" si="34"/>
        <v>0.17320920303605342</v>
      </c>
      <c r="T33" s="6">
        <f t="shared" si="21"/>
        <v>0.62037306858227204</v>
      </c>
      <c r="U33" s="6">
        <f t="shared" si="35"/>
        <v>0.11566718622933075</v>
      </c>
      <c r="V33" s="6">
        <f t="shared" si="36"/>
        <v>5.2578950935213163E-2</v>
      </c>
      <c r="W33" s="6">
        <f t="shared" si="37"/>
        <v>0.85816718622933064</v>
      </c>
      <c r="X33" s="6">
        <f t="shared" si="38"/>
        <v>0.48387096774193555</v>
      </c>
      <c r="Y33" s="6">
        <f t="shared" si="39"/>
        <v>0.71673861480075951</v>
      </c>
      <c r="Z33" s="6">
        <f t="shared" si="40"/>
        <v>1.5840285307671462</v>
      </c>
      <c r="AA33" s="6">
        <f t="shared" si="41"/>
        <v>2.5407512198427762</v>
      </c>
      <c r="AB33" s="6">
        <f t="shared" si="42"/>
        <v>0.48387096774193555</v>
      </c>
      <c r="AC33" s="6">
        <f t="shared" si="43"/>
        <v>0.48387096774193555</v>
      </c>
      <c r="AD33" s="6">
        <f t="shared" si="44"/>
        <v>0.82904953917050739</v>
      </c>
      <c r="AE33" s="6">
        <f t="shared" si="45"/>
        <v>0.48387096774193555</v>
      </c>
      <c r="AF33" s="6">
        <f t="shared" si="46"/>
        <v>0.26818819463269206</v>
      </c>
      <c r="AG33" s="6">
        <f t="shared" si="47"/>
        <v>0.47721130387638966</v>
      </c>
      <c r="AH33" s="6">
        <f t="shared" si="48"/>
        <v>0.30666508538899467</v>
      </c>
      <c r="AI33" s="6">
        <f t="shared" si="49"/>
        <v>0.49488987530496092</v>
      </c>
      <c r="AJ33" s="6">
        <f t="shared" si="50"/>
        <v>0.53717979127134774</v>
      </c>
      <c r="AK33" s="6">
        <f t="shared" si="51"/>
        <v>0.91120290051504504</v>
      </c>
      <c r="AL33" s="6">
        <f t="shared" si="52"/>
        <v>0.48387096774193555</v>
      </c>
      <c r="AN33" s="43">
        <v>15</v>
      </c>
      <c r="AO33" s="4"/>
      <c r="AP33" s="74">
        <f t="shared" si="53"/>
        <v>1</v>
      </c>
      <c r="AR33" s="5">
        <f t="shared" si="22"/>
        <v>17.131796218487406</v>
      </c>
      <c r="AS33" s="70">
        <f t="shared" si="23"/>
        <v>2.5210084033613449E-2</v>
      </c>
    </row>
    <row r="34" spans="2:45" ht="15" x14ac:dyDescent="0.2">
      <c r="B34" s="1">
        <v>14</v>
      </c>
      <c r="C34" s="1" t="s">
        <v>34</v>
      </c>
      <c r="D34" s="6">
        <v>0</v>
      </c>
      <c r="E34" s="6">
        <f t="shared" si="18"/>
        <v>0</v>
      </c>
      <c r="F34" s="10">
        <f t="shared" si="19"/>
        <v>0</v>
      </c>
      <c r="G34" s="6">
        <f t="shared" si="20"/>
        <v>0</v>
      </c>
      <c r="H34" s="76"/>
      <c r="I34" s="6">
        <f t="shared" si="24"/>
        <v>0</v>
      </c>
      <c r="J34" s="6">
        <f t="shared" si="25"/>
        <v>0</v>
      </c>
      <c r="K34" s="6">
        <f t="shared" si="26"/>
        <v>0</v>
      </c>
      <c r="L34" s="6">
        <f t="shared" si="27"/>
        <v>0</v>
      </c>
      <c r="M34" s="6">
        <f t="shared" si="28"/>
        <v>0</v>
      </c>
      <c r="N34" s="6">
        <f t="shared" si="29"/>
        <v>0</v>
      </c>
      <c r="O34" s="6">
        <f t="shared" si="30"/>
        <v>0</v>
      </c>
      <c r="P34" s="6">
        <f t="shared" si="31"/>
        <v>0</v>
      </c>
      <c r="Q34" s="6">
        <f t="shared" si="32"/>
        <v>0</v>
      </c>
      <c r="R34" s="6">
        <f t="shared" si="33"/>
        <v>0</v>
      </c>
      <c r="S34" s="6">
        <f t="shared" si="34"/>
        <v>0</v>
      </c>
      <c r="T34" s="6">
        <f t="shared" si="21"/>
        <v>0</v>
      </c>
      <c r="U34" s="6">
        <f t="shared" si="35"/>
        <v>0</v>
      </c>
      <c r="V34" s="6">
        <f t="shared" si="36"/>
        <v>0</v>
      </c>
      <c r="W34" s="6">
        <f t="shared" si="37"/>
        <v>0</v>
      </c>
      <c r="X34" s="6">
        <f t="shared" si="38"/>
        <v>0</v>
      </c>
      <c r="Y34" s="6">
        <f t="shared" si="39"/>
        <v>0</v>
      </c>
      <c r="Z34" s="6">
        <f t="shared" si="40"/>
        <v>0</v>
      </c>
      <c r="AA34" s="6">
        <f t="shared" si="41"/>
        <v>0</v>
      </c>
      <c r="AB34" s="6">
        <f t="shared" si="42"/>
        <v>0</v>
      </c>
      <c r="AC34" s="6">
        <f t="shared" si="43"/>
        <v>0</v>
      </c>
      <c r="AD34" s="6">
        <f t="shared" si="44"/>
        <v>0</v>
      </c>
      <c r="AE34" s="6">
        <f t="shared" si="45"/>
        <v>0</v>
      </c>
      <c r="AF34" s="6">
        <f t="shared" si="46"/>
        <v>0</v>
      </c>
      <c r="AG34" s="6">
        <f t="shared" si="47"/>
        <v>0</v>
      </c>
      <c r="AH34" s="6">
        <f t="shared" si="48"/>
        <v>0</v>
      </c>
      <c r="AI34" s="6">
        <f t="shared" si="49"/>
        <v>0</v>
      </c>
      <c r="AJ34" s="6">
        <f t="shared" si="50"/>
        <v>0</v>
      </c>
      <c r="AK34" s="6">
        <f t="shared" si="51"/>
        <v>0</v>
      </c>
      <c r="AL34" s="6">
        <f t="shared" si="52"/>
        <v>0</v>
      </c>
      <c r="AN34" s="43">
        <v>0</v>
      </c>
      <c r="AO34" s="4"/>
      <c r="AP34" s="74" t="e">
        <f t="shared" si="53"/>
        <v>#DIV/0!</v>
      </c>
      <c r="AR34" s="5">
        <f t="shared" si="22"/>
        <v>0</v>
      </c>
      <c r="AS34" s="70">
        <f t="shared" si="23"/>
        <v>0</v>
      </c>
    </row>
    <row r="35" spans="2:45" ht="15" x14ac:dyDescent="0.2">
      <c r="B35" s="1">
        <v>15</v>
      </c>
      <c r="C35" s="1" t="s">
        <v>14</v>
      </c>
      <c r="D35" s="6">
        <v>0</v>
      </c>
      <c r="E35" s="6">
        <f t="shared" si="18"/>
        <v>0</v>
      </c>
      <c r="F35" s="10">
        <f t="shared" si="19"/>
        <v>0</v>
      </c>
      <c r="G35" s="6">
        <f t="shared" si="20"/>
        <v>0</v>
      </c>
      <c r="H35" s="76"/>
      <c r="I35" s="6">
        <f t="shared" si="24"/>
        <v>0</v>
      </c>
      <c r="J35" s="6">
        <f t="shared" si="25"/>
        <v>0</v>
      </c>
      <c r="K35" s="6">
        <f t="shared" si="26"/>
        <v>0</v>
      </c>
      <c r="L35" s="6">
        <f t="shared" si="27"/>
        <v>0</v>
      </c>
      <c r="M35" s="6">
        <f t="shared" si="28"/>
        <v>0</v>
      </c>
      <c r="N35" s="6">
        <f t="shared" si="29"/>
        <v>0</v>
      </c>
      <c r="O35" s="6">
        <f t="shared" si="30"/>
        <v>0</v>
      </c>
      <c r="P35" s="6">
        <f t="shared" si="31"/>
        <v>0</v>
      </c>
      <c r="Q35" s="6">
        <f t="shared" si="32"/>
        <v>0</v>
      </c>
      <c r="R35" s="6">
        <f t="shared" si="33"/>
        <v>0</v>
      </c>
      <c r="S35" s="6">
        <f t="shared" si="34"/>
        <v>0</v>
      </c>
      <c r="T35" s="6">
        <f t="shared" si="21"/>
        <v>0</v>
      </c>
      <c r="U35" s="6">
        <f t="shared" si="35"/>
        <v>0</v>
      </c>
      <c r="V35" s="6">
        <f t="shared" si="36"/>
        <v>0</v>
      </c>
      <c r="W35" s="6">
        <f t="shared" si="37"/>
        <v>0</v>
      </c>
      <c r="X35" s="6">
        <f t="shared" si="38"/>
        <v>0</v>
      </c>
      <c r="Y35" s="6">
        <f t="shared" si="39"/>
        <v>0</v>
      </c>
      <c r="Z35" s="6">
        <f t="shared" si="40"/>
        <v>0</v>
      </c>
      <c r="AA35" s="6">
        <f t="shared" si="41"/>
        <v>0</v>
      </c>
      <c r="AB35" s="6">
        <f t="shared" si="42"/>
        <v>0</v>
      </c>
      <c r="AC35" s="6">
        <f t="shared" si="43"/>
        <v>0</v>
      </c>
      <c r="AD35" s="6">
        <f t="shared" si="44"/>
        <v>0</v>
      </c>
      <c r="AE35" s="6">
        <f t="shared" si="45"/>
        <v>0</v>
      </c>
      <c r="AF35" s="6">
        <f t="shared" si="46"/>
        <v>0</v>
      </c>
      <c r="AG35" s="6">
        <f t="shared" si="47"/>
        <v>0</v>
      </c>
      <c r="AH35" s="6">
        <f t="shared" si="48"/>
        <v>0</v>
      </c>
      <c r="AI35" s="6">
        <f t="shared" si="49"/>
        <v>0</v>
      </c>
      <c r="AJ35" s="6">
        <f t="shared" si="50"/>
        <v>0</v>
      </c>
      <c r="AK35" s="6">
        <f t="shared" si="51"/>
        <v>0</v>
      </c>
      <c r="AL35" s="6">
        <f t="shared" si="52"/>
        <v>0</v>
      </c>
      <c r="AN35" s="43">
        <v>0</v>
      </c>
      <c r="AO35" s="4"/>
      <c r="AP35" s="74" t="e">
        <f t="shared" si="53"/>
        <v>#DIV/0!</v>
      </c>
      <c r="AR35" s="5">
        <f t="shared" si="22"/>
        <v>0</v>
      </c>
      <c r="AS35" s="70">
        <f t="shared" si="23"/>
        <v>0</v>
      </c>
    </row>
    <row r="36" spans="2:45" ht="15" x14ac:dyDescent="0.2">
      <c r="B36" s="1"/>
      <c r="C36" s="3" t="s">
        <v>18</v>
      </c>
      <c r="D36" s="26">
        <f>SUM(D30:D35)</f>
        <v>595</v>
      </c>
      <c r="E36" s="39">
        <f>SUM(E30:E35)</f>
        <v>19.193548387096776</v>
      </c>
      <c r="F36" s="15">
        <f>SUM(F30:F35)</f>
        <v>1</v>
      </c>
      <c r="G36" s="5">
        <f t="shared" ref="G36:AN36" si="54">SUM(G30:G35)</f>
        <v>15.835631720430122</v>
      </c>
      <c r="H36" s="76"/>
      <c r="I36" s="5">
        <f t="shared" si="54"/>
        <v>21.294381720430124</v>
      </c>
      <c r="J36" s="5">
        <f t="shared" si="54"/>
        <v>19.193548387096776</v>
      </c>
      <c r="K36" s="5">
        <f t="shared" si="54"/>
        <v>3.0618817204301223</v>
      </c>
      <c r="L36" s="5">
        <f t="shared" si="54"/>
        <v>15.326881720430125</v>
      </c>
      <c r="M36" s="5">
        <f t="shared" si="54"/>
        <v>17.25188172043012</v>
      </c>
      <c r="N36" s="5">
        <f t="shared" si="54"/>
        <v>1.09563172043012</v>
      </c>
      <c r="O36" s="5">
        <f t="shared" si="54"/>
        <v>25.776881720430126</v>
      </c>
      <c r="P36" s="5">
        <f t="shared" si="54"/>
        <v>5.0631720430118328E-2</v>
      </c>
      <c r="Q36" s="5">
        <f t="shared" si="54"/>
        <v>19.193548387096776</v>
      </c>
      <c r="R36" s="5">
        <f t="shared" si="54"/>
        <v>29.571881720430113</v>
      </c>
      <c r="S36" s="5">
        <f t="shared" si="54"/>
        <v>6.8706317204301186</v>
      </c>
      <c r="T36" s="5">
        <f t="shared" si="54"/>
        <v>24.608131720430119</v>
      </c>
      <c r="U36" s="5">
        <f t="shared" si="54"/>
        <v>4.5881317204301197</v>
      </c>
      <c r="V36" s="5">
        <f t="shared" si="54"/>
        <v>2.085631720430122</v>
      </c>
      <c r="W36" s="5">
        <f t="shared" si="54"/>
        <v>34.040631720430113</v>
      </c>
      <c r="X36" s="5">
        <f t="shared" si="54"/>
        <v>19.193548387096776</v>
      </c>
      <c r="Y36" s="5">
        <f t="shared" si="54"/>
        <v>28.430631720430128</v>
      </c>
      <c r="Z36" s="5">
        <f t="shared" si="54"/>
        <v>62.833131720430139</v>
      </c>
      <c r="AA36" s="5">
        <f t="shared" si="54"/>
        <v>100.78313172043012</v>
      </c>
      <c r="AB36" s="5">
        <f t="shared" si="54"/>
        <v>19.193548387096776</v>
      </c>
      <c r="AC36" s="5">
        <f t="shared" si="54"/>
        <v>19.193548387096776</v>
      </c>
      <c r="AD36" s="5">
        <f t="shared" si="54"/>
        <v>32.885631720430126</v>
      </c>
      <c r="AE36" s="5">
        <f t="shared" si="54"/>
        <v>19.193548387096776</v>
      </c>
      <c r="AF36" s="5">
        <f t="shared" si="54"/>
        <v>10.638131720430117</v>
      </c>
      <c r="AG36" s="5">
        <f t="shared" si="54"/>
        <v>18.929381720430122</v>
      </c>
      <c r="AH36" s="5">
        <f t="shared" si="54"/>
        <v>12.16438172043012</v>
      </c>
      <c r="AI36" s="5">
        <f t="shared" si="54"/>
        <v>19.630631720430117</v>
      </c>
      <c r="AJ36" s="5">
        <f t="shared" si="54"/>
        <v>21.308131720430126</v>
      </c>
      <c r="AK36" s="5">
        <f t="shared" si="54"/>
        <v>36.144381720430111</v>
      </c>
      <c r="AL36" s="5">
        <f t="shared" si="54"/>
        <v>19.193548387096776</v>
      </c>
      <c r="AM36" s="4"/>
      <c r="AN36" s="43">
        <f t="shared" si="54"/>
        <v>595</v>
      </c>
      <c r="AO36" s="4"/>
      <c r="AP36" s="74">
        <f t="shared" si="53"/>
        <v>1</v>
      </c>
      <c r="AQ36" s="4"/>
      <c r="AR36" s="5">
        <f>SUM(AR30:AR35)</f>
        <v>679.56125000000031</v>
      </c>
      <c r="AS36" s="70">
        <f>SUM(AS30:AS35)</f>
        <v>1.0000000000000002</v>
      </c>
    </row>
    <row r="37" spans="2:45" ht="4.5" customHeight="1" x14ac:dyDescent="0.2">
      <c r="D37" s="7"/>
      <c r="E37" s="7" t="s">
        <v>26</v>
      </c>
      <c r="F37" s="11"/>
      <c r="AS37" s="11"/>
    </row>
    <row r="38" spans="2:45" ht="15" x14ac:dyDescent="0.2">
      <c r="C38" s="3" t="s">
        <v>7</v>
      </c>
      <c r="D38" s="5">
        <f>D25+D36</f>
        <v>1980</v>
      </c>
      <c r="E38" s="5">
        <f>D38/31</f>
        <v>63.87096774193548</v>
      </c>
      <c r="F38" s="26">
        <f>D38/0.71</f>
        <v>2788.7323943661972</v>
      </c>
      <c r="G38" s="4434">
        <f t="shared" ref="G38:AL38" si="55">G25+G36</f>
        <v>60.513051075268827</v>
      </c>
      <c r="H38" s="4435"/>
      <c r="I38" s="5">
        <f t="shared" si="55"/>
        <v>65.971801075268829</v>
      </c>
      <c r="J38" s="5">
        <f t="shared" si="55"/>
        <v>63.87096774193548</v>
      </c>
      <c r="K38" s="5">
        <f t="shared" si="55"/>
        <v>47.739301075268827</v>
      </c>
      <c r="L38" s="5">
        <f t="shared" si="55"/>
        <v>60.004301075268828</v>
      </c>
      <c r="M38" s="5">
        <f t="shared" si="55"/>
        <v>61.929301075268825</v>
      </c>
      <c r="N38" s="5">
        <f t="shared" si="55"/>
        <v>45.773051075268825</v>
      </c>
      <c r="O38" s="5">
        <f t="shared" si="55"/>
        <v>70.45430107526883</v>
      </c>
      <c r="P38" s="5">
        <f t="shared" si="55"/>
        <v>44.728051075268823</v>
      </c>
      <c r="Q38" s="5">
        <f t="shared" si="55"/>
        <v>63.87096774193548</v>
      </c>
      <c r="R38" s="5">
        <f t="shared" si="55"/>
        <v>74.249301075268818</v>
      </c>
      <c r="S38" s="5">
        <f t="shared" si="55"/>
        <v>51.548051075268823</v>
      </c>
      <c r="T38" s="5">
        <f t="shared" si="55"/>
        <v>69.285551075268828</v>
      </c>
      <c r="U38" s="5">
        <f t="shared" si="55"/>
        <v>49.265551075268824</v>
      </c>
      <c r="V38" s="5">
        <f t="shared" si="55"/>
        <v>46.763051075268827</v>
      </c>
      <c r="W38" s="5">
        <f t="shared" si="55"/>
        <v>78.718051075268818</v>
      </c>
      <c r="X38" s="5">
        <f t="shared" si="55"/>
        <v>63.87096774193548</v>
      </c>
      <c r="Y38" s="5">
        <f t="shared" si="55"/>
        <v>73.108051075268833</v>
      </c>
      <c r="Z38" s="5">
        <f t="shared" si="55"/>
        <v>107.51055107526884</v>
      </c>
      <c r="AA38" s="5">
        <f t="shared" si="55"/>
        <v>145.46055107526882</v>
      </c>
      <c r="AB38" s="5">
        <f t="shared" si="55"/>
        <v>63.87096774193548</v>
      </c>
      <c r="AC38" s="5">
        <f t="shared" si="55"/>
        <v>63.87096774193548</v>
      </c>
      <c r="AD38" s="5">
        <f t="shared" si="55"/>
        <v>77.563051075268831</v>
      </c>
      <c r="AE38" s="5">
        <f t="shared" si="55"/>
        <v>63.87096774193548</v>
      </c>
      <c r="AF38" s="5">
        <f t="shared" si="55"/>
        <v>55.315551075268822</v>
      </c>
      <c r="AG38" s="5">
        <f t="shared" si="55"/>
        <v>63.606801075268827</v>
      </c>
      <c r="AH38" s="5">
        <f t="shared" si="55"/>
        <v>56.841801075268826</v>
      </c>
      <c r="AI38" s="5">
        <f t="shared" si="55"/>
        <v>64.308051075268821</v>
      </c>
      <c r="AJ38" s="5">
        <f t="shared" si="55"/>
        <v>65.98555107526883</v>
      </c>
      <c r="AK38" s="5">
        <f t="shared" si="55"/>
        <v>80.821801075268809</v>
      </c>
      <c r="AL38" s="5">
        <f t="shared" si="55"/>
        <v>63.87096774193548</v>
      </c>
      <c r="AN38" s="1">
        <f>AN25+AN36</f>
        <v>1981</v>
      </c>
      <c r="AP38" s="1"/>
      <c r="AR38" s="5">
        <f>AR25+AR36</f>
        <v>2064.5612500000002</v>
      </c>
      <c r="AS38" s="26">
        <f>AR38-D38</f>
        <v>84.5612500000002</v>
      </c>
    </row>
    <row r="39" spans="2:45" ht="4.5" customHeight="1" x14ac:dyDescent="0.2"/>
    <row r="40" spans="2:45" ht="15" x14ac:dyDescent="0.2">
      <c r="C40" s="3"/>
      <c r="D40" s="5">
        <f>D38/31</f>
        <v>63.87096774193548</v>
      </c>
      <c r="E40" s="5"/>
      <c r="F40" s="9"/>
      <c r="G40" s="4434">
        <f t="shared" ref="G40:AL40" si="56">G38-$D$40</f>
        <v>-3.3579166666666538</v>
      </c>
      <c r="H40" s="4435"/>
      <c r="I40" s="5">
        <f t="shared" si="56"/>
        <v>2.1008333333333482</v>
      </c>
      <c r="J40" s="5">
        <f t="shared" si="56"/>
        <v>0</v>
      </c>
      <c r="K40" s="5">
        <f t="shared" si="56"/>
        <v>-16.131666666666653</v>
      </c>
      <c r="L40" s="5">
        <f t="shared" si="56"/>
        <v>-3.8666666666666529</v>
      </c>
      <c r="M40" s="5">
        <f t="shared" si="56"/>
        <v>-1.9416666666666558</v>
      </c>
      <c r="N40" s="5">
        <f t="shared" si="56"/>
        <v>-18.097916666666656</v>
      </c>
      <c r="O40" s="5">
        <f t="shared" si="56"/>
        <v>6.5833333333333499</v>
      </c>
      <c r="P40" s="5">
        <f t="shared" si="56"/>
        <v>-19.142916666666657</v>
      </c>
      <c r="Q40" s="5">
        <f t="shared" si="56"/>
        <v>0</v>
      </c>
      <c r="R40" s="5">
        <f t="shared" si="56"/>
        <v>10.378333333333337</v>
      </c>
      <c r="S40" s="5">
        <f t="shared" si="56"/>
        <v>-12.322916666666657</v>
      </c>
      <c r="T40" s="5">
        <f t="shared" si="56"/>
        <v>5.4145833333333471</v>
      </c>
      <c r="U40" s="5">
        <f t="shared" si="56"/>
        <v>-14.605416666666656</v>
      </c>
      <c r="V40" s="5">
        <f t="shared" si="56"/>
        <v>-17.107916666666654</v>
      </c>
      <c r="W40" s="5">
        <f t="shared" si="56"/>
        <v>14.847083333333337</v>
      </c>
      <c r="X40" s="5">
        <f t="shared" si="56"/>
        <v>0</v>
      </c>
      <c r="Y40" s="5">
        <f t="shared" si="56"/>
        <v>9.2370833333333522</v>
      </c>
      <c r="Z40" s="5">
        <f t="shared" si="56"/>
        <v>43.639583333333356</v>
      </c>
      <c r="AA40" s="5">
        <f t="shared" si="56"/>
        <v>81.589583333333337</v>
      </c>
      <c r="AB40" s="5">
        <f t="shared" si="56"/>
        <v>0</v>
      </c>
      <c r="AC40" s="5">
        <f t="shared" si="56"/>
        <v>0</v>
      </c>
      <c r="AD40" s="5">
        <f t="shared" si="56"/>
        <v>13.69208333333335</v>
      </c>
      <c r="AE40" s="5">
        <f t="shared" si="56"/>
        <v>0</v>
      </c>
      <c r="AF40" s="5">
        <f t="shared" si="56"/>
        <v>-8.5554166666666589</v>
      </c>
      <c r="AG40" s="5">
        <f t="shared" si="56"/>
        <v>-0.26416666666665378</v>
      </c>
      <c r="AH40" s="5">
        <f t="shared" si="56"/>
        <v>-7.0291666666666544</v>
      </c>
      <c r="AI40" s="5">
        <f t="shared" si="56"/>
        <v>0.43708333333334082</v>
      </c>
      <c r="AJ40" s="5">
        <f t="shared" si="56"/>
        <v>2.1145833333333499</v>
      </c>
      <c r="AK40" s="5">
        <f t="shared" si="56"/>
        <v>16.950833333333328</v>
      </c>
      <c r="AL40" s="5">
        <f t="shared" si="56"/>
        <v>0</v>
      </c>
      <c r="AN40" s="1"/>
      <c r="AP40" s="1"/>
      <c r="AR40" s="5">
        <f>SUM(G40:AL40)</f>
        <v>84.561250000000229</v>
      </c>
      <c r="AS40" s="9"/>
    </row>
    <row r="42" spans="2:45" ht="15" x14ac:dyDescent="0.2">
      <c r="B42" s="1"/>
      <c r="C42" s="3" t="s">
        <v>28</v>
      </c>
      <c r="D42" s="31"/>
      <c r="E42" s="31"/>
      <c r="F42" s="32"/>
      <c r="G42" s="4434">
        <f>G40</f>
        <v>-3.3579166666666538</v>
      </c>
      <c r="H42" s="4435"/>
      <c r="I42" s="5">
        <f>G42+I40</f>
        <v>-1.2570833333333056</v>
      </c>
      <c r="J42" s="5">
        <f t="shared" ref="J42:N42" si="57">I42+J40</f>
        <v>-1.2570833333333056</v>
      </c>
      <c r="K42" s="5">
        <f t="shared" si="57"/>
        <v>-17.388749999999959</v>
      </c>
      <c r="L42" s="5">
        <f>K42+L40</f>
        <v>-21.255416666666612</v>
      </c>
      <c r="M42" s="5">
        <f t="shared" si="57"/>
        <v>-23.197083333333268</v>
      </c>
      <c r="N42" s="5">
        <f t="shared" si="57"/>
        <v>-41.294999999999924</v>
      </c>
      <c r="O42" s="5">
        <f t="shared" ref="O42:AL42" si="58">O40+N42</f>
        <v>-34.711666666666574</v>
      </c>
      <c r="P42" s="5">
        <f t="shared" si="58"/>
        <v>-53.854583333333231</v>
      </c>
      <c r="Q42" s="5">
        <f t="shared" si="58"/>
        <v>-53.854583333333231</v>
      </c>
      <c r="R42" s="5">
        <f t="shared" si="58"/>
        <v>-43.476249999999894</v>
      </c>
      <c r="S42" s="5">
        <f t="shared" si="58"/>
        <v>-55.799166666666551</v>
      </c>
      <c r="T42" s="5">
        <f t="shared" si="58"/>
        <v>-50.384583333333204</v>
      </c>
      <c r="U42" s="5">
        <f t="shared" si="58"/>
        <v>-64.989999999999867</v>
      </c>
      <c r="V42" s="5">
        <f t="shared" si="58"/>
        <v>-82.097916666666521</v>
      </c>
      <c r="W42" s="5">
        <f t="shared" si="58"/>
        <v>-67.25083333333319</v>
      </c>
      <c r="X42" s="5">
        <f t="shared" si="58"/>
        <v>-67.25083333333319</v>
      </c>
      <c r="Y42" s="5">
        <f t="shared" si="58"/>
        <v>-58.013749999999838</v>
      </c>
      <c r="Z42" s="5">
        <f t="shared" si="58"/>
        <v>-14.374166666666483</v>
      </c>
      <c r="AA42" s="5">
        <f t="shared" si="58"/>
        <v>67.215416666666854</v>
      </c>
      <c r="AB42" s="5">
        <f t="shared" si="58"/>
        <v>67.215416666666854</v>
      </c>
      <c r="AC42" s="5">
        <f t="shared" si="58"/>
        <v>67.215416666666854</v>
      </c>
      <c r="AD42" s="5">
        <f t="shared" si="58"/>
        <v>80.907500000000198</v>
      </c>
      <c r="AE42" s="5">
        <f t="shared" si="58"/>
        <v>80.907500000000198</v>
      </c>
      <c r="AF42" s="5">
        <f t="shared" si="58"/>
        <v>72.352083333333539</v>
      </c>
      <c r="AG42" s="5">
        <f t="shared" si="58"/>
        <v>72.087916666666885</v>
      </c>
      <c r="AH42" s="5">
        <f t="shared" si="58"/>
        <v>65.058750000000231</v>
      </c>
      <c r="AI42" s="5">
        <f t="shared" si="58"/>
        <v>65.495833333333564</v>
      </c>
      <c r="AJ42" s="5">
        <f t="shared" si="58"/>
        <v>67.610416666666907</v>
      </c>
      <c r="AK42" s="5">
        <f t="shared" si="58"/>
        <v>84.561250000000229</v>
      </c>
      <c r="AL42" s="5">
        <f t="shared" si="58"/>
        <v>84.561250000000229</v>
      </c>
      <c r="AM42" s="4"/>
      <c r="AN42" s="3"/>
      <c r="AO42" s="4"/>
      <c r="AP42" s="3"/>
      <c r="AQ42" s="4"/>
      <c r="AR42" s="5"/>
      <c r="AS42" s="9"/>
    </row>
    <row r="43" spans="2:45" ht="15" customHeight="1" x14ac:dyDescent="0.2">
      <c r="G43" s="30"/>
      <c r="H43" s="83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2:45" ht="15" customHeight="1" x14ac:dyDescent="0.2">
      <c r="C44" s="4" t="s">
        <v>55</v>
      </c>
      <c r="G44" s="30"/>
      <c r="H44" s="83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2:45" ht="15" customHeight="1" x14ac:dyDescent="0.2">
      <c r="B45" s="1">
        <v>15</v>
      </c>
      <c r="C45" s="1" t="s">
        <v>31</v>
      </c>
      <c r="D45" s="6"/>
      <c r="E45" s="6"/>
      <c r="F45" s="10">
        <v>0.15</v>
      </c>
      <c r="G45" s="6"/>
      <c r="H45" s="76"/>
      <c r="I45" s="6"/>
      <c r="J45" s="6"/>
      <c r="K45" s="6"/>
      <c r="L45" s="6"/>
      <c r="M45" s="6"/>
      <c r="N45" s="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N45" s="1"/>
      <c r="AP45" s="1"/>
      <c r="AR45" s="5">
        <f>$D$7*F45</f>
        <v>12.684187500000043</v>
      </c>
      <c r="AS45" s="8"/>
    </row>
    <row r="46" spans="2:45" ht="15" customHeight="1" x14ac:dyDescent="0.2">
      <c r="B46" s="1">
        <v>16</v>
      </c>
      <c r="C46" s="1" t="s">
        <v>32</v>
      </c>
      <c r="D46" s="6"/>
      <c r="E46" s="6"/>
      <c r="F46" s="10">
        <v>0.15</v>
      </c>
      <c r="G46" s="6"/>
      <c r="H46" s="76"/>
      <c r="I46" s="6"/>
      <c r="J46" s="6"/>
      <c r="K46" s="6"/>
      <c r="L46" s="6"/>
      <c r="M46" s="6"/>
      <c r="N46" s="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N46" s="1"/>
      <c r="AP46" s="1"/>
      <c r="AR46" s="5">
        <f>$D$7*F46</f>
        <v>12.684187500000043</v>
      </c>
      <c r="AS46" s="8"/>
    </row>
    <row r="47" spans="2:45" ht="15" customHeight="1" x14ac:dyDescent="0.2">
      <c r="B47" s="1">
        <v>17</v>
      </c>
      <c r="C47" s="1" t="s">
        <v>33</v>
      </c>
      <c r="D47" s="6"/>
      <c r="E47" s="6"/>
      <c r="F47" s="10">
        <v>0.15</v>
      </c>
      <c r="G47" s="6"/>
      <c r="H47" s="76"/>
      <c r="I47" s="6"/>
      <c r="J47" s="6"/>
      <c r="K47" s="6"/>
      <c r="L47" s="6"/>
      <c r="M47" s="6"/>
      <c r="N47" s="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N47" s="1"/>
      <c r="AP47" s="1"/>
      <c r="AR47" s="5">
        <f>$D$7*F47</f>
        <v>12.684187500000043</v>
      </c>
      <c r="AS47" s="8"/>
    </row>
    <row r="48" spans="2:45" ht="15" customHeight="1" x14ac:dyDescent="0.2">
      <c r="B48" s="1">
        <v>18</v>
      </c>
      <c r="C48" s="1" t="s">
        <v>34</v>
      </c>
      <c r="D48" s="6"/>
      <c r="E48" s="6"/>
      <c r="F48" s="10">
        <v>0.1</v>
      </c>
      <c r="G48" s="6"/>
      <c r="H48" s="76"/>
      <c r="I48" s="6"/>
      <c r="J48" s="6"/>
      <c r="K48" s="6"/>
      <c r="L48" s="6"/>
      <c r="M48" s="6"/>
      <c r="N48" s="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N48" s="1"/>
      <c r="AP48" s="1"/>
      <c r="AR48" s="5">
        <f>$D$7*F48</f>
        <v>8.4561250000000285</v>
      </c>
      <c r="AS48" s="8"/>
    </row>
    <row r="49" spans="2:45" s="13" customFormat="1" ht="15" customHeight="1" x14ac:dyDescent="0.2">
      <c r="B49" s="1"/>
      <c r="C49" s="3" t="s">
        <v>57</v>
      </c>
      <c r="D49" s="26"/>
      <c r="E49" s="26"/>
      <c r="F49" s="15">
        <f>SUM(F45:F48)</f>
        <v>0.54999999999999993</v>
      </c>
      <c r="G49" s="5"/>
      <c r="H49" s="76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4"/>
      <c r="AN49" s="3"/>
      <c r="AO49" s="4"/>
      <c r="AP49" s="3"/>
      <c r="AQ49" s="4"/>
      <c r="AR49" s="5">
        <f>SUM(AR45:AR48)</f>
        <v>46.508687500000157</v>
      </c>
      <c r="AS49" s="9"/>
    </row>
    <row r="50" spans="2:45" s="13" customFormat="1" ht="15" customHeight="1" x14ac:dyDescent="0.2">
      <c r="D50" s="36"/>
      <c r="E50" s="36"/>
      <c r="F50" s="67"/>
      <c r="G50" s="36"/>
      <c r="H50" s="79"/>
      <c r="I50" s="36"/>
      <c r="J50" s="36"/>
      <c r="K50" s="36"/>
      <c r="L50" s="36"/>
      <c r="M50" s="36"/>
      <c r="N50" s="36"/>
      <c r="AR50" s="14"/>
      <c r="AS50" s="60"/>
    </row>
    <row r="51" spans="2:45" s="13" customFormat="1" ht="15" customHeight="1" x14ac:dyDescent="0.2">
      <c r="B51" s="22"/>
      <c r="C51" s="4" t="s">
        <v>56</v>
      </c>
      <c r="D51" s="64"/>
      <c r="E51" s="64"/>
      <c r="F51" s="65"/>
      <c r="G51" s="64"/>
      <c r="H51" s="82"/>
      <c r="I51" s="64"/>
      <c r="J51" s="64"/>
      <c r="K51" s="64"/>
      <c r="L51" s="64"/>
      <c r="M51" s="64"/>
      <c r="N51" s="64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R51" s="24"/>
      <c r="AS51" s="66"/>
    </row>
    <row r="52" spans="2:45" ht="15" customHeight="1" x14ac:dyDescent="0.2">
      <c r="B52" s="1">
        <v>19</v>
      </c>
      <c r="C52" s="1" t="s">
        <v>52</v>
      </c>
      <c r="D52" s="6"/>
      <c r="E52" s="6"/>
      <c r="F52" s="10">
        <v>0.15</v>
      </c>
      <c r="G52" s="6"/>
      <c r="H52" s="76"/>
      <c r="I52" s="6"/>
      <c r="J52" s="6"/>
      <c r="K52" s="6"/>
      <c r="L52" s="6"/>
      <c r="M52" s="6"/>
      <c r="N52" s="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N52" s="1"/>
      <c r="AP52" s="1"/>
      <c r="AR52" s="5">
        <f>$D$7*F52</f>
        <v>12.684187500000043</v>
      </c>
      <c r="AS52" s="8"/>
    </row>
    <row r="53" spans="2:45" ht="15" customHeight="1" x14ac:dyDescent="0.2">
      <c r="B53" s="1">
        <v>20</v>
      </c>
      <c r="C53" s="1" t="s">
        <v>34</v>
      </c>
      <c r="D53" s="6"/>
      <c r="E53" s="6"/>
      <c r="F53" s="10">
        <v>0.1</v>
      </c>
      <c r="G53" s="6"/>
      <c r="H53" s="76"/>
      <c r="I53" s="6"/>
      <c r="J53" s="6"/>
      <c r="K53" s="6"/>
      <c r="L53" s="6"/>
      <c r="M53" s="6"/>
      <c r="N53" s="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N53" s="1"/>
      <c r="AP53" s="1"/>
      <c r="AR53" s="5">
        <f>$D$7*F53</f>
        <v>8.4561250000000285</v>
      </c>
      <c r="AS53" s="8"/>
    </row>
    <row r="54" spans="2:45" ht="15" customHeight="1" x14ac:dyDescent="0.2">
      <c r="B54" s="1">
        <v>21</v>
      </c>
      <c r="C54" s="1" t="s">
        <v>53</v>
      </c>
      <c r="D54" s="6"/>
      <c r="E54" s="6"/>
      <c r="F54" s="10">
        <v>0.2</v>
      </c>
      <c r="G54" s="6"/>
      <c r="H54" s="76"/>
      <c r="I54" s="6"/>
      <c r="J54" s="6"/>
      <c r="K54" s="6"/>
      <c r="L54" s="6"/>
      <c r="M54" s="6"/>
      <c r="N54" s="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N54" s="1"/>
      <c r="AP54" s="1"/>
      <c r="AR54" s="5">
        <f>$D$7*F54</f>
        <v>16.912250000000057</v>
      </c>
      <c r="AS54" s="8"/>
    </row>
    <row r="55" spans="2:45" ht="15" customHeight="1" x14ac:dyDescent="0.2">
      <c r="B55" s="1"/>
      <c r="C55" s="3" t="s">
        <v>58</v>
      </c>
      <c r="D55" s="26"/>
      <c r="E55" s="26"/>
      <c r="F55" s="15">
        <f>SUM(F52:F54)</f>
        <v>0.45</v>
      </c>
      <c r="G55" s="5"/>
      <c r="H55" s="76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4"/>
      <c r="AN55" s="3"/>
      <c r="AO55" s="4"/>
      <c r="AP55" s="3"/>
      <c r="AQ55" s="4"/>
      <c r="AR55" s="5">
        <f>SUM(AR52:AR54)</f>
        <v>38.052562500000128</v>
      </c>
      <c r="AS55" s="9"/>
    </row>
    <row r="56" spans="2:45" ht="15" customHeight="1" x14ac:dyDescent="0.2">
      <c r="G56" s="4423"/>
      <c r="H56" s="4423"/>
      <c r="I56" s="4423"/>
      <c r="J56" s="4423"/>
      <c r="K56" s="4423"/>
      <c r="L56" s="4423"/>
      <c r="M56" s="4423"/>
      <c r="N56" s="4423"/>
      <c r="O56" s="4423"/>
      <c r="P56" s="4423"/>
      <c r="Q56" s="4423"/>
      <c r="R56" s="4423"/>
    </row>
    <row r="57" spans="2:45" ht="15" customHeight="1" x14ac:dyDescent="0.2">
      <c r="D57" s="1"/>
      <c r="E57" s="1"/>
      <c r="F57" s="68">
        <f>F49+F55</f>
        <v>1</v>
      </c>
      <c r="G57" s="4423"/>
      <c r="H57" s="4423"/>
      <c r="I57" s="4423"/>
      <c r="J57" s="4423"/>
      <c r="K57" s="4423"/>
      <c r="L57" s="4423"/>
      <c r="M57" s="4423"/>
      <c r="N57" s="4423"/>
      <c r="O57" s="4423"/>
      <c r="P57" s="4423"/>
      <c r="Q57" s="4423"/>
      <c r="R57" s="4423"/>
      <c r="AR57" s="5">
        <f>AR49+AR55</f>
        <v>84.561250000000285</v>
      </c>
      <c r="AS57" s="1"/>
    </row>
  </sheetData>
  <sortState xmlns:xlrd2="http://schemas.microsoft.com/office/spreadsheetml/2017/richdata2" ref="C16:F24">
    <sortCondition descending="1" ref="F24"/>
  </sortState>
  <mergeCells count="19">
    <mergeCell ref="AN6:AN13"/>
    <mergeCell ref="AP6:AP13"/>
    <mergeCell ref="G6:H6"/>
    <mergeCell ref="G7:H7"/>
    <mergeCell ref="G8:H8"/>
    <mergeCell ref="G10:H10"/>
    <mergeCell ref="G12:H12"/>
    <mergeCell ref="G13:H13"/>
    <mergeCell ref="G1:G4"/>
    <mergeCell ref="H1:H4"/>
    <mergeCell ref="C2:C3"/>
    <mergeCell ref="G56:R56"/>
    <mergeCell ref="G57:R57"/>
    <mergeCell ref="G27:H27"/>
    <mergeCell ref="G38:H38"/>
    <mergeCell ref="G40:H40"/>
    <mergeCell ref="G42:H42"/>
    <mergeCell ref="D1:F1"/>
    <mergeCell ref="D2:F2"/>
  </mergeCells>
  <conditionalFormatting sqref="G38 G40 I38:AL38 I40:AL40">
    <cfRule type="cellIs" dxfId="448" priority="11" operator="greaterThan">
      <formula>$D$40</formula>
    </cfRule>
    <cfRule type="cellIs" dxfId="447" priority="12" operator="lessThan">
      <formula>$D$40</formula>
    </cfRule>
  </conditionalFormatting>
  <conditionalFormatting sqref="G40">
    <cfRule type="cellIs" dxfId="446" priority="8" operator="greaterThan">
      <formula>0</formula>
    </cfRule>
    <cfRule type="cellIs" dxfId="445" priority="9" operator="lessThan">
      <formula>$D$40</formula>
    </cfRule>
    <cfRule type="cellIs" dxfId="444" priority="10" operator="greaterThan">
      <formula>$D$40</formula>
    </cfRule>
  </conditionalFormatting>
  <conditionalFormatting sqref="I40">
    <cfRule type="cellIs" dxfId="443" priority="6" operator="greaterThan">
      <formula>0.483</formula>
    </cfRule>
    <cfRule type="cellIs" dxfId="442" priority="7" operator="greaterThan">
      <formula>0</formula>
    </cfRule>
  </conditionalFormatting>
  <conditionalFormatting sqref="J40">
    <cfRule type="cellIs" dxfId="441" priority="4" operator="greaterThan">
      <formula>0</formula>
    </cfRule>
    <cfRule type="cellIs" dxfId="440" priority="5" operator="greaterThan">
      <formula>0</formula>
    </cfRule>
  </conditionalFormatting>
  <conditionalFormatting sqref="K40:AL40">
    <cfRule type="cellIs" dxfId="439" priority="3" operator="greaterThan">
      <formula>0</formula>
    </cfRule>
  </conditionalFormatting>
  <conditionalFormatting sqref="G42 I42:AL42">
    <cfRule type="cellIs" dxfId="438" priority="1" operator="lessThan">
      <formula>0</formula>
    </cfRule>
    <cfRule type="cellIs" dxfId="43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FT101"/>
  <sheetViews>
    <sheetView zoomScale="80" zoomScaleNormal="80" zoomScaleSheetLayoutView="80" workbookViewId="0">
      <pane xSplit="15" ySplit="16" topLeftCell="P17" activePane="bottomRight" state="frozen"/>
      <selection pane="topRight" activeCell="M1" sqref="M1"/>
      <selection pane="bottomLeft" activeCell="A16" sqref="A16"/>
      <selection pane="bottomRight" activeCell="AC4" sqref="AC4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3.25" style="1719" bestFit="1" customWidth="1"/>
    <col min="4" max="4" width="0.875" style="1923" customWidth="1"/>
    <col min="5" max="5" width="10.625" style="1719" bestFit="1" customWidth="1"/>
    <col min="6" max="9" width="9.5" style="1719" hidden="1" customWidth="1"/>
    <col min="10" max="10" width="10.625" style="1719" bestFit="1" customWidth="1"/>
    <col min="11" max="11" width="11.25" style="1719" bestFit="1" customWidth="1"/>
    <col min="12" max="12" width="7.125" style="1719" bestFit="1" customWidth="1"/>
    <col min="13" max="13" width="8" style="1719" bestFit="1" customWidth="1"/>
    <col min="14" max="14" width="9" style="1719" bestFit="1" customWidth="1"/>
    <col min="15" max="15" width="0.875" style="1719" customWidth="1"/>
    <col min="16" max="16" width="0.875" style="1923" customWidth="1"/>
    <col min="17" max="20" width="9.5" style="1719" hidden="1" customWidth="1"/>
    <col min="21" max="21" width="10.875" style="1719" hidden="1" customWidth="1"/>
    <col min="22" max="23" width="9.5" style="1719" hidden="1" customWidth="1"/>
    <col min="24" max="24" width="0.875" style="1923" customWidth="1"/>
    <col min="25" max="27" width="8.125" style="1719" bestFit="1" customWidth="1"/>
    <col min="28" max="28" width="0.875" style="1923" customWidth="1"/>
    <col min="29" max="35" width="9.5" style="1719" customWidth="1"/>
    <col min="36" max="36" width="0.875" style="1923" customWidth="1"/>
    <col min="37" max="37" width="8.75" style="1719" bestFit="1" customWidth="1"/>
    <col min="38" max="39" width="8.125" style="1719" bestFit="1" customWidth="1"/>
    <col min="40" max="40" width="0.875" style="1923" customWidth="1"/>
    <col min="41" max="46" width="9.5" style="1719" hidden="1" customWidth="1"/>
    <col min="47" max="47" width="9.375" style="1719" hidden="1" customWidth="1"/>
    <col min="48" max="48" width="0.875" style="1923" customWidth="1"/>
    <col min="49" max="49" width="8.75" style="1719" bestFit="1" customWidth="1"/>
    <col min="50" max="51" width="8.125" style="1719" bestFit="1" customWidth="1"/>
    <col min="52" max="52" width="0.875" style="1923" customWidth="1"/>
    <col min="53" max="53" width="12.375" style="1719" hidden="1" customWidth="1"/>
    <col min="54" max="59" width="10.875" style="1719" hidden="1" customWidth="1"/>
    <col min="60" max="60" width="0.875" style="1923" customWidth="1"/>
    <col min="61" max="61" width="8.75" style="1719" bestFit="1" customWidth="1"/>
    <col min="62" max="63" width="8.125" style="1719" bestFit="1" customWidth="1"/>
    <col min="64" max="64" width="0.875" style="1719" customWidth="1"/>
    <col min="65" max="66" width="9.5" style="1719" hidden="1" customWidth="1"/>
    <col min="67" max="67" width="0.875" style="1719" customWidth="1"/>
    <col min="68" max="69" width="8.125" style="1719" bestFit="1" customWidth="1"/>
    <col min="70" max="70" width="7.125" style="1719" bestFit="1" customWidth="1"/>
    <col min="71" max="71" width="0.875" style="1719" customWidth="1"/>
    <col min="72" max="73" width="8.75" style="1719" bestFit="1" customWidth="1"/>
    <col min="74" max="74" width="0.875" style="1719" customWidth="1"/>
    <col min="75" max="76" width="9" style="1719" customWidth="1"/>
    <col min="77" max="77" width="0.875" style="1923" customWidth="1"/>
    <col min="78" max="78" width="9" style="1719" bestFit="1" customWidth="1"/>
    <col min="79" max="79" width="1.875" style="1719" customWidth="1"/>
    <col min="80" max="80" width="10.875" style="1719" bestFit="1" customWidth="1"/>
    <col min="81" max="81" width="12.375" style="1719" bestFit="1" customWidth="1"/>
    <col min="82" max="82" width="11.375" style="1719" bestFit="1" customWidth="1"/>
    <col min="83" max="83" width="14.25" style="1719" bestFit="1" customWidth="1"/>
    <col min="84" max="84" width="9.875" style="1719" bestFit="1" customWidth="1"/>
    <col min="85" max="85" width="12" style="1719" customWidth="1"/>
    <col min="86" max="86" width="10.875" style="1719" customWidth="1"/>
    <col min="87" max="87" width="10" style="1719" bestFit="1" customWidth="1"/>
    <col min="88" max="88" width="13" style="1719" bestFit="1" customWidth="1"/>
    <col min="89" max="89" width="12" style="1719" bestFit="1" customWidth="1"/>
    <col min="90" max="90" width="12.125" style="1719" bestFit="1" customWidth="1"/>
    <col min="91" max="91" width="11" style="1719" bestFit="1" customWidth="1"/>
    <col min="92" max="93" width="9.125" style="1719" customWidth="1"/>
    <col min="94" max="16384" width="9.125" style="1719"/>
  </cols>
  <sheetData>
    <row r="1" spans="2:176" s="1726" customFormat="1" ht="18" customHeight="1" x14ac:dyDescent="0.2">
      <c r="C1" s="4558" t="s">
        <v>281</v>
      </c>
      <c r="D1" s="4559"/>
      <c r="E1" s="4559"/>
      <c r="F1" s="4559"/>
      <c r="G1" s="4559"/>
      <c r="H1" s="4559"/>
      <c r="I1" s="4559"/>
      <c r="J1" s="4559"/>
      <c r="K1" s="4559"/>
      <c r="L1" s="4559"/>
      <c r="M1" s="4559"/>
      <c r="N1" s="4560"/>
      <c r="P1" s="2453"/>
      <c r="Q1" s="4572" t="s">
        <v>135</v>
      </c>
      <c r="R1" s="4573"/>
      <c r="S1" s="4573"/>
      <c r="T1" s="4573"/>
      <c r="U1" s="4573"/>
      <c r="V1" s="4573"/>
      <c r="W1" s="4574"/>
      <c r="X1" s="1860"/>
      <c r="Y1" s="4541" t="s">
        <v>139</v>
      </c>
      <c r="Z1" s="4542"/>
      <c r="AA1" s="4543"/>
      <c r="AB1" s="1860"/>
      <c r="AC1" s="4572" t="s">
        <v>136</v>
      </c>
      <c r="AD1" s="4573"/>
      <c r="AE1" s="4573"/>
      <c r="AF1" s="4573"/>
      <c r="AG1" s="4573"/>
      <c r="AH1" s="4573"/>
      <c r="AI1" s="4574"/>
      <c r="AJ1" s="1860"/>
      <c r="AK1" s="4541" t="s">
        <v>140</v>
      </c>
      <c r="AL1" s="4542"/>
      <c r="AM1" s="4543"/>
      <c r="AN1" s="1860"/>
      <c r="AO1" s="4572" t="s">
        <v>137</v>
      </c>
      <c r="AP1" s="4573"/>
      <c r="AQ1" s="4573"/>
      <c r="AR1" s="4573"/>
      <c r="AS1" s="4573"/>
      <c r="AT1" s="4573"/>
      <c r="AU1" s="4574"/>
      <c r="AV1" s="1860"/>
      <c r="AW1" s="4541" t="s">
        <v>141</v>
      </c>
      <c r="AX1" s="4542"/>
      <c r="AY1" s="4543"/>
      <c r="AZ1" s="1860"/>
      <c r="BA1" s="4572" t="s">
        <v>138</v>
      </c>
      <c r="BB1" s="4573"/>
      <c r="BC1" s="4573"/>
      <c r="BD1" s="4573"/>
      <c r="BE1" s="4573"/>
      <c r="BF1" s="4573"/>
      <c r="BG1" s="4574"/>
      <c r="BH1" s="1860"/>
      <c r="BI1" s="4541" t="s">
        <v>142</v>
      </c>
      <c r="BJ1" s="4542"/>
      <c r="BK1" s="4543"/>
      <c r="BM1" s="4664" t="s">
        <v>145</v>
      </c>
      <c r="BN1" s="4679"/>
      <c r="BP1" s="4541" t="s">
        <v>146</v>
      </c>
      <c r="BQ1" s="4542"/>
      <c r="BR1" s="4543"/>
      <c r="BT1" s="4613" t="s">
        <v>54</v>
      </c>
      <c r="BU1" s="4579" t="s">
        <v>61</v>
      </c>
      <c r="BW1" s="4582">
        <f>CC24/30</f>
        <v>0.96666666666666667</v>
      </c>
      <c r="BX1" s="4583"/>
      <c r="BY1" s="4583"/>
      <c r="BZ1" s="4584"/>
      <c r="CB1" s="2333">
        <f>BW5/CC24*29</f>
        <v>25898.801999999996</v>
      </c>
      <c r="CC1" s="3164">
        <f>CB1*BW8</f>
        <v>5519.9950000000008</v>
      </c>
      <c r="CD1" s="2329">
        <f>CC1-E46</f>
        <v>2543.2540000000008</v>
      </c>
      <c r="CE1" s="2762">
        <f>CD1/2</f>
        <v>1271.6270000000004</v>
      </c>
      <c r="CF1" s="4676"/>
      <c r="CG1" s="4676"/>
      <c r="CH1" s="4676"/>
      <c r="CJ1" s="4676"/>
      <c r="CK1" s="4676"/>
      <c r="CL1" s="4676"/>
    </row>
    <row r="2" spans="2:176" ht="20.25" customHeight="1" thickBot="1" x14ac:dyDescent="0.25">
      <c r="C2" s="4561"/>
      <c r="D2" s="4652"/>
      <c r="E2" s="4562"/>
      <c r="F2" s="4562"/>
      <c r="G2" s="4562"/>
      <c r="H2" s="4562"/>
      <c r="I2" s="4562"/>
      <c r="J2" s="4562"/>
      <c r="K2" s="4562"/>
      <c r="L2" s="4562"/>
      <c r="M2" s="4562"/>
      <c r="N2" s="4563"/>
      <c r="O2" s="1720"/>
      <c r="P2" s="3261"/>
      <c r="Q2" s="4575"/>
      <c r="R2" s="4576"/>
      <c r="S2" s="4576"/>
      <c r="T2" s="4576"/>
      <c r="U2" s="4576"/>
      <c r="V2" s="4576"/>
      <c r="W2" s="4577"/>
      <c r="X2" s="3262"/>
      <c r="Y2" s="4544"/>
      <c r="Z2" s="4545"/>
      <c r="AA2" s="4546"/>
      <c r="AB2" s="3262"/>
      <c r="AC2" s="4575"/>
      <c r="AD2" s="4576"/>
      <c r="AE2" s="4576"/>
      <c r="AF2" s="4576"/>
      <c r="AG2" s="4576"/>
      <c r="AH2" s="4576"/>
      <c r="AI2" s="4577"/>
      <c r="AJ2" s="3262"/>
      <c r="AK2" s="4544"/>
      <c r="AL2" s="4545"/>
      <c r="AM2" s="4546"/>
      <c r="AN2" s="3262"/>
      <c r="AO2" s="4575"/>
      <c r="AP2" s="4576"/>
      <c r="AQ2" s="4576"/>
      <c r="AR2" s="4576"/>
      <c r="AS2" s="4576"/>
      <c r="AT2" s="4576"/>
      <c r="AU2" s="4577"/>
      <c r="AV2" s="3262"/>
      <c r="AW2" s="4544"/>
      <c r="AX2" s="4545"/>
      <c r="AY2" s="4546"/>
      <c r="AZ2" s="3262"/>
      <c r="BA2" s="4575"/>
      <c r="BB2" s="4576"/>
      <c r="BC2" s="4576"/>
      <c r="BD2" s="4576"/>
      <c r="BE2" s="4576"/>
      <c r="BF2" s="4576"/>
      <c r="BG2" s="4577"/>
      <c r="BH2" s="3262"/>
      <c r="BI2" s="4544"/>
      <c r="BJ2" s="4545"/>
      <c r="BK2" s="4546"/>
      <c r="BL2" s="1724"/>
      <c r="BM2" s="4665"/>
      <c r="BN2" s="4681"/>
      <c r="BO2" s="1724"/>
      <c r="BP2" s="4544"/>
      <c r="BQ2" s="4545"/>
      <c r="BR2" s="4546"/>
      <c r="BT2" s="4614"/>
      <c r="BU2" s="4580"/>
      <c r="BW2" s="4585"/>
      <c r="BX2" s="4586"/>
      <c r="BY2" s="4586"/>
      <c r="BZ2" s="4587"/>
      <c r="CB2" s="4198">
        <f>(N5*30)-CB1</f>
        <v>893.06213793103598</v>
      </c>
      <c r="CC2" s="3166">
        <f>CC1/CB1</f>
        <v>0.21313707869576368</v>
      </c>
      <c r="CD2" s="3167"/>
      <c r="CE2" s="3168"/>
      <c r="CF2" s="4676"/>
      <c r="CG2" s="4676"/>
      <c r="CH2" s="4676"/>
      <c r="CI2" s="3169"/>
      <c r="CJ2" s="4676"/>
      <c r="CK2" s="4676"/>
      <c r="CL2" s="4676"/>
      <c r="CM2" s="3169"/>
    </row>
    <row r="3" spans="2:176" ht="20.25" customHeight="1" x14ac:dyDescent="0.2">
      <c r="C3" s="4666" t="s">
        <v>189</v>
      </c>
      <c r="D3" s="3261"/>
      <c r="E3" s="4682" t="s">
        <v>278</v>
      </c>
      <c r="F3" s="4682"/>
      <c r="G3" s="4682"/>
      <c r="H3" s="4682"/>
      <c r="I3" s="4682"/>
      <c r="J3" s="4682"/>
      <c r="K3" s="4682"/>
      <c r="L3" s="4682"/>
      <c r="M3" s="4682"/>
      <c r="N3" s="4683"/>
      <c r="O3" s="1720"/>
      <c r="P3" s="3261"/>
      <c r="Q3" s="4095"/>
      <c r="R3" s="4095"/>
      <c r="S3" s="4095"/>
      <c r="T3" s="4095"/>
      <c r="U3" s="1871"/>
      <c r="V3" s="4095"/>
      <c r="W3" s="4095"/>
      <c r="X3" s="3262"/>
      <c r="Y3" s="3039"/>
      <c r="Z3" s="3036"/>
      <c r="AA3" s="3037"/>
      <c r="AB3" s="3262"/>
      <c r="AC3" s="4100"/>
      <c r="AD3" s="4100"/>
      <c r="AE3" s="4100"/>
      <c r="AF3" s="4100"/>
      <c r="AG3" s="4100"/>
      <c r="AH3" s="4100"/>
      <c r="AI3" s="4100"/>
      <c r="AJ3" s="3262"/>
      <c r="AK3" s="3087"/>
      <c r="AL3" s="3071"/>
      <c r="AM3" s="3072"/>
      <c r="AN3" s="3262"/>
      <c r="AO3" s="4095"/>
      <c r="AP3" s="4095"/>
      <c r="AQ3" s="4095"/>
      <c r="AR3" s="4095"/>
      <c r="AS3" s="4095"/>
      <c r="AT3" s="4095"/>
      <c r="AU3" s="4095"/>
      <c r="AV3" s="3262"/>
      <c r="AW3" s="3099"/>
      <c r="AX3" s="3100"/>
      <c r="AY3" s="3101"/>
      <c r="AZ3" s="3262"/>
      <c r="BA3" s="4095"/>
      <c r="BB3" s="4095"/>
      <c r="BC3" s="4095"/>
      <c r="BD3" s="4095"/>
      <c r="BE3" s="4095"/>
      <c r="BF3" s="4095"/>
      <c r="BG3" s="4095"/>
      <c r="BH3" s="3262"/>
      <c r="BI3" s="3099"/>
      <c r="BJ3" s="3036"/>
      <c r="BK3" s="3037"/>
      <c r="BL3" s="1724"/>
      <c r="BM3" s="4192"/>
      <c r="BN3" s="4192"/>
      <c r="BO3" s="1724"/>
      <c r="BP3" s="3099" t="e">
        <f>(BP5-BP4)/BP4</f>
        <v>#DIV/0!</v>
      </c>
      <c r="BQ3" s="3036"/>
      <c r="BR3" s="3037"/>
      <c r="BT3" s="4614"/>
      <c r="BU3" s="4580"/>
      <c r="BW3" s="3253"/>
      <c r="BX3" s="3254"/>
      <c r="BY3" s="3035"/>
      <c r="BZ3" s="3043"/>
      <c r="CB3" s="4079">
        <f>CB1+CB2</f>
        <v>26791.864137931032</v>
      </c>
      <c r="CC3" s="3171">
        <f>BX8</f>
        <v>5537.6750000000002</v>
      </c>
      <c r="CD3" s="3172">
        <f>CC3-E46</f>
        <v>2560.9340000000002</v>
      </c>
      <c r="CE3" s="4106">
        <f>CD3/2</f>
        <v>1280.4670000000001</v>
      </c>
      <c r="CF3" s="4080">
        <f>CB3*CC2</f>
        <v>5710.3396551724154</v>
      </c>
      <c r="CG3" s="3264"/>
      <c r="CH3" s="3264"/>
      <c r="CI3" s="3169"/>
      <c r="CJ3" s="3264"/>
      <c r="CK3" s="3264"/>
      <c r="CL3" s="3264"/>
      <c r="CM3" s="3169"/>
    </row>
    <row r="4" spans="2:176" ht="20.25" customHeight="1" thickBot="1" x14ac:dyDescent="0.25">
      <c r="C4" s="4667"/>
      <c r="D4" s="3261"/>
      <c r="E4" s="3252"/>
      <c r="F4" s="3252"/>
      <c r="G4" s="3252"/>
      <c r="H4" s="3252"/>
      <c r="I4" s="3252"/>
      <c r="J4" s="4115"/>
      <c r="K4" s="4677"/>
      <c r="L4" s="4677"/>
      <c r="M4" s="4677"/>
      <c r="N4" s="4677"/>
      <c r="O4" s="1720"/>
      <c r="P4" s="3261"/>
      <c r="Q4" s="1747"/>
      <c r="R4" s="1747"/>
      <c r="S4" s="1747"/>
      <c r="T4" s="1747"/>
      <c r="U4" s="1747"/>
      <c r="V4" s="1747"/>
      <c r="W4" s="1747"/>
      <c r="X4" s="3262"/>
      <c r="Y4" s="2021"/>
      <c r="Z4" s="3058"/>
      <c r="AA4" s="3038"/>
      <c r="AB4" s="3262"/>
      <c r="AC4" s="1747"/>
      <c r="AD4" s="1747"/>
      <c r="AE4" s="4406"/>
      <c r="AF4" s="4406"/>
      <c r="AG4" s="4406"/>
      <c r="AH4" s="4406"/>
      <c r="AI4" s="4406"/>
      <c r="AJ4" s="3262"/>
      <c r="AK4" s="2956"/>
      <c r="AL4" s="3073"/>
      <c r="AM4" s="3074"/>
      <c r="AN4" s="3262"/>
      <c r="AO4" s="1747"/>
      <c r="AP4" s="1747"/>
      <c r="AQ4" s="1747"/>
      <c r="AR4" s="1747"/>
      <c r="AS4" s="1747"/>
      <c r="AT4" s="1747"/>
      <c r="AU4" s="1747"/>
      <c r="AV4" s="3262"/>
      <c r="AW4" s="3102"/>
      <c r="AX4" s="3103"/>
      <c r="AY4" s="3104"/>
      <c r="AZ4" s="3262"/>
      <c r="BA4" s="1747"/>
      <c r="BB4" s="1747"/>
      <c r="BC4" s="1747"/>
      <c r="BD4" s="1747"/>
      <c r="BE4" s="1747"/>
      <c r="BF4" s="1747"/>
      <c r="BG4" s="1747"/>
      <c r="BH4" s="3262"/>
      <c r="BI4" s="2021"/>
      <c r="BJ4" s="3058"/>
      <c r="BK4" s="3038"/>
      <c r="BL4" s="1724"/>
      <c r="BM4" s="3201"/>
      <c r="BN4" s="3201"/>
      <c r="BO4" s="1724"/>
      <c r="BP4" s="2021">
        <f>SUM(BM4:BN4)</f>
        <v>0</v>
      </c>
      <c r="BQ4" s="3058">
        <f>BP5-BP4</f>
        <v>1615.653</v>
      </c>
      <c r="BR4" s="3038"/>
      <c r="BT4" s="4614"/>
      <c r="BU4" s="4580"/>
      <c r="BW4" s="3255"/>
      <c r="BX4" s="3256"/>
      <c r="BY4" s="3035"/>
      <c r="BZ4" s="3044"/>
      <c r="CB4" s="3165"/>
      <c r="CC4" s="3166">
        <f>CC3/BW5</f>
        <v>0.21381973575457278</v>
      </c>
      <c r="CD4" s="3167">
        <f>CD3/E7</f>
        <v>13.454194433147132</v>
      </c>
      <c r="CE4" s="3519"/>
      <c r="CF4" s="4081">
        <f>CF3-E46</f>
        <v>2733.5986551724154</v>
      </c>
      <c r="CG4" s="3264"/>
      <c r="CH4" s="3264"/>
      <c r="CI4" s="3169"/>
      <c r="CJ4" s="3264"/>
      <c r="CK4" s="3264"/>
      <c r="CL4" s="3264"/>
      <c r="CM4" s="3169"/>
    </row>
    <row r="5" spans="2:176" s="1726" customFormat="1" ht="24" thickBot="1" x14ac:dyDescent="0.25">
      <c r="C5" s="4667"/>
      <c r="D5" s="3055"/>
      <c r="E5" s="2260"/>
      <c r="F5" s="2260"/>
      <c r="G5" s="2260"/>
      <c r="H5" s="2260"/>
      <c r="I5" s="3048"/>
      <c r="J5" s="3048"/>
      <c r="K5" s="1728">
        <f>BW5</f>
        <v>25898.801999999996</v>
      </c>
      <c r="L5" s="1728"/>
      <c r="M5" s="1728"/>
      <c r="N5" s="2383">
        <f>BW5/CC24</f>
        <v>893.06213793103439</v>
      </c>
      <c r="O5" s="1730"/>
      <c r="P5" s="1731"/>
      <c r="Q5" s="1732">
        <v>830.04700000000003</v>
      </c>
      <c r="R5" s="1732">
        <v>1046.2159999999999</v>
      </c>
      <c r="S5" s="1732">
        <v>1038.203</v>
      </c>
      <c r="T5" s="1732">
        <v>965.75099999999998</v>
      </c>
      <c r="U5" s="1732"/>
      <c r="V5" s="1732">
        <v>1311.153</v>
      </c>
      <c r="W5" s="1732">
        <v>1076.0530000000001</v>
      </c>
      <c r="X5" s="1733"/>
      <c r="Y5" s="3265">
        <f>SUM(Q5:W5)</f>
        <v>6267.4229999999998</v>
      </c>
      <c r="Z5" s="2275">
        <f>($K$46*100/20)*6</f>
        <v>3257.0584101692302</v>
      </c>
      <c r="AA5" s="3269">
        <f>Y5-Z5</f>
        <v>3010.3645898307695</v>
      </c>
      <c r="AB5" s="1737"/>
      <c r="AC5" s="1732">
        <v>801.59900000000005</v>
      </c>
      <c r="AD5" s="1732">
        <v>1175.096</v>
      </c>
      <c r="AE5" s="1732">
        <v>919.96</v>
      </c>
      <c r="AF5" s="1732">
        <v>805.22299999999996</v>
      </c>
      <c r="AG5" s="1732">
        <v>825.851</v>
      </c>
      <c r="AH5" s="1732">
        <v>1037.8499999999999</v>
      </c>
      <c r="AI5" s="1732">
        <v>843.15300000000002</v>
      </c>
      <c r="AJ5" s="1738"/>
      <c r="AK5" s="3265">
        <f>SUM(AC5:AI5)</f>
        <v>6408.732</v>
      </c>
      <c r="AL5" s="2275">
        <f>($K$46*100/20)*7</f>
        <v>3799.9014785307686</v>
      </c>
      <c r="AM5" s="3269">
        <f>AK5-AL5</f>
        <v>2608.8305214692314</v>
      </c>
      <c r="AN5" s="1738"/>
      <c r="AO5" s="1732">
        <v>1053.252</v>
      </c>
      <c r="AP5" s="1732">
        <v>588.34</v>
      </c>
      <c r="AQ5" s="1732">
        <v>673.54100000000005</v>
      </c>
      <c r="AR5" s="1732">
        <v>1008.595</v>
      </c>
      <c r="AS5" s="1732">
        <v>528.99300000000005</v>
      </c>
      <c r="AT5" s="1732">
        <v>1085.0999999999999</v>
      </c>
      <c r="AU5" s="1732">
        <v>901.45799999999997</v>
      </c>
      <c r="AV5" s="3008"/>
      <c r="AW5" s="3265">
        <f>SUM(AO5:AU5)</f>
        <v>5839.2789999999995</v>
      </c>
      <c r="AX5" s="2275">
        <f>($K$46*100/24)*7</f>
        <v>3166.5845654423074</v>
      </c>
      <c r="AY5" s="3269">
        <f>AW5-AX5</f>
        <v>2672.6944345576921</v>
      </c>
      <c r="AZ5" s="2205"/>
      <c r="BA5" s="1732">
        <v>771.89700000000005</v>
      </c>
      <c r="BB5" s="1732">
        <v>755.89599999999996</v>
      </c>
      <c r="BC5" s="1732">
        <v>746.15800000000002</v>
      </c>
      <c r="BD5" s="1732">
        <v>882.10299999999995</v>
      </c>
      <c r="BE5" s="1732">
        <v>795.30200000000002</v>
      </c>
      <c r="BF5" s="1732">
        <v>1008.104</v>
      </c>
      <c r="BG5" s="1732">
        <v>808.255</v>
      </c>
      <c r="BH5" s="2205"/>
      <c r="BI5" s="3265">
        <f>SUM(BA5:BG5)</f>
        <v>5767.7150000000001</v>
      </c>
      <c r="BJ5" s="2275">
        <f>($K$46*100/24)*7</f>
        <v>3166.5845654423074</v>
      </c>
      <c r="BK5" s="3269">
        <f>BI5-BJ5</f>
        <v>2601.1304345576928</v>
      </c>
      <c r="BL5" s="1861"/>
      <c r="BM5" s="3024">
        <v>899.40300000000002</v>
      </c>
      <c r="BN5" s="4197">
        <v>716.25</v>
      </c>
      <c r="BO5" s="1861"/>
      <c r="BP5" s="4164">
        <f>SUM(BM5:BN5)</f>
        <v>1615.653</v>
      </c>
      <c r="BQ5" s="2275">
        <f>($K$46*100/24)*2</f>
        <v>904.73844726923062</v>
      </c>
      <c r="BR5" s="4165">
        <f>BP5-BQ5</f>
        <v>710.9145527307694</v>
      </c>
      <c r="BT5" s="4614"/>
      <c r="BU5" s="4580"/>
      <c r="BW5" s="3040">
        <f>SUM(Q5:W5)+SUM(AC5:AI5)+SUM(AO5:AU5)+SUM(BA5:BG5)+SUM(BM5:BN5)</f>
        <v>25898.801999999996</v>
      </c>
      <c r="BX5" s="3041">
        <f>BW5/CB5</f>
        <v>1.7400776218018295</v>
      </c>
      <c r="BY5" s="1997"/>
      <c r="BZ5" s="2797">
        <f>BW5/CC24*29</f>
        <v>25898.801999999996</v>
      </c>
      <c r="CA5" s="1740"/>
      <c r="CB5" s="2747">
        <f>C46</f>
        <v>14883.704999999998</v>
      </c>
      <c r="CC5" s="2748">
        <f>CB5-BW5</f>
        <v>-11015.096999999998</v>
      </c>
      <c r="CD5" s="2749">
        <f>CC5/CC27</f>
        <v>11015.096999999998</v>
      </c>
      <c r="CE5" s="3506">
        <f>CB1/'RAWABI INCOME 5-2020'!BZ1-1</f>
        <v>0.11464858884125717</v>
      </c>
      <c r="CF5" s="4082">
        <f>CF4/2</f>
        <v>1366.7993275862077</v>
      </c>
      <c r="CG5" s="3108">
        <f>CF5-CE1</f>
        <v>95.172327586207302</v>
      </c>
      <c r="CH5" s="3108"/>
      <c r="CI5" s="3174"/>
      <c r="CJ5" s="3108"/>
      <c r="CK5" s="3108"/>
      <c r="CL5" s="3108"/>
      <c r="CM5" s="3174"/>
    </row>
    <row r="6" spans="2:176" s="1726" customFormat="1" ht="23.25" x14ac:dyDescent="0.2">
      <c r="C6" s="4667"/>
      <c r="D6" s="3055"/>
      <c r="E6" s="2260"/>
      <c r="F6" s="2260"/>
      <c r="G6" s="2260"/>
      <c r="H6" s="2260"/>
      <c r="I6" s="3048"/>
      <c r="J6" s="3048"/>
      <c r="K6" s="1728"/>
      <c r="L6" s="1728"/>
      <c r="M6" s="1728"/>
      <c r="N6" s="2383"/>
      <c r="O6" s="1730"/>
      <c r="P6" s="1731"/>
      <c r="Q6" s="3543">
        <v>639.77700000000004</v>
      </c>
      <c r="R6" s="3543">
        <v>818.53200000000004</v>
      </c>
      <c r="S6" s="3543">
        <v>809.346</v>
      </c>
      <c r="T6" s="3543">
        <v>746.41399999999999</v>
      </c>
      <c r="U6" s="3543"/>
      <c r="V6" s="3543">
        <v>1040.5709999999999</v>
      </c>
      <c r="W6" s="3543">
        <v>839.05200000000002</v>
      </c>
      <c r="X6" s="1733"/>
      <c r="Y6" s="3875">
        <f>SUM(Q6:W6)</f>
        <v>4893.692</v>
      </c>
      <c r="Z6" s="4096">
        <v>4899.8029999999999</v>
      </c>
      <c r="AA6" s="4097">
        <f>Z6-Y6</f>
        <v>6.1109999999998763</v>
      </c>
      <c r="AB6" s="1737"/>
      <c r="AC6" s="3543">
        <v>626.74300000000005</v>
      </c>
      <c r="AD6" s="3543">
        <v>938.34</v>
      </c>
      <c r="AE6" s="3543">
        <v>705.84</v>
      </c>
      <c r="AF6" s="3543">
        <v>623.77700000000004</v>
      </c>
      <c r="AG6" s="3543">
        <v>654.78499999999997</v>
      </c>
      <c r="AH6" s="3543">
        <v>821.60500000000002</v>
      </c>
      <c r="AI6" s="3543">
        <v>672.37599999999998</v>
      </c>
      <c r="AJ6" s="1738"/>
      <c r="AK6" s="3875">
        <f>SUM(AC6:AI6)</f>
        <v>5043.4660000000003</v>
      </c>
      <c r="AL6" s="4096">
        <v>5045.6809999999996</v>
      </c>
      <c r="AM6" s="4097">
        <f>AL6-AK6</f>
        <v>2.214999999999236</v>
      </c>
      <c r="AN6" s="1738"/>
      <c r="AO6" s="3543">
        <v>818.06</v>
      </c>
      <c r="AP6" s="3543">
        <v>467.45</v>
      </c>
      <c r="AQ6" s="3543">
        <v>522.75300000000004</v>
      </c>
      <c r="AR6" s="3543">
        <v>804.77499999999998</v>
      </c>
      <c r="AS6" s="3543">
        <v>415.46199999999999</v>
      </c>
      <c r="AT6" s="3543">
        <v>853.96799999999996</v>
      </c>
      <c r="AU6" s="3543">
        <v>705.98199999999997</v>
      </c>
      <c r="AV6" s="3008"/>
      <c r="AW6" s="3875">
        <f>SUM(AO6:AU6)</f>
        <v>4588.45</v>
      </c>
      <c r="AX6" s="4096">
        <v>4589.1289999999999</v>
      </c>
      <c r="AY6" s="4097">
        <f>AX6-AW6</f>
        <v>0.67900000000008731</v>
      </c>
      <c r="AZ6" s="2205"/>
      <c r="BA6" s="3543">
        <v>599.60799999999995</v>
      </c>
      <c r="BB6" s="3543">
        <v>600.23900000000003</v>
      </c>
      <c r="BC6" s="3543">
        <v>595.11</v>
      </c>
      <c r="BD6" s="3543">
        <v>687.43600000000004</v>
      </c>
      <c r="BE6" s="3543">
        <v>637.29499999999996</v>
      </c>
      <c r="BF6" s="3543">
        <v>790.654</v>
      </c>
      <c r="BG6" s="3543">
        <v>652.54</v>
      </c>
      <c r="BH6" s="2205"/>
      <c r="BI6" s="3875">
        <f>SUM(BA6:BG6)</f>
        <v>4562.8819999999996</v>
      </c>
      <c r="BJ6" s="4096">
        <v>4560.92</v>
      </c>
      <c r="BK6" s="4097">
        <f>BJ6-BI6</f>
        <v>-1.9619999999995343</v>
      </c>
      <c r="BL6" s="1861"/>
      <c r="BM6" s="3870">
        <v>723.62</v>
      </c>
      <c r="BN6" s="4197">
        <v>566.93399999999997</v>
      </c>
      <c r="BO6" s="1861"/>
      <c r="BP6" s="3875">
        <f>SUM(BM6:BN6)</f>
        <v>1290.5540000000001</v>
      </c>
      <c r="BQ6" s="4096">
        <v>1289.7329999999999</v>
      </c>
      <c r="BR6" s="4097">
        <f>BQ6-BP6</f>
        <v>-0.82100000000014006</v>
      </c>
      <c r="BT6" s="4614"/>
      <c r="BU6" s="4580"/>
      <c r="BW6" s="3898">
        <f>Y6+AK6+AW6+BI6+BP6</f>
        <v>20379.043999999998</v>
      </c>
      <c r="BX6" s="4104">
        <v>20361.345000000001</v>
      </c>
      <c r="BY6" s="1997"/>
      <c r="BZ6" s="4103">
        <f>BX6-BW6</f>
        <v>-17.698999999996886</v>
      </c>
      <c r="CA6" s="1740"/>
      <c r="CB6" s="3871"/>
      <c r="CC6" s="3872"/>
      <c r="CD6" s="3873"/>
      <c r="CE6" s="3897"/>
      <c r="CF6" s="3896"/>
      <c r="CG6" s="3108"/>
      <c r="CH6" s="3108"/>
      <c r="CI6" s="3174"/>
      <c r="CJ6" s="3108"/>
      <c r="CK6" s="3108"/>
      <c r="CL6" s="3108"/>
      <c r="CM6" s="3174"/>
    </row>
    <row r="7" spans="2:176" s="2713" customFormat="1" ht="24" thickBot="1" x14ac:dyDescent="0.25">
      <c r="C7" s="4667"/>
      <c r="D7" s="3056"/>
      <c r="E7" s="2716">
        <f>K7/CC24</f>
        <v>190.34465517241381</v>
      </c>
      <c r="F7" s="2716"/>
      <c r="G7" s="2716"/>
      <c r="H7" s="2716"/>
      <c r="I7" s="3049"/>
      <c r="J7" s="3049"/>
      <c r="K7" s="3052">
        <f>BW7</f>
        <v>5519.9950000000008</v>
      </c>
      <c r="L7" s="3052"/>
      <c r="M7" s="3052"/>
      <c r="N7" s="3053">
        <f>C46/N5</f>
        <v>16.665923195984124</v>
      </c>
      <c r="O7" s="2719"/>
      <c r="P7" s="2720"/>
      <c r="Q7" s="2782">
        <v>190.27600000000001</v>
      </c>
      <c r="R7" s="2782">
        <v>227.69200000000001</v>
      </c>
      <c r="S7" s="2782">
        <v>228.86600000000001</v>
      </c>
      <c r="T7" s="2782">
        <v>219.352</v>
      </c>
      <c r="U7" s="2782"/>
      <c r="V7" s="2782">
        <v>270.59699999999998</v>
      </c>
      <c r="W7" s="2782">
        <v>237.01400000000001</v>
      </c>
      <c r="X7" s="2722"/>
      <c r="Y7" s="2781">
        <f>SUM(Q7:W7)</f>
        <v>1373.797</v>
      </c>
      <c r="Z7" s="2782">
        <f>Z5*Y8</f>
        <v>713.93570734179877</v>
      </c>
      <c r="AA7" s="2783">
        <f>AA5*Y8</f>
        <v>659.86129265820136</v>
      </c>
      <c r="AB7" s="2723"/>
      <c r="AC7" s="2721">
        <v>174.86600000000001</v>
      </c>
      <c r="AD7" s="2721">
        <v>236.76400000000001</v>
      </c>
      <c r="AE7" s="2721">
        <v>214.126</v>
      </c>
      <c r="AF7" s="2721">
        <v>181.458</v>
      </c>
      <c r="AG7" s="2721">
        <v>171.06800000000001</v>
      </c>
      <c r="AH7" s="2721">
        <v>216.256</v>
      </c>
      <c r="AI7" s="2721">
        <v>170.786</v>
      </c>
      <c r="AJ7" s="2724"/>
      <c r="AK7" s="2781">
        <f>SUM(AC7:AI7)</f>
        <v>1365.3240000000001</v>
      </c>
      <c r="AL7" s="2782">
        <f>AL5*AK8</f>
        <v>809.53559709994795</v>
      </c>
      <c r="AM7" s="2783">
        <f>AM5*25%</f>
        <v>652.20763036730784</v>
      </c>
      <c r="AN7" s="2724"/>
      <c r="AO7" s="2721">
        <v>235.19900000000001</v>
      </c>
      <c r="AP7" s="2721">
        <v>120.896</v>
      </c>
      <c r="AQ7" s="2721">
        <v>150.79400000000001</v>
      </c>
      <c r="AR7" s="2721">
        <v>203.83099999999999</v>
      </c>
      <c r="AS7" s="2721">
        <v>113.539</v>
      </c>
      <c r="AT7" s="2721">
        <v>231.13900000000001</v>
      </c>
      <c r="AU7" s="2721">
        <v>195.488</v>
      </c>
      <c r="AV7" s="3009"/>
      <c r="AW7" s="2781">
        <f>SUM(AO7:AU7)</f>
        <v>1250.8860000000002</v>
      </c>
      <c r="AX7" s="2782">
        <f>AX5*AW8</f>
        <v>678.34338806689436</v>
      </c>
      <c r="AY7" s="2783">
        <f>AY5*25%</f>
        <v>668.17360863942304</v>
      </c>
      <c r="AZ7" s="2725"/>
      <c r="BA7" s="2721">
        <v>172.29599999999999</v>
      </c>
      <c r="BB7" s="2721">
        <v>155.65799999999999</v>
      </c>
      <c r="BC7" s="2721">
        <v>151.04900000000001</v>
      </c>
      <c r="BD7" s="2721">
        <v>194.67599999999999</v>
      </c>
      <c r="BE7" s="2721">
        <v>158.018</v>
      </c>
      <c r="BF7" s="2721">
        <v>217.45500000000001</v>
      </c>
      <c r="BG7" s="2721">
        <v>155.727</v>
      </c>
      <c r="BH7" s="2725"/>
      <c r="BI7" s="2781">
        <f>SUM(BA7:BG7)</f>
        <v>1204.8789999999999</v>
      </c>
      <c r="BJ7" s="2782">
        <f>BJ5*BI8</f>
        <v>661.5013475224697</v>
      </c>
      <c r="BK7" s="2783">
        <f>BK5*25%</f>
        <v>650.28260863942319</v>
      </c>
      <c r="BL7" s="2726"/>
      <c r="BM7" s="2721">
        <v>175.78899999999999</v>
      </c>
      <c r="BN7" s="2721">
        <v>149.32</v>
      </c>
      <c r="BO7" s="2726"/>
      <c r="BP7" s="2781">
        <f>SUM(BM7:BN7)</f>
        <v>325.10899999999998</v>
      </c>
      <c r="BQ7" s="2782">
        <f>BQ5*BP8</f>
        <v>182.05556010681269</v>
      </c>
      <c r="BR7" s="2783">
        <f>BR5*25%</f>
        <v>177.72863818269235</v>
      </c>
      <c r="BT7" s="4614"/>
      <c r="BU7" s="4580"/>
      <c r="BW7" s="2727">
        <f>SUM(Q7:W7)+SUM(AC7:AI7)+SUM(AO7:AU7)+SUM(BA7:BG7)+SUM(BM7:BN7)</f>
        <v>5519.9950000000008</v>
      </c>
      <c r="BX7" s="2728">
        <f>BW7/E46</f>
        <v>1.854375305073569</v>
      </c>
      <c r="BY7" s="2729"/>
      <c r="BZ7" s="2798"/>
      <c r="CA7" s="2730"/>
      <c r="CB7" s="3161"/>
      <c r="CC7" s="3162">
        <f>CC5/N5</f>
        <v>-12.334076804015876</v>
      </c>
      <c r="CD7" s="3163" t="s">
        <v>251</v>
      </c>
      <c r="CE7" s="3112" t="s">
        <v>253</v>
      </c>
      <c r="CF7" s="3109"/>
      <c r="CG7" s="3109"/>
      <c r="CH7" s="3109"/>
      <c r="CI7" s="3175"/>
      <c r="CJ7" s="3109"/>
      <c r="CK7" s="3109"/>
      <c r="CL7" s="3109"/>
      <c r="CM7" s="3175"/>
    </row>
    <row r="8" spans="2:176" s="1885" customFormat="1" ht="23.25" x14ac:dyDescent="0.2">
      <c r="C8" s="4667"/>
      <c r="D8" s="3057"/>
      <c r="E8" s="2813">
        <f>K8/2</f>
        <v>1271.6270000000004</v>
      </c>
      <c r="F8" s="2813"/>
      <c r="G8" s="2813"/>
      <c r="H8" s="2813"/>
      <c r="I8" s="3050"/>
      <c r="J8" s="3050"/>
      <c r="K8" s="2001">
        <f>K7-E46</f>
        <v>2543.2540000000008</v>
      </c>
      <c r="L8" s="2001"/>
      <c r="M8" s="2001"/>
      <c r="N8" s="3054">
        <f>K8-CD3</f>
        <v>-17.679999999999382</v>
      </c>
      <c r="O8" s="2816"/>
      <c r="P8" s="2817"/>
      <c r="Q8" s="2818">
        <f>Q7/Q5</f>
        <v>0.22923521198197211</v>
      </c>
      <c r="R8" s="2818">
        <f t="shared" ref="R8" si="0">R7/R5</f>
        <v>0.21763383469570341</v>
      </c>
      <c r="S8" s="2818">
        <f>S7/S5</f>
        <v>0.22044436396350234</v>
      </c>
      <c r="T8" s="2818">
        <f t="shared" ref="T8:V8" si="1">T7/T5</f>
        <v>0.22713100996012431</v>
      </c>
      <c r="U8" s="2818" t="e">
        <f>U7/U5</f>
        <v>#DIV/0!</v>
      </c>
      <c r="V8" s="2818">
        <f t="shared" si="1"/>
        <v>0.20638094867647022</v>
      </c>
      <c r="W8" s="2818">
        <f t="shared" ref="W8" si="2">W7/W5</f>
        <v>0.22026238484535612</v>
      </c>
      <c r="X8" s="2819"/>
      <c r="Y8" s="2820">
        <f>Y7/Y5</f>
        <v>0.21919647038344151</v>
      </c>
      <c r="Z8" s="2821">
        <v>1367.6869999999999</v>
      </c>
      <c r="AA8" s="3042">
        <f>Z8-Y7</f>
        <v>-6.1100000000001273</v>
      </c>
      <c r="AB8" s="2822"/>
      <c r="AC8" s="2818">
        <f t="shared" ref="AC8:AD8" si="3">AC7/AC5</f>
        <v>0.21814647972365236</v>
      </c>
      <c r="AD8" s="2818">
        <f t="shared" si="3"/>
        <v>0.20148481485767972</v>
      </c>
      <c r="AE8" s="2818">
        <f t="shared" ref="AE8:AG8" si="4">AE7/AE5</f>
        <v>0.23275577199008651</v>
      </c>
      <c r="AF8" s="2818">
        <f t="shared" si="4"/>
        <v>0.22535123810422703</v>
      </c>
      <c r="AG8" s="2818">
        <f t="shared" si="4"/>
        <v>0.20714148193802515</v>
      </c>
      <c r="AH8" s="2818">
        <f t="shared" ref="AH8" si="5">AH7/AH5</f>
        <v>0.2083692248398131</v>
      </c>
      <c r="AI8" s="2818">
        <f t="shared" ref="AI8" si="6">AI7/AI5</f>
        <v>0.2025563569126837</v>
      </c>
      <c r="AJ8" s="2823"/>
      <c r="AK8" s="2820">
        <f>AK7/AK5</f>
        <v>0.21304120690333128</v>
      </c>
      <c r="AL8" s="2821">
        <v>1363.1130000000001</v>
      </c>
      <c r="AM8" s="3042">
        <f>AL8-AK7</f>
        <v>-2.2110000000000127</v>
      </c>
      <c r="AN8" s="2823"/>
      <c r="AO8" s="2818">
        <f t="shared" ref="AO8:AP8" si="7">AO7/AO5</f>
        <v>0.22330743259922603</v>
      </c>
      <c r="AP8" s="2818">
        <f t="shared" si="7"/>
        <v>0.20548662338103815</v>
      </c>
      <c r="AQ8" s="2818">
        <f t="shared" ref="AQ8:AR8" si="8">AQ7/AQ5</f>
        <v>0.22388243625852028</v>
      </c>
      <c r="AR8" s="2818">
        <f t="shared" si="8"/>
        <v>0.20209400205235994</v>
      </c>
      <c r="AS8" s="2818">
        <f t="shared" ref="AS8" si="9">AS7/AS5</f>
        <v>0.21463232972837068</v>
      </c>
      <c r="AT8" s="2818">
        <f t="shared" ref="AT8" si="10">AT7/AT5</f>
        <v>0.21301170399041566</v>
      </c>
      <c r="AU8" s="2818">
        <f t="shared" ref="AU8" si="11">AU7/AU5</f>
        <v>0.21685757960992083</v>
      </c>
      <c r="AV8" s="3010"/>
      <c r="AW8" s="2820">
        <f>AW7/AW5</f>
        <v>0.21421925549370055</v>
      </c>
      <c r="AX8" s="2821">
        <v>1250.211</v>
      </c>
      <c r="AY8" s="3042">
        <f>AX8-AW7</f>
        <v>-0.6750000000001819</v>
      </c>
      <c r="AZ8" s="2402"/>
      <c r="BA8" s="2818">
        <f t="shared" ref="BA8:BB8" si="12">BA7/BA5</f>
        <v>0.22321112790955266</v>
      </c>
      <c r="BB8" s="2818">
        <f t="shared" si="12"/>
        <v>0.20592515372485104</v>
      </c>
      <c r="BC8" s="2818">
        <f t="shared" ref="BC8:BD8" si="13">BC7/BC5</f>
        <v>0.20243567716220962</v>
      </c>
      <c r="BD8" s="2818">
        <f t="shared" si="13"/>
        <v>0.22069531562640643</v>
      </c>
      <c r="BE8" s="2818">
        <f t="shared" ref="BE8" si="14">BE7/BE5</f>
        <v>0.19868930293146503</v>
      </c>
      <c r="BF8" s="2818">
        <f t="shared" ref="BF8" si="15">BF7/BF5</f>
        <v>0.21570691119170246</v>
      </c>
      <c r="BG8" s="2818">
        <f t="shared" ref="BG8" si="16">BG7/BG5</f>
        <v>0.19267062993733414</v>
      </c>
      <c r="BH8" s="2823"/>
      <c r="BI8" s="2820">
        <f>BI7/BI5</f>
        <v>0.20890057847865226</v>
      </c>
      <c r="BJ8" s="2821">
        <v>1206.8430000000001</v>
      </c>
      <c r="BK8" s="3042">
        <f>BJ8-BI7</f>
        <v>1.9640000000001692</v>
      </c>
      <c r="BL8" s="2011"/>
      <c r="BM8" s="2818">
        <f t="shared" ref="BM8:BN8" si="17">BM7/BM5</f>
        <v>0.19545076011532092</v>
      </c>
      <c r="BN8" s="2818">
        <f t="shared" si="17"/>
        <v>0.20847469458987783</v>
      </c>
      <c r="BO8" s="2823"/>
      <c r="BP8" s="2820">
        <f>BP7/BP5</f>
        <v>0.20122452036421185</v>
      </c>
      <c r="BQ8" s="2821">
        <v>325.93099999999998</v>
      </c>
      <c r="BR8" s="3042">
        <f>BQ8-BP7</f>
        <v>0.82200000000000273</v>
      </c>
      <c r="BT8" s="4614"/>
      <c r="BU8" s="4580"/>
      <c r="BW8" s="2820">
        <f>BW7/BW5</f>
        <v>0.21313707869576368</v>
      </c>
      <c r="BX8" s="3042">
        <v>5537.6750000000002</v>
      </c>
      <c r="BY8" s="2010"/>
      <c r="BZ8" s="4105">
        <f>BX8-BW7</f>
        <v>17.679999999999382</v>
      </c>
      <c r="CA8" s="1900"/>
      <c r="CB8" s="3158">
        <f>E46-BW7</f>
        <v>-2543.2540000000008</v>
      </c>
      <c r="CC8" s="3159">
        <f>CB8/E7</f>
        <v>-13.361310291041933</v>
      </c>
      <c r="CD8" s="3160"/>
      <c r="CE8" s="2828"/>
      <c r="CF8" s="3110"/>
      <c r="CG8" s="3110"/>
      <c r="CH8" s="3110"/>
      <c r="CI8" s="3176"/>
      <c r="CJ8" s="3110"/>
      <c r="CK8" s="3110"/>
      <c r="CL8" s="3110"/>
      <c r="CM8" s="3176"/>
    </row>
    <row r="9" spans="2:176" ht="24" thickBot="1" x14ac:dyDescent="0.25">
      <c r="C9" s="4668"/>
      <c r="D9" s="1847"/>
      <c r="E9" s="4163"/>
      <c r="F9" s="4163"/>
      <c r="G9" s="4163"/>
      <c r="H9" s="4163"/>
      <c r="I9" s="4163"/>
      <c r="J9" s="4163"/>
      <c r="K9" s="4163"/>
      <c r="L9" s="4163"/>
      <c r="M9" s="4163"/>
      <c r="N9" s="4163"/>
      <c r="O9" s="1720"/>
      <c r="P9" s="3261"/>
      <c r="Q9" s="3674">
        <f t="shared" ref="Q9:T9" si="18">Q7/Q6</f>
        <v>0.29740987875462854</v>
      </c>
      <c r="R9" s="3674">
        <f t="shared" si="18"/>
        <v>0.27817116496361777</v>
      </c>
      <c r="S9" s="3674">
        <f t="shared" si="18"/>
        <v>0.28277893509080171</v>
      </c>
      <c r="T9" s="3674">
        <f t="shared" si="18"/>
        <v>0.29387444501308924</v>
      </c>
      <c r="U9" s="3674"/>
      <c r="V9" s="3674">
        <f>V7/V6</f>
        <v>0.2600466474656703</v>
      </c>
      <c r="W9" s="3674">
        <f>W7/W6</f>
        <v>0.28247832077153739</v>
      </c>
      <c r="X9" s="1748"/>
      <c r="Y9" s="3874">
        <f>Y7/Y6</f>
        <v>0.28072812919162055</v>
      </c>
      <c r="Z9" s="4098">
        <f>Z8/Y6</f>
        <v>0.27947958310412668</v>
      </c>
      <c r="AA9" s="4099">
        <f>AA8/Y7</f>
        <v>-4.4475275459184491E-3</v>
      </c>
      <c r="AB9" s="3263"/>
      <c r="AC9" s="3674">
        <f t="shared" ref="AC9:AH9" si="19">AC7/AC6</f>
        <v>0.27900750387319845</v>
      </c>
      <c r="AD9" s="3674">
        <f t="shared" si="19"/>
        <v>0.25232218598802142</v>
      </c>
      <c r="AE9" s="3674">
        <f t="shared" si="19"/>
        <v>0.30336336846877476</v>
      </c>
      <c r="AF9" s="3674">
        <f t="shared" si="19"/>
        <v>0.29090203710620943</v>
      </c>
      <c r="AG9" s="3674">
        <f t="shared" si="19"/>
        <v>0.26125827561718734</v>
      </c>
      <c r="AH9" s="3674">
        <f t="shared" si="19"/>
        <v>0.26321164063022984</v>
      </c>
      <c r="AI9" s="3674">
        <f t="shared" ref="AI9" si="20">AI7/AI6</f>
        <v>0.25400371220864515</v>
      </c>
      <c r="AJ9" s="1723"/>
      <c r="AK9" s="3874">
        <f>AK7/AK6</f>
        <v>0.27071145121232104</v>
      </c>
      <c r="AL9" s="4098">
        <f>AL8/AK6</f>
        <v>0.27027306221554781</v>
      </c>
      <c r="AM9" s="4099">
        <f>AM8/AK7</f>
        <v>-1.61939583571373E-3</v>
      </c>
      <c r="AN9" s="1723"/>
      <c r="AO9" s="3674">
        <f t="shared" ref="AO9:AP9" si="21">AO7/AO6</f>
        <v>0.28750825122851625</v>
      </c>
      <c r="AP9" s="3674">
        <f t="shared" si="21"/>
        <v>0.2586287303454915</v>
      </c>
      <c r="AQ9" s="3674">
        <f t="shared" ref="AQ9:AR9" si="22">AQ7/AQ6</f>
        <v>0.28846128094912893</v>
      </c>
      <c r="AR9" s="3674">
        <f t="shared" si="22"/>
        <v>0.25327700288900623</v>
      </c>
      <c r="AS9" s="3674">
        <f t="shared" ref="AS9:AT9" si="23">AS7/AS6</f>
        <v>0.27328371788514955</v>
      </c>
      <c r="AT9" s="3674">
        <f t="shared" si="23"/>
        <v>0.2706647087478688</v>
      </c>
      <c r="AU9" s="3674">
        <f t="shared" ref="AU9" si="24">AU7/AU6</f>
        <v>0.27690224396656005</v>
      </c>
      <c r="AV9" s="3011"/>
      <c r="AW9" s="3874">
        <f>AW7/AW6</f>
        <v>0.27261624295786163</v>
      </c>
      <c r="AX9" s="4101">
        <f>AX8/AW6</f>
        <v>0.27246913445716964</v>
      </c>
      <c r="AY9" s="4099">
        <f>AY8/AW7</f>
        <v>-5.3961751910260546E-4</v>
      </c>
      <c r="AZ9" s="2039"/>
      <c r="BA9" s="3674">
        <f t="shared" ref="BA9:BB9" si="25">BA7/BA6</f>
        <v>0.28734773385278384</v>
      </c>
      <c r="BB9" s="3674">
        <f t="shared" si="25"/>
        <v>0.25932670153055698</v>
      </c>
      <c r="BC9" s="3674">
        <f t="shared" ref="BC9:BD9" si="26">BC7/BC6</f>
        <v>0.25381694140579053</v>
      </c>
      <c r="BD9" s="3674">
        <f t="shared" si="26"/>
        <v>0.28319145345894015</v>
      </c>
      <c r="BE9" s="3674">
        <f t="shared" ref="BE9:BF9" si="27">BE7/BE6</f>
        <v>0.24795110584580141</v>
      </c>
      <c r="BF9" s="3674">
        <f t="shared" si="27"/>
        <v>0.27503180910992675</v>
      </c>
      <c r="BG9" s="3674">
        <f t="shared" ref="BG9" si="28">BG7/BG6</f>
        <v>0.23864743923744139</v>
      </c>
      <c r="BH9" s="2039"/>
      <c r="BI9" s="3874">
        <f>BI7/BI6</f>
        <v>0.26406095971800281</v>
      </c>
      <c r="BJ9" s="4101">
        <f>BJ8/BI6</f>
        <v>0.26449138943325734</v>
      </c>
      <c r="BK9" s="4099">
        <f>BK8/BI7</f>
        <v>1.6300391989570483E-3</v>
      </c>
      <c r="BL9" s="1994"/>
      <c r="BM9" s="1752">
        <f t="shared" ref="BM9:BN9" si="29">BM7/BM6</f>
        <v>0.2429299908791907</v>
      </c>
      <c r="BN9" s="1752">
        <f t="shared" si="29"/>
        <v>0.26338162819658023</v>
      </c>
      <c r="BO9" s="1994"/>
      <c r="BP9" s="3874">
        <f>BP7/BP6</f>
        <v>0.25191429417134031</v>
      </c>
      <c r="BQ9" s="4101">
        <f>BQ8/BP6</f>
        <v>0.25255122993691076</v>
      </c>
      <c r="BR9" s="4099">
        <f>BR8/BP7</f>
        <v>2.5283827885416977E-3</v>
      </c>
      <c r="BT9" s="4614"/>
      <c r="BU9" s="4580"/>
      <c r="BW9" s="3874">
        <f>BW7/BW6</f>
        <v>0.27086623886773104</v>
      </c>
      <c r="BX9" s="4099">
        <f>BX8/BW6</f>
        <v>0.27173379673747211</v>
      </c>
      <c r="BY9" s="1993"/>
      <c r="BZ9" s="4102">
        <f>BZ8/BW7</f>
        <v>3.2029014519033765E-3</v>
      </c>
      <c r="CA9" s="1754"/>
      <c r="CB9" s="2753"/>
      <c r="CC9" s="2754"/>
      <c r="CD9" s="2755"/>
      <c r="CE9" s="3177"/>
      <c r="CF9" s="2271"/>
      <c r="CG9" s="2271"/>
      <c r="CH9" s="2271"/>
      <c r="CI9" s="3169"/>
      <c r="CJ9" s="2271"/>
      <c r="CK9" s="2271"/>
      <c r="CL9" s="2271"/>
      <c r="CM9" s="3169"/>
    </row>
    <row r="10" spans="2:176" s="1923" customFormat="1" ht="5.25" customHeight="1" thickBot="1" x14ac:dyDescent="0.25">
      <c r="C10" s="2273"/>
      <c r="D10" s="1800"/>
      <c r="E10" s="1804"/>
      <c r="F10" s="1804"/>
      <c r="G10" s="1804"/>
      <c r="H10" s="1804"/>
      <c r="I10" s="1804"/>
      <c r="J10" s="1804"/>
      <c r="K10" s="1803"/>
      <c r="L10" s="1803"/>
      <c r="M10" s="1803"/>
      <c r="N10" s="2272"/>
      <c r="O10" s="3261"/>
      <c r="P10" s="3261"/>
      <c r="Q10" s="2026"/>
      <c r="R10" s="2026"/>
      <c r="S10" s="2026"/>
      <c r="T10" s="2026"/>
      <c r="U10" s="2026"/>
      <c r="V10" s="2026"/>
      <c r="W10" s="2026"/>
      <c r="X10" s="1994"/>
      <c r="Y10" s="3258"/>
      <c r="Z10" s="1801"/>
      <c r="AA10" s="3258"/>
      <c r="AB10" s="3262"/>
      <c r="AC10" s="2026"/>
      <c r="AD10" s="2026"/>
      <c r="AE10" s="2026"/>
      <c r="AF10" s="2026"/>
      <c r="AG10" s="2026"/>
      <c r="AH10" s="2026"/>
      <c r="AI10" s="2026"/>
      <c r="AJ10" s="3262"/>
      <c r="AK10" s="3258"/>
      <c r="AL10" s="1801"/>
      <c r="AM10" s="3258"/>
      <c r="AN10" s="3262"/>
      <c r="AO10" s="2026"/>
      <c r="AP10" s="2026"/>
      <c r="AQ10" s="2026"/>
      <c r="AR10" s="2026"/>
      <c r="AS10" s="2026"/>
      <c r="AT10" s="2026"/>
      <c r="AU10" s="2026"/>
      <c r="AV10" s="1994"/>
      <c r="AW10" s="3258"/>
      <c r="AX10" s="1801"/>
      <c r="AY10" s="3258"/>
      <c r="AZ10" s="1994"/>
      <c r="BA10" s="2026"/>
      <c r="BB10" s="2026"/>
      <c r="BC10" s="2026"/>
      <c r="BD10" s="2026"/>
      <c r="BE10" s="2026"/>
      <c r="BF10" s="2026"/>
      <c r="BG10" s="2026"/>
      <c r="BH10" s="1994"/>
      <c r="BI10" s="3258"/>
      <c r="BJ10" s="1801"/>
      <c r="BK10" s="3258"/>
      <c r="BL10" s="1994"/>
      <c r="BM10" s="3272"/>
      <c r="BN10" s="3272"/>
      <c r="BO10" s="1994"/>
      <c r="BP10" s="3258"/>
      <c r="BQ10" s="1801"/>
      <c r="BR10" s="3258"/>
      <c r="BT10" s="4614"/>
      <c r="BU10" s="4580"/>
      <c r="BW10" s="1805"/>
      <c r="BX10" s="1993"/>
      <c r="BY10" s="1993"/>
      <c r="BZ10" s="2325"/>
      <c r="CA10" s="1994"/>
      <c r="CB10" s="2270"/>
      <c r="CC10" s="2270"/>
      <c r="CD10" s="2270"/>
      <c r="CE10" s="3177"/>
      <c r="CF10" s="2271"/>
      <c r="CG10" s="2271"/>
      <c r="CH10" s="2271"/>
      <c r="CI10" s="3169"/>
      <c r="CJ10" s="2271"/>
      <c r="CK10" s="2271"/>
      <c r="CL10" s="2271"/>
      <c r="CM10" s="3169"/>
    </row>
    <row r="11" spans="2:176" s="1810" customFormat="1" ht="17.25" customHeight="1" x14ac:dyDescent="0.2">
      <c r="C11" s="1811" t="s">
        <v>190</v>
      </c>
      <c r="D11" s="1727"/>
      <c r="E11" s="1812"/>
      <c r="F11" s="1812"/>
      <c r="G11" s="1812"/>
      <c r="H11" s="1812"/>
      <c r="I11" s="1812"/>
      <c r="J11" s="1812"/>
      <c r="K11" s="1813">
        <f>BW11</f>
        <v>1238.016806836154</v>
      </c>
      <c r="L11" s="1813"/>
      <c r="M11" s="1813"/>
      <c r="N11" s="4564">
        <f>CE1-K11</f>
        <v>33.610193163846361</v>
      </c>
      <c r="O11" s="1760"/>
      <c r="P11" s="1761"/>
      <c r="Q11" s="1735">
        <f>(Q7-Q46)/2</f>
        <v>40.853693163846167</v>
      </c>
      <c r="R11" s="1735">
        <f t="shared" ref="R11:W11" si="30">(R7-R46)/2</f>
        <v>59.561693163846165</v>
      </c>
      <c r="S11" s="1735">
        <f t="shared" si="30"/>
        <v>60.148693163846168</v>
      </c>
      <c r="T11" s="1735">
        <f t="shared" si="30"/>
        <v>55.391693163846163</v>
      </c>
      <c r="U11" s="1735">
        <f t="shared" si="30"/>
        <v>0</v>
      </c>
      <c r="V11" s="1735">
        <f t="shared" si="30"/>
        <v>81.014193163846159</v>
      </c>
      <c r="W11" s="1735">
        <f t="shared" si="30"/>
        <v>64.222693163846174</v>
      </c>
      <c r="X11" s="3271"/>
      <c r="Y11" s="1771">
        <f>SUM(Q11:W11)</f>
        <v>361.19265898307697</v>
      </c>
      <c r="Z11" s="1815"/>
      <c r="AA11" s="1816"/>
      <c r="AB11" s="1764"/>
      <c r="AC11" s="1735">
        <f t="shared" ref="AC11:AI11" si="31">(AC7-AC46)/2</f>
        <v>33.148693163846168</v>
      </c>
      <c r="AD11" s="1735">
        <f t="shared" si="31"/>
        <v>64.097693163846174</v>
      </c>
      <c r="AE11" s="1735">
        <f t="shared" si="31"/>
        <v>52.778693163846164</v>
      </c>
      <c r="AF11" s="1735">
        <f t="shared" si="31"/>
        <v>36.444693163846161</v>
      </c>
      <c r="AG11" s="1735">
        <f t="shared" si="31"/>
        <v>59.874492580000009</v>
      </c>
      <c r="AH11" s="1735">
        <f t="shared" si="31"/>
        <v>53.843693163846162</v>
      </c>
      <c r="AI11" s="1735">
        <f t="shared" si="31"/>
        <v>31.108693163846162</v>
      </c>
      <c r="AJ11" s="1764"/>
      <c r="AK11" s="1771">
        <f>SUM(AC11:AI11)</f>
        <v>331.29665156307698</v>
      </c>
      <c r="AL11" s="1815"/>
      <c r="AM11" s="1816"/>
      <c r="AN11" s="1764"/>
      <c r="AO11" s="1735">
        <f>(AO7-AO46)/2</f>
        <v>63.315193163846168</v>
      </c>
      <c r="AP11" s="1735">
        <f t="shared" ref="AP11:AT11" si="32">(AP7-AP46)/2</f>
        <v>6.1636931638461618</v>
      </c>
      <c r="AQ11" s="1735">
        <f t="shared" si="32"/>
        <v>21.112693163846167</v>
      </c>
      <c r="AR11" s="1735">
        <f t="shared" si="32"/>
        <v>47.631193163846156</v>
      </c>
      <c r="AS11" s="1735">
        <f t="shared" si="32"/>
        <v>31.109992580000007</v>
      </c>
      <c r="AT11" s="1735">
        <f t="shared" si="32"/>
        <v>61.285193163846166</v>
      </c>
      <c r="AU11" s="1735">
        <f>(AU7-AU46)/2</f>
        <v>43.459693163846161</v>
      </c>
      <c r="AV11" s="2289"/>
      <c r="AW11" s="1771">
        <f>SUM(AO11:AU11)</f>
        <v>274.07765156307698</v>
      </c>
      <c r="AX11" s="1815"/>
      <c r="AY11" s="1816"/>
      <c r="AZ11" s="2289"/>
      <c r="BA11" s="1735">
        <f>(BA7-BA46)/2</f>
        <v>31.863693163846158</v>
      </c>
      <c r="BB11" s="1735">
        <f t="shared" ref="BB11:BG11" si="33">(BB7-BB46)/2</f>
        <v>23.544693163846155</v>
      </c>
      <c r="BC11" s="1735">
        <f t="shared" si="33"/>
        <v>21.240193163846165</v>
      </c>
      <c r="BD11" s="1735">
        <f t="shared" si="33"/>
        <v>43.053693163846155</v>
      </c>
      <c r="BE11" s="1735">
        <f t="shared" si="33"/>
        <v>53.349492580000003</v>
      </c>
      <c r="BF11" s="1735">
        <f t="shared" si="33"/>
        <v>54.443193163846168</v>
      </c>
      <c r="BG11" s="1735">
        <f t="shared" si="33"/>
        <v>23.579193163846163</v>
      </c>
      <c r="BH11" s="2289"/>
      <c r="BI11" s="1771">
        <f>SUM(BA11:BG11)</f>
        <v>251.07415156307695</v>
      </c>
      <c r="BJ11" s="1815"/>
      <c r="BK11" s="1816"/>
      <c r="BL11" s="3271"/>
      <c r="BM11" s="1735">
        <f t="shared" ref="BM11:BN11" si="34">(BM7-BM46)/2</f>
        <v>33.610193163846155</v>
      </c>
      <c r="BN11" s="1735">
        <f t="shared" si="34"/>
        <v>20.375693163846158</v>
      </c>
      <c r="BO11" s="3271"/>
      <c r="BP11" s="1771">
        <f>SUM(BM11:BN11)</f>
        <v>53.985886327692313</v>
      </c>
      <c r="BQ11" s="1815"/>
      <c r="BR11" s="1816"/>
      <c r="BS11" s="1766"/>
      <c r="BT11" s="4614"/>
      <c r="BU11" s="4580"/>
      <c r="BV11" s="1766"/>
      <c r="BW11" s="1771">
        <f>SUM(Q11:W11)+SUM(AC11:AI11)+SUM(AO11:AU11)+SUM(BA11:BG11)+SUM(BN11:BN11)</f>
        <v>1238.016806836154</v>
      </c>
      <c r="BX11" s="2340"/>
      <c r="BY11" s="1830"/>
      <c r="BZ11" s="2348">
        <v>0</v>
      </c>
      <c r="CA11" s="1817"/>
      <c r="CB11" s="4687" t="s">
        <v>226</v>
      </c>
      <c r="CC11" s="4687"/>
      <c r="CD11" s="1818"/>
      <c r="CE11" s="1774"/>
      <c r="CF11" s="1766"/>
      <c r="CG11" s="1766"/>
      <c r="CH11" s="1819"/>
      <c r="CI11" s="1820"/>
      <c r="CJ11" s="1766"/>
      <c r="CK11" s="1766"/>
      <c r="CL11" s="1819"/>
      <c r="CM11" s="1820"/>
      <c r="CN11" s="1821"/>
      <c r="CO11" s="1821"/>
      <c r="CP11" s="1821"/>
      <c r="CQ11" s="1821"/>
      <c r="CR11" s="1821"/>
      <c r="CS11" s="1821"/>
      <c r="CT11" s="1821"/>
      <c r="CU11" s="1821"/>
      <c r="CV11" s="1821"/>
      <c r="CW11" s="1821"/>
      <c r="CX11" s="1821"/>
      <c r="CY11" s="1821"/>
      <c r="CZ11" s="1821"/>
      <c r="DA11" s="1821"/>
      <c r="DB11" s="1821"/>
      <c r="DC11" s="1821"/>
      <c r="DD11" s="1821"/>
      <c r="DE11" s="1821"/>
      <c r="DF11" s="1821"/>
      <c r="DG11" s="1821"/>
      <c r="DH11" s="1821"/>
      <c r="DI11" s="1821"/>
      <c r="DJ11" s="1821"/>
      <c r="DK11" s="1821"/>
      <c r="DL11" s="1821"/>
      <c r="DM11" s="1821"/>
      <c r="DN11" s="1821"/>
      <c r="DO11" s="1821"/>
      <c r="DP11" s="1821"/>
      <c r="DQ11" s="1821"/>
      <c r="DR11" s="1821"/>
      <c r="DS11" s="1821"/>
      <c r="DT11" s="1821"/>
      <c r="DU11" s="1821"/>
      <c r="DV11" s="1821"/>
      <c r="DW11" s="1821"/>
      <c r="DX11" s="1821"/>
      <c r="DY11" s="1821"/>
      <c r="DZ11" s="1821"/>
      <c r="EA11" s="1821"/>
      <c r="EB11" s="1821"/>
      <c r="EC11" s="1821"/>
      <c r="ED11" s="1821"/>
      <c r="EE11" s="1821"/>
      <c r="EF11" s="1821"/>
      <c r="EG11" s="1821"/>
      <c r="EH11" s="1821"/>
      <c r="EI11" s="1821"/>
      <c r="EJ11" s="1821"/>
      <c r="EK11" s="1821"/>
      <c r="EL11" s="1821"/>
      <c r="EM11" s="1821"/>
      <c r="EN11" s="1821"/>
      <c r="EO11" s="1821"/>
      <c r="EP11" s="1821"/>
      <c r="EQ11" s="1821"/>
      <c r="ER11" s="1821"/>
      <c r="ES11" s="1821"/>
      <c r="ET11" s="1821"/>
      <c r="EU11" s="1821"/>
      <c r="EV11" s="1821"/>
      <c r="EW11" s="1821"/>
      <c r="EX11" s="1821"/>
      <c r="EY11" s="1821"/>
      <c r="EZ11" s="1821"/>
      <c r="FA11" s="1821"/>
      <c r="FB11" s="1821"/>
      <c r="FC11" s="1821"/>
      <c r="FD11" s="1821"/>
      <c r="FE11" s="1821"/>
      <c r="FF11" s="1821"/>
      <c r="FG11" s="1821"/>
      <c r="FH11" s="1821"/>
      <c r="FI11" s="1821"/>
      <c r="FJ11" s="1821"/>
      <c r="FK11" s="1821"/>
      <c r="FL11" s="1821"/>
      <c r="FM11" s="1821"/>
      <c r="FN11" s="1821"/>
      <c r="FO11" s="1821"/>
      <c r="FP11" s="1821"/>
      <c r="FQ11" s="1821"/>
      <c r="FR11" s="1821"/>
      <c r="FS11" s="1821"/>
      <c r="FT11" s="1821"/>
    </row>
    <row r="12" spans="2:176" s="1777" customFormat="1" ht="17.25" customHeight="1" thickBot="1" x14ac:dyDescent="0.25">
      <c r="C12" s="1822" t="s">
        <v>169</v>
      </c>
      <c r="D12" s="1744"/>
      <c r="E12" s="1823"/>
      <c r="F12" s="1823"/>
      <c r="G12" s="1823"/>
      <c r="H12" s="1823"/>
      <c r="I12" s="1823"/>
      <c r="J12" s="1823"/>
      <c r="K12" s="1824"/>
      <c r="L12" s="1824"/>
      <c r="M12" s="1824"/>
      <c r="N12" s="4565">
        <f t="shared" ref="N12" si="35">BT55</f>
        <v>0</v>
      </c>
      <c r="O12" s="1782"/>
      <c r="P12" s="1783"/>
      <c r="Q12" s="1750">
        <f t="shared" ref="Q12:W12" si="36">Q11</f>
        <v>40.853693163846167</v>
      </c>
      <c r="R12" s="1750">
        <f t="shared" si="36"/>
        <v>59.561693163846165</v>
      </c>
      <c r="S12" s="1750">
        <f t="shared" si="36"/>
        <v>60.148693163846168</v>
      </c>
      <c r="T12" s="1750">
        <f t="shared" si="36"/>
        <v>55.391693163846163</v>
      </c>
      <c r="U12" s="1750">
        <f t="shared" si="36"/>
        <v>0</v>
      </c>
      <c r="V12" s="1750">
        <f t="shared" si="36"/>
        <v>81.014193163846159</v>
      </c>
      <c r="W12" s="1750">
        <f t="shared" si="36"/>
        <v>64.222693163846174</v>
      </c>
      <c r="X12" s="1801"/>
      <c r="Y12" s="1785">
        <f>SUM(Q12:W12)</f>
        <v>361.19265898307697</v>
      </c>
      <c r="Z12" s="1825"/>
      <c r="AA12" s="1826" t="s">
        <v>26</v>
      </c>
      <c r="AB12" s="1788"/>
      <c r="AC12" s="1750">
        <f t="shared" ref="AC12:AI12" si="37">AC11</f>
        <v>33.148693163846168</v>
      </c>
      <c r="AD12" s="1750">
        <f t="shared" si="37"/>
        <v>64.097693163846174</v>
      </c>
      <c r="AE12" s="1750">
        <f t="shared" si="37"/>
        <v>52.778693163846164</v>
      </c>
      <c r="AF12" s="1750">
        <f t="shared" si="37"/>
        <v>36.444693163846161</v>
      </c>
      <c r="AG12" s="1750">
        <f t="shared" si="37"/>
        <v>59.874492580000009</v>
      </c>
      <c r="AH12" s="1750">
        <f t="shared" si="37"/>
        <v>53.843693163846162</v>
      </c>
      <c r="AI12" s="1750">
        <f t="shared" si="37"/>
        <v>31.108693163846162</v>
      </c>
      <c r="AJ12" s="1788"/>
      <c r="AK12" s="1785">
        <f>SUM(AC12:AI12)</f>
        <v>331.29665156307698</v>
      </c>
      <c r="AL12" s="1825"/>
      <c r="AM12" s="1826"/>
      <c r="AN12" s="1788"/>
      <c r="AO12" s="1750">
        <f t="shared" ref="AO12:AU12" si="38">AO11</f>
        <v>63.315193163846168</v>
      </c>
      <c r="AP12" s="1750">
        <f t="shared" si="38"/>
        <v>6.1636931638461618</v>
      </c>
      <c r="AQ12" s="1750">
        <f t="shared" si="38"/>
        <v>21.112693163846167</v>
      </c>
      <c r="AR12" s="1750">
        <f t="shared" si="38"/>
        <v>47.631193163846156</v>
      </c>
      <c r="AS12" s="1750">
        <f t="shared" si="38"/>
        <v>31.109992580000007</v>
      </c>
      <c r="AT12" s="1750">
        <f t="shared" si="38"/>
        <v>61.285193163846166</v>
      </c>
      <c r="AU12" s="1750">
        <f t="shared" si="38"/>
        <v>43.459693163846161</v>
      </c>
      <c r="AV12" s="2290"/>
      <c r="AW12" s="1785">
        <f>SUM(AO12:AU12)</f>
        <v>274.07765156307698</v>
      </c>
      <c r="AX12" s="1825"/>
      <c r="AY12" s="1826"/>
      <c r="AZ12" s="2290"/>
      <c r="BA12" s="1750">
        <f t="shared" ref="BA12:BG12" si="39">BA11</f>
        <v>31.863693163846158</v>
      </c>
      <c r="BB12" s="1750">
        <f t="shared" si="39"/>
        <v>23.544693163846155</v>
      </c>
      <c r="BC12" s="1750">
        <f t="shared" si="39"/>
        <v>21.240193163846165</v>
      </c>
      <c r="BD12" s="1750">
        <f t="shared" si="39"/>
        <v>43.053693163846155</v>
      </c>
      <c r="BE12" s="1750">
        <f t="shared" si="39"/>
        <v>53.349492580000003</v>
      </c>
      <c r="BF12" s="1750">
        <f t="shared" si="39"/>
        <v>54.443193163846168</v>
      </c>
      <c r="BG12" s="1750">
        <f t="shared" si="39"/>
        <v>23.579193163846163</v>
      </c>
      <c r="BH12" s="2290"/>
      <c r="BI12" s="1785">
        <f>SUM(BA12:BG12)</f>
        <v>251.07415156307695</v>
      </c>
      <c r="BJ12" s="1825"/>
      <c r="BK12" s="1826"/>
      <c r="BL12" s="1801"/>
      <c r="BM12" s="1750">
        <f t="shared" ref="BM12:BN12" si="40">BM11</f>
        <v>33.610193163846155</v>
      </c>
      <c r="BN12" s="1750">
        <f t="shared" si="40"/>
        <v>20.375693163846158</v>
      </c>
      <c r="BO12" s="1801"/>
      <c r="BP12" s="1785">
        <f>SUM(BM12:BN12)</f>
        <v>53.985886327692313</v>
      </c>
      <c r="BQ12" s="1825"/>
      <c r="BR12" s="1826"/>
      <c r="BS12" s="1792"/>
      <c r="BT12" s="4614"/>
      <c r="BU12" s="4580"/>
      <c r="BV12" s="1792"/>
      <c r="BW12" s="1793"/>
      <c r="BX12" s="2341"/>
      <c r="BY12" s="1802"/>
      <c r="BZ12" s="2349"/>
      <c r="CA12" s="1795"/>
      <c r="CB12" s="4687"/>
      <c r="CC12" s="4687"/>
      <c r="CD12" s="1805"/>
      <c r="CE12" s="1797"/>
      <c r="CF12" s="1791"/>
      <c r="CG12" s="1791"/>
      <c r="CH12" s="1807"/>
      <c r="CI12" s="1798"/>
      <c r="CJ12" s="1791"/>
      <c r="CK12" s="1791"/>
      <c r="CL12" s="1807"/>
      <c r="CM12" s="1798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799"/>
      <c r="DR12" s="1799"/>
      <c r="DS12" s="1799"/>
      <c r="DT12" s="1799"/>
      <c r="DU12" s="1799"/>
      <c r="DV12" s="1799"/>
      <c r="DW12" s="1799"/>
      <c r="DX12" s="1799"/>
      <c r="DY12" s="1799"/>
      <c r="DZ12" s="1799"/>
      <c r="EA12" s="1799"/>
      <c r="EB12" s="1799"/>
      <c r="EC12" s="1799"/>
      <c r="ED12" s="1799"/>
      <c r="EE12" s="1799"/>
      <c r="EF12" s="1799"/>
      <c r="EG12" s="1799"/>
      <c r="EH12" s="1799"/>
      <c r="EI12" s="1799"/>
      <c r="EJ12" s="1799"/>
      <c r="EK12" s="1799"/>
      <c r="EL12" s="1799"/>
      <c r="EM12" s="1799"/>
      <c r="EN12" s="1799"/>
      <c r="EO12" s="1799"/>
      <c r="EP12" s="1799"/>
      <c r="EQ12" s="1799"/>
      <c r="ER12" s="1799"/>
      <c r="ES12" s="1799"/>
      <c r="ET12" s="1799"/>
      <c r="EU12" s="1799"/>
      <c r="EV12" s="1799"/>
      <c r="EW12" s="1799"/>
      <c r="EX12" s="1799"/>
      <c r="EY12" s="1799"/>
      <c r="EZ12" s="1799"/>
      <c r="FA12" s="1799"/>
      <c r="FB12" s="1799"/>
      <c r="FC12" s="1799"/>
      <c r="FD12" s="1799"/>
      <c r="FE12" s="1799"/>
      <c r="FF12" s="1799"/>
      <c r="FG12" s="1799"/>
      <c r="FH12" s="1799"/>
      <c r="FI12" s="1799"/>
      <c r="FJ12" s="1799"/>
      <c r="FK12" s="1799"/>
      <c r="FL12" s="1799"/>
      <c r="FM12" s="1799"/>
      <c r="FN12" s="1799"/>
      <c r="FO12" s="1799"/>
      <c r="FP12" s="1799"/>
      <c r="FQ12" s="1799"/>
      <c r="FR12" s="1799"/>
      <c r="FS12" s="1799"/>
      <c r="FT12" s="1799"/>
    </row>
    <row r="13" spans="2:176" s="1800" customFormat="1" ht="4.5" customHeight="1" thickBot="1" x14ac:dyDescent="0.25">
      <c r="E13" s="1791"/>
      <c r="F13" s="1791"/>
      <c r="G13" s="1791"/>
      <c r="H13" s="1791"/>
      <c r="I13" s="1791"/>
      <c r="J13" s="1791"/>
      <c r="K13" s="1791"/>
      <c r="L13" s="1791"/>
      <c r="M13" s="1791"/>
      <c r="N13" s="1783"/>
      <c r="O13" s="1782"/>
      <c r="P13" s="1783"/>
      <c r="Q13" s="1803"/>
      <c r="R13" s="1803"/>
      <c r="S13" s="1803"/>
      <c r="T13" s="1803"/>
      <c r="U13" s="1803"/>
      <c r="V13" s="1803"/>
      <c r="W13" s="1803"/>
      <c r="X13" s="1801"/>
      <c r="Y13" s="1801"/>
      <c r="Z13" s="1801"/>
      <c r="AA13" s="1801"/>
      <c r="AB13" s="1791"/>
      <c r="AC13" s="1803"/>
      <c r="AD13" s="1803"/>
      <c r="AE13" s="1803"/>
      <c r="AF13" s="1803"/>
      <c r="AG13" s="1803"/>
      <c r="AH13" s="1803"/>
      <c r="AI13" s="1803"/>
      <c r="AJ13" s="1791"/>
      <c r="AK13" s="1801"/>
      <c r="AL13" s="1801"/>
      <c r="AM13" s="1801"/>
      <c r="AN13" s="1791"/>
      <c r="AO13" s="1803"/>
      <c r="AP13" s="1803"/>
      <c r="AQ13" s="1803"/>
      <c r="AR13" s="1803"/>
      <c r="AS13" s="1803"/>
      <c r="AT13" s="1803"/>
      <c r="AU13" s="1803"/>
      <c r="AV13" s="1801"/>
      <c r="AW13" s="1801"/>
      <c r="AX13" s="1801"/>
      <c r="AY13" s="1801"/>
      <c r="AZ13" s="1801"/>
      <c r="BA13" s="1803"/>
      <c r="BB13" s="1803"/>
      <c r="BC13" s="1803"/>
      <c r="BD13" s="1803"/>
      <c r="BE13" s="1803"/>
      <c r="BF13" s="1803"/>
      <c r="BG13" s="1803"/>
      <c r="BH13" s="1801"/>
      <c r="BI13" s="1801"/>
      <c r="BJ13" s="1801"/>
      <c r="BK13" s="1801"/>
      <c r="BL13" s="1801"/>
      <c r="BM13" s="1803"/>
      <c r="BN13" s="1803"/>
      <c r="BO13" s="1801"/>
      <c r="BP13" s="1801"/>
      <c r="BQ13" s="1801"/>
      <c r="BR13" s="1801"/>
      <c r="BS13" s="1791"/>
      <c r="BT13" s="4614"/>
      <c r="BU13" s="4580"/>
      <c r="BV13" s="1791"/>
      <c r="BW13" s="1801"/>
      <c r="BX13" s="1802"/>
      <c r="BY13" s="1802"/>
      <c r="BZ13" s="1805"/>
      <c r="CA13" s="1806"/>
      <c r="CB13" s="1801"/>
      <c r="CC13" s="1805"/>
      <c r="CD13" s="1805"/>
      <c r="CE13" s="1797"/>
      <c r="CF13" s="1791"/>
      <c r="CG13" s="1791"/>
      <c r="CH13" s="1807"/>
      <c r="CI13" s="1808"/>
      <c r="CJ13" s="1791"/>
      <c r="CK13" s="1791"/>
      <c r="CL13" s="1807"/>
      <c r="CM13" s="1808"/>
      <c r="CN13" s="1809"/>
      <c r="CO13" s="1809"/>
      <c r="CP13" s="1809"/>
      <c r="CQ13" s="1809"/>
      <c r="CR13" s="1809"/>
      <c r="CS13" s="1809"/>
      <c r="CT13" s="1809"/>
      <c r="CU13" s="1809"/>
      <c r="CV13" s="1809"/>
      <c r="CW13" s="1809"/>
      <c r="CX13" s="1809"/>
      <c r="CY13" s="1809"/>
      <c r="CZ13" s="1809"/>
      <c r="DA13" s="1809"/>
      <c r="DB13" s="1809"/>
      <c r="DC13" s="1809"/>
      <c r="DD13" s="1809"/>
      <c r="DE13" s="1809"/>
      <c r="DF13" s="1809"/>
      <c r="DG13" s="1809"/>
      <c r="DH13" s="1809"/>
      <c r="DI13" s="1809"/>
      <c r="DJ13" s="1809"/>
      <c r="DK13" s="1809"/>
      <c r="DL13" s="1809"/>
      <c r="DM13" s="1809"/>
      <c r="DN13" s="1809"/>
      <c r="DO13" s="1809"/>
      <c r="DP13" s="1809"/>
      <c r="DQ13" s="1809"/>
      <c r="DR13" s="1809"/>
      <c r="DS13" s="1809"/>
      <c r="DT13" s="1809"/>
      <c r="DU13" s="1809"/>
      <c r="DV13" s="1809"/>
      <c r="DW13" s="1809"/>
      <c r="DX13" s="1809"/>
      <c r="DY13" s="1809"/>
      <c r="DZ13" s="1809"/>
      <c r="EA13" s="1809"/>
      <c r="EB13" s="1809"/>
      <c r="EC13" s="1809"/>
      <c r="ED13" s="1809"/>
      <c r="EE13" s="1809"/>
      <c r="EF13" s="1809"/>
      <c r="EG13" s="1809"/>
      <c r="EH13" s="1809"/>
      <c r="EI13" s="1809"/>
      <c r="EJ13" s="1809"/>
      <c r="EK13" s="1809"/>
      <c r="EL13" s="1809"/>
      <c r="EM13" s="1809"/>
      <c r="EN13" s="1809"/>
      <c r="EO13" s="1809"/>
      <c r="EP13" s="1809"/>
      <c r="EQ13" s="1809"/>
      <c r="ER13" s="1809"/>
      <c r="ES13" s="1809"/>
      <c r="ET13" s="1809"/>
      <c r="EU13" s="1809"/>
      <c r="EV13" s="1809"/>
      <c r="EW13" s="1809"/>
      <c r="EX13" s="1809"/>
      <c r="EY13" s="1809"/>
      <c r="EZ13" s="1809"/>
      <c r="FA13" s="1809"/>
      <c r="FB13" s="1809"/>
      <c r="FC13" s="1809"/>
      <c r="FD13" s="1809"/>
      <c r="FE13" s="1809"/>
      <c r="FF13" s="1809"/>
      <c r="FG13" s="1809"/>
      <c r="FH13" s="1809"/>
      <c r="FI13" s="1809"/>
      <c r="FJ13" s="1809"/>
      <c r="FK13" s="1809"/>
      <c r="FL13" s="1809"/>
      <c r="FM13" s="1809"/>
      <c r="FN13" s="1809"/>
      <c r="FO13" s="1809"/>
      <c r="FP13" s="1809"/>
      <c r="FQ13" s="1809"/>
      <c r="FR13" s="1809"/>
      <c r="FS13" s="1809"/>
      <c r="FT13" s="1809"/>
    </row>
    <row r="14" spans="2:176" s="1756" customFormat="1" ht="15" customHeight="1" x14ac:dyDescent="0.2">
      <c r="C14" s="1810"/>
      <c r="D14" s="1810"/>
      <c r="N14" s="1810"/>
      <c r="O14" s="1827"/>
      <c r="P14" s="1810"/>
      <c r="Q14" s="1735" t="str">
        <f>TEXT(Q15,"DDDD")</f>
        <v>الإثنين</v>
      </c>
      <c r="R14" s="1735" t="str">
        <f t="shared" ref="R14:W14" si="41">TEXT(R15,"DDDD")</f>
        <v>الثلاثاء</v>
      </c>
      <c r="S14" s="1735" t="str">
        <f t="shared" si="41"/>
        <v>الأربعاء</v>
      </c>
      <c r="T14" s="1735" t="str">
        <f t="shared" si="41"/>
        <v>الخميس</v>
      </c>
      <c r="U14" s="1728" t="str">
        <f t="shared" si="41"/>
        <v>الجمعة</v>
      </c>
      <c r="V14" s="1735" t="str">
        <f t="shared" si="41"/>
        <v>السبت</v>
      </c>
      <c r="W14" s="1735" t="str">
        <f t="shared" si="41"/>
        <v>الأحد</v>
      </c>
      <c r="X14" s="3271"/>
      <c r="Y14" s="1771"/>
      <c r="Z14" s="1815"/>
      <c r="AA14" s="1816"/>
      <c r="AB14" s="1764"/>
      <c r="AC14" s="1735" t="str">
        <f>TEXT(AC15,"DDDD")</f>
        <v>الإثنين</v>
      </c>
      <c r="AD14" s="1735" t="str">
        <f t="shared" ref="AD14:AI14" si="42">TEXT(AD15,"DDDD")</f>
        <v>الثلاثاء</v>
      </c>
      <c r="AE14" s="1735" t="str">
        <f t="shared" si="42"/>
        <v>الأربعاء</v>
      </c>
      <c r="AF14" s="1735" t="str">
        <f t="shared" si="42"/>
        <v>الخميس</v>
      </c>
      <c r="AG14" s="1728" t="str">
        <f t="shared" si="42"/>
        <v>الجمعة</v>
      </c>
      <c r="AH14" s="1735" t="str">
        <f t="shared" si="42"/>
        <v>السبت</v>
      </c>
      <c r="AI14" s="1735" t="str">
        <f t="shared" si="42"/>
        <v>الأحد</v>
      </c>
      <c r="AJ14" s="1764"/>
      <c r="AK14" s="1771"/>
      <c r="AL14" s="1815"/>
      <c r="AM14" s="1829"/>
      <c r="AN14" s="1764"/>
      <c r="AO14" s="1735" t="str">
        <f>TEXT(AO15,"DDDD")</f>
        <v>الإثنين</v>
      </c>
      <c r="AP14" s="1735" t="str">
        <f t="shared" ref="AP14:AU14" si="43">TEXT(AP15,"DDDD")</f>
        <v>الثلاثاء</v>
      </c>
      <c r="AQ14" s="1735" t="str">
        <f t="shared" si="43"/>
        <v>الأربعاء</v>
      </c>
      <c r="AR14" s="1735" t="str">
        <f t="shared" si="43"/>
        <v>الخميس</v>
      </c>
      <c r="AS14" s="1728" t="str">
        <f t="shared" si="43"/>
        <v>الجمعة</v>
      </c>
      <c r="AT14" s="1735" t="str">
        <f t="shared" si="43"/>
        <v>السبت</v>
      </c>
      <c r="AU14" s="1735" t="str">
        <f t="shared" si="43"/>
        <v>الأحد</v>
      </c>
      <c r="AV14" s="2289"/>
      <c r="AW14" s="1771"/>
      <c r="AX14" s="1815"/>
      <c r="AY14" s="1816"/>
      <c r="AZ14" s="2289"/>
      <c r="BA14" s="1735" t="str">
        <f>TEXT(BA15,"DDDD")</f>
        <v>الإثنين</v>
      </c>
      <c r="BB14" s="1735" t="str">
        <f t="shared" ref="BB14:BG14" si="44">TEXT(BB15,"DDDD")</f>
        <v>الثلاثاء</v>
      </c>
      <c r="BC14" s="1735" t="str">
        <f t="shared" si="44"/>
        <v>الأربعاء</v>
      </c>
      <c r="BD14" s="1735" t="str">
        <f t="shared" si="44"/>
        <v>الخميس</v>
      </c>
      <c r="BE14" s="1728" t="str">
        <f t="shared" si="44"/>
        <v>الجمعة</v>
      </c>
      <c r="BF14" s="1735" t="str">
        <f t="shared" si="44"/>
        <v>السبت</v>
      </c>
      <c r="BG14" s="1735" t="str">
        <f t="shared" si="44"/>
        <v>الأحد</v>
      </c>
      <c r="BH14" s="2289"/>
      <c r="BI14" s="1771"/>
      <c r="BJ14" s="1815"/>
      <c r="BK14" s="1816"/>
      <c r="BL14" s="3271"/>
      <c r="BM14" s="1735" t="str">
        <f>TEXT(BM15,"DDDD")</f>
        <v>الإثنين</v>
      </c>
      <c r="BN14" s="1735" t="str">
        <f t="shared" ref="BN14" si="45">TEXT(BN15,"DDDD")</f>
        <v>الثلاثاء</v>
      </c>
      <c r="BO14" s="3271"/>
      <c r="BP14" s="1771"/>
      <c r="BQ14" s="1815"/>
      <c r="BR14" s="1816"/>
      <c r="BT14" s="4614"/>
      <c r="BU14" s="4580"/>
      <c r="BW14" s="3271"/>
      <c r="BX14" s="1830"/>
      <c r="BY14" s="1830"/>
      <c r="BZ14" s="1818"/>
      <c r="CA14" s="3247"/>
      <c r="CB14" s="2742">
        <f>BX5-BW1</f>
        <v>0.77341095513516278</v>
      </c>
      <c r="CC14" s="4607"/>
      <c r="CD14" s="4608" t="s">
        <v>101</v>
      </c>
      <c r="CE14" s="1831"/>
      <c r="CF14" s="1832"/>
      <c r="CG14" s="1832" t="s">
        <v>252</v>
      </c>
      <c r="CH14" s="1833"/>
      <c r="CI14" s="1776"/>
      <c r="CJ14" s="1776"/>
      <c r="CK14" s="1776"/>
      <c r="CL14" s="1834"/>
      <c r="CM14" s="1776"/>
      <c r="CN14" s="1776"/>
      <c r="CO14" s="1776"/>
      <c r="CP14" s="1776"/>
      <c r="CQ14" s="1776"/>
      <c r="CR14" s="1776"/>
      <c r="CS14" s="1776"/>
      <c r="CT14" s="1776"/>
      <c r="CU14" s="1776"/>
      <c r="CV14" s="1776"/>
      <c r="CW14" s="1776"/>
      <c r="CX14" s="1776"/>
      <c r="CY14" s="1776"/>
      <c r="CZ14" s="1776"/>
      <c r="DA14" s="1776"/>
      <c r="DB14" s="1776"/>
      <c r="DC14" s="1776"/>
      <c r="DD14" s="1776"/>
      <c r="DE14" s="1776"/>
      <c r="DF14" s="1776"/>
      <c r="DG14" s="1776"/>
      <c r="DH14" s="1776"/>
      <c r="DI14" s="1776"/>
      <c r="DJ14" s="1776"/>
      <c r="DK14" s="1776"/>
      <c r="DL14" s="1776"/>
      <c r="DM14" s="1776"/>
      <c r="DN14" s="1776"/>
      <c r="DO14" s="1776"/>
      <c r="DP14" s="1776"/>
      <c r="DQ14" s="1776"/>
      <c r="DR14" s="1776"/>
      <c r="DS14" s="1776"/>
      <c r="DT14" s="1776"/>
      <c r="DU14" s="1776"/>
      <c r="DV14" s="1776"/>
      <c r="DW14" s="1776"/>
      <c r="DX14" s="1776"/>
      <c r="DY14" s="1776"/>
      <c r="DZ14" s="1776"/>
      <c r="EA14" s="1776"/>
      <c r="EB14" s="1776"/>
      <c r="EC14" s="1776"/>
      <c r="ED14" s="1776"/>
      <c r="EE14" s="1776"/>
      <c r="EF14" s="1776"/>
      <c r="EG14" s="1776"/>
      <c r="EH14" s="1776"/>
      <c r="EI14" s="1776"/>
      <c r="EJ14" s="1776"/>
      <c r="EK14" s="1776"/>
      <c r="EL14" s="1776"/>
      <c r="EM14" s="1776"/>
      <c r="EN14" s="1776"/>
      <c r="EO14" s="1776"/>
      <c r="EP14" s="1776"/>
      <c r="EQ14" s="1776"/>
      <c r="ER14" s="1776"/>
      <c r="ES14" s="1776"/>
      <c r="ET14" s="1776"/>
      <c r="EU14" s="1776"/>
      <c r="EV14" s="1776"/>
      <c r="EW14" s="1776"/>
      <c r="EX14" s="1776"/>
      <c r="EY14" s="1776"/>
      <c r="EZ14" s="1776"/>
      <c r="FA14" s="1776"/>
      <c r="FB14" s="1776"/>
      <c r="FC14" s="1776"/>
      <c r="FD14" s="1776"/>
      <c r="FE14" s="1776"/>
      <c r="FF14" s="1776"/>
      <c r="FG14" s="1776"/>
      <c r="FH14" s="1776"/>
      <c r="FI14" s="1776"/>
      <c r="FJ14" s="1776"/>
      <c r="FK14" s="1776"/>
      <c r="FL14" s="1776"/>
      <c r="FM14" s="1776"/>
      <c r="FN14" s="1776"/>
      <c r="FO14" s="1776"/>
      <c r="FP14" s="1776"/>
      <c r="FQ14" s="1776"/>
      <c r="FR14" s="1776"/>
      <c r="FS14" s="1776"/>
      <c r="FT14" s="1776"/>
    </row>
    <row r="15" spans="2:176" s="1777" customFormat="1" ht="18.75" thickBot="1" x14ac:dyDescent="0.25">
      <c r="B15" s="1835" t="s">
        <v>0</v>
      </c>
      <c r="C15" s="1836" t="s">
        <v>1</v>
      </c>
      <c r="D15" s="1744"/>
      <c r="E15" s="1836" t="s">
        <v>24</v>
      </c>
      <c r="F15" s="1837" t="s">
        <v>108</v>
      </c>
      <c r="G15" s="1838" t="s">
        <v>109</v>
      </c>
      <c r="H15" s="1839" t="s">
        <v>110</v>
      </c>
      <c r="I15" s="1840" t="s">
        <v>111</v>
      </c>
      <c r="J15" s="1836"/>
      <c r="K15" s="1841" t="s">
        <v>107</v>
      </c>
      <c r="L15" s="1841"/>
      <c r="M15" s="1841"/>
      <c r="N15" s="1836" t="s">
        <v>2</v>
      </c>
      <c r="O15" s="1842"/>
      <c r="P15" s="1800"/>
      <c r="Q15" s="3130">
        <v>43983</v>
      </c>
      <c r="R15" s="3130">
        <v>43984</v>
      </c>
      <c r="S15" s="3130">
        <v>43985</v>
      </c>
      <c r="T15" s="3130">
        <v>43986</v>
      </c>
      <c r="U15" s="3130">
        <v>43987</v>
      </c>
      <c r="V15" s="3130">
        <v>43988</v>
      </c>
      <c r="W15" s="3130">
        <v>43989</v>
      </c>
      <c r="X15" s="1843"/>
      <c r="Y15" s="1844"/>
      <c r="Z15" s="1845"/>
      <c r="AA15" s="1846"/>
      <c r="AB15" s="1847"/>
      <c r="AC15" s="3130">
        <v>43990</v>
      </c>
      <c r="AD15" s="3130">
        <v>43991</v>
      </c>
      <c r="AE15" s="3130">
        <v>43992</v>
      </c>
      <c r="AF15" s="3130">
        <v>43993</v>
      </c>
      <c r="AG15" s="3548">
        <v>43994</v>
      </c>
      <c r="AH15" s="3130">
        <v>43995</v>
      </c>
      <c r="AI15" s="3130">
        <v>43996</v>
      </c>
      <c r="AJ15" s="1744"/>
      <c r="AK15" s="1844"/>
      <c r="AL15" s="1845"/>
      <c r="AM15" s="1846"/>
      <c r="AN15" s="1744"/>
      <c r="AO15" s="3130">
        <v>43997</v>
      </c>
      <c r="AP15" s="3130">
        <v>43998</v>
      </c>
      <c r="AQ15" s="3130">
        <v>43999</v>
      </c>
      <c r="AR15" s="3130">
        <v>44000</v>
      </c>
      <c r="AS15" s="3548">
        <v>44001</v>
      </c>
      <c r="AT15" s="3130">
        <v>44002</v>
      </c>
      <c r="AU15" s="3130">
        <v>44003</v>
      </c>
      <c r="AV15" s="2291"/>
      <c r="AW15" s="1844"/>
      <c r="AX15" s="1845"/>
      <c r="AY15" s="1846"/>
      <c r="AZ15" s="2291"/>
      <c r="BA15" s="3130">
        <v>44004</v>
      </c>
      <c r="BB15" s="3130">
        <v>44005</v>
      </c>
      <c r="BC15" s="3130">
        <v>44006</v>
      </c>
      <c r="BD15" s="3130">
        <v>44007</v>
      </c>
      <c r="BE15" s="3548">
        <v>44008</v>
      </c>
      <c r="BF15" s="3130">
        <v>44009</v>
      </c>
      <c r="BG15" s="3130">
        <v>44010</v>
      </c>
      <c r="BH15" s="2291"/>
      <c r="BI15" s="1844"/>
      <c r="BJ15" s="1845"/>
      <c r="BK15" s="1846"/>
      <c r="BL15" s="1806"/>
      <c r="BM15" s="3130">
        <v>44011</v>
      </c>
      <c r="BN15" s="3130">
        <v>44012</v>
      </c>
      <c r="BO15" s="1806"/>
      <c r="BP15" s="1844"/>
      <c r="BQ15" s="1845"/>
      <c r="BR15" s="1846"/>
      <c r="BT15" s="4615"/>
      <c r="BU15" s="4581"/>
      <c r="BW15" s="1835" t="s">
        <v>7</v>
      </c>
      <c r="BX15" s="1835" t="s">
        <v>2</v>
      </c>
      <c r="BY15" s="1806"/>
      <c r="BZ15" s="1806"/>
      <c r="CA15" s="1795"/>
      <c r="CB15" s="2743">
        <f>BX7-BW1</f>
        <v>0.88770863840690228</v>
      </c>
      <c r="CC15" s="4607"/>
      <c r="CD15" s="4608"/>
      <c r="CE15" s="3178"/>
      <c r="CF15" s="1799"/>
      <c r="CG15" s="1799"/>
      <c r="CH15" s="1799"/>
      <c r="CI15" s="1799"/>
      <c r="CJ15" s="1799"/>
      <c r="CK15" s="1799"/>
      <c r="CL15" s="1799"/>
      <c r="CM15" s="1799"/>
      <c r="CN15" s="1799"/>
      <c r="CO15" s="1799"/>
      <c r="CP15" s="1799"/>
      <c r="CQ15" s="1799"/>
      <c r="CR15" s="1799"/>
      <c r="CS15" s="1799"/>
      <c r="CT15" s="1799"/>
      <c r="CU15" s="1799"/>
      <c r="CV15" s="1799"/>
      <c r="CW15" s="1799"/>
      <c r="CX15" s="1799"/>
      <c r="CY15" s="1799"/>
      <c r="CZ15" s="1799"/>
      <c r="DA15" s="1799"/>
      <c r="DB15" s="1799"/>
      <c r="DC15" s="1799"/>
      <c r="DD15" s="1799"/>
      <c r="DE15" s="1799"/>
      <c r="DF15" s="1799"/>
      <c r="DG15" s="1799"/>
      <c r="DH15" s="1799"/>
      <c r="DI15" s="1799"/>
      <c r="DJ15" s="1799"/>
      <c r="DK15" s="1799"/>
      <c r="DL15" s="1799"/>
      <c r="DM15" s="1799"/>
      <c r="DN15" s="1799"/>
      <c r="DO15" s="1799"/>
      <c r="DP15" s="1799"/>
      <c r="DQ15" s="1799"/>
      <c r="DR15" s="1799"/>
      <c r="DS15" s="1799"/>
      <c r="DT15" s="1799"/>
      <c r="DU15" s="1799"/>
      <c r="DV15" s="1799"/>
      <c r="DW15" s="1799"/>
      <c r="DX15" s="1799"/>
      <c r="DY15" s="1799"/>
      <c r="DZ15" s="1799"/>
      <c r="EA15" s="1799"/>
      <c r="EB15" s="1799"/>
      <c r="EC15" s="1799"/>
      <c r="ED15" s="1799"/>
      <c r="EE15" s="1799"/>
      <c r="EF15" s="1799"/>
      <c r="EG15" s="1799"/>
      <c r="EH15" s="1799"/>
      <c r="EI15" s="1799"/>
      <c r="EJ15" s="1799"/>
      <c r="EK15" s="1799"/>
      <c r="EL15" s="1799"/>
      <c r="EM15" s="1799"/>
      <c r="EN15" s="1799"/>
      <c r="EO15" s="1799"/>
      <c r="EP15" s="1799"/>
      <c r="EQ15" s="1799"/>
      <c r="ER15" s="1799"/>
      <c r="ES15" s="1799"/>
      <c r="ET15" s="1799"/>
      <c r="EU15" s="1799"/>
      <c r="EV15" s="1799"/>
      <c r="EW15" s="1799"/>
      <c r="EX15" s="1799"/>
      <c r="EY15" s="1799"/>
      <c r="EZ15" s="1799"/>
      <c r="FA15" s="1799"/>
      <c r="FB15" s="1799"/>
      <c r="FC15" s="1799"/>
      <c r="FD15" s="1799"/>
      <c r="FE15" s="1799"/>
      <c r="FF15" s="1799"/>
      <c r="FG15" s="1799"/>
      <c r="FH15" s="1799"/>
      <c r="FI15" s="1799"/>
      <c r="FJ15" s="1799"/>
      <c r="FK15" s="1799"/>
      <c r="FL15" s="1799"/>
      <c r="FM15" s="1799"/>
      <c r="FN15" s="1799"/>
      <c r="FO15" s="1799"/>
      <c r="FP15" s="1799"/>
      <c r="FQ15" s="1799"/>
      <c r="FR15" s="1799"/>
      <c r="FS15" s="1799"/>
      <c r="FT15" s="1799"/>
    </row>
    <row r="16" spans="2:176" s="1777" customFormat="1" ht="18" x14ac:dyDescent="0.2">
      <c r="B16" s="1806"/>
      <c r="C16" s="1800"/>
      <c r="D16" s="1800"/>
      <c r="E16" s="1800"/>
      <c r="F16" s="1849"/>
      <c r="G16" s="1850"/>
      <c r="H16" s="1851"/>
      <c r="I16" s="1852"/>
      <c r="J16" s="4119"/>
      <c r="K16" s="1800"/>
      <c r="L16" s="4119"/>
      <c r="M16" s="4119"/>
      <c r="N16" s="1800"/>
      <c r="O16" s="1842"/>
      <c r="P16" s="1800"/>
      <c r="Q16" s="3131">
        <f>WEEKDAY(Q15,2)</f>
        <v>1</v>
      </c>
      <c r="R16" s="3131">
        <f t="shared" ref="R16:W16" si="46">WEEKDAY(R15,2)</f>
        <v>2</v>
      </c>
      <c r="S16" s="3131">
        <f t="shared" si="46"/>
        <v>3</v>
      </c>
      <c r="T16" s="3131">
        <f t="shared" si="46"/>
        <v>4</v>
      </c>
      <c r="U16" s="3131">
        <f t="shared" si="46"/>
        <v>5</v>
      </c>
      <c r="V16" s="3131">
        <f t="shared" si="46"/>
        <v>6</v>
      </c>
      <c r="W16" s="3131">
        <f t="shared" si="46"/>
        <v>7</v>
      </c>
      <c r="X16" s="1806"/>
      <c r="Y16" s="1806"/>
      <c r="Z16" s="1806"/>
      <c r="AA16" s="1806"/>
      <c r="AB16" s="1800"/>
      <c r="AC16" s="1835">
        <f>WEEKDAY(AC15,2)</f>
        <v>1</v>
      </c>
      <c r="AD16" s="1835">
        <f t="shared" ref="AD16:AI16" si="47">WEEKDAY(AD15,2)</f>
        <v>2</v>
      </c>
      <c r="AE16" s="1835">
        <f t="shared" si="47"/>
        <v>3</v>
      </c>
      <c r="AF16" s="1835">
        <f t="shared" si="47"/>
        <v>4</v>
      </c>
      <c r="AG16" s="1987">
        <f t="shared" si="47"/>
        <v>5</v>
      </c>
      <c r="AH16" s="1835">
        <f t="shared" si="47"/>
        <v>6</v>
      </c>
      <c r="AI16" s="1835">
        <f t="shared" si="47"/>
        <v>7</v>
      </c>
      <c r="AJ16" s="1800"/>
      <c r="AK16" s="1806"/>
      <c r="AL16" s="1806"/>
      <c r="AM16" s="1806"/>
      <c r="AN16" s="1800"/>
      <c r="AO16" s="1835">
        <f>WEEKDAY(AO15,2)</f>
        <v>1</v>
      </c>
      <c r="AP16" s="1835">
        <f t="shared" ref="AP16:AU16" si="48">WEEKDAY(AP15,2)</f>
        <v>2</v>
      </c>
      <c r="AQ16" s="1835">
        <f t="shared" si="48"/>
        <v>3</v>
      </c>
      <c r="AR16" s="1835">
        <f t="shared" si="48"/>
        <v>4</v>
      </c>
      <c r="AS16" s="1987">
        <f t="shared" si="48"/>
        <v>5</v>
      </c>
      <c r="AT16" s="1835">
        <f t="shared" si="48"/>
        <v>6</v>
      </c>
      <c r="AU16" s="1835">
        <f t="shared" si="48"/>
        <v>7</v>
      </c>
      <c r="AV16" s="1806"/>
      <c r="AW16" s="1806"/>
      <c r="AX16" s="1806"/>
      <c r="AY16" s="1806"/>
      <c r="AZ16" s="1806"/>
      <c r="BA16" s="1835">
        <f>WEEKDAY(BA15,2)</f>
        <v>1</v>
      </c>
      <c r="BB16" s="1835">
        <f t="shared" ref="BB16:BG16" si="49">WEEKDAY(BB15,2)</f>
        <v>2</v>
      </c>
      <c r="BC16" s="1835">
        <f t="shared" si="49"/>
        <v>3</v>
      </c>
      <c r="BD16" s="1835">
        <f t="shared" si="49"/>
        <v>4</v>
      </c>
      <c r="BE16" s="1987">
        <f t="shared" si="49"/>
        <v>5</v>
      </c>
      <c r="BF16" s="1835">
        <f t="shared" si="49"/>
        <v>6</v>
      </c>
      <c r="BG16" s="4193">
        <f t="shared" si="49"/>
        <v>7</v>
      </c>
      <c r="BH16" s="1806"/>
      <c r="BI16" s="1806"/>
      <c r="BJ16" s="1806"/>
      <c r="BK16" s="1806"/>
      <c r="BL16" s="1806"/>
      <c r="BM16" s="1835">
        <f>WEEKDAY(BM15,2)</f>
        <v>1</v>
      </c>
      <c r="BN16" s="1835">
        <f>WEEKDAY(BN15,2)</f>
        <v>2</v>
      </c>
      <c r="BO16" s="1806"/>
      <c r="BP16" s="1806"/>
      <c r="BQ16" s="1806"/>
      <c r="BR16" s="1806"/>
      <c r="BT16" s="1853"/>
      <c r="BU16" s="1854"/>
      <c r="BW16" s="1806"/>
      <c r="BX16" s="1806"/>
      <c r="BY16" s="1806"/>
      <c r="BZ16" s="1806"/>
      <c r="CA16" s="1795"/>
      <c r="CB16" s="3132"/>
      <c r="CC16" s="3247"/>
      <c r="CD16" s="1806"/>
      <c r="CE16" s="1806"/>
      <c r="CF16" s="1800"/>
      <c r="CG16" s="1800"/>
      <c r="CH16" s="1800"/>
      <c r="CI16" s="1800"/>
      <c r="CJ16" s="1800"/>
      <c r="CK16" s="1800"/>
      <c r="CL16" s="1800"/>
      <c r="CM16" s="1800"/>
      <c r="CN16" s="1800"/>
      <c r="CO16" s="1800"/>
      <c r="CP16" s="1800"/>
      <c r="CQ16" s="1800"/>
      <c r="CR16" s="1800"/>
      <c r="CS16" s="1800"/>
      <c r="CT16" s="1800"/>
      <c r="CU16" s="1800"/>
      <c r="CV16" s="1800"/>
      <c r="CW16" s="1800"/>
      <c r="CX16" s="1800"/>
      <c r="CY16" s="1800"/>
      <c r="CZ16" s="1800"/>
      <c r="DA16" s="1800"/>
      <c r="DB16" s="1800"/>
      <c r="DC16" s="1800"/>
      <c r="DD16" s="1800"/>
      <c r="DE16" s="1800"/>
      <c r="DF16" s="1800"/>
      <c r="DG16" s="1800"/>
      <c r="DH16" s="1800"/>
      <c r="DI16" s="1800"/>
      <c r="DJ16" s="1800"/>
      <c r="DK16" s="1800"/>
      <c r="DL16" s="1800"/>
      <c r="DM16" s="1800"/>
      <c r="DN16" s="1800"/>
      <c r="DO16" s="1800"/>
      <c r="DP16" s="1800"/>
      <c r="DQ16" s="1800"/>
      <c r="DR16" s="1800"/>
      <c r="DS16" s="1800"/>
      <c r="DT16" s="1800"/>
      <c r="DU16" s="1800"/>
      <c r="DV16" s="1800"/>
      <c r="DW16" s="1800"/>
      <c r="DX16" s="1800"/>
      <c r="DY16" s="1800"/>
      <c r="DZ16" s="1800"/>
      <c r="EA16" s="1800"/>
      <c r="EB16" s="1800"/>
      <c r="EC16" s="1800"/>
      <c r="ED16" s="1800"/>
      <c r="EE16" s="1800"/>
      <c r="EF16" s="1800"/>
      <c r="EG16" s="1800"/>
      <c r="EH16" s="1800"/>
      <c r="EI16" s="1800"/>
      <c r="EJ16" s="1800"/>
      <c r="EK16" s="1800"/>
      <c r="EL16" s="1800"/>
      <c r="EM16" s="1800"/>
      <c r="EN16" s="1800"/>
      <c r="EO16" s="1800"/>
      <c r="EP16" s="1800"/>
      <c r="EQ16" s="1800"/>
      <c r="ER16" s="1800"/>
      <c r="ES16" s="1800"/>
      <c r="ET16" s="1800"/>
      <c r="EU16" s="1800"/>
      <c r="EV16" s="1800"/>
      <c r="EW16" s="1800"/>
      <c r="EX16" s="1800"/>
      <c r="EY16" s="1800"/>
      <c r="EZ16" s="1800"/>
      <c r="FA16" s="1800"/>
      <c r="FB16" s="1800"/>
      <c r="FC16" s="1800"/>
      <c r="FD16" s="1800"/>
      <c r="FE16" s="1800"/>
      <c r="FF16" s="1800"/>
      <c r="FG16" s="1800"/>
      <c r="FH16" s="1800"/>
      <c r="FI16" s="1800"/>
      <c r="FJ16" s="1800"/>
      <c r="FK16" s="1800"/>
      <c r="FL16" s="1800"/>
      <c r="FM16" s="1800"/>
      <c r="FN16" s="1800"/>
      <c r="FO16" s="1800"/>
      <c r="FP16" s="1800"/>
      <c r="FQ16" s="1800"/>
      <c r="FR16" s="1800"/>
      <c r="FS16" s="1800"/>
      <c r="FT16" s="1800"/>
    </row>
    <row r="17" spans="1:176" s="1777" customFormat="1" ht="4.5" customHeight="1" thickBot="1" x14ac:dyDescent="0.25">
      <c r="B17" s="1806"/>
      <c r="C17" s="1800"/>
      <c r="D17" s="1800"/>
      <c r="E17" s="1800"/>
      <c r="F17" s="1849"/>
      <c r="G17" s="1850"/>
      <c r="H17" s="1851"/>
      <c r="I17" s="1852"/>
      <c r="J17" s="4119"/>
      <c r="K17" s="1800"/>
      <c r="L17" s="4119"/>
      <c r="M17" s="4119"/>
      <c r="N17" s="1800"/>
      <c r="O17" s="1842"/>
      <c r="P17" s="1800"/>
      <c r="Q17" s="1806"/>
      <c r="R17" s="1806"/>
      <c r="S17" s="1806"/>
      <c r="T17" s="1806"/>
      <c r="U17" s="1806"/>
      <c r="V17" s="1806"/>
      <c r="W17" s="1806"/>
      <c r="X17" s="1806"/>
      <c r="Y17" s="1806"/>
      <c r="Z17" s="1806"/>
      <c r="AA17" s="1806"/>
      <c r="AB17" s="1800"/>
      <c r="AC17" s="1806"/>
      <c r="AD17" s="1806"/>
      <c r="AE17" s="1806"/>
      <c r="AF17" s="1806"/>
      <c r="AG17" s="1806"/>
      <c r="AH17" s="1806"/>
      <c r="AI17" s="1806"/>
      <c r="AJ17" s="1800"/>
      <c r="AK17" s="1806"/>
      <c r="AL17" s="1806"/>
      <c r="AM17" s="1806"/>
      <c r="AN17" s="1800"/>
      <c r="AO17" s="1806"/>
      <c r="AP17" s="1806"/>
      <c r="AQ17" s="1806"/>
      <c r="AR17" s="1806"/>
      <c r="AS17" s="1806"/>
      <c r="AT17" s="1806"/>
      <c r="AU17" s="1806"/>
      <c r="AV17" s="1806"/>
      <c r="AW17" s="1806"/>
      <c r="AX17" s="1806"/>
      <c r="AY17" s="1806"/>
      <c r="AZ17" s="1806"/>
      <c r="BA17" s="1806"/>
      <c r="BB17" s="1806"/>
      <c r="BC17" s="1806"/>
      <c r="BD17" s="1806"/>
      <c r="BE17" s="1806"/>
      <c r="BF17" s="1806"/>
      <c r="BG17" s="1806"/>
      <c r="BH17" s="1806"/>
      <c r="BI17" s="1806"/>
      <c r="BJ17" s="1806"/>
      <c r="BK17" s="1806"/>
      <c r="BL17" s="1806"/>
      <c r="BM17" s="1806"/>
      <c r="BN17" s="1806"/>
      <c r="BO17" s="1806"/>
      <c r="BP17" s="1806"/>
      <c r="BQ17" s="1806"/>
      <c r="BR17" s="1806"/>
      <c r="BT17" s="1853"/>
      <c r="BU17" s="1854"/>
      <c r="BW17" s="1800"/>
      <c r="BX17" s="1800"/>
      <c r="BY17" s="1800"/>
      <c r="BZ17" s="1800"/>
      <c r="CB17" s="1922"/>
      <c r="CC17" s="1800"/>
      <c r="CD17" s="1800"/>
      <c r="CE17" s="1800"/>
      <c r="CF17" s="1800"/>
      <c r="CG17" s="1800"/>
      <c r="CH17" s="1800"/>
      <c r="CI17" s="1800"/>
      <c r="CJ17" s="1800"/>
      <c r="CK17" s="1800"/>
      <c r="CL17" s="1800"/>
      <c r="CM17" s="1800"/>
      <c r="CN17" s="1800"/>
      <c r="CO17" s="1800"/>
      <c r="CP17" s="1800"/>
      <c r="CQ17" s="1800"/>
      <c r="CR17" s="1800"/>
      <c r="CS17" s="1800"/>
      <c r="CT17" s="1800"/>
      <c r="CU17" s="1800"/>
      <c r="CV17" s="1800"/>
      <c r="CW17" s="1800"/>
      <c r="CX17" s="1800"/>
      <c r="CY17" s="1800"/>
      <c r="CZ17" s="1800"/>
      <c r="DA17" s="1800"/>
      <c r="DB17" s="1800"/>
      <c r="DC17" s="1800"/>
      <c r="DD17" s="1800"/>
      <c r="DE17" s="1800"/>
      <c r="DF17" s="1800"/>
      <c r="DG17" s="1800"/>
      <c r="DH17" s="1800"/>
      <c r="DI17" s="1800"/>
      <c r="DJ17" s="1800"/>
      <c r="DK17" s="1800"/>
      <c r="DL17" s="1800"/>
      <c r="DM17" s="1800"/>
      <c r="DN17" s="1800"/>
      <c r="DO17" s="1800"/>
      <c r="DP17" s="1800"/>
      <c r="DQ17" s="1800"/>
      <c r="DR17" s="1800"/>
      <c r="DS17" s="1800"/>
      <c r="DT17" s="1800"/>
      <c r="DU17" s="1800"/>
      <c r="DV17" s="1800"/>
      <c r="DW17" s="1800"/>
      <c r="DX17" s="1800"/>
      <c r="DY17" s="1800"/>
      <c r="DZ17" s="1800"/>
      <c r="EA17" s="1800"/>
      <c r="EB17" s="1800"/>
      <c r="EC17" s="1800"/>
      <c r="ED17" s="1800"/>
      <c r="EE17" s="1800"/>
      <c r="EF17" s="1800"/>
      <c r="EG17" s="1800"/>
      <c r="EH17" s="1800"/>
      <c r="EI17" s="1800"/>
      <c r="EJ17" s="1800"/>
      <c r="EK17" s="1800"/>
      <c r="EL17" s="1800"/>
      <c r="EM17" s="1800"/>
      <c r="EN17" s="1800"/>
      <c r="EO17" s="1800"/>
      <c r="EP17" s="1800"/>
      <c r="EQ17" s="1800"/>
      <c r="ER17" s="1800"/>
      <c r="ES17" s="1800"/>
      <c r="ET17" s="1800"/>
      <c r="EU17" s="1800"/>
      <c r="EV17" s="1800"/>
      <c r="EW17" s="1800"/>
      <c r="EX17" s="1800"/>
      <c r="EY17" s="1800"/>
      <c r="EZ17" s="1800"/>
      <c r="FA17" s="1800"/>
      <c r="FB17" s="1800"/>
      <c r="FC17" s="1800"/>
      <c r="FD17" s="1800"/>
      <c r="FE17" s="1800"/>
      <c r="FF17" s="1800"/>
      <c r="FG17" s="1800"/>
      <c r="FH17" s="1800"/>
      <c r="FI17" s="1800"/>
      <c r="FJ17" s="1800"/>
      <c r="FK17" s="1800"/>
      <c r="FL17" s="1800"/>
      <c r="FM17" s="1800"/>
      <c r="FN17" s="1800"/>
      <c r="FO17" s="1800"/>
      <c r="FP17" s="1800"/>
      <c r="FQ17" s="1800"/>
      <c r="FR17" s="1800"/>
      <c r="FS17" s="1800"/>
      <c r="FT17" s="1800"/>
    </row>
    <row r="18" spans="1:176" s="1777" customFormat="1" ht="21" customHeight="1" thickTop="1" x14ac:dyDescent="0.2">
      <c r="B18" s="1806"/>
      <c r="C18" s="4119"/>
      <c r="D18" s="4119"/>
      <c r="E18" s="1728"/>
      <c r="F18" s="1728"/>
      <c r="G18" s="1728"/>
      <c r="H18" s="1728"/>
      <c r="I18" s="4138"/>
      <c r="J18" s="4690" t="s">
        <v>291</v>
      </c>
      <c r="K18" s="4691"/>
      <c r="L18" s="4688" t="s">
        <v>294</v>
      </c>
      <c r="M18" s="4689"/>
      <c r="N18" s="4153"/>
      <c r="O18" s="4162"/>
      <c r="P18" s="4119"/>
      <c r="Q18" s="1806"/>
      <c r="R18" s="1806"/>
      <c r="S18" s="1806"/>
      <c r="T18" s="1806"/>
      <c r="U18" s="1806"/>
      <c r="V18" s="1806"/>
      <c r="W18" s="1806"/>
      <c r="X18" s="1806"/>
      <c r="Y18" s="1806"/>
      <c r="Z18" s="1806"/>
      <c r="AA18" s="1806"/>
      <c r="AB18" s="4119"/>
      <c r="AC18" s="1806"/>
      <c r="AD18" s="1806"/>
      <c r="AE18" s="1806"/>
      <c r="AF18" s="1806"/>
      <c r="AG18" s="1806"/>
      <c r="AH18" s="1806"/>
      <c r="AI18" s="1806"/>
      <c r="AJ18" s="4119"/>
      <c r="AK18" s="1806"/>
      <c r="AL18" s="1806"/>
      <c r="AM18" s="1806"/>
      <c r="AN18" s="4119"/>
      <c r="AO18" s="1806"/>
      <c r="AP18" s="1806"/>
      <c r="AQ18" s="1806"/>
      <c r="AR18" s="1806"/>
      <c r="AS18" s="1806"/>
      <c r="AT18" s="1806"/>
      <c r="AU18" s="1806"/>
      <c r="AV18" s="1806"/>
      <c r="AW18" s="1806"/>
      <c r="AX18" s="1806"/>
      <c r="AY18" s="1806"/>
      <c r="AZ18" s="1806"/>
      <c r="BA18" s="1806"/>
      <c r="BB18" s="1806"/>
      <c r="BC18" s="1806"/>
      <c r="BD18" s="1806"/>
      <c r="BE18" s="1806"/>
      <c r="BF18" s="1806"/>
      <c r="BG18" s="1806"/>
      <c r="BH18" s="1806"/>
      <c r="BI18" s="1806"/>
      <c r="BJ18" s="1806"/>
      <c r="BK18" s="1806"/>
      <c r="BL18" s="1806"/>
      <c r="BM18" s="1806"/>
      <c r="BN18" s="1806"/>
      <c r="BO18" s="1806"/>
      <c r="BP18" s="1806"/>
      <c r="BQ18" s="1806"/>
      <c r="BR18" s="1806"/>
      <c r="BT18" s="1853"/>
      <c r="BU18" s="1854"/>
      <c r="BW18" s="4119"/>
      <c r="BX18" s="4119"/>
      <c r="BY18" s="4119"/>
      <c r="BZ18" s="4119"/>
      <c r="CB18" s="1922"/>
      <c r="CC18" s="4119"/>
      <c r="CD18" s="4119"/>
      <c r="CE18" s="4119"/>
      <c r="CF18" s="4119"/>
      <c r="CG18" s="4119"/>
      <c r="CH18" s="4119"/>
      <c r="CI18" s="4119"/>
      <c r="CJ18" s="4119"/>
      <c r="CK18" s="4119"/>
      <c r="CL18" s="4119"/>
      <c r="CM18" s="4119"/>
      <c r="CN18" s="4119"/>
      <c r="CO18" s="4119"/>
      <c r="CP18" s="4119"/>
      <c r="CQ18" s="4119"/>
      <c r="CR18" s="4119"/>
      <c r="CS18" s="4119"/>
      <c r="CT18" s="4119"/>
      <c r="CU18" s="4119"/>
      <c r="CV18" s="4119"/>
      <c r="CW18" s="4119"/>
      <c r="CX18" s="4119"/>
      <c r="CY18" s="4119"/>
      <c r="CZ18" s="4119"/>
      <c r="DA18" s="4119"/>
      <c r="DB18" s="4119"/>
      <c r="DC18" s="4119"/>
      <c r="DD18" s="4119"/>
      <c r="DE18" s="4119"/>
      <c r="DF18" s="4119"/>
      <c r="DG18" s="4119"/>
      <c r="DH18" s="4119"/>
      <c r="DI18" s="4119"/>
      <c r="DJ18" s="4119"/>
      <c r="DK18" s="4119"/>
      <c r="DL18" s="4119"/>
      <c r="DM18" s="4119"/>
      <c r="DN18" s="4119"/>
      <c r="DO18" s="4119"/>
      <c r="DP18" s="4119"/>
      <c r="DQ18" s="4119"/>
      <c r="DR18" s="4119"/>
      <c r="DS18" s="4119"/>
      <c r="DT18" s="4119"/>
      <c r="DU18" s="4119"/>
      <c r="DV18" s="4119"/>
      <c r="DW18" s="4119"/>
      <c r="DX18" s="4119"/>
      <c r="DY18" s="4119"/>
      <c r="DZ18" s="4119"/>
      <c r="EA18" s="4119"/>
      <c r="EB18" s="4119"/>
      <c r="EC18" s="4119"/>
      <c r="ED18" s="4119"/>
      <c r="EE18" s="4119"/>
      <c r="EF18" s="4119"/>
      <c r="EG18" s="4119"/>
      <c r="EH18" s="4119"/>
      <c r="EI18" s="4119"/>
      <c r="EJ18" s="4119"/>
      <c r="EK18" s="4119"/>
      <c r="EL18" s="4119"/>
      <c r="EM18" s="4119"/>
      <c r="EN18" s="4119"/>
      <c r="EO18" s="4119"/>
      <c r="EP18" s="4119"/>
      <c r="EQ18" s="4119"/>
      <c r="ER18" s="4119"/>
      <c r="ES18" s="4119"/>
      <c r="ET18" s="4119"/>
      <c r="EU18" s="4119"/>
      <c r="EV18" s="4119"/>
      <c r="EW18" s="4119"/>
      <c r="EX18" s="4119"/>
      <c r="EY18" s="4119"/>
      <c r="EZ18" s="4119"/>
      <c r="FA18" s="4119"/>
      <c r="FB18" s="4119"/>
      <c r="FC18" s="4119"/>
      <c r="FD18" s="4119"/>
      <c r="FE18" s="4119"/>
      <c r="FF18" s="4119"/>
      <c r="FG18" s="4119"/>
      <c r="FH18" s="4119"/>
      <c r="FI18" s="4119"/>
      <c r="FJ18" s="4119"/>
      <c r="FK18" s="4119"/>
      <c r="FL18" s="4119"/>
      <c r="FM18" s="4119"/>
      <c r="FN18" s="4119"/>
      <c r="FO18" s="4119"/>
      <c r="FP18" s="4119"/>
      <c r="FQ18" s="4119"/>
      <c r="FR18" s="4119"/>
      <c r="FS18" s="4119"/>
      <c r="FT18" s="4119"/>
    </row>
    <row r="19" spans="1:176" s="1777" customFormat="1" ht="21" customHeight="1" x14ac:dyDescent="0.2">
      <c r="B19" s="1806"/>
      <c r="C19" s="4119"/>
      <c r="D19" s="4119"/>
      <c r="E19" s="1728"/>
      <c r="F19" s="1728"/>
      <c r="G19" s="1728"/>
      <c r="H19" s="1728"/>
      <c r="I19" s="4138"/>
      <c r="J19" s="4692"/>
      <c r="K19" s="4693"/>
      <c r="L19" s="4142" t="s">
        <v>293</v>
      </c>
      <c r="M19" s="4143" t="s">
        <v>292</v>
      </c>
      <c r="N19" s="4153"/>
      <c r="O19" s="4162"/>
      <c r="P19" s="4119"/>
      <c r="Q19" s="1806"/>
      <c r="R19" s="1806"/>
      <c r="S19" s="1806"/>
      <c r="T19" s="1806"/>
      <c r="U19" s="1806"/>
      <c r="V19" s="1806"/>
      <c r="W19" s="1806"/>
      <c r="X19" s="1806"/>
      <c r="Y19" s="1806"/>
      <c r="Z19" s="1806"/>
      <c r="AA19" s="1806"/>
      <c r="AB19" s="4119"/>
      <c r="AC19" s="1806"/>
      <c r="AD19" s="1806"/>
      <c r="AE19" s="1806"/>
      <c r="AF19" s="1806"/>
      <c r="AG19" s="1806"/>
      <c r="AH19" s="1806"/>
      <c r="AI19" s="1806"/>
      <c r="AJ19" s="4119"/>
      <c r="AK19" s="1806"/>
      <c r="AL19" s="1806"/>
      <c r="AM19" s="1806"/>
      <c r="AN19" s="4119"/>
      <c r="AO19" s="1806"/>
      <c r="AP19" s="1806"/>
      <c r="AQ19" s="1806"/>
      <c r="AR19" s="1806"/>
      <c r="AS19" s="1806"/>
      <c r="AT19" s="1806"/>
      <c r="AU19" s="1806"/>
      <c r="AV19" s="1806"/>
      <c r="AW19" s="1806"/>
      <c r="AX19" s="1806"/>
      <c r="AY19" s="1806"/>
      <c r="AZ19" s="1806"/>
      <c r="BA19" s="1806"/>
      <c r="BB19" s="1806"/>
      <c r="BC19" s="1806"/>
      <c r="BD19" s="1806"/>
      <c r="BE19" s="1806"/>
      <c r="BF19" s="1806"/>
      <c r="BG19" s="1806"/>
      <c r="BH19" s="1806"/>
      <c r="BI19" s="1806"/>
      <c r="BJ19" s="1806"/>
      <c r="BK19" s="1806"/>
      <c r="BL19" s="1806"/>
      <c r="BM19" s="1806"/>
      <c r="BN19" s="1806"/>
      <c r="BO19" s="1806"/>
      <c r="BP19" s="1806"/>
      <c r="BQ19" s="1806"/>
      <c r="BR19" s="1806"/>
      <c r="BT19" s="1853"/>
      <c r="BU19" s="1854"/>
      <c r="BW19" s="4119"/>
      <c r="BX19" s="4119"/>
      <c r="BY19" s="4119"/>
      <c r="BZ19" s="4119"/>
      <c r="CB19" s="1922"/>
      <c r="CC19" s="4119"/>
      <c r="CD19" s="4119"/>
      <c r="CE19" s="4119"/>
      <c r="CF19" s="4119"/>
      <c r="CG19" s="4119"/>
      <c r="CH19" s="4119"/>
      <c r="CI19" s="4119"/>
      <c r="CJ19" s="4119"/>
      <c r="CK19" s="4119"/>
      <c r="CL19" s="4119"/>
      <c r="CM19" s="4119"/>
      <c r="CN19" s="4119"/>
      <c r="CO19" s="4119"/>
      <c r="CP19" s="4119"/>
      <c r="CQ19" s="4119"/>
      <c r="CR19" s="4119"/>
      <c r="CS19" s="4119"/>
      <c r="CT19" s="4119"/>
      <c r="CU19" s="4119"/>
      <c r="CV19" s="4119"/>
      <c r="CW19" s="4119"/>
      <c r="CX19" s="4119"/>
      <c r="CY19" s="4119"/>
      <c r="CZ19" s="4119"/>
      <c r="DA19" s="4119"/>
      <c r="DB19" s="4119"/>
      <c r="DC19" s="4119"/>
      <c r="DD19" s="4119"/>
      <c r="DE19" s="4119"/>
      <c r="DF19" s="4119"/>
      <c r="DG19" s="4119"/>
      <c r="DH19" s="4119"/>
      <c r="DI19" s="4119"/>
      <c r="DJ19" s="4119"/>
      <c r="DK19" s="4119"/>
      <c r="DL19" s="4119"/>
      <c r="DM19" s="4119"/>
      <c r="DN19" s="4119"/>
      <c r="DO19" s="4119"/>
      <c r="DP19" s="4119"/>
      <c r="DQ19" s="4119"/>
      <c r="DR19" s="4119"/>
      <c r="DS19" s="4119"/>
      <c r="DT19" s="4119"/>
      <c r="DU19" s="4119"/>
      <c r="DV19" s="4119"/>
      <c r="DW19" s="4119"/>
      <c r="DX19" s="4119"/>
      <c r="DY19" s="4119"/>
      <c r="DZ19" s="4119"/>
      <c r="EA19" s="4119"/>
      <c r="EB19" s="4119"/>
      <c r="EC19" s="4119"/>
      <c r="ED19" s="4119"/>
      <c r="EE19" s="4119"/>
      <c r="EF19" s="4119"/>
      <c r="EG19" s="4119"/>
      <c r="EH19" s="4119"/>
      <c r="EI19" s="4119"/>
      <c r="EJ19" s="4119"/>
      <c r="EK19" s="4119"/>
      <c r="EL19" s="4119"/>
      <c r="EM19" s="4119"/>
      <c r="EN19" s="4119"/>
      <c r="EO19" s="4119"/>
      <c r="EP19" s="4119"/>
      <c r="EQ19" s="4119"/>
      <c r="ER19" s="4119"/>
      <c r="ES19" s="4119"/>
      <c r="ET19" s="4119"/>
      <c r="EU19" s="4119"/>
      <c r="EV19" s="4119"/>
      <c r="EW19" s="4119"/>
      <c r="EX19" s="4119"/>
      <c r="EY19" s="4119"/>
      <c r="EZ19" s="4119"/>
      <c r="FA19" s="4119"/>
      <c r="FB19" s="4119"/>
      <c r="FC19" s="4119"/>
      <c r="FD19" s="4119"/>
      <c r="FE19" s="4119"/>
      <c r="FF19" s="4119"/>
      <c r="FG19" s="4119"/>
      <c r="FH19" s="4119"/>
      <c r="FI19" s="4119"/>
      <c r="FJ19" s="4119"/>
      <c r="FK19" s="4119"/>
      <c r="FL19" s="4119"/>
      <c r="FM19" s="4119"/>
      <c r="FN19" s="4119"/>
      <c r="FO19" s="4119"/>
      <c r="FP19" s="4119"/>
      <c r="FQ19" s="4119"/>
      <c r="FR19" s="4119"/>
      <c r="FS19" s="4119"/>
      <c r="FT19" s="4119"/>
    </row>
    <row r="20" spans="1:176" s="1810" customFormat="1" ht="21" thickBot="1" x14ac:dyDescent="0.25">
      <c r="B20" s="1963"/>
      <c r="C20" s="1964" t="s">
        <v>188</v>
      </c>
      <c r="D20" s="2578"/>
      <c r="E20" s="1728"/>
      <c r="F20" s="1728"/>
      <c r="G20" s="1728"/>
      <c r="H20" s="1728"/>
      <c r="I20" s="4138"/>
      <c r="J20" s="4142">
        <f>J46*100/20</f>
        <v>14113.919777400002</v>
      </c>
      <c r="K20" s="4143">
        <f>K46*100/20</f>
        <v>542.84306836153837</v>
      </c>
      <c r="L20" s="4142">
        <f>L46*100/20</f>
        <v>769.78522259999988</v>
      </c>
      <c r="M20" s="4143">
        <f>L20/3</f>
        <v>256.59507419999994</v>
      </c>
      <c r="N20" s="4153">
        <f>(C46/29)*CC24</f>
        <v>14883.704999999996</v>
      </c>
      <c r="O20" s="1924"/>
      <c r="P20" s="1966"/>
      <c r="Q20" s="3250"/>
      <c r="R20" s="3250"/>
      <c r="S20" s="3250"/>
      <c r="T20" s="3250"/>
      <c r="U20" s="3526" t="s">
        <v>275</v>
      </c>
      <c r="V20" s="3250"/>
      <c r="W20" s="3250"/>
      <c r="X20" s="3271"/>
      <c r="Y20" s="4588"/>
      <c r="Z20" s="4588"/>
      <c r="AA20" s="4588"/>
      <c r="AB20" s="1766"/>
      <c r="AC20" s="3250"/>
      <c r="AD20" s="3250"/>
      <c r="AE20" s="3250"/>
      <c r="AF20" s="3250"/>
      <c r="AG20" s="3250"/>
      <c r="AH20" s="3250"/>
      <c r="AI20" s="3250"/>
      <c r="AJ20" s="1766"/>
      <c r="AK20" s="4588"/>
      <c r="AL20" s="4588"/>
      <c r="AM20" s="4588"/>
      <c r="AN20" s="1766"/>
      <c r="AO20" s="3250"/>
      <c r="AP20" s="3250"/>
      <c r="AQ20" s="3250"/>
      <c r="AR20" s="3250"/>
      <c r="AS20" s="3250"/>
      <c r="AT20" s="3250"/>
      <c r="AU20" s="3250"/>
      <c r="AV20" s="3271"/>
      <c r="AW20" s="4588"/>
      <c r="AX20" s="4588"/>
      <c r="AY20" s="4588"/>
      <c r="AZ20" s="3271"/>
      <c r="BA20" s="3250"/>
      <c r="BB20" s="3250"/>
      <c r="BC20" s="3250"/>
      <c r="BD20" s="3250"/>
      <c r="BE20" s="3250"/>
      <c r="BF20" s="3250"/>
      <c r="BG20" s="3250"/>
      <c r="BH20" s="3271"/>
      <c r="BI20" s="4588"/>
      <c r="BJ20" s="4588"/>
      <c r="BK20" s="4588"/>
      <c r="BL20" s="3271"/>
      <c r="BM20" s="3250"/>
      <c r="BN20" s="3250"/>
      <c r="BO20" s="3271"/>
      <c r="BP20" s="4588"/>
      <c r="BQ20" s="4588"/>
      <c r="BR20" s="4588"/>
      <c r="BT20" s="3250"/>
      <c r="BU20" s="1968"/>
      <c r="BV20" s="1817"/>
      <c r="BW20" s="3271"/>
      <c r="BX20" s="1830"/>
      <c r="BY20" s="1830"/>
      <c r="BZ20" s="1761"/>
      <c r="CB20" s="1860"/>
      <c r="CC20" s="3257"/>
      <c r="CD20" s="1860"/>
      <c r="CE20" s="1860"/>
      <c r="CF20" s="1860"/>
      <c r="CG20" s="1860"/>
      <c r="CH20" s="1860"/>
      <c r="CI20" s="1860"/>
      <c r="CJ20" s="1860"/>
    </row>
    <row r="21" spans="1:176" x14ac:dyDescent="0.2">
      <c r="A21" s="1777"/>
      <c r="B21" s="1987">
        <v>13</v>
      </c>
      <c r="C21" s="1987" t="s">
        <v>197</v>
      </c>
      <c r="D21" s="1836"/>
      <c r="E21" s="1746">
        <v>1500</v>
      </c>
      <c r="F21" s="1746">
        <v>108.33333333333333</v>
      </c>
      <c r="G21" s="1746">
        <v>72.222222222222214</v>
      </c>
      <c r="H21" s="1746">
        <v>54.166666666666664</v>
      </c>
      <c r="I21" s="4139">
        <v>43.333333333333329</v>
      </c>
      <c r="J21" s="4144">
        <f t="shared" ref="J21:J44" si="50">E21-L21</f>
        <v>1422.42</v>
      </c>
      <c r="K21" s="4143">
        <f>J21/26</f>
        <v>54.708461538461542</v>
      </c>
      <c r="L21" s="4144">
        <f t="shared" ref="L21:L44" si="51">E21*5.172%</f>
        <v>77.58</v>
      </c>
      <c r="M21" s="4158">
        <f>L21/3</f>
        <v>25.86</v>
      </c>
      <c r="N21" s="4154">
        <f t="shared" ref="N21:N44" si="52">E21/$E$46</f>
        <v>0.50390678933773547</v>
      </c>
      <c r="O21" s="1909"/>
      <c r="P21" s="1910"/>
      <c r="Q21" s="1746">
        <f>$K$21</f>
        <v>54.708461538461542</v>
      </c>
      <c r="R21" s="1746">
        <f>$K$21</f>
        <v>54.708461538461542</v>
      </c>
      <c r="S21" s="1746">
        <f>$K$21</f>
        <v>54.708461538461542</v>
      </c>
      <c r="T21" s="1746">
        <f>$K$21</f>
        <v>54.708461538461542</v>
      </c>
      <c r="U21" s="1746"/>
      <c r="V21" s="1746">
        <f>$K$21</f>
        <v>54.708461538461542</v>
      </c>
      <c r="W21" s="1746">
        <f>$K$21</f>
        <v>54.708461538461542</v>
      </c>
      <c r="X21" s="3258"/>
      <c r="Y21" s="1972">
        <f>SUM(Q21:W21)</f>
        <v>328.25076923076927</v>
      </c>
      <c r="Z21" s="1973">
        <f t="shared" ref="Z21:Z44" si="53">($Y$5*N21)*$Y$8</f>
        <v>692.26563547181297</v>
      </c>
      <c r="AA21" s="1974">
        <f>Z21-Y21</f>
        <v>364.01486624104371</v>
      </c>
      <c r="AB21" s="1914"/>
      <c r="AC21" s="1746">
        <f>$K$21</f>
        <v>54.708461538461542</v>
      </c>
      <c r="AD21" s="1746">
        <f>$K$21</f>
        <v>54.708461538461542</v>
      </c>
      <c r="AE21" s="1746">
        <f>$K$21</f>
        <v>54.708461538461542</v>
      </c>
      <c r="AF21" s="1746">
        <f>$K$21</f>
        <v>54.708461538461542</v>
      </c>
      <c r="AG21" s="1746">
        <f>$M$21</f>
        <v>25.86</v>
      </c>
      <c r="AH21" s="1746">
        <f>$K$21</f>
        <v>54.708461538461542</v>
      </c>
      <c r="AI21" s="1746">
        <f>$K$21</f>
        <v>54.708461538461542</v>
      </c>
      <c r="AJ21" s="1914"/>
      <c r="AK21" s="1972">
        <f>SUM(AC21:AI21)</f>
        <v>354.11076923076928</v>
      </c>
      <c r="AL21" s="1973">
        <f t="shared" ref="AL21:AL44" si="54">($AK$5*N21)*$AK$8</f>
        <v>687.99603324575446</v>
      </c>
      <c r="AM21" s="1974">
        <f>AL21-AK21</f>
        <v>333.88526401498518</v>
      </c>
      <c r="AN21" s="1914"/>
      <c r="AO21" s="1990">
        <f>$K$21</f>
        <v>54.708461538461542</v>
      </c>
      <c r="AP21" s="1990">
        <f>$K$21</f>
        <v>54.708461538461542</v>
      </c>
      <c r="AQ21" s="1990">
        <f>$K$21</f>
        <v>54.708461538461542</v>
      </c>
      <c r="AR21" s="1990">
        <f>$K$21</f>
        <v>54.708461538461542</v>
      </c>
      <c r="AS21" s="1990">
        <f>$M$21</f>
        <v>25.86</v>
      </c>
      <c r="AT21" s="1990">
        <f>$K$21</f>
        <v>54.708461538461542</v>
      </c>
      <c r="AU21" s="1990">
        <f>$K$21</f>
        <v>54.708461538461542</v>
      </c>
      <c r="AV21" s="2297"/>
      <c r="AW21" s="1972">
        <f>SUM(AO21:AU21)</f>
        <v>354.11076923076928</v>
      </c>
      <c r="AX21" s="1973">
        <f t="shared" ref="AX21:AX44" si="55">($AW$5*N21)*$AW$8</f>
        <v>630.32994808752267</v>
      </c>
      <c r="AY21" s="1974">
        <f>AX21-AW21</f>
        <v>276.21917885675339</v>
      </c>
      <c r="AZ21" s="2297"/>
      <c r="BA21" s="1990">
        <f t="shared" ref="BA21:BG21" si="56">$K$21</f>
        <v>54.708461538461542</v>
      </c>
      <c r="BB21" s="1990">
        <f t="shared" si="56"/>
        <v>54.708461538461542</v>
      </c>
      <c r="BC21" s="1990">
        <f t="shared" si="56"/>
        <v>54.708461538461542</v>
      </c>
      <c r="BD21" s="1990">
        <f t="shared" si="56"/>
        <v>54.708461538461542</v>
      </c>
      <c r="BE21" s="1990">
        <f>$M$21</f>
        <v>25.86</v>
      </c>
      <c r="BF21" s="1990">
        <f t="shared" si="56"/>
        <v>54.708461538461542</v>
      </c>
      <c r="BG21" s="1990">
        <f t="shared" si="56"/>
        <v>54.708461538461542</v>
      </c>
      <c r="BH21" s="2297"/>
      <c r="BI21" s="1972">
        <f>SUM(BA21:BG21)</f>
        <v>354.11076923076928</v>
      </c>
      <c r="BJ21" s="1973">
        <f t="shared" ref="BJ21:BJ44" si="57">($BI$5*N21)*$BI$8</f>
        <v>607.14670843046122</v>
      </c>
      <c r="BK21" s="1974">
        <f>BJ21-BI21</f>
        <v>253.03593919969194</v>
      </c>
      <c r="BL21" s="3258"/>
      <c r="BM21" s="1746">
        <f t="shared" ref="BM21:BN21" si="58">$K$21</f>
        <v>54.708461538461542</v>
      </c>
      <c r="BN21" s="1746">
        <f t="shared" si="58"/>
        <v>54.708461538461542</v>
      </c>
      <c r="BO21" s="3258"/>
      <c r="BP21" s="1972">
        <f t="shared" ref="BP21:BP44" si="59">SUM(BM21:BN21)</f>
        <v>109.41692307692308</v>
      </c>
      <c r="BQ21" s="1973">
        <f t="shared" ref="BQ21:BQ44" si="60">($BP$5*N21)*$BP$8</f>
        <v>163.82463237480184</v>
      </c>
      <c r="BR21" s="1974">
        <f>BQ21-BP21</f>
        <v>54.407709297878753</v>
      </c>
      <c r="BT21" s="1747">
        <v>0</v>
      </c>
      <c r="BU21" s="1752">
        <f t="shared" ref="BU21:BU44" si="61">BT21/E21</f>
        <v>0</v>
      </c>
      <c r="BV21" s="1754"/>
      <c r="BW21" s="1975">
        <f t="shared" ref="BW21:BW44" si="62">SUM(Q21:W21)+SUM(AC21:AI21)+SUM(AO21:AU21)+SUM(BA21:BG21)+SUM(BN21:BN21)</f>
        <v>1445.2915384615385</v>
      </c>
      <c r="BX21" s="1976">
        <f t="shared" ref="BX21:BX44" si="63">BW21/E21</f>
        <v>0.96352769230769231</v>
      </c>
      <c r="BY21" s="1993"/>
      <c r="BZ21" s="1977"/>
      <c r="CB21" s="1923"/>
      <c r="CC21" s="1978"/>
      <c r="CD21" s="1979"/>
      <c r="CE21" s="1980"/>
      <c r="CF21" s="1980"/>
      <c r="CG21" s="1980"/>
      <c r="CH21" s="1980"/>
      <c r="CI21" s="1980"/>
      <c r="CJ21" s="1981"/>
      <c r="CK21" s="1923"/>
    </row>
    <row r="22" spans="1:176" s="1726" customFormat="1" x14ac:dyDescent="0.2">
      <c r="B22" s="1963">
        <v>14</v>
      </c>
      <c r="C22" s="1963" t="s">
        <v>198</v>
      </c>
      <c r="D22" s="2578"/>
      <c r="E22" s="1728">
        <v>450</v>
      </c>
      <c r="F22" s="1728">
        <v>45</v>
      </c>
      <c r="G22" s="1728">
        <v>30</v>
      </c>
      <c r="H22" s="1728">
        <v>22.5</v>
      </c>
      <c r="I22" s="4138">
        <v>18</v>
      </c>
      <c r="J22" s="4144">
        <f t="shared" si="50"/>
        <v>426.726</v>
      </c>
      <c r="K22" s="4143">
        <f t="shared" ref="K22:K44" si="64">J22/26</f>
        <v>16.41253846153846</v>
      </c>
      <c r="L22" s="4144">
        <f t="shared" si="51"/>
        <v>23.273999999999997</v>
      </c>
      <c r="M22" s="4158">
        <f t="shared" ref="M22:M44" si="65">L22/3</f>
        <v>7.7579999999999991</v>
      </c>
      <c r="N22" s="4155">
        <f t="shared" si="52"/>
        <v>0.15117203680132063</v>
      </c>
      <c r="O22" s="1876"/>
      <c r="P22" s="1877"/>
      <c r="Q22" s="1728">
        <f>$K$22</f>
        <v>16.41253846153846</v>
      </c>
      <c r="R22" s="1728">
        <f>$K$22</f>
        <v>16.41253846153846</v>
      </c>
      <c r="S22" s="1728">
        <f>$K$22</f>
        <v>16.41253846153846</v>
      </c>
      <c r="T22" s="1728">
        <f>$K$22</f>
        <v>16.41253846153846</v>
      </c>
      <c r="U22" s="1728"/>
      <c r="V22" s="1728">
        <f>$K$22</f>
        <v>16.41253846153846</v>
      </c>
      <c r="W22" s="1728">
        <f>$K$22</f>
        <v>16.41253846153846</v>
      </c>
      <c r="X22" s="3259"/>
      <c r="Y22" s="1982">
        <f>SUM(Q22:W22)</f>
        <v>98.475230769230762</v>
      </c>
      <c r="Z22" s="2268">
        <f t="shared" si="53"/>
        <v>207.67969064154389</v>
      </c>
      <c r="AA22" s="1984">
        <f>Z22-Y22</f>
        <v>109.20445987231312</v>
      </c>
      <c r="AB22" s="1881"/>
      <c r="AC22" s="1728">
        <f>$K$22</f>
        <v>16.41253846153846</v>
      </c>
      <c r="AD22" s="1728">
        <f>$K$22</f>
        <v>16.41253846153846</v>
      </c>
      <c r="AE22" s="1728">
        <f>$K$22</f>
        <v>16.41253846153846</v>
      </c>
      <c r="AF22" s="1728">
        <f>$K$22</f>
        <v>16.41253846153846</v>
      </c>
      <c r="AG22" s="1728">
        <f>$M$22</f>
        <v>7.7579999999999991</v>
      </c>
      <c r="AH22" s="1728">
        <f>$K$22</f>
        <v>16.41253846153846</v>
      </c>
      <c r="AI22" s="1728">
        <f>$K$22</f>
        <v>16.41253846153846</v>
      </c>
      <c r="AJ22" s="1881"/>
      <c r="AK22" s="1982">
        <f>SUM(AC22:AI22)</f>
        <v>106.23323076923076</v>
      </c>
      <c r="AL22" s="2268">
        <f t="shared" si="54"/>
        <v>206.39880997372629</v>
      </c>
      <c r="AM22" s="1984">
        <f>AL22-AK22</f>
        <v>100.16557920449553</v>
      </c>
      <c r="AN22" s="1881"/>
      <c r="AO22" s="2268">
        <f>$K$22</f>
        <v>16.41253846153846</v>
      </c>
      <c r="AP22" s="2268">
        <f>$K$22</f>
        <v>16.41253846153846</v>
      </c>
      <c r="AQ22" s="2268">
        <f>$K$22</f>
        <v>16.41253846153846</v>
      </c>
      <c r="AR22" s="2268">
        <f>$K$22</f>
        <v>16.41253846153846</v>
      </c>
      <c r="AS22" s="2268">
        <f>$M$22</f>
        <v>7.7579999999999991</v>
      </c>
      <c r="AT22" s="2268">
        <f>$K$22</f>
        <v>16.41253846153846</v>
      </c>
      <c r="AU22" s="2268">
        <f>$K$22</f>
        <v>16.41253846153846</v>
      </c>
      <c r="AV22" s="2293"/>
      <c r="AW22" s="1982">
        <f>SUM(AO22:AU22)</f>
        <v>106.23323076923076</v>
      </c>
      <c r="AX22" s="2268">
        <f t="shared" si="55"/>
        <v>189.09898442625678</v>
      </c>
      <c r="AY22" s="1984">
        <f>AX22-AW22</f>
        <v>82.865753657026019</v>
      </c>
      <c r="AZ22" s="2293"/>
      <c r="BA22" s="2268">
        <f t="shared" ref="BA22:BG22" si="66">$K$22</f>
        <v>16.41253846153846</v>
      </c>
      <c r="BB22" s="2268">
        <f t="shared" si="66"/>
        <v>16.41253846153846</v>
      </c>
      <c r="BC22" s="2268">
        <f t="shared" si="66"/>
        <v>16.41253846153846</v>
      </c>
      <c r="BD22" s="2268">
        <f t="shared" si="66"/>
        <v>16.41253846153846</v>
      </c>
      <c r="BE22" s="2268">
        <f>$M$22</f>
        <v>7.7579999999999991</v>
      </c>
      <c r="BF22" s="2268">
        <f t="shared" si="66"/>
        <v>16.41253846153846</v>
      </c>
      <c r="BG22" s="2268">
        <f t="shared" si="66"/>
        <v>16.41253846153846</v>
      </c>
      <c r="BH22" s="2293"/>
      <c r="BI22" s="1982">
        <f>SUM(BA22:BG22)</f>
        <v>106.23323076923076</v>
      </c>
      <c r="BJ22" s="2268">
        <f t="shared" si="57"/>
        <v>182.14401252913837</v>
      </c>
      <c r="BK22" s="1984">
        <f>BJ22-BI22</f>
        <v>75.910781759907607</v>
      </c>
      <c r="BL22" s="3259"/>
      <c r="BM22" s="1728">
        <f t="shared" ref="BM22:BN22" si="67">$K$22</f>
        <v>16.41253846153846</v>
      </c>
      <c r="BN22" s="1728">
        <f t="shared" si="67"/>
        <v>16.41253846153846</v>
      </c>
      <c r="BO22" s="3259"/>
      <c r="BP22" s="1982">
        <f t="shared" si="59"/>
        <v>32.825076923076921</v>
      </c>
      <c r="BQ22" s="2268">
        <f t="shared" si="60"/>
        <v>49.147389712440543</v>
      </c>
      <c r="BR22" s="1984">
        <f>BQ22-BP22</f>
        <v>16.322312789363622</v>
      </c>
      <c r="BT22" s="1732">
        <v>0</v>
      </c>
      <c r="BU22" s="1882">
        <f t="shared" si="61"/>
        <v>0</v>
      </c>
      <c r="BV22" s="1740"/>
      <c r="BW22" s="1734">
        <f t="shared" si="62"/>
        <v>433.58746153846153</v>
      </c>
      <c r="BX22" s="1918">
        <f t="shared" si="63"/>
        <v>0.96352769230769231</v>
      </c>
      <c r="BY22" s="1997"/>
      <c r="BZ22" s="3257"/>
      <c r="CB22" s="1860"/>
      <c r="CC22" s="1985">
        <v>44012</v>
      </c>
      <c r="CD22" s="1830"/>
      <c r="CE22" s="1817"/>
      <c r="CF22" s="1810"/>
      <c r="CG22" s="1810"/>
      <c r="CH22" s="1810"/>
      <c r="CI22" s="1810"/>
      <c r="CJ22" s="1986"/>
      <c r="CK22" s="1810"/>
    </row>
    <row r="23" spans="1:176" s="1947" customFormat="1" x14ac:dyDescent="0.2">
      <c r="B23" s="2000">
        <v>15</v>
      </c>
      <c r="C23" s="1987" t="s">
        <v>282</v>
      </c>
      <c r="D23" s="1836"/>
      <c r="E23" s="1746">
        <v>160</v>
      </c>
      <c r="F23" s="1746"/>
      <c r="G23" s="1746"/>
      <c r="H23" s="1746"/>
      <c r="I23" s="4139"/>
      <c r="J23" s="4144">
        <f t="shared" si="50"/>
        <v>151.72479999999999</v>
      </c>
      <c r="K23" s="4143">
        <f t="shared" si="64"/>
        <v>5.83556923076923</v>
      </c>
      <c r="L23" s="4144">
        <f t="shared" si="51"/>
        <v>8.2751999999999999</v>
      </c>
      <c r="M23" s="4158">
        <f t="shared" si="65"/>
        <v>2.7584</v>
      </c>
      <c r="N23" s="4154">
        <f t="shared" si="52"/>
        <v>5.375005752935845E-2</v>
      </c>
      <c r="O23" s="2003"/>
      <c r="P23" s="1950"/>
      <c r="Q23" s="2001">
        <f>$K$23</f>
        <v>5.83556923076923</v>
      </c>
      <c r="R23" s="2001">
        <f>$K$23</f>
        <v>5.83556923076923</v>
      </c>
      <c r="S23" s="2001">
        <f>$K$23</f>
        <v>5.83556923076923</v>
      </c>
      <c r="T23" s="2001">
        <f>$K$23</f>
        <v>5.83556923076923</v>
      </c>
      <c r="U23" s="2001"/>
      <c r="V23" s="2001">
        <f>$K$23</f>
        <v>5.83556923076923</v>
      </c>
      <c r="W23" s="2001">
        <f>$K$23</f>
        <v>5.83556923076923</v>
      </c>
      <c r="X23" s="1951"/>
      <c r="Y23" s="2004">
        <f>SUM(Q23:W23)</f>
        <v>35.013415384615378</v>
      </c>
      <c r="Z23" s="2005">
        <f t="shared" si="53"/>
        <v>73.841667783660057</v>
      </c>
      <c r="AA23" s="2006">
        <f t="shared" ref="AA23:AA43" si="68">Z23-Y23</f>
        <v>38.828252399044679</v>
      </c>
      <c r="AB23" s="1955"/>
      <c r="AC23" s="2001">
        <f>$K$23</f>
        <v>5.83556923076923</v>
      </c>
      <c r="AD23" s="2001">
        <f>$K$23</f>
        <v>5.83556923076923</v>
      </c>
      <c r="AE23" s="2001">
        <f>$K$23</f>
        <v>5.83556923076923</v>
      </c>
      <c r="AF23" s="2001">
        <f>$K$23</f>
        <v>5.83556923076923</v>
      </c>
      <c r="AG23" s="2001">
        <f>$M$23</f>
        <v>2.7584</v>
      </c>
      <c r="AH23" s="2001">
        <f>$K$23</f>
        <v>5.83556923076923</v>
      </c>
      <c r="AI23" s="2001">
        <f>$K$23</f>
        <v>5.83556923076923</v>
      </c>
      <c r="AJ23" s="1955"/>
      <c r="AK23" s="2004">
        <f t="shared" ref="AK23:AK44" si="69">SUM(AC23:AI23)</f>
        <v>37.77181538461538</v>
      </c>
      <c r="AL23" s="2005">
        <f t="shared" si="54"/>
        <v>73.386243546213805</v>
      </c>
      <c r="AM23" s="2006">
        <f t="shared" ref="AM23:AM44" si="70">AL23-AK23</f>
        <v>35.614428161598426</v>
      </c>
      <c r="AN23" s="1955"/>
      <c r="AO23" s="2005">
        <f>$K$23</f>
        <v>5.83556923076923</v>
      </c>
      <c r="AP23" s="2005">
        <f>$K$23</f>
        <v>5.83556923076923</v>
      </c>
      <c r="AQ23" s="2005">
        <f>$K$23</f>
        <v>5.83556923076923</v>
      </c>
      <c r="AR23" s="2005">
        <f>$K$23</f>
        <v>5.83556923076923</v>
      </c>
      <c r="AS23" s="2005">
        <f>$M$23</f>
        <v>2.7584</v>
      </c>
      <c r="AT23" s="2005">
        <f>$K$23</f>
        <v>5.83556923076923</v>
      </c>
      <c r="AU23" s="2005">
        <f>$K$23</f>
        <v>5.83556923076923</v>
      </c>
      <c r="AV23" s="2299"/>
      <c r="AW23" s="2004">
        <f t="shared" ref="AW23:AW44" si="71">SUM(AO23:AU23)</f>
        <v>37.77181538461538</v>
      </c>
      <c r="AX23" s="2005">
        <f t="shared" si="55"/>
        <v>67.235194462669085</v>
      </c>
      <c r="AY23" s="2006">
        <f t="shared" ref="AY23:AY44" si="72">AX23-AW23</f>
        <v>29.463379078053705</v>
      </c>
      <c r="AZ23" s="2299"/>
      <c r="BA23" s="2005">
        <f t="shared" ref="BA23:BG23" si="73">$K$23</f>
        <v>5.83556923076923</v>
      </c>
      <c r="BB23" s="2005">
        <f t="shared" si="73"/>
        <v>5.83556923076923</v>
      </c>
      <c r="BC23" s="2005">
        <f t="shared" si="73"/>
        <v>5.83556923076923</v>
      </c>
      <c r="BD23" s="2005">
        <f t="shared" si="73"/>
        <v>5.83556923076923</v>
      </c>
      <c r="BE23" s="2005">
        <f>$M$23</f>
        <v>2.7584</v>
      </c>
      <c r="BF23" s="2005">
        <f t="shared" si="73"/>
        <v>5.83556923076923</v>
      </c>
      <c r="BG23" s="2005">
        <f t="shared" si="73"/>
        <v>5.83556923076923</v>
      </c>
      <c r="BH23" s="2299"/>
      <c r="BI23" s="2004">
        <f t="shared" ref="BI23:BI44" si="74">SUM(BA23:BG23)</f>
        <v>37.77181538461538</v>
      </c>
      <c r="BJ23" s="2005">
        <f t="shared" si="57"/>
        <v>64.76231556591587</v>
      </c>
      <c r="BK23" s="2006">
        <f t="shared" ref="BK23:BK44" si="75">BJ23-BI23</f>
        <v>26.99050018130049</v>
      </c>
      <c r="BL23" s="1951"/>
      <c r="BM23" s="2001">
        <f t="shared" ref="BM23:BN23" si="76">$K$23</f>
        <v>5.83556923076923</v>
      </c>
      <c r="BN23" s="2001">
        <f t="shared" si="76"/>
        <v>5.83556923076923</v>
      </c>
      <c r="BO23" s="1951"/>
      <c r="BP23" s="2004">
        <f t="shared" si="59"/>
        <v>11.67113846153846</v>
      </c>
      <c r="BQ23" s="2005">
        <f t="shared" si="60"/>
        <v>17.474627453312191</v>
      </c>
      <c r="BR23" s="2006">
        <f t="shared" ref="BR23" si="77">BQ23-BP23</f>
        <v>5.8034889917737313</v>
      </c>
      <c r="BT23" s="2007">
        <v>0</v>
      </c>
      <c r="BU23" s="2008">
        <f t="shared" si="61"/>
        <v>0</v>
      </c>
      <c r="BV23" s="1959"/>
      <c r="BW23" s="1901">
        <f t="shared" si="62"/>
        <v>154.16443076923076</v>
      </c>
      <c r="BX23" s="1902">
        <f t="shared" si="63"/>
        <v>0.96352769230769231</v>
      </c>
      <c r="BY23" s="1962"/>
      <c r="BZ23" s="1905"/>
      <c r="CB23" s="3295"/>
      <c r="CC23" s="2009">
        <v>43982</v>
      </c>
      <c r="CD23" s="2010"/>
      <c r="CE23" s="2011"/>
      <c r="CF23" s="1946"/>
      <c r="CG23" s="1946"/>
      <c r="CH23" s="1946"/>
      <c r="CI23" s="1946"/>
      <c r="CJ23" s="2012"/>
      <c r="CK23" s="1946"/>
    </row>
    <row r="24" spans="1:176" s="1756" customFormat="1" x14ac:dyDescent="0.2">
      <c r="B24" s="1963">
        <v>16</v>
      </c>
      <c r="C24" s="1963" t="s">
        <v>239</v>
      </c>
      <c r="D24" s="2578"/>
      <c r="E24" s="1728">
        <v>200</v>
      </c>
      <c r="F24" s="1728"/>
      <c r="G24" s="1728"/>
      <c r="H24" s="1728"/>
      <c r="I24" s="4138"/>
      <c r="J24" s="4144">
        <f t="shared" si="50"/>
        <v>189.65600000000001</v>
      </c>
      <c r="K24" s="4143">
        <f t="shared" si="64"/>
        <v>7.2944615384615386</v>
      </c>
      <c r="L24" s="4144">
        <f t="shared" si="51"/>
        <v>10.343999999999999</v>
      </c>
      <c r="M24" s="4158">
        <f t="shared" si="65"/>
        <v>3.448</v>
      </c>
      <c r="N24" s="4155">
        <f t="shared" si="52"/>
        <v>6.7187571911698066E-2</v>
      </c>
      <c r="O24" s="1931"/>
      <c r="P24" s="1924"/>
      <c r="Q24" s="1728">
        <f>$K$24</f>
        <v>7.2944615384615386</v>
      </c>
      <c r="R24" s="1728">
        <f>$K$24</f>
        <v>7.2944615384615386</v>
      </c>
      <c r="S24" s="1728">
        <f>$K$24</f>
        <v>7.2944615384615386</v>
      </c>
      <c r="T24" s="1728">
        <f>$K$24</f>
        <v>7.2944615384615386</v>
      </c>
      <c r="U24" s="1728"/>
      <c r="V24" s="1728">
        <f>$K$24</f>
        <v>7.2944615384615386</v>
      </c>
      <c r="W24" s="1728">
        <f>$K$24</f>
        <v>7.2944615384615386</v>
      </c>
      <c r="X24" s="3516"/>
      <c r="Y24" s="1982">
        <f t="shared" ref="Y24:Y86" si="78">SUM(Q24:W24)</f>
        <v>43.766769230769235</v>
      </c>
      <c r="Z24" s="2268">
        <f t="shared" si="53"/>
        <v>92.302084729575071</v>
      </c>
      <c r="AA24" s="1984">
        <f t="shared" si="68"/>
        <v>48.535315498805836</v>
      </c>
      <c r="AB24" s="1764"/>
      <c r="AC24" s="1728">
        <f>$K$24</f>
        <v>7.2944615384615386</v>
      </c>
      <c r="AD24" s="1728">
        <f>$K$24</f>
        <v>7.2944615384615386</v>
      </c>
      <c r="AE24" s="1728">
        <f>$K$24</f>
        <v>7.2944615384615386</v>
      </c>
      <c r="AF24" s="1728">
        <f>$K$24</f>
        <v>7.2944615384615386</v>
      </c>
      <c r="AG24" s="1728">
        <f>$M$24</f>
        <v>3.448</v>
      </c>
      <c r="AH24" s="1728">
        <f>$K$24</f>
        <v>7.2944615384615386</v>
      </c>
      <c r="AI24" s="1728">
        <f>$K$24</f>
        <v>7.2944615384615386</v>
      </c>
      <c r="AJ24" s="1764"/>
      <c r="AK24" s="1982">
        <f t="shared" si="69"/>
        <v>47.214769230769235</v>
      </c>
      <c r="AL24" s="2268">
        <f t="shared" si="54"/>
        <v>91.732804432767253</v>
      </c>
      <c r="AM24" s="1984">
        <f t="shared" si="70"/>
        <v>44.518035201998018</v>
      </c>
      <c r="AN24" s="1764"/>
      <c r="AO24" s="2268">
        <f>$K$24</f>
        <v>7.2944615384615386</v>
      </c>
      <c r="AP24" s="2268">
        <f>$K$24</f>
        <v>7.2944615384615386</v>
      </c>
      <c r="AQ24" s="2268">
        <f>$K$24</f>
        <v>7.2944615384615386</v>
      </c>
      <c r="AR24" s="2268">
        <f>$K$24</f>
        <v>7.2944615384615386</v>
      </c>
      <c r="AS24" s="2268">
        <f>$M$24</f>
        <v>3.448</v>
      </c>
      <c r="AT24" s="2268">
        <f>$K$24</f>
        <v>7.2944615384615386</v>
      </c>
      <c r="AU24" s="2268">
        <f>$K$24</f>
        <v>7.2944615384615386</v>
      </c>
      <c r="AV24" s="2289"/>
      <c r="AW24" s="1982">
        <f t="shared" si="71"/>
        <v>47.214769230769235</v>
      </c>
      <c r="AX24" s="2268">
        <f t="shared" si="55"/>
        <v>84.043993078336356</v>
      </c>
      <c r="AY24" s="1984">
        <f t="shared" si="72"/>
        <v>36.829223847567121</v>
      </c>
      <c r="AZ24" s="2289"/>
      <c r="BA24" s="2268">
        <f t="shared" ref="BA24:BG24" si="79">$K$24</f>
        <v>7.2944615384615386</v>
      </c>
      <c r="BB24" s="2268">
        <f t="shared" si="79"/>
        <v>7.2944615384615386</v>
      </c>
      <c r="BC24" s="2268">
        <f t="shared" si="79"/>
        <v>7.2944615384615386</v>
      </c>
      <c r="BD24" s="2268">
        <f t="shared" si="79"/>
        <v>7.2944615384615386</v>
      </c>
      <c r="BE24" s="2268">
        <f>$M$24</f>
        <v>3.448</v>
      </c>
      <c r="BF24" s="2268">
        <f t="shared" si="79"/>
        <v>7.2944615384615386</v>
      </c>
      <c r="BG24" s="2268">
        <f t="shared" si="79"/>
        <v>7.2944615384615386</v>
      </c>
      <c r="BH24" s="2289"/>
      <c r="BI24" s="1982">
        <f t="shared" si="74"/>
        <v>47.214769230769235</v>
      </c>
      <c r="BJ24" s="2268">
        <f t="shared" si="57"/>
        <v>80.952894457394848</v>
      </c>
      <c r="BK24" s="1984">
        <f t="shared" si="75"/>
        <v>33.738125226625613</v>
      </c>
      <c r="BL24" s="3516"/>
      <c r="BM24" s="1728">
        <f t="shared" ref="BM24:BN24" si="80">$K$24</f>
        <v>7.2944615384615386</v>
      </c>
      <c r="BN24" s="1728">
        <f t="shared" si="80"/>
        <v>7.2944615384615386</v>
      </c>
      <c r="BO24" s="3516"/>
      <c r="BP24" s="1982">
        <f t="shared" si="59"/>
        <v>14.588923076923077</v>
      </c>
      <c r="BQ24" s="2268">
        <f t="shared" si="60"/>
        <v>21.843284316640244</v>
      </c>
      <c r="BR24" s="1984">
        <f>BQ24-BP24</f>
        <v>7.2543612397171664</v>
      </c>
      <c r="BT24" s="1735">
        <v>0</v>
      </c>
      <c r="BU24" s="1768">
        <f t="shared" si="61"/>
        <v>0</v>
      </c>
      <c r="BV24" s="3511"/>
      <c r="BW24" s="1763">
        <f t="shared" si="62"/>
        <v>192.70553846153848</v>
      </c>
      <c r="BX24" s="1883">
        <f t="shared" si="63"/>
        <v>0.96352769230769242</v>
      </c>
      <c r="BY24" s="1830"/>
      <c r="BZ24" s="1761"/>
      <c r="CB24" s="3514"/>
      <c r="CC24" s="1996">
        <f>CC22-CC23-1</f>
        <v>29</v>
      </c>
      <c r="CD24" s="1997"/>
      <c r="CE24" s="1861"/>
      <c r="CF24" s="1860"/>
      <c r="CG24" s="1860"/>
      <c r="CH24" s="1860"/>
      <c r="CI24" s="1860"/>
      <c r="CJ24" s="1998"/>
      <c r="CK24" s="1860"/>
    </row>
    <row r="25" spans="1:176" s="1947" customFormat="1" x14ac:dyDescent="0.2">
      <c r="B25" s="2000">
        <v>17</v>
      </c>
      <c r="C25" s="2000" t="s">
        <v>283</v>
      </c>
      <c r="D25" s="2579"/>
      <c r="E25" s="2001">
        <v>203</v>
      </c>
      <c r="F25" s="2001">
        <v>75.3</v>
      </c>
      <c r="G25" s="2001">
        <v>50.2</v>
      </c>
      <c r="H25" s="2001">
        <v>37.65</v>
      </c>
      <c r="I25" s="4140">
        <v>30.12</v>
      </c>
      <c r="J25" s="4144">
        <f t="shared" si="50"/>
        <v>192.50084000000001</v>
      </c>
      <c r="K25" s="4143">
        <f t="shared" si="64"/>
        <v>7.4038784615384623</v>
      </c>
      <c r="L25" s="4144">
        <f t="shared" si="51"/>
        <v>10.49916</v>
      </c>
      <c r="M25" s="4158">
        <f t="shared" si="65"/>
        <v>3.4997199999999999</v>
      </c>
      <c r="N25" s="4156">
        <f t="shared" si="52"/>
        <v>6.8195385490373531E-2</v>
      </c>
      <c r="O25" s="2003"/>
      <c r="P25" s="1950"/>
      <c r="Q25" s="2001">
        <f>$K$25</f>
        <v>7.4038784615384623</v>
      </c>
      <c r="R25" s="2001">
        <f>$K$25</f>
        <v>7.4038784615384623</v>
      </c>
      <c r="S25" s="2001">
        <f>$K$25</f>
        <v>7.4038784615384623</v>
      </c>
      <c r="T25" s="2001">
        <f>$K$25</f>
        <v>7.4038784615384623</v>
      </c>
      <c r="U25" s="2001"/>
      <c r="V25" s="2001">
        <f>$K$25</f>
        <v>7.4038784615384623</v>
      </c>
      <c r="W25" s="2001">
        <f>$K$25</f>
        <v>7.4038784615384623</v>
      </c>
      <c r="X25" s="1951"/>
      <c r="Y25" s="2004">
        <f t="shared" si="78"/>
        <v>44.423270769230776</v>
      </c>
      <c r="Z25" s="2005">
        <f t="shared" si="53"/>
        <v>93.686616000518683</v>
      </c>
      <c r="AA25" s="2006">
        <f t="shared" si="68"/>
        <v>49.263345231287907</v>
      </c>
      <c r="AB25" s="1955"/>
      <c r="AC25" s="2001">
        <f>$K$25</f>
        <v>7.4038784615384623</v>
      </c>
      <c r="AD25" s="2001">
        <f>$K$25</f>
        <v>7.4038784615384623</v>
      </c>
      <c r="AE25" s="2001">
        <f>$K$25</f>
        <v>7.4038784615384623</v>
      </c>
      <c r="AF25" s="2001">
        <f>$K$25</f>
        <v>7.4038784615384623</v>
      </c>
      <c r="AG25" s="2001">
        <f>$M$25</f>
        <v>3.4997199999999999</v>
      </c>
      <c r="AH25" s="2001">
        <f>$K$25</f>
        <v>7.4038784615384623</v>
      </c>
      <c r="AI25" s="2001">
        <f>$K$25</f>
        <v>7.4038784615384623</v>
      </c>
      <c r="AJ25" s="1955"/>
      <c r="AK25" s="2004">
        <f t="shared" si="69"/>
        <v>47.922990769230772</v>
      </c>
      <c r="AL25" s="2005">
        <f t="shared" si="54"/>
        <v>93.108796499258759</v>
      </c>
      <c r="AM25" s="2006">
        <f t="shared" si="70"/>
        <v>45.185805730027987</v>
      </c>
      <c r="AN25" s="1955"/>
      <c r="AO25" s="2005">
        <f>$K$25</f>
        <v>7.4038784615384623</v>
      </c>
      <c r="AP25" s="2005">
        <f>$K$25</f>
        <v>7.4038784615384623</v>
      </c>
      <c r="AQ25" s="2005">
        <f>$K$25</f>
        <v>7.4038784615384623</v>
      </c>
      <c r="AR25" s="2005">
        <f>$K$25</f>
        <v>7.4038784615384623</v>
      </c>
      <c r="AS25" s="2005">
        <f>$M$25</f>
        <v>3.4997199999999999</v>
      </c>
      <c r="AT25" s="2005">
        <f>$K$25</f>
        <v>7.4038784615384623</v>
      </c>
      <c r="AU25" s="2005">
        <f>$K$25</f>
        <v>7.4038784615384623</v>
      </c>
      <c r="AV25" s="2299"/>
      <c r="AW25" s="2004">
        <f t="shared" si="71"/>
        <v>47.922990769230772</v>
      </c>
      <c r="AX25" s="2005">
        <f t="shared" si="55"/>
        <v>85.304652974511399</v>
      </c>
      <c r="AY25" s="2006">
        <f t="shared" si="72"/>
        <v>37.381662205280627</v>
      </c>
      <c r="AZ25" s="2299"/>
      <c r="BA25" s="2005">
        <f t="shared" ref="BA25:BG25" si="81">$K$25</f>
        <v>7.4038784615384623</v>
      </c>
      <c r="BB25" s="2005">
        <f t="shared" si="81"/>
        <v>7.4038784615384623</v>
      </c>
      <c r="BC25" s="2005">
        <f t="shared" si="81"/>
        <v>7.4038784615384623</v>
      </c>
      <c r="BD25" s="2005">
        <f t="shared" si="81"/>
        <v>7.4038784615384623</v>
      </c>
      <c r="BE25" s="2005">
        <f>$M$25</f>
        <v>3.4997199999999999</v>
      </c>
      <c r="BF25" s="2005">
        <f t="shared" si="81"/>
        <v>7.4038784615384623</v>
      </c>
      <c r="BG25" s="2005">
        <f t="shared" si="81"/>
        <v>7.4038784615384623</v>
      </c>
      <c r="BH25" s="2299"/>
      <c r="BI25" s="2004">
        <f t="shared" si="74"/>
        <v>47.922990769230772</v>
      </c>
      <c r="BJ25" s="2005">
        <f t="shared" si="57"/>
        <v>82.16718787425576</v>
      </c>
      <c r="BK25" s="2006">
        <f t="shared" si="75"/>
        <v>34.244197105024988</v>
      </c>
      <c r="BL25" s="1951"/>
      <c r="BM25" s="2001">
        <f t="shared" ref="BM25:BN25" si="82">$K$25</f>
        <v>7.4038784615384623</v>
      </c>
      <c r="BN25" s="2001">
        <f t="shared" si="82"/>
        <v>7.4038784615384623</v>
      </c>
      <c r="BO25" s="1951"/>
      <c r="BP25" s="2004">
        <f t="shared" si="59"/>
        <v>14.807756923076925</v>
      </c>
      <c r="BQ25" s="2005">
        <f t="shared" si="60"/>
        <v>22.170933581389846</v>
      </c>
      <c r="BR25" s="2006">
        <f>BQ25-BP25</f>
        <v>7.3631766583129217</v>
      </c>
      <c r="BT25" s="3517">
        <v>0</v>
      </c>
      <c r="BU25" s="2008">
        <f t="shared" si="61"/>
        <v>0</v>
      </c>
      <c r="BV25" s="1959"/>
      <c r="BW25" s="1901">
        <f t="shared" si="62"/>
        <v>195.59612153846155</v>
      </c>
      <c r="BX25" s="1902">
        <f t="shared" si="63"/>
        <v>0.96352769230769231</v>
      </c>
      <c r="BY25" s="1962"/>
      <c r="BZ25" s="1905"/>
      <c r="CB25" s="3512"/>
      <c r="CC25" s="2009">
        <v>44012</v>
      </c>
      <c r="CD25" s="2010"/>
      <c r="CE25" s="2011"/>
      <c r="CF25" s="1946"/>
      <c r="CG25" s="1946"/>
      <c r="CH25" s="1946"/>
      <c r="CI25" s="1946"/>
      <c r="CJ25" s="2012"/>
      <c r="CK25" s="1946"/>
    </row>
    <row r="26" spans="1:176" s="1756" customFormat="1" x14ac:dyDescent="0.2">
      <c r="B26" s="1963">
        <v>18</v>
      </c>
      <c r="C26" s="1963" t="s">
        <v>268</v>
      </c>
      <c r="D26" s="2578"/>
      <c r="E26" s="1728">
        <v>0</v>
      </c>
      <c r="F26" s="1728"/>
      <c r="G26" s="1728"/>
      <c r="H26" s="1728"/>
      <c r="I26" s="4138"/>
      <c r="J26" s="4144">
        <f t="shared" si="50"/>
        <v>0</v>
      </c>
      <c r="K26" s="4143">
        <f t="shared" si="64"/>
        <v>0</v>
      </c>
      <c r="L26" s="4144">
        <f t="shared" si="51"/>
        <v>0</v>
      </c>
      <c r="M26" s="4158">
        <f t="shared" si="65"/>
        <v>0</v>
      </c>
      <c r="N26" s="4155">
        <f t="shared" si="52"/>
        <v>0</v>
      </c>
      <c r="O26" s="1931"/>
      <c r="P26" s="1924"/>
      <c r="Q26" s="1728">
        <f>$K$26</f>
        <v>0</v>
      </c>
      <c r="R26" s="1728">
        <f>$K$26</f>
        <v>0</v>
      </c>
      <c r="S26" s="1728">
        <f>$K$26</f>
        <v>0</v>
      </c>
      <c r="T26" s="1728">
        <f>$K$26</f>
        <v>0</v>
      </c>
      <c r="U26" s="1728"/>
      <c r="V26" s="1728">
        <f>$K$26</f>
        <v>0</v>
      </c>
      <c r="W26" s="1728">
        <f>$K$26</f>
        <v>0</v>
      </c>
      <c r="X26" s="3271"/>
      <c r="Y26" s="1982">
        <f t="shared" si="78"/>
        <v>0</v>
      </c>
      <c r="Z26" s="2268">
        <f t="shared" si="53"/>
        <v>0</v>
      </c>
      <c r="AA26" s="1984">
        <f t="shared" si="68"/>
        <v>0</v>
      </c>
      <c r="AB26" s="1764"/>
      <c r="AC26" s="1728">
        <f>$K$26</f>
        <v>0</v>
      </c>
      <c r="AD26" s="1728">
        <f>$K$26</f>
        <v>0</v>
      </c>
      <c r="AE26" s="1728">
        <f>$K$26</f>
        <v>0</v>
      </c>
      <c r="AF26" s="1728">
        <f>$K$26</f>
        <v>0</v>
      </c>
      <c r="AG26" s="1728">
        <f>$M$26</f>
        <v>0</v>
      </c>
      <c r="AH26" s="1728">
        <f>$K$26</f>
        <v>0</v>
      </c>
      <c r="AI26" s="1728">
        <f>$K$26</f>
        <v>0</v>
      </c>
      <c r="AJ26" s="1764"/>
      <c r="AK26" s="1982">
        <f t="shared" si="69"/>
        <v>0</v>
      </c>
      <c r="AL26" s="2268">
        <f t="shared" si="54"/>
        <v>0</v>
      </c>
      <c r="AM26" s="1984">
        <f t="shared" si="70"/>
        <v>0</v>
      </c>
      <c r="AN26" s="1764"/>
      <c r="AO26" s="2268">
        <f>$K$26</f>
        <v>0</v>
      </c>
      <c r="AP26" s="2268">
        <f>$K$26</f>
        <v>0</v>
      </c>
      <c r="AQ26" s="2268">
        <f>$K$26</f>
        <v>0</v>
      </c>
      <c r="AR26" s="2268">
        <f>$K$26</f>
        <v>0</v>
      </c>
      <c r="AS26" s="2268">
        <f>$M$26</f>
        <v>0</v>
      </c>
      <c r="AT26" s="2268">
        <f>$K$26</f>
        <v>0</v>
      </c>
      <c r="AU26" s="2268">
        <f>$K$26</f>
        <v>0</v>
      </c>
      <c r="AV26" s="2289"/>
      <c r="AW26" s="1982">
        <f t="shared" si="71"/>
        <v>0</v>
      </c>
      <c r="AX26" s="2268">
        <f t="shared" si="55"/>
        <v>0</v>
      </c>
      <c r="AY26" s="1984">
        <f t="shared" si="72"/>
        <v>0</v>
      </c>
      <c r="AZ26" s="2289"/>
      <c r="BA26" s="2268">
        <f t="shared" ref="BA26:BG26" si="83">$K$26</f>
        <v>0</v>
      </c>
      <c r="BB26" s="2268">
        <f t="shared" si="83"/>
        <v>0</v>
      </c>
      <c r="BC26" s="2268">
        <f t="shared" si="83"/>
        <v>0</v>
      </c>
      <c r="BD26" s="2268">
        <f t="shared" si="83"/>
        <v>0</v>
      </c>
      <c r="BE26" s="2268">
        <f>$M$26</f>
        <v>0</v>
      </c>
      <c r="BF26" s="2268">
        <f t="shared" si="83"/>
        <v>0</v>
      </c>
      <c r="BG26" s="2268">
        <f t="shared" si="83"/>
        <v>0</v>
      </c>
      <c r="BH26" s="2289"/>
      <c r="BI26" s="1982">
        <f t="shared" si="74"/>
        <v>0</v>
      </c>
      <c r="BJ26" s="2268">
        <f t="shared" si="57"/>
        <v>0</v>
      </c>
      <c r="BK26" s="1984">
        <f t="shared" si="75"/>
        <v>0</v>
      </c>
      <c r="BL26" s="3271"/>
      <c r="BM26" s="1728">
        <f t="shared" ref="BM26:BN26" si="84">$K$26</f>
        <v>0</v>
      </c>
      <c r="BN26" s="1728">
        <f t="shared" si="84"/>
        <v>0</v>
      </c>
      <c r="BO26" s="3271"/>
      <c r="BP26" s="1982">
        <f t="shared" si="59"/>
        <v>0</v>
      </c>
      <c r="BQ26" s="2268">
        <f t="shared" si="60"/>
        <v>0</v>
      </c>
      <c r="BR26" s="1984">
        <f>BQ26-BP26</f>
        <v>0</v>
      </c>
      <c r="BT26" s="1735">
        <v>0</v>
      </c>
      <c r="BU26" s="1768" t="e">
        <f t="shared" si="61"/>
        <v>#DIV/0!</v>
      </c>
      <c r="BV26" s="3247"/>
      <c r="BW26" s="1763">
        <f t="shared" si="62"/>
        <v>0</v>
      </c>
      <c r="BX26" s="1883" t="e">
        <f t="shared" si="63"/>
        <v>#DIV/0!</v>
      </c>
      <c r="BY26" s="1830"/>
      <c r="BZ26" s="1761"/>
      <c r="CB26" s="3257"/>
      <c r="CC26" s="2015">
        <v>44012</v>
      </c>
      <c r="CD26" s="1997"/>
      <c r="CE26" s="1861"/>
      <c r="CF26" s="1860"/>
      <c r="CG26" s="1860"/>
      <c r="CH26" s="1860"/>
      <c r="CI26" s="1860"/>
      <c r="CJ26" s="1998"/>
      <c r="CK26" s="1860"/>
    </row>
    <row r="27" spans="1:176" s="1947" customFormat="1" x14ac:dyDescent="0.2">
      <c r="B27" s="2000">
        <v>19</v>
      </c>
      <c r="C27" s="2000" t="s">
        <v>211</v>
      </c>
      <c r="D27" s="2579"/>
      <c r="E27" s="2001">
        <v>101.02500000000001</v>
      </c>
      <c r="F27" s="2001"/>
      <c r="G27" s="2001"/>
      <c r="H27" s="2001"/>
      <c r="I27" s="4140"/>
      <c r="J27" s="4144">
        <f t="shared" si="50"/>
        <v>95.799987000000002</v>
      </c>
      <c r="K27" s="4143">
        <f t="shared" si="64"/>
        <v>3.6846148846153848</v>
      </c>
      <c r="L27" s="4144">
        <f t="shared" si="51"/>
        <v>5.2250129999999997</v>
      </c>
      <c r="M27" s="4158">
        <f t="shared" si="65"/>
        <v>1.741671</v>
      </c>
      <c r="N27" s="4156">
        <f t="shared" si="52"/>
        <v>3.3938122261896485E-2</v>
      </c>
      <c r="O27" s="2003"/>
      <c r="P27" s="1950"/>
      <c r="Q27" s="2001">
        <f>$K$27</f>
        <v>3.6846148846153848</v>
      </c>
      <c r="R27" s="2001">
        <f>$K$27</f>
        <v>3.6846148846153848</v>
      </c>
      <c r="S27" s="2001">
        <f>$K$27</f>
        <v>3.6846148846153848</v>
      </c>
      <c r="T27" s="2001">
        <f>$K$27</f>
        <v>3.6846148846153848</v>
      </c>
      <c r="U27" s="2001"/>
      <c r="V27" s="2001">
        <f>$K$27</f>
        <v>3.6846148846153848</v>
      </c>
      <c r="W27" s="2001">
        <f>$K$27</f>
        <v>3.6846148846153848</v>
      </c>
      <c r="X27" s="1951"/>
      <c r="Y27" s="2004">
        <f t="shared" si="78"/>
        <v>22.107689307692308</v>
      </c>
      <c r="Z27" s="2005">
        <f t="shared" si="53"/>
        <v>46.624090549026604</v>
      </c>
      <c r="AA27" s="2006">
        <f t="shared" si="68"/>
        <v>24.516401241334297</v>
      </c>
      <c r="AB27" s="1955"/>
      <c r="AC27" s="2001">
        <f>$K$27</f>
        <v>3.6846148846153848</v>
      </c>
      <c r="AD27" s="2001">
        <f>$K$27</f>
        <v>3.6846148846153848</v>
      </c>
      <c r="AE27" s="2001">
        <f>$K$27</f>
        <v>3.6846148846153848</v>
      </c>
      <c r="AF27" s="2001">
        <f>$K$27</f>
        <v>3.6846148846153848</v>
      </c>
      <c r="AG27" s="2001">
        <f>$M$27</f>
        <v>1.741671</v>
      </c>
      <c r="AH27" s="2001">
        <f>$K$27</f>
        <v>3.6846148846153848</v>
      </c>
      <c r="AI27" s="2001">
        <f>$K$27</f>
        <v>3.6846148846153848</v>
      </c>
      <c r="AJ27" s="1955"/>
      <c r="AK27" s="2004">
        <f t="shared" si="69"/>
        <v>23.849360307692308</v>
      </c>
      <c r="AL27" s="2005">
        <f t="shared" si="54"/>
        <v>46.336532839101558</v>
      </c>
      <c r="AM27" s="2006">
        <f t="shared" si="70"/>
        <v>22.48717253140925</v>
      </c>
      <c r="AN27" s="1955"/>
      <c r="AO27" s="2005">
        <f>$K$27</f>
        <v>3.6846148846153848</v>
      </c>
      <c r="AP27" s="2005">
        <f>$K$27</f>
        <v>3.6846148846153848</v>
      </c>
      <c r="AQ27" s="2005">
        <f>$K$27</f>
        <v>3.6846148846153848</v>
      </c>
      <c r="AR27" s="2005">
        <f>$K$27</f>
        <v>3.6846148846153848</v>
      </c>
      <c r="AS27" s="2005">
        <f>$M$27</f>
        <v>1.741671</v>
      </c>
      <c r="AT27" s="2005">
        <f>$K$27</f>
        <v>3.6846148846153848</v>
      </c>
      <c r="AU27" s="2005">
        <f>$K$27</f>
        <v>3.6846148846153848</v>
      </c>
      <c r="AV27" s="2299"/>
      <c r="AW27" s="2004">
        <f t="shared" si="71"/>
        <v>23.849360307692308</v>
      </c>
      <c r="AX27" s="2005">
        <f t="shared" si="55"/>
        <v>42.452722003694653</v>
      </c>
      <c r="AY27" s="2006">
        <f t="shared" si="72"/>
        <v>18.603361696002345</v>
      </c>
      <c r="AZ27" s="2299"/>
      <c r="BA27" s="2005">
        <f t="shared" ref="BA27:BG27" si="85">$K$27</f>
        <v>3.6846148846153848</v>
      </c>
      <c r="BB27" s="2005">
        <f t="shared" si="85"/>
        <v>3.6846148846153848</v>
      </c>
      <c r="BC27" s="2005">
        <f t="shared" si="85"/>
        <v>3.6846148846153848</v>
      </c>
      <c r="BD27" s="2005">
        <f t="shared" si="85"/>
        <v>3.6846148846153848</v>
      </c>
      <c r="BE27" s="2005">
        <f>$M$27</f>
        <v>1.741671</v>
      </c>
      <c r="BF27" s="2005">
        <f t="shared" si="85"/>
        <v>3.6846148846153848</v>
      </c>
      <c r="BG27" s="2005">
        <f t="shared" si="85"/>
        <v>3.6846148846153848</v>
      </c>
      <c r="BH27" s="2299"/>
      <c r="BI27" s="2004">
        <f t="shared" si="74"/>
        <v>23.849360307692308</v>
      </c>
      <c r="BJ27" s="2005">
        <f t="shared" si="57"/>
        <v>40.891330812791573</v>
      </c>
      <c r="BK27" s="2006">
        <f t="shared" si="75"/>
        <v>17.041970505099265</v>
      </c>
      <c r="BL27" s="1951"/>
      <c r="BM27" s="2001">
        <f t="shared" ref="BM27:BN27" si="86">$K$27</f>
        <v>3.6846148846153848</v>
      </c>
      <c r="BN27" s="2001">
        <f t="shared" si="86"/>
        <v>3.6846148846153848</v>
      </c>
      <c r="BO27" s="1951"/>
      <c r="BP27" s="2004">
        <f t="shared" si="59"/>
        <v>7.3692297692307696</v>
      </c>
      <c r="BQ27" s="2005">
        <f t="shared" si="60"/>
        <v>11.033588990442903</v>
      </c>
      <c r="BR27" s="2006">
        <f>BQ27-BP27</f>
        <v>3.6643592212121332</v>
      </c>
      <c r="BT27" s="3517">
        <v>0</v>
      </c>
      <c r="BU27" s="2008">
        <f t="shared" si="61"/>
        <v>0</v>
      </c>
      <c r="BV27" s="1959"/>
      <c r="BW27" s="1901">
        <f t="shared" si="62"/>
        <v>97.34038511538462</v>
      </c>
      <c r="BX27" s="1902">
        <f t="shared" si="63"/>
        <v>0.96352769230769231</v>
      </c>
      <c r="BY27" s="1962"/>
      <c r="BZ27" s="1905"/>
      <c r="CB27" s="3512"/>
      <c r="CC27" s="2479">
        <f>CC26-CC25-1</f>
        <v>-1</v>
      </c>
      <c r="CD27" s="2010"/>
      <c r="CE27" s="2011"/>
      <c r="CF27" s="1946"/>
      <c r="CG27" s="1946"/>
      <c r="CH27" s="1946"/>
      <c r="CI27" s="1946"/>
      <c r="CJ27" s="2012"/>
      <c r="CK27" s="1946"/>
    </row>
    <row r="28" spans="1:176" s="1756" customFormat="1" x14ac:dyDescent="0.2">
      <c r="B28" s="1963">
        <v>20</v>
      </c>
      <c r="C28" s="1963" t="s">
        <v>255</v>
      </c>
      <c r="D28" s="2578"/>
      <c r="E28" s="1728">
        <v>75</v>
      </c>
      <c r="F28" s="1728"/>
      <c r="G28" s="1728"/>
      <c r="H28" s="1728"/>
      <c r="I28" s="4138"/>
      <c r="J28" s="4144">
        <f t="shared" si="50"/>
        <v>71.120999999999995</v>
      </c>
      <c r="K28" s="4143">
        <f t="shared" si="64"/>
        <v>2.7354230769230767</v>
      </c>
      <c r="L28" s="4144">
        <f t="shared" si="51"/>
        <v>3.8789999999999996</v>
      </c>
      <c r="M28" s="4158">
        <f t="shared" si="65"/>
        <v>1.2929999999999999</v>
      </c>
      <c r="N28" s="4155">
        <f t="shared" si="52"/>
        <v>2.5195339466886773E-2</v>
      </c>
      <c r="O28" s="1931"/>
      <c r="P28" s="1924"/>
      <c r="Q28" s="1728">
        <f>$K$28</f>
        <v>2.7354230769230767</v>
      </c>
      <c r="R28" s="1728">
        <f>$K$28</f>
        <v>2.7354230769230767</v>
      </c>
      <c r="S28" s="1728">
        <f>$K$28</f>
        <v>2.7354230769230767</v>
      </c>
      <c r="T28" s="1728">
        <f>$K$28</f>
        <v>2.7354230769230767</v>
      </c>
      <c r="U28" s="1728"/>
      <c r="V28" s="1728">
        <f>$K$28</f>
        <v>2.7354230769230767</v>
      </c>
      <c r="W28" s="1728">
        <f>$K$28</f>
        <v>2.7354230769230767</v>
      </c>
      <c r="X28" s="3516"/>
      <c r="Y28" s="1982">
        <f t="shared" si="78"/>
        <v>16.41253846153846</v>
      </c>
      <c r="Z28" s="2268">
        <f t="shared" si="53"/>
        <v>34.61328177359065</v>
      </c>
      <c r="AA28" s="1984">
        <f t="shared" si="68"/>
        <v>18.20074331205219</v>
      </c>
      <c r="AB28" s="1764"/>
      <c r="AC28" s="1728">
        <f>$K$28</f>
        <v>2.7354230769230767</v>
      </c>
      <c r="AD28" s="1728">
        <f>$K$28</f>
        <v>2.7354230769230767</v>
      </c>
      <c r="AE28" s="1728">
        <f>$K$28</f>
        <v>2.7354230769230767</v>
      </c>
      <c r="AF28" s="1728">
        <f>$K$28</f>
        <v>2.7354230769230767</v>
      </c>
      <c r="AG28" s="1728">
        <f>$M$28</f>
        <v>1.2929999999999999</v>
      </c>
      <c r="AH28" s="1728">
        <f>$K$28</f>
        <v>2.7354230769230767</v>
      </c>
      <c r="AI28" s="1728">
        <f>$K$28</f>
        <v>2.7354230769230767</v>
      </c>
      <c r="AJ28" s="1764"/>
      <c r="AK28" s="1982">
        <f t="shared" si="69"/>
        <v>17.70553846153846</v>
      </c>
      <c r="AL28" s="2268">
        <f t="shared" si="54"/>
        <v>34.399801662287722</v>
      </c>
      <c r="AM28" s="1984">
        <f t="shared" si="70"/>
        <v>16.694263200749262</v>
      </c>
      <c r="AN28" s="1764"/>
      <c r="AO28" s="2268">
        <f>$K$28</f>
        <v>2.7354230769230767</v>
      </c>
      <c r="AP28" s="2268">
        <f>$K$28</f>
        <v>2.7354230769230767</v>
      </c>
      <c r="AQ28" s="2268">
        <f>$K$28</f>
        <v>2.7354230769230767</v>
      </c>
      <c r="AR28" s="2268">
        <f>$K$28</f>
        <v>2.7354230769230767</v>
      </c>
      <c r="AS28" s="2268">
        <f>$M$28</f>
        <v>1.2929999999999999</v>
      </c>
      <c r="AT28" s="2268">
        <f>$K$28</f>
        <v>2.7354230769230767</v>
      </c>
      <c r="AU28" s="2268">
        <f>$K$28</f>
        <v>2.7354230769230767</v>
      </c>
      <c r="AV28" s="2289"/>
      <c r="AW28" s="1982">
        <f t="shared" si="71"/>
        <v>17.70553846153846</v>
      </c>
      <c r="AX28" s="2268">
        <f t="shared" si="55"/>
        <v>31.516497404376132</v>
      </c>
      <c r="AY28" s="1984">
        <f t="shared" si="72"/>
        <v>13.810958942837672</v>
      </c>
      <c r="AZ28" s="2289"/>
      <c r="BA28" s="2268">
        <f t="shared" ref="BA28:BG28" si="87">$K$28</f>
        <v>2.7354230769230767</v>
      </c>
      <c r="BB28" s="2268">
        <f t="shared" si="87"/>
        <v>2.7354230769230767</v>
      </c>
      <c r="BC28" s="2268">
        <f t="shared" si="87"/>
        <v>2.7354230769230767</v>
      </c>
      <c r="BD28" s="2268">
        <f t="shared" si="87"/>
        <v>2.7354230769230767</v>
      </c>
      <c r="BE28" s="2268">
        <f>$M$28</f>
        <v>1.2929999999999999</v>
      </c>
      <c r="BF28" s="2268">
        <f t="shared" si="87"/>
        <v>2.7354230769230767</v>
      </c>
      <c r="BG28" s="2268">
        <f t="shared" si="87"/>
        <v>2.7354230769230767</v>
      </c>
      <c r="BH28" s="2289"/>
      <c r="BI28" s="1982">
        <f t="shared" si="74"/>
        <v>17.70553846153846</v>
      </c>
      <c r="BJ28" s="2268">
        <f t="shared" si="57"/>
        <v>30.357335421523068</v>
      </c>
      <c r="BK28" s="1984">
        <f t="shared" si="75"/>
        <v>12.651796959984608</v>
      </c>
      <c r="BL28" s="3516"/>
      <c r="BM28" s="1728">
        <f t="shared" ref="BM28:BN28" si="88">$K$28</f>
        <v>2.7354230769230767</v>
      </c>
      <c r="BN28" s="1728">
        <f t="shared" si="88"/>
        <v>2.7354230769230767</v>
      </c>
      <c r="BO28" s="3516"/>
      <c r="BP28" s="1982">
        <f t="shared" si="59"/>
        <v>5.4708461538461535</v>
      </c>
      <c r="BQ28" s="2268">
        <f t="shared" si="60"/>
        <v>8.1912316187400922</v>
      </c>
      <c r="BR28" s="1984">
        <f t="shared" ref="BR28:BR44" si="89">BQ28-BP28</f>
        <v>2.7203854648939387</v>
      </c>
      <c r="BT28" s="1735">
        <v>0</v>
      </c>
      <c r="BU28" s="1768">
        <f t="shared" si="61"/>
        <v>0</v>
      </c>
      <c r="BV28" s="3511"/>
      <c r="BW28" s="1763">
        <f t="shared" si="62"/>
        <v>72.264576923076902</v>
      </c>
      <c r="BX28" s="1883">
        <f t="shared" si="63"/>
        <v>0.96352769230769197</v>
      </c>
      <c r="BY28" s="1830"/>
      <c r="BZ28" s="1761"/>
      <c r="CB28" s="3514"/>
      <c r="CC28" s="1985"/>
      <c r="CD28" s="1997"/>
      <c r="CE28" s="1861"/>
      <c r="CF28" s="1860"/>
      <c r="CG28" s="1860"/>
      <c r="CH28" s="1860"/>
      <c r="CI28" s="1860"/>
      <c r="CJ28" s="1998"/>
      <c r="CK28" s="1860"/>
    </row>
    <row r="29" spans="1:176" s="1947" customFormat="1" x14ac:dyDescent="0.2">
      <c r="B29" s="2000">
        <v>21</v>
      </c>
      <c r="C29" s="2000" t="s">
        <v>235</v>
      </c>
      <c r="D29" s="2579"/>
      <c r="E29" s="2001">
        <v>19.166</v>
      </c>
      <c r="F29" s="2001">
        <v>10</v>
      </c>
      <c r="G29" s="2001">
        <v>6.666666666666667</v>
      </c>
      <c r="H29" s="2001">
        <v>5</v>
      </c>
      <c r="I29" s="4140">
        <v>4</v>
      </c>
      <c r="J29" s="4144">
        <f t="shared" si="50"/>
        <v>18.174734480000001</v>
      </c>
      <c r="K29" s="4143">
        <f t="shared" si="64"/>
        <v>0.69902824923076934</v>
      </c>
      <c r="L29" s="4144">
        <f t="shared" si="51"/>
        <v>0.9912655199999999</v>
      </c>
      <c r="M29" s="4158">
        <f t="shared" si="65"/>
        <v>0.33042183999999997</v>
      </c>
      <c r="N29" s="4156">
        <f t="shared" si="52"/>
        <v>6.4385850162980256E-3</v>
      </c>
      <c r="O29" s="2003"/>
      <c r="P29" s="1950"/>
      <c r="Q29" s="2001">
        <f>$K$29</f>
        <v>0.69902824923076934</v>
      </c>
      <c r="R29" s="2001">
        <f>$K$29</f>
        <v>0.69902824923076934</v>
      </c>
      <c r="S29" s="2001">
        <f>$K$29</f>
        <v>0.69902824923076934</v>
      </c>
      <c r="T29" s="2001">
        <f>$K$29</f>
        <v>0.69902824923076934</v>
      </c>
      <c r="U29" s="2001"/>
      <c r="V29" s="2001">
        <f>$K$29</f>
        <v>0.69902824923076934</v>
      </c>
      <c r="W29" s="2001">
        <f>$K$29</f>
        <v>0.69902824923076934</v>
      </c>
      <c r="X29" s="1951"/>
      <c r="Y29" s="2004">
        <f t="shared" si="78"/>
        <v>4.1941694953846165</v>
      </c>
      <c r="Z29" s="2005">
        <f t="shared" si="53"/>
        <v>8.8453087796351788</v>
      </c>
      <c r="AA29" s="2006">
        <f t="shared" si="68"/>
        <v>4.6511392842505623</v>
      </c>
      <c r="AB29" s="1955"/>
      <c r="AC29" s="2001">
        <f>$K$29</f>
        <v>0.69902824923076934</v>
      </c>
      <c r="AD29" s="2001">
        <f>$K$29</f>
        <v>0.69902824923076934</v>
      </c>
      <c r="AE29" s="2001">
        <f>$K$29</f>
        <v>0.69902824923076934</v>
      </c>
      <c r="AF29" s="2001">
        <f>$K$29</f>
        <v>0.69902824923076934</v>
      </c>
      <c r="AG29" s="2001">
        <f>$M$29</f>
        <v>0.33042183999999997</v>
      </c>
      <c r="AH29" s="2001">
        <f>$K$29</f>
        <v>0.69902824923076934</v>
      </c>
      <c r="AI29" s="2001">
        <f>$K$29</f>
        <v>0.69902824923076934</v>
      </c>
      <c r="AJ29" s="1955"/>
      <c r="AK29" s="2004">
        <f t="shared" si="69"/>
        <v>4.5245913353846161</v>
      </c>
      <c r="AL29" s="2005">
        <f t="shared" si="54"/>
        <v>8.7907546487920865</v>
      </c>
      <c r="AM29" s="2006">
        <f t="shared" si="70"/>
        <v>4.2661633134074703</v>
      </c>
      <c r="AN29" s="1955"/>
      <c r="AO29" s="2005">
        <f>$K$29</f>
        <v>0.69902824923076934</v>
      </c>
      <c r="AP29" s="2005">
        <f>$K$29</f>
        <v>0.69902824923076934</v>
      </c>
      <c r="AQ29" s="2005">
        <f>$K$29</f>
        <v>0.69902824923076934</v>
      </c>
      <c r="AR29" s="2005">
        <f>$K$29</f>
        <v>0.69902824923076934</v>
      </c>
      <c r="AS29" s="2005">
        <f>$M$29</f>
        <v>0.33042183999999997</v>
      </c>
      <c r="AT29" s="2005">
        <f>$K$29</f>
        <v>0.69902824923076934</v>
      </c>
      <c r="AU29" s="2005">
        <f>$K$29</f>
        <v>0.69902824923076934</v>
      </c>
      <c r="AV29" s="2299"/>
      <c r="AW29" s="2004">
        <f t="shared" si="71"/>
        <v>4.5245913353846161</v>
      </c>
      <c r="AX29" s="2005">
        <f t="shared" si="55"/>
        <v>8.0539358566969739</v>
      </c>
      <c r="AY29" s="2006">
        <f t="shared" si="72"/>
        <v>3.5293445213123578</v>
      </c>
      <c r="AZ29" s="2299"/>
      <c r="BA29" s="2005">
        <f t="shared" ref="BA29:BG29" si="90">$K$29</f>
        <v>0.69902824923076934</v>
      </c>
      <c r="BB29" s="2005">
        <f t="shared" si="90"/>
        <v>0.69902824923076934</v>
      </c>
      <c r="BC29" s="2005">
        <f t="shared" si="90"/>
        <v>0.69902824923076934</v>
      </c>
      <c r="BD29" s="2005">
        <f t="shared" si="90"/>
        <v>0.69902824923076934</v>
      </c>
      <c r="BE29" s="2005">
        <f>$M$29</f>
        <v>0.33042183999999997</v>
      </c>
      <c r="BF29" s="2005">
        <f t="shared" si="90"/>
        <v>0.69902824923076934</v>
      </c>
      <c r="BG29" s="2005">
        <f t="shared" si="90"/>
        <v>0.69902824923076934</v>
      </c>
      <c r="BH29" s="2299"/>
      <c r="BI29" s="2004">
        <f t="shared" si="74"/>
        <v>4.5245913353846161</v>
      </c>
      <c r="BJ29" s="2005">
        <f t="shared" si="57"/>
        <v>7.7577158758521474</v>
      </c>
      <c r="BK29" s="2006">
        <f t="shared" si="75"/>
        <v>3.2331245404675313</v>
      </c>
      <c r="BL29" s="1951"/>
      <c r="BM29" s="2001">
        <f t="shared" ref="BM29:BN29" si="91">$K$29</f>
        <v>0.69902824923076934</v>
      </c>
      <c r="BN29" s="2001">
        <f t="shared" si="91"/>
        <v>0.69902824923076934</v>
      </c>
      <c r="BO29" s="1951"/>
      <c r="BP29" s="2004">
        <f t="shared" si="59"/>
        <v>1.3980564984615387</v>
      </c>
      <c r="BQ29" s="2005">
        <f t="shared" si="60"/>
        <v>2.0932419360636345</v>
      </c>
      <c r="BR29" s="2006">
        <f t="shared" si="89"/>
        <v>0.69518543760209583</v>
      </c>
      <c r="BT29" s="3517">
        <v>0</v>
      </c>
      <c r="BU29" s="2008">
        <f t="shared" si="61"/>
        <v>0</v>
      </c>
      <c r="BV29" s="1959"/>
      <c r="BW29" s="1901">
        <f t="shared" si="62"/>
        <v>18.466971750769233</v>
      </c>
      <c r="BX29" s="1902">
        <f t="shared" si="63"/>
        <v>0.96352769230769242</v>
      </c>
      <c r="BY29" s="1962"/>
      <c r="BZ29" s="1905"/>
      <c r="CB29" s="3512"/>
      <c r="CC29" s="2488"/>
      <c r="CD29" s="2010" t="s">
        <v>157</v>
      </c>
      <c r="CE29" s="2490">
        <f>BW1</f>
        <v>0.96666666666666667</v>
      </c>
      <c r="CF29" s="1946"/>
      <c r="CG29" s="1946"/>
      <c r="CH29" s="1946"/>
      <c r="CI29" s="1946"/>
      <c r="CJ29" s="2012"/>
      <c r="CK29" s="1946"/>
    </row>
    <row r="30" spans="1:176" s="1726" customFormat="1" x14ac:dyDescent="0.2">
      <c r="A30" s="1756"/>
      <c r="B30" s="1963">
        <v>22</v>
      </c>
      <c r="C30" s="1963" t="s">
        <v>202</v>
      </c>
      <c r="D30" s="2578"/>
      <c r="E30" s="1728">
        <v>50</v>
      </c>
      <c r="F30" s="1728"/>
      <c r="G30" s="1728"/>
      <c r="H30" s="1728"/>
      <c r="I30" s="4138"/>
      <c r="J30" s="4144">
        <f t="shared" si="50"/>
        <v>47.414000000000001</v>
      </c>
      <c r="K30" s="4143">
        <f t="shared" si="64"/>
        <v>1.8236153846153846</v>
      </c>
      <c r="L30" s="4144">
        <f t="shared" si="51"/>
        <v>2.5859999999999999</v>
      </c>
      <c r="M30" s="4158">
        <f t="shared" si="65"/>
        <v>0.86199999999999999</v>
      </c>
      <c r="N30" s="4155">
        <f t="shared" si="52"/>
        <v>1.6796892977924516E-2</v>
      </c>
      <c r="O30" s="1931"/>
      <c r="P30" s="1877"/>
      <c r="Q30" s="1728">
        <f>$K$30</f>
        <v>1.8236153846153846</v>
      </c>
      <c r="R30" s="1728">
        <f>$K$30</f>
        <v>1.8236153846153846</v>
      </c>
      <c r="S30" s="1728">
        <f>$K$30</f>
        <v>1.8236153846153846</v>
      </c>
      <c r="T30" s="1728">
        <f>$K$30</f>
        <v>1.8236153846153846</v>
      </c>
      <c r="U30" s="1728"/>
      <c r="V30" s="1728">
        <f>$K$30</f>
        <v>1.8236153846153846</v>
      </c>
      <c r="W30" s="1728">
        <f>$K$30</f>
        <v>1.8236153846153846</v>
      </c>
      <c r="X30" s="3515"/>
      <c r="Y30" s="1982">
        <f t="shared" si="78"/>
        <v>10.941692307692309</v>
      </c>
      <c r="Z30" s="2268">
        <f t="shared" si="53"/>
        <v>23.075521182393768</v>
      </c>
      <c r="AA30" s="1984">
        <f t="shared" si="68"/>
        <v>12.133828874701459</v>
      </c>
      <c r="AB30" s="1881"/>
      <c r="AC30" s="1728">
        <f>$K$30</f>
        <v>1.8236153846153846</v>
      </c>
      <c r="AD30" s="1728">
        <f>$K$30</f>
        <v>1.8236153846153846</v>
      </c>
      <c r="AE30" s="1728">
        <f>$K$30</f>
        <v>1.8236153846153846</v>
      </c>
      <c r="AF30" s="1728">
        <f>$K$30</f>
        <v>1.8236153846153846</v>
      </c>
      <c r="AG30" s="1728">
        <f>$M$30</f>
        <v>0.86199999999999999</v>
      </c>
      <c r="AH30" s="1728">
        <f>$K$30</f>
        <v>1.8236153846153846</v>
      </c>
      <c r="AI30" s="1728">
        <f>$K$30</f>
        <v>1.8236153846153846</v>
      </c>
      <c r="AJ30" s="1881"/>
      <c r="AK30" s="1982">
        <f t="shared" si="69"/>
        <v>11.803692307692309</v>
      </c>
      <c r="AL30" s="2268">
        <f t="shared" si="54"/>
        <v>22.933201108191813</v>
      </c>
      <c r="AM30" s="1984">
        <f t="shared" si="70"/>
        <v>11.129508800499504</v>
      </c>
      <c r="AN30" s="1881"/>
      <c r="AO30" s="2268">
        <f>$K$30</f>
        <v>1.8236153846153846</v>
      </c>
      <c r="AP30" s="2268">
        <f>$K$30</f>
        <v>1.8236153846153846</v>
      </c>
      <c r="AQ30" s="2268">
        <f>$K$30</f>
        <v>1.8236153846153846</v>
      </c>
      <c r="AR30" s="2268">
        <f>$K$30</f>
        <v>1.8236153846153846</v>
      </c>
      <c r="AS30" s="2268">
        <f>$M$30</f>
        <v>0.86199999999999999</v>
      </c>
      <c r="AT30" s="2268">
        <f>$K$30</f>
        <v>1.8236153846153846</v>
      </c>
      <c r="AU30" s="2268">
        <f>$K$30</f>
        <v>1.8236153846153846</v>
      </c>
      <c r="AV30" s="2293"/>
      <c r="AW30" s="1982">
        <f t="shared" si="71"/>
        <v>11.803692307692309</v>
      </c>
      <c r="AX30" s="2268">
        <f t="shared" si="55"/>
        <v>21.010998269584089</v>
      </c>
      <c r="AY30" s="1984">
        <f t="shared" si="72"/>
        <v>9.2073059618917803</v>
      </c>
      <c r="AZ30" s="2293"/>
      <c r="BA30" s="2268">
        <f t="shared" ref="BA30:BG30" si="92">$K$30</f>
        <v>1.8236153846153846</v>
      </c>
      <c r="BB30" s="2268">
        <f t="shared" si="92"/>
        <v>1.8236153846153846</v>
      </c>
      <c r="BC30" s="2268">
        <f t="shared" si="92"/>
        <v>1.8236153846153846</v>
      </c>
      <c r="BD30" s="2268">
        <f t="shared" si="92"/>
        <v>1.8236153846153846</v>
      </c>
      <c r="BE30" s="2268">
        <f>$M$30</f>
        <v>0.86199999999999999</v>
      </c>
      <c r="BF30" s="2268">
        <f t="shared" si="92"/>
        <v>1.8236153846153846</v>
      </c>
      <c r="BG30" s="2268">
        <f t="shared" si="92"/>
        <v>1.8236153846153846</v>
      </c>
      <c r="BH30" s="2293"/>
      <c r="BI30" s="1982">
        <f t="shared" si="74"/>
        <v>11.803692307692309</v>
      </c>
      <c r="BJ30" s="2268">
        <f t="shared" si="57"/>
        <v>20.238223614348712</v>
      </c>
      <c r="BK30" s="1984">
        <f t="shared" si="75"/>
        <v>8.4345313066564032</v>
      </c>
      <c r="BL30" s="3515"/>
      <c r="BM30" s="1728">
        <f t="shared" ref="BM30:BN30" si="93">$K$30</f>
        <v>1.8236153846153846</v>
      </c>
      <c r="BN30" s="1728">
        <f t="shared" si="93"/>
        <v>1.8236153846153846</v>
      </c>
      <c r="BO30" s="3515"/>
      <c r="BP30" s="1982">
        <f t="shared" si="59"/>
        <v>3.6472307692307693</v>
      </c>
      <c r="BQ30" s="2268">
        <f t="shared" si="60"/>
        <v>5.4608210791600609</v>
      </c>
      <c r="BR30" s="1984">
        <f t="shared" si="89"/>
        <v>1.8135903099292916</v>
      </c>
      <c r="BT30" s="1732">
        <v>0</v>
      </c>
      <c r="BU30" s="1882">
        <f t="shared" si="61"/>
        <v>0</v>
      </c>
      <c r="BV30" s="1740"/>
      <c r="BW30" s="1734">
        <f t="shared" si="62"/>
        <v>48.17638461538462</v>
      </c>
      <c r="BX30" s="1918">
        <f t="shared" si="63"/>
        <v>0.96352769230769242</v>
      </c>
      <c r="BY30" s="1997"/>
      <c r="BZ30" s="3514"/>
      <c r="CB30" s="2014"/>
      <c r="CC30" s="3300"/>
      <c r="CD30" s="1830"/>
      <c r="CE30" s="3301"/>
      <c r="CF30" s="1810"/>
      <c r="CG30" s="1810"/>
      <c r="CH30" s="1810"/>
      <c r="CI30" s="1810"/>
      <c r="CJ30" s="1986"/>
      <c r="CK30" s="1810"/>
    </row>
    <row r="31" spans="1:176" s="1885" customFormat="1" x14ac:dyDescent="0.2">
      <c r="A31" s="1947"/>
      <c r="B31" s="2000">
        <v>23</v>
      </c>
      <c r="C31" s="2000" t="s">
        <v>262</v>
      </c>
      <c r="D31" s="2579"/>
      <c r="E31" s="2001">
        <v>100</v>
      </c>
      <c r="F31" s="2001">
        <v>0.5</v>
      </c>
      <c r="G31" s="2001">
        <v>0.33333333333333331</v>
      </c>
      <c r="H31" s="2001">
        <v>0.25</v>
      </c>
      <c r="I31" s="4140">
        <v>0.2</v>
      </c>
      <c r="J31" s="4144">
        <f t="shared" si="50"/>
        <v>94.828000000000003</v>
      </c>
      <c r="K31" s="4143">
        <f t="shared" si="64"/>
        <v>3.6472307692307693</v>
      </c>
      <c r="L31" s="4144">
        <f t="shared" si="51"/>
        <v>5.1719999999999997</v>
      </c>
      <c r="M31" s="4158">
        <f t="shared" si="65"/>
        <v>1.724</v>
      </c>
      <c r="N31" s="4156">
        <f t="shared" si="52"/>
        <v>3.3593785955849033E-2</v>
      </c>
      <c r="O31" s="1891"/>
      <c r="P31" s="1950"/>
      <c r="Q31" s="2001">
        <f>$K$31</f>
        <v>3.6472307692307693</v>
      </c>
      <c r="R31" s="2001">
        <f>$K$31</f>
        <v>3.6472307692307693</v>
      </c>
      <c r="S31" s="2001">
        <f>$K$31</f>
        <v>3.6472307692307693</v>
      </c>
      <c r="T31" s="2001">
        <f>$K$31</f>
        <v>3.6472307692307693</v>
      </c>
      <c r="U31" s="2001"/>
      <c r="V31" s="2001">
        <f>$K$31</f>
        <v>3.6472307692307693</v>
      </c>
      <c r="W31" s="2001">
        <f>$K$31</f>
        <v>3.6472307692307693</v>
      </c>
      <c r="X31" s="3513"/>
      <c r="Y31" s="2004">
        <f t="shared" si="78"/>
        <v>21.883384615384617</v>
      </c>
      <c r="Z31" s="2005">
        <f t="shared" si="53"/>
        <v>46.151042364787536</v>
      </c>
      <c r="AA31" s="2006">
        <f t="shared" si="68"/>
        <v>24.267657749402918</v>
      </c>
      <c r="AB31" s="1896"/>
      <c r="AC31" s="2001">
        <f>$K$31</f>
        <v>3.6472307692307693</v>
      </c>
      <c r="AD31" s="2001">
        <f>$K$31</f>
        <v>3.6472307692307693</v>
      </c>
      <c r="AE31" s="2001">
        <f>$K$31</f>
        <v>3.6472307692307693</v>
      </c>
      <c r="AF31" s="2001">
        <f>$K$31</f>
        <v>3.6472307692307693</v>
      </c>
      <c r="AG31" s="2001">
        <f>$M$31</f>
        <v>1.724</v>
      </c>
      <c r="AH31" s="2001">
        <f>$K$31</f>
        <v>3.6472307692307693</v>
      </c>
      <c r="AI31" s="2001">
        <f>$K$31</f>
        <v>3.6472307692307693</v>
      </c>
      <c r="AJ31" s="1896"/>
      <c r="AK31" s="2004">
        <f t="shared" si="69"/>
        <v>23.607384615384618</v>
      </c>
      <c r="AL31" s="2005">
        <f t="shared" si="54"/>
        <v>45.866402216383626</v>
      </c>
      <c r="AM31" s="2006">
        <f t="shared" si="70"/>
        <v>22.259017600999009</v>
      </c>
      <c r="AN31" s="1896"/>
      <c r="AO31" s="2005">
        <f>$K$31</f>
        <v>3.6472307692307693</v>
      </c>
      <c r="AP31" s="2005">
        <f>$K$31</f>
        <v>3.6472307692307693</v>
      </c>
      <c r="AQ31" s="2005">
        <f>$K$31</f>
        <v>3.6472307692307693</v>
      </c>
      <c r="AR31" s="2005">
        <f>$K$31</f>
        <v>3.6472307692307693</v>
      </c>
      <c r="AS31" s="2005">
        <f>$M$31</f>
        <v>1.724</v>
      </c>
      <c r="AT31" s="2005">
        <f>$K$31</f>
        <v>3.6472307692307693</v>
      </c>
      <c r="AU31" s="2005">
        <f>$K$31</f>
        <v>3.6472307692307693</v>
      </c>
      <c r="AV31" s="2295"/>
      <c r="AW31" s="2004">
        <f t="shared" si="71"/>
        <v>23.607384615384618</v>
      </c>
      <c r="AX31" s="2005">
        <f t="shared" si="55"/>
        <v>42.021996539168178</v>
      </c>
      <c r="AY31" s="2006">
        <f t="shared" si="72"/>
        <v>18.414611923783561</v>
      </c>
      <c r="AZ31" s="2295"/>
      <c r="BA31" s="2005">
        <f t="shared" ref="BA31:BG31" si="94">$K$31</f>
        <v>3.6472307692307693</v>
      </c>
      <c r="BB31" s="2005">
        <f t="shared" si="94"/>
        <v>3.6472307692307693</v>
      </c>
      <c r="BC31" s="2005">
        <f t="shared" si="94"/>
        <v>3.6472307692307693</v>
      </c>
      <c r="BD31" s="2005">
        <f t="shared" si="94"/>
        <v>3.6472307692307693</v>
      </c>
      <c r="BE31" s="2005">
        <f>$M$31</f>
        <v>1.724</v>
      </c>
      <c r="BF31" s="2005">
        <f t="shared" si="94"/>
        <v>3.6472307692307693</v>
      </c>
      <c r="BG31" s="2005">
        <f t="shared" si="94"/>
        <v>3.6472307692307693</v>
      </c>
      <c r="BH31" s="2295"/>
      <c r="BI31" s="2004">
        <f t="shared" si="74"/>
        <v>23.607384615384618</v>
      </c>
      <c r="BJ31" s="2005">
        <f t="shared" si="57"/>
        <v>40.476447228697424</v>
      </c>
      <c r="BK31" s="2006">
        <f t="shared" si="75"/>
        <v>16.869062613312806</v>
      </c>
      <c r="BL31" s="3513"/>
      <c r="BM31" s="2001">
        <f t="shared" ref="BM31:BN31" si="95">$K$31</f>
        <v>3.6472307692307693</v>
      </c>
      <c r="BN31" s="2001">
        <f t="shared" si="95"/>
        <v>3.6472307692307693</v>
      </c>
      <c r="BO31" s="3513"/>
      <c r="BP31" s="2004">
        <f t="shared" si="59"/>
        <v>7.2944615384615386</v>
      </c>
      <c r="BQ31" s="2005">
        <f t="shared" si="60"/>
        <v>10.921642158320122</v>
      </c>
      <c r="BR31" s="2006">
        <f t="shared" si="89"/>
        <v>3.6271806198585832</v>
      </c>
      <c r="BT31" s="1898">
        <v>0</v>
      </c>
      <c r="BU31" s="1899">
        <f t="shared" si="61"/>
        <v>0</v>
      </c>
      <c r="BV31" s="1900"/>
      <c r="BW31" s="2244">
        <f t="shared" si="62"/>
        <v>96.35276923076924</v>
      </c>
      <c r="BX31" s="2387">
        <f t="shared" si="63"/>
        <v>0.96352769230769242</v>
      </c>
      <c r="BY31" s="2010"/>
      <c r="BZ31" s="3512"/>
      <c r="CB31" s="3512"/>
      <c r="CC31" s="2488"/>
      <c r="CD31" s="2010"/>
      <c r="CE31" s="2490"/>
      <c r="CF31" s="1906"/>
      <c r="CG31" s="1906"/>
      <c r="CH31" s="1906"/>
      <c r="CI31" s="1906"/>
      <c r="CJ31" s="2386"/>
      <c r="CK31" s="1906"/>
    </row>
    <row r="32" spans="1:176" s="1726" customFormat="1" x14ac:dyDescent="0.2">
      <c r="B32" s="1963">
        <v>24</v>
      </c>
      <c r="C32" s="1963" t="s">
        <v>240</v>
      </c>
      <c r="D32" s="2578"/>
      <c r="E32" s="1728">
        <v>20</v>
      </c>
      <c r="F32" s="1728">
        <v>5</v>
      </c>
      <c r="G32" s="1728">
        <v>3.3333333333333335</v>
      </c>
      <c r="H32" s="1728">
        <v>2.5</v>
      </c>
      <c r="I32" s="4138">
        <v>2</v>
      </c>
      <c r="J32" s="4144">
        <f t="shared" si="50"/>
        <v>18.965599999999998</v>
      </c>
      <c r="K32" s="4143">
        <f t="shared" si="64"/>
        <v>0.72944615384615374</v>
      </c>
      <c r="L32" s="4144">
        <f t="shared" si="51"/>
        <v>1.0344</v>
      </c>
      <c r="M32" s="4158">
        <f t="shared" si="65"/>
        <v>0.3448</v>
      </c>
      <c r="N32" s="4155">
        <f t="shared" si="52"/>
        <v>6.7187571911698062E-3</v>
      </c>
      <c r="O32" s="1931"/>
      <c r="P32" s="1924"/>
      <c r="Q32" s="1728">
        <f>$K$32</f>
        <v>0.72944615384615374</v>
      </c>
      <c r="R32" s="1728">
        <f>$K$32</f>
        <v>0.72944615384615374</v>
      </c>
      <c r="S32" s="1728">
        <f>$K$32</f>
        <v>0.72944615384615374</v>
      </c>
      <c r="T32" s="1728">
        <f>$K$32</f>
        <v>0.72944615384615374</v>
      </c>
      <c r="U32" s="1728"/>
      <c r="V32" s="1728">
        <f>$K$32</f>
        <v>0.72944615384615374</v>
      </c>
      <c r="W32" s="1728">
        <f>$K$32</f>
        <v>0.72944615384615374</v>
      </c>
      <c r="X32" s="3515"/>
      <c r="Y32" s="1982">
        <f t="shared" si="78"/>
        <v>4.3766769230769222</v>
      </c>
      <c r="Z32" s="2268">
        <f t="shared" si="53"/>
        <v>9.2302084729575071</v>
      </c>
      <c r="AA32" s="1984">
        <f>Z32-Y32</f>
        <v>4.8535315498805849</v>
      </c>
      <c r="AB32" s="1881"/>
      <c r="AC32" s="1728">
        <f>$K$32</f>
        <v>0.72944615384615374</v>
      </c>
      <c r="AD32" s="1728">
        <f>$K$32</f>
        <v>0.72944615384615374</v>
      </c>
      <c r="AE32" s="1728">
        <f>$K$32</f>
        <v>0.72944615384615374</v>
      </c>
      <c r="AF32" s="1728">
        <f>$K$32</f>
        <v>0.72944615384615374</v>
      </c>
      <c r="AG32" s="1728">
        <f>$M$32</f>
        <v>0.3448</v>
      </c>
      <c r="AH32" s="1728">
        <f>$K$32</f>
        <v>0.72944615384615374</v>
      </c>
      <c r="AI32" s="1728">
        <f>$K$32</f>
        <v>0.72944615384615374</v>
      </c>
      <c r="AJ32" s="1881"/>
      <c r="AK32" s="1982">
        <f t="shared" si="69"/>
        <v>4.7214769230769225</v>
      </c>
      <c r="AL32" s="2268">
        <f t="shared" si="54"/>
        <v>9.1732804432767256</v>
      </c>
      <c r="AM32" s="1984">
        <f t="shared" si="70"/>
        <v>4.4518035201998032</v>
      </c>
      <c r="AN32" s="1881"/>
      <c r="AO32" s="2268">
        <f>$K$32</f>
        <v>0.72944615384615374</v>
      </c>
      <c r="AP32" s="2268">
        <f>$K$32</f>
        <v>0.72944615384615374</v>
      </c>
      <c r="AQ32" s="2268">
        <f>$K$32</f>
        <v>0.72944615384615374</v>
      </c>
      <c r="AR32" s="2268">
        <f>$K$32</f>
        <v>0.72944615384615374</v>
      </c>
      <c r="AS32" s="2268">
        <f>$M$32</f>
        <v>0.3448</v>
      </c>
      <c r="AT32" s="2268">
        <f>$K$32</f>
        <v>0.72944615384615374</v>
      </c>
      <c r="AU32" s="2268">
        <f>$K$32</f>
        <v>0.72944615384615374</v>
      </c>
      <c r="AV32" s="2293"/>
      <c r="AW32" s="1982">
        <f t="shared" si="71"/>
        <v>4.7214769230769225</v>
      </c>
      <c r="AX32" s="2268">
        <f t="shared" si="55"/>
        <v>8.4043993078336356</v>
      </c>
      <c r="AY32" s="1984">
        <f t="shared" si="72"/>
        <v>3.6829223847567132</v>
      </c>
      <c r="AZ32" s="2293"/>
      <c r="BA32" s="2268">
        <f t="shared" ref="BA32:BG32" si="96">$K$32</f>
        <v>0.72944615384615374</v>
      </c>
      <c r="BB32" s="2268">
        <f t="shared" si="96"/>
        <v>0.72944615384615374</v>
      </c>
      <c r="BC32" s="2268">
        <f t="shared" si="96"/>
        <v>0.72944615384615374</v>
      </c>
      <c r="BD32" s="2268">
        <f t="shared" si="96"/>
        <v>0.72944615384615374</v>
      </c>
      <c r="BE32" s="2268">
        <f>$M$32</f>
        <v>0.3448</v>
      </c>
      <c r="BF32" s="2268">
        <f t="shared" si="96"/>
        <v>0.72944615384615374</v>
      </c>
      <c r="BG32" s="2268">
        <f t="shared" si="96"/>
        <v>0.72944615384615374</v>
      </c>
      <c r="BH32" s="2293"/>
      <c r="BI32" s="1982">
        <f t="shared" si="74"/>
        <v>4.7214769230769225</v>
      </c>
      <c r="BJ32" s="2268">
        <f t="shared" si="57"/>
        <v>8.0952894457394837</v>
      </c>
      <c r="BK32" s="1984">
        <f t="shared" si="75"/>
        <v>3.3738125226625613</v>
      </c>
      <c r="BL32" s="3515"/>
      <c r="BM32" s="1728">
        <f t="shared" ref="BM32:BN32" si="97">$K$32</f>
        <v>0.72944615384615374</v>
      </c>
      <c r="BN32" s="1728">
        <f t="shared" si="97"/>
        <v>0.72944615384615374</v>
      </c>
      <c r="BO32" s="3515"/>
      <c r="BP32" s="1982">
        <f t="shared" si="59"/>
        <v>1.4588923076923075</v>
      </c>
      <c r="BQ32" s="2268">
        <f t="shared" si="60"/>
        <v>2.1843284316640239</v>
      </c>
      <c r="BR32" s="1984">
        <f t="shared" si="89"/>
        <v>0.72543612397171642</v>
      </c>
      <c r="BT32" s="1732">
        <v>0</v>
      </c>
      <c r="BU32" s="1882">
        <f t="shared" si="61"/>
        <v>0</v>
      </c>
      <c r="BV32" s="1740"/>
      <c r="BW32" s="1734">
        <f t="shared" si="62"/>
        <v>19.270553846153845</v>
      </c>
      <c r="BX32" s="1918">
        <f t="shared" si="63"/>
        <v>0.96352769230769231</v>
      </c>
      <c r="BY32" s="1997"/>
      <c r="BZ32" s="3514"/>
      <c r="CB32" s="3514"/>
      <c r="CC32" s="2961"/>
      <c r="CD32" s="1861"/>
      <c r="CE32" s="1861"/>
      <c r="CF32" s="1810"/>
      <c r="CG32" s="1810"/>
      <c r="CH32" s="1810"/>
      <c r="CI32" s="1810"/>
      <c r="CJ32" s="1986"/>
      <c r="CK32" s="1810"/>
    </row>
    <row r="33" spans="2:89" s="1885" customFormat="1" x14ac:dyDescent="0.2">
      <c r="B33" s="2580">
        <v>25</v>
      </c>
      <c r="C33" s="2580" t="s">
        <v>254</v>
      </c>
      <c r="D33" s="2596"/>
      <c r="E33" s="2597">
        <v>26.35</v>
      </c>
      <c r="F33" s="2597">
        <v>5</v>
      </c>
      <c r="G33" s="2597">
        <v>3.3333333333333335</v>
      </c>
      <c r="H33" s="2597">
        <v>2.5</v>
      </c>
      <c r="I33" s="4141">
        <v>2</v>
      </c>
      <c r="J33" s="4144">
        <f t="shared" si="50"/>
        <v>24.987178</v>
      </c>
      <c r="K33" s="4143">
        <f t="shared" si="64"/>
        <v>0.96104530769230767</v>
      </c>
      <c r="L33" s="4144">
        <f t="shared" si="51"/>
        <v>1.362822</v>
      </c>
      <c r="M33" s="4158">
        <f t="shared" si="65"/>
        <v>0.45427400000000001</v>
      </c>
      <c r="N33" s="4157">
        <f t="shared" si="52"/>
        <v>8.8519625993662195E-3</v>
      </c>
      <c r="O33" s="2003"/>
      <c r="P33" s="1950"/>
      <c r="Q33" s="2001">
        <f>$K$33</f>
        <v>0.96104530769230767</v>
      </c>
      <c r="R33" s="2001">
        <f>$K$33</f>
        <v>0.96104530769230767</v>
      </c>
      <c r="S33" s="2001">
        <f>$K$33</f>
        <v>0.96104530769230767</v>
      </c>
      <c r="T33" s="2001">
        <f>$K$33</f>
        <v>0.96104530769230767</v>
      </c>
      <c r="U33" s="2001"/>
      <c r="V33" s="2001">
        <f>$K$33</f>
        <v>0.96104530769230767</v>
      </c>
      <c r="W33" s="2001">
        <f>$K$33</f>
        <v>0.96104530769230767</v>
      </c>
      <c r="X33" s="3513"/>
      <c r="Y33" s="2481">
        <f t="shared" si="78"/>
        <v>5.7662718461538462</v>
      </c>
      <c r="Z33" s="2482">
        <f t="shared" si="53"/>
        <v>12.160799663121516</v>
      </c>
      <c r="AA33" s="2483">
        <f t="shared" si="68"/>
        <v>6.3945278169676696</v>
      </c>
      <c r="AB33" s="1896"/>
      <c r="AC33" s="2001">
        <f>$K$33</f>
        <v>0.96104530769230767</v>
      </c>
      <c r="AD33" s="2001">
        <f>$K$33</f>
        <v>0.96104530769230767</v>
      </c>
      <c r="AE33" s="2001">
        <f>$K$33</f>
        <v>0.96104530769230767</v>
      </c>
      <c r="AF33" s="2001">
        <f>$K$33</f>
        <v>0.96104530769230767</v>
      </c>
      <c r="AG33" s="2001">
        <f>$M$33</f>
        <v>0.45427400000000001</v>
      </c>
      <c r="AH33" s="2001">
        <f>$K$33</f>
        <v>0.96104530769230767</v>
      </c>
      <c r="AI33" s="2001">
        <f>$K$33</f>
        <v>0.96104530769230767</v>
      </c>
      <c r="AJ33" s="1896"/>
      <c r="AK33" s="2481">
        <f t="shared" si="69"/>
        <v>6.2205458461538461</v>
      </c>
      <c r="AL33" s="2482">
        <f t="shared" si="54"/>
        <v>12.085796984017085</v>
      </c>
      <c r="AM33" s="2483">
        <f t="shared" si="70"/>
        <v>5.8652511378632388</v>
      </c>
      <c r="AN33" s="1896"/>
      <c r="AO33" s="2005">
        <f>$K$33</f>
        <v>0.96104530769230767</v>
      </c>
      <c r="AP33" s="2005">
        <f>$K$33</f>
        <v>0.96104530769230767</v>
      </c>
      <c r="AQ33" s="2005">
        <f>$K$33</f>
        <v>0.96104530769230767</v>
      </c>
      <c r="AR33" s="2005">
        <f>$K$33</f>
        <v>0.96104530769230767</v>
      </c>
      <c r="AS33" s="2005">
        <f>$M$33</f>
        <v>0.45427400000000001</v>
      </c>
      <c r="AT33" s="2005">
        <f>$K$33</f>
        <v>0.96104530769230767</v>
      </c>
      <c r="AU33" s="2005">
        <f>$K$33</f>
        <v>0.96104530769230767</v>
      </c>
      <c r="AV33" s="2295"/>
      <c r="AW33" s="2481">
        <f t="shared" si="71"/>
        <v>6.2205458461538461</v>
      </c>
      <c r="AX33" s="2482">
        <f t="shared" si="55"/>
        <v>11.072796088070815</v>
      </c>
      <c r="AY33" s="2483">
        <f t="shared" si="72"/>
        <v>4.8522502419169689</v>
      </c>
      <c r="AZ33" s="2295"/>
      <c r="BA33" s="2005">
        <f t="shared" ref="BA33:BG33" si="98">$K$33</f>
        <v>0.96104530769230767</v>
      </c>
      <c r="BB33" s="2005">
        <f t="shared" si="98"/>
        <v>0.96104530769230767</v>
      </c>
      <c r="BC33" s="2005">
        <f t="shared" si="98"/>
        <v>0.96104530769230767</v>
      </c>
      <c r="BD33" s="2005">
        <f t="shared" si="98"/>
        <v>0.96104530769230767</v>
      </c>
      <c r="BE33" s="2005">
        <f>$M$33</f>
        <v>0.45427400000000001</v>
      </c>
      <c r="BF33" s="2005">
        <f t="shared" si="98"/>
        <v>0.96104530769230767</v>
      </c>
      <c r="BG33" s="2005">
        <f t="shared" si="98"/>
        <v>0.96104530769230767</v>
      </c>
      <c r="BH33" s="2295"/>
      <c r="BI33" s="2481">
        <f t="shared" si="74"/>
        <v>6.2205458461538461</v>
      </c>
      <c r="BJ33" s="2482">
        <f t="shared" si="57"/>
        <v>10.665543844761769</v>
      </c>
      <c r="BK33" s="2483">
        <f t="shared" si="75"/>
        <v>4.4449979986079233</v>
      </c>
      <c r="BL33" s="3513"/>
      <c r="BM33" s="2001">
        <f t="shared" ref="BM33:BN33" si="99">$K$33</f>
        <v>0.96104530769230767</v>
      </c>
      <c r="BN33" s="2001">
        <f t="shared" si="99"/>
        <v>0.96104530769230767</v>
      </c>
      <c r="BO33" s="3513"/>
      <c r="BP33" s="2481">
        <f t="shared" si="59"/>
        <v>1.9220906153846153</v>
      </c>
      <c r="BQ33" s="2482">
        <f t="shared" si="60"/>
        <v>2.8778527087173518</v>
      </c>
      <c r="BR33" s="2483">
        <f t="shared" si="89"/>
        <v>0.95576209333273643</v>
      </c>
      <c r="BT33" s="1898">
        <v>0</v>
      </c>
      <c r="BU33" s="1899">
        <f t="shared" si="61"/>
        <v>0</v>
      </c>
      <c r="BV33" s="1900"/>
      <c r="BW33" s="2388">
        <f t="shared" si="62"/>
        <v>25.388954692307696</v>
      </c>
      <c r="BX33" s="2389">
        <f t="shared" si="63"/>
        <v>0.96352769230769242</v>
      </c>
      <c r="BY33" s="2010"/>
      <c r="BZ33" s="3512"/>
      <c r="CB33" s="3512"/>
      <c r="CC33" s="2488"/>
      <c r="CD33" s="2404" t="s">
        <v>155</v>
      </c>
      <c r="CE33" s="2010" t="s">
        <v>156</v>
      </c>
      <c r="CF33" s="1906"/>
      <c r="CG33" s="1906"/>
      <c r="CH33" s="1906"/>
      <c r="CI33" s="1906"/>
      <c r="CJ33" s="2386"/>
      <c r="CK33" s="1906"/>
    </row>
    <row r="34" spans="2:89" s="1726" customFormat="1" x14ac:dyDescent="0.2">
      <c r="B34" s="1963">
        <v>26</v>
      </c>
      <c r="C34" s="1963" t="s">
        <v>205</v>
      </c>
      <c r="D34" s="2578"/>
      <c r="E34" s="1728">
        <v>25.5</v>
      </c>
      <c r="F34" s="1728"/>
      <c r="G34" s="1728"/>
      <c r="H34" s="1728"/>
      <c r="I34" s="4138"/>
      <c r="J34" s="4144">
        <f t="shared" si="50"/>
        <v>24.181139999999999</v>
      </c>
      <c r="K34" s="4143">
        <f t="shared" si="64"/>
        <v>0.93004384615384617</v>
      </c>
      <c r="L34" s="4144">
        <f t="shared" si="51"/>
        <v>1.3188599999999999</v>
      </c>
      <c r="M34" s="4158">
        <f t="shared" si="65"/>
        <v>0.43961999999999996</v>
      </c>
      <c r="N34" s="4155">
        <f t="shared" si="52"/>
        <v>8.5664154187415024E-3</v>
      </c>
      <c r="O34" s="1931"/>
      <c r="P34" s="1924"/>
      <c r="Q34" s="1728">
        <f>$K$34</f>
        <v>0.93004384615384617</v>
      </c>
      <c r="R34" s="1728">
        <f>$K$34</f>
        <v>0.93004384615384617</v>
      </c>
      <c r="S34" s="1728">
        <f>$K$34</f>
        <v>0.93004384615384617</v>
      </c>
      <c r="T34" s="1728">
        <f>$K$34</f>
        <v>0.93004384615384617</v>
      </c>
      <c r="U34" s="1728"/>
      <c r="V34" s="1728">
        <f>$K$34</f>
        <v>0.93004384615384617</v>
      </c>
      <c r="W34" s="1728">
        <f>$K$34</f>
        <v>0.93004384615384617</v>
      </c>
      <c r="X34" s="3515"/>
      <c r="Y34" s="2016">
        <f t="shared" si="78"/>
        <v>5.5802630769230772</v>
      </c>
      <c r="Z34" s="2017">
        <f t="shared" si="53"/>
        <v>11.76851580302082</v>
      </c>
      <c r="AA34" s="2018">
        <f t="shared" si="68"/>
        <v>6.1882527260977431</v>
      </c>
      <c r="AB34" s="1881"/>
      <c r="AC34" s="1728">
        <f>$K$34</f>
        <v>0.93004384615384617</v>
      </c>
      <c r="AD34" s="1728">
        <f>$K$34</f>
        <v>0.93004384615384617</v>
      </c>
      <c r="AE34" s="1728">
        <f>$K$34</f>
        <v>0.93004384615384617</v>
      </c>
      <c r="AF34" s="1728">
        <f>$K$34</f>
        <v>0.93004384615384617</v>
      </c>
      <c r="AG34" s="1728">
        <f>$M$34</f>
        <v>0.43961999999999996</v>
      </c>
      <c r="AH34" s="1728">
        <f>$K$34</f>
        <v>0.93004384615384617</v>
      </c>
      <c r="AI34" s="1728">
        <f>$K$34</f>
        <v>0.93004384615384617</v>
      </c>
      <c r="AJ34" s="1881"/>
      <c r="AK34" s="2016">
        <f>SUM(AC34:AI34)</f>
        <v>6.0198830769230769</v>
      </c>
      <c r="AL34" s="2017">
        <f t="shared" si="54"/>
        <v>11.695932565177824</v>
      </c>
      <c r="AM34" s="2018">
        <f>AL34-AK34</f>
        <v>5.6760494882547468</v>
      </c>
      <c r="AN34" s="1881"/>
      <c r="AO34" s="2268">
        <f>$K$34</f>
        <v>0.93004384615384617</v>
      </c>
      <c r="AP34" s="2268">
        <f>$K$34</f>
        <v>0.93004384615384617</v>
      </c>
      <c r="AQ34" s="2268">
        <f>$K$34</f>
        <v>0.93004384615384617</v>
      </c>
      <c r="AR34" s="2268">
        <f>$K$34</f>
        <v>0.93004384615384617</v>
      </c>
      <c r="AS34" s="2268">
        <f>$M$34</f>
        <v>0.43961999999999996</v>
      </c>
      <c r="AT34" s="2268">
        <f>$K$34</f>
        <v>0.93004384615384617</v>
      </c>
      <c r="AU34" s="2268">
        <f>$K$34</f>
        <v>0.93004384615384617</v>
      </c>
      <c r="AV34" s="2293"/>
      <c r="AW34" s="2016">
        <f t="shared" si="71"/>
        <v>6.0198830769230769</v>
      </c>
      <c r="AX34" s="2017">
        <f t="shared" si="55"/>
        <v>10.715609117487885</v>
      </c>
      <c r="AY34" s="2018">
        <f t="shared" si="72"/>
        <v>4.695726040564808</v>
      </c>
      <c r="AZ34" s="2293"/>
      <c r="BA34" s="2268">
        <f t="shared" ref="BA34:BG34" si="100">$K$34</f>
        <v>0.93004384615384617</v>
      </c>
      <c r="BB34" s="2268">
        <f t="shared" si="100"/>
        <v>0.93004384615384617</v>
      </c>
      <c r="BC34" s="2268">
        <f t="shared" si="100"/>
        <v>0.93004384615384617</v>
      </c>
      <c r="BD34" s="2268">
        <f t="shared" si="100"/>
        <v>0.93004384615384617</v>
      </c>
      <c r="BE34" s="2268">
        <f>$M$34</f>
        <v>0.43961999999999996</v>
      </c>
      <c r="BF34" s="2268">
        <f t="shared" si="100"/>
        <v>0.93004384615384617</v>
      </c>
      <c r="BG34" s="2268">
        <f t="shared" si="100"/>
        <v>0.93004384615384617</v>
      </c>
      <c r="BH34" s="2293"/>
      <c r="BI34" s="2016">
        <f t="shared" si="74"/>
        <v>6.0198830769230769</v>
      </c>
      <c r="BJ34" s="2017">
        <f t="shared" si="57"/>
        <v>10.321494043317841</v>
      </c>
      <c r="BK34" s="2018">
        <f t="shared" si="75"/>
        <v>4.3016109663947644</v>
      </c>
      <c r="BL34" s="3515"/>
      <c r="BM34" s="1728">
        <f t="shared" ref="BM34:BN34" si="101">$K$34</f>
        <v>0.93004384615384617</v>
      </c>
      <c r="BN34" s="1728">
        <f t="shared" si="101"/>
        <v>0.93004384615384617</v>
      </c>
      <c r="BO34" s="3515"/>
      <c r="BP34" s="2016">
        <f t="shared" si="59"/>
        <v>1.8600876923076923</v>
      </c>
      <c r="BQ34" s="2017">
        <f t="shared" si="60"/>
        <v>2.785018750371631</v>
      </c>
      <c r="BR34" s="2018">
        <f t="shared" si="89"/>
        <v>0.92493105806393872</v>
      </c>
      <c r="BT34" s="1732">
        <v>0</v>
      </c>
      <c r="BU34" s="1882">
        <f t="shared" si="61"/>
        <v>0</v>
      </c>
      <c r="BV34" s="1740"/>
      <c r="BW34" s="2019">
        <f t="shared" si="62"/>
        <v>24.569956153846153</v>
      </c>
      <c r="BX34" s="2020">
        <f t="shared" si="63"/>
        <v>0.96352769230769231</v>
      </c>
      <c r="BY34" s="1997"/>
      <c r="BZ34" s="3514"/>
      <c r="CB34" s="3514"/>
      <c r="CC34" s="2036" t="s">
        <v>159</v>
      </c>
      <c r="CD34" s="2059">
        <v>0.5</v>
      </c>
      <c r="CE34" s="1997" t="str">
        <f>IF(CE29&lt;=CD34,CE29," ")</f>
        <v xml:space="preserve"> </v>
      </c>
      <c r="CF34" s="1810"/>
      <c r="CG34" s="1810"/>
      <c r="CH34" s="1810"/>
      <c r="CI34" s="1810"/>
      <c r="CJ34" s="1986"/>
      <c r="CK34" s="1810"/>
    </row>
    <row r="35" spans="2:89" s="1885" customFormat="1" x14ac:dyDescent="0.2">
      <c r="B35" s="2000">
        <v>27</v>
      </c>
      <c r="C35" s="2000" t="s">
        <v>206</v>
      </c>
      <c r="D35" s="2579"/>
      <c r="E35" s="2001">
        <v>16.7</v>
      </c>
      <c r="F35" s="2001"/>
      <c r="G35" s="2001"/>
      <c r="H35" s="2001"/>
      <c r="I35" s="4140"/>
      <c r="J35" s="4144">
        <f t="shared" si="50"/>
        <v>15.836276</v>
      </c>
      <c r="K35" s="4143">
        <f t="shared" si="64"/>
        <v>0.6090875384615384</v>
      </c>
      <c r="L35" s="4144">
        <f t="shared" si="51"/>
        <v>0.86372399999999994</v>
      </c>
      <c r="M35" s="4158">
        <f t="shared" si="65"/>
        <v>0.287908</v>
      </c>
      <c r="N35" s="4156">
        <f t="shared" si="52"/>
        <v>5.6101622546267877E-3</v>
      </c>
      <c r="O35" s="2003"/>
      <c r="P35" s="1950"/>
      <c r="Q35" s="2001">
        <f>$K$35</f>
        <v>0.6090875384615384</v>
      </c>
      <c r="R35" s="2001">
        <f>$K$35</f>
        <v>0.6090875384615384</v>
      </c>
      <c r="S35" s="2001">
        <f>$K$35</f>
        <v>0.6090875384615384</v>
      </c>
      <c r="T35" s="2001">
        <f>$K$35</f>
        <v>0.6090875384615384</v>
      </c>
      <c r="U35" s="2001"/>
      <c r="V35" s="2001">
        <f>$K$35</f>
        <v>0.6090875384615384</v>
      </c>
      <c r="W35" s="2001">
        <f>$K$35</f>
        <v>0.6090875384615384</v>
      </c>
      <c r="X35" s="3513"/>
      <c r="Y35" s="2481">
        <f t="shared" si="78"/>
        <v>3.65452523076923</v>
      </c>
      <c r="Z35" s="2482">
        <f t="shared" si="53"/>
        <v>7.7072240749195178</v>
      </c>
      <c r="AA35" s="2483">
        <f t="shared" si="68"/>
        <v>4.0526988441502878</v>
      </c>
      <c r="AB35" s="1896"/>
      <c r="AC35" s="2001">
        <f>$K$35</f>
        <v>0.6090875384615384</v>
      </c>
      <c r="AD35" s="2001">
        <f>$K$35</f>
        <v>0.6090875384615384</v>
      </c>
      <c r="AE35" s="2001">
        <f>$K$35</f>
        <v>0.6090875384615384</v>
      </c>
      <c r="AF35" s="2001">
        <f>$K$35</f>
        <v>0.6090875384615384</v>
      </c>
      <c r="AG35" s="2001">
        <f>$M$35</f>
        <v>0.287908</v>
      </c>
      <c r="AH35" s="2001">
        <f>$K$35</f>
        <v>0.6090875384615384</v>
      </c>
      <c r="AI35" s="2001">
        <f>$K$35</f>
        <v>0.6090875384615384</v>
      </c>
      <c r="AJ35" s="1896"/>
      <c r="AK35" s="2481">
        <f t="shared" ref="AK35:AK41" si="102">SUM(AC35:AI35)</f>
        <v>3.9424332307692298</v>
      </c>
      <c r="AL35" s="2482">
        <f t="shared" si="54"/>
        <v>7.6596891701360654</v>
      </c>
      <c r="AM35" s="2483">
        <f t="shared" ref="AM35:AM41" si="103">AL35-AK35</f>
        <v>3.7172559393668356</v>
      </c>
      <c r="AN35" s="1896"/>
      <c r="AO35" s="2005">
        <f>$K$35</f>
        <v>0.6090875384615384</v>
      </c>
      <c r="AP35" s="2005">
        <f>$K$35</f>
        <v>0.6090875384615384</v>
      </c>
      <c r="AQ35" s="2005">
        <f>$K$35</f>
        <v>0.6090875384615384</v>
      </c>
      <c r="AR35" s="2005">
        <f>$K$35</f>
        <v>0.6090875384615384</v>
      </c>
      <c r="AS35" s="2005">
        <f>$M$35</f>
        <v>0.287908</v>
      </c>
      <c r="AT35" s="2005">
        <f>$K$35</f>
        <v>0.6090875384615384</v>
      </c>
      <c r="AU35" s="2005">
        <f>$K$35</f>
        <v>0.6090875384615384</v>
      </c>
      <c r="AV35" s="2295"/>
      <c r="AW35" s="2481">
        <f t="shared" si="71"/>
        <v>3.9424332307692298</v>
      </c>
      <c r="AX35" s="2482">
        <f t="shared" si="55"/>
        <v>7.017673422041085</v>
      </c>
      <c r="AY35" s="2483">
        <f t="shared" si="72"/>
        <v>3.0752401912718552</v>
      </c>
      <c r="AZ35" s="2295"/>
      <c r="BA35" s="2005">
        <f t="shared" ref="BA35:BG35" si="104">$K$35</f>
        <v>0.6090875384615384</v>
      </c>
      <c r="BB35" s="2005">
        <f t="shared" si="104"/>
        <v>0.6090875384615384</v>
      </c>
      <c r="BC35" s="2005">
        <f t="shared" si="104"/>
        <v>0.6090875384615384</v>
      </c>
      <c r="BD35" s="2005">
        <f t="shared" si="104"/>
        <v>0.6090875384615384</v>
      </c>
      <c r="BE35" s="2005">
        <f>$M$35</f>
        <v>0.287908</v>
      </c>
      <c r="BF35" s="2005">
        <f t="shared" si="104"/>
        <v>0.6090875384615384</v>
      </c>
      <c r="BG35" s="2005">
        <f t="shared" si="104"/>
        <v>0.6090875384615384</v>
      </c>
      <c r="BH35" s="2295"/>
      <c r="BI35" s="2481">
        <f t="shared" si="74"/>
        <v>3.9424332307692298</v>
      </c>
      <c r="BJ35" s="2482">
        <f t="shared" si="57"/>
        <v>6.7595666871924687</v>
      </c>
      <c r="BK35" s="2483">
        <f t="shared" si="75"/>
        <v>2.8171334564232389</v>
      </c>
      <c r="BL35" s="3513"/>
      <c r="BM35" s="2001">
        <f t="shared" ref="BM35:BN35" si="105">$K$35</f>
        <v>0.6090875384615384</v>
      </c>
      <c r="BN35" s="2001">
        <f t="shared" si="105"/>
        <v>0.6090875384615384</v>
      </c>
      <c r="BO35" s="3513"/>
      <c r="BP35" s="2481">
        <f t="shared" si="59"/>
        <v>1.2181750769230768</v>
      </c>
      <c r="BQ35" s="2482">
        <f t="shared" si="60"/>
        <v>1.8239142404394602</v>
      </c>
      <c r="BR35" s="2483">
        <f t="shared" si="89"/>
        <v>0.60573916351638335</v>
      </c>
      <c r="BT35" s="1898">
        <v>0</v>
      </c>
      <c r="BU35" s="1899">
        <f t="shared" si="61"/>
        <v>0</v>
      </c>
      <c r="BV35" s="1900"/>
      <c r="BW35" s="2388">
        <f t="shared" si="62"/>
        <v>16.090912461538455</v>
      </c>
      <c r="BX35" s="2389">
        <f t="shared" si="63"/>
        <v>0.96352769230769197</v>
      </c>
      <c r="BY35" s="2010"/>
      <c r="BZ35" s="3512"/>
      <c r="CB35" s="3512"/>
      <c r="CC35" s="2637" t="s">
        <v>160</v>
      </c>
      <c r="CD35" s="2339">
        <v>0.75</v>
      </c>
      <c r="CE35" s="1962" t="str">
        <f>IF(AND(CE29&gt;CD34,CE29&lt;=CD35),CE29," ")</f>
        <v xml:space="preserve"> </v>
      </c>
      <c r="CF35" s="1906"/>
      <c r="CG35" s="1906"/>
      <c r="CH35" s="1906"/>
      <c r="CI35" s="1906"/>
      <c r="CJ35" s="2386"/>
      <c r="CK35" s="1906"/>
    </row>
    <row r="36" spans="2:89" s="1726" customFormat="1" x14ac:dyDescent="0.2">
      <c r="B36" s="2508">
        <v>28</v>
      </c>
      <c r="C36" s="1963" t="s">
        <v>258</v>
      </c>
      <c r="D36" s="2578"/>
      <c r="E36" s="1728">
        <v>15</v>
      </c>
      <c r="F36" s="1728">
        <v>5</v>
      </c>
      <c r="G36" s="1728">
        <v>3.3333333333333335</v>
      </c>
      <c r="H36" s="1728">
        <v>2.5</v>
      </c>
      <c r="I36" s="4138">
        <v>2</v>
      </c>
      <c r="J36" s="4144">
        <f t="shared" si="50"/>
        <v>14.2242</v>
      </c>
      <c r="K36" s="4143">
        <f t="shared" si="64"/>
        <v>0.54708461538461539</v>
      </c>
      <c r="L36" s="4144">
        <f t="shared" si="51"/>
        <v>0.77579999999999993</v>
      </c>
      <c r="M36" s="4158">
        <f t="shared" si="65"/>
        <v>0.2586</v>
      </c>
      <c r="N36" s="4155">
        <f t="shared" si="52"/>
        <v>5.0390678933773542E-3</v>
      </c>
      <c r="O36" s="1931"/>
      <c r="P36" s="1924"/>
      <c r="Q36" s="1728">
        <f>$K$36</f>
        <v>0.54708461538461539</v>
      </c>
      <c r="R36" s="1728">
        <f>$K$36</f>
        <v>0.54708461538461539</v>
      </c>
      <c r="S36" s="1728">
        <f>$K$36</f>
        <v>0.54708461538461539</v>
      </c>
      <c r="T36" s="1728">
        <f>$K$36</f>
        <v>0.54708461538461539</v>
      </c>
      <c r="U36" s="1728"/>
      <c r="V36" s="1728">
        <f>$K$36</f>
        <v>0.54708461538461539</v>
      </c>
      <c r="W36" s="1728">
        <f>$K$36</f>
        <v>0.54708461538461539</v>
      </c>
      <c r="X36" s="3515"/>
      <c r="Y36" s="2016">
        <f t="shared" si="78"/>
        <v>3.2825076923076919</v>
      </c>
      <c r="Z36" s="2017">
        <f t="shared" si="53"/>
        <v>6.9226563547181295</v>
      </c>
      <c r="AA36" s="2018">
        <f t="shared" si="68"/>
        <v>3.6401486624104376</v>
      </c>
      <c r="AB36" s="1881"/>
      <c r="AC36" s="1728">
        <f>$K$36</f>
        <v>0.54708461538461539</v>
      </c>
      <c r="AD36" s="1728">
        <f>$K$36</f>
        <v>0.54708461538461539</v>
      </c>
      <c r="AE36" s="1728">
        <f>$K$36</f>
        <v>0.54708461538461539</v>
      </c>
      <c r="AF36" s="1728">
        <f>$K$36</f>
        <v>0.54708461538461539</v>
      </c>
      <c r="AG36" s="1728">
        <f>$M$36</f>
        <v>0.2586</v>
      </c>
      <c r="AH36" s="1728">
        <f>$K$36</f>
        <v>0.54708461538461539</v>
      </c>
      <c r="AI36" s="1728">
        <f>$K$36</f>
        <v>0.54708461538461539</v>
      </c>
      <c r="AJ36" s="1881"/>
      <c r="AK36" s="2016">
        <f t="shared" si="102"/>
        <v>3.5411076923076923</v>
      </c>
      <c r="AL36" s="2017">
        <f t="shared" si="54"/>
        <v>6.8799603324575438</v>
      </c>
      <c r="AM36" s="2018">
        <f t="shared" si="103"/>
        <v>3.3388526401498515</v>
      </c>
      <c r="AN36" s="1881"/>
      <c r="AO36" s="2268">
        <f>$K$36</f>
        <v>0.54708461538461539</v>
      </c>
      <c r="AP36" s="2268">
        <f>$K$36</f>
        <v>0.54708461538461539</v>
      </c>
      <c r="AQ36" s="2268">
        <f>$K$36</f>
        <v>0.54708461538461539</v>
      </c>
      <c r="AR36" s="2268">
        <f>$K$36</f>
        <v>0.54708461538461539</v>
      </c>
      <c r="AS36" s="2268">
        <f>$M$36</f>
        <v>0.2586</v>
      </c>
      <c r="AT36" s="2268">
        <f>$K$36</f>
        <v>0.54708461538461539</v>
      </c>
      <c r="AU36" s="2268">
        <f>$K$36</f>
        <v>0.54708461538461539</v>
      </c>
      <c r="AV36" s="2293"/>
      <c r="AW36" s="2016">
        <f t="shared" si="71"/>
        <v>3.5411076923076923</v>
      </c>
      <c r="AX36" s="2017">
        <f t="shared" si="55"/>
        <v>6.3032994808752258</v>
      </c>
      <c r="AY36" s="2018">
        <f t="shared" si="72"/>
        <v>2.7621917885675336</v>
      </c>
      <c r="AZ36" s="2293"/>
      <c r="BA36" s="2268">
        <f t="shared" ref="BA36:BG36" si="106">$K$36</f>
        <v>0.54708461538461539</v>
      </c>
      <c r="BB36" s="2268">
        <f t="shared" si="106"/>
        <v>0.54708461538461539</v>
      </c>
      <c r="BC36" s="2268">
        <f t="shared" si="106"/>
        <v>0.54708461538461539</v>
      </c>
      <c r="BD36" s="2268">
        <f t="shared" si="106"/>
        <v>0.54708461538461539</v>
      </c>
      <c r="BE36" s="2268">
        <f>$M$36</f>
        <v>0.2586</v>
      </c>
      <c r="BF36" s="2268">
        <f t="shared" si="106"/>
        <v>0.54708461538461539</v>
      </c>
      <c r="BG36" s="2268">
        <f t="shared" si="106"/>
        <v>0.54708461538461539</v>
      </c>
      <c r="BH36" s="2293"/>
      <c r="BI36" s="2016">
        <f t="shared" si="74"/>
        <v>3.5411076923076923</v>
      </c>
      <c r="BJ36" s="2017">
        <f t="shared" si="57"/>
        <v>6.0714670843046123</v>
      </c>
      <c r="BK36" s="2018">
        <f t="shared" si="75"/>
        <v>2.5303593919969201</v>
      </c>
      <c r="BL36" s="3515"/>
      <c r="BM36" s="1728">
        <f t="shared" ref="BM36:BN36" si="107">$K$36</f>
        <v>0.54708461538461539</v>
      </c>
      <c r="BN36" s="1728">
        <f t="shared" si="107"/>
        <v>0.54708461538461539</v>
      </c>
      <c r="BO36" s="3515"/>
      <c r="BP36" s="2016">
        <f t="shared" si="59"/>
        <v>1.0941692307692308</v>
      </c>
      <c r="BQ36" s="2017">
        <f t="shared" si="60"/>
        <v>1.6382463237480183</v>
      </c>
      <c r="BR36" s="2018">
        <f t="shared" si="89"/>
        <v>0.54407709297878748</v>
      </c>
      <c r="BT36" s="1732">
        <v>0</v>
      </c>
      <c r="BU36" s="1882">
        <f t="shared" si="61"/>
        <v>0</v>
      </c>
      <c r="BV36" s="1740"/>
      <c r="BW36" s="2019">
        <f t="shared" si="62"/>
        <v>14.452915384615386</v>
      </c>
      <c r="BX36" s="2020">
        <f t="shared" si="63"/>
        <v>0.96352769230769242</v>
      </c>
      <c r="BY36" s="1997"/>
      <c r="BZ36" s="3514"/>
      <c r="CB36" s="3514"/>
      <c r="CC36" s="2036" t="s">
        <v>161</v>
      </c>
      <c r="CD36" s="2059">
        <v>1</v>
      </c>
      <c r="CE36" s="2037">
        <f>IF(CE29&gt;CD35,CE29," ")</f>
        <v>0.96666666666666667</v>
      </c>
      <c r="CF36" s="1810"/>
      <c r="CG36" s="1810"/>
      <c r="CH36" s="1810"/>
      <c r="CI36" s="1810"/>
      <c r="CJ36" s="1986"/>
      <c r="CK36" s="1810"/>
    </row>
    <row r="37" spans="2:89" s="1885" customFormat="1" x14ac:dyDescent="0.2">
      <c r="B37" s="2000">
        <v>29</v>
      </c>
      <c r="C37" s="2000" t="s">
        <v>259</v>
      </c>
      <c r="D37" s="2579"/>
      <c r="E37" s="2001">
        <v>10</v>
      </c>
      <c r="F37" s="2001">
        <v>5</v>
      </c>
      <c r="G37" s="2001">
        <v>3.3333333333333335</v>
      </c>
      <c r="H37" s="2001">
        <v>2.5</v>
      </c>
      <c r="I37" s="4140">
        <v>2</v>
      </c>
      <c r="J37" s="4144">
        <f t="shared" si="50"/>
        <v>9.4827999999999992</v>
      </c>
      <c r="K37" s="4143">
        <f t="shared" si="64"/>
        <v>0.36472307692307687</v>
      </c>
      <c r="L37" s="4144">
        <f t="shared" si="51"/>
        <v>0.51719999999999999</v>
      </c>
      <c r="M37" s="4158">
        <f t="shared" si="65"/>
        <v>0.1724</v>
      </c>
      <c r="N37" s="4156">
        <f t="shared" si="52"/>
        <v>3.3593785955849031E-3</v>
      </c>
      <c r="O37" s="2003"/>
      <c r="P37" s="1950"/>
      <c r="Q37" s="2001">
        <f>$K$37</f>
        <v>0.36472307692307687</v>
      </c>
      <c r="R37" s="2001">
        <f>$K$37</f>
        <v>0.36472307692307687</v>
      </c>
      <c r="S37" s="2001">
        <f>$K$37</f>
        <v>0.36472307692307687</v>
      </c>
      <c r="T37" s="2001">
        <f>$K$37</f>
        <v>0.36472307692307687</v>
      </c>
      <c r="U37" s="2001"/>
      <c r="V37" s="2001">
        <f>$K$37</f>
        <v>0.36472307692307687</v>
      </c>
      <c r="W37" s="2001">
        <f>$K$37</f>
        <v>0.36472307692307687</v>
      </c>
      <c r="X37" s="3513"/>
      <c r="Y37" s="2481">
        <f t="shared" si="78"/>
        <v>2.1883384615384611</v>
      </c>
      <c r="Z37" s="2482">
        <f t="shared" si="53"/>
        <v>4.6151042364787536</v>
      </c>
      <c r="AA37" s="2483">
        <f t="shared" si="68"/>
        <v>2.4267657749402924</v>
      </c>
      <c r="AB37" s="1896"/>
      <c r="AC37" s="2001">
        <f>$K$37</f>
        <v>0.36472307692307687</v>
      </c>
      <c r="AD37" s="2001">
        <f>$K$37</f>
        <v>0.36472307692307687</v>
      </c>
      <c r="AE37" s="2001">
        <f>$K$37</f>
        <v>0.36472307692307687</v>
      </c>
      <c r="AF37" s="2001">
        <f>$K$37</f>
        <v>0.36472307692307687</v>
      </c>
      <c r="AG37" s="2001">
        <f>$M$37</f>
        <v>0.1724</v>
      </c>
      <c r="AH37" s="2001">
        <f>$K$37</f>
        <v>0.36472307692307687</v>
      </c>
      <c r="AI37" s="2001">
        <f>$K$37</f>
        <v>0.36472307692307687</v>
      </c>
      <c r="AJ37" s="1896"/>
      <c r="AK37" s="2481">
        <f t="shared" si="102"/>
        <v>2.3607384615384612</v>
      </c>
      <c r="AL37" s="2482">
        <f t="shared" si="54"/>
        <v>4.5866402216383628</v>
      </c>
      <c r="AM37" s="2483">
        <f t="shared" si="103"/>
        <v>2.2259017600999016</v>
      </c>
      <c r="AN37" s="1896"/>
      <c r="AO37" s="2005">
        <f>$K$37</f>
        <v>0.36472307692307687</v>
      </c>
      <c r="AP37" s="2005">
        <f>$K$37</f>
        <v>0.36472307692307687</v>
      </c>
      <c r="AQ37" s="2005">
        <f>$K$37</f>
        <v>0.36472307692307687</v>
      </c>
      <c r="AR37" s="2005">
        <f>$K$37</f>
        <v>0.36472307692307687</v>
      </c>
      <c r="AS37" s="2005">
        <f>$M$37</f>
        <v>0.1724</v>
      </c>
      <c r="AT37" s="2005">
        <f>$K$37</f>
        <v>0.36472307692307687</v>
      </c>
      <c r="AU37" s="2005">
        <f>$K$37</f>
        <v>0.36472307692307687</v>
      </c>
      <c r="AV37" s="2295"/>
      <c r="AW37" s="2481">
        <f t="shared" si="71"/>
        <v>2.3607384615384612</v>
      </c>
      <c r="AX37" s="2482">
        <f t="shared" si="55"/>
        <v>4.2021996539168178</v>
      </c>
      <c r="AY37" s="2483">
        <f t="shared" si="72"/>
        <v>1.8414611923783566</v>
      </c>
      <c r="AZ37" s="2295"/>
      <c r="BA37" s="2005">
        <f t="shared" ref="BA37:BG37" si="108">$K$37</f>
        <v>0.36472307692307687</v>
      </c>
      <c r="BB37" s="2005">
        <f t="shared" si="108"/>
        <v>0.36472307692307687</v>
      </c>
      <c r="BC37" s="2005">
        <f t="shared" si="108"/>
        <v>0.36472307692307687</v>
      </c>
      <c r="BD37" s="2005">
        <f t="shared" si="108"/>
        <v>0.36472307692307687</v>
      </c>
      <c r="BE37" s="2005">
        <f>$M$37</f>
        <v>0.1724</v>
      </c>
      <c r="BF37" s="2005">
        <f t="shared" si="108"/>
        <v>0.36472307692307687</v>
      </c>
      <c r="BG37" s="2005">
        <f t="shared" si="108"/>
        <v>0.36472307692307687</v>
      </c>
      <c r="BH37" s="2295"/>
      <c r="BI37" s="2481">
        <f t="shared" si="74"/>
        <v>2.3607384615384612</v>
      </c>
      <c r="BJ37" s="2482">
        <f t="shared" si="57"/>
        <v>4.0476447228697419</v>
      </c>
      <c r="BK37" s="2483">
        <f t="shared" si="75"/>
        <v>1.6869062613312806</v>
      </c>
      <c r="BL37" s="3513"/>
      <c r="BM37" s="2001">
        <f t="shared" ref="BM37:BN37" si="109">$K$37</f>
        <v>0.36472307692307687</v>
      </c>
      <c r="BN37" s="2001">
        <f t="shared" si="109"/>
        <v>0.36472307692307687</v>
      </c>
      <c r="BO37" s="3513"/>
      <c r="BP37" s="2481">
        <f t="shared" si="59"/>
        <v>0.72944615384615374</v>
      </c>
      <c r="BQ37" s="2482">
        <f t="shared" si="60"/>
        <v>1.092164215832012</v>
      </c>
      <c r="BR37" s="2483">
        <f t="shared" si="89"/>
        <v>0.36271806198585821</v>
      </c>
      <c r="BT37" s="1898">
        <v>0</v>
      </c>
      <c r="BU37" s="1899">
        <f t="shared" si="61"/>
        <v>0</v>
      </c>
      <c r="BV37" s="1900"/>
      <c r="BW37" s="2388">
        <f t="shared" si="62"/>
        <v>9.6352769230769226</v>
      </c>
      <c r="BX37" s="2389">
        <f t="shared" si="63"/>
        <v>0.96352769230769231</v>
      </c>
      <c r="BY37" s="2010"/>
      <c r="BZ37" s="3512"/>
      <c r="CB37" s="3512"/>
      <c r="CC37" s="2488"/>
      <c r="CD37" s="2404" t="s">
        <v>158</v>
      </c>
      <c r="CE37" s="2490">
        <f>MAX(100%,CE29)-CE29</f>
        <v>3.3333333333333326E-2</v>
      </c>
      <c r="CF37" s="1906"/>
      <c r="CG37" s="1906"/>
      <c r="CH37" s="1906"/>
      <c r="CI37" s="1906"/>
      <c r="CJ37" s="2386"/>
      <c r="CK37" s="1906"/>
    </row>
    <row r="38" spans="2:89" s="1726" customFormat="1" ht="17.25" thickBot="1" x14ac:dyDescent="0.25">
      <c r="B38" s="1963">
        <v>30</v>
      </c>
      <c r="C38" s="1963" t="s">
        <v>244</v>
      </c>
      <c r="D38" s="2578"/>
      <c r="E38" s="1728">
        <v>5</v>
      </c>
      <c r="F38" s="1728">
        <v>5</v>
      </c>
      <c r="G38" s="1728">
        <v>3.3333333333333335</v>
      </c>
      <c r="H38" s="1728">
        <v>2.5</v>
      </c>
      <c r="I38" s="4138">
        <v>2</v>
      </c>
      <c r="J38" s="4144">
        <f t="shared" si="50"/>
        <v>4.7413999999999996</v>
      </c>
      <c r="K38" s="4143">
        <f t="shared" si="64"/>
        <v>0.18236153846153844</v>
      </c>
      <c r="L38" s="4144">
        <f t="shared" si="51"/>
        <v>0.2586</v>
      </c>
      <c r="M38" s="4158">
        <f t="shared" si="65"/>
        <v>8.6199999999999999E-2</v>
      </c>
      <c r="N38" s="4155">
        <f t="shared" si="52"/>
        <v>1.6796892977924516E-3</v>
      </c>
      <c r="O38" s="1931"/>
      <c r="P38" s="1924"/>
      <c r="Q38" s="1728">
        <f>$K$38</f>
        <v>0.18236153846153844</v>
      </c>
      <c r="R38" s="1728">
        <f>$K$38</f>
        <v>0.18236153846153844</v>
      </c>
      <c r="S38" s="1728">
        <f>$K$38</f>
        <v>0.18236153846153844</v>
      </c>
      <c r="T38" s="1728">
        <f>$K$38</f>
        <v>0.18236153846153844</v>
      </c>
      <c r="U38" s="1728"/>
      <c r="V38" s="1728">
        <f>$K$38</f>
        <v>0.18236153846153844</v>
      </c>
      <c r="W38" s="1728">
        <f>$K$38</f>
        <v>0.18236153846153844</v>
      </c>
      <c r="X38" s="3515"/>
      <c r="Y38" s="2016">
        <f t="shared" si="78"/>
        <v>1.0941692307692306</v>
      </c>
      <c r="Z38" s="2017">
        <f t="shared" si="53"/>
        <v>2.3075521182393768</v>
      </c>
      <c r="AA38" s="2018">
        <f t="shared" si="68"/>
        <v>1.2133828874701462</v>
      </c>
      <c r="AB38" s="1881"/>
      <c r="AC38" s="1728">
        <f>$K$38</f>
        <v>0.18236153846153844</v>
      </c>
      <c r="AD38" s="1728">
        <f>$K$38</f>
        <v>0.18236153846153844</v>
      </c>
      <c r="AE38" s="1728">
        <f>$K$38</f>
        <v>0.18236153846153844</v>
      </c>
      <c r="AF38" s="1728">
        <f>$K$38</f>
        <v>0.18236153846153844</v>
      </c>
      <c r="AG38" s="1728">
        <f>$M$38</f>
        <v>8.6199999999999999E-2</v>
      </c>
      <c r="AH38" s="1728">
        <f>$K$38</f>
        <v>0.18236153846153844</v>
      </c>
      <c r="AI38" s="1728">
        <f>$K$38</f>
        <v>0.18236153846153844</v>
      </c>
      <c r="AJ38" s="1881"/>
      <c r="AK38" s="2016">
        <f t="shared" si="102"/>
        <v>1.1803692307692306</v>
      </c>
      <c r="AL38" s="2017">
        <f t="shared" si="54"/>
        <v>2.2933201108191814</v>
      </c>
      <c r="AM38" s="2018">
        <f t="shared" si="103"/>
        <v>1.1129508800499508</v>
      </c>
      <c r="AN38" s="1881"/>
      <c r="AO38" s="2268">
        <f>$K$38</f>
        <v>0.18236153846153844</v>
      </c>
      <c r="AP38" s="2268">
        <f>$K$38</f>
        <v>0.18236153846153844</v>
      </c>
      <c r="AQ38" s="2268">
        <f>$K$38</f>
        <v>0.18236153846153844</v>
      </c>
      <c r="AR38" s="2268">
        <f>$K$38</f>
        <v>0.18236153846153844</v>
      </c>
      <c r="AS38" s="2268">
        <f>$M$38</f>
        <v>8.6199999999999999E-2</v>
      </c>
      <c r="AT38" s="2268">
        <f>$K$38</f>
        <v>0.18236153846153844</v>
      </c>
      <c r="AU38" s="2268">
        <f>$K$38</f>
        <v>0.18236153846153844</v>
      </c>
      <c r="AV38" s="2293"/>
      <c r="AW38" s="2016">
        <f t="shared" si="71"/>
        <v>1.1803692307692306</v>
      </c>
      <c r="AX38" s="2017">
        <f t="shared" si="55"/>
        <v>2.1010998269584089</v>
      </c>
      <c r="AY38" s="2018">
        <f t="shared" si="72"/>
        <v>0.9207305961891783</v>
      </c>
      <c r="AZ38" s="2293"/>
      <c r="BA38" s="2268">
        <f t="shared" ref="BA38:BG38" si="110">$K$38</f>
        <v>0.18236153846153844</v>
      </c>
      <c r="BB38" s="2268">
        <f t="shared" si="110"/>
        <v>0.18236153846153844</v>
      </c>
      <c r="BC38" s="2268">
        <f t="shared" si="110"/>
        <v>0.18236153846153844</v>
      </c>
      <c r="BD38" s="2268">
        <f t="shared" si="110"/>
        <v>0.18236153846153844</v>
      </c>
      <c r="BE38" s="2268">
        <f>$M$38</f>
        <v>8.6199999999999999E-2</v>
      </c>
      <c r="BF38" s="2268">
        <f t="shared" si="110"/>
        <v>0.18236153846153844</v>
      </c>
      <c r="BG38" s="2268">
        <f t="shared" si="110"/>
        <v>0.18236153846153844</v>
      </c>
      <c r="BH38" s="2293"/>
      <c r="BI38" s="2016">
        <f t="shared" si="74"/>
        <v>1.1803692307692306</v>
      </c>
      <c r="BJ38" s="2017">
        <f t="shared" si="57"/>
        <v>2.0238223614348709</v>
      </c>
      <c r="BK38" s="2018">
        <f t="shared" si="75"/>
        <v>0.84345313066564032</v>
      </c>
      <c r="BL38" s="3515"/>
      <c r="BM38" s="1728">
        <f t="shared" ref="BM38:BN38" si="111">$K$38</f>
        <v>0.18236153846153844</v>
      </c>
      <c r="BN38" s="1728">
        <f t="shared" si="111"/>
        <v>0.18236153846153844</v>
      </c>
      <c r="BO38" s="3515"/>
      <c r="BP38" s="2016">
        <f t="shared" si="59"/>
        <v>0.36472307692307687</v>
      </c>
      <c r="BQ38" s="2017">
        <f t="shared" si="60"/>
        <v>0.54608210791600598</v>
      </c>
      <c r="BR38" s="2018">
        <f t="shared" si="89"/>
        <v>0.1813590309929291</v>
      </c>
      <c r="BT38" s="1732">
        <v>0</v>
      </c>
      <c r="BU38" s="1882">
        <f t="shared" si="61"/>
        <v>0</v>
      </c>
      <c r="BV38" s="1740"/>
      <c r="BW38" s="2019">
        <f t="shared" si="62"/>
        <v>4.8176384615384613</v>
      </c>
      <c r="BX38" s="2020">
        <f t="shared" si="63"/>
        <v>0.96352769230769231</v>
      </c>
      <c r="BY38" s="1997"/>
      <c r="BZ38" s="3514"/>
      <c r="CB38" s="3514"/>
      <c r="CC38" s="2984"/>
      <c r="CD38" s="2985"/>
      <c r="CE38" s="2649"/>
      <c r="CF38" s="2986"/>
      <c r="CG38" s="2986"/>
      <c r="CH38" s="2986"/>
      <c r="CI38" s="2986"/>
      <c r="CJ38" s="2987"/>
      <c r="CK38" s="1810"/>
    </row>
    <row r="39" spans="2:89" s="1885" customFormat="1" x14ac:dyDescent="0.2">
      <c r="B39" s="2580">
        <v>31</v>
      </c>
      <c r="C39" s="1987" t="s">
        <v>257</v>
      </c>
      <c r="D39" s="1836"/>
      <c r="E39" s="1746">
        <v>0</v>
      </c>
      <c r="F39" s="1746">
        <v>5</v>
      </c>
      <c r="G39" s="1746">
        <v>3.3333333333333335</v>
      </c>
      <c r="H39" s="1746">
        <v>2.5</v>
      </c>
      <c r="I39" s="4139">
        <v>2</v>
      </c>
      <c r="J39" s="4144">
        <f t="shared" si="50"/>
        <v>0</v>
      </c>
      <c r="K39" s="4143">
        <f t="shared" si="64"/>
        <v>0</v>
      </c>
      <c r="L39" s="4144">
        <f t="shared" si="51"/>
        <v>0</v>
      </c>
      <c r="M39" s="4158">
        <f t="shared" si="65"/>
        <v>0</v>
      </c>
      <c r="N39" s="4154">
        <f t="shared" si="52"/>
        <v>0</v>
      </c>
      <c r="O39" s="2003"/>
      <c r="P39" s="1950"/>
      <c r="Q39" s="2001">
        <f>$K$39</f>
        <v>0</v>
      </c>
      <c r="R39" s="2001">
        <f>$K$39</f>
        <v>0</v>
      </c>
      <c r="S39" s="2001">
        <f>$K$39</f>
        <v>0</v>
      </c>
      <c r="T39" s="2001">
        <f>$K$39</f>
        <v>0</v>
      </c>
      <c r="U39" s="2001"/>
      <c r="V39" s="2001">
        <f>$K$39</f>
        <v>0</v>
      </c>
      <c r="W39" s="2001">
        <f>$K$39</f>
        <v>0</v>
      </c>
      <c r="X39" s="3249"/>
      <c r="Y39" s="2481">
        <f t="shared" si="78"/>
        <v>0</v>
      </c>
      <c r="Z39" s="2482">
        <f t="shared" si="53"/>
        <v>0</v>
      </c>
      <c r="AA39" s="2483">
        <f t="shared" si="68"/>
        <v>0</v>
      </c>
      <c r="AB39" s="1896"/>
      <c r="AC39" s="2001">
        <f>$K$39</f>
        <v>0</v>
      </c>
      <c r="AD39" s="2001">
        <f>$K$39</f>
        <v>0</v>
      </c>
      <c r="AE39" s="2001">
        <f>$K$39</f>
        <v>0</v>
      </c>
      <c r="AF39" s="2001">
        <f>$K$39</f>
        <v>0</v>
      </c>
      <c r="AG39" s="2001">
        <f>$M$39</f>
        <v>0</v>
      </c>
      <c r="AH39" s="2001">
        <f>$K$39</f>
        <v>0</v>
      </c>
      <c r="AI39" s="2001">
        <f>$K$39</f>
        <v>0</v>
      </c>
      <c r="AJ39" s="1896"/>
      <c r="AK39" s="2481">
        <f t="shared" si="102"/>
        <v>0</v>
      </c>
      <c r="AL39" s="2482">
        <f t="shared" si="54"/>
        <v>0</v>
      </c>
      <c r="AM39" s="2483">
        <f t="shared" si="103"/>
        <v>0</v>
      </c>
      <c r="AN39" s="1896"/>
      <c r="AO39" s="2005">
        <f>$K$39</f>
        <v>0</v>
      </c>
      <c r="AP39" s="2005">
        <f>$K$39</f>
        <v>0</v>
      </c>
      <c r="AQ39" s="2005">
        <f>$K$39</f>
        <v>0</v>
      </c>
      <c r="AR39" s="2005">
        <f>$K$39</f>
        <v>0</v>
      </c>
      <c r="AS39" s="2005">
        <f>$M$39</f>
        <v>0</v>
      </c>
      <c r="AT39" s="2005">
        <f>$K$39</f>
        <v>0</v>
      </c>
      <c r="AU39" s="2005">
        <f>$K$39</f>
        <v>0</v>
      </c>
      <c r="AV39" s="2295"/>
      <c r="AW39" s="2016">
        <f t="shared" si="71"/>
        <v>0</v>
      </c>
      <c r="AX39" s="2482">
        <f t="shared" si="55"/>
        <v>0</v>
      </c>
      <c r="AY39" s="2483">
        <f t="shared" si="72"/>
        <v>0</v>
      </c>
      <c r="AZ39" s="2295"/>
      <c r="BA39" s="2005">
        <f t="shared" ref="BA39:BG39" si="112">$K$39</f>
        <v>0</v>
      </c>
      <c r="BB39" s="2005">
        <f t="shared" si="112"/>
        <v>0</v>
      </c>
      <c r="BC39" s="2005">
        <f t="shared" si="112"/>
        <v>0</v>
      </c>
      <c r="BD39" s="2005">
        <f t="shared" si="112"/>
        <v>0</v>
      </c>
      <c r="BE39" s="2005">
        <f>$M$39</f>
        <v>0</v>
      </c>
      <c r="BF39" s="2005">
        <f t="shared" si="112"/>
        <v>0</v>
      </c>
      <c r="BG39" s="2005">
        <f t="shared" si="112"/>
        <v>0</v>
      </c>
      <c r="BH39" s="2295"/>
      <c r="BI39" s="2481">
        <f t="shared" si="74"/>
        <v>0</v>
      </c>
      <c r="BJ39" s="2482">
        <f t="shared" si="57"/>
        <v>0</v>
      </c>
      <c r="BK39" s="2483">
        <f t="shared" si="75"/>
        <v>0</v>
      </c>
      <c r="BL39" s="3249"/>
      <c r="BM39" s="2001">
        <f t="shared" ref="BM39:BN39" si="113">$K$39</f>
        <v>0</v>
      </c>
      <c r="BN39" s="2001">
        <f t="shared" si="113"/>
        <v>0</v>
      </c>
      <c r="BO39" s="3249"/>
      <c r="BP39" s="2481">
        <f t="shared" si="59"/>
        <v>0</v>
      </c>
      <c r="BQ39" s="2482">
        <f t="shared" si="60"/>
        <v>0</v>
      </c>
      <c r="BR39" s="2483">
        <f t="shared" si="89"/>
        <v>0</v>
      </c>
      <c r="BT39" s="1898">
        <v>0</v>
      </c>
      <c r="BU39" s="1899" t="e">
        <f t="shared" si="61"/>
        <v>#DIV/0!</v>
      </c>
      <c r="BV39" s="1900"/>
      <c r="BW39" s="2388">
        <f t="shared" si="62"/>
        <v>0</v>
      </c>
      <c r="BX39" s="2389" t="e">
        <f t="shared" si="63"/>
        <v>#DIV/0!</v>
      </c>
      <c r="BY39" s="2010"/>
      <c r="BZ39" s="3248"/>
      <c r="CB39" s="3248"/>
      <c r="CC39" s="2988"/>
      <c r="CD39" s="2989"/>
      <c r="CE39" s="2990"/>
      <c r="CF39" s="2991"/>
      <c r="CG39" s="2991"/>
      <c r="CH39" s="2991"/>
      <c r="CI39" s="2991"/>
      <c r="CJ39" s="2991"/>
      <c r="CK39" s="1906"/>
    </row>
    <row r="40" spans="2:89" s="1726" customFormat="1" x14ac:dyDescent="0.2">
      <c r="B40" s="1963">
        <v>32</v>
      </c>
      <c r="C40" s="1963" t="s">
        <v>230</v>
      </c>
      <c r="D40" s="2578"/>
      <c r="E40" s="1728">
        <v>0</v>
      </c>
      <c r="F40" s="1728"/>
      <c r="G40" s="1728"/>
      <c r="H40" s="1728"/>
      <c r="I40" s="4138"/>
      <c r="J40" s="4144">
        <f t="shared" si="50"/>
        <v>0</v>
      </c>
      <c r="K40" s="4143">
        <f t="shared" si="64"/>
        <v>0</v>
      </c>
      <c r="L40" s="4144">
        <f t="shared" si="51"/>
        <v>0</v>
      </c>
      <c r="M40" s="4158">
        <f t="shared" si="65"/>
        <v>0</v>
      </c>
      <c r="N40" s="4155">
        <f t="shared" si="52"/>
        <v>0</v>
      </c>
      <c r="O40" s="1931"/>
      <c r="P40" s="1924"/>
      <c r="Q40" s="1728">
        <f>$K$40</f>
        <v>0</v>
      </c>
      <c r="R40" s="1728">
        <f>$K$40</f>
        <v>0</v>
      </c>
      <c r="S40" s="1728">
        <f>$K$40</f>
        <v>0</v>
      </c>
      <c r="T40" s="1728">
        <f>$K$40</f>
        <v>0</v>
      </c>
      <c r="U40" s="1728"/>
      <c r="V40" s="1728">
        <f>$K$40</f>
        <v>0</v>
      </c>
      <c r="W40" s="1728">
        <f>$K$40</f>
        <v>0</v>
      </c>
      <c r="X40" s="3259"/>
      <c r="Y40" s="2016">
        <f t="shared" si="78"/>
        <v>0</v>
      </c>
      <c r="Z40" s="2017">
        <f t="shared" si="53"/>
        <v>0</v>
      </c>
      <c r="AA40" s="2018">
        <f t="shared" si="68"/>
        <v>0</v>
      </c>
      <c r="AB40" s="1881"/>
      <c r="AC40" s="1728">
        <f>$K$40</f>
        <v>0</v>
      </c>
      <c r="AD40" s="1728">
        <f>$K$40</f>
        <v>0</v>
      </c>
      <c r="AE40" s="1728">
        <f>$K$40</f>
        <v>0</v>
      </c>
      <c r="AF40" s="1728">
        <f>$K$40</f>
        <v>0</v>
      </c>
      <c r="AG40" s="1728">
        <f>$M$40</f>
        <v>0</v>
      </c>
      <c r="AH40" s="1728">
        <f>$K$40</f>
        <v>0</v>
      </c>
      <c r="AI40" s="1728">
        <f>$K$40</f>
        <v>0</v>
      </c>
      <c r="AJ40" s="1881"/>
      <c r="AK40" s="2016">
        <f t="shared" si="102"/>
        <v>0</v>
      </c>
      <c r="AL40" s="2017">
        <f t="shared" si="54"/>
        <v>0</v>
      </c>
      <c r="AM40" s="2018">
        <f t="shared" si="103"/>
        <v>0</v>
      </c>
      <c r="AN40" s="1881"/>
      <c r="AO40" s="2268">
        <f>$K$40</f>
        <v>0</v>
      </c>
      <c r="AP40" s="2268">
        <f>$K$40</f>
        <v>0</v>
      </c>
      <c r="AQ40" s="2268">
        <f>$K$40</f>
        <v>0</v>
      </c>
      <c r="AR40" s="2268">
        <f>$K$40</f>
        <v>0</v>
      </c>
      <c r="AS40" s="2268">
        <f>$M$40</f>
        <v>0</v>
      </c>
      <c r="AT40" s="2268">
        <f>$K$40</f>
        <v>0</v>
      </c>
      <c r="AU40" s="2268">
        <f>$K$40</f>
        <v>0</v>
      </c>
      <c r="AV40" s="2293"/>
      <c r="AW40" s="2016">
        <f t="shared" si="71"/>
        <v>0</v>
      </c>
      <c r="AX40" s="2017">
        <f t="shared" si="55"/>
        <v>0</v>
      </c>
      <c r="AY40" s="2018">
        <f t="shared" si="72"/>
        <v>0</v>
      </c>
      <c r="AZ40" s="2293"/>
      <c r="BA40" s="2268">
        <f t="shared" ref="BA40:BG40" si="114">$K$40</f>
        <v>0</v>
      </c>
      <c r="BB40" s="2268">
        <f t="shared" si="114"/>
        <v>0</v>
      </c>
      <c r="BC40" s="2268">
        <f t="shared" si="114"/>
        <v>0</v>
      </c>
      <c r="BD40" s="2268">
        <f t="shared" si="114"/>
        <v>0</v>
      </c>
      <c r="BE40" s="2268">
        <f>$M$40</f>
        <v>0</v>
      </c>
      <c r="BF40" s="2268">
        <f t="shared" si="114"/>
        <v>0</v>
      </c>
      <c r="BG40" s="2268">
        <f t="shared" si="114"/>
        <v>0</v>
      </c>
      <c r="BH40" s="2293"/>
      <c r="BI40" s="2016">
        <f t="shared" si="74"/>
        <v>0</v>
      </c>
      <c r="BJ40" s="2017">
        <f t="shared" si="57"/>
        <v>0</v>
      </c>
      <c r="BK40" s="2018">
        <f t="shared" si="75"/>
        <v>0</v>
      </c>
      <c r="BL40" s="3259"/>
      <c r="BM40" s="1728">
        <f t="shared" ref="BM40:BN40" si="115">$K$40</f>
        <v>0</v>
      </c>
      <c r="BN40" s="1728">
        <f t="shared" si="115"/>
        <v>0</v>
      </c>
      <c r="BO40" s="3259"/>
      <c r="BP40" s="2016">
        <f t="shared" si="59"/>
        <v>0</v>
      </c>
      <c r="BQ40" s="2017">
        <f t="shared" si="60"/>
        <v>0</v>
      </c>
      <c r="BR40" s="2018">
        <f t="shared" si="89"/>
        <v>0</v>
      </c>
      <c r="BT40" s="1732">
        <v>0</v>
      </c>
      <c r="BU40" s="1882" t="e">
        <f t="shared" si="61"/>
        <v>#DIV/0!</v>
      </c>
      <c r="BV40" s="1740"/>
      <c r="BW40" s="2019">
        <f t="shared" si="62"/>
        <v>0</v>
      </c>
      <c r="BX40" s="2020" t="e">
        <f t="shared" si="63"/>
        <v>#DIV/0!</v>
      </c>
      <c r="BY40" s="1997"/>
      <c r="BZ40" s="3257"/>
      <c r="CB40" s="3257"/>
      <c r="CC40" s="2992"/>
      <c r="CD40" s="1830"/>
      <c r="CE40" s="1817"/>
      <c r="CF40" s="1810"/>
      <c r="CG40" s="1810"/>
      <c r="CH40" s="1810"/>
      <c r="CI40" s="1810"/>
      <c r="CJ40" s="1810"/>
      <c r="CK40" s="1810"/>
    </row>
    <row r="41" spans="2:89" s="1885" customFormat="1" x14ac:dyDescent="0.2">
      <c r="B41" s="2000">
        <v>33</v>
      </c>
      <c r="C41" s="2000" t="s">
        <v>199</v>
      </c>
      <c r="D41" s="2579"/>
      <c r="E41" s="2001">
        <v>0</v>
      </c>
      <c r="F41" s="2001">
        <v>0</v>
      </c>
      <c r="G41" s="2001">
        <v>0</v>
      </c>
      <c r="H41" s="2001">
        <v>0</v>
      </c>
      <c r="I41" s="4140">
        <v>0</v>
      </c>
      <c r="J41" s="4144">
        <f t="shared" si="50"/>
        <v>0</v>
      </c>
      <c r="K41" s="4143">
        <f t="shared" si="64"/>
        <v>0</v>
      </c>
      <c r="L41" s="4144">
        <f t="shared" si="51"/>
        <v>0</v>
      </c>
      <c r="M41" s="4158">
        <f t="shared" si="65"/>
        <v>0</v>
      </c>
      <c r="N41" s="4156">
        <f t="shared" si="52"/>
        <v>0</v>
      </c>
      <c r="O41" s="2003"/>
      <c r="P41" s="1950"/>
      <c r="Q41" s="2001">
        <f>$K$41</f>
        <v>0</v>
      </c>
      <c r="R41" s="2001">
        <f>$K$41</f>
        <v>0</v>
      </c>
      <c r="S41" s="2001">
        <f>$K$41</f>
        <v>0</v>
      </c>
      <c r="T41" s="2001">
        <f>$K$41</f>
        <v>0</v>
      </c>
      <c r="U41" s="2001"/>
      <c r="V41" s="2001">
        <f>$K$41</f>
        <v>0</v>
      </c>
      <c r="W41" s="2001">
        <f>$K$41</f>
        <v>0</v>
      </c>
      <c r="X41" s="3249"/>
      <c r="Y41" s="2481">
        <f t="shared" si="78"/>
        <v>0</v>
      </c>
      <c r="Z41" s="2482">
        <f t="shared" si="53"/>
        <v>0</v>
      </c>
      <c r="AA41" s="2483">
        <f t="shared" si="68"/>
        <v>0</v>
      </c>
      <c r="AB41" s="1896"/>
      <c r="AC41" s="2001">
        <f>$K$41</f>
        <v>0</v>
      </c>
      <c r="AD41" s="2001">
        <f>$K$41</f>
        <v>0</v>
      </c>
      <c r="AE41" s="2001">
        <f>$K$41</f>
        <v>0</v>
      </c>
      <c r="AF41" s="2001">
        <f>$K$41</f>
        <v>0</v>
      </c>
      <c r="AG41" s="2001">
        <f>$M$41</f>
        <v>0</v>
      </c>
      <c r="AH41" s="2001">
        <f>$K$41</f>
        <v>0</v>
      </c>
      <c r="AI41" s="2001">
        <f>$K$41</f>
        <v>0</v>
      </c>
      <c r="AJ41" s="1896"/>
      <c r="AK41" s="2481">
        <f t="shared" si="102"/>
        <v>0</v>
      </c>
      <c r="AL41" s="2482">
        <f t="shared" si="54"/>
        <v>0</v>
      </c>
      <c r="AM41" s="2483">
        <f t="shared" si="103"/>
        <v>0</v>
      </c>
      <c r="AN41" s="1896"/>
      <c r="AO41" s="2005">
        <f>$K$41</f>
        <v>0</v>
      </c>
      <c r="AP41" s="2005">
        <f>$K$41</f>
        <v>0</v>
      </c>
      <c r="AQ41" s="2005">
        <f>$K$41</f>
        <v>0</v>
      </c>
      <c r="AR41" s="2005">
        <f>$K$41</f>
        <v>0</v>
      </c>
      <c r="AS41" s="2005">
        <f>$M$41</f>
        <v>0</v>
      </c>
      <c r="AT41" s="2005">
        <f>$K$41</f>
        <v>0</v>
      </c>
      <c r="AU41" s="2005">
        <f>$K$41</f>
        <v>0</v>
      </c>
      <c r="AV41" s="2295"/>
      <c r="AW41" s="2016">
        <f t="shared" si="71"/>
        <v>0</v>
      </c>
      <c r="AX41" s="2482">
        <f t="shared" si="55"/>
        <v>0</v>
      </c>
      <c r="AY41" s="2483">
        <f t="shared" si="72"/>
        <v>0</v>
      </c>
      <c r="AZ41" s="2295"/>
      <c r="BA41" s="2005">
        <f t="shared" ref="BA41:BG41" si="116">$K$41</f>
        <v>0</v>
      </c>
      <c r="BB41" s="2005">
        <f t="shared" si="116"/>
        <v>0</v>
      </c>
      <c r="BC41" s="2005">
        <f t="shared" si="116"/>
        <v>0</v>
      </c>
      <c r="BD41" s="2005">
        <f t="shared" si="116"/>
        <v>0</v>
      </c>
      <c r="BE41" s="2005">
        <f>$M$41</f>
        <v>0</v>
      </c>
      <c r="BF41" s="2005">
        <f t="shared" si="116"/>
        <v>0</v>
      </c>
      <c r="BG41" s="2005">
        <f t="shared" si="116"/>
        <v>0</v>
      </c>
      <c r="BH41" s="2295"/>
      <c r="BI41" s="2481">
        <f t="shared" si="74"/>
        <v>0</v>
      </c>
      <c r="BJ41" s="2482">
        <f t="shared" si="57"/>
        <v>0</v>
      </c>
      <c r="BK41" s="2483">
        <f t="shared" si="75"/>
        <v>0</v>
      </c>
      <c r="BL41" s="3249"/>
      <c r="BM41" s="2001">
        <f t="shared" ref="BM41:BN41" si="117">$K$41</f>
        <v>0</v>
      </c>
      <c r="BN41" s="2001">
        <f t="shared" si="117"/>
        <v>0</v>
      </c>
      <c r="BO41" s="3249"/>
      <c r="BP41" s="2481">
        <f t="shared" si="59"/>
        <v>0</v>
      </c>
      <c r="BQ41" s="2482">
        <f t="shared" si="60"/>
        <v>0</v>
      </c>
      <c r="BR41" s="2483">
        <f t="shared" si="89"/>
        <v>0</v>
      </c>
      <c r="BT41" s="1898">
        <v>0</v>
      </c>
      <c r="BU41" s="1899" t="e">
        <f t="shared" si="61"/>
        <v>#DIV/0!</v>
      </c>
      <c r="BV41" s="1900"/>
      <c r="BW41" s="2388">
        <f t="shared" si="62"/>
        <v>0</v>
      </c>
      <c r="BX41" s="2389" t="e">
        <f t="shared" si="63"/>
        <v>#DIV/0!</v>
      </c>
      <c r="BY41" s="2010"/>
      <c r="BZ41" s="3248"/>
      <c r="CB41" s="3248"/>
      <c r="CC41" s="2993"/>
      <c r="CD41" s="1962"/>
      <c r="CE41" s="1960"/>
      <c r="CF41" s="1906"/>
      <c r="CG41" s="1906"/>
      <c r="CH41" s="1906"/>
      <c r="CI41" s="1906"/>
      <c r="CJ41" s="1906"/>
      <c r="CK41" s="1906"/>
    </row>
    <row r="42" spans="2:89" s="1726" customFormat="1" x14ac:dyDescent="0.2">
      <c r="B42" s="2508">
        <v>34</v>
      </c>
      <c r="C42" s="1963" t="s">
        <v>284</v>
      </c>
      <c r="D42" s="2578"/>
      <c r="E42" s="1728">
        <v>0</v>
      </c>
      <c r="F42" s="1728">
        <v>0</v>
      </c>
      <c r="G42" s="1728">
        <v>0</v>
      </c>
      <c r="H42" s="1728">
        <v>0</v>
      </c>
      <c r="I42" s="4138">
        <v>0</v>
      </c>
      <c r="J42" s="4144">
        <f t="shared" si="50"/>
        <v>0</v>
      </c>
      <c r="K42" s="4143">
        <f t="shared" si="64"/>
        <v>0</v>
      </c>
      <c r="L42" s="4144">
        <f t="shared" si="51"/>
        <v>0</v>
      </c>
      <c r="M42" s="4158">
        <f t="shared" si="65"/>
        <v>0</v>
      </c>
      <c r="N42" s="4155">
        <f t="shared" si="52"/>
        <v>0</v>
      </c>
      <c r="O42" s="1931"/>
      <c r="P42" s="1924"/>
      <c r="Q42" s="1728">
        <f>$K$42</f>
        <v>0</v>
      </c>
      <c r="R42" s="1728">
        <f>$K$42</f>
        <v>0</v>
      </c>
      <c r="S42" s="1728">
        <f>$K$42</f>
        <v>0</v>
      </c>
      <c r="T42" s="1728">
        <f>$K$42</f>
        <v>0</v>
      </c>
      <c r="U42" s="1728"/>
      <c r="V42" s="1728">
        <f>$K$42</f>
        <v>0</v>
      </c>
      <c r="W42" s="1728">
        <f>$K$42</f>
        <v>0</v>
      </c>
      <c r="X42" s="3259"/>
      <c r="Y42" s="2016">
        <f t="shared" si="78"/>
        <v>0</v>
      </c>
      <c r="Z42" s="2017">
        <f t="shared" si="53"/>
        <v>0</v>
      </c>
      <c r="AA42" s="2018">
        <f t="shared" si="68"/>
        <v>0</v>
      </c>
      <c r="AB42" s="1881"/>
      <c r="AC42" s="1728">
        <f>$K$42</f>
        <v>0</v>
      </c>
      <c r="AD42" s="1728">
        <f>$K$42</f>
        <v>0</v>
      </c>
      <c r="AE42" s="1728">
        <f>$K$42</f>
        <v>0</v>
      </c>
      <c r="AF42" s="1728">
        <f>$K$42</f>
        <v>0</v>
      </c>
      <c r="AG42" s="1728">
        <f>$M$42</f>
        <v>0</v>
      </c>
      <c r="AH42" s="1728">
        <f>$K$42</f>
        <v>0</v>
      </c>
      <c r="AI42" s="1728">
        <f>$K$42</f>
        <v>0</v>
      </c>
      <c r="AJ42" s="1881"/>
      <c r="AK42" s="2016">
        <f t="shared" si="69"/>
        <v>0</v>
      </c>
      <c r="AL42" s="2017">
        <f t="shared" si="54"/>
        <v>0</v>
      </c>
      <c r="AM42" s="2018">
        <f t="shared" si="70"/>
        <v>0</v>
      </c>
      <c r="AN42" s="1881"/>
      <c r="AO42" s="2268">
        <f>$K$42</f>
        <v>0</v>
      </c>
      <c r="AP42" s="2268">
        <f>$K$42</f>
        <v>0</v>
      </c>
      <c r="AQ42" s="2268">
        <f>$K$42</f>
        <v>0</v>
      </c>
      <c r="AR42" s="2268">
        <f>$K$42</f>
        <v>0</v>
      </c>
      <c r="AS42" s="2268">
        <f>$M$42</f>
        <v>0</v>
      </c>
      <c r="AT42" s="2268">
        <f>$K$42</f>
        <v>0</v>
      </c>
      <c r="AU42" s="2268">
        <f>$K$42</f>
        <v>0</v>
      </c>
      <c r="AV42" s="2293"/>
      <c r="AW42" s="2016">
        <f t="shared" si="71"/>
        <v>0</v>
      </c>
      <c r="AX42" s="2017">
        <f t="shared" si="55"/>
        <v>0</v>
      </c>
      <c r="AY42" s="2018">
        <f t="shared" si="72"/>
        <v>0</v>
      </c>
      <c r="AZ42" s="2293"/>
      <c r="BA42" s="2268">
        <f t="shared" ref="BA42:BG42" si="118">$K$42</f>
        <v>0</v>
      </c>
      <c r="BB42" s="2268">
        <f t="shared" si="118"/>
        <v>0</v>
      </c>
      <c r="BC42" s="2268">
        <f t="shared" si="118"/>
        <v>0</v>
      </c>
      <c r="BD42" s="2268">
        <f t="shared" si="118"/>
        <v>0</v>
      </c>
      <c r="BE42" s="2268">
        <f>$M$42</f>
        <v>0</v>
      </c>
      <c r="BF42" s="2268">
        <f t="shared" si="118"/>
        <v>0</v>
      </c>
      <c r="BG42" s="2268">
        <f t="shared" si="118"/>
        <v>0</v>
      </c>
      <c r="BH42" s="2293"/>
      <c r="BI42" s="2016">
        <f t="shared" si="74"/>
        <v>0</v>
      </c>
      <c r="BJ42" s="2017">
        <f t="shared" si="57"/>
        <v>0</v>
      </c>
      <c r="BK42" s="2018">
        <f t="shared" si="75"/>
        <v>0</v>
      </c>
      <c r="BL42" s="3259"/>
      <c r="BM42" s="1728">
        <f t="shared" ref="BM42:BN42" si="119">$K$42</f>
        <v>0</v>
      </c>
      <c r="BN42" s="1728">
        <f t="shared" si="119"/>
        <v>0</v>
      </c>
      <c r="BO42" s="3259"/>
      <c r="BP42" s="2016">
        <f t="shared" si="59"/>
        <v>0</v>
      </c>
      <c r="BQ42" s="2017">
        <f t="shared" si="60"/>
        <v>0</v>
      </c>
      <c r="BR42" s="2018">
        <f t="shared" si="89"/>
        <v>0</v>
      </c>
      <c r="BT42" s="1732">
        <v>0</v>
      </c>
      <c r="BU42" s="1882" t="e">
        <f t="shared" si="61"/>
        <v>#DIV/0!</v>
      </c>
      <c r="BV42" s="1740"/>
      <c r="BW42" s="2019">
        <f t="shared" si="62"/>
        <v>0</v>
      </c>
      <c r="BX42" s="2020" t="e">
        <f t="shared" si="63"/>
        <v>#DIV/0!</v>
      </c>
      <c r="BY42" s="1997"/>
      <c r="BZ42" s="3257"/>
      <c r="CB42" s="3257"/>
      <c r="CC42" s="2992"/>
      <c r="CD42" s="1830"/>
      <c r="CE42" s="1817"/>
      <c r="CF42" s="1810"/>
      <c r="CG42" s="1810"/>
      <c r="CH42" s="1810"/>
      <c r="CI42" s="1810"/>
      <c r="CJ42" s="1810"/>
      <c r="CK42" s="1810"/>
    </row>
    <row r="43" spans="2:89" x14ac:dyDescent="0.2">
      <c r="B43" s="1987">
        <v>35</v>
      </c>
      <c r="C43" s="1987" t="s">
        <v>260</v>
      </c>
      <c r="D43" s="1836"/>
      <c r="E43" s="1746">
        <v>0</v>
      </c>
      <c r="F43" s="1746">
        <v>5</v>
      </c>
      <c r="G43" s="1746">
        <v>3.3333333333333335</v>
      </c>
      <c r="H43" s="1746">
        <v>2.5</v>
      </c>
      <c r="I43" s="4139">
        <v>2</v>
      </c>
      <c r="J43" s="4144">
        <f t="shared" si="50"/>
        <v>0</v>
      </c>
      <c r="K43" s="4143">
        <f t="shared" si="64"/>
        <v>0</v>
      </c>
      <c r="L43" s="4144">
        <f t="shared" si="51"/>
        <v>0</v>
      </c>
      <c r="M43" s="4158">
        <f t="shared" si="65"/>
        <v>0</v>
      </c>
      <c r="N43" s="4154">
        <f t="shared" si="52"/>
        <v>0</v>
      </c>
      <c r="O43" s="1866"/>
      <c r="P43" s="1867"/>
      <c r="Q43" s="1746">
        <f>$K$43</f>
        <v>0</v>
      </c>
      <c r="R43" s="1746">
        <f>$K$43</f>
        <v>0</v>
      </c>
      <c r="S43" s="1746">
        <f>$K$43</f>
        <v>0</v>
      </c>
      <c r="T43" s="1746">
        <f>$K$43</f>
        <v>0</v>
      </c>
      <c r="U43" s="1746"/>
      <c r="V43" s="1746">
        <f>$K$43</f>
        <v>0</v>
      </c>
      <c r="W43" s="1746">
        <f>$K$43</f>
        <v>0</v>
      </c>
      <c r="X43" s="3258"/>
      <c r="Y43" s="2953">
        <f t="shared" si="78"/>
        <v>0</v>
      </c>
      <c r="Z43" s="2954">
        <f t="shared" si="53"/>
        <v>0</v>
      </c>
      <c r="AA43" s="2955">
        <f t="shared" si="68"/>
        <v>0</v>
      </c>
      <c r="AB43" s="1914"/>
      <c r="AC43" s="1746">
        <f>$K$43</f>
        <v>0</v>
      </c>
      <c r="AD43" s="1746">
        <f>$K$43</f>
        <v>0</v>
      </c>
      <c r="AE43" s="1746">
        <f>$K$43</f>
        <v>0</v>
      </c>
      <c r="AF43" s="1746">
        <f>$K$43</f>
        <v>0</v>
      </c>
      <c r="AG43" s="1746">
        <f>$M$43</f>
        <v>0</v>
      </c>
      <c r="AH43" s="1746">
        <f>$K$43</f>
        <v>0</v>
      </c>
      <c r="AI43" s="1746">
        <f>$K$43</f>
        <v>0</v>
      </c>
      <c r="AJ43" s="1914"/>
      <c r="AK43" s="2953">
        <f t="shared" si="69"/>
        <v>0</v>
      </c>
      <c r="AL43" s="2954">
        <f t="shared" si="54"/>
        <v>0</v>
      </c>
      <c r="AM43" s="2955">
        <f t="shared" si="70"/>
        <v>0</v>
      </c>
      <c r="AN43" s="1914"/>
      <c r="AO43" s="1990">
        <f>$K$43</f>
        <v>0</v>
      </c>
      <c r="AP43" s="1990">
        <f>$K$43</f>
        <v>0</v>
      </c>
      <c r="AQ43" s="1990">
        <f>$K$43</f>
        <v>0</v>
      </c>
      <c r="AR43" s="1990">
        <f>$K$43</f>
        <v>0</v>
      </c>
      <c r="AS43" s="1990">
        <f>$M$43</f>
        <v>0</v>
      </c>
      <c r="AT43" s="1990">
        <f>$K$43</f>
        <v>0</v>
      </c>
      <c r="AU43" s="1990">
        <f>$K$43</f>
        <v>0</v>
      </c>
      <c r="AV43" s="2297"/>
      <c r="AW43" s="2016">
        <f t="shared" si="71"/>
        <v>0</v>
      </c>
      <c r="AX43" s="2954">
        <f t="shared" si="55"/>
        <v>0</v>
      </c>
      <c r="AY43" s="2955">
        <f t="shared" si="72"/>
        <v>0</v>
      </c>
      <c r="AZ43" s="2297"/>
      <c r="BA43" s="1990">
        <f t="shared" ref="BA43:BG43" si="120">$K$43</f>
        <v>0</v>
      </c>
      <c r="BB43" s="1990">
        <f t="shared" si="120"/>
        <v>0</v>
      </c>
      <c r="BC43" s="1990">
        <f t="shared" si="120"/>
        <v>0</v>
      </c>
      <c r="BD43" s="1990">
        <f t="shared" si="120"/>
        <v>0</v>
      </c>
      <c r="BE43" s="1990">
        <f>$M$43</f>
        <v>0</v>
      </c>
      <c r="BF43" s="1990">
        <f t="shared" si="120"/>
        <v>0</v>
      </c>
      <c r="BG43" s="1990">
        <f t="shared" si="120"/>
        <v>0</v>
      </c>
      <c r="BH43" s="2297"/>
      <c r="BI43" s="2953">
        <f t="shared" si="74"/>
        <v>0</v>
      </c>
      <c r="BJ43" s="2954">
        <f t="shared" si="57"/>
        <v>0</v>
      </c>
      <c r="BK43" s="2955">
        <f t="shared" si="75"/>
        <v>0</v>
      </c>
      <c r="BL43" s="3258"/>
      <c r="BM43" s="1746">
        <f t="shared" ref="BM43:BN43" si="121">$K$43</f>
        <v>0</v>
      </c>
      <c r="BN43" s="1746">
        <f t="shared" si="121"/>
        <v>0</v>
      </c>
      <c r="BO43" s="3258"/>
      <c r="BP43" s="2953">
        <f t="shared" si="59"/>
        <v>0</v>
      </c>
      <c r="BQ43" s="2954">
        <f t="shared" si="60"/>
        <v>0</v>
      </c>
      <c r="BR43" s="2955">
        <f t="shared" si="89"/>
        <v>0</v>
      </c>
      <c r="BT43" s="1747">
        <v>0</v>
      </c>
      <c r="BU43" s="1752" t="e">
        <f t="shared" si="61"/>
        <v>#DIV/0!</v>
      </c>
      <c r="BV43" s="1754"/>
      <c r="BW43" s="2956">
        <f t="shared" si="62"/>
        <v>0</v>
      </c>
      <c r="BX43" s="2957" t="e">
        <f t="shared" si="63"/>
        <v>#DIV/0!</v>
      </c>
      <c r="BY43" s="1993"/>
      <c r="BZ43" s="1916"/>
      <c r="CB43" s="1916"/>
      <c r="CC43" s="2994"/>
      <c r="CD43" s="1802"/>
      <c r="CE43" s="1806"/>
      <c r="CF43" s="1800"/>
      <c r="CG43" s="1800"/>
      <c r="CH43" s="1800"/>
      <c r="CI43" s="1800"/>
      <c r="CJ43" s="1800"/>
      <c r="CK43" s="1800"/>
    </row>
    <row r="44" spans="2:89" s="1726" customFormat="1" ht="17.25" thickBot="1" x14ac:dyDescent="0.25">
      <c r="B44" s="1963">
        <v>36</v>
      </c>
      <c r="C44" s="1963" t="s">
        <v>261</v>
      </c>
      <c r="D44" s="2578"/>
      <c r="E44" s="1728">
        <v>0</v>
      </c>
      <c r="F44" s="1728">
        <v>5</v>
      </c>
      <c r="G44" s="1728">
        <v>3.3333333333333335</v>
      </c>
      <c r="H44" s="1728">
        <v>2.5</v>
      </c>
      <c r="I44" s="4138">
        <v>2</v>
      </c>
      <c r="J44" s="4144">
        <f t="shared" si="50"/>
        <v>0</v>
      </c>
      <c r="K44" s="4143">
        <f t="shared" si="64"/>
        <v>0</v>
      </c>
      <c r="L44" s="4144">
        <f t="shared" si="51"/>
        <v>0</v>
      </c>
      <c r="M44" s="4158">
        <f t="shared" si="65"/>
        <v>0</v>
      </c>
      <c r="N44" s="4155">
        <f t="shared" si="52"/>
        <v>0</v>
      </c>
      <c r="O44" s="1931"/>
      <c r="P44" s="1924"/>
      <c r="Q44" s="1728">
        <f>$K$44</f>
        <v>0</v>
      </c>
      <c r="R44" s="1728">
        <f>$K$44</f>
        <v>0</v>
      </c>
      <c r="S44" s="1728">
        <f>$K$44</f>
        <v>0</v>
      </c>
      <c r="T44" s="1728">
        <f>$K$44</f>
        <v>0</v>
      </c>
      <c r="U44" s="1728"/>
      <c r="V44" s="1728">
        <f>$K$44</f>
        <v>0</v>
      </c>
      <c r="W44" s="1728">
        <f>$K$44</f>
        <v>0</v>
      </c>
      <c r="X44" s="3259"/>
      <c r="Y44" s="2799">
        <f>SUM(Q44:W44)</f>
        <v>0</v>
      </c>
      <c r="Z44" s="2800">
        <f t="shared" si="53"/>
        <v>0</v>
      </c>
      <c r="AA44" s="2801">
        <f>Z44-Y44</f>
        <v>0</v>
      </c>
      <c r="AB44" s="1881"/>
      <c r="AC44" s="1728">
        <f>$K$44</f>
        <v>0</v>
      </c>
      <c r="AD44" s="1728">
        <f>$K$44</f>
        <v>0</v>
      </c>
      <c r="AE44" s="1728">
        <f>$K$44</f>
        <v>0</v>
      </c>
      <c r="AF44" s="1728">
        <f>$K$44</f>
        <v>0</v>
      </c>
      <c r="AG44" s="1728">
        <f>$M$44</f>
        <v>0</v>
      </c>
      <c r="AH44" s="1728">
        <f>$K$44</f>
        <v>0</v>
      </c>
      <c r="AI44" s="1728">
        <f>$K$44</f>
        <v>0</v>
      </c>
      <c r="AJ44" s="1881"/>
      <c r="AK44" s="2799">
        <f t="shared" si="69"/>
        <v>0</v>
      </c>
      <c r="AL44" s="2800">
        <f t="shared" si="54"/>
        <v>0</v>
      </c>
      <c r="AM44" s="2801">
        <f t="shared" si="70"/>
        <v>0</v>
      </c>
      <c r="AN44" s="1881"/>
      <c r="AO44" s="2268">
        <f>$K$44</f>
        <v>0</v>
      </c>
      <c r="AP44" s="2268">
        <f>$K$44</f>
        <v>0</v>
      </c>
      <c r="AQ44" s="2268">
        <f>$K$44</f>
        <v>0</v>
      </c>
      <c r="AR44" s="2268">
        <f>$K$44</f>
        <v>0</v>
      </c>
      <c r="AS44" s="2268">
        <f>$M$44</f>
        <v>0</v>
      </c>
      <c r="AT44" s="2268">
        <f>$K$44</f>
        <v>0</v>
      </c>
      <c r="AU44" s="2268">
        <f>$K$44</f>
        <v>0</v>
      </c>
      <c r="AV44" s="2293"/>
      <c r="AW44" s="2799">
        <f t="shared" si="71"/>
        <v>0</v>
      </c>
      <c r="AX44" s="2800">
        <f t="shared" si="55"/>
        <v>0</v>
      </c>
      <c r="AY44" s="2801">
        <f t="shared" si="72"/>
        <v>0</v>
      </c>
      <c r="AZ44" s="2293"/>
      <c r="BA44" s="2268">
        <f t="shared" ref="BA44:BG44" si="122">$K$44</f>
        <v>0</v>
      </c>
      <c r="BB44" s="2268">
        <f t="shared" si="122"/>
        <v>0</v>
      </c>
      <c r="BC44" s="2268">
        <f t="shared" si="122"/>
        <v>0</v>
      </c>
      <c r="BD44" s="2268">
        <f t="shared" si="122"/>
        <v>0</v>
      </c>
      <c r="BE44" s="2268">
        <f>$M$44</f>
        <v>0</v>
      </c>
      <c r="BF44" s="2268">
        <f t="shared" si="122"/>
        <v>0</v>
      </c>
      <c r="BG44" s="2268">
        <f t="shared" si="122"/>
        <v>0</v>
      </c>
      <c r="BH44" s="2293"/>
      <c r="BI44" s="2799">
        <f t="shared" si="74"/>
        <v>0</v>
      </c>
      <c r="BJ44" s="2800">
        <f t="shared" si="57"/>
        <v>0</v>
      </c>
      <c r="BK44" s="2801">
        <f t="shared" si="75"/>
        <v>0</v>
      </c>
      <c r="BL44" s="3259"/>
      <c r="BM44" s="1728">
        <f t="shared" ref="BM44:BN44" si="123">$K$44</f>
        <v>0</v>
      </c>
      <c r="BN44" s="1728">
        <f t="shared" si="123"/>
        <v>0</v>
      </c>
      <c r="BO44" s="3259"/>
      <c r="BP44" s="2799">
        <f t="shared" si="59"/>
        <v>0</v>
      </c>
      <c r="BQ44" s="2800">
        <f t="shared" si="60"/>
        <v>0</v>
      </c>
      <c r="BR44" s="2801">
        <f t="shared" si="89"/>
        <v>0</v>
      </c>
      <c r="BT44" s="1732">
        <v>0</v>
      </c>
      <c r="BU44" s="1882" t="e">
        <f t="shared" si="61"/>
        <v>#DIV/0!</v>
      </c>
      <c r="BV44" s="1740"/>
      <c r="BW44" s="3266">
        <f t="shared" si="62"/>
        <v>0</v>
      </c>
      <c r="BX44" s="2802" t="e">
        <f t="shared" si="63"/>
        <v>#DIV/0!</v>
      </c>
      <c r="BY44" s="1997"/>
      <c r="BZ44" s="3257"/>
      <c r="CB44" s="3257"/>
      <c r="CC44" s="2992"/>
      <c r="CD44" s="1997"/>
      <c r="CE44" s="1861"/>
      <c r="CF44" s="1860"/>
      <c r="CG44" s="1860"/>
      <c r="CH44" s="1860"/>
      <c r="CI44" s="1860"/>
      <c r="CJ44" s="1860"/>
      <c r="CK44" s="1860"/>
    </row>
    <row r="45" spans="2:89" s="1923" customFormat="1" ht="4.5" customHeight="1" thickBot="1" x14ac:dyDescent="0.25">
      <c r="B45" s="2525"/>
      <c r="C45" s="2526"/>
      <c r="D45" s="1800"/>
      <c r="E45" s="2527"/>
      <c r="F45" s="2527"/>
      <c r="G45" s="2527"/>
      <c r="H45" s="2527"/>
      <c r="I45" s="2527"/>
      <c r="J45" s="4145"/>
      <c r="K45" s="4146"/>
      <c r="L45" s="4145"/>
      <c r="M45" s="4146"/>
      <c r="N45" s="2528"/>
      <c r="O45" s="1866"/>
      <c r="P45" s="1867"/>
      <c r="Q45" s="2026"/>
      <c r="R45" s="2026"/>
      <c r="S45" s="2026"/>
      <c r="T45" s="2026"/>
      <c r="U45" s="2026"/>
      <c r="V45" s="2026"/>
      <c r="W45" s="2026"/>
      <c r="X45" s="3258"/>
      <c r="Y45" s="3258"/>
      <c r="Z45" s="3258"/>
      <c r="AA45" s="3258"/>
      <c r="AB45" s="1915"/>
      <c r="AC45" s="2026"/>
      <c r="AD45" s="2026"/>
      <c r="AE45" s="2026"/>
      <c r="AF45" s="2026"/>
      <c r="AG45" s="2026"/>
      <c r="AH45" s="2026"/>
      <c r="AI45" s="2026"/>
      <c r="AJ45" s="1915"/>
      <c r="AK45" s="3258"/>
      <c r="AL45" s="3258"/>
      <c r="AM45" s="3258"/>
      <c r="AN45" s="1915"/>
      <c r="AO45" s="2026"/>
      <c r="AP45" s="2026"/>
      <c r="AQ45" s="2026"/>
      <c r="AR45" s="2026"/>
      <c r="AS45" s="2026"/>
      <c r="AT45" s="2026"/>
      <c r="AU45" s="2026"/>
      <c r="AV45" s="3258"/>
      <c r="AW45" s="3258"/>
      <c r="AX45" s="3258"/>
      <c r="AY45" s="3258"/>
      <c r="AZ45" s="3258"/>
      <c r="BA45" s="2026"/>
      <c r="BB45" s="2026"/>
      <c r="BC45" s="2026"/>
      <c r="BD45" s="2026"/>
      <c r="BE45" s="2026"/>
      <c r="BF45" s="2026"/>
      <c r="BG45" s="2026"/>
      <c r="BH45" s="3258"/>
      <c r="BI45" s="3258"/>
      <c r="BJ45" s="3258"/>
      <c r="BK45" s="3258"/>
      <c r="BL45" s="3258"/>
      <c r="BM45" s="2026"/>
      <c r="BN45" s="2026"/>
      <c r="BO45" s="3258"/>
      <c r="BP45" s="3258"/>
      <c r="BQ45" s="3258"/>
      <c r="BR45" s="3258"/>
      <c r="BT45" s="3258"/>
      <c r="BU45" s="1993"/>
      <c r="BV45" s="1994"/>
      <c r="BW45" s="2027"/>
      <c r="BX45" s="2028"/>
      <c r="BY45" s="1993"/>
      <c r="BZ45" s="1916"/>
      <c r="CB45" s="1916"/>
      <c r="CC45" s="1993"/>
      <c r="CD45" s="2030"/>
      <c r="CE45" s="1994"/>
    </row>
    <row r="46" spans="2:89" s="1885" customFormat="1" ht="17.25" thickBot="1" x14ac:dyDescent="0.25">
      <c r="B46" s="2000"/>
      <c r="C46" s="2803">
        <f>E46*100/20</f>
        <v>14883.704999999998</v>
      </c>
      <c r="D46" s="1888"/>
      <c r="E46" s="2001">
        <f>SUM(E21:E44)</f>
        <v>2976.741</v>
      </c>
      <c r="F46" s="2001">
        <f t="shared" ref="F46:N46" si="124">SUM(F21:F44)</f>
        <v>279.13333333333333</v>
      </c>
      <c r="G46" s="2001">
        <f t="shared" si="124"/>
        <v>186.08888888888896</v>
      </c>
      <c r="H46" s="2001">
        <f t="shared" si="124"/>
        <v>139.56666666666666</v>
      </c>
      <c r="I46" s="4140">
        <f t="shared" si="124"/>
        <v>111.65333333333334</v>
      </c>
      <c r="J46" s="4147">
        <f>SUM(J21:J44)</f>
        <v>2822.7839554800007</v>
      </c>
      <c r="K46" s="4148">
        <f>SUM(K21:K44)</f>
        <v>108.56861367230768</v>
      </c>
      <c r="L46" s="4147">
        <f t="shared" ref="L46:M46" si="125">SUM(L21:L44)</f>
        <v>153.95704451999998</v>
      </c>
      <c r="M46" s="4148">
        <f t="shared" si="125"/>
        <v>51.319014839999987</v>
      </c>
      <c r="N46" s="4156">
        <f t="shared" si="124"/>
        <v>1</v>
      </c>
      <c r="O46" s="1949"/>
      <c r="P46" s="1950"/>
      <c r="Q46" s="2001">
        <f t="shared" ref="Q46:R46" si="126">SUM(Q21:Q44)</f>
        <v>108.56861367230768</v>
      </c>
      <c r="R46" s="2001">
        <f t="shared" si="126"/>
        <v>108.56861367230768</v>
      </c>
      <c r="S46" s="2001">
        <f t="shared" ref="S46:T46" si="127">SUM(S21:S44)</f>
        <v>108.56861367230768</v>
      </c>
      <c r="T46" s="2001">
        <f t="shared" si="127"/>
        <v>108.56861367230768</v>
      </c>
      <c r="U46" s="2001"/>
      <c r="V46" s="2001">
        <f t="shared" ref="V46:W46" si="128">SUM(V21:V44)</f>
        <v>108.56861367230768</v>
      </c>
      <c r="W46" s="2001">
        <f t="shared" si="128"/>
        <v>108.56861367230768</v>
      </c>
      <c r="X46" s="3249"/>
      <c r="Y46" s="2804">
        <f>SUM(Y21:Y44)</f>
        <v>651.4116820338462</v>
      </c>
      <c r="Z46" s="2805">
        <f>SUM(Z21:Z44)</f>
        <v>1373.7969999999996</v>
      </c>
      <c r="AA46" s="2806">
        <f t="shared" ref="AA46" si="129">SUM(AA21:AA44)</f>
        <v>722.38531796615371</v>
      </c>
      <c r="AB46" s="1896"/>
      <c r="AC46" s="2001">
        <f t="shared" ref="AC46:AD46" si="130">SUM(AC21:AC44)</f>
        <v>108.56861367230768</v>
      </c>
      <c r="AD46" s="2001">
        <f t="shared" si="130"/>
        <v>108.56861367230768</v>
      </c>
      <c r="AE46" s="2001">
        <f t="shared" ref="AE46:AF46" si="131">SUM(AE21:AE44)</f>
        <v>108.56861367230768</v>
      </c>
      <c r="AF46" s="2001">
        <f t="shared" si="131"/>
        <v>108.56861367230768</v>
      </c>
      <c r="AG46" s="2001">
        <f t="shared" ref="AG46:AH46" si="132">SUM(AG21:AG44)</f>
        <v>51.319014839999987</v>
      </c>
      <c r="AH46" s="2001">
        <f t="shared" si="132"/>
        <v>108.56861367230768</v>
      </c>
      <c r="AI46" s="2001">
        <f t="shared" ref="AI46" si="133">SUM(AI21:AI44)</f>
        <v>108.56861367230768</v>
      </c>
      <c r="AJ46" s="1896"/>
      <c r="AK46" s="2804">
        <f>SUM(AK21:AK44)</f>
        <v>702.73069687384623</v>
      </c>
      <c r="AL46" s="2805">
        <f>SUM(AL21:AL44)</f>
        <v>1365.3240000000003</v>
      </c>
      <c r="AM46" s="2806">
        <f>SUM(AM21:AM44)</f>
        <v>662.59330312615373</v>
      </c>
      <c r="AN46" s="1896"/>
      <c r="AO46" s="2005">
        <f t="shared" ref="AO46:AP46" si="134">SUM(AO21:AO44)</f>
        <v>108.56861367230768</v>
      </c>
      <c r="AP46" s="2005">
        <f t="shared" si="134"/>
        <v>108.56861367230768</v>
      </c>
      <c r="AQ46" s="2005">
        <f t="shared" ref="AQ46:AS46" si="135">SUM(AQ21:AQ44)</f>
        <v>108.56861367230768</v>
      </c>
      <c r="AR46" s="2005">
        <f t="shared" si="135"/>
        <v>108.56861367230768</v>
      </c>
      <c r="AS46" s="2005">
        <f t="shared" si="135"/>
        <v>51.319014839999987</v>
      </c>
      <c r="AT46" s="2005">
        <f t="shared" ref="AT46:AU46" si="136">SUM(AT21:AT44)</f>
        <v>108.56861367230768</v>
      </c>
      <c r="AU46" s="2005">
        <f t="shared" si="136"/>
        <v>108.56861367230768</v>
      </c>
      <c r="AV46" s="2295"/>
      <c r="AW46" s="2804">
        <f>SUM(AW21:AW44)</f>
        <v>702.73069687384623</v>
      </c>
      <c r="AX46" s="2805">
        <f>SUM(AX21:AX44)</f>
        <v>1250.8860000000004</v>
      </c>
      <c r="AY46" s="2806">
        <f>SUM(AY21:AY44)</f>
        <v>548.15530312615397</v>
      </c>
      <c r="AZ46" s="2295"/>
      <c r="BA46" s="2005">
        <f t="shared" ref="BA46:BB46" si="137">SUM(BA21:BA44)</f>
        <v>108.56861367230768</v>
      </c>
      <c r="BB46" s="2005">
        <f t="shared" si="137"/>
        <v>108.56861367230768</v>
      </c>
      <c r="BC46" s="2005">
        <f t="shared" ref="BC46:BE46" si="138">SUM(BC21:BC44)</f>
        <v>108.56861367230768</v>
      </c>
      <c r="BD46" s="2005">
        <f t="shared" si="138"/>
        <v>108.56861367230768</v>
      </c>
      <c r="BE46" s="2005">
        <f t="shared" si="138"/>
        <v>51.319014839999987</v>
      </c>
      <c r="BF46" s="2005">
        <f t="shared" ref="BF46" si="139">SUM(BF21:BF44)</f>
        <v>108.56861367230768</v>
      </c>
      <c r="BG46" s="2005">
        <f t="shared" ref="BG46" si="140">SUM(BG21:BG44)</f>
        <v>108.56861367230768</v>
      </c>
      <c r="BH46" s="2295"/>
      <c r="BI46" s="2804">
        <f>SUM(BI21:BI44)</f>
        <v>702.73069687384623</v>
      </c>
      <c r="BJ46" s="2805">
        <f>SUM(BJ21:BJ44)</f>
        <v>1204.8790000000001</v>
      </c>
      <c r="BK46" s="2806">
        <f>SUM(BK21:BK44)</f>
        <v>502.14830312615351</v>
      </c>
      <c r="BL46" s="3249"/>
      <c r="BM46" s="2005">
        <f t="shared" ref="BM46:BN46" si="141">SUM(BM21:BM44)</f>
        <v>108.56861367230768</v>
      </c>
      <c r="BN46" s="2005">
        <f t="shared" si="141"/>
        <v>108.56861367230768</v>
      </c>
      <c r="BO46" s="3249"/>
      <c r="BP46" s="2804">
        <f>SUM(BP21:BP44)</f>
        <v>217.13722734461535</v>
      </c>
      <c r="BQ46" s="2805">
        <f>SUM(BQ21:BQ44)</f>
        <v>325.10900000000004</v>
      </c>
      <c r="BR46" s="2806">
        <f>SUM(BR21:BR44)</f>
        <v>107.97177265538458</v>
      </c>
      <c r="BT46" s="2397">
        <f>SUM(BT21:BT44)</f>
        <v>0</v>
      </c>
      <c r="BU46" s="2398">
        <f>BT46/E46</f>
        <v>0</v>
      </c>
      <c r="BV46" s="1900"/>
      <c r="BW46" s="2397">
        <f>SUM(BW21:BW44)</f>
        <v>2868.1723863276929</v>
      </c>
      <c r="BX46" s="2398">
        <f>BW46/E46</f>
        <v>0.96352769230769253</v>
      </c>
      <c r="BY46" s="2010"/>
      <c r="BZ46" s="3248"/>
      <c r="CB46" s="3248"/>
      <c r="CC46" s="1946"/>
      <c r="CD46" s="1946"/>
      <c r="CE46" s="1946"/>
      <c r="CF46" s="1946"/>
      <c r="CG46" s="1946"/>
      <c r="CH46" s="1946"/>
      <c r="CI46" s="1946"/>
      <c r="CJ46" s="1946"/>
      <c r="CK46" s="1946"/>
    </row>
    <row r="47" spans="2:89" s="1947" customFormat="1" ht="4.5" customHeight="1" thickBot="1" x14ac:dyDescent="0.25">
      <c r="B47" s="2634"/>
      <c r="C47" s="2392"/>
      <c r="D47" s="1906"/>
      <c r="E47" s="2392"/>
      <c r="F47" s="2392"/>
      <c r="G47" s="2392"/>
      <c r="H47" s="2392"/>
      <c r="I47" s="2392"/>
      <c r="J47" s="4149"/>
      <c r="K47" s="4150"/>
      <c r="L47" s="4149"/>
      <c r="M47" s="4150"/>
      <c r="N47" s="2636"/>
      <c r="O47" s="1949"/>
      <c r="P47" s="1950"/>
      <c r="Q47" s="2392"/>
      <c r="R47" s="2392"/>
      <c r="S47" s="2392"/>
      <c r="T47" s="2392"/>
      <c r="U47" s="2392"/>
      <c r="V47" s="2392"/>
      <c r="W47" s="2392"/>
      <c r="X47" s="1951"/>
      <c r="Y47" s="1951"/>
      <c r="Z47" s="1951"/>
      <c r="AA47" s="1951"/>
      <c r="AB47" s="1956"/>
      <c r="AC47" s="2392"/>
      <c r="AD47" s="2392"/>
      <c r="AE47" s="2392"/>
      <c r="AF47" s="2392"/>
      <c r="AG47" s="2392"/>
      <c r="AH47" s="2392"/>
      <c r="AI47" s="2392"/>
      <c r="AJ47" s="1956"/>
      <c r="AK47" s="1951"/>
      <c r="AL47" s="1951"/>
      <c r="AM47" s="1951"/>
      <c r="AN47" s="1956"/>
      <c r="AO47" s="2392"/>
      <c r="AP47" s="2392"/>
      <c r="AQ47" s="2392"/>
      <c r="AR47" s="2392"/>
      <c r="AS47" s="2392"/>
      <c r="AT47" s="2392"/>
      <c r="AU47" s="2392"/>
      <c r="AV47" s="1951"/>
      <c r="AW47" s="1951"/>
      <c r="AX47" s="1951"/>
      <c r="AY47" s="1951"/>
      <c r="AZ47" s="1951"/>
      <c r="BA47" s="2392"/>
      <c r="BB47" s="2392"/>
      <c r="BC47" s="2392"/>
      <c r="BD47" s="2392"/>
      <c r="BE47" s="2392"/>
      <c r="BF47" s="2392"/>
      <c r="BG47" s="2392"/>
      <c r="BH47" s="1951"/>
      <c r="BI47" s="1951"/>
      <c r="BJ47" s="1951"/>
      <c r="BK47" s="1951"/>
      <c r="BL47" s="1951"/>
      <c r="BM47" s="2392"/>
      <c r="BN47" s="2392"/>
      <c r="BO47" s="1951"/>
      <c r="BP47" s="1951"/>
      <c r="BQ47" s="1951"/>
      <c r="BR47" s="1951"/>
      <c r="BT47" s="1951"/>
      <c r="BU47" s="1962"/>
      <c r="BV47" s="1959"/>
      <c r="BW47" s="1951"/>
      <c r="BX47" s="1962"/>
      <c r="BY47" s="1962"/>
      <c r="BZ47" s="1905"/>
      <c r="CB47" s="1905"/>
      <c r="CC47" s="1906"/>
      <c r="CD47" s="1906"/>
      <c r="CE47" s="1906"/>
      <c r="CF47" s="1906"/>
      <c r="CG47" s="1906"/>
      <c r="CH47" s="1906"/>
      <c r="CI47" s="1906"/>
      <c r="CJ47" s="1906"/>
      <c r="CK47" s="1906"/>
    </row>
    <row r="48" spans="2:89" s="1726" customFormat="1" ht="17.25" thickBot="1" x14ac:dyDescent="0.25">
      <c r="B48" s="1963">
        <v>37</v>
      </c>
      <c r="C48" s="1963"/>
      <c r="D48" s="1727"/>
      <c r="E48" s="1728">
        <f>E46/29</f>
        <v>102.64624137931034</v>
      </c>
      <c r="F48" s="1728"/>
      <c r="G48" s="1728"/>
      <c r="H48" s="1728"/>
      <c r="I48" s="4138"/>
      <c r="J48" s="4151"/>
      <c r="K48" s="4152">
        <f>K46-E48</f>
        <v>5.9223722929973377</v>
      </c>
      <c r="L48" s="4151"/>
      <c r="M48" s="4152">
        <f>M46-E48</f>
        <v>-51.327226539310352</v>
      </c>
      <c r="N48" s="4155"/>
      <c r="O48" s="1760"/>
      <c r="P48" s="1924"/>
      <c r="Q48" s="1728"/>
      <c r="R48" s="1728"/>
      <c r="S48" s="1728"/>
      <c r="T48" s="1728"/>
      <c r="U48" s="1728"/>
      <c r="V48" s="1728"/>
      <c r="W48" s="1728"/>
      <c r="X48" s="3259"/>
      <c r="Y48" s="2031"/>
      <c r="Z48" s="2032"/>
      <c r="AA48" s="2033"/>
      <c r="AB48" s="1881"/>
      <c r="AC48" s="1728"/>
      <c r="AD48" s="1728"/>
      <c r="AE48" s="1728"/>
      <c r="AF48" s="1728"/>
      <c r="AG48" s="1728"/>
      <c r="AH48" s="1728"/>
      <c r="AI48" s="1728"/>
      <c r="AJ48" s="1881"/>
      <c r="AK48" s="2031"/>
      <c r="AL48" s="2032"/>
      <c r="AM48" s="2033"/>
      <c r="AN48" s="1881"/>
      <c r="AO48" s="2268"/>
      <c r="AP48" s="2268"/>
      <c r="AQ48" s="2268"/>
      <c r="AR48" s="2268"/>
      <c r="AS48" s="2268"/>
      <c r="AT48" s="2268"/>
      <c r="AU48" s="2268"/>
      <c r="AV48" s="2293"/>
      <c r="AW48" s="2031"/>
      <c r="AX48" s="2032"/>
      <c r="AY48" s="2033"/>
      <c r="AZ48" s="2293"/>
      <c r="BA48" s="2268"/>
      <c r="BB48" s="2268"/>
      <c r="BC48" s="2268"/>
      <c r="BD48" s="2268"/>
      <c r="BE48" s="2268"/>
      <c r="BF48" s="2268"/>
      <c r="BG48" s="2268"/>
      <c r="BH48" s="2293"/>
      <c r="BI48" s="2031"/>
      <c r="BJ48" s="2032"/>
      <c r="BK48" s="2033"/>
      <c r="BL48" s="3259"/>
      <c r="BM48" s="2268"/>
      <c r="BN48" s="2268"/>
      <c r="BO48" s="3259"/>
      <c r="BP48" s="2031"/>
      <c r="BQ48" s="2032"/>
      <c r="BR48" s="2033"/>
      <c r="BT48" s="2034"/>
      <c r="BU48" s="2035"/>
      <c r="BV48" s="1740"/>
      <c r="BW48" s="2034"/>
      <c r="BX48" s="2035"/>
      <c r="BY48" s="1997"/>
      <c r="BZ48" s="3257"/>
      <c r="CB48" s="3257"/>
      <c r="CC48" s="1860"/>
      <c r="CD48" s="1860"/>
      <c r="CE48" s="1860"/>
      <c r="CF48" s="1860"/>
      <c r="CG48" s="1860"/>
      <c r="CH48" s="1860"/>
      <c r="CI48" s="1860"/>
      <c r="CJ48" s="1860"/>
      <c r="CK48" s="1860"/>
    </row>
    <row r="49" spans="1:89" s="1923" customFormat="1" ht="4.5" customHeight="1" thickTop="1" thickBot="1" x14ac:dyDescent="0.25">
      <c r="B49" s="3272"/>
      <c r="C49" s="2024"/>
      <c r="D49" s="1800"/>
      <c r="E49" s="1803"/>
      <c r="F49" s="1803"/>
      <c r="G49" s="1803"/>
      <c r="H49" s="1803"/>
      <c r="I49" s="1803"/>
      <c r="J49" s="2527"/>
      <c r="K49" s="2527"/>
      <c r="L49" s="2527"/>
      <c r="M49" s="2527"/>
      <c r="N49" s="2025"/>
      <c r="O49" s="1866"/>
      <c r="P49" s="1867"/>
      <c r="Q49" s="2026"/>
      <c r="R49" s="2026"/>
      <c r="S49" s="2026"/>
      <c r="T49" s="2026"/>
      <c r="U49" s="2026"/>
      <c r="V49" s="2026"/>
      <c r="W49" s="2026"/>
      <c r="X49" s="3258"/>
      <c r="Y49" s="3258"/>
      <c r="Z49" s="3258"/>
      <c r="AA49" s="3258"/>
      <c r="AB49" s="1915"/>
      <c r="AC49" s="2026"/>
      <c r="AD49" s="2026"/>
      <c r="AE49" s="2026"/>
      <c r="AF49" s="2026"/>
      <c r="AG49" s="2026"/>
      <c r="AH49" s="2026"/>
      <c r="AI49" s="2026"/>
      <c r="AJ49" s="1915"/>
      <c r="AK49" s="3258"/>
      <c r="AL49" s="3258"/>
      <c r="AM49" s="3258"/>
      <c r="AN49" s="1915"/>
      <c r="AO49" s="2026"/>
      <c r="AP49" s="2026"/>
      <c r="AQ49" s="2026"/>
      <c r="AR49" s="2026"/>
      <c r="AS49" s="2026"/>
      <c r="AT49" s="2026"/>
      <c r="AU49" s="2026"/>
      <c r="AV49" s="3258"/>
      <c r="AW49" s="3258"/>
      <c r="AX49" s="3258"/>
      <c r="AY49" s="3258"/>
      <c r="AZ49" s="3258"/>
      <c r="BA49" s="2026"/>
      <c r="BB49" s="2026"/>
      <c r="BC49" s="2026"/>
      <c r="BD49" s="2026"/>
      <c r="BE49" s="2026"/>
      <c r="BF49" s="2026"/>
      <c r="BG49" s="2026"/>
      <c r="BH49" s="3258"/>
      <c r="BI49" s="2274"/>
      <c r="BJ49" s="2274"/>
      <c r="BK49" s="2274"/>
      <c r="BL49" s="3258"/>
      <c r="BM49" s="2026"/>
      <c r="BN49" s="2026"/>
      <c r="BO49" s="3258"/>
      <c r="BP49" s="2274"/>
      <c r="BQ49" s="2274"/>
      <c r="BR49" s="2274"/>
      <c r="BT49" s="3258"/>
      <c r="BU49" s="1993"/>
      <c r="BV49" s="1994"/>
      <c r="BW49" s="3258"/>
      <c r="BX49" s="1993"/>
      <c r="BY49" s="1993"/>
      <c r="BZ49" s="1916"/>
      <c r="CB49" s="1916"/>
    </row>
    <row r="50" spans="1:89" s="1885" customFormat="1" ht="17.25" thickBot="1" x14ac:dyDescent="0.25">
      <c r="B50" s="2117"/>
      <c r="C50" s="2212" t="s">
        <v>150</v>
      </c>
      <c r="D50" s="2119"/>
      <c r="E50" s="2123">
        <f>E46*100/20</f>
        <v>14883.704999999998</v>
      </c>
      <c r="F50" s="2121" t="e">
        <f>#REF!*100/30</f>
        <v>#REF!</v>
      </c>
      <c r="G50" s="2121" t="e">
        <f>#REF!*100/30</f>
        <v>#REF!</v>
      </c>
      <c r="H50" s="2121" t="e">
        <f>#REF!*100/30</f>
        <v>#REF!</v>
      </c>
      <c r="I50" s="2121" t="e">
        <f>#REF!*100/30</f>
        <v>#REF!</v>
      </c>
      <c r="J50" s="2121"/>
      <c r="K50" s="2121">
        <f>K46*100/20</f>
        <v>542.84306836153837</v>
      </c>
      <c r="L50" s="4120"/>
      <c r="M50" s="4120"/>
      <c r="N50" s="2130">
        <f>E50/E93</f>
        <v>0.55877723572107962</v>
      </c>
      <c r="O50" s="1949"/>
      <c r="P50" s="2214"/>
      <c r="Q50" s="2120">
        <f t="shared" ref="Q50:R50" si="142">Q12</f>
        <v>40.853693163846167</v>
      </c>
      <c r="R50" s="2121">
        <f t="shared" si="142"/>
        <v>59.561693163846165</v>
      </c>
      <c r="S50" s="2121">
        <f t="shared" ref="S50:T50" si="143">S12</f>
        <v>60.148693163846168</v>
      </c>
      <c r="T50" s="2121">
        <f t="shared" si="143"/>
        <v>55.391693163846163</v>
      </c>
      <c r="U50" s="2121"/>
      <c r="V50" s="2121">
        <f t="shared" ref="V50:W50" si="144">V12</f>
        <v>81.014193163846159</v>
      </c>
      <c r="W50" s="2124">
        <f t="shared" si="144"/>
        <v>64.222693163846174</v>
      </c>
      <c r="X50" s="1951"/>
      <c r="Y50" s="2120">
        <f>SUM(Q50:W50)</f>
        <v>361.19265898307697</v>
      </c>
      <c r="Z50" s="2123"/>
      <c r="AA50" s="2124"/>
      <c r="AB50" s="1956"/>
      <c r="AC50" s="2120">
        <f t="shared" ref="AC50:AD50" si="145">AC12</f>
        <v>33.148693163846168</v>
      </c>
      <c r="AD50" s="2121">
        <f t="shared" si="145"/>
        <v>64.097693163846174</v>
      </c>
      <c r="AE50" s="2121">
        <f t="shared" ref="AE50:AF50" si="146">AE12</f>
        <v>52.778693163846164</v>
      </c>
      <c r="AF50" s="2121">
        <f t="shared" si="146"/>
        <v>36.444693163846161</v>
      </c>
      <c r="AG50" s="2121">
        <f t="shared" ref="AG50:AH50" si="147">AG12</f>
        <v>59.874492580000009</v>
      </c>
      <c r="AH50" s="2121">
        <f t="shared" si="147"/>
        <v>53.843693163846162</v>
      </c>
      <c r="AI50" s="2121">
        <f t="shared" ref="AI50" si="148">AI12</f>
        <v>31.108693163846162</v>
      </c>
      <c r="AJ50" s="1956"/>
      <c r="AK50" s="2120">
        <f>SUM(AC50:AI50)</f>
        <v>331.29665156307698</v>
      </c>
      <c r="AL50" s="2123"/>
      <c r="AM50" s="2124"/>
      <c r="AN50" s="1955"/>
      <c r="AO50" s="2120">
        <f t="shared" ref="AO50:AP50" si="149">AO12</f>
        <v>63.315193163846168</v>
      </c>
      <c r="AP50" s="2121">
        <f t="shared" si="149"/>
        <v>6.1636931638461618</v>
      </c>
      <c r="AQ50" s="2121">
        <f t="shared" ref="AQ50:AS50" si="150">AQ12</f>
        <v>21.112693163846167</v>
      </c>
      <c r="AR50" s="2121">
        <f t="shared" si="150"/>
        <v>47.631193163846156</v>
      </c>
      <c r="AS50" s="2121">
        <f t="shared" si="150"/>
        <v>31.109992580000007</v>
      </c>
      <c r="AT50" s="2121">
        <f t="shared" ref="AT50:AU50" si="151">AT12</f>
        <v>61.285193163846166</v>
      </c>
      <c r="AU50" s="2121">
        <f t="shared" si="151"/>
        <v>43.459693163846161</v>
      </c>
      <c r="AV50" s="2254"/>
      <c r="AW50" s="2120">
        <f>SUM(AO50:AU50)</f>
        <v>274.07765156307698</v>
      </c>
      <c r="AX50" s="2123"/>
      <c r="AY50" s="2124"/>
      <c r="AZ50" s="1951"/>
      <c r="BA50" s="2120">
        <f t="shared" ref="BA50:BB50" si="152">BA12</f>
        <v>31.863693163846158</v>
      </c>
      <c r="BB50" s="2121">
        <f t="shared" si="152"/>
        <v>23.544693163846155</v>
      </c>
      <c r="BC50" s="2121">
        <f t="shared" ref="BC50:BE50" si="153">BC12</f>
        <v>21.240193163846165</v>
      </c>
      <c r="BD50" s="2121">
        <f t="shared" si="153"/>
        <v>43.053693163846155</v>
      </c>
      <c r="BE50" s="2121">
        <f t="shared" si="153"/>
        <v>53.349492580000003</v>
      </c>
      <c r="BF50" s="2121">
        <f t="shared" ref="BF50" si="154">BF12</f>
        <v>54.443193163846168</v>
      </c>
      <c r="BG50" s="2124">
        <f t="shared" ref="BG50" si="155">BG12</f>
        <v>23.579193163846163</v>
      </c>
      <c r="BH50" s="1951"/>
      <c r="BI50" s="2120">
        <f>SUM(BA50:BG50)</f>
        <v>251.07415156307695</v>
      </c>
      <c r="BJ50" s="2123"/>
      <c r="BK50" s="2124"/>
      <c r="BL50" s="1900"/>
      <c r="BM50" s="2120">
        <f t="shared" ref="BM50:BN50" si="156">BM12</f>
        <v>33.610193163846155</v>
      </c>
      <c r="BN50" s="2124">
        <f t="shared" si="156"/>
        <v>20.375693163846158</v>
      </c>
      <c r="BO50" s="2317"/>
      <c r="BP50" s="2215">
        <f>SUM(BM50:BN50)</f>
        <v>53.985886327692313</v>
      </c>
      <c r="BQ50" s="2677"/>
      <c r="BR50" s="2124"/>
      <c r="BS50" s="1897"/>
      <c r="BT50" s="2215">
        <f>SUM(Q50:W50)+SUM(AC50:AI50)+SUM(AO50:AU50)+SUM(BA50:BG50)+SUM(BN50:BN50)</f>
        <v>1238.016806836154</v>
      </c>
      <c r="BU50" s="2130"/>
      <c r="BV50" s="1900"/>
      <c r="BW50" s="2011"/>
      <c r="BX50" s="2011"/>
      <c r="BY50" s="2011"/>
      <c r="CB50" s="3248"/>
      <c r="CC50" s="1946"/>
      <c r="CD50" s="1946"/>
      <c r="CE50" s="1946"/>
      <c r="CF50" s="1946"/>
      <c r="CG50" s="1946"/>
      <c r="CH50" s="1946"/>
      <c r="CI50" s="1946"/>
      <c r="CJ50" s="1946"/>
      <c r="CK50" s="1946"/>
    </row>
    <row r="51" spans="1:89" s="1860" customFormat="1" ht="17.25" thickBot="1" x14ac:dyDescent="0.25">
      <c r="B51" s="1861"/>
      <c r="C51" s="1861" t="s">
        <v>143</v>
      </c>
      <c r="D51" s="1861"/>
      <c r="E51" s="3259"/>
      <c r="F51" s="3259"/>
      <c r="G51" s="3259"/>
      <c r="H51" s="3259"/>
      <c r="I51" s="3259"/>
      <c r="J51" s="4116"/>
      <c r="K51" s="3259"/>
      <c r="L51" s="4116"/>
      <c r="M51" s="4116"/>
      <c r="N51" s="2059"/>
      <c r="O51" s="1931"/>
      <c r="P51" s="1877"/>
      <c r="Q51" s="3259"/>
      <c r="R51" s="3521"/>
      <c r="S51" s="3524"/>
      <c r="T51" s="3528"/>
      <c r="U51" s="3259"/>
      <c r="V51" s="3259"/>
      <c r="W51" s="3259"/>
      <c r="X51" s="3259"/>
      <c r="Y51" s="3259"/>
      <c r="Z51" s="3259"/>
      <c r="AA51" s="3259"/>
      <c r="AB51" s="1862"/>
      <c r="AC51" s="3259"/>
      <c r="AD51" s="3259"/>
      <c r="AE51" s="4061"/>
      <c r="AF51" s="4066"/>
      <c r="AG51" s="4071"/>
      <c r="AH51" s="4076"/>
      <c r="AI51" s="3259"/>
      <c r="AJ51" s="1862"/>
      <c r="AK51" s="3259"/>
      <c r="AL51" s="3259"/>
      <c r="AM51" s="3259"/>
      <c r="AN51" s="1862"/>
      <c r="AO51" s="3259"/>
      <c r="AP51" s="3259"/>
      <c r="AQ51" s="4085"/>
      <c r="AR51" s="4089"/>
      <c r="AS51" s="4089"/>
      <c r="AT51" s="4093"/>
      <c r="AU51" s="3259"/>
      <c r="AV51" s="3259"/>
      <c r="AW51" s="3259"/>
      <c r="AX51" s="3259"/>
      <c r="AY51" s="3259"/>
      <c r="AZ51" s="3259"/>
      <c r="BA51" s="3259"/>
      <c r="BB51" s="3259"/>
      <c r="BC51" s="4109"/>
      <c r="BD51" s="4113"/>
      <c r="BE51" s="3259"/>
      <c r="BF51" s="3259"/>
      <c r="BG51" s="3259"/>
      <c r="BH51" s="3259"/>
      <c r="BI51" s="3259"/>
      <c r="BJ51" s="3259"/>
      <c r="BK51" s="3259"/>
      <c r="BL51" s="3259"/>
      <c r="BM51" s="3259"/>
      <c r="BN51" s="3259"/>
      <c r="BO51" s="3259"/>
      <c r="BP51" s="3259"/>
      <c r="BQ51" s="3259"/>
      <c r="BR51" s="3259"/>
      <c r="BS51" s="1862"/>
      <c r="BT51" s="3259"/>
      <c r="BU51" s="2639"/>
      <c r="BV51" s="1861"/>
      <c r="BW51" s="4634" t="s">
        <v>99</v>
      </c>
      <c r="BX51" s="4634"/>
      <c r="BY51" s="3259"/>
      <c r="BZ51" s="1862"/>
      <c r="CB51" s="3257"/>
    </row>
    <row r="52" spans="1:89" s="1900" customFormat="1" ht="15.75" x14ac:dyDescent="0.2">
      <c r="A52" s="2464"/>
      <c r="B52" s="2280">
        <v>38</v>
      </c>
      <c r="C52" s="2405" t="s">
        <v>245</v>
      </c>
      <c r="D52" s="2119"/>
      <c r="E52" s="2410">
        <v>106</v>
      </c>
      <c r="F52" s="2678"/>
      <c r="G52" s="2678"/>
      <c r="H52" s="2678"/>
      <c r="I52" s="2678"/>
      <c r="J52" s="2406"/>
      <c r="K52" s="2406">
        <f t="shared" ref="K52:K60" si="157">E52/29</f>
        <v>3.6551724137931036</v>
      </c>
      <c r="L52" s="4121"/>
      <c r="M52" s="4121"/>
      <c r="N52" s="2407">
        <f t="shared" ref="N52:N60" si="158">E52/$E$61</f>
        <v>0.31500742942050519</v>
      </c>
      <c r="O52" s="2468"/>
      <c r="P52" s="2339"/>
      <c r="Q52" s="2410">
        <f>IF(Q50&gt;$K$61,$K$52,IF(Q50&lt;$K$61,(IF(Q50&lt;0,0,Q50*$N$52))))</f>
        <v>3.6551724137931036</v>
      </c>
      <c r="R52" s="2406">
        <f>IF(R50&gt;$K$61,$K$52,IF(R50&lt;$K$61,(IF(R50&lt;0,0,R50*$N$52))))</f>
        <v>3.6551724137931036</v>
      </c>
      <c r="S52" s="2406">
        <f>IF(S50&gt;$K$61,$K$52,IF(S50&lt;$K$61,(IF(S50&lt;0,0,S50*$N$52))))</f>
        <v>3.6551724137931036</v>
      </c>
      <c r="T52" s="2406">
        <f>IF(T50&gt;$K$61,$K$52,IF(T50&lt;$K$61,(IF(T50&lt;0,0,T50*$N$52))))</f>
        <v>3.6551724137931036</v>
      </c>
      <c r="U52" s="2406"/>
      <c r="V52" s="2406">
        <f>IF(V50&gt;$K$61,$K$52,IF(V50&lt;$K$61,(IF(V50&lt;0,0,V50*$N$52))))</f>
        <v>3.6551724137931036</v>
      </c>
      <c r="W52" s="2409">
        <f>IF(W50&gt;$K$61,$K$52,IF(W50&lt;$K$61,(IF(W50&lt;0,0,W50*$N$52))))</f>
        <v>3.6551724137931036</v>
      </c>
      <c r="X52" s="1951"/>
      <c r="Y52" s="2410">
        <f t="shared" si="78"/>
        <v>21.931034482758623</v>
      </c>
      <c r="Z52" s="2408">
        <f>$K$52*0</f>
        <v>0</v>
      </c>
      <c r="AA52" s="2411">
        <f>Y52-Z52</f>
        <v>21.931034482758623</v>
      </c>
      <c r="AB52" s="1951"/>
      <c r="AC52" s="2410">
        <f t="shared" ref="AC52:AI52" si="159">IF(AC50&gt;$K$61,$K$52,IF(AC50&lt;$K$61,(IF(AC50&lt;0,0,AC50*$N$52))))</f>
        <v>3.6551724137931036</v>
      </c>
      <c r="AD52" s="2408">
        <f t="shared" si="159"/>
        <v>3.6551724137931036</v>
      </c>
      <c r="AE52" s="2408">
        <f t="shared" si="159"/>
        <v>3.6551724137931036</v>
      </c>
      <c r="AF52" s="2408">
        <f t="shared" si="159"/>
        <v>3.6551724137931036</v>
      </c>
      <c r="AG52" s="2408">
        <f t="shared" si="159"/>
        <v>3.6551724137931036</v>
      </c>
      <c r="AH52" s="2408">
        <f t="shared" si="159"/>
        <v>3.6551724137931036</v>
      </c>
      <c r="AI52" s="2409">
        <f t="shared" si="159"/>
        <v>3.6551724137931036</v>
      </c>
      <c r="AJ52" s="1951"/>
      <c r="AK52" s="2410">
        <f>SUM(AC52:AI52)</f>
        <v>25.586206896551726</v>
      </c>
      <c r="AL52" s="2408">
        <f>$K$52*0</f>
        <v>0</v>
      </c>
      <c r="AM52" s="2411">
        <f>AK52-AL52</f>
        <v>25.586206896551726</v>
      </c>
      <c r="AN52" s="1951"/>
      <c r="AO52" s="2410">
        <f t="shared" ref="AO52:AU52" si="160">IF(AO50&gt;$K$61,$K$52,IF(AO50&lt;$K$61,(IF(AO50&lt;0,0,AO50*$N$52))))</f>
        <v>3.6551724137931036</v>
      </c>
      <c r="AP52" s="2406">
        <f t="shared" si="160"/>
        <v>1.9416091392799202</v>
      </c>
      <c r="AQ52" s="2406">
        <f t="shared" si="160"/>
        <v>3.6551724137931036</v>
      </c>
      <c r="AR52" s="2406">
        <f t="shared" si="160"/>
        <v>3.6551724137931036</v>
      </c>
      <c r="AS52" s="2406">
        <f t="shared" si="160"/>
        <v>3.6551724137931036</v>
      </c>
      <c r="AT52" s="2406">
        <f t="shared" si="160"/>
        <v>3.6551724137931036</v>
      </c>
      <c r="AU52" s="2406">
        <f t="shared" si="160"/>
        <v>3.6551724137931036</v>
      </c>
      <c r="AV52" s="1951"/>
      <c r="AW52" s="2410">
        <f>SUM(AO52:AU52)</f>
        <v>23.872643622038542</v>
      </c>
      <c r="AX52" s="2408">
        <f>$K$52*0</f>
        <v>0</v>
      </c>
      <c r="AY52" s="2411">
        <f>AW52-AX52</f>
        <v>23.872643622038542</v>
      </c>
      <c r="AZ52" s="1951"/>
      <c r="BA52" s="2410">
        <f t="shared" ref="BA52:BF52" si="161">IF(BA50&gt;$K$61,$K$52,IF(BA50&lt;$K$61,(IF(BA50&lt;0,0,BA50*$N$52))))</f>
        <v>3.6551724137931036</v>
      </c>
      <c r="BB52" s="2406">
        <f t="shared" si="161"/>
        <v>3.6551724137931036</v>
      </c>
      <c r="BC52" s="2406">
        <f t="shared" si="161"/>
        <v>3.6551724137931036</v>
      </c>
      <c r="BD52" s="2406">
        <f t="shared" si="161"/>
        <v>3.6551724137931036</v>
      </c>
      <c r="BE52" s="2406">
        <f t="shared" si="161"/>
        <v>3.6551724137931036</v>
      </c>
      <c r="BF52" s="2406">
        <f t="shared" si="161"/>
        <v>3.6551724137931036</v>
      </c>
      <c r="BG52" s="2409">
        <f t="shared" ref="BG52" si="162">IF(BG50&gt;$K$61,$K$52,IF(BG50&lt;$K$61,(IF(BG50&lt;0,0,BG50*$N$52))))</f>
        <v>3.6551724137931036</v>
      </c>
      <c r="BH52" s="1951"/>
      <c r="BI52" s="2410">
        <f>SUM(BA52:BG52)</f>
        <v>25.586206896551726</v>
      </c>
      <c r="BJ52" s="2408">
        <f>$K$52*0</f>
        <v>0</v>
      </c>
      <c r="BK52" s="2411">
        <f>BI52-BJ52</f>
        <v>25.586206896551726</v>
      </c>
      <c r="BL52" s="1951"/>
      <c r="BM52" s="2410">
        <f t="shared" ref="BM52:BN52" si="163">IF(BM50&gt;$K$61,$K$52,IF(BM50&lt;$K$61,(IF(BM50&lt;0,0,BM50*$N$52))))</f>
        <v>3.6551724137931036</v>
      </c>
      <c r="BN52" s="2409">
        <f t="shared" si="163"/>
        <v>3.6551724137931036</v>
      </c>
      <c r="BO52" s="1951"/>
      <c r="BP52" s="2410">
        <f t="shared" ref="BP52:BP60" si="164">SUM(BM52:BN52)</f>
        <v>7.3103448275862073</v>
      </c>
      <c r="BQ52" s="2408">
        <f>$K$52*0</f>
        <v>0</v>
      </c>
      <c r="BR52" s="2411">
        <f>BP52-BQ52</f>
        <v>7.3103448275862073</v>
      </c>
      <c r="BT52" s="2410"/>
      <c r="BU52" s="2412"/>
      <c r="BW52" s="2410">
        <f t="shared" ref="BW52:BW60" si="165">SUM(Q52:W52)+SUM(AC52:AI52)+SUM(AO52:AU52)+SUM(BA52:BG52)+SUM(BN52:BN52)</f>
        <v>100.63126431169373</v>
      </c>
      <c r="BX52" s="2413">
        <f t="shared" ref="BX52:BX61" si="166">BW52/E52</f>
        <v>0.94935155011031813</v>
      </c>
      <c r="BY52" s="2353"/>
      <c r="BZ52" s="4635">
        <f>BX61-BW1</f>
        <v>-1.7315116556348542E-2</v>
      </c>
      <c r="CB52" s="4627"/>
      <c r="CC52" s="2011"/>
      <c r="CD52" s="2011"/>
      <c r="CE52" s="2011"/>
      <c r="CF52" s="2011"/>
      <c r="CG52" s="2011"/>
      <c r="CH52" s="2011"/>
      <c r="CI52" s="2011"/>
      <c r="CJ52" s="2011"/>
      <c r="CK52" s="2011"/>
    </row>
    <row r="53" spans="1:89" s="1740" customFormat="1" ht="15.75" x14ac:dyDescent="0.2">
      <c r="A53" s="2466"/>
      <c r="B53" s="2151">
        <v>39</v>
      </c>
      <c r="C53" s="2152" t="s">
        <v>241</v>
      </c>
      <c r="D53" s="2051"/>
      <c r="E53" s="2090">
        <v>63</v>
      </c>
      <c r="F53" s="2154"/>
      <c r="G53" s="2154"/>
      <c r="H53" s="2154"/>
      <c r="I53" s="2154"/>
      <c r="J53" s="2088"/>
      <c r="K53" s="2154">
        <f t="shared" si="157"/>
        <v>2.1724137931034484</v>
      </c>
      <c r="L53" s="4122"/>
      <c r="M53" s="4122"/>
      <c r="N53" s="2155">
        <f t="shared" si="158"/>
        <v>0.18722139673105498</v>
      </c>
      <c r="O53" s="2465"/>
      <c r="P53" s="2131"/>
      <c r="Q53" s="2090">
        <f>IF(Q50&gt;$K$61,$K$53,IF(Q50&lt;$K$61,(IF(Q50&lt;0,0,Q50*$N$53))))</f>
        <v>2.1724137931034484</v>
      </c>
      <c r="R53" s="2088">
        <f>IF(R50&gt;$K$61,$K$53,IF(R50&lt;$K$61,(IF(R50&lt;0,0,R50*$N$53))))</f>
        <v>2.1724137931034484</v>
      </c>
      <c r="S53" s="2088">
        <f>IF(S50&gt;$K$61,$K$53,IF(S50&lt;$K$61,(IF(S50&lt;0,0,S50*$N$53))))</f>
        <v>2.1724137931034484</v>
      </c>
      <c r="T53" s="2088">
        <f>IF(T50&gt;$K$61,$K$53,IF(T50&lt;$K$61,(IF(T50&lt;0,0,T50*$N$53))))</f>
        <v>2.1724137931034484</v>
      </c>
      <c r="U53" s="2088"/>
      <c r="V53" s="2088">
        <f>IF(V50&gt;$K$61,$K$53,IF(V50&lt;$K$61,(IF(V50&lt;0,0,V50*$N$53))))</f>
        <v>2.1724137931034484</v>
      </c>
      <c r="W53" s="2091">
        <f>IF(W50&gt;$K$61,$K$53,IF(W50&lt;$K$61,(IF(W50&lt;0,0,W50*$N$53))))</f>
        <v>2.1724137931034484</v>
      </c>
      <c r="X53" s="3271"/>
      <c r="Y53" s="2153">
        <f>SUM(Q53:W53)</f>
        <v>13.03448275862069</v>
      </c>
      <c r="Z53" s="2157">
        <f>$K$53*0</f>
        <v>0</v>
      </c>
      <c r="AA53" s="2158">
        <f>Y53-Z53</f>
        <v>13.03448275862069</v>
      </c>
      <c r="AB53" s="3271"/>
      <c r="AC53" s="2153">
        <f t="shared" ref="AC53:AI53" si="167">IF(AC50&gt;$K$61,$K$53,IF(AC50&lt;$K$61,(IF(AC50&lt;0,0,AC50*$N$53))))</f>
        <v>2.1724137931034484</v>
      </c>
      <c r="AD53" s="2157">
        <f t="shared" si="167"/>
        <v>2.1724137931034484</v>
      </c>
      <c r="AE53" s="2157">
        <f t="shared" si="167"/>
        <v>2.1724137931034484</v>
      </c>
      <c r="AF53" s="2157">
        <f t="shared" si="167"/>
        <v>2.1724137931034484</v>
      </c>
      <c r="AG53" s="2157">
        <f t="shared" si="167"/>
        <v>2.1724137931034484</v>
      </c>
      <c r="AH53" s="2157">
        <f t="shared" si="167"/>
        <v>2.1724137931034484</v>
      </c>
      <c r="AI53" s="2156">
        <f t="shared" si="167"/>
        <v>2.1724137931034484</v>
      </c>
      <c r="AJ53" s="3271"/>
      <c r="AK53" s="2153">
        <f t="shared" ref="AK53:AK73" si="168">SUM(AC53:AI53)</f>
        <v>15.206896551724139</v>
      </c>
      <c r="AL53" s="2157">
        <f>$K$53*0</f>
        <v>0</v>
      </c>
      <c r="AM53" s="2158">
        <f t="shared" ref="AM53:AM73" si="169">AK53-AL53</f>
        <v>15.206896551724139</v>
      </c>
      <c r="AN53" s="3271"/>
      <c r="AO53" s="2153">
        <f t="shared" ref="AO53:AU53" si="170">IF(AO50&gt;$K$61,$K$53,IF(AO50&lt;$K$61,(IF(AO50&lt;0,0,AO50*$N$53))))</f>
        <v>2.1724137931034484</v>
      </c>
      <c r="AP53" s="2154">
        <f t="shared" si="170"/>
        <v>1.1539752431569337</v>
      </c>
      <c r="AQ53" s="2154">
        <f t="shared" si="170"/>
        <v>2.1724137931034484</v>
      </c>
      <c r="AR53" s="2154">
        <f t="shared" si="170"/>
        <v>2.1724137931034484</v>
      </c>
      <c r="AS53" s="2154">
        <f t="shared" si="170"/>
        <v>2.1724137931034484</v>
      </c>
      <c r="AT53" s="2154">
        <f t="shared" si="170"/>
        <v>2.1724137931034484</v>
      </c>
      <c r="AU53" s="2154">
        <f t="shared" si="170"/>
        <v>2.1724137931034484</v>
      </c>
      <c r="AV53" s="3271"/>
      <c r="AW53" s="2153">
        <f t="shared" ref="AW53:AW60" si="171">SUM(AO53:AU53)</f>
        <v>14.188458001777624</v>
      </c>
      <c r="AX53" s="2157">
        <f>$K$53*0</f>
        <v>0</v>
      </c>
      <c r="AY53" s="2158">
        <f t="shared" ref="AY53:AY60" si="172">AW53-AX53</f>
        <v>14.188458001777624</v>
      </c>
      <c r="AZ53" s="3271"/>
      <c r="BA53" s="2153">
        <f t="shared" ref="BA53:BF53" si="173">IF(BA50&gt;$K$61,$K$53,IF(BA50&lt;$K$61,(IF(BA50&lt;0,0,BA50*$N$53))))</f>
        <v>2.1724137931034484</v>
      </c>
      <c r="BB53" s="2154">
        <f t="shared" si="173"/>
        <v>2.1724137931034484</v>
      </c>
      <c r="BC53" s="2154">
        <f t="shared" si="173"/>
        <v>2.1724137931034484</v>
      </c>
      <c r="BD53" s="2154">
        <f t="shared" si="173"/>
        <v>2.1724137931034484</v>
      </c>
      <c r="BE53" s="2088">
        <f t="shared" si="173"/>
        <v>2.1724137931034484</v>
      </c>
      <c r="BF53" s="2088">
        <f t="shared" si="173"/>
        <v>2.1724137931034484</v>
      </c>
      <c r="BG53" s="2091">
        <f t="shared" ref="BG53" si="174">IF(BG50&gt;$K$61,$K$53,IF(BG50&lt;$K$61,(IF(BG50&lt;0,0,BG50*$N$53))))</f>
        <v>2.1724137931034484</v>
      </c>
      <c r="BH53" s="3271"/>
      <c r="BI53" s="2153">
        <f t="shared" ref="BI53:BI60" si="175">SUM(BA53:BG53)</f>
        <v>15.206896551724139</v>
      </c>
      <c r="BJ53" s="2157">
        <f>$K$53*0</f>
        <v>0</v>
      </c>
      <c r="BK53" s="2158">
        <f t="shared" ref="BK53:BK60" si="176">BI53-BJ53</f>
        <v>15.206896551724139</v>
      </c>
      <c r="BL53" s="3271"/>
      <c r="BM53" s="2090">
        <f t="shared" ref="BM53:BN53" si="177">IF(BM50&gt;$K$61,$K$53,IF(BM50&lt;$K$61,(IF(BM50&lt;0,0,BM50*$N$53))))</f>
        <v>2.1724137931034484</v>
      </c>
      <c r="BN53" s="2091">
        <f t="shared" si="177"/>
        <v>2.1724137931034484</v>
      </c>
      <c r="BO53" s="3271"/>
      <c r="BP53" s="2153">
        <f t="shared" si="164"/>
        <v>4.3448275862068968</v>
      </c>
      <c r="BQ53" s="2157">
        <f>$K$53*0</f>
        <v>0</v>
      </c>
      <c r="BR53" s="2158">
        <f t="shared" ref="BR53:BR60" si="178">BP53-BQ53</f>
        <v>4.3448275862068968</v>
      </c>
      <c r="BT53" s="2153"/>
      <c r="BU53" s="2616"/>
      <c r="BW53" s="2153">
        <f t="shared" si="165"/>
        <v>59.809147656950032</v>
      </c>
      <c r="BX53" s="2617">
        <f t="shared" si="166"/>
        <v>0.94935155011031791</v>
      </c>
      <c r="BY53" s="2351"/>
      <c r="BZ53" s="4636"/>
      <c r="CB53" s="4627"/>
      <c r="CC53" s="1861"/>
      <c r="CD53" s="1861"/>
      <c r="CE53" s="1861"/>
      <c r="CF53" s="1861"/>
      <c r="CG53" s="1861"/>
      <c r="CH53" s="1861"/>
      <c r="CI53" s="1861"/>
      <c r="CJ53" s="1861"/>
      <c r="CK53" s="1861"/>
    </row>
    <row r="54" spans="1:89" s="1900" customFormat="1" ht="15.75" x14ac:dyDescent="0.2">
      <c r="A54" s="2464"/>
      <c r="B54" s="2161">
        <v>40</v>
      </c>
      <c r="C54" s="2162" t="s">
        <v>117</v>
      </c>
      <c r="D54" s="2119"/>
      <c r="E54" s="2169">
        <v>37</v>
      </c>
      <c r="F54" s="2176">
        <f t="shared" ref="F54:F60" si="179">E54/10</f>
        <v>3.7</v>
      </c>
      <c r="G54" s="2176">
        <f t="shared" ref="G54:G60" si="180">E54/15</f>
        <v>2.4666666666666668</v>
      </c>
      <c r="H54" s="2176">
        <f t="shared" ref="H54:H60" si="181">E54/20</f>
        <v>1.85</v>
      </c>
      <c r="I54" s="2176">
        <f t="shared" ref="I54:I60" si="182">E54/25</f>
        <v>1.48</v>
      </c>
      <c r="J54" s="2176"/>
      <c r="K54" s="2176">
        <f t="shared" si="157"/>
        <v>1.2758620689655173</v>
      </c>
      <c r="L54" s="4123"/>
      <c r="M54" s="4123"/>
      <c r="N54" s="2177">
        <f t="shared" si="158"/>
        <v>0.10995542347696879</v>
      </c>
      <c r="O54" s="2468"/>
      <c r="P54" s="2339"/>
      <c r="Q54" s="2169">
        <f>IF(Q50&gt;$K$61,$K$54,IF(Q50&lt;$K$61,(IF(Q50&lt;0,0,Q50*$N$54))))</f>
        <v>1.2758620689655173</v>
      </c>
      <c r="R54" s="2176">
        <f>IF(R50&gt;$K$61,$K$54,IF(R50&lt;$K$61,(IF(R50&lt;0,0,R50*$N$54))))</f>
        <v>1.2758620689655173</v>
      </c>
      <c r="S54" s="2176">
        <f>IF(S50&gt;$K$61,$K$54,IF(S50&lt;$K$61,(IF(S50&lt;0,0,S50*$N$54))))</f>
        <v>1.2758620689655173</v>
      </c>
      <c r="T54" s="2176">
        <f>IF(T50&gt;$K$61,$K$54,IF(T50&lt;$K$61,(IF(T50&lt;0,0,T50*$N$54))))</f>
        <v>1.2758620689655173</v>
      </c>
      <c r="U54" s="2176"/>
      <c r="V54" s="2176">
        <f>IF(V50&gt;$K$61,$K$54,IF(V50&lt;$K$61,(IF(V50&lt;0,0,V50*$N$54))))</f>
        <v>1.2758620689655173</v>
      </c>
      <c r="W54" s="2171">
        <f>IF(W50&gt;$K$61,$K$54,IF(W50&lt;$K$61,(IF(W50&lt;0,0,W50*$N$54))))</f>
        <v>1.2758620689655173</v>
      </c>
      <c r="X54" s="1951"/>
      <c r="Y54" s="2163">
        <f t="shared" ref="Y54" si="183">SUM(Q54:W54)</f>
        <v>7.655172413793105</v>
      </c>
      <c r="Z54" s="2167">
        <f>$K$54*0</f>
        <v>0</v>
      </c>
      <c r="AA54" s="2168">
        <f>Y54-Z54</f>
        <v>7.655172413793105</v>
      </c>
      <c r="AB54" s="1951"/>
      <c r="AC54" s="2163">
        <f t="shared" ref="AC54:AI54" si="184">IF(AC50&gt;$K$61,$K$54,IF(AC50&lt;$K$61,(IF(AC50&lt;0,0,AC50*$N$54))))</f>
        <v>1.2758620689655173</v>
      </c>
      <c r="AD54" s="2167">
        <f t="shared" si="184"/>
        <v>1.2758620689655173</v>
      </c>
      <c r="AE54" s="2167">
        <f t="shared" si="184"/>
        <v>1.2758620689655173</v>
      </c>
      <c r="AF54" s="2167">
        <f t="shared" si="184"/>
        <v>1.2758620689655173</v>
      </c>
      <c r="AG54" s="2167">
        <f t="shared" si="184"/>
        <v>1.2758620689655173</v>
      </c>
      <c r="AH54" s="2167">
        <f t="shared" si="184"/>
        <v>1.2758620689655173</v>
      </c>
      <c r="AI54" s="2166">
        <f t="shared" si="184"/>
        <v>1.2758620689655173</v>
      </c>
      <c r="AJ54" s="1951"/>
      <c r="AK54" s="2163">
        <f t="shared" si="168"/>
        <v>8.9310344827586228</v>
      </c>
      <c r="AL54" s="2167">
        <f>$K$54*0</f>
        <v>0</v>
      </c>
      <c r="AM54" s="2168">
        <f t="shared" si="169"/>
        <v>8.9310344827586228</v>
      </c>
      <c r="AN54" s="1951"/>
      <c r="AO54" s="2163">
        <f t="shared" ref="AO54:AU54" si="185">IF(AO50&gt;$K$61,$K$54,IF(AO50&lt;$K$61,(IF(AO50&lt;0,0,AO50*$N$54))))</f>
        <v>1.2758620689655173</v>
      </c>
      <c r="AP54" s="2164">
        <f t="shared" si="185"/>
        <v>0.67773149201280236</v>
      </c>
      <c r="AQ54" s="2164">
        <f t="shared" si="185"/>
        <v>1.2758620689655173</v>
      </c>
      <c r="AR54" s="2164">
        <f t="shared" si="185"/>
        <v>1.2758620689655173</v>
      </c>
      <c r="AS54" s="2164">
        <f t="shared" si="185"/>
        <v>1.2758620689655173</v>
      </c>
      <c r="AT54" s="2164">
        <f t="shared" si="185"/>
        <v>1.2758620689655173</v>
      </c>
      <c r="AU54" s="2164">
        <f t="shared" si="185"/>
        <v>1.2758620689655173</v>
      </c>
      <c r="AV54" s="1951"/>
      <c r="AW54" s="2163">
        <f t="shared" si="171"/>
        <v>8.3329039058059085</v>
      </c>
      <c r="AX54" s="2167">
        <f>$K$54*0</f>
        <v>0</v>
      </c>
      <c r="AY54" s="2168">
        <f t="shared" si="172"/>
        <v>8.3329039058059085</v>
      </c>
      <c r="AZ54" s="1951"/>
      <c r="BA54" s="2163">
        <f t="shared" ref="BA54:BF54" si="186">IF(BA50&gt;$K$61,$K$54,IF(BA50&lt;$K$61,(IF(BA50&lt;0,0,BA50*$N$54))))</f>
        <v>1.2758620689655173</v>
      </c>
      <c r="BB54" s="2164">
        <f t="shared" si="186"/>
        <v>1.2758620689655173</v>
      </c>
      <c r="BC54" s="2164">
        <f t="shared" si="186"/>
        <v>1.2758620689655173</v>
      </c>
      <c r="BD54" s="2164">
        <f t="shared" si="186"/>
        <v>1.2758620689655173</v>
      </c>
      <c r="BE54" s="2176">
        <f t="shared" si="186"/>
        <v>1.2758620689655173</v>
      </c>
      <c r="BF54" s="2176">
        <f t="shared" si="186"/>
        <v>1.2758620689655173</v>
      </c>
      <c r="BG54" s="2171">
        <f t="shared" ref="BG54" si="187">IF(BG50&gt;$K$61,$K$54,IF(BG50&lt;$K$61,(IF(BG50&lt;0,0,BG50*$N$54))))</f>
        <v>1.2758620689655173</v>
      </c>
      <c r="BH54" s="1951"/>
      <c r="BI54" s="2163">
        <f t="shared" si="175"/>
        <v>8.9310344827586228</v>
      </c>
      <c r="BJ54" s="2167">
        <f>$K$54*0</f>
        <v>0</v>
      </c>
      <c r="BK54" s="2168">
        <f t="shared" si="176"/>
        <v>8.9310344827586228</v>
      </c>
      <c r="BL54" s="1951"/>
      <c r="BM54" s="2169">
        <f t="shared" ref="BM54:BN54" si="188">IF(BM50&gt;$K$61,$K$54,IF(BM50&lt;$K$61,(IF(BM50&lt;0,0,BM50*$N$54))))</f>
        <v>1.2758620689655173</v>
      </c>
      <c r="BN54" s="2171">
        <f t="shared" si="188"/>
        <v>1.2758620689655173</v>
      </c>
      <c r="BO54" s="1951"/>
      <c r="BP54" s="2163">
        <f t="shared" si="164"/>
        <v>2.5517241379310347</v>
      </c>
      <c r="BQ54" s="2167">
        <f>$K$54*0</f>
        <v>0</v>
      </c>
      <c r="BR54" s="2168">
        <f t="shared" si="178"/>
        <v>2.5517241379310347</v>
      </c>
      <c r="BT54" s="2163"/>
      <c r="BU54" s="2619"/>
      <c r="BW54" s="2163">
        <f t="shared" si="165"/>
        <v>35.126007354081771</v>
      </c>
      <c r="BX54" s="2620">
        <f t="shared" si="166"/>
        <v>0.94935155011031813</v>
      </c>
      <c r="BY54" s="2353"/>
      <c r="BZ54" s="4636"/>
      <c r="CB54" s="4627"/>
      <c r="CC54" s="2011"/>
      <c r="CD54" s="2011"/>
      <c r="CE54" s="2011"/>
      <c r="CF54" s="2011"/>
      <c r="CG54" s="2011"/>
      <c r="CH54" s="2011"/>
      <c r="CI54" s="2011"/>
      <c r="CJ54" s="2011"/>
      <c r="CK54" s="2011"/>
    </row>
    <row r="55" spans="1:89" s="1726" customFormat="1" x14ac:dyDescent="0.2">
      <c r="B55" s="2085">
        <v>41</v>
      </c>
      <c r="C55" s="2086" t="s">
        <v>246</v>
      </c>
      <c r="D55" s="2051"/>
      <c r="E55" s="2087">
        <v>37</v>
      </c>
      <c r="F55" s="2088">
        <f t="shared" si="179"/>
        <v>3.7</v>
      </c>
      <c r="G55" s="2088">
        <f t="shared" si="180"/>
        <v>2.4666666666666668</v>
      </c>
      <c r="H55" s="2088">
        <f t="shared" si="181"/>
        <v>1.85</v>
      </c>
      <c r="I55" s="2088">
        <f t="shared" si="182"/>
        <v>1.48</v>
      </c>
      <c r="J55" s="2088"/>
      <c r="K55" s="2088">
        <f t="shared" si="157"/>
        <v>1.2758620689655173</v>
      </c>
      <c r="L55" s="4124"/>
      <c r="M55" s="4124"/>
      <c r="N55" s="2089">
        <f t="shared" si="158"/>
        <v>0.10995542347696879</v>
      </c>
      <c r="O55" s="1931"/>
      <c r="P55" s="1924"/>
      <c r="Q55" s="2090">
        <f>IF(Q50&gt;$K$61,$K$55,IF(Q50&lt;$K$61,(IF(Q50&lt;0,0,Q50*$N$55))))</f>
        <v>1.2758620689655173</v>
      </c>
      <c r="R55" s="2088">
        <f>IF(R50&gt;$K$61,$K$55,IF(R50&lt;$K$61,(IF(R50&lt;0,0,R50*$N$55))))</f>
        <v>1.2758620689655173</v>
      </c>
      <c r="S55" s="2088">
        <f>IF(S50&gt;$K$61,$K$55,IF(S50&lt;$K$61,(IF(S50&lt;0,0,S50*$N$55))))</f>
        <v>1.2758620689655173</v>
      </c>
      <c r="T55" s="2088">
        <f>IF(T50&gt;$K$61,$K$55,IF(T50&lt;$K$61,(IF(T50&lt;0,0,T50*$N$55))))</f>
        <v>1.2758620689655173</v>
      </c>
      <c r="U55" s="2088"/>
      <c r="V55" s="2088">
        <f>IF(V50&gt;$K$61,$K$55,IF(V50&lt;$K$61,(IF(V50&lt;0,0,V50*$N$55))))</f>
        <v>1.2758620689655173</v>
      </c>
      <c r="W55" s="2091">
        <f>IF(W50&gt;$K$61,$K$55,IF(W50&lt;$K$61,(IF(W50&lt;0,0,W50*$N$55))))</f>
        <v>1.2758620689655173</v>
      </c>
      <c r="X55" s="3271"/>
      <c r="Y55" s="2090">
        <f t="shared" si="78"/>
        <v>7.655172413793105</v>
      </c>
      <c r="Z55" s="2087">
        <f>$K$55*0</f>
        <v>0</v>
      </c>
      <c r="AA55" s="2174">
        <f>Y55-Z55</f>
        <v>7.655172413793105</v>
      </c>
      <c r="AB55" s="1766"/>
      <c r="AC55" s="2090">
        <f t="shared" ref="AC55:AI55" si="189">IF(AC50&gt;$K$61,$K$55,IF(AC50&lt;$K$61,(IF(AC50&lt;0,0,AC50*$N$55))))</f>
        <v>1.2758620689655173</v>
      </c>
      <c r="AD55" s="2087">
        <f t="shared" si="189"/>
        <v>1.2758620689655173</v>
      </c>
      <c r="AE55" s="2087">
        <f t="shared" si="189"/>
        <v>1.2758620689655173</v>
      </c>
      <c r="AF55" s="2087">
        <f t="shared" si="189"/>
        <v>1.2758620689655173</v>
      </c>
      <c r="AG55" s="2087">
        <f t="shared" si="189"/>
        <v>1.2758620689655173</v>
      </c>
      <c r="AH55" s="2087">
        <f t="shared" si="189"/>
        <v>1.2758620689655173</v>
      </c>
      <c r="AI55" s="2091">
        <f t="shared" si="189"/>
        <v>1.2758620689655173</v>
      </c>
      <c r="AJ55" s="1766"/>
      <c r="AK55" s="2090">
        <f t="shared" si="168"/>
        <v>8.9310344827586228</v>
      </c>
      <c r="AL55" s="2087">
        <f>$K$55*0</f>
        <v>0</v>
      </c>
      <c r="AM55" s="2174">
        <f t="shared" si="169"/>
        <v>8.9310344827586228</v>
      </c>
      <c r="AN55" s="1766"/>
      <c r="AO55" s="2090">
        <f t="shared" ref="AO55:AU55" si="190">IF(AO50&gt;$K$61,$K$55,IF(AO50&lt;$K$61,(IF(AO50&lt;0,0,AO50*$N$55))))</f>
        <v>1.2758620689655173</v>
      </c>
      <c r="AP55" s="2088">
        <f t="shared" si="190"/>
        <v>0.67773149201280236</v>
      </c>
      <c r="AQ55" s="2088">
        <f t="shared" si="190"/>
        <v>1.2758620689655173</v>
      </c>
      <c r="AR55" s="2088">
        <f t="shared" si="190"/>
        <v>1.2758620689655173</v>
      </c>
      <c r="AS55" s="2088">
        <f t="shared" si="190"/>
        <v>1.2758620689655173</v>
      </c>
      <c r="AT55" s="2088">
        <f t="shared" si="190"/>
        <v>1.2758620689655173</v>
      </c>
      <c r="AU55" s="2088">
        <f t="shared" si="190"/>
        <v>1.2758620689655173</v>
      </c>
      <c r="AV55" s="3271"/>
      <c r="AW55" s="2090">
        <f t="shared" si="171"/>
        <v>8.3329039058059085</v>
      </c>
      <c r="AX55" s="2087">
        <f>$K$55*0</f>
        <v>0</v>
      </c>
      <c r="AY55" s="2174">
        <f t="shared" si="172"/>
        <v>8.3329039058059085</v>
      </c>
      <c r="AZ55" s="3271"/>
      <c r="BA55" s="2090">
        <f t="shared" ref="BA55:BF55" si="191">IF(BA50&gt;$K$61,$K$55,IF(BA50&lt;$K$61,(IF(BA50&lt;0,0,BA50*$N$55))))</f>
        <v>1.2758620689655173</v>
      </c>
      <c r="BB55" s="2088">
        <f t="shared" si="191"/>
        <v>1.2758620689655173</v>
      </c>
      <c r="BC55" s="2088">
        <f t="shared" si="191"/>
        <v>1.2758620689655173</v>
      </c>
      <c r="BD55" s="2088">
        <f t="shared" si="191"/>
        <v>1.2758620689655173</v>
      </c>
      <c r="BE55" s="2088">
        <f t="shared" si="191"/>
        <v>1.2758620689655173</v>
      </c>
      <c r="BF55" s="2088">
        <f t="shared" si="191"/>
        <v>1.2758620689655173</v>
      </c>
      <c r="BG55" s="2091">
        <f t="shared" ref="BG55" si="192">IF(BG50&gt;$K$61,$K$55,IF(BG50&lt;$K$61,(IF(BG50&lt;0,0,BG50*$N$55))))</f>
        <v>1.2758620689655173</v>
      </c>
      <c r="BH55" s="3271"/>
      <c r="BI55" s="2090">
        <f t="shared" si="175"/>
        <v>8.9310344827586228</v>
      </c>
      <c r="BJ55" s="2087">
        <f>$K$55*0</f>
        <v>0</v>
      </c>
      <c r="BK55" s="2174">
        <f t="shared" si="176"/>
        <v>8.9310344827586228</v>
      </c>
      <c r="BL55" s="3271"/>
      <c r="BM55" s="2090">
        <f t="shared" ref="BM55:BN55" si="193">IF(BM50&gt;$K$61,$K$55,IF(BM50&lt;$K$61,(IF(BM50&lt;0,0,BM50*$N$55))))</f>
        <v>1.2758620689655173</v>
      </c>
      <c r="BN55" s="2091">
        <f t="shared" si="193"/>
        <v>1.2758620689655173</v>
      </c>
      <c r="BO55" s="3271"/>
      <c r="BP55" s="2090">
        <f t="shared" si="164"/>
        <v>2.5517241379310347</v>
      </c>
      <c r="BQ55" s="2087">
        <f>$K$55*0</f>
        <v>0</v>
      </c>
      <c r="BR55" s="2174">
        <f t="shared" si="178"/>
        <v>2.5517241379310347</v>
      </c>
      <c r="BT55" s="2090"/>
      <c r="BU55" s="2159"/>
      <c r="BV55" s="1740"/>
      <c r="BW55" s="2090">
        <f t="shared" si="165"/>
        <v>35.126007354081771</v>
      </c>
      <c r="BX55" s="2160">
        <f t="shared" si="166"/>
        <v>0.94935155011031813</v>
      </c>
      <c r="BY55" s="2351"/>
      <c r="BZ55" s="4636"/>
      <c r="CB55" s="4627"/>
      <c r="CC55" s="1830"/>
      <c r="CD55" s="2131"/>
      <c r="CE55" s="1830"/>
      <c r="CF55" s="1860"/>
      <c r="CG55" s="1860"/>
      <c r="CH55" s="1860"/>
      <c r="CI55" s="1860"/>
      <c r="CJ55" s="1860"/>
      <c r="CK55" s="1860"/>
    </row>
    <row r="56" spans="1:89" s="1885" customFormat="1" x14ac:dyDescent="0.2">
      <c r="B56" s="2182">
        <v>42</v>
      </c>
      <c r="C56" s="2175" t="s">
        <v>118</v>
      </c>
      <c r="D56" s="2119"/>
      <c r="E56" s="2170">
        <v>35</v>
      </c>
      <c r="F56" s="2176">
        <f t="shared" si="179"/>
        <v>3.5</v>
      </c>
      <c r="G56" s="2176">
        <f t="shared" si="180"/>
        <v>2.3333333333333335</v>
      </c>
      <c r="H56" s="2176">
        <f t="shared" si="181"/>
        <v>1.75</v>
      </c>
      <c r="I56" s="2176">
        <f t="shared" si="182"/>
        <v>1.4</v>
      </c>
      <c r="J56" s="2176"/>
      <c r="K56" s="2176">
        <f t="shared" si="157"/>
        <v>1.2068965517241379</v>
      </c>
      <c r="L56" s="4123"/>
      <c r="M56" s="4123"/>
      <c r="N56" s="2177">
        <f t="shared" si="158"/>
        <v>0.10401188707280833</v>
      </c>
      <c r="O56" s="2003"/>
      <c r="P56" s="1950"/>
      <c r="Q56" s="2169">
        <f>IF(Q50&gt;$K$61,$K$56,IF(Q50&lt;$K$61,(IF(Q50&lt;0,0,Q50*$N$56))))</f>
        <v>1.2068965517241379</v>
      </c>
      <c r="R56" s="2176">
        <f>IF(R50&gt;$K$61,$K$56,IF(R50&lt;$K$61,(IF(R50&lt;0,0,R50*$N$56))))</f>
        <v>1.2068965517241379</v>
      </c>
      <c r="S56" s="2176">
        <f>IF(S50&gt;$K$61,$K$56,IF(S50&lt;$K$61,(IF(S50&lt;0,0,S50*$N$56))))</f>
        <v>1.2068965517241379</v>
      </c>
      <c r="T56" s="2176">
        <f>IF(T50&gt;$K$61,$K$56,IF(T50&lt;$K$61,(IF(T50&lt;0,0,T50*$N$56))))</f>
        <v>1.2068965517241379</v>
      </c>
      <c r="U56" s="2176"/>
      <c r="V56" s="2176">
        <f>IF(V50&gt;$K$61,$K$56,IF(V50&lt;$K$61,(IF(V50&lt;0,0,V50*$N$56))))</f>
        <v>1.2068965517241379</v>
      </c>
      <c r="W56" s="2171">
        <f>IF(W50&gt;$K$61,$K$56,IF(W50&lt;$K$61,(IF(W50&lt;0,0,W50*$N$56))))</f>
        <v>1.2068965517241379</v>
      </c>
      <c r="X56" s="1951"/>
      <c r="Y56" s="2169">
        <f t="shared" si="78"/>
        <v>7.2413793103448274</v>
      </c>
      <c r="Z56" s="2176">
        <f>$K$56*0</f>
        <v>0</v>
      </c>
      <c r="AA56" s="2171">
        <f t="shared" ref="AA56:AA73" si="194">Y56-Z56</f>
        <v>7.2413793103448274</v>
      </c>
      <c r="AB56" s="1956"/>
      <c r="AC56" s="2169">
        <f t="shared" ref="AC56:AI56" si="195">IF(AC50&gt;$K$61,$K$56,IF(AC50&lt;$K$61,(IF(AC50&lt;0,0,AC50*$N$56))))</f>
        <v>1.2068965517241379</v>
      </c>
      <c r="AD56" s="2176">
        <f t="shared" si="195"/>
        <v>1.2068965517241379</v>
      </c>
      <c r="AE56" s="2176">
        <f t="shared" si="195"/>
        <v>1.2068965517241379</v>
      </c>
      <c r="AF56" s="2176">
        <f t="shared" si="195"/>
        <v>1.2068965517241379</v>
      </c>
      <c r="AG56" s="2176">
        <f t="shared" si="195"/>
        <v>1.2068965517241379</v>
      </c>
      <c r="AH56" s="2176">
        <f t="shared" si="195"/>
        <v>1.2068965517241379</v>
      </c>
      <c r="AI56" s="2171">
        <f t="shared" si="195"/>
        <v>1.2068965517241379</v>
      </c>
      <c r="AJ56" s="1956"/>
      <c r="AK56" s="2169">
        <f t="shared" si="168"/>
        <v>8.4482758620689644</v>
      </c>
      <c r="AL56" s="2176">
        <f>$K$56*0</f>
        <v>0</v>
      </c>
      <c r="AM56" s="2171">
        <f t="shared" si="169"/>
        <v>8.4482758620689644</v>
      </c>
      <c r="AN56" s="1956"/>
      <c r="AO56" s="2169">
        <f t="shared" ref="AO56:AU56" si="196">IF(AO50&gt;$K$61,$K$56,IF(AO50&lt;$K$61,(IF(AO50&lt;0,0,AO50*$N$56))))</f>
        <v>1.2068965517241379</v>
      </c>
      <c r="AP56" s="2176">
        <f t="shared" si="196"/>
        <v>0.64109735730940764</v>
      </c>
      <c r="AQ56" s="2176">
        <f t="shared" si="196"/>
        <v>1.2068965517241379</v>
      </c>
      <c r="AR56" s="2176">
        <f t="shared" si="196"/>
        <v>1.2068965517241379</v>
      </c>
      <c r="AS56" s="2176">
        <f t="shared" si="196"/>
        <v>1.2068965517241379</v>
      </c>
      <c r="AT56" s="2176">
        <f t="shared" si="196"/>
        <v>1.2068965517241379</v>
      </c>
      <c r="AU56" s="2176">
        <f t="shared" si="196"/>
        <v>1.2068965517241379</v>
      </c>
      <c r="AV56" s="1951"/>
      <c r="AW56" s="2169">
        <f t="shared" si="171"/>
        <v>7.8824766676542355</v>
      </c>
      <c r="AX56" s="2176">
        <f>$K$56*0</f>
        <v>0</v>
      </c>
      <c r="AY56" s="2171">
        <f t="shared" si="172"/>
        <v>7.8824766676542355</v>
      </c>
      <c r="AZ56" s="1951"/>
      <c r="BA56" s="2169">
        <f t="shared" ref="BA56:BF56" si="197">IF(BA50&gt;$K$61,$K$56,IF(BA50&lt;$K$61,(IF(BA50&lt;0,0,BA50*$N$56))))</f>
        <v>1.2068965517241379</v>
      </c>
      <c r="BB56" s="2176">
        <f t="shared" si="197"/>
        <v>1.2068965517241379</v>
      </c>
      <c r="BC56" s="2176">
        <f t="shared" si="197"/>
        <v>1.2068965517241379</v>
      </c>
      <c r="BD56" s="2176">
        <f t="shared" si="197"/>
        <v>1.2068965517241379</v>
      </c>
      <c r="BE56" s="2176">
        <f t="shared" si="197"/>
        <v>1.2068965517241379</v>
      </c>
      <c r="BF56" s="2176">
        <f t="shared" si="197"/>
        <v>1.2068965517241379</v>
      </c>
      <c r="BG56" s="2171">
        <f t="shared" ref="BG56" si="198">IF(BG50&gt;$K$61,$K$56,IF(BG50&lt;$K$61,(IF(BG50&lt;0,0,BG50*$N$56))))</f>
        <v>1.2068965517241379</v>
      </c>
      <c r="BH56" s="1951"/>
      <c r="BI56" s="2169">
        <f t="shared" si="175"/>
        <v>8.4482758620689644</v>
      </c>
      <c r="BJ56" s="2176">
        <f>$K$56*0</f>
        <v>0</v>
      </c>
      <c r="BK56" s="2171">
        <f t="shared" si="176"/>
        <v>8.4482758620689644</v>
      </c>
      <c r="BL56" s="1951"/>
      <c r="BM56" s="2169">
        <f t="shared" ref="BM56:BN56" si="199">IF(BM50&gt;$K$61,$K$56,IF(BM50&lt;$K$61,(IF(BM50&lt;0,0,BM50*$N$56))))</f>
        <v>1.2068965517241379</v>
      </c>
      <c r="BN56" s="2171">
        <f t="shared" si="199"/>
        <v>1.2068965517241379</v>
      </c>
      <c r="BO56" s="1951"/>
      <c r="BP56" s="2169">
        <f t="shared" si="164"/>
        <v>2.4137931034482758</v>
      </c>
      <c r="BQ56" s="2176">
        <f>$K$56*0</f>
        <v>0</v>
      </c>
      <c r="BR56" s="2171">
        <f t="shared" si="178"/>
        <v>2.4137931034482758</v>
      </c>
      <c r="BT56" s="2179"/>
      <c r="BU56" s="2180"/>
      <c r="BV56" s="1900"/>
      <c r="BW56" s="2179">
        <f t="shared" si="165"/>
        <v>33.227304253861128</v>
      </c>
      <c r="BX56" s="2181">
        <f t="shared" si="166"/>
        <v>0.94935155011031791</v>
      </c>
      <c r="BY56" s="2353"/>
      <c r="BZ56" s="4636"/>
      <c r="CB56" s="4627"/>
      <c r="CC56" s="1962"/>
      <c r="CD56" s="2339"/>
      <c r="CE56" s="1962"/>
      <c r="CF56" s="1946"/>
      <c r="CG56" s="1946"/>
      <c r="CH56" s="1946"/>
      <c r="CI56" s="1946"/>
      <c r="CJ56" s="1946"/>
      <c r="CK56" s="1946"/>
    </row>
    <row r="57" spans="1:89" s="1726" customFormat="1" x14ac:dyDescent="0.2">
      <c r="A57" s="1756"/>
      <c r="B57" s="2085">
        <v>43</v>
      </c>
      <c r="C57" s="2086" t="s">
        <v>269</v>
      </c>
      <c r="D57" s="2051"/>
      <c r="E57" s="2087">
        <v>29.5</v>
      </c>
      <c r="F57" s="2088">
        <f t="shared" si="179"/>
        <v>2.95</v>
      </c>
      <c r="G57" s="2088">
        <f t="shared" si="180"/>
        <v>1.9666666666666666</v>
      </c>
      <c r="H57" s="2088">
        <f t="shared" si="181"/>
        <v>1.4750000000000001</v>
      </c>
      <c r="I57" s="2088">
        <f t="shared" si="182"/>
        <v>1.18</v>
      </c>
      <c r="J57" s="2088"/>
      <c r="K57" s="2088">
        <f t="shared" si="157"/>
        <v>1.0172413793103448</v>
      </c>
      <c r="L57" s="4124"/>
      <c r="M57" s="4124"/>
      <c r="N57" s="2089">
        <f t="shared" si="158"/>
        <v>8.7667161961367007E-2</v>
      </c>
      <c r="O57" s="1931"/>
      <c r="P57" s="1924"/>
      <c r="Q57" s="2090">
        <f>IF(Q50&gt;$K$61,$K$57,IF(Q50&lt;$K$61,(IF(Q50&lt;0,0,Q50*$N$57))))</f>
        <v>1.0172413793103448</v>
      </c>
      <c r="R57" s="2088">
        <f>IF(R50&gt;$K$61,$K$57,IF(R50&lt;$K$61,(IF(R50&lt;0,0,R50*$N$57))))</f>
        <v>1.0172413793103448</v>
      </c>
      <c r="S57" s="2088">
        <f>IF(S50&gt;$K$61,$K$57,IF(S50&lt;$K$61,(IF(S50&lt;0,0,S50*$N$57))))</f>
        <v>1.0172413793103448</v>
      </c>
      <c r="T57" s="2088">
        <f>IF(T50&gt;$K$61,$K$57,IF(T50&lt;$K$61,(IF(T50&lt;0,0,T50*$N$57))))</f>
        <v>1.0172413793103448</v>
      </c>
      <c r="U57" s="2088"/>
      <c r="V57" s="2088">
        <f>IF(V50&gt;$K$61,$K$57,IF(V50&lt;$K$61,(IF(V50&lt;0,0,V50*$N$57))))</f>
        <v>1.0172413793103448</v>
      </c>
      <c r="W57" s="2091">
        <f>IF(W50&gt;$K$61,$K$57,IF(W50&lt;$K$61,(IF(W50&lt;0,0,W50*$N$57))))</f>
        <v>1.0172413793103448</v>
      </c>
      <c r="X57" s="3271"/>
      <c r="Y57" s="2090">
        <f t="shared" si="78"/>
        <v>6.1034482758620694</v>
      </c>
      <c r="Z57" s="2088">
        <f>$K$57*0</f>
        <v>0</v>
      </c>
      <c r="AA57" s="2091">
        <f t="shared" si="194"/>
        <v>6.1034482758620694</v>
      </c>
      <c r="AB57" s="1766"/>
      <c r="AC57" s="2090">
        <f t="shared" ref="AC57:AI57" si="200">IF(AC50&gt;$K$61,$K$57,IF(AC50&lt;$K$61,(IF(AC50&lt;0,0,AC50*$N$57))))</f>
        <v>1.0172413793103448</v>
      </c>
      <c r="AD57" s="2088">
        <f t="shared" si="200"/>
        <v>1.0172413793103448</v>
      </c>
      <c r="AE57" s="2088">
        <f t="shared" si="200"/>
        <v>1.0172413793103448</v>
      </c>
      <c r="AF57" s="2088">
        <f t="shared" si="200"/>
        <v>1.0172413793103448</v>
      </c>
      <c r="AG57" s="2088">
        <f t="shared" si="200"/>
        <v>1.0172413793103448</v>
      </c>
      <c r="AH57" s="2088">
        <f t="shared" si="200"/>
        <v>1.0172413793103448</v>
      </c>
      <c r="AI57" s="2091">
        <f t="shared" si="200"/>
        <v>1.0172413793103448</v>
      </c>
      <c r="AJ57" s="1766"/>
      <c r="AK57" s="2090">
        <f t="shared" si="168"/>
        <v>7.1206896551724146</v>
      </c>
      <c r="AL57" s="2088">
        <f>$K$57*0</f>
        <v>0</v>
      </c>
      <c r="AM57" s="2091">
        <f t="shared" si="169"/>
        <v>7.1206896551724146</v>
      </c>
      <c r="AN57" s="1766"/>
      <c r="AO57" s="2090">
        <f t="shared" ref="AO57:AU57" si="201">IF(AO50&gt;$K$61,$K$57,IF(AO50&lt;$K$61,(IF(AO50&lt;0,0,AO50*$N$57))))</f>
        <v>1.0172413793103448</v>
      </c>
      <c r="AP57" s="2088">
        <f t="shared" si="201"/>
        <v>0.54035348687507212</v>
      </c>
      <c r="AQ57" s="2088">
        <f t="shared" si="201"/>
        <v>1.0172413793103448</v>
      </c>
      <c r="AR57" s="2088">
        <f t="shared" si="201"/>
        <v>1.0172413793103448</v>
      </c>
      <c r="AS57" s="2088">
        <f t="shared" si="201"/>
        <v>1.0172413793103448</v>
      </c>
      <c r="AT57" s="2088">
        <f t="shared" si="201"/>
        <v>1.0172413793103448</v>
      </c>
      <c r="AU57" s="2088">
        <f t="shared" si="201"/>
        <v>1.0172413793103448</v>
      </c>
      <c r="AV57" s="3271"/>
      <c r="AW57" s="2090">
        <f t="shared" si="171"/>
        <v>6.6438017627371408</v>
      </c>
      <c r="AX57" s="2088">
        <f>$K$57*0</f>
        <v>0</v>
      </c>
      <c r="AY57" s="2091">
        <f t="shared" si="172"/>
        <v>6.6438017627371408</v>
      </c>
      <c r="AZ57" s="3271"/>
      <c r="BA57" s="2090">
        <f t="shared" ref="BA57:BF57" si="202">IF(BA50&gt;$K$61,$K$57,IF(BA50&lt;$K$61,(IF(BA50&lt;0,0,BA50*$N$57))))</f>
        <v>1.0172413793103448</v>
      </c>
      <c r="BB57" s="2088">
        <f t="shared" si="202"/>
        <v>1.0172413793103448</v>
      </c>
      <c r="BC57" s="2088">
        <f t="shared" si="202"/>
        <v>1.0172413793103448</v>
      </c>
      <c r="BD57" s="2088">
        <f t="shared" si="202"/>
        <v>1.0172413793103448</v>
      </c>
      <c r="BE57" s="2088">
        <f t="shared" si="202"/>
        <v>1.0172413793103448</v>
      </c>
      <c r="BF57" s="2088">
        <f t="shared" si="202"/>
        <v>1.0172413793103448</v>
      </c>
      <c r="BG57" s="2091">
        <f t="shared" ref="BG57" si="203">IF(BG50&gt;$K$61,$K$57,IF(BG50&lt;$K$61,(IF(BG50&lt;0,0,BG50*$N$57))))</f>
        <v>1.0172413793103448</v>
      </c>
      <c r="BH57" s="3271"/>
      <c r="BI57" s="2090">
        <f t="shared" si="175"/>
        <v>7.1206896551724146</v>
      </c>
      <c r="BJ57" s="2088">
        <f>$K$57*0</f>
        <v>0</v>
      </c>
      <c r="BK57" s="2091">
        <f t="shared" si="176"/>
        <v>7.1206896551724146</v>
      </c>
      <c r="BL57" s="3271"/>
      <c r="BM57" s="2090">
        <f t="shared" ref="BM57:BN57" si="204">IF(BM50&gt;$K$61,$K$57,IF(BM50&lt;$K$61,(IF(BM50&lt;0,0,BM50*$N$57))))</f>
        <v>1.0172413793103448</v>
      </c>
      <c r="BN57" s="2091">
        <f t="shared" si="204"/>
        <v>1.0172413793103448</v>
      </c>
      <c r="BO57" s="3271"/>
      <c r="BP57" s="2090">
        <f t="shared" si="164"/>
        <v>2.0344827586206895</v>
      </c>
      <c r="BQ57" s="2088">
        <f>$K$57*0</f>
        <v>0</v>
      </c>
      <c r="BR57" s="2091">
        <f t="shared" si="178"/>
        <v>2.0344827586206895</v>
      </c>
      <c r="BT57" s="2092"/>
      <c r="BU57" s="2093"/>
      <c r="BV57" s="1740"/>
      <c r="BW57" s="2092">
        <f t="shared" si="165"/>
        <v>28.005870728254383</v>
      </c>
      <c r="BX57" s="2094">
        <f t="shared" si="166"/>
        <v>0.94935155011031802</v>
      </c>
      <c r="BY57" s="2351"/>
      <c r="BZ57" s="4636"/>
      <c r="CB57" s="4627"/>
      <c r="CC57" s="3257"/>
      <c r="CD57" s="3257"/>
      <c r="CE57" s="1860"/>
      <c r="CF57" s="1860"/>
      <c r="CG57" s="1860"/>
      <c r="CH57" s="1860"/>
      <c r="CI57" s="1860"/>
      <c r="CJ57" s="1860"/>
      <c r="CK57" s="1860"/>
    </row>
    <row r="58" spans="1:89" s="1885" customFormat="1" x14ac:dyDescent="0.2">
      <c r="B58" s="2182">
        <v>44</v>
      </c>
      <c r="C58" s="2175" t="s">
        <v>123</v>
      </c>
      <c r="D58" s="2119"/>
      <c r="E58" s="2170">
        <v>25</v>
      </c>
      <c r="F58" s="2176">
        <f t="shared" si="179"/>
        <v>2.5</v>
      </c>
      <c r="G58" s="2176">
        <f t="shared" si="180"/>
        <v>1.6666666666666667</v>
      </c>
      <c r="H58" s="2176">
        <f t="shared" si="181"/>
        <v>1.25</v>
      </c>
      <c r="I58" s="2176">
        <f t="shared" si="182"/>
        <v>1</v>
      </c>
      <c r="J58" s="2176"/>
      <c r="K58" s="2176">
        <f t="shared" si="157"/>
        <v>0.86206896551724133</v>
      </c>
      <c r="L58" s="4123"/>
      <c r="M58" s="4123"/>
      <c r="N58" s="2177">
        <f t="shared" si="158"/>
        <v>7.4294205052005943E-2</v>
      </c>
      <c r="O58" s="2003"/>
      <c r="P58" s="1950"/>
      <c r="Q58" s="2169">
        <f>IF(Q50&gt;$K$61,$K$58,IF(Q50&lt;$K$61,(IF(Q50&lt;0,0,Q50*$N$58))))</f>
        <v>0.86206896551724133</v>
      </c>
      <c r="R58" s="2176">
        <f>IF(R50&gt;$K$61,$K$58,IF(R50&lt;$K$61,(IF(R50&lt;0,0,R50*$N$58))))</f>
        <v>0.86206896551724133</v>
      </c>
      <c r="S58" s="2176">
        <f>IF(S50&gt;$K$61,$K$58,IF(S50&lt;$K$61,(IF(S50&lt;0,0,S50*$N$58))))</f>
        <v>0.86206896551724133</v>
      </c>
      <c r="T58" s="2176">
        <f>IF(T50&gt;$K$61,$K$58,IF(T50&lt;$K$61,(IF(T50&lt;0,0,T50*$N$58))))</f>
        <v>0.86206896551724133</v>
      </c>
      <c r="U58" s="2176"/>
      <c r="V58" s="2176">
        <f>IF(V50&gt;$K$61,$K$58,IF(V50&lt;$K$61,(IF(V50&lt;0,0,V50*$N$58))))</f>
        <v>0.86206896551724133</v>
      </c>
      <c r="W58" s="2171">
        <f>IF(W50&gt;$K$61,$K$58,IF(W50&lt;$K$61,(IF(W50&lt;0,0,W50*$N$58))))</f>
        <v>0.86206896551724133</v>
      </c>
      <c r="X58" s="1951"/>
      <c r="Y58" s="2169">
        <f t="shared" si="78"/>
        <v>5.1724137931034475</v>
      </c>
      <c r="Z58" s="2176">
        <f>$K$58*0</f>
        <v>0</v>
      </c>
      <c r="AA58" s="2171">
        <f t="shared" si="194"/>
        <v>5.1724137931034475</v>
      </c>
      <c r="AB58" s="1956"/>
      <c r="AC58" s="2169">
        <f t="shared" ref="AC58:AI58" si="205">IF(AC50&gt;$K$61,$K$58,IF(AC50&lt;$K$61,(IF(AC50&lt;0,0,AC50*$N$58))))</f>
        <v>0.86206896551724133</v>
      </c>
      <c r="AD58" s="2176">
        <f t="shared" si="205"/>
        <v>0.86206896551724133</v>
      </c>
      <c r="AE58" s="2176">
        <f t="shared" si="205"/>
        <v>0.86206896551724133</v>
      </c>
      <c r="AF58" s="2176">
        <f t="shared" si="205"/>
        <v>0.86206896551724133</v>
      </c>
      <c r="AG58" s="2176">
        <f t="shared" si="205"/>
        <v>0.86206896551724133</v>
      </c>
      <c r="AH58" s="2176">
        <f t="shared" si="205"/>
        <v>0.86206896551724133</v>
      </c>
      <c r="AI58" s="2171">
        <f t="shared" si="205"/>
        <v>0.86206896551724133</v>
      </c>
      <c r="AJ58" s="1956"/>
      <c r="AK58" s="2169">
        <f t="shared" si="168"/>
        <v>6.0344827586206886</v>
      </c>
      <c r="AL58" s="2176">
        <f>$K$58*0</f>
        <v>0</v>
      </c>
      <c r="AM58" s="2171">
        <f t="shared" si="169"/>
        <v>6.0344827586206886</v>
      </c>
      <c r="AN58" s="1956"/>
      <c r="AO58" s="2169">
        <f t="shared" ref="AO58:AU58" si="206">IF(AO50&gt;$K$61,$K$58,IF(AO50&lt;$K$61,(IF(AO50&lt;0,0,AO50*$N$58))))</f>
        <v>0.86206896551724133</v>
      </c>
      <c r="AP58" s="2176">
        <f t="shared" si="206"/>
        <v>0.45792668379243401</v>
      </c>
      <c r="AQ58" s="2176">
        <f t="shared" si="206"/>
        <v>0.86206896551724133</v>
      </c>
      <c r="AR58" s="2176">
        <f t="shared" si="206"/>
        <v>0.86206896551724133</v>
      </c>
      <c r="AS58" s="2176">
        <f t="shared" si="206"/>
        <v>0.86206896551724133</v>
      </c>
      <c r="AT58" s="2176">
        <f t="shared" si="206"/>
        <v>0.86206896551724133</v>
      </c>
      <c r="AU58" s="2176">
        <f t="shared" si="206"/>
        <v>0.86206896551724133</v>
      </c>
      <c r="AV58" s="1951"/>
      <c r="AW58" s="2169">
        <f t="shared" si="171"/>
        <v>5.6303404768958814</v>
      </c>
      <c r="AX58" s="2176">
        <f>$K$58*0</f>
        <v>0</v>
      </c>
      <c r="AY58" s="2171">
        <f t="shared" si="172"/>
        <v>5.6303404768958814</v>
      </c>
      <c r="AZ58" s="1951"/>
      <c r="BA58" s="2169">
        <f t="shared" ref="BA58:BF58" si="207">IF(BA50&gt;$K$61,$K$58,IF(BA50&lt;$K$61,(IF(BA50&lt;0,0,BA50*$N$58))))</f>
        <v>0.86206896551724133</v>
      </c>
      <c r="BB58" s="2176">
        <f t="shared" si="207"/>
        <v>0.86206896551724133</v>
      </c>
      <c r="BC58" s="2176">
        <f t="shared" si="207"/>
        <v>0.86206896551724133</v>
      </c>
      <c r="BD58" s="2176">
        <f t="shared" si="207"/>
        <v>0.86206896551724133</v>
      </c>
      <c r="BE58" s="2176">
        <f t="shared" si="207"/>
        <v>0.86206896551724133</v>
      </c>
      <c r="BF58" s="2176">
        <f t="shared" si="207"/>
        <v>0.86206896551724133</v>
      </c>
      <c r="BG58" s="2171">
        <f t="shared" ref="BG58" si="208">IF(BG50&gt;$K$61,$K$58,IF(BG50&lt;$K$61,(IF(BG50&lt;0,0,BG50*$N$58))))</f>
        <v>0.86206896551724133</v>
      </c>
      <c r="BH58" s="1951"/>
      <c r="BI58" s="2169">
        <f t="shared" si="175"/>
        <v>6.0344827586206886</v>
      </c>
      <c r="BJ58" s="2176">
        <f>$K$58*0</f>
        <v>0</v>
      </c>
      <c r="BK58" s="2171">
        <f t="shared" si="176"/>
        <v>6.0344827586206886</v>
      </c>
      <c r="BL58" s="1951"/>
      <c r="BM58" s="2169">
        <f t="shared" ref="BM58:BN58" si="209">IF(BM50&gt;$K$61,$K$58,IF(BM50&lt;$K$61,(IF(BM50&lt;0,0,BM50*$N$58))))</f>
        <v>0.86206896551724133</v>
      </c>
      <c r="BN58" s="2171">
        <f t="shared" si="209"/>
        <v>0.86206896551724133</v>
      </c>
      <c r="BO58" s="1951"/>
      <c r="BP58" s="2169">
        <f t="shared" si="164"/>
        <v>1.7241379310344827</v>
      </c>
      <c r="BQ58" s="2176">
        <f>$K$58*0</f>
        <v>0</v>
      </c>
      <c r="BR58" s="2171">
        <f t="shared" si="178"/>
        <v>1.7241379310344827</v>
      </c>
      <c r="BT58" s="2179"/>
      <c r="BU58" s="2180"/>
      <c r="BV58" s="1900"/>
      <c r="BW58" s="2179">
        <f t="shared" si="165"/>
        <v>23.733788752757949</v>
      </c>
      <c r="BX58" s="2181">
        <f t="shared" si="166"/>
        <v>0.94935155011031791</v>
      </c>
      <c r="BY58" s="2353"/>
      <c r="BZ58" s="4636"/>
      <c r="CB58" s="4627"/>
      <c r="CC58" s="3248"/>
      <c r="CD58" s="3248"/>
      <c r="CE58" s="1946"/>
      <c r="CF58" s="1946"/>
      <c r="CG58" s="1946"/>
      <c r="CH58" s="1946"/>
      <c r="CI58" s="1946"/>
      <c r="CJ58" s="1946"/>
      <c r="CK58" s="1946"/>
    </row>
    <row r="59" spans="1:89" s="1726" customFormat="1" x14ac:dyDescent="0.2">
      <c r="B59" s="2085">
        <v>45</v>
      </c>
      <c r="C59" s="2108" t="s">
        <v>119</v>
      </c>
      <c r="D59" s="2051"/>
      <c r="E59" s="2110">
        <v>4</v>
      </c>
      <c r="F59" s="2111">
        <f t="shared" si="179"/>
        <v>0.4</v>
      </c>
      <c r="G59" s="2111">
        <f t="shared" si="180"/>
        <v>0.26666666666666666</v>
      </c>
      <c r="H59" s="2111">
        <f t="shared" si="181"/>
        <v>0.2</v>
      </c>
      <c r="I59" s="2111">
        <f t="shared" si="182"/>
        <v>0.16</v>
      </c>
      <c r="J59" s="2111"/>
      <c r="K59" s="2111">
        <f t="shared" si="157"/>
        <v>0.13793103448275862</v>
      </c>
      <c r="L59" s="4125"/>
      <c r="M59" s="4125"/>
      <c r="N59" s="2112">
        <f t="shared" si="158"/>
        <v>1.188707280832095E-2</v>
      </c>
      <c r="O59" s="1931"/>
      <c r="P59" s="1924"/>
      <c r="Q59" s="2090">
        <f>IF(Q50&gt;$K$61,$K$59,IF(Q50&lt;$K$61,(IF(Q50&lt;0,0,Q50*$N$59))))</f>
        <v>0.13793103448275862</v>
      </c>
      <c r="R59" s="2088">
        <f>IF(R50&gt;$K$61,$K$59,IF(R50&lt;$K$61,(IF(R50&lt;0,0,R50*$N$59))))</f>
        <v>0.13793103448275862</v>
      </c>
      <c r="S59" s="2088">
        <f>IF(S50&gt;$K$61,$K$59,IF(S50&lt;$K$61,(IF(S50&lt;0,0,S50*$N$59))))</f>
        <v>0.13793103448275862</v>
      </c>
      <c r="T59" s="2088">
        <f>IF(T50&gt;$K$61,$K$59,IF(T50&lt;$K$61,(IF(T50&lt;0,0,T50*$N$59))))</f>
        <v>0.13793103448275862</v>
      </c>
      <c r="U59" s="2088"/>
      <c r="V59" s="2088">
        <f>IF(V50&gt;$K$61,$K$59,IF(V50&lt;$K$61,(IF(V50&lt;0,0,V50*$N$59))))</f>
        <v>0.13793103448275862</v>
      </c>
      <c r="W59" s="2091">
        <f>IF(W50&gt;$K$61,$K$59,IF(W50&lt;$K$61,(IF(W50&lt;0,0,W50*$N$59))))</f>
        <v>0.13793103448275862</v>
      </c>
      <c r="X59" s="3271"/>
      <c r="Y59" s="2090">
        <f>SUM(Q59:W59)</f>
        <v>0.82758620689655182</v>
      </c>
      <c r="Z59" s="2087">
        <f>$K$59*0</f>
        <v>0</v>
      </c>
      <c r="AA59" s="2174">
        <f t="shared" si="194"/>
        <v>0.82758620689655182</v>
      </c>
      <c r="AB59" s="1766"/>
      <c r="AC59" s="2090">
        <f t="shared" ref="AC59:AI59" si="210">IF(AC50&gt;$K$61,$K$59,IF(AC50&lt;$K$61,(IF(AC50&lt;0,0,AC50*$N$59))))</f>
        <v>0.13793103448275862</v>
      </c>
      <c r="AD59" s="2087">
        <f t="shared" si="210"/>
        <v>0.13793103448275862</v>
      </c>
      <c r="AE59" s="2087">
        <f t="shared" si="210"/>
        <v>0.13793103448275862</v>
      </c>
      <c r="AF59" s="2087">
        <f t="shared" si="210"/>
        <v>0.13793103448275862</v>
      </c>
      <c r="AG59" s="2087">
        <f t="shared" si="210"/>
        <v>0.13793103448275862</v>
      </c>
      <c r="AH59" s="2087">
        <f t="shared" si="210"/>
        <v>0.13793103448275862</v>
      </c>
      <c r="AI59" s="2091">
        <f t="shared" si="210"/>
        <v>0.13793103448275862</v>
      </c>
      <c r="AJ59" s="1766"/>
      <c r="AK59" s="2090">
        <f t="shared" si="168"/>
        <v>0.9655172413793105</v>
      </c>
      <c r="AL59" s="2087">
        <f>$K$59*0</f>
        <v>0</v>
      </c>
      <c r="AM59" s="2174">
        <f t="shared" si="169"/>
        <v>0.9655172413793105</v>
      </c>
      <c r="AN59" s="1766"/>
      <c r="AO59" s="2090">
        <f t="shared" ref="AO59:AU59" si="211">IF(AO50&gt;$K$61,$K$59,IF(AO50&lt;$K$61,(IF(AO50&lt;0,0,AO50*$N$59))))</f>
        <v>0.13793103448275862</v>
      </c>
      <c r="AP59" s="2088">
        <f t="shared" si="211"/>
        <v>7.3268269406789432E-2</v>
      </c>
      <c r="AQ59" s="2088">
        <f t="shared" si="211"/>
        <v>0.13793103448275862</v>
      </c>
      <c r="AR59" s="2088">
        <f t="shared" si="211"/>
        <v>0.13793103448275862</v>
      </c>
      <c r="AS59" s="2088">
        <f t="shared" si="211"/>
        <v>0.13793103448275862</v>
      </c>
      <c r="AT59" s="2088">
        <f t="shared" si="211"/>
        <v>0.13793103448275862</v>
      </c>
      <c r="AU59" s="2088">
        <f t="shared" si="211"/>
        <v>0.13793103448275862</v>
      </c>
      <c r="AV59" s="3271"/>
      <c r="AW59" s="2090">
        <f t="shared" si="171"/>
        <v>0.90085447630334126</v>
      </c>
      <c r="AX59" s="2087">
        <f>$K$59*0</f>
        <v>0</v>
      </c>
      <c r="AY59" s="2174">
        <f t="shared" si="172"/>
        <v>0.90085447630334126</v>
      </c>
      <c r="AZ59" s="3271"/>
      <c r="BA59" s="2090">
        <f t="shared" ref="BA59:BF59" si="212">IF(BA50&gt;$K$61,$K$59,IF(BA50&lt;$K$61,(IF(BA50&lt;0,0,BA50*$N$59))))</f>
        <v>0.13793103448275862</v>
      </c>
      <c r="BB59" s="2088">
        <f t="shared" si="212"/>
        <v>0.13793103448275862</v>
      </c>
      <c r="BC59" s="2088">
        <f t="shared" si="212"/>
        <v>0.13793103448275862</v>
      </c>
      <c r="BD59" s="2088">
        <f t="shared" si="212"/>
        <v>0.13793103448275862</v>
      </c>
      <c r="BE59" s="2088">
        <f t="shared" si="212"/>
        <v>0.13793103448275862</v>
      </c>
      <c r="BF59" s="2088">
        <f t="shared" si="212"/>
        <v>0.13793103448275862</v>
      </c>
      <c r="BG59" s="2091">
        <f t="shared" ref="BG59" si="213">IF(BG50&gt;$K$61,$K$59,IF(BG50&lt;$K$61,(IF(BG50&lt;0,0,BG50*$N$59))))</f>
        <v>0.13793103448275862</v>
      </c>
      <c r="BH59" s="3271"/>
      <c r="BI59" s="2090">
        <f t="shared" si="175"/>
        <v>0.9655172413793105</v>
      </c>
      <c r="BJ59" s="2087">
        <f>$K$59*0</f>
        <v>0</v>
      </c>
      <c r="BK59" s="2174">
        <f t="shared" si="176"/>
        <v>0.9655172413793105</v>
      </c>
      <c r="BL59" s="3271"/>
      <c r="BM59" s="2090">
        <f t="shared" ref="BM59:BN59" si="214">IF(BM50&gt;$K$61,$K$59,IF(BM50&lt;$K$61,(IF(BM50&lt;0,0,BM50*$N$59))))</f>
        <v>0.13793103448275862</v>
      </c>
      <c r="BN59" s="2091">
        <f t="shared" si="214"/>
        <v>0.13793103448275862</v>
      </c>
      <c r="BO59" s="3271"/>
      <c r="BP59" s="2090">
        <f t="shared" si="164"/>
        <v>0.27586206896551724</v>
      </c>
      <c r="BQ59" s="2087">
        <f>$K$59*0</f>
        <v>0</v>
      </c>
      <c r="BR59" s="2174">
        <f t="shared" si="178"/>
        <v>0.27586206896551724</v>
      </c>
      <c r="BT59" s="2092"/>
      <c r="BU59" s="2093"/>
      <c r="BV59" s="1740"/>
      <c r="BW59" s="2092">
        <f t="shared" si="165"/>
        <v>3.7974062004412725</v>
      </c>
      <c r="BX59" s="2094">
        <f t="shared" si="166"/>
        <v>0.94935155011031813</v>
      </c>
      <c r="BY59" s="2351"/>
      <c r="BZ59" s="4636"/>
      <c r="CB59" s="4627"/>
      <c r="CC59" s="3257"/>
      <c r="CD59" s="1860"/>
      <c r="CE59" s="1860"/>
      <c r="CF59" s="1860"/>
      <c r="CG59" s="1860"/>
      <c r="CH59" s="1860"/>
      <c r="CI59" s="1860"/>
      <c r="CJ59" s="1860"/>
      <c r="CK59" s="1860"/>
    </row>
    <row r="60" spans="1:89" s="1885" customFormat="1" ht="17.25" thickBot="1" x14ac:dyDescent="0.25">
      <c r="B60" s="2420">
        <v>46</v>
      </c>
      <c r="C60" s="2417" t="s">
        <v>237</v>
      </c>
      <c r="D60" s="2680"/>
      <c r="E60" s="2681">
        <v>0</v>
      </c>
      <c r="F60" s="2418">
        <f t="shared" si="179"/>
        <v>0</v>
      </c>
      <c r="G60" s="2418">
        <f t="shared" si="180"/>
        <v>0</v>
      </c>
      <c r="H60" s="2418">
        <f t="shared" si="181"/>
        <v>0</v>
      </c>
      <c r="I60" s="2418">
        <f t="shared" si="182"/>
        <v>0</v>
      </c>
      <c r="J60" s="2418"/>
      <c r="K60" s="2418">
        <f t="shared" si="157"/>
        <v>0</v>
      </c>
      <c r="L60" s="4126"/>
      <c r="M60" s="4126"/>
      <c r="N60" s="2419">
        <f t="shared" si="158"/>
        <v>0</v>
      </c>
      <c r="O60" s="2003"/>
      <c r="P60" s="1950"/>
      <c r="Q60" s="2179">
        <f>IF(Q50&gt;$K$61,$K$60,IF(Q50&lt;$K$61,(IF(Q50&lt;0,0,Q50*$N$60))))</f>
        <v>0</v>
      </c>
      <c r="R60" s="2418">
        <f>IF(R50&gt;$K$61,$K$60,IF(R50&lt;$K$61,(IF(R50&lt;0,0,R50*$N$60))))</f>
        <v>0</v>
      </c>
      <c r="S60" s="2418">
        <f>IF(S50&gt;$K$61,$K$60,IF(S50&lt;$K$61,(IF(S50&lt;0,0,S50*$N$60))))</f>
        <v>0</v>
      </c>
      <c r="T60" s="2418">
        <f>IF(T50&gt;$K$61,$K$60,IF(T50&lt;$K$61,(IF(T50&lt;0,0,T50*$N$60))))</f>
        <v>0</v>
      </c>
      <c r="U60" s="2418"/>
      <c r="V60" s="2418">
        <f>IF(V50&gt;$K$61,$K$60,IF(V50&lt;$K$61,(IF(V50&lt;0,0,V50*$N$60))))</f>
        <v>0</v>
      </c>
      <c r="W60" s="2683">
        <f>IF(W50&gt;$K$61,$K$60,IF(W50&lt;$K$61,(IF(W50&lt;0,0,W50*$N$60))))</f>
        <v>0</v>
      </c>
      <c r="X60" s="1951"/>
      <c r="Y60" s="2179">
        <f t="shared" ref="Y60:Y72" si="215">SUM(Q60:W60)</f>
        <v>0</v>
      </c>
      <c r="Z60" s="2681">
        <f>$K$60*0</f>
        <v>0</v>
      </c>
      <c r="AA60" s="2684">
        <f t="shared" si="194"/>
        <v>0</v>
      </c>
      <c r="AB60" s="1956"/>
      <c r="AC60" s="2179">
        <f t="shared" ref="AC60:AI60" si="216">IF(AC50&gt;$K$61,$K$60,IF(AC50&lt;$K$61,(IF(AC50&lt;0,0,AC50*$N$60))))</f>
        <v>0</v>
      </c>
      <c r="AD60" s="2681">
        <f t="shared" si="216"/>
        <v>0</v>
      </c>
      <c r="AE60" s="2681">
        <f t="shared" si="216"/>
        <v>0</v>
      </c>
      <c r="AF60" s="2681">
        <f t="shared" si="216"/>
        <v>0</v>
      </c>
      <c r="AG60" s="2681">
        <f t="shared" si="216"/>
        <v>0</v>
      </c>
      <c r="AH60" s="2681">
        <f t="shared" si="216"/>
        <v>0</v>
      </c>
      <c r="AI60" s="2683">
        <f t="shared" si="216"/>
        <v>0</v>
      </c>
      <c r="AJ60" s="1956"/>
      <c r="AK60" s="2179">
        <f t="shared" si="168"/>
        <v>0</v>
      </c>
      <c r="AL60" s="2681">
        <f>$K$60*0</f>
        <v>0</v>
      </c>
      <c r="AM60" s="2684">
        <f t="shared" si="169"/>
        <v>0</v>
      </c>
      <c r="AN60" s="1956"/>
      <c r="AO60" s="2179">
        <f t="shared" ref="AO60:AU60" si="217">IF(AO50&gt;$K$61,$K$60,IF(AO50&lt;$K$61,(IF(AO50&lt;0,0,AO50*$N$60))))</f>
        <v>0</v>
      </c>
      <c r="AP60" s="2418">
        <f t="shared" si="217"/>
        <v>0</v>
      </c>
      <c r="AQ60" s="2418">
        <f t="shared" si="217"/>
        <v>0</v>
      </c>
      <c r="AR60" s="2418">
        <f t="shared" si="217"/>
        <v>0</v>
      </c>
      <c r="AS60" s="2418">
        <f t="shared" si="217"/>
        <v>0</v>
      </c>
      <c r="AT60" s="2418">
        <f t="shared" si="217"/>
        <v>0</v>
      </c>
      <c r="AU60" s="2418">
        <f t="shared" si="217"/>
        <v>0</v>
      </c>
      <c r="AV60" s="1951"/>
      <c r="AW60" s="2169">
        <f t="shared" si="171"/>
        <v>0</v>
      </c>
      <c r="AX60" s="2170">
        <f>$K$60*0</f>
        <v>0</v>
      </c>
      <c r="AY60" s="2178">
        <f t="shared" si="172"/>
        <v>0</v>
      </c>
      <c r="AZ60" s="1951"/>
      <c r="BA60" s="2179">
        <f t="shared" ref="BA60:BF60" si="218">IF(BA50&gt;$K$61,$K$60,IF(BA50&lt;$K$61,(IF(BA50&lt;0,0,BA50*$N$60))))</f>
        <v>0</v>
      </c>
      <c r="BB60" s="2418">
        <f t="shared" si="218"/>
        <v>0</v>
      </c>
      <c r="BC60" s="2418">
        <f t="shared" si="218"/>
        <v>0</v>
      </c>
      <c r="BD60" s="2418">
        <f t="shared" si="218"/>
        <v>0</v>
      </c>
      <c r="BE60" s="2308">
        <f t="shared" si="218"/>
        <v>0</v>
      </c>
      <c r="BF60" s="2308">
        <f t="shared" si="218"/>
        <v>0</v>
      </c>
      <c r="BG60" s="2309">
        <f t="shared" ref="BG60" si="219">IF(BG50&gt;$K$61,$K$60,IF(BG50&lt;$K$61,(IF(BG50&lt;0,0,BG50*$N$60))))</f>
        <v>0</v>
      </c>
      <c r="BH60" s="1951"/>
      <c r="BI60" s="2169">
        <f t="shared" si="175"/>
        <v>0</v>
      </c>
      <c r="BJ60" s="2170">
        <f>$K$60*0</f>
        <v>0</v>
      </c>
      <c r="BK60" s="2178">
        <f t="shared" si="176"/>
        <v>0</v>
      </c>
      <c r="BL60" s="1951"/>
      <c r="BM60" s="2187">
        <f t="shared" ref="BM60:BN60" si="220">IF(BM50&gt;$K$61,$K$60,IF(BM50&lt;$K$61,(IF(BM50&lt;0,0,BM50*$N$60))))</f>
        <v>0</v>
      </c>
      <c r="BN60" s="2309">
        <f t="shared" si="220"/>
        <v>0</v>
      </c>
      <c r="BO60" s="1951"/>
      <c r="BP60" s="2179">
        <f t="shared" si="164"/>
        <v>0</v>
      </c>
      <c r="BQ60" s="2681">
        <f>$K$60*0</f>
        <v>0</v>
      </c>
      <c r="BR60" s="2684">
        <f t="shared" si="178"/>
        <v>0</v>
      </c>
      <c r="BT60" s="2179"/>
      <c r="BU60" s="2180"/>
      <c r="BV60" s="1900"/>
      <c r="BW60" s="2179">
        <f t="shared" si="165"/>
        <v>0</v>
      </c>
      <c r="BX60" s="2181" t="e">
        <f t="shared" si="166"/>
        <v>#DIV/0!</v>
      </c>
      <c r="BY60" s="2353"/>
      <c r="BZ60" s="4636"/>
      <c r="CB60" s="4627"/>
      <c r="CC60" s="3248"/>
      <c r="CD60" s="1946"/>
      <c r="CE60" s="1946"/>
      <c r="CF60" s="1946"/>
      <c r="CG60" s="1946"/>
      <c r="CH60" s="1946"/>
      <c r="CI60" s="1946"/>
      <c r="CJ60" s="1946"/>
      <c r="CK60" s="1946"/>
    </row>
    <row r="61" spans="1:89" s="1726" customFormat="1" ht="17.25" thickBot="1" x14ac:dyDescent="0.25">
      <c r="B61" s="2049"/>
      <c r="C61" s="2190" t="s">
        <v>192</v>
      </c>
      <c r="D61" s="2051"/>
      <c r="E61" s="2056">
        <f>SUM(E52:E60)</f>
        <v>336.5</v>
      </c>
      <c r="F61" s="2053"/>
      <c r="G61" s="2053"/>
      <c r="H61" s="2053"/>
      <c r="I61" s="2053"/>
      <c r="J61" s="2053"/>
      <c r="K61" s="2053">
        <f t="shared" ref="K61:N61" si="221">SUM(K52:K60)</f>
        <v>11.603448275862071</v>
      </c>
      <c r="L61" s="4127"/>
      <c r="M61" s="4127"/>
      <c r="N61" s="2191">
        <f t="shared" si="221"/>
        <v>1</v>
      </c>
      <c r="O61" s="1931"/>
      <c r="P61" s="1924"/>
      <c r="Q61" s="3532">
        <f t="shared" ref="Q61:R61" si="222">SUM(Q52:Q60)</f>
        <v>11.603448275862071</v>
      </c>
      <c r="R61" s="3533">
        <f t="shared" si="222"/>
        <v>11.603448275862071</v>
      </c>
      <c r="S61" s="3533">
        <f t="shared" ref="S61:T61" si="223">SUM(S52:S60)</f>
        <v>11.603448275862071</v>
      </c>
      <c r="T61" s="3533">
        <f t="shared" si="223"/>
        <v>11.603448275862071</v>
      </c>
      <c r="U61" s="3533"/>
      <c r="V61" s="3533">
        <f t="shared" ref="V61:W61" si="224">SUM(V52:V60)</f>
        <v>11.603448275862071</v>
      </c>
      <c r="W61" s="3534">
        <f t="shared" si="224"/>
        <v>11.603448275862071</v>
      </c>
      <c r="X61" s="3271"/>
      <c r="Y61" s="2056">
        <f>SUM(Y52:Y60)</f>
        <v>69.620689655172427</v>
      </c>
      <c r="Z61" s="2052">
        <f t="shared" ref="Z61" si="225">SUM(Z52:Z60)</f>
        <v>0</v>
      </c>
      <c r="AA61" s="2192">
        <f>SUM(AA52:AA60)</f>
        <v>69.620689655172427</v>
      </c>
      <c r="AB61" s="1766"/>
      <c r="AC61" s="2056">
        <f t="shared" ref="AC61:AD61" si="226">SUM(AC52:AC60)</f>
        <v>11.603448275862071</v>
      </c>
      <c r="AD61" s="2052">
        <f t="shared" si="226"/>
        <v>11.603448275862071</v>
      </c>
      <c r="AE61" s="2052">
        <f t="shared" ref="AE61:AF61" si="227">SUM(AE52:AE60)</f>
        <v>11.603448275862071</v>
      </c>
      <c r="AF61" s="2052">
        <f t="shared" si="227"/>
        <v>11.603448275862071</v>
      </c>
      <c r="AG61" s="2052">
        <f t="shared" ref="AG61:AH61" si="228">SUM(AG52:AG60)</f>
        <v>11.603448275862071</v>
      </c>
      <c r="AH61" s="2052">
        <f t="shared" si="228"/>
        <v>11.603448275862071</v>
      </c>
      <c r="AI61" s="2057">
        <f t="shared" ref="AI61" si="229">SUM(AI52:AI60)</f>
        <v>11.603448275862071</v>
      </c>
      <c r="AJ61" s="1766"/>
      <c r="AK61" s="2056">
        <f>SUM(AK52:AK60)</f>
        <v>81.224137931034491</v>
      </c>
      <c r="AL61" s="2052">
        <f>SUM(AL52:AL60)</f>
        <v>0</v>
      </c>
      <c r="AM61" s="2192">
        <f>SUM(AM52:AM60)</f>
        <v>81.224137931034491</v>
      </c>
      <c r="AN61" s="1766"/>
      <c r="AO61" s="2056">
        <f t="shared" ref="AO61:AP61" si="230">SUM(AO52:AO60)</f>
        <v>11.603448275862071</v>
      </c>
      <c r="AP61" s="2053">
        <f t="shared" si="230"/>
        <v>6.1636931638461618</v>
      </c>
      <c r="AQ61" s="2053">
        <f t="shared" ref="AQ61:AS61" si="231">SUM(AQ52:AQ60)</f>
        <v>11.603448275862071</v>
      </c>
      <c r="AR61" s="2053">
        <f t="shared" si="231"/>
        <v>11.603448275862071</v>
      </c>
      <c r="AS61" s="2053">
        <f t="shared" si="231"/>
        <v>11.603448275862071</v>
      </c>
      <c r="AT61" s="2053">
        <f t="shared" ref="AT61:AU61" si="232">SUM(AT52:AT60)</f>
        <v>11.603448275862071</v>
      </c>
      <c r="AU61" s="2053">
        <f t="shared" si="232"/>
        <v>11.603448275862071</v>
      </c>
      <c r="AV61" s="3271"/>
      <c r="AW61" s="2056">
        <f>SUM(AW52:AW60)</f>
        <v>75.784382819018575</v>
      </c>
      <c r="AX61" s="2052">
        <f>SUM(AX52:AX60)</f>
        <v>0</v>
      </c>
      <c r="AY61" s="2192">
        <f>SUM(AY52:AY60)</f>
        <v>75.784382819018575</v>
      </c>
      <c r="AZ61" s="3271"/>
      <c r="BA61" s="2056">
        <f t="shared" ref="BA61:BB61" si="233">SUM(BA52:BA60)</f>
        <v>11.603448275862071</v>
      </c>
      <c r="BB61" s="2053">
        <f t="shared" si="233"/>
        <v>11.603448275862071</v>
      </c>
      <c r="BC61" s="2053">
        <f t="shared" ref="BC61:BE61" si="234">SUM(BC52:BC60)</f>
        <v>11.603448275862071</v>
      </c>
      <c r="BD61" s="2053">
        <f t="shared" si="234"/>
        <v>11.603448275862071</v>
      </c>
      <c r="BE61" s="2053">
        <f t="shared" si="234"/>
        <v>11.603448275862071</v>
      </c>
      <c r="BF61" s="2053">
        <f t="shared" ref="BF61" si="235">SUM(BF52:BF60)</f>
        <v>11.603448275862071</v>
      </c>
      <c r="BG61" s="2057">
        <f t="shared" ref="BG61" si="236">SUM(BG52:BG60)</f>
        <v>11.603448275862071</v>
      </c>
      <c r="BH61" s="3271"/>
      <c r="BI61" s="2056">
        <f>SUM(BI52:BI60)</f>
        <v>81.224137931034491</v>
      </c>
      <c r="BJ61" s="2052">
        <f>SUM(BJ52:BJ60)</f>
        <v>0</v>
      </c>
      <c r="BK61" s="2192">
        <f>SUM(BK52:BK60)</f>
        <v>81.224137931034491</v>
      </c>
      <c r="BL61" s="3271"/>
      <c r="BM61" s="2056">
        <f t="shared" ref="BM61:BN61" si="237">SUM(BM52:BM60)</f>
        <v>11.603448275862071</v>
      </c>
      <c r="BN61" s="2057">
        <f t="shared" si="237"/>
        <v>11.603448275862071</v>
      </c>
      <c r="BO61" s="3271"/>
      <c r="BP61" s="2056">
        <f>SUM(BP52:BP60)</f>
        <v>23.206896551724142</v>
      </c>
      <c r="BQ61" s="2052">
        <f>SUM(BQ52:BQ60)</f>
        <v>0</v>
      </c>
      <c r="BR61" s="2192">
        <f>SUM(BR52:BR60)</f>
        <v>23.206896551724142</v>
      </c>
      <c r="BT61" s="2056">
        <f>AA61+AM61+AY61</f>
        <v>226.62921040522548</v>
      </c>
      <c r="BU61" s="2253"/>
      <c r="BV61" s="1740"/>
      <c r="BW61" s="2056">
        <f>SUM(BW52:BW60)</f>
        <v>319.45679661212205</v>
      </c>
      <c r="BX61" s="2054">
        <f t="shared" si="166"/>
        <v>0.94935155011031813</v>
      </c>
      <c r="BY61" s="2351"/>
      <c r="BZ61" s="4637"/>
      <c r="CB61" s="4627"/>
      <c r="CC61" s="3257"/>
      <c r="CD61" s="1860"/>
      <c r="CE61" s="1860"/>
      <c r="CF61" s="1860"/>
      <c r="CG61" s="1860"/>
      <c r="CH61" s="1860"/>
      <c r="CI61" s="1860"/>
      <c r="CJ61" s="1860"/>
      <c r="CK61" s="1860"/>
    </row>
    <row r="62" spans="1:89" s="1810" customFormat="1" ht="4.5" customHeight="1" thickBot="1" x14ac:dyDescent="0.25">
      <c r="B62" s="1817"/>
      <c r="C62" s="1817"/>
      <c r="D62" s="1817"/>
      <c r="E62" s="3271"/>
      <c r="F62" s="3271"/>
      <c r="G62" s="3271"/>
      <c r="H62" s="3271"/>
      <c r="I62" s="3271"/>
      <c r="J62" s="4117"/>
      <c r="K62" s="3271"/>
      <c r="L62" s="4117"/>
      <c r="M62" s="4117"/>
      <c r="N62" s="2131"/>
      <c r="O62" s="1924"/>
      <c r="P62" s="1924"/>
      <c r="Q62" s="3529"/>
      <c r="R62" s="3529"/>
      <c r="S62" s="3529"/>
      <c r="T62" s="3529"/>
      <c r="U62" s="3529"/>
      <c r="V62" s="3529"/>
      <c r="W62" s="3529"/>
      <c r="X62" s="3271"/>
      <c r="Y62" s="3271"/>
      <c r="Z62" s="3271"/>
      <c r="AA62" s="3271"/>
      <c r="AB62" s="1766"/>
      <c r="AC62" s="3250"/>
      <c r="AD62" s="3250"/>
      <c r="AE62" s="4059"/>
      <c r="AF62" s="4064"/>
      <c r="AG62" s="4069"/>
      <c r="AH62" s="4074"/>
      <c r="AI62" s="3250"/>
      <c r="AJ62" s="1766"/>
      <c r="AK62" s="3271"/>
      <c r="AL62" s="3271"/>
      <c r="AM62" s="3271"/>
      <c r="AN62" s="1766"/>
      <c r="AO62" s="3250"/>
      <c r="AP62" s="3250"/>
      <c r="AQ62" s="4083"/>
      <c r="AR62" s="4087"/>
      <c r="AS62" s="4087"/>
      <c r="AT62" s="4091"/>
      <c r="AU62" s="3250"/>
      <c r="AV62" s="3271"/>
      <c r="AW62" s="2137"/>
      <c r="AX62" s="2137"/>
      <c r="AY62" s="2137"/>
      <c r="AZ62" s="3271"/>
      <c r="BA62" s="3250"/>
      <c r="BB62" s="3250"/>
      <c r="BC62" s="4107"/>
      <c r="BD62" s="4111"/>
      <c r="BE62" s="3260"/>
      <c r="BF62" s="3260"/>
      <c r="BG62" s="3260"/>
      <c r="BH62" s="3271"/>
      <c r="BI62" s="2137"/>
      <c r="BJ62" s="2137"/>
      <c r="BK62" s="2137"/>
      <c r="BL62" s="3271"/>
      <c r="BM62" s="3250"/>
      <c r="BN62" s="3250"/>
      <c r="BO62" s="3271"/>
      <c r="BP62" s="3271"/>
      <c r="BQ62" s="3271"/>
      <c r="BR62" s="3271"/>
      <c r="BT62" s="3271"/>
      <c r="BU62" s="2132"/>
      <c r="BV62" s="1817"/>
      <c r="BW62" s="3271"/>
      <c r="BX62" s="1830"/>
      <c r="BY62" s="1830"/>
      <c r="BZ62" s="2115"/>
      <c r="CC62" s="1761"/>
    </row>
    <row r="63" spans="1:89" s="1906" customFormat="1" ht="17.25" thickBot="1" x14ac:dyDescent="0.25">
      <c r="B63" s="1960"/>
      <c r="C63" s="1960" t="s">
        <v>143</v>
      </c>
      <c r="D63" s="1960"/>
      <c r="E63" s="2687"/>
      <c r="F63" s="1951"/>
      <c r="G63" s="1951"/>
      <c r="H63" s="1951"/>
      <c r="I63" s="1951"/>
      <c r="J63" s="1951"/>
      <c r="K63" s="1951"/>
      <c r="L63" s="1951"/>
      <c r="M63" s="1951"/>
      <c r="N63" s="2339"/>
      <c r="O63" s="2003"/>
      <c r="P63" s="1950"/>
      <c r="Q63" s="3535">
        <f>Q50-Q61</f>
        <v>29.250244887984095</v>
      </c>
      <c r="R63" s="3536">
        <f>R50-R61</f>
        <v>47.958244887984094</v>
      </c>
      <c r="S63" s="3536">
        <f>S50-S61</f>
        <v>48.545244887984097</v>
      </c>
      <c r="T63" s="3536">
        <f>T50-T61</f>
        <v>43.788244887984092</v>
      </c>
      <c r="U63" s="3536"/>
      <c r="V63" s="3536">
        <f>V50-V61</f>
        <v>69.410744887984094</v>
      </c>
      <c r="W63" s="3537">
        <f>W50-W61</f>
        <v>52.619244887984102</v>
      </c>
      <c r="X63" s="1951"/>
      <c r="Y63" s="1951"/>
      <c r="Z63" s="1951"/>
      <c r="AA63" s="1951"/>
      <c r="AB63" s="1956"/>
      <c r="AC63" s="2120">
        <f t="shared" ref="AC63:AH63" si="238">AC50-AC61</f>
        <v>21.545244887984097</v>
      </c>
      <c r="AD63" s="2123">
        <f t="shared" si="238"/>
        <v>52.494244887984102</v>
      </c>
      <c r="AE63" s="2123">
        <f t="shared" si="238"/>
        <v>41.175244887984093</v>
      </c>
      <c r="AF63" s="2123">
        <f t="shared" si="238"/>
        <v>24.841244887984089</v>
      </c>
      <c r="AG63" s="2123">
        <f t="shared" si="238"/>
        <v>48.271044304137938</v>
      </c>
      <c r="AH63" s="2123">
        <f t="shared" si="238"/>
        <v>42.24024488798409</v>
      </c>
      <c r="AI63" s="2124">
        <f t="shared" ref="AI63" si="239">AI50-AI61</f>
        <v>19.505244887984091</v>
      </c>
      <c r="AJ63" s="1956"/>
      <c r="AK63" s="1951"/>
      <c r="AL63" s="1951"/>
      <c r="AM63" s="1951"/>
      <c r="AN63" s="1956"/>
      <c r="AO63" s="2120">
        <f t="shared" ref="AO63:AP63" si="240">AO50-AO61</f>
        <v>51.711744887984096</v>
      </c>
      <c r="AP63" s="2123">
        <f t="shared" si="240"/>
        <v>0</v>
      </c>
      <c r="AQ63" s="2123">
        <f t="shared" ref="AQ63:AS63" si="241">AQ50-AQ61</f>
        <v>9.5092448879840958</v>
      </c>
      <c r="AR63" s="2123">
        <f t="shared" si="241"/>
        <v>36.027744887984085</v>
      </c>
      <c r="AS63" s="2123">
        <f t="shared" si="241"/>
        <v>19.506544304137936</v>
      </c>
      <c r="AT63" s="2123">
        <f t="shared" ref="AT63:AU63" si="242">AT50-AT61</f>
        <v>49.681744887984095</v>
      </c>
      <c r="AU63" s="2123">
        <f t="shared" si="242"/>
        <v>31.85624488798409</v>
      </c>
      <c r="AV63" s="1951"/>
      <c r="AW63" s="1951"/>
      <c r="AX63" s="1951"/>
      <c r="AY63" s="1951"/>
      <c r="AZ63" s="1951"/>
      <c r="BA63" s="2120">
        <f t="shared" ref="BA63:BB63" si="243">BA50-BA61</f>
        <v>20.260244887984086</v>
      </c>
      <c r="BB63" s="2123">
        <f t="shared" si="243"/>
        <v>11.941244887984084</v>
      </c>
      <c r="BC63" s="2123">
        <f t="shared" ref="BC63:BE63" si="244">BC50-BC61</f>
        <v>9.6367448879840936</v>
      </c>
      <c r="BD63" s="2123">
        <f t="shared" si="244"/>
        <v>31.450244887984084</v>
      </c>
      <c r="BE63" s="2121">
        <f t="shared" si="244"/>
        <v>41.746044304137932</v>
      </c>
      <c r="BF63" s="2121">
        <f t="shared" ref="BF63" si="245">BF50-BF61</f>
        <v>42.839744887984097</v>
      </c>
      <c r="BG63" s="2124">
        <f t="shared" ref="BG63" si="246">BG50-BG61</f>
        <v>11.975744887984092</v>
      </c>
      <c r="BH63" s="1951"/>
      <c r="BI63" s="1951"/>
      <c r="BJ63" s="1951"/>
      <c r="BK63" s="1951"/>
      <c r="BL63" s="1951"/>
      <c r="BM63" s="2120">
        <f t="shared" ref="BM63:BN63" si="247">BM50-BM61</f>
        <v>22.006744887984084</v>
      </c>
      <c r="BN63" s="2124">
        <f t="shared" si="247"/>
        <v>8.7722448879840869</v>
      </c>
      <c r="BO63" s="1951"/>
      <c r="BP63" s="1951"/>
      <c r="BQ63" s="1951"/>
      <c r="BR63" s="1951"/>
      <c r="BT63" s="2007"/>
      <c r="BU63" s="2688"/>
      <c r="BV63" s="1960"/>
      <c r="BW63" s="2007"/>
      <c r="BX63" s="2008"/>
      <c r="BY63" s="1962"/>
      <c r="BZ63" s="3248"/>
      <c r="CC63" s="1905"/>
    </row>
    <row r="64" spans="1:89" s="1810" customFormat="1" ht="4.5" customHeight="1" thickBot="1" x14ac:dyDescent="0.25">
      <c r="B64" s="1817"/>
      <c r="C64" s="1817"/>
      <c r="D64" s="1817"/>
      <c r="E64" s="3271"/>
      <c r="F64" s="3271"/>
      <c r="G64" s="3271"/>
      <c r="H64" s="3271"/>
      <c r="I64" s="3271"/>
      <c r="J64" s="4117"/>
      <c r="K64" s="3271"/>
      <c r="L64" s="4117"/>
      <c r="M64" s="4117"/>
      <c r="N64" s="2131"/>
      <c r="O64" s="1924"/>
      <c r="P64" s="1924"/>
      <c r="Q64" s="3529"/>
      <c r="R64" s="3529"/>
      <c r="S64" s="3529"/>
      <c r="T64" s="3529"/>
      <c r="U64" s="3529"/>
      <c r="V64" s="3529"/>
      <c r="W64" s="3529"/>
      <c r="X64" s="3271"/>
      <c r="Y64" s="3271"/>
      <c r="Z64" s="3271"/>
      <c r="AA64" s="3271"/>
      <c r="AB64" s="1766"/>
      <c r="AC64" s="3260"/>
      <c r="AD64" s="3260"/>
      <c r="AE64" s="4062"/>
      <c r="AF64" s="4067"/>
      <c r="AG64" s="4072"/>
      <c r="AH64" s="4077"/>
      <c r="AI64" s="3260"/>
      <c r="AJ64" s="1766"/>
      <c r="AK64" s="3271"/>
      <c r="AL64" s="3271"/>
      <c r="AM64" s="3271"/>
      <c r="AN64" s="1766"/>
      <c r="AO64" s="2137"/>
      <c r="AP64" s="2137"/>
      <c r="AQ64" s="2137"/>
      <c r="AR64" s="2137"/>
      <c r="AS64" s="2137"/>
      <c r="AT64" s="2137"/>
      <c r="AU64" s="2137"/>
      <c r="AV64" s="3271"/>
      <c r="AW64" s="3271"/>
      <c r="AX64" s="3271"/>
      <c r="AY64" s="3271"/>
      <c r="AZ64" s="3271"/>
      <c r="BA64" s="2137"/>
      <c r="BB64" s="2137"/>
      <c r="BC64" s="2137"/>
      <c r="BD64" s="2137"/>
      <c r="BE64" s="2137"/>
      <c r="BF64" s="2137"/>
      <c r="BG64" s="2137"/>
      <c r="BH64" s="3271"/>
      <c r="BI64" s="3271"/>
      <c r="BJ64" s="3271"/>
      <c r="BK64" s="3271"/>
      <c r="BL64" s="3271"/>
      <c r="BM64" s="2137"/>
      <c r="BN64" s="2137"/>
      <c r="BO64" s="3271"/>
      <c r="BP64" s="3271"/>
      <c r="BQ64" s="3271"/>
      <c r="BR64" s="3271"/>
      <c r="BT64" s="2137"/>
      <c r="BU64" s="2138"/>
      <c r="BV64" s="1817"/>
      <c r="BW64" s="2137"/>
      <c r="BX64" s="2139"/>
      <c r="BY64" s="1830"/>
      <c r="BZ64" s="2640"/>
      <c r="CC64" s="1761"/>
    </row>
    <row r="65" spans="1:89" s="1740" customFormat="1" ht="15.75" x14ac:dyDescent="0.2">
      <c r="A65" s="2466"/>
      <c r="B65" s="2444">
        <v>47</v>
      </c>
      <c r="C65" s="2281" t="s">
        <v>132</v>
      </c>
      <c r="D65" s="1817"/>
      <c r="E65" s="2067">
        <v>465</v>
      </c>
      <c r="F65" s="2065">
        <f>E65/10</f>
        <v>46.5</v>
      </c>
      <c r="G65" s="2065">
        <f>E65/15</f>
        <v>31</v>
      </c>
      <c r="H65" s="2065">
        <f>E65/20</f>
        <v>23.25</v>
      </c>
      <c r="I65" s="2065">
        <f>E65/25</f>
        <v>18.600000000000001</v>
      </c>
      <c r="J65" s="2065"/>
      <c r="K65" s="2065">
        <f t="shared" ref="K65:K73" si="248">E65/29</f>
        <v>16.03448275862069</v>
      </c>
      <c r="L65" s="4128"/>
      <c r="M65" s="4128"/>
      <c r="N65" s="2066">
        <f t="shared" ref="N65:N73" si="249">E65/$E$74</f>
        <v>0.27944711538461536</v>
      </c>
      <c r="O65" s="2465"/>
      <c r="P65" s="2131"/>
      <c r="Q65" s="2067">
        <f>IF(Q63&gt;$K$74,$K$65,IF(Q63&lt;$K$74,(IF(Q63&lt;0,0,Q63*$N$65))))</f>
        <v>8.173896558240747</v>
      </c>
      <c r="R65" s="2065">
        <f>IF(R63&gt;$K$74,$K$65,IF(R63&lt;$K$74,(IF(R63&lt;0,0,R63*$N$65))))</f>
        <v>13.401793192856131</v>
      </c>
      <c r="S65" s="2065">
        <f>IF(S63&gt;$K$74,$K$65,IF(S63&lt;$K$74,(IF(S63&lt;0,0,S63*$N$65))))</f>
        <v>13.565828649586901</v>
      </c>
      <c r="T65" s="2065">
        <f>IF(T63&gt;$K$74,$K$65,IF(T63&lt;$K$74,(IF(T63&lt;0,0,T63*$N$65))))</f>
        <v>12.236498721702285</v>
      </c>
      <c r="U65" s="2065"/>
      <c r="V65" s="2065">
        <f>IF(V63&gt;$K$74,$K$65,IF(V63&lt;$K$74,(IF(V63&lt;0,0,V63*$N$65))))</f>
        <v>16.03448275862069</v>
      </c>
      <c r="W65" s="2069">
        <f>IF(W63&gt;$K$74,$K$65,IF(W63&lt;$K$74,(IF(W63&lt;0,0,W63*$N$65))))</f>
        <v>14.704296197663826</v>
      </c>
      <c r="X65" s="3271"/>
      <c r="Y65" s="2067">
        <f t="shared" si="215"/>
        <v>78.116796078670575</v>
      </c>
      <c r="Z65" s="2068">
        <f>$K$65*0</f>
        <v>0</v>
      </c>
      <c r="AA65" s="2070">
        <f t="shared" si="194"/>
        <v>78.116796078670575</v>
      </c>
      <c r="AB65" s="3271"/>
      <c r="AC65" s="2090">
        <f t="shared" ref="AC65:AI65" si="250">IF(AC63&gt;$K$74,$K$65,IF(AC63&lt;$K$74,(IF(AC63&lt;0,0,AC63*$N$65))))</f>
        <v>6.0207565342022864</v>
      </c>
      <c r="AD65" s="2087">
        <f t="shared" si="250"/>
        <v>14.669365308240749</v>
      </c>
      <c r="AE65" s="2087">
        <f t="shared" si="250"/>
        <v>11.506303409202285</v>
      </c>
      <c r="AF65" s="2087">
        <f t="shared" si="250"/>
        <v>6.941814226509976</v>
      </c>
      <c r="AG65" s="2087">
        <f t="shared" si="250"/>
        <v>13.489204087394315</v>
      </c>
      <c r="AH65" s="2087">
        <f t="shared" si="250"/>
        <v>11.803914587086899</v>
      </c>
      <c r="AI65" s="2091">
        <f t="shared" si="250"/>
        <v>5.4506844188176693</v>
      </c>
      <c r="AJ65" s="3271"/>
      <c r="AK65" s="2067">
        <f t="shared" si="168"/>
        <v>69.882042571454178</v>
      </c>
      <c r="AL65" s="2068">
        <f>$K$65*0</f>
        <v>0</v>
      </c>
      <c r="AM65" s="2070">
        <f>AK65-AL65</f>
        <v>69.882042571454178</v>
      </c>
      <c r="AN65" s="3271"/>
      <c r="AO65" s="2067">
        <f t="shared" ref="AO65:AU65" si="251">IF(AO63&gt;$K$74,$K$65,IF(AO63&lt;$K$74,(IF(AO63&lt;0,0,AO63*$N$65))))</f>
        <v>14.450697940452285</v>
      </c>
      <c r="AP65" s="2065">
        <f t="shared" si="251"/>
        <v>0</v>
      </c>
      <c r="AQ65" s="2065">
        <f t="shared" si="251"/>
        <v>2.6573310534330554</v>
      </c>
      <c r="AR65" s="2065">
        <f t="shared" si="251"/>
        <v>10.067849382759976</v>
      </c>
      <c r="AS65" s="2065">
        <f t="shared" si="251"/>
        <v>5.4510475369135456</v>
      </c>
      <c r="AT65" s="2065">
        <f t="shared" si="251"/>
        <v>13.883420296221516</v>
      </c>
      <c r="AU65" s="2065">
        <f t="shared" si="251"/>
        <v>8.902135740933053</v>
      </c>
      <c r="AV65" s="3271"/>
      <c r="AW65" s="2067">
        <f>SUM(AO65:AU65)</f>
        <v>55.412481950713435</v>
      </c>
      <c r="AX65" s="2068">
        <f>$K$65*0</f>
        <v>0</v>
      </c>
      <c r="AY65" s="2070">
        <f>AW65-AX65</f>
        <v>55.412481950713435</v>
      </c>
      <c r="AZ65" s="3271"/>
      <c r="BA65" s="2067">
        <f t="shared" ref="BA65:BF65" si="252">IF(BA63&gt;$K$74,$K$65,IF(BA63&lt;$K$74,(IF(BA63&lt;0,0,BA63*$N$65))))</f>
        <v>5.6616669909330524</v>
      </c>
      <c r="BB65" s="2065">
        <f t="shared" si="252"/>
        <v>3.3369464380484368</v>
      </c>
      <c r="BC65" s="2065">
        <f t="shared" si="252"/>
        <v>2.6929605606445932</v>
      </c>
      <c r="BD65" s="2065">
        <f t="shared" si="252"/>
        <v>8.7886802120868985</v>
      </c>
      <c r="BE65" s="2065">
        <f t="shared" si="252"/>
        <v>11.665811659509698</v>
      </c>
      <c r="BF65" s="2065">
        <f t="shared" si="252"/>
        <v>11.971443132759978</v>
      </c>
      <c r="BG65" s="2069">
        <f t="shared" ref="BG65" si="253">IF(BG63&gt;$K$74,$K$65,IF(BG63&lt;$K$74,(IF(BG63&lt;0,0,BG63*$N$65))))</f>
        <v>3.346587363529208</v>
      </c>
      <c r="BH65" s="3271"/>
      <c r="BI65" s="2067">
        <f t="shared" ref="BI65:BI73" si="254">SUM(BA65:BG65)</f>
        <v>47.46409635751187</v>
      </c>
      <c r="BJ65" s="2068">
        <f>$K$65*0</f>
        <v>0</v>
      </c>
      <c r="BK65" s="2070">
        <f t="shared" ref="BK65:BK73" si="255">BI65-BJ65</f>
        <v>47.46409635751187</v>
      </c>
      <c r="BL65" s="3271"/>
      <c r="BM65" s="2067">
        <f t="shared" ref="BM65:BN65" si="256">IF(BM63&gt;$K$74,$K$65,IF(BM63&lt;$K$74,(IF(BM63&lt;0,0,BM63*$N$65))))</f>
        <v>6.1497213779522824</v>
      </c>
      <c r="BN65" s="2069">
        <f t="shared" si="256"/>
        <v>2.4513785293945913</v>
      </c>
      <c r="BO65" s="3271"/>
      <c r="BP65" s="2067">
        <f t="shared" ref="BP65:BP74" si="257">SUM(BM65:BN65)</f>
        <v>8.6010999073468746</v>
      </c>
      <c r="BQ65" s="2068">
        <f>$K$65*0</f>
        <v>0</v>
      </c>
      <c r="BR65" s="2070">
        <f t="shared" ref="BR65:BR73" si="258">BP65-BQ65</f>
        <v>8.6010999073468746</v>
      </c>
      <c r="BT65" s="2067"/>
      <c r="BU65" s="2071"/>
      <c r="BW65" s="2067">
        <f t="shared" ref="BW65:BW73" si="259">SUM(Q65:W65)+SUM(AC65:AI65)+SUM(AO65:AU65)+SUM(BA65:BG65)+SUM(BN65:BN65)</f>
        <v>253.32679548774465</v>
      </c>
      <c r="BX65" s="2072">
        <f t="shared" ref="BX65:BX74" si="260">BW65/E65</f>
        <v>0.54478880750052616</v>
      </c>
      <c r="BY65" s="2351"/>
      <c r="BZ65" s="4635">
        <f>BX74-BW1</f>
        <v>-0.4218778591661404</v>
      </c>
      <c r="CC65" s="1997"/>
      <c r="CD65" s="1861"/>
      <c r="CE65" s="1861"/>
      <c r="CF65" s="1861"/>
      <c r="CG65" s="1861"/>
      <c r="CH65" s="1861"/>
      <c r="CI65" s="1861"/>
      <c r="CJ65" s="1861"/>
      <c r="CK65" s="1861"/>
    </row>
    <row r="66" spans="1:89" s="1900" customFormat="1" ht="15.75" x14ac:dyDescent="0.2">
      <c r="A66" s="2464"/>
      <c r="B66" s="2161">
        <v>48</v>
      </c>
      <c r="C66" s="2162" t="s">
        <v>232</v>
      </c>
      <c r="D66" s="1960"/>
      <c r="E66" s="2163">
        <v>345</v>
      </c>
      <c r="F66" s="2164">
        <f>E66/10</f>
        <v>34.5</v>
      </c>
      <c r="G66" s="2164">
        <f>E66/15</f>
        <v>23</v>
      </c>
      <c r="H66" s="2164">
        <f>E66/20</f>
        <v>17.25</v>
      </c>
      <c r="I66" s="2164">
        <f>E66/25</f>
        <v>13.8</v>
      </c>
      <c r="J66" s="2164"/>
      <c r="K66" s="2164">
        <f t="shared" si="248"/>
        <v>11.896551724137931</v>
      </c>
      <c r="L66" s="4129"/>
      <c r="M66" s="4129"/>
      <c r="N66" s="2165">
        <f t="shared" si="249"/>
        <v>0.20733173076923078</v>
      </c>
      <c r="O66" s="2468"/>
      <c r="P66" s="2339"/>
      <c r="Q66" s="2169">
        <f>IF(Q63&gt;$K$74,$K$66,IF(Q63&lt;$K$74,(IF(Q63&lt;0,0,Q63*$N$66))))</f>
        <v>6.0645038980495878</v>
      </c>
      <c r="R66" s="2176">
        <f>IF(R63&gt;$K$74,$K$66,IF(R63&lt;$K$74,(IF(R63&lt;0,0,R63*$N$66))))</f>
        <v>9.9432659172803568</v>
      </c>
      <c r="S66" s="2176">
        <f>IF(S63&gt;$K$74,$K$66,IF(S63&lt;$K$74,(IF(S63&lt;0,0,S63*$N$66))))</f>
        <v>10.064969643241895</v>
      </c>
      <c r="T66" s="2176">
        <f>IF(T63&gt;$K$74,$K$66,IF(T63&lt;$K$74,(IF(T63&lt;0,0,T63*$N$66))))</f>
        <v>9.0786925999726638</v>
      </c>
      <c r="U66" s="2176"/>
      <c r="V66" s="2176">
        <f>IF(V63&gt;$K$74,$K$66,IF(V63&lt;$K$74,(IF(V63&lt;0,0,V63*$N$66))))</f>
        <v>11.896551724137931</v>
      </c>
      <c r="W66" s="2171">
        <f>IF(W63&gt;$K$74,$K$66,IF(W63&lt;$K$74,(IF(W63&lt;0,0,W63*$N$66))))</f>
        <v>10.909639114395743</v>
      </c>
      <c r="X66" s="1951"/>
      <c r="Y66" s="2163">
        <f t="shared" si="215"/>
        <v>57.957622897078174</v>
      </c>
      <c r="Z66" s="2167">
        <f>$K$66*0</f>
        <v>0</v>
      </c>
      <c r="AA66" s="2168">
        <f t="shared" si="194"/>
        <v>57.957622897078174</v>
      </c>
      <c r="AB66" s="1951"/>
      <c r="AC66" s="2169">
        <f t="shared" ref="AC66:AI66" si="261">IF(AC63&gt;$K$74,$K$66,IF(AC63&lt;$K$74,(IF(AC63&lt;0,0,AC63*$N$66))))</f>
        <v>4.467012912472665</v>
      </c>
      <c r="AD66" s="2170">
        <f t="shared" si="261"/>
        <v>10.88372264804959</v>
      </c>
      <c r="AE66" s="2170">
        <f t="shared" si="261"/>
        <v>8.5369347874726635</v>
      </c>
      <c r="AF66" s="2170">
        <f t="shared" si="261"/>
        <v>5.1503782970880474</v>
      </c>
      <c r="AG66" s="2170">
        <f t="shared" si="261"/>
        <v>10.008119161615138</v>
      </c>
      <c r="AH66" s="2170">
        <f t="shared" si="261"/>
        <v>8.7577430807418946</v>
      </c>
      <c r="AI66" s="2171">
        <f t="shared" si="261"/>
        <v>4.0440561817034322</v>
      </c>
      <c r="AJ66" s="1951"/>
      <c r="AK66" s="2163">
        <f>SUM(AC66:AI66)</f>
        <v>51.847967069143436</v>
      </c>
      <c r="AL66" s="2167">
        <f>$K$66*0</f>
        <v>0</v>
      </c>
      <c r="AM66" s="2168">
        <f t="shared" ref="AM66:AM67" si="262">AK66-AL66</f>
        <v>51.847967069143436</v>
      </c>
      <c r="AN66" s="1951"/>
      <c r="AO66" s="2163">
        <f t="shared" ref="AO66:AU66" si="263">IF(AO63&gt;$K$74,$K$66,IF(AO63&lt;$K$74,(IF(AO63&lt;0,0,AO63*$N$66))))</f>
        <v>10.721485568722665</v>
      </c>
      <c r="AP66" s="2164">
        <f t="shared" si="263"/>
        <v>0</v>
      </c>
      <c r="AQ66" s="2164">
        <f t="shared" si="263"/>
        <v>1.9715682009342026</v>
      </c>
      <c r="AR66" s="2164">
        <f t="shared" si="263"/>
        <v>7.469694703338047</v>
      </c>
      <c r="AS66" s="2164">
        <f t="shared" si="263"/>
        <v>4.0443255919035987</v>
      </c>
      <c r="AT66" s="2164">
        <f t="shared" si="263"/>
        <v>10.300602155261126</v>
      </c>
      <c r="AU66" s="2164">
        <f t="shared" si="263"/>
        <v>6.6048103884342018</v>
      </c>
      <c r="AV66" s="1951"/>
      <c r="AW66" s="2163">
        <f t="shared" ref="AW66:AW73" si="264">SUM(AO66:AU66)</f>
        <v>41.112486608593841</v>
      </c>
      <c r="AX66" s="2167">
        <f>$K$66*0</f>
        <v>0</v>
      </c>
      <c r="AY66" s="2168">
        <f t="shared" ref="AY66:AY73" si="265">AW66-AX66</f>
        <v>41.112486608593841</v>
      </c>
      <c r="AZ66" s="1951"/>
      <c r="BA66" s="2163">
        <f t="shared" ref="BA66:BF66" si="266">IF(BA63&gt;$K$74,$K$66,IF(BA63&lt;$K$74,(IF(BA63&lt;0,0,BA63*$N$66))))</f>
        <v>4.2005916384342008</v>
      </c>
      <c r="BB66" s="2164">
        <f t="shared" si="266"/>
        <v>2.4757989701649694</v>
      </c>
      <c r="BC66" s="2164">
        <f t="shared" si="266"/>
        <v>1.9980029966072792</v>
      </c>
      <c r="BD66" s="2164">
        <f t="shared" si="266"/>
        <v>6.5206337057418926</v>
      </c>
      <c r="BE66" s="2176">
        <f t="shared" si="266"/>
        <v>8.6552796183459062</v>
      </c>
      <c r="BF66" s="2176">
        <f t="shared" si="266"/>
        <v>8.8820384533380494</v>
      </c>
      <c r="BG66" s="2171">
        <f t="shared" ref="BG66" si="267">IF(BG63&gt;$K$74,$K$66,IF(BG63&lt;$K$74,(IF(BG63&lt;0,0,BG63*$N$66))))</f>
        <v>2.4829519148765096</v>
      </c>
      <c r="BH66" s="1951"/>
      <c r="BI66" s="2163">
        <f t="shared" si="254"/>
        <v>35.215297297508805</v>
      </c>
      <c r="BJ66" s="2167">
        <f>$K$66*0</f>
        <v>0</v>
      </c>
      <c r="BK66" s="2168">
        <f t="shared" si="255"/>
        <v>35.215297297508805</v>
      </c>
      <c r="BL66" s="1951"/>
      <c r="BM66" s="2169">
        <f t="shared" ref="BM66:BN66" si="268">IF(BM63&gt;$K$74,$K$66,IF(BM63&lt;$K$74,(IF(BM63&lt;0,0,BM63*$N$66))))</f>
        <v>4.5626965062226619</v>
      </c>
      <c r="BN66" s="2171">
        <f t="shared" si="268"/>
        <v>1.8187647153572777</v>
      </c>
      <c r="BO66" s="1951"/>
      <c r="BP66" s="2169">
        <f t="shared" si="257"/>
        <v>6.38146122157994</v>
      </c>
      <c r="BQ66" s="2170">
        <f>$K$66*0</f>
        <v>0</v>
      </c>
      <c r="BR66" s="2178">
        <f t="shared" si="258"/>
        <v>6.38146122157994</v>
      </c>
      <c r="BT66" s="2169"/>
      <c r="BU66" s="2172"/>
      <c r="BW66" s="2169">
        <f t="shared" si="259"/>
        <v>187.95213858768156</v>
      </c>
      <c r="BX66" s="2173">
        <f t="shared" si="260"/>
        <v>0.54478880750052627</v>
      </c>
      <c r="BY66" s="2353"/>
      <c r="BZ66" s="4636"/>
      <c r="CC66" s="2010"/>
      <c r="CD66" s="2011"/>
      <c r="CE66" s="2011"/>
      <c r="CF66" s="2011"/>
      <c r="CG66" s="2011"/>
      <c r="CH66" s="2011"/>
      <c r="CI66" s="2011"/>
      <c r="CJ66" s="2011"/>
      <c r="CK66" s="2011"/>
    </row>
    <row r="67" spans="1:89" s="1726" customFormat="1" x14ac:dyDescent="0.2">
      <c r="A67" s="1756"/>
      <c r="B67" s="2151">
        <v>49</v>
      </c>
      <c r="C67" s="2152" t="s">
        <v>4</v>
      </c>
      <c r="D67" s="1817"/>
      <c r="E67" s="2153">
        <v>300</v>
      </c>
      <c r="F67" s="2154"/>
      <c r="G67" s="2154"/>
      <c r="H67" s="2154"/>
      <c r="I67" s="2154"/>
      <c r="J67" s="2154"/>
      <c r="K67" s="2154">
        <f t="shared" si="248"/>
        <v>10.344827586206897</v>
      </c>
      <c r="L67" s="4122"/>
      <c r="M67" s="4122"/>
      <c r="N67" s="2155">
        <f t="shared" si="249"/>
        <v>0.18028846153846154</v>
      </c>
      <c r="O67" s="1931"/>
      <c r="P67" s="1924"/>
      <c r="Q67" s="2090">
        <f>IF(Q63&gt;$K$74,$K$67,IF(Q63&lt;$K$74,(IF(Q63&lt;0,0,Q63*$N$67))))</f>
        <v>5.2734816504779021</v>
      </c>
      <c r="R67" s="2088">
        <f>IF(R63&gt;$K$74,$K$67,IF(R63&lt;$K$74,(IF(R63&lt;0,0,R63*$N$67))))</f>
        <v>8.6463181889394392</v>
      </c>
      <c r="S67" s="2088">
        <f>IF(S63&gt;$K$74,$K$67,IF(S63&lt;$K$74,(IF(S63&lt;0,0,S63*$N$67))))</f>
        <v>8.7521475158625179</v>
      </c>
      <c r="T67" s="2088">
        <f>IF(T63&gt;$K$74,$K$67,IF(T63&lt;$K$74,(IF(T63&lt;0,0,T63*$N$67))))</f>
        <v>7.894515304324055</v>
      </c>
      <c r="U67" s="2088"/>
      <c r="V67" s="2088">
        <f>IF(V63&gt;$K$74,$K$67,IF(V63&lt;$K$74,(IF(V63&lt;0,0,V63*$N$67))))</f>
        <v>10.344827586206897</v>
      </c>
      <c r="W67" s="2091">
        <f>IF(W63&gt;$K$74,$K$67,IF(W63&lt;$K$74,(IF(W63&lt;0,0,W63*$N$67))))</f>
        <v>9.4866427081702103</v>
      </c>
      <c r="X67" s="3271"/>
      <c r="Y67" s="2153">
        <f t="shared" si="215"/>
        <v>50.397932953981019</v>
      </c>
      <c r="Z67" s="2157">
        <f>$K$67*0</f>
        <v>0</v>
      </c>
      <c r="AA67" s="2158">
        <f t="shared" si="194"/>
        <v>50.397932953981019</v>
      </c>
      <c r="AB67" s="1766"/>
      <c r="AC67" s="2090">
        <f t="shared" ref="AC67:AI67" si="269">IF(AC63&gt;$K$74,$K$67,IF(AC63&lt;$K$74,(IF(AC63&lt;0,0,AC63*$N$67))))</f>
        <v>3.8843590543240558</v>
      </c>
      <c r="AD67" s="2087">
        <f t="shared" si="269"/>
        <v>9.4641066504779037</v>
      </c>
      <c r="AE67" s="2087">
        <f t="shared" si="269"/>
        <v>7.4234215543240554</v>
      </c>
      <c r="AF67" s="2087">
        <f t="shared" si="269"/>
        <v>4.4785898235548238</v>
      </c>
      <c r="AG67" s="2087">
        <f t="shared" si="269"/>
        <v>8.702712314447945</v>
      </c>
      <c r="AH67" s="2087">
        <f t="shared" si="269"/>
        <v>7.6154287658625162</v>
      </c>
      <c r="AI67" s="2091">
        <f t="shared" si="269"/>
        <v>3.5165705927855933</v>
      </c>
      <c r="AJ67" s="1766"/>
      <c r="AK67" s="2153">
        <f t="shared" ref="AK67" si="270">SUM(AC67:AI67)</f>
        <v>45.08518875577689</v>
      </c>
      <c r="AL67" s="2157">
        <f>$K$67*0</f>
        <v>0</v>
      </c>
      <c r="AM67" s="2158">
        <f t="shared" si="262"/>
        <v>45.08518875577689</v>
      </c>
      <c r="AN67" s="1766"/>
      <c r="AO67" s="2153">
        <f t="shared" ref="AO67:AU67" si="271">IF(AO63&gt;$K$74,$K$67,IF(AO63&lt;$K$74,(IF(AO63&lt;0,0,AO63*$N$67))))</f>
        <v>9.3230309293240552</v>
      </c>
      <c r="AP67" s="2154">
        <f t="shared" si="271"/>
        <v>0</v>
      </c>
      <c r="AQ67" s="2154">
        <f t="shared" si="271"/>
        <v>1.7144071312471327</v>
      </c>
      <c r="AR67" s="2154">
        <f t="shared" si="271"/>
        <v>6.4953866985548228</v>
      </c>
      <c r="AS67" s="2154">
        <f t="shared" si="271"/>
        <v>3.5168048625248685</v>
      </c>
      <c r="AT67" s="2154">
        <f t="shared" si="271"/>
        <v>8.9570453524009785</v>
      </c>
      <c r="AU67" s="2154">
        <f t="shared" si="271"/>
        <v>5.7433133812471313</v>
      </c>
      <c r="AV67" s="3271"/>
      <c r="AW67" s="2153">
        <f t="shared" si="264"/>
        <v>35.749988355298989</v>
      </c>
      <c r="AX67" s="2157">
        <f>$K$67*0</f>
        <v>0</v>
      </c>
      <c r="AY67" s="2158">
        <f t="shared" si="265"/>
        <v>35.749988355298989</v>
      </c>
      <c r="AZ67" s="3271"/>
      <c r="BA67" s="2153">
        <f t="shared" ref="BA67:BF67" si="272">IF(BA63&gt;$K$74,$K$67,IF(BA63&lt;$K$74,(IF(BA63&lt;0,0,BA63*$N$67))))</f>
        <v>3.6526883812471311</v>
      </c>
      <c r="BB67" s="2154">
        <f t="shared" si="272"/>
        <v>2.1528686697086687</v>
      </c>
      <c r="BC67" s="2154">
        <f t="shared" si="272"/>
        <v>1.737393910093286</v>
      </c>
      <c r="BD67" s="2154">
        <f t="shared" si="272"/>
        <v>5.6701162658625153</v>
      </c>
      <c r="BE67" s="2088">
        <f t="shared" si="272"/>
        <v>7.5263301029094825</v>
      </c>
      <c r="BF67" s="2088">
        <f t="shared" si="272"/>
        <v>7.7235116985548249</v>
      </c>
      <c r="BG67" s="2091">
        <f t="shared" ref="BG67" si="273">IF(BG63&gt;$K$74,$K$67,IF(BG63&lt;$K$74,(IF(BG63&lt;0,0,BG63*$N$67))))</f>
        <v>2.1590886216317475</v>
      </c>
      <c r="BH67" s="3271"/>
      <c r="BI67" s="2153">
        <f t="shared" si="254"/>
        <v>30.621997650007657</v>
      </c>
      <c r="BJ67" s="2157">
        <f>$K$67*0</f>
        <v>0</v>
      </c>
      <c r="BK67" s="2158">
        <f t="shared" si="255"/>
        <v>30.621997650007657</v>
      </c>
      <c r="BL67" s="3271"/>
      <c r="BM67" s="2090">
        <f t="shared" ref="BM67:BN67" si="274">IF(BM63&gt;$K$74,$K$67,IF(BM63&lt;$K$74,(IF(BM63&lt;0,0,BM63*$N$67))))</f>
        <v>3.9675621793240534</v>
      </c>
      <c r="BN67" s="2091">
        <f t="shared" si="274"/>
        <v>1.5815345350932848</v>
      </c>
      <c r="BO67" s="3271"/>
      <c r="BP67" s="2090">
        <f t="shared" si="257"/>
        <v>5.5490967144173382</v>
      </c>
      <c r="BQ67" s="2087">
        <f>$K$67*0</f>
        <v>0</v>
      </c>
      <c r="BR67" s="2174">
        <f t="shared" si="258"/>
        <v>5.5490967144173382</v>
      </c>
      <c r="BT67" s="2090"/>
      <c r="BU67" s="2159"/>
      <c r="BV67" s="1740"/>
      <c r="BW67" s="2090">
        <f t="shared" si="259"/>
        <v>163.43664225015783</v>
      </c>
      <c r="BX67" s="2160">
        <f t="shared" si="260"/>
        <v>0.54478880750052605</v>
      </c>
      <c r="BY67" s="2351"/>
      <c r="BZ67" s="4636"/>
      <c r="CC67" s="3257"/>
      <c r="CD67" s="1860"/>
      <c r="CE67" s="1860"/>
      <c r="CF67" s="1860"/>
      <c r="CG67" s="1860"/>
      <c r="CH67" s="1860"/>
      <c r="CI67" s="1860"/>
      <c r="CJ67" s="1860"/>
      <c r="CK67" s="1860"/>
    </row>
    <row r="68" spans="1:89" s="1900" customFormat="1" ht="15.75" x14ac:dyDescent="0.2">
      <c r="A68" s="2464"/>
      <c r="B68" s="2161">
        <v>50</v>
      </c>
      <c r="C68" s="2175" t="s">
        <v>121</v>
      </c>
      <c r="D68" s="1960"/>
      <c r="E68" s="2169">
        <v>270</v>
      </c>
      <c r="F68" s="2176">
        <f>E68/10</f>
        <v>27</v>
      </c>
      <c r="G68" s="2176">
        <f>E68/15</f>
        <v>18</v>
      </c>
      <c r="H68" s="2176">
        <f>E68/20</f>
        <v>13.5</v>
      </c>
      <c r="I68" s="2176">
        <f>E68/25</f>
        <v>10.8</v>
      </c>
      <c r="J68" s="2176"/>
      <c r="K68" s="2176">
        <f t="shared" si="248"/>
        <v>9.3103448275862064</v>
      </c>
      <c r="L68" s="4123"/>
      <c r="M68" s="4123"/>
      <c r="N68" s="2177">
        <f t="shared" si="249"/>
        <v>0.16225961538461539</v>
      </c>
      <c r="O68" s="2468"/>
      <c r="P68" s="2339"/>
      <c r="Q68" s="2169">
        <f>IF(Q63&gt;$K$74,$K$68,IF(Q63&lt;$K$74,(IF(Q63&lt;0,0,Q63*$N$68))))</f>
        <v>4.7461334854301116</v>
      </c>
      <c r="R68" s="2176">
        <f>IF(R63&gt;$K$74,$K$68,IF(R63&lt;$K$74,(IF(R63&lt;0,0,R63*$N$68))))</f>
        <v>7.7816863700454961</v>
      </c>
      <c r="S68" s="2176">
        <f>IF(S63&gt;$K$74,$K$68,IF(S63&lt;$K$74,(IF(S63&lt;0,0,S63*$N$68))))</f>
        <v>7.8769327642762663</v>
      </c>
      <c r="T68" s="2176">
        <f>IF(T63&gt;$K$74,$K$68,IF(T63&lt;$K$74,(IF(T63&lt;0,0,T63*$N$68))))</f>
        <v>7.1050637738916498</v>
      </c>
      <c r="U68" s="2176"/>
      <c r="V68" s="2176">
        <f>IF(V63&gt;$K$74,$K$68,IF(V63&lt;$K$74,(IF(V63&lt;0,0,V63*$N$68))))</f>
        <v>9.3103448275862064</v>
      </c>
      <c r="W68" s="2171">
        <f>IF(W63&gt;$K$74,$K$68,IF(W63&lt;$K$74,(IF(W63&lt;0,0,W63*$N$68))))</f>
        <v>8.5379784373531908</v>
      </c>
      <c r="X68" s="1951"/>
      <c r="Y68" s="2169">
        <f t="shared" si="215"/>
        <v>45.358139658582921</v>
      </c>
      <c r="Z68" s="2170">
        <f>$K$68*0</f>
        <v>0</v>
      </c>
      <c r="AA68" s="2178">
        <f t="shared" si="194"/>
        <v>45.358139658582921</v>
      </c>
      <c r="AB68" s="1951"/>
      <c r="AC68" s="2169">
        <f t="shared" ref="AC68:AI68" si="275">IF(AC63&gt;$K$74,$K$68,IF(AC63&lt;$K$74,(IF(AC63&lt;0,0,AC63*$N$68))))</f>
        <v>3.4959231488916505</v>
      </c>
      <c r="AD68" s="2170">
        <f t="shared" si="275"/>
        <v>8.5176959854301124</v>
      </c>
      <c r="AE68" s="2170">
        <f t="shared" si="275"/>
        <v>6.6810793988916499</v>
      </c>
      <c r="AF68" s="2170">
        <f t="shared" si="275"/>
        <v>4.0307308411993414</v>
      </c>
      <c r="AG68" s="2170">
        <f t="shared" si="275"/>
        <v>7.8324410830031512</v>
      </c>
      <c r="AH68" s="2170">
        <f t="shared" si="275"/>
        <v>6.8538858892762651</v>
      </c>
      <c r="AI68" s="2171">
        <f t="shared" si="275"/>
        <v>3.164913533507034</v>
      </c>
      <c r="AJ68" s="1951"/>
      <c r="AK68" s="2169">
        <f t="shared" si="168"/>
        <v>40.576669880199205</v>
      </c>
      <c r="AL68" s="2170">
        <f>$K$68*0</f>
        <v>0</v>
      </c>
      <c r="AM68" s="2178">
        <f t="shared" si="169"/>
        <v>40.576669880199205</v>
      </c>
      <c r="AN68" s="1951"/>
      <c r="AO68" s="2169">
        <f t="shared" ref="AO68:AU68" si="276">IF(AO63&gt;$K$74,$K$68,IF(AO63&lt;$K$74,(IF(AO63&lt;0,0,AO63*$N$68))))</f>
        <v>8.3907278363916511</v>
      </c>
      <c r="AP68" s="2176">
        <f t="shared" si="276"/>
        <v>0</v>
      </c>
      <c r="AQ68" s="2176">
        <f t="shared" si="276"/>
        <v>1.5429664181224194</v>
      </c>
      <c r="AR68" s="2176">
        <f t="shared" si="276"/>
        <v>5.8458480286993408</v>
      </c>
      <c r="AS68" s="2176">
        <f t="shared" si="276"/>
        <v>3.1651243762723817</v>
      </c>
      <c r="AT68" s="2176">
        <f t="shared" si="276"/>
        <v>8.0613408171608807</v>
      </c>
      <c r="AU68" s="2176">
        <f t="shared" si="276"/>
        <v>5.1689820431224183</v>
      </c>
      <c r="AV68" s="1951"/>
      <c r="AW68" s="2169">
        <f t="shared" si="264"/>
        <v>32.174989519769092</v>
      </c>
      <c r="AX68" s="2170">
        <f>$K$68*0</f>
        <v>0</v>
      </c>
      <c r="AY68" s="2178">
        <f t="shared" si="265"/>
        <v>32.174989519769092</v>
      </c>
      <c r="AZ68" s="1951"/>
      <c r="BA68" s="2169">
        <f t="shared" ref="BA68:BF68" si="277">IF(BA63&gt;$K$74,$K$68,IF(BA63&lt;$K$74,(IF(BA63&lt;0,0,BA63*$N$68))))</f>
        <v>3.287419543122418</v>
      </c>
      <c r="BB68" s="2176">
        <f t="shared" si="277"/>
        <v>1.9375818027378022</v>
      </c>
      <c r="BC68" s="2176">
        <f t="shared" si="277"/>
        <v>1.5636545190839575</v>
      </c>
      <c r="BD68" s="2176">
        <f t="shared" si="277"/>
        <v>5.103104639276264</v>
      </c>
      <c r="BE68" s="2176">
        <f t="shared" si="277"/>
        <v>6.7736970926185354</v>
      </c>
      <c r="BF68" s="2176">
        <f t="shared" si="277"/>
        <v>6.9511605286993428</v>
      </c>
      <c r="BG68" s="2171">
        <f t="shared" ref="BG68" si="278">IF(BG63&gt;$K$74,$K$68,IF(BG63&lt;$K$74,(IF(BG63&lt;0,0,BG63*$N$68))))</f>
        <v>1.9431797594685727</v>
      </c>
      <c r="BH68" s="1951"/>
      <c r="BI68" s="2169">
        <f t="shared" si="254"/>
        <v>27.559797885006894</v>
      </c>
      <c r="BJ68" s="2170">
        <f>$K$68*0</f>
        <v>0</v>
      </c>
      <c r="BK68" s="2178">
        <f t="shared" si="255"/>
        <v>27.559797885006894</v>
      </c>
      <c r="BL68" s="1951"/>
      <c r="BM68" s="2169">
        <f t="shared" ref="BM68:BN68" si="279">IF(BM63&gt;$K$74,$K$68,IF(BM63&lt;$K$74,(IF(BM63&lt;0,0,BM63*$N$68))))</f>
        <v>3.5708059613916485</v>
      </c>
      <c r="BN68" s="2171">
        <f t="shared" si="279"/>
        <v>1.4233810815839565</v>
      </c>
      <c r="BO68" s="1951"/>
      <c r="BP68" s="2169">
        <f t="shared" si="257"/>
        <v>4.9941870429756055</v>
      </c>
      <c r="BQ68" s="2170">
        <f>$K$68*0</f>
        <v>0</v>
      </c>
      <c r="BR68" s="2178">
        <f t="shared" si="258"/>
        <v>4.9941870429756055</v>
      </c>
      <c r="BT68" s="2179"/>
      <c r="BU68" s="2180"/>
      <c r="BW68" s="2179">
        <f t="shared" si="259"/>
        <v>147.09297802514209</v>
      </c>
      <c r="BX68" s="2181">
        <f t="shared" si="260"/>
        <v>0.54478880750052627</v>
      </c>
      <c r="BY68" s="2353"/>
      <c r="BZ68" s="4636"/>
      <c r="CC68" s="2010"/>
      <c r="CD68" s="2011"/>
      <c r="CE68" s="2011"/>
      <c r="CF68" s="2011"/>
      <c r="CG68" s="2011"/>
      <c r="CH68" s="2011"/>
      <c r="CI68" s="2011"/>
      <c r="CJ68" s="2011"/>
      <c r="CK68" s="2011"/>
    </row>
    <row r="69" spans="1:89" s="1740" customFormat="1" ht="15.75" x14ac:dyDescent="0.2">
      <c r="A69" s="2466"/>
      <c r="B69" s="2151">
        <v>51</v>
      </c>
      <c r="C69" s="2086" t="s">
        <v>229</v>
      </c>
      <c r="D69" s="1817"/>
      <c r="E69" s="2090">
        <v>209</v>
      </c>
      <c r="F69" s="2088">
        <f>E69/10</f>
        <v>20.9</v>
      </c>
      <c r="G69" s="2088">
        <f>E69/15</f>
        <v>13.933333333333334</v>
      </c>
      <c r="H69" s="2088">
        <f>E69/20</f>
        <v>10.45</v>
      </c>
      <c r="I69" s="2088">
        <f>E69/25</f>
        <v>8.36</v>
      </c>
      <c r="J69" s="2088"/>
      <c r="K69" s="2088">
        <f t="shared" si="248"/>
        <v>7.2068965517241379</v>
      </c>
      <c r="L69" s="4124"/>
      <c r="M69" s="4124"/>
      <c r="N69" s="2089">
        <f t="shared" si="249"/>
        <v>0.12560096153846154</v>
      </c>
      <c r="O69" s="2465"/>
      <c r="P69" s="2131"/>
      <c r="Q69" s="2090">
        <f>IF(Q63&gt;$K$74,$K$69,IF(Q63&lt;$K$74,(IF(Q63&lt;0,0,Q63*$N$69))))</f>
        <v>3.6738588831662717</v>
      </c>
      <c r="R69" s="2088">
        <f>IF(R63&gt;$K$74,$K$69,IF(R63&lt;$K$74,(IF(R63&lt;0,0,R63*$N$69))))</f>
        <v>6.0236016716278096</v>
      </c>
      <c r="S69" s="2088">
        <f>IF(S63&gt;$K$74,$K$69,IF(S63&lt;$K$74,(IF(S63&lt;0,0,S63*$N$69))))</f>
        <v>6.0973294360508872</v>
      </c>
      <c r="T69" s="2088">
        <f>IF(T63&gt;$K$74,$K$69,IF(T63&lt;$K$74,(IF(T63&lt;0,0,T63*$N$69))))</f>
        <v>5.499845662012425</v>
      </c>
      <c r="U69" s="2088"/>
      <c r="V69" s="2088">
        <f>IF(V63&gt;$K$74,$K$69,IF(V63&lt;$K$74,(IF(V63&lt;0,0,V63*$N$69))))</f>
        <v>7.2068965517241379</v>
      </c>
      <c r="W69" s="2091">
        <f>IF(W63&gt;$K$74,$K$69,IF(W63&lt;$K$74,(IF(W63&lt;0,0,W63*$N$69))))</f>
        <v>6.6090277533585802</v>
      </c>
      <c r="X69" s="3271"/>
      <c r="Y69" s="2090">
        <f t="shared" si="215"/>
        <v>35.110559957940112</v>
      </c>
      <c r="Z69" s="2087">
        <f>$K$69*0</f>
        <v>0</v>
      </c>
      <c r="AA69" s="2174">
        <f t="shared" si="194"/>
        <v>35.110559957940112</v>
      </c>
      <c r="AB69" s="3271"/>
      <c r="AC69" s="2090">
        <f t="shared" ref="AC69:AI69" si="280">IF(AC63&gt;$K$74,$K$69,IF(AC63&lt;$K$74,(IF(AC63&lt;0,0,AC63*$N$69))))</f>
        <v>2.7061034745124255</v>
      </c>
      <c r="AD69" s="2087">
        <f t="shared" si="280"/>
        <v>6.5933276331662727</v>
      </c>
      <c r="AE69" s="2087">
        <f t="shared" si="280"/>
        <v>5.1716503495124249</v>
      </c>
      <c r="AF69" s="2087">
        <f t="shared" si="280"/>
        <v>3.1200842437431939</v>
      </c>
      <c r="AG69" s="2087">
        <f t="shared" si="280"/>
        <v>6.062889579065402</v>
      </c>
      <c r="AH69" s="2087">
        <f t="shared" si="280"/>
        <v>5.3054153735508862</v>
      </c>
      <c r="AI69" s="2091">
        <f t="shared" si="280"/>
        <v>2.4498775129739632</v>
      </c>
      <c r="AJ69" s="3271"/>
      <c r="AK69" s="2090">
        <f t="shared" si="168"/>
        <v>31.409348166524566</v>
      </c>
      <c r="AL69" s="2087">
        <f>$K$69*0</f>
        <v>0</v>
      </c>
      <c r="AM69" s="2174">
        <f t="shared" si="169"/>
        <v>31.409348166524566</v>
      </c>
      <c r="AN69" s="3271"/>
      <c r="AO69" s="2090">
        <f t="shared" ref="AO69:AU69" si="281">IF(AO63&gt;$K$74,$K$69,IF(AO63&lt;$K$74,(IF(AO63&lt;0,0,AO63*$N$69))))</f>
        <v>6.4950448807624257</v>
      </c>
      <c r="AP69" s="2088">
        <f t="shared" si="281"/>
        <v>0</v>
      </c>
      <c r="AQ69" s="2088">
        <f t="shared" si="281"/>
        <v>1.1943703014355025</v>
      </c>
      <c r="AR69" s="2088">
        <f t="shared" si="281"/>
        <v>4.5251193999931933</v>
      </c>
      <c r="AS69" s="2088">
        <f t="shared" si="281"/>
        <v>2.4500407208923249</v>
      </c>
      <c r="AT69" s="2088">
        <f t="shared" si="281"/>
        <v>6.2400749288393484</v>
      </c>
      <c r="AU69" s="2088">
        <f t="shared" si="281"/>
        <v>4.0011749889355013</v>
      </c>
      <c r="AV69" s="3271"/>
      <c r="AW69" s="2090">
        <f t="shared" si="264"/>
        <v>24.905825220858297</v>
      </c>
      <c r="AX69" s="2087">
        <f>$K$69*0</f>
        <v>0</v>
      </c>
      <c r="AY69" s="2174">
        <f t="shared" si="265"/>
        <v>24.905825220858297</v>
      </c>
      <c r="AZ69" s="3271"/>
      <c r="BA69" s="2090">
        <f t="shared" ref="BA69:BF69" si="282">IF(BA63&gt;$K$74,$K$69,IF(BA63&lt;$K$74,(IF(BA63&lt;0,0,BA63*$N$69))))</f>
        <v>2.5447062389355013</v>
      </c>
      <c r="BB69" s="2088">
        <f t="shared" si="282"/>
        <v>1.4998318398970394</v>
      </c>
      <c r="BC69" s="2088">
        <f t="shared" si="282"/>
        <v>1.2103844240316559</v>
      </c>
      <c r="BD69" s="2088">
        <f t="shared" si="282"/>
        <v>3.9501809985508856</v>
      </c>
      <c r="BE69" s="2088">
        <f t="shared" si="282"/>
        <v>5.24334330502694</v>
      </c>
      <c r="BF69" s="2088">
        <f t="shared" si="282"/>
        <v>5.3807131499931948</v>
      </c>
      <c r="BG69" s="2091">
        <f t="shared" ref="BG69" si="283">IF(BG63&gt;$K$74,$K$69,IF(BG63&lt;$K$74,(IF(BG63&lt;0,0,BG63*$N$69))))</f>
        <v>1.5041650730701173</v>
      </c>
      <c r="BH69" s="3271"/>
      <c r="BI69" s="2090">
        <f t="shared" si="254"/>
        <v>21.333325029505335</v>
      </c>
      <c r="BJ69" s="2087">
        <f>$K$69*0</f>
        <v>0</v>
      </c>
      <c r="BK69" s="2174">
        <f t="shared" si="255"/>
        <v>21.333325029505335</v>
      </c>
      <c r="BL69" s="3271"/>
      <c r="BM69" s="2090">
        <f t="shared" ref="BM69:BN69" si="284">IF(BM63&gt;$K$74,$K$69,IF(BM63&lt;$K$74,(IF(BM63&lt;0,0,BM63*$N$69))))</f>
        <v>2.7640683182624239</v>
      </c>
      <c r="BN69" s="2091">
        <f t="shared" si="284"/>
        <v>1.1018023927816551</v>
      </c>
      <c r="BO69" s="3271"/>
      <c r="BP69" s="2090">
        <f t="shared" si="257"/>
        <v>3.8658707110440789</v>
      </c>
      <c r="BQ69" s="2087">
        <f>$K$69*0</f>
        <v>0</v>
      </c>
      <c r="BR69" s="2174">
        <f t="shared" si="258"/>
        <v>3.8658707110440789</v>
      </c>
      <c r="BT69" s="2092"/>
      <c r="BU69" s="2093"/>
      <c r="BW69" s="2092">
        <f t="shared" si="259"/>
        <v>113.86086076760996</v>
      </c>
      <c r="BX69" s="2094">
        <f t="shared" si="260"/>
        <v>0.54478880750052616</v>
      </c>
      <c r="BY69" s="2351"/>
      <c r="BZ69" s="4636"/>
      <c r="CC69" s="1997"/>
      <c r="CD69" s="1861"/>
      <c r="CE69" s="1861"/>
      <c r="CF69" s="1861"/>
      <c r="CG69" s="1861"/>
      <c r="CH69" s="1861"/>
      <c r="CI69" s="1861"/>
      <c r="CJ69" s="1861"/>
      <c r="CK69" s="1861"/>
    </row>
    <row r="70" spans="1:89" s="1885" customFormat="1" x14ac:dyDescent="0.2">
      <c r="A70" s="1947"/>
      <c r="B70" s="2690">
        <v>52</v>
      </c>
      <c r="C70" s="2417" t="s">
        <v>122</v>
      </c>
      <c r="D70" s="1960"/>
      <c r="E70" s="2179">
        <v>75</v>
      </c>
      <c r="F70" s="2418">
        <f>E70/10</f>
        <v>7.5</v>
      </c>
      <c r="G70" s="2418">
        <f>E70/15</f>
        <v>5</v>
      </c>
      <c r="H70" s="2418">
        <f>E70/20</f>
        <v>3.75</v>
      </c>
      <c r="I70" s="2418">
        <f>E70/25</f>
        <v>3</v>
      </c>
      <c r="J70" s="2418"/>
      <c r="K70" s="2418">
        <f t="shared" si="248"/>
        <v>2.5862068965517242</v>
      </c>
      <c r="L70" s="4126"/>
      <c r="M70" s="4126"/>
      <c r="N70" s="2419">
        <f t="shared" si="249"/>
        <v>4.5072115384615384E-2</v>
      </c>
      <c r="O70" s="2003"/>
      <c r="P70" s="1950"/>
      <c r="Q70" s="2169">
        <f>IF(Q63&gt;$K$74,$K$70,IF(Q63&lt;$K$74,(IF(Q63&lt;0,0,Q63*$N$70))))</f>
        <v>1.3183704126194755</v>
      </c>
      <c r="R70" s="2176">
        <f>IF(R63&gt;$K$74,$K$70,IF(R63&lt;$K$74,(IF(R63&lt;0,0,R63*$N$70))))</f>
        <v>2.1615795472348598</v>
      </c>
      <c r="S70" s="2176">
        <f>IF(S63&gt;$K$74,$K$70,IF(S63&lt;$K$74,(IF(S63&lt;0,0,S63*$N$70))))</f>
        <v>2.1880368789656295</v>
      </c>
      <c r="T70" s="2176">
        <f>IF(T63&gt;$K$74,$K$70,IF(T63&lt;$K$74,(IF(T63&lt;0,0,T63*$N$70))))</f>
        <v>1.9736288260810138</v>
      </c>
      <c r="U70" s="2176"/>
      <c r="V70" s="2176">
        <f>IF(V63&gt;$K$74,$K$70,IF(V63&lt;$K$74,(IF(V63&lt;0,0,V63*$N$70))))</f>
        <v>2.5862068965517242</v>
      </c>
      <c r="W70" s="2171">
        <f>IF(W63&gt;$K$74,$K$70,IF(W63&lt;$K$74,(IF(W63&lt;0,0,W63*$N$70))))</f>
        <v>2.3716606770425526</v>
      </c>
      <c r="X70" s="1951"/>
      <c r="Y70" s="2169">
        <f t="shared" si="215"/>
        <v>12.599483238495255</v>
      </c>
      <c r="Z70" s="2170">
        <f>$K$70*0</f>
        <v>0</v>
      </c>
      <c r="AA70" s="2178">
        <f t="shared" si="194"/>
        <v>12.599483238495255</v>
      </c>
      <c r="AB70" s="1956"/>
      <c r="AC70" s="2169">
        <f t="shared" ref="AC70:AI70" si="285">IF(AC63&gt;$K$74,$K$70,IF(AC63&lt;$K$74,(IF(AC63&lt;0,0,AC63*$N$70))))</f>
        <v>0.97108976358101395</v>
      </c>
      <c r="AD70" s="2170">
        <f t="shared" si="285"/>
        <v>2.3660266626194759</v>
      </c>
      <c r="AE70" s="2170">
        <f t="shared" si="285"/>
        <v>1.8558553885810138</v>
      </c>
      <c r="AF70" s="2170">
        <f t="shared" si="285"/>
        <v>1.119647455888706</v>
      </c>
      <c r="AG70" s="2170">
        <f t="shared" si="285"/>
        <v>2.1756780786119863</v>
      </c>
      <c r="AH70" s="2170">
        <f t="shared" si="285"/>
        <v>1.903857191465629</v>
      </c>
      <c r="AI70" s="2171">
        <f t="shared" si="285"/>
        <v>0.87914264819639831</v>
      </c>
      <c r="AJ70" s="1956"/>
      <c r="AK70" s="2169">
        <f t="shared" si="168"/>
        <v>11.271297188944223</v>
      </c>
      <c r="AL70" s="2170">
        <f>$K$70*0</f>
        <v>0</v>
      </c>
      <c r="AM70" s="2178">
        <f t="shared" si="169"/>
        <v>11.271297188944223</v>
      </c>
      <c r="AN70" s="1956"/>
      <c r="AO70" s="2169">
        <f t="shared" ref="AO70:AU70" si="286">IF(AO63&gt;$K$74,$K$70,IF(AO63&lt;$K$74,(IF(AO63&lt;0,0,AO63*$N$70))))</f>
        <v>2.3307577323310138</v>
      </c>
      <c r="AP70" s="2176">
        <f t="shared" si="286"/>
        <v>0</v>
      </c>
      <c r="AQ70" s="2176">
        <f t="shared" si="286"/>
        <v>0.42860178281178318</v>
      </c>
      <c r="AR70" s="2176">
        <f t="shared" si="286"/>
        <v>1.6238466746387057</v>
      </c>
      <c r="AS70" s="2176">
        <f t="shared" si="286"/>
        <v>0.87920121563121711</v>
      </c>
      <c r="AT70" s="2176">
        <f t="shared" si="286"/>
        <v>2.2392613381002446</v>
      </c>
      <c r="AU70" s="2176">
        <f t="shared" si="286"/>
        <v>1.4358283453117828</v>
      </c>
      <c r="AV70" s="1951"/>
      <c r="AW70" s="2169">
        <f t="shared" si="264"/>
        <v>8.9374970888247471</v>
      </c>
      <c r="AX70" s="2170">
        <f>$K$70*0</f>
        <v>0</v>
      </c>
      <c r="AY70" s="2178">
        <f t="shared" si="265"/>
        <v>8.9374970888247471</v>
      </c>
      <c r="AZ70" s="1951"/>
      <c r="BA70" s="2169">
        <f t="shared" ref="BA70:BF70" si="287">IF(BA63&gt;$K$74,$K$70,IF(BA63&lt;$K$74,(IF(BA63&lt;0,0,BA63*$N$70))))</f>
        <v>0.91317209531178278</v>
      </c>
      <c r="BB70" s="2176">
        <f t="shared" si="287"/>
        <v>0.53821716742716719</v>
      </c>
      <c r="BC70" s="2176">
        <f t="shared" si="287"/>
        <v>0.43434847752332151</v>
      </c>
      <c r="BD70" s="2176">
        <f t="shared" si="287"/>
        <v>1.4175290664656288</v>
      </c>
      <c r="BE70" s="2176">
        <f t="shared" si="287"/>
        <v>1.8815825257273706</v>
      </c>
      <c r="BF70" s="2176">
        <f t="shared" si="287"/>
        <v>1.9308779246387062</v>
      </c>
      <c r="BG70" s="2171">
        <f t="shared" ref="BG70" si="288">IF(BG63&gt;$K$74,$K$70,IF(BG63&lt;$K$74,(IF(BG63&lt;0,0,BG63*$N$70))))</f>
        <v>0.53977215540793688</v>
      </c>
      <c r="BH70" s="1951"/>
      <c r="BI70" s="2169">
        <f t="shared" si="254"/>
        <v>7.6554994125019142</v>
      </c>
      <c r="BJ70" s="2170">
        <f>$K$70*0</f>
        <v>0</v>
      </c>
      <c r="BK70" s="2178">
        <f t="shared" si="255"/>
        <v>7.6554994125019142</v>
      </c>
      <c r="BL70" s="1951"/>
      <c r="BM70" s="2169">
        <f t="shared" ref="BM70:BN70" si="289">IF(BM63&gt;$K$74,$K$70,IF(BM63&lt;$K$74,(IF(BM63&lt;0,0,BM63*$N$70))))</f>
        <v>0.99189054483101335</v>
      </c>
      <c r="BN70" s="2171">
        <f t="shared" si="289"/>
        <v>0.3953836337733212</v>
      </c>
      <c r="BO70" s="1951"/>
      <c r="BP70" s="2169">
        <f t="shared" si="257"/>
        <v>1.3872741786043346</v>
      </c>
      <c r="BQ70" s="2170">
        <f>$K$70*0</f>
        <v>0</v>
      </c>
      <c r="BR70" s="2178">
        <f t="shared" si="258"/>
        <v>1.3872741786043346</v>
      </c>
      <c r="BT70" s="2179"/>
      <c r="BU70" s="2180"/>
      <c r="BV70" s="1900"/>
      <c r="BW70" s="2179">
        <f t="shared" si="259"/>
        <v>40.859160562539458</v>
      </c>
      <c r="BX70" s="2181">
        <f t="shared" si="260"/>
        <v>0.54478880750052605</v>
      </c>
      <c r="BY70" s="2353"/>
      <c r="BZ70" s="4636"/>
      <c r="CC70" s="3248"/>
      <c r="CD70" s="1946"/>
      <c r="CE70" s="1946"/>
      <c r="CF70" s="1946"/>
      <c r="CG70" s="1946"/>
      <c r="CH70" s="1946"/>
      <c r="CI70" s="1946"/>
      <c r="CJ70" s="1946"/>
      <c r="CK70" s="1946"/>
    </row>
    <row r="71" spans="1:89" s="1726" customFormat="1" ht="17.25" thickBot="1" x14ac:dyDescent="0.25">
      <c r="A71" s="1756"/>
      <c r="B71" s="2107">
        <v>53</v>
      </c>
      <c r="C71" s="2108" t="s">
        <v>242</v>
      </c>
      <c r="D71" s="2646"/>
      <c r="E71" s="2092">
        <v>0</v>
      </c>
      <c r="F71" s="2111">
        <f>E71/10</f>
        <v>0</v>
      </c>
      <c r="G71" s="2111">
        <f>E71/15</f>
        <v>0</v>
      </c>
      <c r="H71" s="2111">
        <f>E71/20</f>
        <v>0</v>
      </c>
      <c r="I71" s="2111">
        <f>E71/25</f>
        <v>0</v>
      </c>
      <c r="J71" s="2111"/>
      <c r="K71" s="2111">
        <f t="shared" si="248"/>
        <v>0</v>
      </c>
      <c r="L71" s="4125"/>
      <c r="M71" s="4125"/>
      <c r="N71" s="2112">
        <f t="shared" si="249"/>
        <v>0</v>
      </c>
      <c r="O71" s="1931"/>
      <c r="P71" s="1924"/>
      <c r="Q71" s="2090">
        <f>IF(Q63&gt;$K$74,$K$71,IF(Q63&lt;$K$74,(IF(Q63&lt;0,0,Q63*$N$71))))</f>
        <v>0</v>
      </c>
      <c r="R71" s="2088">
        <f>IF(R63&gt;$K$74,$K$71,IF(R63&lt;$K$74,(IF(R63&lt;0,0,R63*$N$71))))</f>
        <v>0</v>
      </c>
      <c r="S71" s="2088">
        <f>IF(S63&gt;$K$74,$K$71,IF(S63&lt;$K$74,(IF(S63&lt;0,0,S63*$N$71))))</f>
        <v>0</v>
      </c>
      <c r="T71" s="2088">
        <f>IF(T63&gt;$K$74,$K$71,IF(T63&lt;$K$74,(IF(T63&lt;0,0,T63*$N$71))))</f>
        <v>0</v>
      </c>
      <c r="U71" s="2088"/>
      <c r="V71" s="2088">
        <f>IF(V63&gt;$K$74,$K$71,IF(V63&lt;$K$74,(IF(V63&lt;0,0,V63*$N$71))))</f>
        <v>0</v>
      </c>
      <c r="W71" s="2091">
        <f>IF(W63&gt;$K$74,$K$71,IF(W63&lt;$K$74,(IF(W63&lt;0,0,W63*$N$71))))</f>
        <v>0</v>
      </c>
      <c r="X71" s="3271"/>
      <c r="Y71" s="2090">
        <f t="shared" si="215"/>
        <v>0</v>
      </c>
      <c r="Z71" s="2087">
        <f>$K$71*0</f>
        <v>0</v>
      </c>
      <c r="AA71" s="2174">
        <f t="shared" si="194"/>
        <v>0</v>
      </c>
      <c r="AB71" s="1766"/>
      <c r="AC71" s="2090">
        <f t="shared" ref="AC71:AI71" si="290">IF(AC63&gt;$K$74,$K$71,IF(AC63&lt;$K$74,(IF(AC63&lt;0,0,AC63*$N$71))))</f>
        <v>0</v>
      </c>
      <c r="AD71" s="2087">
        <f t="shared" si="290"/>
        <v>0</v>
      </c>
      <c r="AE71" s="2087">
        <f t="shared" si="290"/>
        <v>0</v>
      </c>
      <c r="AF71" s="2087">
        <f t="shared" si="290"/>
        <v>0</v>
      </c>
      <c r="AG71" s="2087">
        <f t="shared" si="290"/>
        <v>0</v>
      </c>
      <c r="AH71" s="2087">
        <f t="shared" si="290"/>
        <v>0</v>
      </c>
      <c r="AI71" s="2091">
        <f t="shared" si="290"/>
        <v>0</v>
      </c>
      <c r="AJ71" s="1766"/>
      <c r="AK71" s="2090">
        <f t="shared" si="168"/>
        <v>0</v>
      </c>
      <c r="AL71" s="2087">
        <f>$K$71*0</f>
        <v>0</v>
      </c>
      <c r="AM71" s="2174">
        <f t="shared" si="169"/>
        <v>0</v>
      </c>
      <c r="AN71" s="1766"/>
      <c r="AO71" s="2090">
        <f t="shared" ref="AO71:AU71" si="291">IF(AO63&gt;$K$74,$K$71,IF(AO63&lt;$K$74,(IF(AO63&lt;0,0,AO63*$N$71))))</f>
        <v>0</v>
      </c>
      <c r="AP71" s="2088">
        <f t="shared" si="291"/>
        <v>0</v>
      </c>
      <c r="AQ71" s="2088">
        <f t="shared" si="291"/>
        <v>0</v>
      </c>
      <c r="AR71" s="2088">
        <f t="shared" si="291"/>
        <v>0</v>
      </c>
      <c r="AS71" s="2088">
        <f t="shared" si="291"/>
        <v>0</v>
      </c>
      <c r="AT71" s="2088">
        <f t="shared" si="291"/>
        <v>0</v>
      </c>
      <c r="AU71" s="2088">
        <f t="shared" si="291"/>
        <v>0</v>
      </c>
      <c r="AV71" s="3271"/>
      <c r="AW71" s="2090">
        <f t="shared" si="264"/>
        <v>0</v>
      </c>
      <c r="AX71" s="2087">
        <f>$K$71*0</f>
        <v>0</v>
      </c>
      <c r="AY71" s="2174">
        <f t="shared" si="265"/>
        <v>0</v>
      </c>
      <c r="AZ71" s="3271"/>
      <c r="BA71" s="2090">
        <f t="shared" ref="BA71:BF71" si="292">IF(BA63&gt;$K$74,$K$71,IF(BA63&lt;$K$74,(IF(BA63&lt;0,0,BA63*$N$71))))</f>
        <v>0</v>
      </c>
      <c r="BB71" s="2088">
        <f t="shared" si="292"/>
        <v>0</v>
      </c>
      <c r="BC71" s="2088">
        <f t="shared" si="292"/>
        <v>0</v>
      </c>
      <c r="BD71" s="2088">
        <f t="shared" si="292"/>
        <v>0</v>
      </c>
      <c r="BE71" s="2088">
        <f t="shared" si="292"/>
        <v>0</v>
      </c>
      <c r="BF71" s="2088">
        <f t="shared" si="292"/>
        <v>0</v>
      </c>
      <c r="BG71" s="2091">
        <f t="shared" ref="BG71" si="293">IF(BG63&gt;$K$74,$K$71,IF(BG63&lt;$K$74,(IF(BG63&lt;0,0,BG63*$N$71))))</f>
        <v>0</v>
      </c>
      <c r="BH71" s="3271"/>
      <c r="BI71" s="2090">
        <f t="shared" si="254"/>
        <v>0</v>
      </c>
      <c r="BJ71" s="2087">
        <f>$K$71*0</f>
        <v>0</v>
      </c>
      <c r="BK71" s="2174">
        <f t="shared" si="255"/>
        <v>0</v>
      </c>
      <c r="BL71" s="3271"/>
      <c r="BM71" s="2090">
        <f t="shared" ref="BM71:BN71" si="294">IF(BM63&gt;$K$74,$K$71,IF(BM63&lt;$K$74,(IF(BM63&lt;0,0,BM63*$N$71))))</f>
        <v>0</v>
      </c>
      <c r="BN71" s="2091">
        <f t="shared" si="294"/>
        <v>0</v>
      </c>
      <c r="BO71" s="3271"/>
      <c r="BP71" s="2090">
        <f t="shared" si="257"/>
        <v>0</v>
      </c>
      <c r="BQ71" s="2087">
        <f>$K$71*0</f>
        <v>0</v>
      </c>
      <c r="BR71" s="2174">
        <f t="shared" si="258"/>
        <v>0</v>
      </c>
      <c r="BT71" s="2092"/>
      <c r="BU71" s="2093"/>
      <c r="BV71" s="1740"/>
      <c r="BW71" s="2092">
        <f t="shared" si="259"/>
        <v>0</v>
      </c>
      <c r="BX71" s="2094" t="e">
        <f t="shared" si="260"/>
        <v>#DIV/0!</v>
      </c>
      <c r="BY71" s="2351"/>
      <c r="BZ71" s="4636"/>
      <c r="CC71" s="3257"/>
      <c r="CD71" s="1860"/>
      <c r="CE71" s="1860"/>
      <c r="CF71" s="1860"/>
      <c r="CG71" s="1860"/>
      <c r="CH71" s="1860"/>
      <c r="CI71" s="1860"/>
      <c r="CJ71" s="1860"/>
      <c r="CK71" s="1860"/>
    </row>
    <row r="72" spans="1:89" s="1885" customFormat="1" x14ac:dyDescent="0.2">
      <c r="B72" s="2691">
        <v>54</v>
      </c>
      <c r="C72" s="2692" t="s">
        <v>227</v>
      </c>
      <c r="D72" s="2693"/>
      <c r="E72" s="2694">
        <v>0</v>
      </c>
      <c r="F72" s="2695"/>
      <c r="G72" s="2695"/>
      <c r="H72" s="2695"/>
      <c r="I72" s="2695"/>
      <c r="J72" s="2695"/>
      <c r="K72" s="2695">
        <f t="shared" si="248"/>
        <v>0</v>
      </c>
      <c r="L72" s="4130"/>
      <c r="M72" s="4130"/>
      <c r="N72" s="2696">
        <f t="shared" si="249"/>
        <v>0</v>
      </c>
      <c r="O72" s="2003"/>
      <c r="P72" s="1950"/>
      <c r="Q72" s="2169">
        <f>IF(Q63&gt;$K$74,$K$72,IF(Q63&lt;$K$74,(IF(Q63&lt;0,0,Q63*$N$72))))</f>
        <v>0</v>
      </c>
      <c r="R72" s="2176">
        <f>IF(R63&gt;$K$74,$K$72,IF(R63&lt;$K$74,(IF(R63&lt;0,0,R63*$N$72))))</f>
        <v>0</v>
      </c>
      <c r="S72" s="2176">
        <f>IF(S63&gt;$K$74,$K$72,IF(S63&lt;$K$74,(IF(S63&lt;0,0,S63*$N$72))))</f>
        <v>0</v>
      </c>
      <c r="T72" s="2176">
        <f>IF(T63&gt;$K$74,$K$72,IF(T63&lt;$K$74,(IF(T63&lt;0,0,T63*$N$72))))</f>
        <v>0</v>
      </c>
      <c r="U72" s="2176"/>
      <c r="V72" s="2176">
        <f>IF(V63&gt;$K$74,$K$72,IF(V63&lt;$K$74,(IF(V63&lt;0,0,V63*$N$72))))</f>
        <v>0</v>
      </c>
      <c r="W72" s="2171">
        <f>IF(W63&gt;$K$74,$K$72,IF(W63&lt;$K$74,(IF(W63&lt;0,0,W63*$N$72))))</f>
        <v>0</v>
      </c>
      <c r="X72" s="1951"/>
      <c r="Y72" s="2169">
        <f t="shared" si="215"/>
        <v>0</v>
      </c>
      <c r="Z72" s="2170">
        <f>$K$72*0</f>
        <v>0</v>
      </c>
      <c r="AA72" s="2178">
        <f t="shared" si="194"/>
        <v>0</v>
      </c>
      <c r="AB72" s="1956"/>
      <c r="AC72" s="2169">
        <f t="shared" ref="AC72:AI72" si="295">IF(AC63&gt;$K$74,$K$72,IF(AC63&lt;$K$74,(IF(AC63&lt;0,0,AC63*$N$72))))</f>
        <v>0</v>
      </c>
      <c r="AD72" s="2170">
        <f t="shared" si="295"/>
        <v>0</v>
      </c>
      <c r="AE72" s="2170">
        <f t="shared" si="295"/>
        <v>0</v>
      </c>
      <c r="AF72" s="2170">
        <f t="shared" si="295"/>
        <v>0</v>
      </c>
      <c r="AG72" s="2170">
        <f t="shared" si="295"/>
        <v>0</v>
      </c>
      <c r="AH72" s="2170">
        <f t="shared" si="295"/>
        <v>0</v>
      </c>
      <c r="AI72" s="2171">
        <f t="shared" si="295"/>
        <v>0</v>
      </c>
      <c r="AJ72" s="1956"/>
      <c r="AK72" s="2169">
        <f t="shared" si="168"/>
        <v>0</v>
      </c>
      <c r="AL72" s="2170">
        <f>$K$72*0</f>
        <v>0</v>
      </c>
      <c r="AM72" s="2178">
        <f t="shared" si="169"/>
        <v>0</v>
      </c>
      <c r="AN72" s="1956"/>
      <c r="AO72" s="2169">
        <f t="shared" ref="AO72:AU72" si="296">IF(AO63&gt;$K$74,$K$72,IF(AO63&lt;$K$74,(IF(AO63&lt;0,0,AO63*$N$72))))</f>
        <v>0</v>
      </c>
      <c r="AP72" s="2176">
        <f t="shared" si="296"/>
        <v>0</v>
      </c>
      <c r="AQ72" s="2176">
        <f t="shared" si="296"/>
        <v>0</v>
      </c>
      <c r="AR72" s="2176">
        <f t="shared" si="296"/>
        <v>0</v>
      </c>
      <c r="AS72" s="2176">
        <f t="shared" si="296"/>
        <v>0</v>
      </c>
      <c r="AT72" s="2176">
        <f t="shared" si="296"/>
        <v>0</v>
      </c>
      <c r="AU72" s="2176">
        <f t="shared" si="296"/>
        <v>0</v>
      </c>
      <c r="AV72" s="1951"/>
      <c r="AW72" s="2169">
        <f t="shared" si="264"/>
        <v>0</v>
      </c>
      <c r="AX72" s="2170">
        <f>$K$72*0</f>
        <v>0</v>
      </c>
      <c r="AY72" s="2178">
        <f t="shared" si="265"/>
        <v>0</v>
      </c>
      <c r="AZ72" s="1951"/>
      <c r="BA72" s="2169">
        <f t="shared" ref="BA72:BF72" si="297">IF(BA63&gt;$K$74,$K$72,IF(BA63&lt;$K$74,(IF(BA63&lt;0,0,BA63*$N$72))))</f>
        <v>0</v>
      </c>
      <c r="BB72" s="2176">
        <f t="shared" si="297"/>
        <v>0</v>
      </c>
      <c r="BC72" s="2176">
        <f t="shared" si="297"/>
        <v>0</v>
      </c>
      <c r="BD72" s="2176">
        <f t="shared" si="297"/>
        <v>0</v>
      </c>
      <c r="BE72" s="2176">
        <f t="shared" si="297"/>
        <v>0</v>
      </c>
      <c r="BF72" s="2176">
        <f t="shared" si="297"/>
        <v>0</v>
      </c>
      <c r="BG72" s="2171">
        <f t="shared" ref="BG72" si="298">IF(BG63&gt;$K$74,$K$72,IF(BG63&lt;$K$74,(IF(BG63&lt;0,0,BG63*$N$72))))</f>
        <v>0</v>
      </c>
      <c r="BH72" s="1951"/>
      <c r="BI72" s="2169">
        <f t="shared" si="254"/>
        <v>0</v>
      </c>
      <c r="BJ72" s="2170">
        <f>$K$72*0</f>
        <v>0</v>
      </c>
      <c r="BK72" s="2178">
        <f t="shared" si="255"/>
        <v>0</v>
      </c>
      <c r="BL72" s="1951"/>
      <c r="BM72" s="2169">
        <f t="shared" ref="BM72:BN72" si="299">IF(BM63&gt;$K$74,$K$72,IF(BM63&lt;$K$74,(IF(BM63&lt;0,0,BM63*$N$72))))</f>
        <v>0</v>
      </c>
      <c r="BN72" s="2171">
        <f t="shared" si="299"/>
        <v>0</v>
      </c>
      <c r="BO72" s="1951"/>
      <c r="BP72" s="2169">
        <f t="shared" si="257"/>
        <v>0</v>
      </c>
      <c r="BQ72" s="2170">
        <f>$K$72*0</f>
        <v>0</v>
      </c>
      <c r="BR72" s="2178">
        <f t="shared" si="258"/>
        <v>0</v>
      </c>
      <c r="BT72" s="2179"/>
      <c r="BU72" s="2180"/>
      <c r="BV72" s="1900"/>
      <c r="BW72" s="2179">
        <f t="shared" si="259"/>
        <v>0</v>
      </c>
      <c r="BX72" s="2181" t="e">
        <f t="shared" si="260"/>
        <v>#DIV/0!</v>
      </c>
      <c r="BY72" s="2353"/>
      <c r="BZ72" s="4636"/>
      <c r="CC72" s="3248"/>
      <c r="CD72" s="1946"/>
      <c r="CE72" s="1946"/>
      <c r="CF72" s="1946"/>
      <c r="CG72" s="1946"/>
      <c r="CH72" s="1946"/>
      <c r="CI72" s="1946"/>
      <c r="CJ72" s="1946"/>
      <c r="CK72" s="1946"/>
    </row>
    <row r="73" spans="1:89" s="1726" customFormat="1" ht="17.25" thickBot="1" x14ac:dyDescent="0.25">
      <c r="B73" s="2647">
        <v>55</v>
      </c>
      <c r="C73" s="2648" t="s">
        <v>228</v>
      </c>
      <c r="D73" s="2649"/>
      <c r="E73" s="2193">
        <v>0</v>
      </c>
      <c r="F73" s="2313">
        <f>E73/10</f>
        <v>0</v>
      </c>
      <c r="G73" s="2313">
        <f>E73/15</f>
        <v>0</v>
      </c>
      <c r="H73" s="2313">
        <f>E73/20</f>
        <v>0</v>
      </c>
      <c r="I73" s="2313">
        <f>E73/25</f>
        <v>0</v>
      </c>
      <c r="J73" s="2313"/>
      <c r="K73" s="2313">
        <f t="shared" si="248"/>
        <v>0</v>
      </c>
      <c r="L73" s="4131"/>
      <c r="M73" s="4131"/>
      <c r="N73" s="2194">
        <f t="shared" si="249"/>
        <v>0</v>
      </c>
      <c r="O73" s="1931"/>
      <c r="P73" s="1924"/>
      <c r="Q73" s="2092">
        <f>IF(Q63&gt;$K$74,$K$73,IF(Q63&lt;$K$74,(IF(Q63&lt;0,0,Q63*$N$73))))</f>
        <v>0</v>
      </c>
      <c r="R73" s="2111">
        <f>IF(R63&gt;$K$74,$K$73,IF(R63&lt;$K$74,(IF(R63&lt;0,0,R63*$N$73))))</f>
        <v>0</v>
      </c>
      <c r="S73" s="2111">
        <f>IF(S63&gt;$K$74,$K$73,IF(S63&lt;$K$74,(IF(S63&lt;0,0,S63*$N$73))))</f>
        <v>0</v>
      </c>
      <c r="T73" s="2111">
        <f>IF(T63&gt;$K$74,$K$73,IF(T63&lt;$K$74,(IF(T63&lt;0,0,T63*$N$73))))</f>
        <v>0</v>
      </c>
      <c r="U73" s="2111"/>
      <c r="V73" s="2111">
        <f>IF(V63&gt;$K$74,$K$73,IF(V63&lt;$K$74,(IF(V63&lt;0,0,V63*$N$73))))</f>
        <v>0</v>
      </c>
      <c r="W73" s="2113">
        <f>IF(W63&gt;$K$74,$K$73,IF(W63&lt;$K$74,(IF(W63&lt;0,0,W63*$N$73))))</f>
        <v>0</v>
      </c>
      <c r="X73" s="3271"/>
      <c r="Y73" s="2445">
        <f t="shared" si="78"/>
        <v>0</v>
      </c>
      <c r="Z73" s="2650">
        <f>$K$73*0</f>
        <v>0</v>
      </c>
      <c r="AA73" s="2651">
        <f t="shared" si="194"/>
        <v>0</v>
      </c>
      <c r="AB73" s="1766"/>
      <c r="AC73" s="2445">
        <f t="shared" ref="AC73:AI73" si="300">IF(AC63&gt;$K$74,$K$73,IF(AC63&lt;$K$74,(IF(AC63&lt;0,0,AC63*$N$73))))</f>
        <v>0</v>
      </c>
      <c r="AD73" s="2650">
        <f t="shared" si="300"/>
        <v>0</v>
      </c>
      <c r="AE73" s="2650">
        <f t="shared" si="300"/>
        <v>0</v>
      </c>
      <c r="AF73" s="2650">
        <f t="shared" si="300"/>
        <v>0</v>
      </c>
      <c r="AG73" s="2650">
        <f t="shared" si="300"/>
        <v>0</v>
      </c>
      <c r="AH73" s="2650">
        <f t="shared" si="300"/>
        <v>0</v>
      </c>
      <c r="AI73" s="2652">
        <f t="shared" si="300"/>
        <v>0</v>
      </c>
      <c r="AJ73" s="1766"/>
      <c r="AK73" s="2445">
        <f t="shared" si="168"/>
        <v>0</v>
      </c>
      <c r="AL73" s="2650">
        <f>$K$73*0</f>
        <v>0</v>
      </c>
      <c r="AM73" s="2651">
        <f t="shared" si="169"/>
        <v>0</v>
      </c>
      <c r="AN73" s="1766"/>
      <c r="AO73" s="2193">
        <f t="shared" ref="AO73:AU73" si="301">IF(AO63&gt;$K$74,$K$73,IF(AO63&lt;$K$74,(IF(AO63&lt;0,0,AO63*$N$73))))</f>
        <v>0</v>
      </c>
      <c r="AP73" s="2313">
        <f t="shared" si="301"/>
        <v>0</v>
      </c>
      <c r="AQ73" s="2313">
        <f t="shared" si="301"/>
        <v>0</v>
      </c>
      <c r="AR73" s="2313">
        <f t="shared" si="301"/>
        <v>0</v>
      </c>
      <c r="AS73" s="2313">
        <f t="shared" si="301"/>
        <v>0</v>
      </c>
      <c r="AT73" s="2313">
        <f t="shared" si="301"/>
        <v>0</v>
      </c>
      <c r="AU73" s="2313">
        <f t="shared" si="301"/>
        <v>0</v>
      </c>
      <c r="AV73" s="3271"/>
      <c r="AW73" s="2445">
        <f t="shared" si="264"/>
        <v>0</v>
      </c>
      <c r="AX73" s="2650">
        <f>$K$73*0</f>
        <v>0</v>
      </c>
      <c r="AY73" s="2651">
        <f t="shared" si="265"/>
        <v>0</v>
      </c>
      <c r="AZ73" s="3271"/>
      <c r="BA73" s="2193">
        <f t="shared" ref="BA73:BF73" si="302">IF(BA63&gt;$K$74,$K$73,IF(BA63&lt;$K$74,(IF(BA63&lt;0,0,BA63*$N$73))))</f>
        <v>0</v>
      </c>
      <c r="BB73" s="2313">
        <f t="shared" si="302"/>
        <v>0</v>
      </c>
      <c r="BC73" s="2313">
        <f t="shared" si="302"/>
        <v>0</v>
      </c>
      <c r="BD73" s="2313">
        <f t="shared" si="302"/>
        <v>0</v>
      </c>
      <c r="BE73" s="2313">
        <f t="shared" si="302"/>
        <v>0</v>
      </c>
      <c r="BF73" s="2313">
        <f t="shared" si="302"/>
        <v>0</v>
      </c>
      <c r="BG73" s="2314">
        <f t="shared" ref="BG73" si="303">IF(BG63&gt;$K$74,$K$73,IF(BG63&lt;$K$74,(IF(BG63&lt;0,0,BG63*$N$73))))</f>
        <v>0</v>
      </c>
      <c r="BH73" s="3271"/>
      <c r="BI73" s="2445">
        <f t="shared" si="254"/>
        <v>0</v>
      </c>
      <c r="BJ73" s="2650">
        <f>$K$73*0</f>
        <v>0</v>
      </c>
      <c r="BK73" s="2651">
        <f t="shared" si="255"/>
        <v>0</v>
      </c>
      <c r="BL73" s="3271"/>
      <c r="BM73" s="2193">
        <f t="shared" ref="BM73:BN73" si="304">IF(BM63&gt;$K$74,$K$73,IF(BM63&lt;$K$74,(IF(BM63&lt;0,0,BM63*$N$73))))</f>
        <v>0</v>
      </c>
      <c r="BN73" s="2314">
        <f t="shared" si="304"/>
        <v>0</v>
      </c>
      <c r="BO73" s="3271"/>
      <c r="BP73" s="2445">
        <f t="shared" si="257"/>
        <v>0</v>
      </c>
      <c r="BQ73" s="2650">
        <f>$K$73*0</f>
        <v>0</v>
      </c>
      <c r="BR73" s="2651">
        <f t="shared" si="258"/>
        <v>0</v>
      </c>
      <c r="BT73" s="2193"/>
      <c r="BU73" s="2654"/>
      <c r="BV73" s="1740"/>
      <c r="BW73" s="2193">
        <f t="shared" si="259"/>
        <v>0</v>
      </c>
      <c r="BX73" s="2195" t="e">
        <f t="shared" si="260"/>
        <v>#DIV/0!</v>
      </c>
      <c r="BY73" s="2351"/>
      <c r="BZ73" s="4636"/>
      <c r="CC73" s="3257"/>
      <c r="CD73" s="3257"/>
      <c r="CE73" s="1860"/>
      <c r="CF73" s="1860"/>
      <c r="CG73" s="1860"/>
      <c r="CH73" s="1860"/>
      <c r="CI73" s="1860"/>
      <c r="CJ73" s="1860"/>
      <c r="CK73" s="1860"/>
    </row>
    <row r="74" spans="1:89" s="1885" customFormat="1" ht="17.25" thickBot="1" x14ac:dyDescent="0.25">
      <c r="B74" s="2697"/>
      <c r="C74" s="2698" t="s">
        <v>194</v>
      </c>
      <c r="D74" s="2119"/>
      <c r="E74" s="2183">
        <f>SUM(E65:E73)</f>
        <v>1664</v>
      </c>
      <c r="F74" s="2311">
        <f>SUM(F52:F73)</f>
        <v>153.15</v>
      </c>
      <c r="G74" s="2311">
        <f>SUM(G52:G73)</f>
        <v>102.10000000000001</v>
      </c>
      <c r="H74" s="2311">
        <f>SUM(H52:H73)</f>
        <v>76.575000000000003</v>
      </c>
      <c r="I74" s="2311">
        <f>SUM(I52:I73)</f>
        <v>61.260000000000005</v>
      </c>
      <c r="J74" s="2311"/>
      <c r="K74" s="2311">
        <f>SUM(K65:K73)</f>
        <v>57.37931034482758</v>
      </c>
      <c r="L74" s="4132"/>
      <c r="M74" s="4132"/>
      <c r="N74" s="2699">
        <f>SUM(N65:N73)</f>
        <v>1</v>
      </c>
      <c r="O74" s="2003"/>
      <c r="P74" s="1950"/>
      <c r="Q74" s="2120">
        <f t="shared" ref="Q74:R74" si="305">SUM(Q65:Q73)</f>
        <v>29.250244887984095</v>
      </c>
      <c r="R74" s="2121">
        <f t="shared" si="305"/>
        <v>47.958244887984094</v>
      </c>
      <c r="S74" s="2121">
        <f t="shared" ref="S74:T74" si="306">SUM(S65:S73)</f>
        <v>48.545244887984097</v>
      </c>
      <c r="T74" s="2121">
        <f t="shared" si="306"/>
        <v>43.788244887984092</v>
      </c>
      <c r="U74" s="2121"/>
      <c r="V74" s="2121">
        <f t="shared" ref="V74:W74" si="307">SUM(V65:V73)</f>
        <v>57.37931034482758</v>
      </c>
      <c r="W74" s="2124">
        <f t="shared" si="307"/>
        <v>52.619244887984102</v>
      </c>
      <c r="X74" s="1951"/>
      <c r="Y74" s="2120">
        <f>SUM(Y65:Y73)</f>
        <v>279.5405347847481</v>
      </c>
      <c r="Z74" s="2123">
        <f>SUM(Z65:Z73)</f>
        <v>0</v>
      </c>
      <c r="AA74" s="2125">
        <f>SUM(AA65:AA73)</f>
        <v>279.5405347847481</v>
      </c>
      <c r="AB74" s="1956"/>
      <c r="AC74" s="2120">
        <f t="shared" ref="AC74:AD74" si="308">SUM(AC65:AC73)</f>
        <v>21.545244887984097</v>
      </c>
      <c r="AD74" s="2123">
        <f t="shared" si="308"/>
        <v>52.494244887984102</v>
      </c>
      <c r="AE74" s="2123">
        <f t="shared" ref="AE74:AF74" si="309">SUM(AE65:AE73)</f>
        <v>41.175244887984093</v>
      </c>
      <c r="AF74" s="2123">
        <f t="shared" si="309"/>
        <v>24.841244887984086</v>
      </c>
      <c r="AG74" s="2123">
        <f t="shared" ref="AG74:AH74" si="310">SUM(AG65:AG73)</f>
        <v>48.271044304137938</v>
      </c>
      <c r="AH74" s="2123">
        <f t="shared" si="310"/>
        <v>42.240244887984083</v>
      </c>
      <c r="AI74" s="2124">
        <f t="shared" ref="AI74" si="311">SUM(AI65:AI73)</f>
        <v>19.505244887984091</v>
      </c>
      <c r="AJ74" s="1956"/>
      <c r="AK74" s="2120">
        <f>SUM(AC74:AI74)</f>
        <v>250.0725136320425</v>
      </c>
      <c r="AL74" s="2123">
        <f>SUM(AL65:AL73)</f>
        <v>0</v>
      </c>
      <c r="AM74" s="2125">
        <f>SUM(AM52:AM73)</f>
        <v>412.52078949411151</v>
      </c>
      <c r="AN74" s="1956"/>
      <c r="AO74" s="2120">
        <f t="shared" ref="AO74:AP74" si="312">SUM(AO65:AO73)</f>
        <v>51.711744887984096</v>
      </c>
      <c r="AP74" s="2121">
        <f t="shared" si="312"/>
        <v>0</v>
      </c>
      <c r="AQ74" s="2121">
        <f t="shared" ref="AQ74:AS74" si="313">SUM(AQ65:AQ73)</f>
        <v>9.5092448879840976</v>
      </c>
      <c r="AR74" s="2121">
        <f t="shared" si="313"/>
        <v>36.027744887984085</v>
      </c>
      <c r="AS74" s="2121">
        <f t="shared" si="313"/>
        <v>19.506544304137936</v>
      </c>
      <c r="AT74" s="2121">
        <f t="shared" ref="AT74:AU74" si="314">SUM(AT65:AT73)</f>
        <v>49.681744887984088</v>
      </c>
      <c r="AU74" s="2121">
        <f t="shared" si="314"/>
        <v>31.85624488798409</v>
      </c>
      <c r="AV74" s="1951"/>
      <c r="AW74" s="2120">
        <f>SUM(AO74:AU74)</f>
        <v>198.29326874405837</v>
      </c>
      <c r="AX74" s="2123">
        <f>SUM(AX65:AX73)</f>
        <v>0</v>
      </c>
      <c r="AY74" s="2125">
        <f>SUM(AY52:AY73)</f>
        <v>349.86203438209549</v>
      </c>
      <c r="AZ74" s="1951"/>
      <c r="BA74" s="2120">
        <f t="shared" ref="BA74:BB74" si="315">SUM(BA65:BA73)</f>
        <v>20.260244887984086</v>
      </c>
      <c r="BB74" s="2121">
        <f t="shared" si="315"/>
        <v>11.941244887984082</v>
      </c>
      <c r="BC74" s="2121">
        <f t="shared" ref="BC74:BE74" si="316">SUM(BC65:BC73)</f>
        <v>9.6367448879840936</v>
      </c>
      <c r="BD74" s="2121">
        <f t="shared" si="316"/>
        <v>31.450244887984084</v>
      </c>
      <c r="BE74" s="2121">
        <f t="shared" si="316"/>
        <v>41.746044304137932</v>
      </c>
      <c r="BF74" s="2121">
        <f t="shared" ref="BF74" si="317">SUM(BF65:BF73)</f>
        <v>42.839744887984097</v>
      </c>
      <c r="BG74" s="2124">
        <f t="shared" ref="BG74" si="318">SUM(BG65:BG73)</f>
        <v>11.975744887984092</v>
      </c>
      <c r="BH74" s="1951"/>
      <c r="BI74" s="2187">
        <f>SUM(BA74:BG74)</f>
        <v>169.85001363204248</v>
      </c>
      <c r="BJ74" s="2701">
        <f>SUM(BJ65:BJ73)</f>
        <v>0</v>
      </c>
      <c r="BK74" s="2702">
        <f>SUM(BK52:BK73)</f>
        <v>332.29828949411143</v>
      </c>
      <c r="BL74" s="1951"/>
      <c r="BM74" s="2120">
        <f t="shared" ref="BM74:BN74" si="319">SUM(BM65:BM73)</f>
        <v>22.00674488798408</v>
      </c>
      <c r="BN74" s="2124">
        <f t="shared" si="319"/>
        <v>8.7722448879840869</v>
      </c>
      <c r="BO74" s="1951"/>
      <c r="BP74" s="2187">
        <f t="shared" si="257"/>
        <v>30.778989775968167</v>
      </c>
      <c r="BQ74" s="2701">
        <f>SUM(BQ52:BQ73)</f>
        <v>0</v>
      </c>
      <c r="BR74" s="2702">
        <f>SUM(BR52:BR73)</f>
        <v>77.19278287941647</v>
      </c>
      <c r="BT74" s="2187">
        <f>AA74+AM74+AY74</f>
        <v>1041.923358660955</v>
      </c>
      <c r="BU74" s="2427"/>
      <c r="BV74" s="1900"/>
      <c r="BW74" s="2187">
        <f>SUM(BW65:BW73)</f>
        <v>906.52857568087563</v>
      </c>
      <c r="BX74" s="2189">
        <f t="shared" si="260"/>
        <v>0.54478880750052627</v>
      </c>
      <c r="BY74" s="2353"/>
      <c r="BZ74" s="4637"/>
      <c r="CC74" s="3248"/>
      <c r="CD74" s="1946"/>
      <c r="CE74" s="1946"/>
      <c r="CF74" s="1946"/>
      <c r="CG74" s="1946"/>
      <c r="CH74" s="1946"/>
      <c r="CI74" s="1946"/>
      <c r="CJ74" s="1946"/>
      <c r="CK74" s="1946"/>
    </row>
    <row r="75" spans="1:89" s="1860" customFormat="1" ht="4.5" customHeight="1" x14ac:dyDescent="0.2">
      <c r="B75" s="2196"/>
      <c r="C75" s="2196"/>
      <c r="D75" s="1861"/>
      <c r="E75" s="2197"/>
      <c r="F75" s="2197"/>
      <c r="G75" s="2197"/>
      <c r="H75" s="2197"/>
      <c r="I75" s="2197"/>
      <c r="J75" s="2197"/>
      <c r="K75" s="2197"/>
      <c r="L75" s="2197"/>
      <c r="M75" s="2197"/>
      <c r="N75" s="2198"/>
      <c r="O75" s="1760"/>
      <c r="P75" s="3257"/>
      <c r="Q75" s="2197"/>
      <c r="R75" s="2197"/>
      <c r="S75" s="2197"/>
      <c r="T75" s="2197"/>
      <c r="U75" s="2197"/>
      <c r="V75" s="2197"/>
      <c r="W75" s="2197"/>
      <c r="X75" s="3259"/>
      <c r="Y75" s="3259"/>
      <c r="Z75" s="3259"/>
      <c r="AA75" s="3259"/>
      <c r="AB75" s="1862"/>
      <c r="AC75" s="2199"/>
      <c r="AD75" s="2199"/>
      <c r="AE75" s="2199"/>
      <c r="AF75" s="2199"/>
      <c r="AG75" s="2199"/>
      <c r="AH75" s="2199"/>
      <c r="AI75" s="2199"/>
      <c r="AJ75" s="1862"/>
      <c r="AK75" s="3259"/>
      <c r="AL75" s="3259"/>
      <c r="AM75" s="3259"/>
      <c r="AN75" s="1862"/>
      <c r="AO75" s="2197"/>
      <c r="AP75" s="2197"/>
      <c r="AQ75" s="2197"/>
      <c r="AR75" s="2197"/>
      <c r="AS75" s="2197"/>
      <c r="AT75" s="2197"/>
      <c r="AU75" s="2197"/>
      <c r="AV75" s="3259"/>
      <c r="AW75" s="3259"/>
      <c r="AX75" s="3259"/>
      <c r="AY75" s="3259"/>
      <c r="AZ75" s="3259"/>
      <c r="BA75" s="2197"/>
      <c r="BB75" s="2197"/>
      <c r="BC75" s="2197"/>
      <c r="BD75" s="2197"/>
      <c r="BE75" s="2197"/>
      <c r="BF75" s="2197"/>
      <c r="BG75" s="2197"/>
      <c r="BH75" s="3259"/>
      <c r="BI75" s="3259"/>
      <c r="BJ75" s="3259"/>
      <c r="BK75" s="3259"/>
      <c r="BL75" s="3259"/>
      <c r="BM75" s="2197"/>
      <c r="BN75" s="2197"/>
      <c r="BO75" s="3259"/>
      <c r="BP75" s="3259"/>
      <c r="BQ75" s="3259"/>
      <c r="BR75" s="3259"/>
      <c r="BT75" s="2197"/>
      <c r="BU75" s="2200"/>
      <c r="BV75" s="1861"/>
      <c r="BW75" s="2197"/>
      <c r="BX75" s="2198"/>
      <c r="BY75" s="1997"/>
      <c r="BZ75" s="3257"/>
    </row>
    <row r="76" spans="1:89" s="1860" customFormat="1" ht="15.75" customHeight="1" x14ac:dyDescent="0.2">
      <c r="B76" s="2196"/>
      <c r="C76" s="2197"/>
      <c r="D76" s="1861"/>
      <c r="E76" s="1732">
        <f>E61+E74</f>
        <v>2000.5</v>
      </c>
      <c r="F76" s="1732">
        <f t="shared" ref="F76:I76" si="320">F61+F74</f>
        <v>153.15</v>
      </c>
      <c r="G76" s="1732">
        <f t="shared" si="320"/>
        <v>102.10000000000001</v>
      </c>
      <c r="H76" s="1732">
        <f t="shared" si="320"/>
        <v>76.575000000000003</v>
      </c>
      <c r="I76" s="1732">
        <f t="shared" si="320"/>
        <v>61.260000000000005</v>
      </c>
      <c r="J76" s="1732"/>
      <c r="K76" s="1732">
        <f>K61+K74</f>
        <v>68.982758620689651</v>
      </c>
      <c r="L76" s="1732"/>
      <c r="M76" s="1732"/>
      <c r="N76" s="1882">
        <f>E76/E95</f>
        <v>0.37552271429056805</v>
      </c>
      <c r="O76" s="1760"/>
      <c r="P76" s="3257"/>
      <c r="Q76" s="1732">
        <f t="shared" ref="Q76:R76" si="321">Q63-Q74</f>
        <v>0</v>
      </c>
      <c r="R76" s="1732">
        <f t="shared" si="321"/>
        <v>0</v>
      </c>
      <c r="S76" s="1732">
        <f t="shared" ref="S76:T76" si="322">S63-S74</f>
        <v>0</v>
      </c>
      <c r="T76" s="1732">
        <f t="shared" si="322"/>
        <v>0</v>
      </c>
      <c r="U76" s="1732"/>
      <c r="V76" s="1732">
        <f t="shared" ref="V76:W76" si="323">V63-V74</f>
        <v>12.031434543156514</v>
      </c>
      <c r="W76" s="1732">
        <f t="shared" si="323"/>
        <v>0</v>
      </c>
      <c r="X76" s="3259"/>
      <c r="Y76" s="3259"/>
      <c r="Z76" s="3259"/>
      <c r="AA76" s="3259"/>
      <c r="AB76" s="1862"/>
      <c r="AC76" s="1732">
        <f t="shared" ref="AC76:AD76" si="324">AC63-AC74</f>
        <v>0</v>
      </c>
      <c r="AD76" s="1732">
        <f t="shared" si="324"/>
        <v>0</v>
      </c>
      <c r="AE76" s="1732">
        <f t="shared" ref="AE76:AF76" si="325">AE63-AE74</f>
        <v>0</v>
      </c>
      <c r="AF76" s="1732">
        <f t="shared" si="325"/>
        <v>0</v>
      </c>
      <c r="AG76" s="1732">
        <f t="shared" ref="AG76:AH76" si="326">AG63-AG74</f>
        <v>0</v>
      </c>
      <c r="AH76" s="1732">
        <f t="shared" si="326"/>
        <v>0</v>
      </c>
      <c r="AI76" s="1732">
        <f t="shared" ref="AI76" si="327">AI63-AI74</f>
        <v>0</v>
      </c>
      <c r="AJ76" s="1862"/>
      <c r="AK76" s="3259"/>
      <c r="AL76" s="3259"/>
      <c r="AM76" s="3259"/>
      <c r="AN76" s="1862"/>
      <c r="AO76" s="1732">
        <f t="shared" ref="AO76:AP76" si="328">AO63-AO74</f>
        <v>0</v>
      </c>
      <c r="AP76" s="1732">
        <f t="shared" si="328"/>
        <v>0</v>
      </c>
      <c r="AQ76" s="1732">
        <f t="shared" ref="AQ76:AS76" si="329">AQ63-AQ74</f>
        <v>0</v>
      </c>
      <c r="AR76" s="1732">
        <f t="shared" si="329"/>
        <v>0</v>
      </c>
      <c r="AS76" s="1732">
        <f t="shared" si="329"/>
        <v>0</v>
      </c>
      <c r="AT76" s="1732">
        <f t="shared" ref="AT76:AU76" si="330">AT63-AT74</f>
        <v>0</v>
      </c>
      <c r="AU76" s="1732">
        <f t="shared" si="330"/>
        <v>0</v>
      </c>
      <c r="AV76" s="3259"/>
      <c r="AW76" s="3259"/>
      <c r="AX76" s="3259"/>
      <c r="AY76" s="3259"/>
      <c r="AZ76" s="3259"/>
      <c r="BA76" s="1732">
        <f t="shared" ref="BA76:BB76" si="331">BA63-BA74</f>
        <v>0</v>
      </c>
      <c r="BB76" s="1732">
        <f t="shared" si="331"/>
        <v>0</v>
      </c>
      <c r="BC76" s="1732">
        <f t="shared" ref="BC76:BE76" si="332">BC63-BC74</f>
        <v>0</v>
      </c>
      <c r="BD76" s="1732">
        <f t="shared" si="332"/>
        <v>0</v>
      </c>
      <c r="BE76" s="1732">
        <f t="shared" si="332"/>
        <v>0</v>
      </c>
      <c r="BF76" s="1732">
        <f t="shared" ref="BF76" si="333">BF63-BF74</f>
        <v>0</v>
      </c>
      <c r="BG76" s="1732">
        <f t="shared" ref="BG76" si="334">BG63-BG74</f>
        <v>0</v>
      </c>
      <c r="BH76" s="3259"/>
      <c r="BI76" s="3259"/>
      <c r="BJ76" s="3259"/>
      <c r="BK76" s="3259"/>
      <c r="BL76" s="3259"/>
      <c r="BM76" s="1732">
        <f t="shared" ref="BM76:BN76" si="335">BM63-BM74</f>
        <v>0</v>
      </c>
      <c r="BN76" s="1732">
        <f t="shared" si="335"/>
        <v>0</v>
      </c>
      <c r="BO76" s="3259"/>
      <c r="BP76" s="3259"/>
      <c r="BQ76" s="3259"/>
      <c r="BR76" s="3259"/>
      <c r="BT76" s="1732"/>
      <c r="BU76" s="2211"/>
      <c r="BV76" s="1861"/>
      <c r="BW76" s="1732"/>
      <c r="BX76" s="1882"/>
      <c r="BY76" s="1997"/>
      <c r="BZ76" s="3257"/>
    </row>
    <row r="77" spans="1:89" s="1860" customFormat="1" ht="4.5" customHeight="1" thickBot="1" x14ac:dyDescent="0.25">
      <c r="B77" s="2196"/>
      <c r="C77" s="2196"/>
      <c r="D77" s="1861"/>
      <c r="E77" s="2197"/>
      <c r="F77" s="2197"/>
      <c r="G77" s="2197"/>
      <c r="H77" s="2197"/>
      <c r="I77" s="2197"/>
      <c r="J77" s="2197"/>
      <c r="K77" s="2197"/>
      <c r="L77" s="2197"/>
      <c r="M77" s="2197"/>
      <c r="N77" s="2198"/>
      <c r="O77" s="1760"/>
      <c r="P77" s="3257"/>
      <c r="Q77" s="3259"/>
      <c r="R77" s="3521"/>
      <c r="S77" s="3524"/>
      <c r="T77" s="3528"/>
      <c r="U77" s="3259"/>
      <c r="V77" s="3259"/>
      <c r="W77" s="3259"/>
      <c r="X77" s="3259"/>
      <c r="Y77" s="3259"/>
      <c r="Z77" s="3259"/>
      <c r="AA77" s="3259"/>
      <c r="AB77" s="1862"/>
      <c r="AC77" s="2232"/>
      <c r="AD77" s="2232"/>
      <c r="AE77" s="2232"/>
      <c r="AF77" s="2232"/>
      <c r="AG77" s="2232"/>
      <c r="AH77" s="2232"/>
      <c r="AI77" s="2232"/>
      <c r="AJ77" s="1862"/>
      <c r="AK77" s="3259"/>
      <c r="AL77" s="3259"/>
      <c r="AM77" s="3259"/>
      <c r="AN77" s="1862"/>
      <c r="AO77" s="2232"/>
      <c r="AP77" s="2232"/>
      <c r="AQ77" s="2232"/>
      <c r="AR77" s="2232"/>
      <c r="AS77" s="2232"/>
      <c r="AT77" s="2232"/>
      <c r="AU77" s="2232"/>
      <c r="AV77" s="3259"/>
      <c r="AW77" s="3259"/>
      <c r="AX77" s="3259"/>
      <c r="AY77" s="3259"/>
      <c r="AZ77" s="3259"/>
      <c r="BA77" s="2232"/>
      <c r="BB77" s="2232"/>
      <c r="BC77" s="2232"/>
      <c r="BD77" s="2232"/>
      <c r="BE77" s="2232"/>
      <c r="BF77" s="2232"/>
      <c r="BG77" s="2232"/>
      <c r="BH77" s="3259"/>
      <c r="BI77" s="3259"/>
      <c r="BJ77" s="3259"/>
      <c r="BK77" s="3259"/>
      <c r="BL77" s="3259"/>
      <c r="BM77" s="2199"/>
      <c r="BN77" s="2199"/>
      <c r="BO77" s="3259"/>
      <c r="BP77" s="3259"/>
      <c r="BQ77" s="3259"/>
      <c r="BR77" s="3259"/>
      <c r="BT77" s="2199"/>
      <c r="BU77" s="2203"/>
      <c r="BV77" s="1861"/>
      <c r="BW77" s="2199"/>
      <c r="BX77" s="2204"/>
      <c r="BY77" s="1997"/>
      <c r="BZ77" s="3257"/>
    </row>
    <row r="78" spans="1:89" s="1885" customFormat="1" ht="17.25" thickBot="1" x14ac:dyDescent="0.25">
      <c r="B78" s="2401"/>
      <c r="C78" s="2401" t="s">
        <v>151</v>
      </c>
      <c r="D78" s="2402"/>
      <c r="E78" s="1898">
        <f>(E74+E61)*100/20</f>
        <v>10002.5</v>
      </c>
      <c r="F78" s="1898" t="e">
        <f>#REF!+F74</f>
        <v>#REF!</v>
      </c>
      <c r="G78" s="1898" t="e">
        <f>#REF!+G74</f>
        <v>#REF!</v>
      </c>
      <c r="H78" s="1898" t="e">
        <f>#REF!+H74</f>
        <v>#REF!</v>
      </c>
      <c r="I78" s="1898" t="e">
        <f>#REF!+I74</f>
        <v>#REF!</v>
      </c>
      <c r="J78" s="1898"/>
      <c r="K78" s="1898">
        <f>(K74+K61)*100/20</f>
        <v>344.91379310344826</v>
      </c>
      <c r="L78" s="1898"/>
      <c r="M78" s="1898"/>
      <c r="N78" s="1899">
        <f>E78/E93</f>
        <v>0.37552271429056805</v>
      </c>
      <c r="O78" s="1949"/>
      <c r="P78" s="3248"/>
      <c r="Q78" s="3251"/>
      <c r="R78" s="3520"/>
      <c r="S78" s="3523"/>
      <c r="T78" s="3527"/>
      <c r="U78" s="3251"/>
      <c r="V78" s="3251"/>
      <c r="W78" s="3251"/>
      <c r="X78" s="3249"/>
      <c r="Y78" s="2319"/>
      <c r="Z78" s="2321"/>
      <c r="AA78" s="2433"/>
      <c r="AB78" s="1897"/>
      <c r="AC78" s="3251"/>
      <c r="AD78" s="3251"/>
      <c r="AE78" s="4060"/>
      <c r="AF78" s="4065"/>
      <c r="AG78" s="4070"/>
      <c r="AH78" s="4075"/>
      <c r="AI78" s="3251"/>
      <c r="AJ78" s="1896"/>
      <c r="AK78" s="2319"/>
      <c r="AL78" s="2321"/>
      <c r="AM78" s="2433"/>
      <c r="AN78" s="1897"/>
      <c r="AO78" s="3251"/>
      <c r="AP78" s="3251"/>
      <c r="AQ78" s="4084"/>
      <c r="AR78" s="4088"/>
      <c r="AS78" s="4088"/>
      <c r="AT78" s="4092"/>
      <c r="AU78" s="3251"/>
      <c r="AV78" s="2295"/>
      <c r="AW78" s="2319"/>
      <c r="AX78" s="2321"/>
      <c r="AY78" s="2433"/>
      <c r="AZ78" s="3249"/>
      <c r="BA78" s="3251"/>
      <c r="BB78" s="3251"/>
      <c r="BC78" s="4108"/>
      <c r="BD78" s="4112"/>
      <c r="BE78" s="3251"/>
      <c r="BF78" s="3251"/>
      <c r="BG78" s="3251"/>
      <c r="BH78" s="2295"/>
      <c r="BI78" s="2319">
        <f t="shared" ref="BI78:BI79" si="336">SUM(BA78:BG78)</f>
        <v>0</v>
      </c>
      <c r="BJ78" s="2321"/>
      <c r="BK78" s="2433"/>
      <c r="BL78" s="3249"/>
      <c r="BM78" s="1898"/>
      <c r="BN78" s="1898"/>
      <c r="BO78" s="3249"/>
      <c r="BP78" s="2319">
        <f>SUM(BM78:BN78)</f>
        <v>0</v>
      </c>
      <c r="BQ78" s="2321"/>
      <c r="BR78" s="2433"/>
      <c r="BT78" s="1898"/>
      <c r="BU78" s="2202"/>
      <c r="BV78" s="1900"/>
      <c r="BW78" s="1898"/>
      <c r="BX78" s="1899"/>
      <c r="BY78" s="2010"/>
      <c r="BZ78" s="3248"/>
    </row>
    <row r="79" spans="1:89" s="1726" customFormat="1" ht="17.25" thickBot="1" x14ac:dyDescent="0.25">
      <c r="B79" s="2049"/>
      <c r="C79" s="2050" t="s">
        <v>149</v>
      </c>
      <c r="D79" s="2051"/>
      <c r="E79" s="2052"/>
      <c r="F79" s="2053"/>
      <c r="G79" s="2053"/>
      <c r="H79" s="2053"/>
      <c r="I79" s="2053"/>
      <c r="J79" s="2053"/>
      <c r="K79" s="2053"/>
      <c r="L79" s="4127"/>
      <c r="M79" s="4127"/>
      <c r="N79" s="2253"/>
      <c r="O79" s="2216"/>
      <c r="P79" s="2055"/>
      <c r="Q79" s="2053">
        <f>IF(Q76&gt;$K$76,Q76,IF(Q76&lt;$K$76,(IF(Q76&lt;0,-68.983,(Q63+Q61)-$K$76))))</f>
        <v>-28.129065456843485</v>
      </c>
      <c r="R79" s="2053">
        <f t="shared" ref="R79:T79" si="337">IF(R76&gt;$K$76,R76,IF(R76&lt;$K$76,(IF(R76&lt;0,-68.983,(R63+R61)-$K$76))))</f>
        <v>-9.4210654568434862</v>
      </c>
      <c r="S79" s="2053">
        <f t="shared" si="337"/>
        <v>-8.8340654568434829</v>
      </c>
      <c r="T79" s="2053">
        <f t="shared" si="337"/>
        <v>-13.591065456843488</v>
      </c>
      <c r="U79" s="2053"/>
      <c r="V79" s="2053">
        <f>IF(V76&gt;$K$76,V76,IF(V76&lt;$K$76,(IF(V76&lt;0,-68.983,(V63+V61)-$K$76))))</f>
        <v>12.031434543156507</v>
      </c>
      <c r="W79" s="2057">
        <f>IF(W76&gt;$K$76,W76,IF(W76&lt;$K$76,(IF(W76&lt;0,-68.983,(W63+W61)-$K$76))))</f>
        <v>-4.7600654568434777</v>
      </c>
      <c r="X79" s="3271"/>
      <c r="Y79" s="2056">
        <f>SUM(Q79:W79)</f>
        <v>-52.703892741060912</v>
      </c>
      <c r="Z79" s="2052"/>
      <c r="AA79" s="2057"/>
      <c r="AB79" s="1766"/>
      <c r="AC79" s="2056">
        <f t="shared" ref="AC79:AH79" si="338">IF(AC76&gt;$K$76,AC76,IF(AC76&lt;$K$76,(IF(AC76&lt;0,-68.983,(AC63+AC61)-$K$76))))</f>
        <v>-35.834065456843483</v>
      </c>
      <c r="AD79" s="2053">
        <f t="shared" si="338"/>
        <v>-4.8850654568434777</v>
      </c>
      <c r="AE79" s="2053">
        <f t="shared" si="338"/>
        <v>-16.204065456843487</v>
      </c>
      <c r="AF79" s="2053">
        <f t="shared" si="338"/>
        <v>-32.538065456843491</v>
      </c>
      <c r="AG79" s="2053">
        <f t="shared" si="338"/>
        <v>-9.1082660406896423</v>
      </c>
      <c r="AH79" s="2053">
        <f t="shared" si="338"/>
        <v>-15.13906545684349</v>
      </c>
      <c r="AI79" s="2053">
        <f t="shared" ref="AI79" si="339">IF(AI76&gt;$K$76,AI76,IF(AI76&lt;$K$76,(IF(AI76&lt;0,-68.983,(AI63+AI61)-$K$76))))</f>
        <v>-37.874065456843489</v>
      </c>
      <c r="AJ79" s="1766"/>
      <c r="AK79" s="2056">
        <f>SUM(AC79:AI79)</f>
        <v>-151.58265878175055</v>
      </c>
      <c r="AL79" s="2052"/>
      <c r="AM79" s="2057"/>
      <c r="AN79" s="1764"/>
      <c r="AO79" s="2056">
        <f t="shared" ref="AO79:AP79" si="340">IF(AO76&gt;$K$76,AO76,IF(AO76&lt;$K$76,(IF(AO76&lt;0,-68.983,(AO63+AO61)-$K$76))))</f>
        <v>-5.6675654568434837</v>
      </c>
      <c r="AP79" s="2053">
        <f t="shared" si="340"/>
        <v>-62.819065456843489</v>
      </c>
      <c r="AQ79" s="2053">
        <f t="shared" ref="AQ79:AS79" si="341">IF(AQ76&gt;$K$76,AQ76,IF(AQ76&lt;$K$76,(IF(AQ76&lt;0,-68.983,(AQ63+AQ61)-$K$76))))</f>
        <v>-47.870065456843484</v>
      </c>
      <c r="AR79" s="2053">
        <f t="shared" si="341"/>
        <v>-21.351565456843495</v>
      </c>
      <c r="AS79" s="2053">
        <f t="shared" si="341"/>
        <v>-37.87276604068964</v>
      </c>
      <c r="AT79" s="2053">
        <f t="shared" ref="AT79:AU79" si="342">IF(AT76&gt;$K$76,AT76,IF(AT76&lt;$K$76,(IF(AT76&lt;0,-68.983,(AT63+AT61)-$K$76))))</f>
        <v>-7.6975654568434848</v>
      </c>
      <c r="AU79" s="2053">
        <f t="shared" si="342"/>
        <v>-25.52306545684349</v>
      </c>
      <c r="AV79" s="2300"/>
      <c r="AW79" s="2056">
        <f t="shared" ref="AW79" si="343">SUM(AO79:AU79)</f>
        <v>-208.80165878175058</v>
      </c>
      <c r="AX79" s="2052"/>
      <c r="AY79" s="2057"/>
      <c r="AZ79" s="3271"/>
      <c r="BA79" s="2056">
        <f t="shared" ref="BA79:BB79" si="344">IF(BA76&gt;$K$76,BA76,IF(BA76&lt;$K$76,(IF(BA76&lt;0,-68.983,(BA63+BA61)-$K$76))))</f>
        <v>-37.119065456843494</v>
      </c>
      <c r="BB79" s="2053">
        <f t="shared" si="344"/>
        <v>-45.438065456843496</v>
      </c>
      <c r="BC79" s="2053">
        <f t="shared" ref="BC79:BE79" si="345">IF(BC76&gt;$K$76,BC76,IF(BC76&lt;$K$76,(IF(BC76&lt;0,-68.983,(BC63+BC61)-$K$76))))</f>
        <v>-47.742565456843487</v>
      </c>
      <c r="BD79" s="2053">
        <f t="shared" si="345"/>
        <v>-25.929065456843496</v>
      </c>
      <c r="BE79" s="2053">
        <f t="shared" si="345"/>
        <v>-15.633266040689648</v>
      </c>
      <c r="BF79" s="2053">
        <f t="shared" ref="BF79" si="346">IF(BF76&gt;$K$76,BF76,IF(BF76&lt;$K$76,(IF(BF76&lt;0,-68.983,(BF63+BF61)-$K$76))))</f>
        <v>-14.539565456843484</v>
      </c>
      <c r="BG79" s="2057">
        <f t="shared" ref="BG79" si="347">IF(BG76&gt;$K$76,BG76,IF(BG76&lt;$K$76,(IF(BG76&lt;0,-68.983,(BG63+BG61)-$K$76))))</f>
        <v>-45.403565456843488</v>
      </c>
      <c r="BH79" s="3271"/>
      <c r="BI79" s="2056">
        <f t="shared" si="336"/>
        <v>-231.80515878175061</v>
      </c>
      <c r="BJ79" s="2052"/>
      <c r="BK79" s="2057"/>
      <c r="BL79" s="1740"/>
      <c r="BM79" s="2056">
        <f t="shared" ref="BM79:BN79" si="348">IF(BM76&gt;$K$76,BM76,IF(BM76&lt;$K$76,(IF(BM76&lt;0,-68.983,(BM63+BM61)-$K$76))))</f>
        <v>-35.372565456843496</v>
      </c>
      <c r="BN79" s="2057">
        <f t="shared" si="348"/>
        <v>-48.607065456843493</v>
      </c>
      <c r="BO79" s="2301"/>
      <c r="BP79" s="2058">
        <f>SUM(BM79:BN79)</f>
        <v>-83.979630913686989</v>
      </c>
      <c r="BQ79" s="2324"/>
      <c r="BR79" s="2190"/>
      <c r="BS79" s="1862"/>
      <c r="BT79" s="2058">
        <f>SUM(Q79:W79)+SUM(AC79:AI79)+SUM(AO79:AU79)+SUM(BA79:BG79)+SUM(BN79:BN79)</f>
        <v>-693.50043454315619</v>
      </c>
      <c r="BU79" s="2054"/>
      <c r="BV79" s="1740"/>
      <c r="BW79" s="1740"/>
      <c r="BX79" s="1740"/>
      <c r="BY79" s="1861"/>
    </row>
    <row r="80" spans="1:89" s="1756" customFormat="1" ht="17.25" thickBot="1" x14ac:dyDescent="0.25">
      <c r="B80" s="1817"/>
      <c r="C80" s="1817"/>
      <c r="D80" s="1817"/>
      <c r="E80" s="3271"/>
      <c r="F80" s="3271"/>
      <c r="G80" s="3271"/>
      <c r="H80" s="3271"/>
      <c r="I80" s="3271"/>
      <c r="J80" s="4117"/>
      <c r="K80" s="3271"/>
      <c r="L80" s="4117"/>
      <c r="M80" s="4117"/>
      <c r="N80" s="1818"/>
      <c r="O80" s="2216"/>
      <c r="P80" s="2055"/>
      <c r="Q80" s="3271"/>
      <c r="R80" s="3522"/>
      <c r="S80" s="3525"/>
      <c r="T80" s="3529"/>
      <c r="U80" s="3271"/>
      <c r="V80" s="3271"/>
      <c r="W80" s="3271"/>
      <c r="X80" s="3271"/>
      <c r="Y80" s="3271"/>
      <c r="Z80" s="3271"/>
      <c r="AA80" s="3271"/>
      <c r="AB80" s="1766"/>
      <c r="AC80" s="3271"/>
      <c r="AD80" s="3271"/>
      <c r="AE80" s="4063"/>
      <c r="AF80" s="4068"/>
      <c r="AG80" s="4073"/>
      <c r="AH80" s="4078"/>
      <c r="AI80" s="3271"/>
      <c r="AJ80" s="1766"/>
      <c r="AK80" s="3271"/>
      <c r="AL80" s="3271"/>
      <c r="AM80" s="3271"/>
      <c r="AN80" s="1766"/>
      <c r="AO80" s="3271"/>
      <c r="AP80" s="3271"/>
      <c r="AQ80" s="4086"/>
      <c r="AR80" s="4090"/>
      <c r="AS80" s="4090"/>
      <c r="AT80" s="4094"/>
      <c r="AU80" s="3271"/>
      <c r="AV80" s="3271"/>
      <c r="AW80" s="3271"/>
      <c r="AX80" s="3271"/>
      <c r="AY80" s="3271"/>
      <c r="AZ80" s="3271"/>
      <c r="BA80" s="3271"/>
      <c r="BB80" s="3271"/>
      <c r="BC80" s="4110"/>
      <c r="BD80" s="4114"/>
      <c r="BE80" s="3271"/>
      <c r="BF80" s="3271"/>
      <c r="BG80" s="3271"/>
      <c r="BH80" s="3271"/>
      <c r="BI80" s="3271"/>
      <c r="BJ80" s="3271"/>
      <c r="BK80" s="3271"/>
      <c r="BL80" s="3271"/>
      <c r="BM80" s="3271"/>
      <c r="BN80" s="3271"/>
      <c r="BO80" s="3271"/>
      <c r="BP80" s="3271"/>
      <c r="BQ80" s="3271"/>
      <c r="BR80" s="3271"/>
      <c r="BS80" s="1766"/>
      <c r="BT80" s="3271"/>
      <c r="BU80" s="1830"/>
      <c r="BV80" s="3247"/>
      <c r="BW80" s="3247"/>
      <c r="BX80" s="3247"/>
      <c r="BY80" s="1817"/>
    </row>
    <row r="81" spans="1:79" s="1947" customFormat="1" x14ac:dyDescent="0.2">
      <c r="A81" s="2217"/>
      <c r="B81" s="2218">
        <v>56</v>
      </c>
      <c r="C81" s="2218" t="s">
        <v>74</v>
      </c>
      <c r="D81" s="2219"/>
      <c r="E81" s="2007">
        <v>350</v>
      </c>
      <c r="F81" s="2007">
        <f t="shared" ref="F81:F90" si="349">E81/10</f>
        <v>35</v>
      </c>
      <c r="G81" s="2007">
        <f t="shared" ref="G81:G82" si="350">E81/15</f>
        <v>23.333333333333332</v>
      </c>
      <c r="H81" s="2007">
        <f t="shared" ref="H81:H82" si="351">E81/20</f>
        <v>17.5</v>
      </c>
      <c r="I81" s="2007">
        <f t="shared" ref="I81:I82" si="352">E81/25</f>
        <v>14</v>
      </c>
      <c r="J81" s="4118"/>
      <c r="K81" s="2007">
        <f>E81/29</f>
        <v>12.068965517241379</v>
      </c>
      <c r="L81" s="4118"/>
      <c r="M81" s="4118"/>
      <c r="N81" s="2008">
        <f>E81/E95</f>
        <v>6.5700049988352313E-2</v>
      </c>
      <c r="O81" s="1949"/>
      <c r="P81" s="1905"/>
      <c r="Q81" s="2007">
        <f t="shared" ref="Q81:W81" si="353">$E$81/29</f>
        <v>12.068965517241379</v>
      </c>
      <c r="R81" s="3760">
        <f t="shared" si="353"/>
        <v>12.068965517241379</v>
      </c>
      <c r="S81" s="3760">
        <f t="shared" si="353"/>
        <v>12.068965517241379</v>
      </c>
      <c r="T81" s="3760">
        <f t="shared" si="353"/>
        <v>12.068965517241379</v>
      </c>
      <c r="U81" s="3760">
        <f t="shared" si="353"/>
        <v>12.068965517241379</v>
      </c>
      <c r="V81" s="3760">
        <f t="shared" si="353"/>
        <v>12.068965517241379</v>
      </c>
      <c r="W81" s="2007">
        <f t="shared" si="353"/>
        <v>12.068965517241379</v>
      </c>
      <c r="X81" s="1951"/>
      <c r="Y81" s="2220">
        <f t="shared" si="78"/>
        <v>84.482758620689651</v>
      </c>
      <c r="Z81" s="2221"/>
      <c r="AA81" s="2222"/>
      <c r="AB81" s="1955"/>
      <c r="AC81" s="2223">
        <f t="shared" ref="AC81:AI81" si="354">$E$81/29</f>
        <v>12.068965517241379</v>
      </c>
      <c r="AD81" s="2223">
        <f t="shared" si="354"/>
        <v>12.068965517241379</v>
      </c>
      <c r="AE81" s="2223">
        <f t="shared" si="354"/>
        <v>12.068965517241379</v>
      </c>
      <c r="AF81" s="2223">
        <f t="shared" si="354"/>
        <v>12.068965517241379</v>
      </c>
      <c r="AG81" s="2223">
        <f t="shared" si="354"/>
        <v>12.068965517241379</v>
      </c>
      <c r="AH81" s="2223">
        <f t="shared" si="354"/>
        <v>12.068965517241379</v>
      </c>
      <c r="AI81" s="2223">
        <f t="shared" si="354"/>
        <v>12.068965517241379</v>
      </c>
      <c r="AJ81" s="1955"/>
      <c r="AK81" s="2220">
        <f t="shared" ref="AK81:AK82" si="355">SUM(AC81:AI81)</f>
        <v>84.482758620689651</v>
      </c>
      <c r="AL81" s="2221"/>
      <c r="AM81" s="2222"/>
      <c r="AN81" s="1955"/>
      <c r="AO81" s="2223">
        <f t="shared" ref="AO81:AU81" si="356">$E$81/29</f>
        <v>12.068965517241379</v>
      </c>
      <c r="AP81" s="2223">
        <f t="shared" si="356"/>
        <v>12.068965517241379</v>
      </c>
      <c r="AQ81" s="2223">
        <f t="shared" si="356"/>
        <v>12.068965517241379</v>
      </c>
      <c r="AR81" s="2223">
        <f t="shared" si="356"/>
        <v>12.068965517241379</v>
      </c>
      <c r="AS81" s="2223">
        <f t="shared" si="356"/>
        <v>12.068965517241379</v>
      </c>
      <c r="AT81" s="2223">
        <f t="shared" si="356"/>
        <v>12.068965517241379</v>
      </c>
      <c r="AU81" s="2223">
        <f t="shared" si="356"/>
        <v>12.068965517241379</v>
      </c>
      <c r="AV81" s="2299"/>
      <c r="AW81" s="2220">
        <f t="shared" ref="AW81:AW84" si="357">SUM(AO81:AU81)</f>
        <v>84.482758620689651</v>
      </c>
      <c r="AX81" s="2221"/>
      <c r="AY81" s="2222"/>
      <c r="AZ81" s="2299"/>
      <c r="BA81" s="2223">
        <f t="shared" ref="BA81:BG81" si="358">$E$81/29</f>
        <v>12.068965517241379</v>
      </c>
      <c r="BB81" s="2223">
        <f t="shared" si="358"/>
        <v>12.068965517241379</v>
      </c>
      <c r="BC81" s="2223">
        <f t="shared" si="358"/>
        <v>12.068965517241379</v>
      </c>
      <c r="BD81" s="2223">
        <f t="shared" si="358"/>
        <v>12.068965517241379</v>
      </c>
      <c r="BE81" s="2223">
        <f t="shared" si="358"/>
        <v>12.068965517241379</v>
      </c>
      <c r="BF81" s="2223">
        <f t="shared" si="358"/>
        <v>12.068965517241379</v>
      </c>
      <c r="BG81" s="2223">
        <f t="shared" si="358"/>
        <v>12.068965517241379</v>
      </c>
      <c r="BH81" s="2299"/>
      <c r="BI81" s="2220">
        <f t="shared" ref="BI81:BI82" si="359">SUM(BA81:BG81)</f>
        <v>84.482758620689651</v>
      </c>
      <c r="BJ81" s="2221"/>
      <c r="BK81" s="2222"/>
      <c r="BL81" s="1951"/>
      <c r="BM81" s="2007">
        <f t="shared" ref="BM81:BN81" si="360">$E$81/29</f>
        <v>12.068965517241379</v>
      </c>
      <c r="BN81" s="2007">
        <f t="shared" si="360"/>
        <v>12.068965517241379</v>
      </c>
      <c r="BO81" s="1951"/>
      <c r="BP81" s="2220">
        <f>SUM(BM81:BN81)</f>
        <v>24.137931034482758</v>
      </c>
      <c r="BQ81" s="2221"/>
      <c r="BR81" s="2222"/>
      <c r="BT81" s="2007">
        <f>SUM(Q81:W81)+SUM(AC81:AI81)+SUM(AO81:AU81)+SUM(BA81:BG81)+SUM(BN81:BN81)</f>
        <v>350</v>
      </c>
      <c r="BU81" s="2008">
        <f>BT81/E81</f>
        <v>1</v>
      </c>
      <c r="BV81" s="1959"/>
      <c r="BW81" s="2224"/>
      <c r="BX81" s="2225"/>
      <c r="BY81" s="2339"/>
      <c r="BZ81" s="1950"/>
    </row>
    <row r="82" spans="1:79" s="1860" customFormat="1" ht="17.25" thickBot="1" x14ac:dyDescent="0.25">
      <c r="B82" s="1739"/>
      <c r="C82" s="1739" t="s">
        <v>153</v>
      </c>
      <c r="D82" s="2205"/>
      <c r="E82" s="1732">
        <f>E81*100/20</f>
        <v>1750</v>
      </c>
      <c r="F82" s="1732">
        <f t="shared" si="349"/>
        <v>175</v>
      </c>
      <c r="G82" s="1732">
        <f t="shared" si="350"/>
        <v>116.66666666666667</v>
      </c>
      <c r="H82" s="1732">
        <f t="shared" si="351"/>
        <v>87.5</v>
      </c>
      <c r="I82" s="1732">
        <f t="shared" si="352"/>
        <v>70</v>
      </c>
      <c r="J82" s="1732"/>
      <c r="K82" s="1732">
        <f>K81*100/20</f>
        <v>60.344827586206897</v>
      </c>
      <c r="L82" s="1732"/>
      <c r="M82" s="1732"/>
      <c r="N82" s="1882">
        <f>E82/E93</f>
        <v>6.5700049988352327E-2</v>
      </c>
      <c r="O82" s="1760"/>
      <c r="P82" s="3257"/>
      <c r="Q82" s="1732">
        <f t="shared" ref="Q82:R82" si="361">Q81*100/20</f>
        <v>60.344827586206897</v>
      </c>
      <c r="R82" s="1732">
        <f t="shared" si="361"/>
        <v>60.344827586206897</v>
      </c>
      <c r="S82" s="1732">
        <f t="shared" ref="S82:T82" si="362">S81*100/20</f>
        <v>60.344827586206897</v>
      </c>
      <c r="T82" s="1732">
        <f t="shared" si="362"/>
        <v>60.344827586206897</v>
      </c>
      <c r="U82" s="1732"/>
      <c r="V82" s="1732">
        <f t="shared" ref="V82:W82" si="363">V81*100/20</f>
        <v>60.344827586206897</v>
      </c>
      <c r="W82" s="1732">
        <f t="shared" si="363"/>
        <v>60.344827586206897</v>
      </c>
      <c r="X82" s="3259"/>
      <c r="Y82" s="3266">
        <f t="shared" si="78"/>
        <v>362.06896551724139</v>
      </c>
      <c r="Z82" s="2227"/>
      <c r="AA82" s="2228"/>
      <c r="AB82" s="1881"/>
      <c r="AC82" s="2210">
        <f t="shared" ref="AC82:AD82" si="364">AC81*100/20</f>
        <v>60.344827586206897</v>
      </c>
      <c r="AD82" s="2210">
        <f t="shared" si="364"/>
        <v>60.344827586206897</v>
      </c>
      <c r="AE82" s="2210">
        <f t="shared" ref="AE82:AF82" si="365">AE81*100/20</f>
        <v>60.344827586206897</v>
      </c>
      <c r="AF82" s="2210">
        <f t="shared" si="365"/>
        <v>60.344827586206897</v>
      </c>
      <c r="AG82" s="2210">
        <f t="shared" ref="AG82:AH82" si="366">AG81*100/20</f>
        <v>60.344827586206897</v>
      </c>
      <c r="AH82" s="2210">
        <f t="shared" si="366"/>
        <v>60.344827586206897</v>
      </c>
      <c r="AI82" s="2210">
        <f t="shared" ref="AI82" si="367">AI81*100/20</f>
        <v>60.344827586206897</v>
      </c>
      <c r="AJ82" s="1881"/>
      <c r="AK82" s="3266">
        <f t="shared" si="355"/>
        <v>422.41379310344831</v>
      </c>
      <c r="AL82" s="2227"/>
      <c r="AM82" s="2228"/>
      <c r="AN82" s="1881"/>
      <c r="AO82" s="2210">
        <f t="shared" ref="AO82:AP82" si="368">AO81*100/20</f>
        <v>60.344827586206897</v>
      </c>
      <c r="AP82" s="2210">
        <f t="shared" si="368"/>
        <v>60.344827586206897</v>
      </c>
      <c r="AQ82" s="2210">
        <f t="shared" ref="AQ82:AS82" si="369">AQ81*100/20</f>
        <v>60.344827586206897</v>
      </c>
      <c r="AR82" s="2210">
        <f t="shared" si="369"/>
        <v>60.344827586206897</v>
      </c>
      <c r="AS82" s="2210">
        <f t="shared" si="369"/>
        <v>60.344827586206897</v>
      </c>
      <c r="AT82" s="2210">
        <f t="shared" ref="AT82:AU82" si="370">AT81*100/20</f>
        <v>60.344827586206897</v>
      </c>
      <c r="AU82" s="2210">
        <f t="shared" si="370"/>
        <v>60.344827586206897</v>
      </c>
      <c r="AV82" s="2293"/>
      <c r="AW82" s="3266">
        <f t="shared" si="357"/>
        <v>422.41379310344831</v>
      </c>
      <c r="AX82" s="2227"/>
      <c r="AY82" s="2228"/>
      <c r="AZ82" s="2293"/>
      <c r="BA82" s="2210">
        <f t="shared" ref="BA82:BB82" si="371">BA81*100/20</f>
        <v>60.344827586206897</v>
      </c>
      <c r="BB82" s="2210">
        <f t="shared" si="371"/>
        <v>60.344827586206897</v>
      </c>
      <c r="BC82" s="2210">
        <f t="shared" ref="BC82:BE82" si="372">BC81*100/20</f>
        <v>60.344827586206897</v>
      </c>
      <c r="BD82" s="2210">
        <f t="shared" si="372"/>
        <v>60.344827586206897</v>
      </c>
      <c r="BE82" s="2210">
        <f t="shared" si="372"/>
        <v>60.344827586206897</v>
      </c>
      <c r="BF82" s="2210">
        <f t="shared" ref="BF82" si="373">BF81*100/20</f>
        <v>60.344827586206897</v>
      </c>
      <c r="BG82" s="2210">
        <f t="shared" ref="BG82" si="374">BG81*100/20</f>
        <v>60.344827586206897</v>
      </c>
      <c r="BH82" s="2293"/>
      <c r="BI82" s="3266">
        <f t="shared" si="359"/>
        <v>422.41379310344831</v>
      </c>
      <c r="BJ82" s="2227"/>
      <c r="BK82" s="2228"/>
      <c r="BL82" s="3259"/>
      <c r="BM82" s="1732">
        <f t="shared" ref="BM82:BN82" si="375">BM81*100/20</f>
        <v>60.344827586206897</v>
      </c>
      <c r="BN82" s="1732">
        <f t="shared" si="375"/>
        <v>60.344827586206897</v>
      </c>
      <c r="BO82" s="3259"/>
      <c r="BP82" s="3266">
        <f>SUM(BM82:BN82)</f>
        <v>120.68965517241379</v>
      </c>
      <c r="BQ82" s="2227"/>
      <c r="BR82" s="2228"/>
      <c r="BS82" s="1726"/>
      <c r="BT82" s="1732">
        <f>SUM(Q82:W82)+SUM(AC82:AI82)+SUM(AO82:AU82)+SUM(BA82:BG82)+SUM(BN82:BN82)</f>
        <v>1689.6551724137935</v>
      </c>
      <c r="BU82" s="1882">
        <f>BT82/E82</f>
        <v>0.96551724137931061</v>
      </c>
      <c r="BV82" s="1740"/>
      <c r="BW82" s="2229"/>
      <c r="BX82" s="2230"/>
      <c r="BY82" s="2059"/>
      <c r="BZ82" s="1877"/>
      <c r="CA82" s="1726"/>
    </row>
    <row r="83" spans="1:79" s="1860" customFormat="1" ht="4.5" customHeight="1" thickBot="1" x14ac:dyDescent="0.25">
      <c r="B83" s="2231"/>
      <c r="C83" s="2231"/>
      <c r="D83" s="1861"/>
      <c r="E83" s="2232"/>
      <c r="F83" s="2232"/>
      <c r="G83" s="2232"/>
      <c r="H83" s="2232"/>
      <c r="I83" s="2232"/>
      <c r="J83" s="2232"/>
      <c r="K83" s="2232"/>
      <c r="L83" s="2232"/>
      <c r="M83" s="2232"/>
      <c r="N83" s="2233"/>
      <c r="O83" s="1760"/>
      <c r="P83" s="3257"/>
      <c r="Q83" s="2232"/>
      <c r="R83" s="2232"/>
      <c r="S83" s="2232"/>
      <c r="T83" s="2232"/>
      <c r="U83" s="2232"/>
      <c r="V83" s="2232"/>
      <c r="W83" s="2232"/>
      <c r="X83" s="3259"/>
      <c r="Y83" s="3259"/>
      <c r="Z83" s="3259"/>
      <c r="AA83" s="3259"/>
      <c r="AB83" s="1862"/>
      <c r="AC83" s="2232"/>
      <c r="AD83" s="2232"/>
      <c r="AE83" s="2232"/>
      <c r="AF83" s="2232"/>
      <c r="AG83" s="2232"/>
      <c r="AH83" s="2232"/>
      <c r="AI83" s="2232"/>
      <c r="AJ83" s="1862"/>
      <c r="AK83" s="3259"/>
      <c r="AL83" s="3259"/>
      <c r="AM83" s="3259"/>
      <c r="AN83" s="1862"/>
      <c r="AO83" s="2232"/>
      <c r="AP83" s="2232"/>
      <c r="AQ83" s="2232"/>
      <c r="AR83" s="2232"/>
      <c r="AS83" s="2232"/>
      <c r="AT83" s="2232"/>
      <c r="AU83" s="2232"/>
      <c r="AV83" s="3259"/>
      <c r="AW83" s="3259"/>
      <c r="AX83" s="3259"/>
      <c r="AY83" s="3259"/>
      <c r="AZ83" s="3259"/>
      <c r="BA83" s="2232"/>
      <c r="BB83" s="2232"/>
      <c r="BC83" s="2232"/>
      <c r="BD83" s="2232"/>
      <c r="BE83" s="2232"/>
      <c r="BF83" s="2232"/>
      <c r="BG83" s="2232"/>
      <c r="BH83" s="3259"/>
      <c r="BI83" s="3259"/>
      <c r="BJ83" s="3259"/>
      <c r="BK83" s="3259"/>
      <c r="BL83" s="3259"/>
      <c r="BM83" s="2232"/>
      <c r="BN83" s="2232"/>
      <c r="BO83" s="3259"/>
      <c r="BP83" s="3259"/>
      <c r="BQ83" s="3259"/>
      <c r="BR83" s="3259"/>
      <c r="BS83" s="1726"/>
      <c r="BT83" s="2232"/>
      <c r="BU83" s="2233"/>
      <c r="BV83" s="1740"/>
      <c r="BW83" s="3259"/>
      <c r="BX83" s="2059"/>
      <c r="BY83" s="2059"/>
      <c r="BZ83" s="1877"/>
      <c r="CA83" s="1726"/>
    </row>
    <row r="84" spans="1:79" s="1885" customFormat="1" ht="17.25" thickBot="1" x14ac:dyDescent="0.25">
      <c r="B84" s="2117"/>
      <c r="C84" s="2212" t="s">
        <v>154</v>
      </c>
      <c r="D84" s="2119"/>
      <c r="E84" s="2123"/>
      <c r="F84" s="2121"/>
      <c r="G84" s="2121"/>
      <c r="H84" s="2121"/>
      <c r="I84" s="2121"/>
      <c r="J84" s="2121"/>
      <c r="K84" s="2121"/>
      <c r="L84" s="4120"/>
      <c r="M84" s="4120"/>
      <c r="N84" s="2129"/>
      <c r="O84" s="2213"/>
      <c r="P84" s="2214"/>
      <c r="Q84" s="2120">
        <f>IF(Q79&gt;$K$81,Q79-Q81,IF(Q79&lt;$K$81,(IF(Q79&lt;0,-12.069,Q79-Q81))))</f>
        <v>-12.069000000000001</v>
      </c>
      <c r="R84" s="2121">
        <f t="shared" ref="R84:T84" si="376">IF(R79&gt;$K$81,R79-R81,IF(R79&lt;$K$81,(IF(R79&lt;0,-12.069,R79-R81))))</f>
        <v>-12.069000000000001</v>
      </c>
      <c r="S84" s="2121">
        <f t="shared" si="376"/>
        <v>-12.069000000000001</v>
      </c>
      <c r="T84" s="2121">
        <f t="shared" si="376"/>
        <v>-12.069000000000001</v>
      </c>
      <c r="U84" s="2121"/>
      <c r="V84" s="2121">
        <f>IF(V79&gt;$K$81,V79-V81,IF(V79&lt;$K$81,(IF(V79&lt;0,-12.069,V79-V81))))</f>
        <v>-3.7530974084871715E-2</v>
      </c>
      <c r="W84" s="2124">
        <f>IF(W79&gt;$K$81,W79-W81,IF(W79&lt;$K$81,(IF(W79&lt;0,-12.069,W79-W81))))</f>
        <v>-12.069000000000001</v>
      </c>
      <c r="X84" s="1951"/>
      <c r="Y84" s="2120">
        <f>SUM(Q84:W84)</f>
        <v>-60.382530974084879</v>
      </c>
      <c r="Z84" s="2123"/>
      <c r="AA84" s="2124"/>
      <c r="AB84" s="1956"/>
      <c r="AC84" s="2120">
        <f t="shared" ref="AC84:AH84" si="377">IF(AC79&gt;$K$81,AC79-AC81,IF(AC79&lt;$K$81,(IF(AC79&lt;0,-12.069,AC79-AC81))))</f>
        <v>-12.069000000000001</v>
      </c>
      <c r="AD84" s="2121">
        <f t="shared" si="377"/>
        <v>-12.069000000000001</v>
      </c>
      <c r="AE84" s="2121">
        <f t="shared" si="377"/>
        <v>-12.069000000000001</v>
      </c>
      <c r="AF84" s="2121">
        <f t="shared" si="377"/>
        <v>-12.069000000000001</v>
      </c>
      <c r="AG84" s="2121">
        <f t="shared" si="377"/>
        <v>-12.069000000000001</v>
      </c>
      <c r="AH84" s="2121">
        <f t="shared" si="377"/>
        <v>-12.069000000000001</v>
      </c>
      <c r="AI84" s="2121">
        <f t="shared" ref="AI84" si="378">IF(AI79&gt;$K$81,AI79-AI81,IF(AI79&lt;$K$81,(IF(AI79&lt;0,-12.069,AI79-AI81))))</f>
        <v>-12.069000000000001</v>
      </c>
      <c r="AJ84" s="1956"/>
      <c r="AK84" s="2120">
        <f>SUM(AC84:AI84)</f>
        <v>-84.483000000000004</v>
      </c>
      <c r="AL84" s="2123"/>
      <c r="AM84" s="2124"/>
      <c r="AN84" s="1955"/>
      <c r="AO84" s="2120">
        <f t="shared" ref="AO84:AP84" si="379">IF(AO79&gt;$K$81,AO79-AO81,IF(AO79&lt;$K$81,(IF(AO79&lt;0,-12.069,AO79-AO81))))</f>
        <v>-12.069000000000001</v>
      </c>
      <c r="AP84" s="2121">
        <f t="shared" si="379"/>
        <v>-12.069000000000001</v>
      </c>
      <c r="AQ84" s="2121">
        <f t="shared" ref="AQ84:AS84" si="380">IF(AQ79&gt;$K$81,AQ79-AQ81,IF(AQ79&lt;$K$81,(IF(AQ79&lt;0,-12.069,AQ79-AQ81))))</f>
        <v>-12.069000000000001</v>
      </c>
      <c r="AR84" s="2121">
        <f t="shared" si="380"/>
        <v>-12.069000000000001</v>
      </c>
      <c r="AS84" s="2121">
        <f t="shared" si="380"/>
        <v>-12.069000000000001</v>
      </c>
      <c r="AT84" s="2121">
        <f t="shared" ref="AT84:AU84" si="381">IF(AT79&gt;$K$81,AT79-AT81,IF(AT79&lt;$K$81,(IF(AT79&lt;0,-12.069,AT79-AT81))))</f>
        <v>-12.069000000000001</v>
      </c>
      <c r="AU84" s="2121">
        <f t="shared" si="381"/>
        <v>-12.069000000000001</v>
      </c>
      <c r="AV84" s="2254"/>
      <c r="AW84" s="2120">
        <f t="shared" si="357"/>
        <v>-84.483000000000004</v>
      </c>
      <c r="AX84" s="2123"/>
      <c r="AY84" s="2124"/>
      <c r="AZ84" s="1951"/>
      <c r="BA84" s="2120">
        <f t="shared" ref="BA84:BB84" si="382">IF(BA79&gt;$K$81,BA79-BA81,IF(BA79&lt;$K$81,(IF(BA79&lt;0,-12.069,BA79-BA81))))</f>
        <v>-12.069000000000001</v>
      </c>
      <c r="BB84" s="2121">
        <f t="shared" si="382"/>
        <v>-12.069000000000001</v>
      </c>
      <c r="BC84" s="2121">
        <f t="shared" ref="BC84:BE84" si="383">IF(BC79&gt;$K$81,BC79-BC81,IF(BC79&lt;$K$81,(IF(BC79&lt;0,-12.069,BC79-BC81))))</f>
        <v>-12.069000000000001</v>
      </c>
      <c r="BD84" s="2121">
        <f t="shared" si="383"/>
        <v>-12.069000000000001</v>
      </c>
      <c r="BE84" s="2121">
        <f t="shared" si="383"/>
        <v>-12.069000000000001</v>
      </c>
      <c r="BF84" s="2121">
        <f t="shared" ref="BF84" si="384">IF(BF79&gt;$K$81,BF79-BF81,IF(BF79&lt;$K$81,(IF(BF79&lt;0,-12.069,BF79-BF81))))</f>
        <v>-12.069000000000001</v>
      </c>
      <c r="BG84" s="2124">
        <f t="shared" ref="BG84" si="385">IF(BG79&gt;$K$81,BG79-BG81,IF(BG79&lt;$K$81,(IF(BG79&lt;0,-12.069,BG79-BG81))))</f>
        <v>-12.069000000000001</v>
      </c>
      <c r="BH84" s="1951"/>
      <c r="BI84" s="2120">
        <f t="shared" ref="BI84" si="386">SUM(BA84:BG84)</f>
        <v>-84.483000000000004</v>
      </c>
      <c r="BJ84" s="2123"/>
      <c r="BK84" s="2124"/>
      <c r="BL84" s="1900"/>
      <c r="BM84" s="2120">
        <f t="shared" ref="BM84:BN84" si="387">IF(BM79&gt;$K$81,BM79-BM81,IF(BM79&lt;$K$81,(IF(BM79&lt;0,-12.069,BM79-BM81))))</f>
        <v>-12.069000000000001</v>
      </c>
      <c r="BN84" s="2124">
        <f t="shared" si="387"/>
        <v>-12.069000000000001</v>
      </c>
      <c r="BO84" s="2317"/>
      <c r="BP84" s="2215">
        <f>SUM(BM84:BN84)</f>
        <v>-24.138000000000002</v>
      </c>
      <c r="BQ84" s="2318"/>
      <c r="BR84" s="2118"/>
      <c r="BS84" s="1897"/>
      <c r="BT84" s="2215">
        <f>SUM(Q84:W84)+SUM(AC84:AI84)+SUM(AO84:AU84)+SUM(BA84:BG84)+SUM(BN84:BN84)</f>
        <v>-325.90053097408492</v>
      </c>
      <c r="BU84" s="2130">
        <f>BT84/E81</f>
        <v>-0.93114437421167118</v>
      </c>
      <c r="BV84" s="1900"/>
      <c r="BW84" s="1900"/>
      <c r="BX84" s="1900"/>
      <c r="BY84" s="2011"/>
    </row>
    <row r="85" spans="1:79" s="1756" customFormat="1" ht="17.25" thickBot="1" x14ac:dyDescent="0.25">
      <c r="B85" s="1817"/>
      <c r="C85" s="1817"/>
      <c r="D85" s="1817"/>
      <c r="E85" s="3271"/>
      <c r="F85" s="3271"/>
      <c r="G85" s="3271"/>
      <c r="H85" s="3271"/>
      <c r="I85" s="3271"/>
      <c r="J85" s="4117"/>
      <c r="K85" s="3271"/>
      <c r="L85" s="4117"/>
      <c r="M85" s="4117"/>
      <c r="N85" s="1818"/>
      <c r="O85" s="2216"/>
      <c r="P85" s="2055"/>
      <c r="Q85" s="3271"/>
      <c r="R85" s="3271"/>
      <c r="S85" s="3271"/>
      <c r="T85" s="3271"/>
      <c r="U85" s="3271"/>
      <c r="V85" s="3271"/>
      <c r="W85" s="3271"/>
      <c r="X85" s="3271"/>
      <c r="Y85" s="3271"/>
      <c r="Z85" s="3271"/>
      <c r="AA85" s="3271"/>
      <c r="AB85" s="1766"/>
      <c r="AC85" s="3271"/>
      <c r="AD85" s="3271"/>
      <c r="AE85" s="3271"/>
      <c r="AF85" s="3271"/>
      <c r="AG85" s="3271"/>
      <c r="AH85" s="3271"/>
      <c r="AI85" s="3271"/>
      <c r="AJ85" s="1766"/>
      <c r="AK85" s="3271"/>
      <c r="AL85" s="3271"/>
      <c r="AM85" s="3271"/>
      <c r="AN85" s="1766"/>
      <c r="AO85" s="3271"/>
      <c r="AP85" s="3271"/>
      <c r="AQ85" s="3271"/>
      <c r="AR85" s="3271"/>
      <c r="AS85" s="3271"/>
      <c r="AT85" s="3271"/>
      <c r="AU85" s="3271"/>
      <c r="AV85" s="3271"/>
      <c r="AW85" s="3271"/>
      <c r="AX85" s="3271"/>
      <c r="AY85" s="3271"/>
      <c r="AZ85" s="3271"/>
      <c r="BA85" s="3271"/>
      <c r="BB85" s="3271"/>
      <c r="BC85" s="3271"/>
      <c r="BD85" s="3271"/>
      <c r="BE85" s="3271"/>
      <c r="BF85" s="3271"/>
      <c r="BG85" s="3271"/>
      <c r="BH85" s="3271"/>
      <c r="BI85" s="3271"/>
      <c r="BJ85" s="3271"/>
      <c r="BK85" s="3271"/>
      <c r="BL85" s="3271"/>
      <c r="BM85" s="3271"/>
      <c r="BN85" s="3271"/>
      <c r="BO85" s="3271"/>
      <c r="BP85" s="3271"/>
      <c r="BQ85" s="3271"/>
      <c r="BR85" s="3271"/>
      <c r="BS85" s="1766"/>
      <c r="BT85" s="3271"/>
      <c r="BU85" s="1830"/>
      <c r="BV85" s="3247"/>
      <c r="BW85" s="3247"/>
      <c r="BX85" s="3247"/>
      <c r="BY85" s="1817"/>
    </row>
    <row r="86" spans="1:79" s="1860" customFormat="1" x14ac:dyDescent="0.2">
      <c r="B86" s="4649"/>
      <c r="C86" s="4647" t="s">
        <v>213</v>
      </c>
      <c r="D86" s="1861"/>
      <c r="E86" s="4645">
        <f>C46</f>
        <v>14883.704999999998</v>
      </c>
      <c r="F86" s="2657"/>
      <c r="G86" s="2658"/>
      <c r="H86" s="2659"/>
      <c r="I86" s="2660"/>
      <c r="J86" s="4161"/>
      <c r="K86" s="4643">
        <f>E86/29</f>
        <v>513.23120689655161</v>
      </c>
      <c r="L86" s="4133"/>
      <c r="M86" s="4133"/>
      <c r="N86" s="4641">
        <f>K86*20%</f>
        <v>102.64624137931033</v>
      </c>
      <c r="O86" s="2216"/>
      <c r="P86" s="2055"/>
      <c r="Q86" s="4628" t="str">
        <f>IF(Q50&gt;0,"0.000",Q50)</f>
        <v>0.000</v>
      </c>
      <c r="R86" s="4630" t="str">
        <f t="shared" ref="R86:W86" si="388">IF(R50&gt;0,"0.000",R50)</f>
        <v>0.000</v>
      </c>
      <c r="S86" s="4630" t="str">
        <f t="shared" si="388"/>
        <v>0.000</v>
      </c>
      <c r="T86" s="4630" t="str">
        <f t="shared" si="388"/>
        <v>0.000</v>
      </c>
      <c r="U86" s="4630">
        <f t="shared" si="388"/>
        <v>0</v>
      </c>
      <c r="V86" s="4630" t="str">
        <f t="shared" si="388"/>
        <v>0.000</v>
      </c>
      <c r="W86" s="4632" t="str">
        <f t="shared" si="388"/>
        <v>0.000</v>
      </c>
      <c r="X86" s="3259"/>
      <c r="Y86" s="4628">
        <f t="shared" si="78"/>
        <v>0</v>
      </c>
      <c r="Z86" s="4630"/>
      <c r="AA86" s="4632"/>
      <c r="AB86" s="1862"/>
      <c r="AC86" s="4628" t="str">
        <f t="shared" ref="AC86:AI86" si="389">IF(AC50&gt;0,"0.000",AC50)</f>
        <v>0.000</v>
      </c>
      <c r="AD86" s="4630" t="str">
        <f t="shared" si="389"/>
        <v>0.000</v>
      </c>
      <c r="AE86" s="4630" t="str">
        <f t="shared" si="389"/>
        <v>0.000</v>
      </c>
      <c r="AF86" s="4630" t="str">
        <f t="shared" si="389"/>
        <v>0.000</v>
      </c>
      <c r="AG86" s="4630" t="str">
        <f t="shared" si="389"/>
        <v>0.000</v>
      </c>
      <c r="AH86" s="4630" t="str">
        <f t="shared" si="389"/>
        <v>0.000</v>
      </c>
      <c r="AI86" s="4632" t="str">
        <f t="shared" si="389"/>
        <v>0.000</v>
      </c>
      <c r="AJ86" s="1862"/>
      <c r="AK86" s="4628">
        <f t="shared" ref="AK86:AK91" si="390">SUM(AC86:AI86)</f>
        <v>0</v>
      </c>
      <c r="AL86" s="4630"/>
      <c r="AM86" s="4632"/>
      <c r="AN86" s="1862"/>
      <c r="AO86" s="4628" t="str">
        <f t="shared" ref="AO86:AU86" si="391">IF(AO50&gt;0,"0.000",AO50)</f>
        <v>0.000</v>
      </c>
      <c r="AP86" s="4630" t="str">
        <f t="shared" si="391"/>
        <v>0.000</v>
      </c>
      <c r="AQ86" s="4630" t="str">
        <f t="shared" si="391"/>
        <v>0.000</v>
      </c>
      <c r="AR86" s="4630" t="str">
        <f t="shared" si="391"/>
        <v>0.000</v>
      </c>
      <c r="AS86" s="4630" t="str">
        <f t="shared" si="391"/>
        <v>0.000</v>
      </c>
      <c r="AT86" s="4630" t="str">
        <f t="shared" si="391"/>
        <v>0.000</v>
      </c>
      <c r="AU86" s="4632" t="str">
        <f t="shared" si="391"/>
        <v>0.000</v>
      </c>
      <c r="AV86" s="3259"/>
      <c r="AW86" s="4628">
        <f t="shared" ref="AW86:AW91" si="392">SUM(AO86:AU86)</f>
        <v>0</v>
      </c>
      <c r="AX86" s="4630"/>
      <c r="AY86" s="4632"/>
      <c r="AZ86" s="3259"/>
      <c r="BA86" s="4628" t="str">
        <f t="shared" ref="BA86:BG86" si="393">IF(BA50&gt;0,"0.000",BA50)</f>
        <v>0.000</v>
      </c>
      <c r="BB86" s="4630" t="str">
        <f t="shared" si="393"/>
        <v>0.000</v>
      </c>
      <c r="BC86" s="4630" t="str">
        <f t="shared" si="393"/>
        <v>0.000</v>
      </c>
      <c r="BD86" s="4630" t="str">
        <f t="shared" si="393"/>
        <v>0.000</v>
      </c>
      <c r="BE86" s="4630" t="str">
        <f t="shared" si="393"/>
        <v>0.000</v>
      </c>
      <c r="BF86" s="4630" t="str">
        <f t="shared" si="393"/>
        <v>0.000</v>
      </c>
      <c r="BG86" s="4632" t="str">
        <f t="shared" si="393"/>
        <v>0.000</v>
      </c>
      <c r="BH86" s="3259"/>
      <c r="BI86" s="4628">
        <f t="shared" ref="BI86:BI91" si="394">SUM(BA86:BG86)</f>
        <v>0</v>
      </c>
      <c r="BJ86" s="4630"/>
      <c r="BK86" s="4632"/>
      <c r="BL86" s="3259"/>
      <c r="BM86" s="4670" t="str">
        <f t="shared" ref="BM86" si="395">IF(BM50&gt;0,"0.000",BM50)</f>
        <v>0.000</v>
      </c>
      <c r="BN86" s="4674" t="str">
        <f>IF(BN50&gt;0,"0.000",BN50)</f>
        <v>0.000</v>
      </c>
      <c r="BO86" s="3259"/>
      <c r="BP86" s="4628">
        <f>SUM(BM86:BN86)</f>
        <v>0</v>
      </c>
      <c r="BQ86" s="4630"/>
      <c r="BR86" s="4632"/>
      <c r="BS86" s="1726"/>
      <c r="BT86" s="4628">
        <f>SUM(Q86:W86)+SUM(AC86:AI86)+SUM(AO86:AU86)+SUM(BA86:BG86)+SUM(BN86:BN86)</f>
        <v>0</v>
      </c>
      <c r="BU86" s="4632"/>
      <c r="BV86" s="1740"/>
      <c r="BW86" s="3259"/>
      <c r="BX86" s="1997"/>
      <c r="BY86" s="1997"/>
      <c r="BZ86" s="3257"/>
    </row>
    <row r="87" spans="1:79" s="1946" customFormat="1" ht="17.25" thickBot="1" x14ac:dyDescent="0.25">
      <c r="B87" s="4650"/>
      <c r="C87" s="4648"/>
      <c r="D87" s="2011"/>
      <c r="E87" s="4646"/>
      <c r="F87" s="2375"/>
      <c r="G87" s="2376"/>
      <c r="H87" s="2377"/>
      <c r="I87" s="2378"/>
      <c r="J87" s="4159"/>
      <c r="K87" s="4644">
        <f>E87/29</f>
        <v>0</v>
      </c>
      <c r="L87" s="4134"/>
      <c r="M87" s="4134"/>
      <c r="N87" s="4642"/>
      <c r="O87" s="2213"/>
      <c r="P87" s="2214"/>
      <c r="Q87" s="4629"/>
      <c r="R87" s="4631"/>
      <c r="S87" s="4631"/>
      <c r="T87" s="4631"/>
      <c r="U87" s="4631"/>
      <c r="V87" s="4631"/>
      <c r="W87" s="4633"/>
      <c r="X87" s="3249"/>
      <c r="Y87" s="4629"/>
      <c r="Z87" s="4631"/>
      <c r="AA87" s="4633"/>
      <c r="AB87" s="1897"/>
      <c r="AC87" s="4629"/>
      <c r="AD87" s="4631"/>
      <c r="AE87" s="4631"/>
      <c r="AF87" s="4631"/>
      <c r="AG87" s="4631"/>
      <c r="AH87" s="4631"/>
      <c r="AI87" s="4633"/>
      <c r="AJ87" s="1897"/>
      <c r="AK87" s="4629"/>
      <c r="AL87" s="4631"/>
      <c r="AM87" s="4633"/>
      <c r="AN87" s="1897"/>
      <c r="AO87" s="4629"/>
      <c r="AP87" s="4631"/>
      <c r="AQ87" s="4631"/>
      <c r="AR87" s="4631"/>
      <c r="AS87" s="4631"/>
      <c r="AT87" s="4631"/>
      <c r="AU87" s="4633"/>
      <c r="AV87" s="3249"/>
      <c r="AW87" s="4629"/>
      <c r="AX87" s="4631"/>
      <c r="AY87" s="4633"/>
      <c r="AZ87" s="3249"/>
      <c r="BA87" s="4629"/>
      <c r="BB87" s="4631"/>
      <c r="BC87" s="4631"/>
      <c r="BD87" s="4631"/>
      <c r="BE87" s="4631"/>
      <c r="BF87" s="4631"/>
      <c r="BG87" s="4633"/>
      <c r="BH87" s="3249"/>
      <c r="BI87" s="4629"/>
      <c r="BJ87" s="4631"/>
      <c r="BK87" s="4633"/>
      <c r="BL87" s="3249"/>
      <c r="BM87" s="4671"/>
      <c r="BN87" s="4675"/>
      <c r="BO87" s="3249"/>
      <c r="BP87" s="4629"/>
      <c r="BQ87" s="4631"/>
      <c r="BR87" s="4633"/>
      <c r="BS87" s="1885"/>
      <c r="BT87" s="4629"/>
      <c r="BU87" s="4633"/>
      <c r="BV87" s="1900"/>
      <c r="BW87" s="3249"/>
      <c r="BX87" s="2010"/>
      <c r="BY87" s="2010"/>
      <c r="BZ87" s="3248"/>
    </row>
    <row r="88" spans="1:79" s="1860" customFormat="1" ht="5.25" customHeight="1" thickBot="1" x14ac:dyDescent="0.25">
      <c r="B88" s="1861"/>
      <c r="C88" s="1861"/>
      <c r="D88" s="1861"/>
      <c r="E88" s="3271"/>
      <c r="F88" s="2367"/>
      <c r="G88" s="2368"/>
      <c r="H88" s="2369"/>
      <c r="I88" s="2370"/>
      <c r="J88" s="4117"/>
      <c r="K88" s="3271"/>
      <c r="L88" s="4117"/>
      <c r="M88" s="4117"/>
      <c r="N88" s="1818"/>
      <c r="O88" s="2055"/>
      <c r="P88" s="2055"/>
      <c r="Q88" s="3259"/>
      <c r="R88" s="3259"/>
      <c r="S88" s="3259"/>
      <c r="T88" s="3259"/>
      <c r="U88" s="3259"/>
      <c r="V88" s="3259"/>
      <c r="W88" s="3259"/>
      <c r="X88" s="3259"/>
      <c r="Y88" s="3259"/>
      <c r="Z88" s="3259"/>
      <c r="AA88" s="3259"/>
      <c r="AB88" s="1862"/>
      <c r="AC88" s="3259"/>
      <c r="AD88" s="3259"/>
      <c r="AE88" s="3259"/>
      <c r="AF88" s="3259"/>
      <c r="AG88" s="3259"/>
      <c r="AH88" s="3259"/>
      <c r="AI88" s="3259"/>
      <c r="AJ88" s="1862"/>
      <c r="AK88" s="3259"/>
      <c r="AL88" s="3259"/>
      <c r="AM88" s="3259"/>
      <c r="AN88" s="1862"/>
      <c r="AO88" s="3259"/>
      <c r="AP88" s="3259"/>
      <c r="AQ88" s="3259"/>
      <c r="AR88" s="3259"/>
      <c r="AS88" s="3259"/>
      <c r="AT88" s="3259"/>
      <c r="AU88" s="3259"/>
      <c r="AV88" s="3259"/>
      <c r="AW88" s="3259"/>
      <c r="AX88" s="3259"/>
      <c r="AY88" s="3259"/>
      <c r="AZ88" s="3259"/>
      <c r="BA88" s="3259"/>
      <c r="BB88" s="3259"/>
      <c r="BC88" s="3259"/>
      <c r="BD88" s="3259"/>
      <c r="BE88" s="3259"/>
      <c r="BF88" s="3259"/>
      <c r="BG88" s="3259"/>
      <c r="BH88" s="3259"/>
      <c r="BI88" s="3259"/>
      <c r="BJ88" s="3259"/>
      <c r="BK88" s="3259"/>
      <c r="BL88" s="3259"/>
      <c r="BM88" s="3259"/>
      <c r="BN88" s="3259"/>
      <c r="BO88" s="3259"/>
      <c r="BP88" s="3259"/>
      <c r="BQ88" s="3259"/>
      <c r="BR88" s="3259"/>
      <c r="BT88" s="3259"/>
      <c r="BU88" s="3259"/>
      <c r="BV88" s="1861"/>
      <c r="BW88" s="3259"/>
      <c r="BX88" s="1997"/>
      <c r="BY88" s="1997"/>
      <c r="BZ88" s="3257"/>
    </row>
    <row r="89" spans="1:79" s="1726" customFormat="1" x14ac:dyDescent="0.2">
      <c r="B89" s="2655"/>
      <c r="C89" s="2656" t="s">
        <v>143</v>
      </c>
      <c r="D89" s="1861"/>
      <c r="E89" s="1771">
        <f>E78</f>
        <v>10002.5</v>
      </c>
      <c r="F89" s="2657">
        <f t="shared" si="349"/>
        <v>1000.25</v>
      </c>
      <c r="G89" s="2658">
        <f t="shared" ref="G89:G90" si="396">E89/15</f>
        <v>666.83333333333337</v>
      </c>
      <c r="H89" s="2659">
        <f t="shared" ref="H89:H90" si="397">E89/20</f>
        <v>500.125</v>
      </c>
      <c r="I89" s="2660">
        <f t="shared" ref="I89:I90" si="398">E89/25</f>
        <v>400.1</v>
      </c>
      <c r="J89" s="2275"/>
      <c r="K89" s="2661">
        <f>E89/29</f>
        <v>344.91379310344826</v>
      </c>
      <c r="L89" s="4135"/>
      <c r="M89" s="4135"/>
      <c r="N89" s="1773">
        <f>K89*20%</f>
        <v>68.982758620689651</v>
      </c>
      <c r="O89" s="2216"/>
      <c r="P89" s="2055"/>
      <c r="Q89" s="3265">
        <f>IF(Q79&gt;0,"0.000",Q79)</f>
        <v>-28.129065456843485</v>
      </c>
      <c r="R89" s="3267">
        <f>IF(R79&gt;0,"0.000",R79)</f>
        <v>-9.4210654568434862</v>
      </c>
      <c r="S89" s="3267">
        <f t="shared" ref="S89:W89" si="399">IF(S79&gt;0,"0.000",S79)</f>
        <v>-8.8340654568434829</v>
      </c>
      <c r="T89" s="3267">
        <f t="shared" si="399"/>
        <v>-13.591065456843488</v>
      </c>
      <c r="U89" s="3267">
        <f t="shared" si="399"/>
        <v>0</v>
      </c>
      <c r="V89" s="3267" t="str">
        <f t="shared" si="399"/>
        <v>0.000</v>
      </c>
      <c r="W89" s="3269">
        <f t="shared" si="399"/>
        <v>-4.7600654568434777</v>
      </c>
      <c r="X89" s="3259"/>
      <c r="Y89" s="3265">
        <f t="shared" ref="Y89:Y91" si="400">SUM(Q89:W89)</f>
        <v>-64.735327284217419</v>
      </c>
      <c r="Z89" s="3267"/>
      <c r="AA89" s="3269"/>
      <c r="AB89" s="1862"/>
      <c r="AC89" s="3265">
        <f t="shared" ref="AC89:AI89" si="401">IF(AC79&gt;0,"0.000",AC79)</f>
        <v>-35.834065456843483</v>
      </c>
      <c r="AD89" s="3267">
        <f t="shared" si="401"/>
        <v>-4.8850654568434777</v>
      </c>
      <c r="AE89" s="3267">
        <f t="shared" si="401"/>
        <v>-16.204065456843487</v>
      </c>
      <c r="AF89" s="3267">
        <f t="shared" si="401"/>
        <v>-32.538065456843491</v>
      </c>
      <c r="AG89" s="3267">
        <f t="shared" si="401"/>
        <v>-9.1082660406896423</v>
      </c>
      <c r="AH89" s="3267">
        <f t="shared" si="401"/>
        <v>-15.13906545684349</v>
      </c>
      <c r="AI89" s="3269">
        <f t="shared" si="401"/>
        <v>-37.874065456843489</v>
      </c>
      <c r="AJ89" s="1862"/>
      <c r="AK89" s="3265">
        <f>SUM(AC89:AI89)</f>
        <v>-151.58265878175055</v>
      </c>
      <c r="AL89" s="3267"/>
      <c r="AM89" s="3269"/>
      <c r="AN89" s="1862"/>
      <c r="AO89" s="3265">
        <f t="shared" ref="AO89:AU89" si="402">IF(AO79&gt;0,"0.000",AO79)</f>
        <v>-5.6675654568434837</v>
      </c>
      <c r="AP89" s="3267">
        <f t="shared" si="402"/>
        <v>-62.819065456843489</v>
      </c>
      <c r="AQ89" s="3267">
        <f t="shared" si="402"/>
        <v>-47.870065456843484</v>
      </c>
      <c r="AR89" s="3267">
        <f t="shared" si="402"/>
        <v>-21.351565456843495</v>
      </c>
      <c r="AS89" s="3267">
        <f t="shared" si="402"/>
        <v>-37.87276604068964</v>
      </c>
      <c r="AT89" s="3267">
        <f t="shared" si="402"/>
        <v>-7.6975654568434848</v>
      </c>
      <c r="AU89" s="3269">
        <f t="shared" si="402"/>
        <v>-25.52306545684349</v>
      </c>
      <c r="AV89" s="3259"/>
      <c r="AW89" s="3265">
        <f t="shared" si="392"/>
        <v>-208.80165878175058</v>
      </c>
      <c r="AX89" s="3267"/>
      <c r="AY89" s="3269"/>
      <c r="AZ89" s="3259"/>
      <c r="BA89" s="3265">
        <f t="shared" ref="BA89:BG89" si="403">IF(BA79&gt;0,"0.000",BA79)</f>
        <v>-37.119065456843494</v>
      </c>
      <c r="BB89" s="3267">
        <f t="shared" si="403"/>
        <v>-45.438065456843496</v>
      </c>
      <c r="BC89" s="3267">
        <f t="shared" si="403"/>
        <v>-47.742565456843487</v>
      </c>
      <c r="BD89" s="3267">
        <f t="shared" si="403"/>
        <v>-25.929065456843496</v>
      </c>
      <c r="BE89" s="3267">
        <f t="shared" si="403"/>
        <v>-15.633266040689648</v>
      </c>
      <c r="BF89" s="3267">
        <f t="shared" si="403"/>
        <v>-14.539565456843484</v>
      </c>
      <c r="BG89" s="3269">
        <f t="shared" si="403"/>
        <v>-45.403565456843488</v>
      </c>
      <c r="BH89" s="3259"/>
      <c r="BI89" s="3265">
        <f t="shared" si="394"/>
        <v>-231.80515878175061</v>
      </c>
      <c r="BJ89" s="3267"/>
      <c r="BK89" s="3269"/>
      <c r="BL89" s="3259"/>
      <c r="BM89" s="3265">
        <f t="shared" ref="BM89" si="404">IF(BM79&gt;0,"0.000",BM79)</f>
        <v>-35.372565456843496</v>
      </c>
      <c r="BN89" s="3269">
        <f>IF(BN79&gt;0,"0.000",BN79)</f>
        <v>-48.607065456843493</v>
      </c>
      <c r="BO89" s="3259"/>
      <c r="BP89" s="3265">
        <f>SUM(BM89:BN89)</f>
        <v>-83.979630913686989</v>
      </c>
      <c r="BQ89" s="3267"/>
      <c r="BR89" s="3269"/>
      <c r="BT89" s="2663">
        <f>SUM(Q89:W89)+SUM(AC89:AI89)+SUM(AO89:AU89)+SUM(BA89:BG89)+SUM(BN89:BN89)</f>
        <v>-705.53186908631267</v>
      </c>
      <c r="BU89" s="3269"/>
      <c r="BV89" s="1740"/>
      <c r="BW89" s="3259"/>
      <c r="BX89" s="2246"/>
      <c r="BY89" s="2246"/>
      <c r="BZ89" s="2247"/>
    </row>
    <row r="90" spans="1:79" s="1885" customFormat="1" ht="17.25" thickBot="1" x14ac:dyDescent="0.25">
      <c r="B90" s="2703"/>
      <c r="C90" s="2704" t="s">
        <v>178</v>
      </c>
      <c r="D90" s="2011"/>
      <c r="E90" s="2705">
        <f>E82</f>
        <v>1750</v>
      </c>
      <c r="F90" s="2706">
        <f t="shared" si="349"/>
        <v>175</v>
      </c>
      <c r="G90" s="2707">
        <f t="shared" si="396"/>
        <v>116.66666666666667</v>
      </c>
      <c r="H90" s="2708">
        <f t="shared" si="397"/>
        <v>87.5</v>
      </c>
      <c r="I90" s="2709">
        <f t="shared" si="398"/>
        <v>70</v>
      </c>
      <c r="J90" s="2884"/>
      <c r="K90" s="2710">
        <f>E90/29</f>
        <v>60.344827586206897</v>
      </c>
      <c r="L90" s="4136"/>
      <c r="M90" s="4136"/>
      <c r="N90" s="2711">
        <f>K90*20%</f>
        <v>12.068965517241381</v>
      </c>
      <c r="O90" s="2213"/>
      <c r="P90" s="2214"/>
      <c r="Q90" s="2244">
        <f>IF(Q84&gt;0,"0.000",Q84)</f>
        <v>-12.069000000000001</v>
      </c>
      <c r="R90" s="1898">
        <f t="shared" ref="R90:W90" si="405">IF(R84&gt;0,"0.000",R84)</f>
        <v>-12.069000000000001</v>
      </c>
      <c r="S90" s="1898">
        <f t="shared" si="405"/>
        <v>-12.069000000000001</v>
      </c>
      <c r="T90" s="1898">
        <f t="shared" si="405"/>
        <v>-12.069000000000001</v>
      </c>
      <c r="U90" s="1898">
        <f t="shared" si="405"/>
        <v>0</v>
      </c>
      <c r="V90" s="1898">
        <f t="shared" si="405"/>
        <v>-3.7530974084871715E-2</v>
      </c>
      <c r="W90" s="2245">
        <f t="shared" si="405"/>
        <v>-12.069000000000001</v>
      </c>
      <c r="X90" s="3249"/>
      <c r="Y90" s="2244">
        <f t="shared" si="400"/>
        <v>-60.382530974084879</v>
      </c>
      <c r="Z90" s="1898"/>
      <c r="AA90" s="2245"/>
      <c r="AB90" s="1897"/>
      <c r="AC90" s="2244">
        <f t="shared" ref="AC90:AI90" si="406">IF(AC84&gt;0,"0.000",AC84)</f>
        <v>-12.069000000000001</v>
      </c>
      <c r="AD90" s="1898">
        <f t="shared" si="406"/>
        <v>-12.069000000000001</v>
      </c>
      <c r="AE90" s="1898">
        <f t="shared" si="406"/>
        <v>-12.069000000000001</v>
      </c>
      <c r="AF90" s="1898">
        <f t="shared" si="406"/>
        <v>-12.069000000000001</v>
      </c>
      <c r="AG90" s="1898">
        <f t="shared" si="406"/>
        <v>-12.069000000000001</v>
      </c>
      <c r="AH90" s="1898">
        <f t="shared" si="406"/>
        <v>-12.069000000000001</v>
      </c>
      <c r="AI90" s="2245">
        <f t="shared" si="406"/>
        <v>-12.069000000000001</v>
      </c>
      <c r="AJ90" s="1897"/>
      <c r="AK90" s="2244">
        <f t="shared" si="390"/>
        <v>-84.483000000000004</v>
      </c>
      <c r="AL90" s="1898"/>
      <c r="AM90" s="2245"/>
      <c r="AN90" s="1897"/>
      <c r="AO90" s="2244">
        <f t="shared" ref="AO90:AU90" si="407">IF(AO84&gt;0,"0.000",AO84)</f>
        <v>-12.069000000000001</v>
      </c>
      <c r="AP90" s="1898">
        <f t="shared" si="407"/>
        <v>-12.069000000000001</v>
      </c>
      <c r="AQ90" s="1898">
        <f t="shared" si="407"/>
        <v>-12.069000000000001</v>
      </c>
      <c r="AR90" s="1898">
        <f t="shared" si="407"/>
        <v>-12.069000000000001</v>
      </c>
      <c r="AS90" s="1898">
        <f t="shared" si="407"/>
        <v>-12.069000000000001</v>
      </c>
      <c r="AT90" s="1898">
        <f t="shared" si="407"/>
        <v>-12.069000000000001</v>
      </c>
      <c r="AU90" s="2245">
        <f t="shared" si="407"/>
        <v>-12.069000000000001</v>
      </c>
      <c r="AV90" s="3249"/>
      <c r="AW90" s="2244">
        <f t="shared" si="392"/>
        <v>-84.483000000000004</v>
      </c>
      <c r="AX90" s="1898"/>
      <c r="AY90" s="2245"/>
      <c r="AZ90" s="3249"/>
      <c r="BA90" s="2244">
        <f t="shared" ref="BA90:BG90" si="408">IF(BA84&gt;0,"0.000",BA84)</f>
        <v>-12.069000000000001</v>
      </c>
      <c r="BB90" s="1898">
        <f t="shared" si="408"/>
        <v>-12.069000000000001</v>
      </c>
      <c r="BC90" s="1898">
        <f t="shared" si="408"/>
        <v>-12.069000000000001</v>
      </c>
      <c r="BD90" s="1898">
        <f t="shared" si="408"/>
        <v>-12.069000000000001</v>
      </c>
      <c r="BE90" s="1898">
        <f t="shared" si="408"/>
        <v>-12.069000000000001</v>
      </c>
      <c r="BF90" s="1898">
        <f t="shared" si="408"/>
        <v>-12.069000000000001</v>
      </c>
      <c r="BG90" s="2245">
        <f t="shared" si="408"/>
        <v>-12.069000000000001</v>
      </c>
      <c r="BH90" s="3249"/>
      <c r="BI90" s="2244">
        <f t="shared" si="394"/>
        <v>-84.483000000000004</v>
      </c>
      <c r="BJ90" s="1898"/>
      <c r="BK90" s="2245"/>
      <c r="BL90" s="3249"/>
      <c r="BM90" s="3025">
        <f t="shared" ref="BM90" si="409">IF(BM84&gt;0,"0.000",BM84)</f>
        <v>-12.069000000000001</v>
      </c>
      <c r="BN90" s="2245">
        <f>IF(BN84&gt;0,"0.000",BN84)</f>
        <v>-12.069000000000001</v>
      </c>
      <c r="BO90" s="3249"/>
      <c r="BP90" s="2244">
        <f>SUM(BM90:BN90)</f>
        <v>-24.138000000000002</v>
      </c>
      <c r="BQ90" s="1898"/>
      <c r="BR90" s="2245"/>
      <c r="BT90" s="2244">
        <f>SUM(Q90:W90)+SUM(AC90:AI90)+SUM(AO90:AU90)+SUM(BA90:BG90)+SUM(BN90:BN90)</f>
        <v>-325.90053097408492</v>
      </c>
      <c r="BU90" s="2245"/>
      <c r="BV90" s="1900"/>
      <c r="BW90" s="3249"/>
      <c r="BX90" s="2251"/>
      <c r="BY90" s="2251"/>
      <c r="BZ90" s="2252"/>
    </row>
    <row r="91" spans="1:79" s="1726" customFormat="1" ht="17.25" thickBot="1" x14ac:dyDescent="0.25">
      <c r="B91" s="2355"/>
      <c r="C91" s="2356" t="s">
        <v>272</v>
      </c>
      <c r="D91" s="1861"/>
      <c r="E91" s="2664">
        <f>E89+E90</f>
        <v>11752.5</v>
      </c>
      <c r="F91" s="2665"/>
      <c r="G91" s="2666"/>
      <c r="H91" s="2667"/>
      <c r="I91" s="2668"/>
      <c r="J91" s="4160"/>
      <c r="K91" s="2669">
        <f>K89+K90</f>
        <v>405.25862068965517</v>
      </c>
      <c r="L91" s="4137"/>
      <c r="M91" s="4137"/>
      <c r="N91" s="2670">
        <f>N89+N90</f>
        <v>81.051724137931032</v>
      </c>
      <c r="O91" s="2216"/>
      <c r="P91" s="2055"/>
      <c r="Q91" s="3266" t="str">
        <f>IF(Q84&lt;0,"0.000",Q84)</f>
        <v>0.000</v>
      </c>
      <c r="R91" s="3268" t="str">
        <f t="shared" ref="R91:W91" si="410">IF(R84&lt;0,"0.000",R84)</f>
        <v>0.000</v>
      </c>
      <c r="S91" s="3268" t="str">
        <f t="shared" si="410"/>
        <v>0.000</v>
      </c>
      <c r="T91" s="3268" t="str">
        <f t="shared" si="410"/>
        <v>0.000</v>
      </c>
      <c r="U91" s="3268">
        <f t="shared" si="410"/>
        <v>0</v>
      </c>
      <c r="V91" s="3268" t="str">
        <f t="shared" si="410"/>
        <v>0.000</v>
      </c>
      <c r="W91" s="3270" t="str">
        <f t="shared" si="410"/>
        <v>0.000</v>
      </c>
      <c r="X91" s="3259"/>
      <c r="Y91" s="3266">
        <f t="shared" si="400"/>
        <v>0</v>
      </c>
      <c r="Z91" s="3268"/>
      <c r="AA91" s="3270"/>
      <c r="AB91" s="1862"/>
      <c r="AC91" s="3266" t="str">
        <f t="shared" ref="AC91:AI91" si="411">IF(AC84&lt;0,"0.000",AC84)</f>
        <v>0.000</v>
      </c>
      <c r="AD91" s="3268" t="str">
        <f t="shared" si="411"/>
        <v>0.000</v>
      </c>
      <c r="AE91" s="3268" t="str">
        <f t="shared" si="411"/>
        <v>0.000</v>
      </c>
      <c r="AF91" s="3268" t="str">
        <f t="shared" si="411"/>
        <v>0.000</v>
      </c>
      <c r="AG91" s="3268" t="str">
        <f t="shared" si="411"/>
        <v>0.000</v>
      </c>
      <c r="AH91" s="3268" t="str">
        <f t="shared" si="411"/>
        <v>0.000</v>
      </c>
      <c r="AI91" s="3270" t="str">
        <f t="shared" si="411"/>
        <v>0.000</v>
      </c>
      <c r="AJ91" s="1862"/>
      <c r="AK91" s="3266">
        <f t="shared" si="390"/>
        <v>0</v>
      </c>
      <c r="AL91" s="3268"/>
      <c r="AM91" s="3270"/>
      <c r="AN91" s="1862"/>
      <c r="AO91" s="3266" t="str">
        <f t="shared" ref="AO91:AU91" si="412">IF(AO84&lt;0,"0.000",AO84)</f>
        <v>0.000</v>
      </c>
      <c r="AP91" s="3268" t="str">
        <f t="shared" si="412"/>
        <v>0.000</v>
      </c>
      <c r="AQ91" s="3268" t="str">
        <f t="shared" si="412"/>
        <v>0.000</v>
      </c>
      <c r="AR91" s="3268" t="str">
        <f t="shared" si="412"/>
        <v>0.000</v>
      </c>
      <c r="AS91" s="3268" t="str">
        <f t="shared" si="412"/>
        <v>0.000</v>
      </c>
      <c r="AT91" s="3268" t="str">
        <f t="shared" si="412"/>
        <v>0.000</v>
      </c>
      <c r="AU91" s="3270" t="str">
        <f t="shared" si="412"/>
        <v>0.000</v>
      </c>
      <c r="AV91" s="3259"/>
      <c r="AW91" s="3266">
        <f t="shared" si="392"/>
        <v>0</v>
      </c>
      <c r="AX91" s="3268"/>
      <c r="AY91" s="3270"/>
      <c r="AZ91" s="3259"/>
      <c r="BA91" s="3266" t="str">
        <f t="shared" ref="BA91:BG91" si="413">IF(BA84&lt;0,"0.000",BA84)</f>
        <v>0.000</v>
      </c>
      <c r="BB91" s="3268" t="str">
        <f t="shared" si="413"/>
        <v>0.000</v>
      </c>
      <c r="BC91" s="3268" t="str">
        <f t="shared" si="413"/>
        <v>0.000</v>
      </c>
      <c r="BD91" s="3268" t="str">
        <f t="shared" si="413"/>
        <v>0.000</v>
      </c>
      <c r="BE91" s="3268" t="str">
        <f t="shared" si="413"/>
        <v>0.000</v>
      </c>
      <c r="BF91" s="3268" t="str">
        <f t="shared" si="413"/>
        <v>0.000</v>
      </c>
      <c r="BG91" s="3270" t="str">
        <f t="shared" si="413"/>
        <v>0.000</v>
      </c>
      <c r="BH91" s="3259"/>
      <c r="BI91" s="3266">
        <f t="shared" si="394"/>
        <v>0</v>
      </c>
      <c r="BJ91" s="3268"/>
      <c r="BK91" s="3270"/>
      <c r="BL91" s="3259"/>
      <c r="BM91" s="3266" t="str">
        <f t="shared" ref="BM91" si="414">IF(BM84&lt;0,"0.000",BM84)</f>
        <v>0.000</v>
      </c>
      <c r="BN91" s="3270" t="str">
        <f>IF(BN84&lt;0,"0.000",BN84)</f>
        <v>0.000</v>
      </c>
      <c r="BO91" s="3259"/>
      <c r="BP91" s="3266">
        <f>SUM(BM91:BN91)</f>
        <v>0</v>
      </c>
      <c r="BQ91" s="3268"/>
      <c r="BR91" s="3270"/>
      <c r="BT91" s="3266">
        <f>SUM(Q91:W91)+SUM(AC91:AI91)+SUM(AO91:AU91)+SUM(BA91:BG91)+SUM(BN91:BN91)</f>
        <v>0</v>
      </c>
      <c r="BU91" s="3270"/>
      <c r="BV91" s="1740"/>
      <c r="BW91" s="3259"/>
      <c r="BX91" s="2246"/>
      <c r="BY91" s="2246"/>
      <c r="BZ91" s="2247"/>
    </row>
    <row r="92" spans="1:79" s="1726" customFormat="1" ht="4.5" customHeight="1" thickBot="1" x14ac:dyDescent="0.25">
      <c r="B92" s="1740"/>
      <c r="C92" s="1740"/>
      <c r="D92" s="1861"/>
      <c r="E92" s="1740"/>
      <c r="F92" s="1740"/>
      <c r="G92" s="1740"/>
      <c r="H92" s="1740"/>
      <c r="I92" s="1740"/>
      <c r="J92" s="1740"/>
      <c r="K92" s="1740"/>
      <c r="L92" s="1740"/>
      <c r="M92" s="1740"/>
      <c r="N92" s="1997"/>
      <c r="O92" s="1760"/>
      <c r="P92" s="3257"/>
      <c r="Q92" s="1740"/>
      <c r="R92" s="1740"/>
      <c r="S92" s="1740"/>
      <c r="T92" s="1740"/>
      <c r="U92" s="1740"/>
      <c r="V92" s="1740"/>
      <c r="W92" s="1740"/>
      <c r="X92" s="1861"/>
      <c r="Y92" s="1740"/>
      <c r="Z92" s="1740"/>
      <c r="AA92" s="1740"/>
      <c r="AB92" s="1860"/>
      <c r="AC92" s="1740"/>
      <c r="AD92" s="1740"/>
      <c r="AE92" s="1740"/>
      <c r="AF92" s="1740"/>
      <c r="AG92" s="1740"/>
      <c r="AH92" s="1740"/>
      <c r="AI92" s="1740"/>
      <c r="AJ92" s="1860"/>
      <c r="AK92" s="1740"/>
      <c r="AL92" s="1740"/>
      <c r="AM92" s="1740"/>
      <c r="AN92" s="1860"/>
      <c r="AO92" s="1740"/>
      <c r="AP92" s="1740"/>
      <c r="AQ92" s="1740"/>
      <c r="AR92" s="1740"/>
      <c r="AS92" s="1740"/>
      <c r="AT92" s="1740"/>
      <c r="AU92" s="1740"/>
      <c r="AV92" s="1861"/>
      <c r="AW92" s="1740"/>
      <c r="AX92" s="1740"/>
      <c r="AY92" s="1740"/>
      <c r="AZ92" s="1861"/>
      <c r="BA92" s="1740"/>
      <c r="BB92" s="1740"/>
      <c r="BC92" s="1740"/>
      <c r="BD92" s="1740"/>
      <c r="BE92" s="1740"/>
      <c r="BF92" s="1740"/>
      <c r="BG92" s="1740"/>
      <c r="BH92" s="1861"/>
      <c r="BI92" s="1740"/>
      <c r="BJ92" s="1740"/>
      <c r="BK92" s="1740"/>
      <c r="BL92" s="1740"/>
      <c r="BM92" s="1740"/>
      <c r="BN92" s="1740"/>
      <c r="BO92" s="1740"/>
      <c r="BP92" s="1740"/>
      <c r="BQ92" s="1740"/>
      <c r="BR92" s="1740"/>
      <c r="BT92" s="1740"/>
      <c r="BU92" s="1740"/>
      <c r="BV92" s="1740"/>
      <c r="BW92" s="1740"/>
      <c r="BX92" s="1740"/>
      <c r="BY92" s="1861"/>
    </row>
    <row r="93" spans="1:79" s="1885" customFormat="1" ht="17.25" thickBot="1" x14ac:dyDescent="0.25">
      <c r="B93" s="2117"/>
      <c r="C93" s="2212"/>
      <c r="D93" s="2119"/>
      <c r="E93" s="2123">
        <f>SUM(E86:E90)</f>
        <v>26636.204999999998</v>
      </c>
      <c r="F93" s="2121"/>
      <c r="G93" s="2121"/>
      <c r="H93" s="2121"/>
      <c r="I93" s="2121"/>
      <c r="J93" s="2121"/>
      <c r="K93" s="2121">
        <f>E93/29</f>
        <v>918.48982758620684</v>
      </c>
      <c r="L93" s="4120"/>
      <c r="M93" s="4120"/>
      <c r="N93" s="2129">
        <f>K93*20%</f>
        <v>183.69796551724139</v>
      </c>
      <c r="O93" s="2213"/>
      <c r="P93" s="2214"/>
      <c r="Q93" s="2120">
        <f>SUM(Q86:Q91)</f>
        <v>-40.198065456843487</v>
      </c>
      <c r="R93" s="2123">
        <f t="shared" ref="R93:W93" si="415">SUM(R86:R91)</f>
        <v>-21.490065456843489</v>
      </c>
      <c r="S93" s="2123">
        <f t="shared" si="415"/>
        <v>-20.903065456843485</v>
      </c>
      <c r="T93" s="2123">
        <f t="shared" si="415"/>
        <v>-25.66006545684349</v>
      </c>
      <c r="U93" s="2123">
        <f t="shared" si="415"/>
        <v>0</v>
      </c>
      <c r="V93" s="2123">
        <f t="shared" si="415"/>
        <v>-3.7530974084871715E-2</v>
      </c>
      <c r="W93" s="2124">
        <f t="shared" si="415"/>
        <v>-16.82906545684348</v>
      </c>
      <c r="X93" s="1951"/>
      <c r="Y93" s="2120">
        <f>SUM(Q93:W93)</f>
        <v>-125.11785825830231</v>
      </c>
      <c r="Z93" s="2123"/>
      <c r="AA93" s="2124"/>
      <c r="AB93" s="1956"/>
      <c r="AC93" s="2120">
        <f t="shared" ref="AC93:AI93" si="416">SUM(AC86:AC91)</f>
        <v>-47.903065456843485</v>
      </c>
      <c r="AD93" s="2123">
        <f t="shared" si="416"/>
        <v>-16.95406545684348</v>
      </c>
      <c r="AE93" s="2123">
        <f t="shared" si="416"/>
        <v>-28.27306545684349</v>
      </c>
      <c r="AF93" s="2123">
        <f t="shared" si="416"/>
        <v>-44.607065456843493</v>
      </c>
      <c r="AG93" s="2123">
        <f t="shared" si="416"/>
        <v>-21.177266040689645</v>
      </c>
      <c r="AH93" s="2123">
        <f t="shared" si="416"/>
        <v>-27.208065456843492</v>
      </c>
      <c r="AI93" s="2124">
        <f t="shared" si="416"/>
        <v>-49.943065456843492</v>
      </c>
      <c r="AJ93" s="1956"/>
      <c r="AK93" s="2120">
        <f>SUM(AC93:AI93)</f>
        <v>-236.06565878175059</v>
      </c>
      <c r="AL93" s="2123"/>
      <c r="AM93" s="2124"/>
      <c r="AN93" s="1955"/>
      <c r="AO93" s="2120">
        <f t="shared" ref="AO93:AU93" si="417">SUM(AO86:AO91)</f>
        <v>-17.736565456843486</v>
      </c>
      <c r="AP93" s="2121">
        <f t="shared" si="417"/>
        <v>-74.888065456843492</v>
      </c>
      <c r="AQ93" s="2121">
        <f t="shared" si="417"/>
        <v>-59.939065456843487</v>
      </c>
      <c r="AR93" s="2121">
        <f t="shared" si="417"/>
        <v>-33.420565456843498</v>
      </c>
      <c r="AS93" s="2121">
        <f t="shared" si="417"/>
        <v>-49.941766040689643</v>
      </c>
      <c r="AT93" s="2121">
        <f t="shared" si="417"/>
        <v>-19.766565456843487</v>
      </c>
      <c r="AU93" s="2124">
        <f t="shared" si="417"/>
        <v>-37.592065456843493</v>
      </c>
      <c r="AV93" s="2254"/>
      <c r="AW93" s="2120">
        <f>SUM(AO93:AU93)</f>
        <v>-293.28465878175058</v>
      </c>
      <c r="AX93" s="2123"/>
      <c r="AY93" s="2124"/>
      <c r="AZ93" s="1951"/>
      <c r="BA93" s="2120">
        <f t="shared" ref="BA93:BG93" si="418">SUM(BA86:BA91)</f>
        <v>-49.188065456843496</v>
      </c>
      <c r="BB93" s="2121">
        <f t="shared" si="418"/>
        <v>-57.507065456843499</v>
      </c>
      <c r="BC93" s="2121">
        <f t="shared" si="418"/>
        <v>-59.811565456843489</v>
      </c>
      <c r="BD93" s="2121">
        <f t="shared" si="418"/>
        <v>-37.998065456843499</v>
      </c>
      <c r="BE93" s="2121">
        <f t="shared" si="418"/>
        <v>-27.702266040689651</v>
      </c>
      <c r="BF93" s="2121">
        <f t="shared" si="418"/>
        <v>-26.608565456843486</v>
      </c>
      <c r="BG93" s="2124">
        <f t="shared" si="418"/>
        <v>-57.47256545684349</v>
      </c>
      <c r="BH93" s="1951"/>
      <c r="BI93" s="2120">
        <f>SUM(BA93:BG93)</f>
        <v>-316.28815878175061</v>
      </c>
      <c r="BJ93" s="2123"/>
      <c r="BK93" s="2124"/>
      <c r="BL93" s="1900"/>
      <c r="BM93" s="2120">
        <f t="shared" ref="BM93:BN93" si="419">SUM(BM86:BM91)</f>
        <v>-47.441565456843499</v>
      </c>
      <c r="BN93" s="2124">
        <f t="shared" si="419"/>
        <v>-60.676065456843496</v>
      </c>
      <c r="BO93" s="2317"/>
      <c r="BP93" s="2215">
        <f>SUM(BM93:BN93)</f>
        <v>-108.11763091368699</v>
      </c>
      <c r="BQ93" s="2318"/>
      <c r="BR93" s="2118"/>
      <c r="BS93" s="1897"/>
      <c r="BT93" s="2215">
        <f>SUM(Q93:W93)+SUM(AC93:AI93)+SUM(AO93:AU93)+SUM(BA93:BG93)+SUM(BN93:BN93)</f>
        <v>-1031.4324000603974</v>
      </c>
      <c r="BU93" s="2130"/>
      <c r="BV93" s="1900"/>
      <c r="BW93" s="1900"/>
      <c r="BX93" s="1900"/>
      <c r="BY93" s="2011"/>
    </row>
    <row r="94" spans="1:79" s="1726" customFormat="1" ht="4.5" customHeight="1" thickBot="1" x14ac:dyDescent="0.25">
      <c r="B94" s="1740"/>
      <c r="C94" s="1740"/>
      <c r="D94" s="1861"/>
      <c r="E94" s="1740"/>
      <c r="F94" s="1740"/>
      <c r="G94" s="1740"/>
      <c r="H94" s="1740"/>
      <c r="I94" s="1740"/>
      <c r="J94" s="1740"/>
      <c r="K94" s="1740"/>
      <c r="L94" s="1740"/>
      <c r="M94" s="1740"/>
      <c r="N94" s="1861"/>
      <c r="O94" s="1827"/>
      <c r="P94" s="1810"/>
      <c r="Q94" s="1740"/>
      <c r="R94" s="1740"/>
      <c r="S94" s="1740"/>
      <c r="T94" s="1740"/>
      <c r="U94" s="1740"/>
      <c r="V94" s="1740"/>
      <c r="W94" s="1740"/>
      <c r="X94" s="1861"/>
      <c r="Y94" s="1740"/>
      <c r="Z94" s="1740"/>
      <c r="AA94" s="1740"/>
      <c r="AB94" s="1860"/>
      <c r="AJ94" s="1860"/>
      <c r="AK94" s="1740"/>
      <c r="AL94" s="1740"/>
      <c r="AM94" s="1740"/>
      <c r="AN94" s="1860"/>
      <c r="AO94" s="1740"/>
      <c r="AP94" s="1740"/>
      <c r="AQ94" s="1740"/>
      <c r="AR94" s="1740"/>
      <c r="AS94" s="1740"/>
      <c r="AT94" s="1740"/>
      <c r="AU94" s="1740"/>
      <c r="AV94" s="1861"/>
      <c r="AW94" s="1740"/>
      <c r="AX94" s="1740"/>
      <c r="AY94" s="1740"/>
      <c r="AZ94" s="1861"/>
      <c r="BA94" s="1740"/>
      <c r="BB94" s="1740"/>
      <c r="BC94" s="1740"/>
      <c r="BD94" s="1740"/>
      <c r="BE94" s="1740"/>
      <c r="BF94" s="1740"/>
      <c r="BG94" s="1740"/>
      <c r="BH94" s="1861"/>
      <c r="BI94" s="1740"/>
      <c r="BJ94" s="1740"/>
      <c r="BK94" s="1740"/>
      <c r="BL94" s="1740"/>
      <c r="BM94" s="1740"/>
      <c r="BN94" s="1740"/>
      <c r="BO94" s="1740"/>
      <c r="BP94" s="1740"/>
      <c r="BQ94" s="1740"/>
      <c r="BR94" s="1740"/>
      <c r="BT94" s="1740"/>
      <c r="BU94" s="1740"/>
      <c r="BV94" s="1740"/>
      <c r="BW94" s="1740"/>
      <c r="BX94" s="1740"/>
      <c r="BY94" s="1861"/>
    </row>
    <row r="95" spans="1:79" s="1726" customFormat="1" ht="17.25" thickBot="1" x14ac:dyDescent="0.25">
      <c r="B95" s="2049"/>
      <c r="C95" s="2050"/>
      <c r="D95" s="2051"/>
      <c r="E95" s="2052">
        <f>E93*20%</f>
        <v>5327.241</v>
      </c>
      <c r="F95" s="2053"/>
      <c r="G95" s="2053"/>
      <c r="H95" s="2053"/>
      <c r="I95" s="2053"/>
      <c r="J95" s="2053"/>
      <c r="K95" s="2053"/>
      <c r="L95" s="4127"/>
      <c r="M95" s="4127"/>
      <c r="N95" s="2253"/>
      <c r="O95" s="2216"/>
      <c r="P95" s="2055"/>
      <c r="Q95" s="2056">
        <f>Q93*100/20</f>
        <v>-200.99032728421744</v>
      </c>
      <c r="R95" s="2052">
        <f>R93*100/20</f>
        <v>-107.45032728421745</v>
      </c>
      <c r="S95" s="2052">
        <f t="shared" ref="S95:W95" si="420">S93*100/20</f>
        <v>-104.51532728421743</v>
      </c>
      <c r="T95" s="2052">
        <f t="shared" si="420"/>
        <v>-128.30032728421745</v>
      </c>
      <c r="U95" s="2052">
        <f t="shared" si="420"/>
        <v>0</v>
      </c>
      <c r="V95" s="2052">
        <f t="shared" si="420"/>
        <v>-0.18765487042435858</v>
      </c>
      <c r="W95" s="2192">
        <f t="shared" si="420"/>
        <v>-84.145327284217402</v>
      </c>
      <c r="X95" s="2300"/>
      <c r="Y95" s="2056">
        <f>SUM(Q95:W95)</f>
        <v>-625.58929129151147</v>
      </c>
      <c r="Z95" s="2052"/>
      <c r="AA95" s="2057"/>
      <c r="AB95" s="1766"/>
      <c r="AC95" s="2673">
        <f t="shared" ref="AC95:AI95" si="421">AC93*100/20</f>
        <v>-239.51532728421745</v>
      </c>
      <c r="AD95" s="2674">
        <f t="shared" si="421"/>
        <v>-84.770327284217402</v>
      </c>
      <c r="AE95" s="2674">
        <f t="shared" si="421"/>
        <v>-141.36532728421747</v>
      </c>
      <c r="AF95" s="2052">
        <f t="shared" si="421"/>
        <v>-223.03532728421746</v>
      </c>
      <c r="AG95" s="2674">
        <f t="shared" si="421"/>
        <v>-105.88633020344824</v>
      </c>
      <c r="AH95" s="2674">
        <f t="shared" si="421"/>
        <v>-136.04032728421745</v>
      </c>
      <c r="AI95" s="2675">
        <f t="shared" si="421"/>
        <v>-249.71532728421744</v>
      </c>
      <c r="AJ95" s="1766"/>
      <c r="AK95" s="2056">
        <f>SUM(AC95:AI95)</f>
        <v>-1180.328293908753</v>
      </c>
      <c r="AL95" s="2052"/>
      <c r="AM95" s="2057"/>
      <c r="AN95" s="1764"/>
      <c r="AO95" s="2056">
        <f>AO93*100/20</f>
        <v>-88.682827284217439</v>
      </c>
      <c r="AP95" s="2053">
        <f>AP93*100/20</f>
        <v>-374.44032728421746</v>
      </c>
      <c r="AQ95" s="2053">
        <f t="shared" ref="AQ95:AR95" si="422">AQ93*100/30</f>
        <v>-199.79688485614497</v>
      </c>
      <c r="AR95" s="2053">
        <f t="shared" si="422"/>
        <v>-111.40188485614499</v>
      </c>
      <c r="AS95" s="2053">
        <f t="shared" ref="AS95:AU95" si="423">AS93*100/20</f>
        <v>-249.70883020344823</v>
      </c>
      <c r="AT95" s="2053">
        <f t="shared" si="423"/>
        <v>-98.83282728421743</v>
      </c>
      <c r="AU95" s="2057">
        <f t="shared" si="423"/>
        <v>-187.96032728421747</v>
      </c>
      <c r="AV95" s="2300"/>
      <c r="AW95" s="2056">
        <f>SUM(AO95:AU95)</f>
        <v>-1310.8239090526081</v>
      </c>
      <c r="AX95" s="2052"/>
      <c r="AY95" s="2057"/>
      <c r="AZ95" s="3271"/>
      <c r="BA95" s="2056">
        <f t="shared" ref="BA95:BG95" si="424">BA93*100/30</f>
        <v>-163.96021818947833</v>
      </c>
      <c r="BB95" s="2053">
        <f t="shared" si="424"/>
        <v>-191.69021818947834</v>
      </c>
      <c r="BC95" s="2053">
        <f t="shared" si="424"/>
        <v>-199.37188485614496</v>
      </c>
      <c r="BD95" s="2053">
        <f t="shared" si="424"/>
        <v>-126.66021818947833</v>
      </c>
      <c r="BE95" s="2053">
        <f t="shared" si="424"/>
        <v>-92.34088680229884</v>
      </c>
      <c r="BF95" s="2053">
        <f t="shared" si="424"/>
        <v>-88.695218189478283</v>
      </c>
      <c r="BG95" s="2057">
        <f t="shared" si="424"/>
        <v>-191.57521818947831</v>
      </c>
      <c r="BH95" s="3271"/>
      <c r="BI95" s="2056">
        <f>SUM(BA95:BG95)</f>
        <v>-1054.2938626058353</v>
      </c>
      <c r="BJ95" s="2052"/>
      <c r="BK95" s="2057"/>
      <c r="BL95" s="1740"/>
      <c r="BM95" s="2056">
        <f t="shared" ref="BM95:BN95" si="425">BM93*100/30</f>
        <v>-158.13855152281167</v>
      </c>
      <c r="BN95" s="2057">
        <f t="shared" si="425"/>
        <v>-202.25355152281165</v>
      </c>
      <c r="BO95" s="2301"/>
      <c r="BP95" s="2058">
        <f>SUM(BM95:BN95)</f>
        <v>-360.39210304562334</v>
      </c>
      <c r="BQ95" s="2324"/>
      <c r="BR95" s="2190"/>
      <c r="BS95" s="1862"/>
      <c r="BT95" s="2058">
        <f>SUM(Q95:W95)+SUM(AC95:AI95)+SUM(AO95:AU95)+SUM(BA95:BG95)+SUM(BN95:BN95)</f>
        <v>-4373.2889083815198</v>
      </c>
      <c r="BU95" s="2676">
        <f>BT95/CC24</f>
        <v>-150.8030658062593</v>
      </c>
      <c r="BV95" s="1740"/>
      <c r="BW95" s="1740"/>
      <c r="BX95" s="1740"/>
      <c r="BY95" s="1861"/>
    </row>
    <row r="97" spans="3:42" ht="20.25" x14ac:dyDescent="0.2">
      <c r="C97" s="2449"/>
      <c r="D97" s="2450"/>
      <c r="E97" s="2449"/>
      <c r="F97" s="2449"/>
      <c r="G97" s="2449"/>
      <c r="H97" s="2449"/>
      <c r="I97" s="2449"/>
      <c r="J97" s="2449"/>
      <c r="K97" s="2983">
        <f>K98/29</f>
        <v>262.06896551724139</v>
      </c>
      <c r="L97" s="2449"/>
      <c r="M97" s="2449"/>
      <c r="N97" s="2449"/>
    </row>
    <row r="98" spans="3:42" ht="18" x14ac:dyDescent="0.2">
      <c r="C98" s="2449">
        <f>E98*20%</f>
        <v>9000</v>
      </c>
      <c r="D98" s="2450"/>
      <c r="E98" s="2449">
        <v>45000</v>
      </c>
      <c r="F98" s="2449"/>
      <c r="G98" s="2449"/>
      <c r="H98" s="2449"/>
      <c r="I98" s="2449"/>
      <c r="J98" s="2449">
        <v>38000</v>
      </c>
      <c r="K98" s="2449">
        <f>J98*20%</f>
        <v>7600</v>
      </c>
      <c r="L98" s="2449"/>
      <c r="M98" s="2449"/>
      <c r="N98" s="2449"/>
      <c r="S98" s="2255"/>
      <c r="T98" s="2256"/>
      <c r="U98" s="2256"/>
      <c r="V98" s="2257"/>
      <c r="W98" s="2257"/>
      <c r="X98" s="1915"/>
    </row>
    <row r="99" spans="3:42" ht="18" x14ac:dyDescent="0.2">
      <c r="C99" s="3179">
        <f>C98-E46</f>
        <v>6023.259</v>
      </c>
      <c r="D99" s="3261"/>
      <c r="E99" s="2771"/>
      <c r="F99" s="2771"/>
      <c r="G99" s="2771"/>
      <c r="H99" s="2771"/>
      <c r="I99" s="2771"/>
      <c r="J99" s="2449">
        <f>J98/29</f>
        <v>1310.344827586207</v>
      </c>
      <c r="K99" s="2449">
        <f>K98-E46</f>
        <v>4623.259</v>
      </c>
      <c r="L99" s="2771"/>
      <c r="M99" s="2449"/>
      <c r="N99" s="2449"/>
      <c r="AP99" s="2257"/>
    </row>
    <row r="100" spans="3:42" ht="18" x14ac:dyDescent="0.2">
      <c r="C100" s="2771">
        <f>C99/2</f>
        <v>3011.6295</v>
      </c>
      <c r="D100" s="3261"/>
      <c r="E100" s="2771"/>
      <c r="F100" s="2771"/>
      <c r="G100" s="2771"/>
      <c r="H100" s="2771"/>
      <c r="I100" s="2771"/>
      <c r="J100" s="2771"/>
      <c r="K100" s="2771">
        <f>K99/2</f>
        <v>2311.6295</v>
      </c>
      <c r="L100" s="2450"/>
      <c r="M100" s="2450"/>
      <c r="N100" s="2450"/>
    </row>
    <row r="101" spans="3:42" ht="18" x14ac:dyDescent="0.2">
      <c r="N101" s="2449"/>
    </row>
  </sheetData>
  <mergeCells count="90">
    <mergeCell ref="L18:M18"/>
    <mergeCell ref="J18:K19"/>
    <mergeCell ref="BQ86:BQ87"/>
    <mergeCell ref="BR86:BR87"/>
    <mergeCell ref="BT86:BT87"/>
    <mergeCell ref="BG86:BG87"/>
    <mergeCell ref="AT86:AT87"/>
    <mergeCell ref="AU86:AU87"/>
    <mergeCell ref="AW86:AW87"/>
    <mergeCell ref="AX86:AX87"/>
    <mergeCell ref="AY86:AY87"/>
    <mergeCell ref="BA86:BA87"/>
    <mergeCell ref="BB86:BB87"/>
    <mergeCell ref="BC86:BC87"/>
    <mergeCell ref="BD86:BD87"/>
    <mergeCell ref="BE86:BE87"/>
    <mergeCell ref="BU86:BU87"/>
    <mergeCell ref="BI86:BI87"/>
    <mergeCell ref="BJ86:BJ87"/>
    <mergeCell ref="BK86:BK87"/>
    <mergeCell ref="BM86:BM87"/>
    <mergeCell ref="BN86:BN87"/>
    <mergeCell ref="BP86:BP87"/>
    <mergeCell ref="BF86:BF87"/>
    <mergeCell ref="AD86:AD87"/>
    <mergeCell ref="AS86:AS87"/>
    <mergeCell ref="AF86:AF87"/>
    <mergeCell ref="AG86:AG87"/>
    <mergeCell ref="AH86:AH87"/>
    <mergeCell ref="AI86:AI87"/>
    <mergeCell ref="AK86:AK87"/>
    <mergeCell ref="AL86:AL87"/>
    <mergeCell ref="AM86:AM87"/>
    <mergeCell ref="AO86:AO87"/>
    <mergeCell ref="AP86:AP87"/>
    <mergeCell ref="AQ86:AQ87"/>
    <mergeCell ref="AR86:AR87"/>
    <mergeCell ref="W86:W87"/>
    <mergeCell ref="Y86:Y87"/>
    <mergeCell ref="Z86:Z87"/>
    <mergeCell ref="AA86:AA87"/>
    <mergeCell ref="AC86:AC87"/>
    <mergeCell ref="BW51:BX51"/>
    <mergeCell ref="BZ52:BZ61"/>
    <mergeCell ref="CB52:CB61"/>
    <mergeCell ref="BZ65:BZ74"/>
    <mergeCell ref="B86:B87"/>
    <mergeCell ref="C86:C87"/>
    <mergeCell ref="E86:E87"/>
    <mergeCell ref="K86:K87"/>
    <mergeCell ref="N86:N87"/>
    <mergeCell ref="Q86:Q87"/>
    <mergeCell ref="AE86:AE87"/>
    <mergeCell ref="R86:R87"/>
    <mergeCell ref="S86:S87"/>
    <mergeCell ref="T86:T87"/>
    <mergeCell ref="U86:U87"/>
    <mergeCell ref="V86:V87"/>
    <mergeCell ref="CB11:CC12"/>
    <mergeCell ref="CC14:CC15"/>
    <mergeCell ref="CD14:CD15"/>
    <mergeCell ref="Y20:AA20"/>
    <mergeCell ref="AK20:AM20"/>
    <mergeCell ref="AW20:AY20"/>
    <mergeCell ref="BI20:BK20"/>
    <mergeCell ref="BP20:BR20"/>
    <mergeCell ref="BT1:BT15"/>
    <mergeCell ref="AO1:AU2"/>
    <mergeCell ref="AK1:AM2"/>
    <mergeCell ref="CL1:CL2"/>
    <mergeCell ref="C3:C9"/>
    <mergeCell ref="E3:N3"/>
    <mergeCell ref="K4:N4"/>
    <mergeCell ref="BU1:BU15"/>
    <mergeCell ref="BW1:BZ2"/>
    <mergeCell ref="CF1:CF2"/>
    <mergeCell ref="CG1:CG2"/>
    <mergeCell ref="CH1:CH2"/>
    <mergeCell ref="CJ1:CJ2"/>
    <mergeCell ref="AW1:AY2"/>
    <mergeCell ref="BA1:BG2"/>
    <mergeCell ref="BI1:BK2"/>
    <mergeCell ref="BM1:BN2"/>
    <mergeCell ref="N11:N12"/>
    <mergeCell ref="BP1:BR2"/>
    <mergeCell ref="C1:N2"/>
    <mergeCell ref="Q1:W2"/>
    <mergeCell ref="Y1:AA2"/>
    <mergeCell ref="AC1:AI2"/>
    <mergeCell ref="CK1:CK2"/>
  </mergeCells>
  <conditionalFormatting sqref="BU89">
    <cfRule type="cellIs" dxfId="134" priority="75" operator="greaterThan">
      <formula>0</formula>
    </cfRule>
    <cfRule type="cellIs" dxfId="133" priority="76" operator="lessThan">
      <formula>0</formula>
    </cfRule>
  </conditionalFormatting>
  <conditionalFormatting sqref="BZ8">
    <cfRule type="cellIs" dxfId="132" priority="4" operator="lessThan">
      <formula>-10</formula>
    </cfRule>
  </conditionalFormatting>
  <conditionalFormatting sqref="AO5:AU5 BA5:BG5">
    <cfRule type="cellIs" dxfId="131" priority="200" operator="lessThan">
      <formula>$K$86</formula>
    </cfRule>
    <cfRule type="cellIs" dxfId="130" priority="201" operator="between">
      <formula>$K$86</formula>
      <formula>$K$93</formula>
    </cfRule>
    <cfRule type="cellIs" dxfId="129" priority="202" operator="greaterThan">
      <formula>$J$99</formula>
    </cfRule>
  </conditionalFormatting>
  <conditionalFormatting sqref="Q5:W5 AC5:AI5 AO5:AU5 BA5:BG5 BM5:BN6">
    <cfRule type="cellIs" dxfId="128" priority="214" operator="between">
      <formula>$K$20</formula>
      <formula>$J$99</formula>
    </cfRule>
    <cfRule type="cellIs" dxfId="127" priority="215" operator="lessThan">
      <formula>$K$20</formula>
    </cfRule>
    <cfRule type="cellIs" dxfId="126" priority="216" operator="greaterThan">
      <formula>$J$99</formula>
    </cfRule>
  </conditionalFormatting>
  <conditionalFormatting sqref="BA5:BG5">
    <cfRule type="cellIs" dxfId="125" priority="229" operator="between">
      <formula>$J$99</formula>
      <formula>635</formula>
    </cfRule>
    <cfRule type="cellIs" dxfId="124" priority="230" operator="lessThan">
      <formula>$K$20</formula>
    </cfRule>
    <cfRule type="cellIs" dxfId="123" priority="231" operator="greaterThan">
      <formula>$J$99</formula>
    </cfRule>
    <cfRule type="cellIs" dxfId="122" priority="232" operator="lessThan">
      <formula>$K$20</formula>
    </cfRule>
    <cfRule type="cellIs" dxfId="121" priority="233" operator="greaterThan">
      <formula>$J$99</formula>
    </cfRule>
  </conditionalFormatting>
  <conditionalFormatting sqref="Q7:W7 AO7:AU7 BA7:BG7 BM7:BN7">
    <cfRule type="cellIs" dxfId="120" priority="292" operator="between">
      <formula>$K$46</formula>
      <formula>$K$97</formula>
    </cfRule>
    <cfRule type="cellIs" dxfId="119" priority="293" operator="lessThan">
      <formula>$K$46</formula>
    </cfRule>
    <cfRule type="cellIs" dxfId="118" priority="294" operator="greaterThan">
      <formula>$K$97</formula>
    </cfRule>
  </conditionalFormatting>
  <conditionalFormatting sqref="AC7:AI7">
    <cfRule type="cellIs" dxfId="117" priority="304" operator="between">
      <formula>$K$46</formula>
      <formula>$K$97</formula>
    </cfRule>
    <cfRule type="cellIs" dxfId="116" priority="305" operator="lessThan">
      <formula>$K$46</formula>
    </cfRule>
    <cfRule type="cellIs" dxfId="115" priority="306" operator="greaterThan">
      <formula>$K$97</formula>
    </cfRule>
    <cfRule type="cellIs" dxfId="114" priority="307" operator="greaterThan">
      <formula>$K$97</formula>
    </cfRule>
  </conditionalFormatting>
  <conditionalFormatting sqref="AO7:AU7 BA7:BG7">
    <cfRule type="cellIs" dxfId="113" priority="308" operator="lessThan">
      <formula>$N$86</formula>
    </cfRule>
    <cfRule type="cellIs" dxfId="112" priority="309" operator="between">
      <formula>$N$86</formula>
      <formula>$N$93</formula>
    </cfRule>
    <cfRule type="cellIs" dxfId="111" priority="310" operator="greaterThan">
      <formula>$K$97</formula>
    </cfRule>
    <cfRule type="cellIs" dxfId="110" priority="311" operator="greaterThan">
      <formula>$J$99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HB102"/>
  <sheetViews>
    <sheetView zoomScale="85" zoomScaleNormal="85" zoomScaleSheetLayoutView="80" workbookViewId="0">
      <selection activeCell="DK7" sqref="DK7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3.625" style="1719" bestFit="1" customWidth="1"/>
    <col min="4" max="4" width="0.875" style="1923" customWidth="1"/>
    <col min="5" max="6" width="11.75" style="1719" bestFit="1" customWidth="1"/>
    <col min="7" max="7" width="7" style="1719" hidden="1" customWidth="1"/>
    <col min="8" max="8" width="0.875" style="3400" customWidth="1"/>
    <col min="9" max="9" width="10.125" style="1719" bestFit="1" customWidth="1"/>
    <col min="10" max="10" width="10.625" style="1719" bestFit="1" customWidth="1"/>
    <col min="11" max="11" width="7" style="1719" hidden="1" customWidth="1"/>
    <col min="12" max="12" width="0.875" style="3400" customWidth="1"/>
    <col min="13" max="14" width="10.625" style="1719" bestFit="1" customWidth="1"/>
    <col min="15" max="15" width="8" style="1719" hidden="1" customWidth="1"/>
    <col min="16" max="16" width="0.875" style="1719" customWidth="1"/>
    <col min="17" max="17" width="0.875" style="1923" customWidth="1"/>
    <col min="18" max="19" width="9" style="1719" bestFit="1" customWidth="1"/>
    <col min="20" max="20" width="12.25" style="1719" hidden="1" customWidth="1"/>
    <col min="21" max="21" width="0.875" style="3400" customWidth="1"/>
    <col min="22" max="23" width="10.875" style="1719" hidden="1" customWidth="1"/>
    <col min="24" max="24" width="0.75" style="3400" hidden="1" customWidth="1"/>
    <col min="25" max="26" width="10.875" style="1719" hidden="1" customWidth="1"/>
    <col min="27" max="27" width="0.875" style="3400" hidden="1" customWidth="1"/>
    <col min="28" max="29" width="10.875" style="1719" hidden="1" customWidth="1"/>
    <col min="30" max="30" width="0.875" style="3400" hidden="1" customWidth="1"/>
    <col min="31" max="32" width="10.875" style="1719" hidden="1" customWidth="1"/>
    <col min="33" max="33" width="0.875" style="3400" hidden="1" customWidth="1"/>
    <col min="34" max="35" width="10.875" style="1719" hidden="1" customWidth="1"/>
    <col min="36" max="36" width="0.875" style="3400" hidden="1" customWidth="1"/>
    <col min="37" max="38" width="10.875" style="1719" hidden="1" customWidth="1"/>
    <col min="39" max="39" width="0.875" style="1923" customWidth="1"/>
    <col min="40" max="40" width="8.75" style="1719" bestFit="1" customWidth="1"/>
    <col min="41" max="41" width="8.375" style="1719" bestFit="1" customWidth="1"/>
    <col min="42" max="42" width="8" style="1719" bestFit="1" customWidth="1"/>
    <col min="43" max="44" width="8.375" style="1719" bestFit="1" customWidth="1"/>
    <col min="45" max="45" width="7.25" style="1719" bestFit="1" customWidth="1"/>
    <col min="46" max="48" width="10.625" style="1719" hidden="1" customWidth="1"/>
    <col min="49" max="49" width="0.875" style="1923" customWidth="1"/>
    <col min="50" max="50" width="12.25" style="1719" hidden="1" customWidth="1"/>
    <col min="51" max="56" width="10.875" style="1719" hidden="1" customWidth="1"/>
    <col min="57" max="57" width="0.875" style="1923" hidden="1" customWidth="1"/>
    <col min="58" max="58" width="10" style="1719" hidden="1" customWidth="1"/>
    <col min="59" max="59" width="9.25" style="1719" hidden="1" customWidth="1"/>
    <col min="60" max="60" width="10" style="1719" hidden="1" customWidth="1"/>
    <col min="61" max="61" width="0.875" style="1923" hidden="1" customWidth="1"/>
    <col min="62" max="62" width="12.375" style="1719" hidden="1" customWidth="1"/>
    <col min="63" max="68" width="10.875" style="1719" hidden="1" customWidth="1"/>
    <col min="69" max="69" width="0.875" style="1923" hidden="1" customWidth="1"/>
    <col min="70" max="70" width="10" style="1719" hidden="1" customWidth="1"/>
    <col min="71" max="71" width="9.25" style="1719" hidden="1" customWidth="1"/>
    <col min="72" max="72" width="10" style="1719" hidden="1" customWidth="1"/>
    <col min="73" max="73" width="0.875" style="1923" hidden="1" customWidth="1"/>
    <col min="74" max="74" width="12.375" style="1719" hidden="1" customWidth="1"/>
    <col min="75" max="80" width="10.875" style="1719" hidden="1" customWidth="1"/>
    <col min="81" max="81" width="0.875" style="1923" hidden="1" customWidth="1"/>
    <col min="82" max="84" width="10" style="1719" hidden="1" customWidth="1"/>
    <col min="85" max="85" width="0.875" style="1719" hidden="1" customWidth="1"/>
    <col min="86" max="86" width="12.25" style="1719" hidden="1" customWidth="1"/>
    <col min="87" max="87" width="10.875" style="1719" hidden="1" customWidth="1"/>
    <col min="88" max="88" width="0.875" style="1719" hidden="1" customWidth="1"/>
    <col min="89" max="89" width="10.625" style="1719" hidden="1" customWidth="1"/>
    <col min="90" max="90" width="9.25" style="1719" hidden="1" customWidth="1"/>
    <col min="91" max="91" width="10" style="1719" hidden="1" customWidth="1"/>
    <col min="92" max="92" width="0.875" style="1719" customWidth="1"/>
    <col min="93" max="94" width="10" style="1719" hidden="1" customWidth="1"/>
    <col min="95" max="95" width="0.875" style="1719" customWidth="1"/>
    <col min="96" max="96" width="8" style="1719" bestFit="1" customWidth="1"/>
    <col min="97" max="97" width="8.625" style="1719" bestFit="1" customWidth="1"/>
    <col min="98" max="98" width="0.875" style="1923" customWidth="1"/>
    <col min="99" max="99" width="9" style="1719" bestFit="1" customWidth="1"/>
    <col min="100" max="100" width="11" style="1719" bestFit="1" customWidth="1"/>
    <col min="101" max="101" width="12.375" style="1719" bestFit="1" customWidth="1"/>
    <col min="102" max="102" width="0.875" style="1719" customWidth="1"/>
    <col min="103" max="103" width="8.5" style="1719" bestFit="1" customWidth="1"/>
    <col min="104" max="105" width="14.75" style="1719" hidden="1" customWidth="1"/>
    <col min="106" max="106" width="0.75" style="1719" hidden="1" customWidth="1"/>
    <col min="107" max="107" width="14.75" style="1719" hidden="1" customWidth="1"/>
    <col min="108" max="108" width="1.375" style="1719" customWidth="1"/>
    <col min="109" max="109" width="10.125" style="1719" bestFit="1" customWidth="1"/>
    <col min="110" max="110" width="11.75" style="1719" bestFit="1" customWidth="1"/>
    <col min="111" max="111" width="9.875" style="1719" bestFit="1" customWidth="1"/>
    <col min="112" max="112" width="14.25" style="1719" bestFit="1" customWidth="1"/>
    <col min="113" max="113" width="10.125" style="1719" bestFit="1" customWidth="1"/>
    <col min="114" max="114" width="11.75" style="1719" bestFit="1" customWidth="1"/>
    <col min="115" max="115" width="9.875" style="1719" customWidth="1"/>
    <col min="116" max="116" width="14.25" style="1719" bestFit="1" customWidth="1"/>
    <col min="117" max="120" width="16.25" style="1719" hidden="1" customWidth="1"/>
    <col min="121" max="121" width="10.125" style="1719" bestFit="1" customWidth="1"/>
    <col min="122" max="122" width="12.625" style="1719" bestFit="1" customWidth="1"/>
    <col min="123" max="123" width="9.875" style="1719" bestFit="1" customWidth="1"/>
    <col min="124" max="124" width="14.25" style="1719" bestFit="1" customWidth="1"/>
    <col min="125" max="126" width="9.125" style="1719" customWidth="1"/>
    <col min="127" max="16384" width="9.125" style="1719"/>
  </cols>
  <sheetData>
    <row r="1" spans="2:210" s="1726" customFormat="1" ht="18" customHeight="1" x14ac:dyDescent="0.2">
      <c r="B1" s="4651" t="s">
        <v>281</v>
      </c>
      <c r="C1" s="4652"/>
      <c r="D1" s="4652"/>
      <c r="E1" s="4652"/>
      <c r="F1" s="4652"/>
      <c r="G1" s="4652"/>
      <c r="H1" s="4652"/>
      <c r="I1" s="4652"/>
      <c r="J1" s="4652"/>
      <c r="K1" s="4652"/>
      <c r="L1" s="4652"/>
      <c r="M1" s="4652"/>
      <c r="N1" s="4652"/>
      <c r="O1" s="4652"/>
      <c r="Q1" s="2453"/>
      <c r="R1" s="4572" t="s">
        <v>135</v>
      </c>
      <c r="S1" s="4573"/>
      <c r="T1" s="4573"/>
      <c r="U1" s="4573"/>
      <c r="V1" s="4573"/>
      <c r="W1" s="4573"/>
      <c r="X1" s="4573"/>
      <c r="Y1" s="4573"/>
      <c r="Z1" s="4573"/>
      <c r="AA1" s="4573"/>
      <c r="AB1" s="4573"/>
      <c r="AC1" s="4573"/>
      <c r="AD1" s="4573"/>
      <c r="AE1" s="4573"/>
      <c r="AF1" s="4573"/>
      <c r="AG1" s="4573"/>
      <c r="AH1" s="4573"/>
      <c r="AI1" s="4573"/>
      <c r="AJ1" s="4573"/>
      <c r="AK1" s="4573"/>
      <c r="AL1" s="4574"/>
      <c r="AM1" s="1860"/>
      <c r="AN1" s="4714" t="s">
        <v>139</v>
      </c>
      <c r="AO1" s="4715"/>
      <c r="AP1" s="4716"/>
      <c r="AQ1" s="4744" t="s">
        <v>139</v>
      </c>
      <c r="AR1" s="4745"/>
      <c r="AS1" s="4746"/>
      <c r="AT1" s="4694" t="s">
        <v>139</v>
      </c>
      <c r="AU1" s="4695"/>
      <c r="AV1" s="4696"/>
      <c r="AW1" s="1860"/>
      <c r="AX1" s="4572" t="s">
        <v>136</v>
      </c>
      <c r="AY1" s="4573"/>
      <c r="AZ1" s="4573"/>
      <c r="BA1" s="4573"/>
      <c r="BB1" s="4573"/>
      <c r="BC1" s="4573"/>
      <c r="BD1" s="4574"/>
      <c r="BE1" s="1860"/>
      <c r="BF1" s="4541" t="s">
        <v>140</v>
      </c>
      <c r="BG1" s="4542"/>
      <c r="BH1" s="4543"/>
      <c r="BI1" s="1860"/>
      <c r="BJ1" s="4572" t="s">
        <v>137</v>
      </c>
      <c r="BK1" s="4573"/>
      <c r="BL1" s="4573"/>
      <c r="BM1" s="4573"/>
      <c r="BN1" s="4573"/>
      <c r="BO1" s="4573"/>
      <c r="BP1" s="4574"/>
      <c r="BQ1" s="1860"/>
      <c r="BR1" s="4541" t="s">
        <v>141</v>
      </c>
      <c r="BS1" s="4542"/>
      <c r="BT1" s="4543"/>
      <c r="BU1" s="1860"/>
      <c r="BV1" s="4572" t="s">
        <v>138</v>
      </c>
      <c r="BW1" s="4573"/>
      <c r="BX1" s="4573"/>
      <c r="BY1" s="4573"/>
      <c r="BZ1" s="4573"/>
      <c r="CA1" s="4573"/>
      <c r="CB1" s="4574"/>
      <c r="CC1" s="1860"/>
      <c r="CD1" s="4541" t="s">
        <v>142</v>
      </c>
      <c r="CE1" s="4542"/>
      <c r="CF1" s="4543"/>
      <c r="CH1" s="4664" t="s">
        <v>145</v>
      </c>
      <c r="CI1" s="4679"/>
      <c r="CK1" s="4541" t="s">
        <v>146</v>
      </c>
      <c r="CL1" s="4542"/>
      <c r="CM1" s="4543"/>
      <c r="CO1" s="4613" t="s">
        <v>54</v>
      </c>
      <c r="CP1" s="4579" t="s">
        <v>61</v>
      </c>
      <c r="CR1" s="4759">
        <f>CU25/30</f>
        <v>3.3333333333333333E-2</v>
      </c>
      <c r="CS1" s="4759"/>
      <c r="CT1" s="4759"/>
      <c r="CU1" s="4759"/>
      <c r="CV1" s="4761">
        <f>CU25/30</f>
        <v>3.3333333333333333E-2</v>
      </c>
      <c r="CW1" s="4761"/>
      <c r="CX1" s="4761"/>
      <c r="CY1" s="4761"/>
      <c r="CZ1" s="4784"/>
      <c r="DA1" s="4785"/>
      <c r="DB1" s="4785"/>
      <c r="DC1" s="4786"/>
      <c r="DE1" s="3596">
        <f>CR6/CU25*30</f>
        <v>28500</v>
      </c>
      <c r="DF1" s="3597">
        <f>DE1*CR9</f>
        <v>5700</v>
      </c>
      <c r="DG1" s="3598">
        <f>DF1-E47</f>
        <v>2597.4500000000003</v>
      </c>
      <c r="DH1" s="2762">
        <f>DG1/2</f>
        <v>1298.7250000000001</v>
      </c>
      <c r="DI1" s="3619">
        <f>CV6/CU25*30</f>
        <v>28500</v>
      </c>
      <c r="DJ1" s="3620">
        <f>DI1*CV9</f>
        <v>5700</v>
      </c>
      <c r="DK1" s="3621">
        <f>DJ1-F47</f>
        <v>2597.4500000000003</v>
      </c>
      <c r="DL1" s="2762">
        <f>DK1/2</f>
        <v>1298.7250000000001</v>
      </c>
      <c r="DM1" s="4029"/>
      <c r="DN1" s="4030"/>
      <c r="DO1" s="4031"/>
      <c r="DP1" s="4028"/>
      <c r="DQ1" s="3646">
        <f>DE1+DI1</f>
        <v>57000</v>
      </c>
      <c r="DR1" s="3647">
        <f>DF1+DJ1</f>
        <v>11400</v>
      </c>
      <c r="DS1" s="3648">
        <f>DR1-E49</f>
        <v>5194.9000000000005</v>
      </c>
      <c r="DT1" s="2762">
        <f>DS1/2</f>
        <v>2597.4500000000003</v>
      </c>
      <c r="DU1" s="4676"/>
      <c r="DV1" s="4676"/>
      <c r="DW1" s="4676"/>
    </row>
    <row r="2" spans="2:210" ht="20.25" customHeight="1" thickBot="1" x14ac:dyDescent="0.25">
      <c r="B2" s="4651"/>
      <c r="C2" s="4652"/>
      <c r="D2" s="4652"/>
      <c r="E2" s="4652"/>
      <c r="F2" s="4652"/>
      <c r="G2" s="4652"/>
      <c r="H2" s="4652"/>
      <c r="I2" s="4652"/>
      <c r="J2" s="4652"/>
      <c r="K2" s="4652"/>
      <c r="L2" s="4652"/>
      <c r="M2" s="4652"/>
      <c r="N2" s="4652"/>
      <c r="O2" s="4652"/>
      <c r="P2" s="1720"/>
      <c r="Q2" s="3388"/>
      <c r="R2" s="4575"/>
      <c r="S2" s="4576"/>
      <c r="T2" s="4576"/>
      <c r="U2" s="4576"/>
      <c r="V2" s="4576"/>
      <c r="W2" s="4576"/>
      <c r="X2" s="4576"/>
      <c r="Y2" s="4576"/>
      <c r="Z2" s="4576"/>
      <c r="AA2" s="4576"/>
      <c r="AB2" s="4576"/>
      <c r="AC2" s="4576"/>
      <c r="AD2" s="4576"/>
      <c r="AE2" s="4576"/>
      <c r="AF2" s="4576"/>
      <c r="AG2" s="4576"/>
      <c r="AH2" s="4576"/>
      <c r="AI2" s="4576"/>
      <c r="AJ2" s="4576"/>
      <c r="AK2" s="4576"/>
      <c r="AL2" s="4577"/>
      <c r="AM2" s="3389"/>
      <c r="AN2" s="4717"/>
      <c r="AO2" s="4718"/>
      <c r="AP2" s="4719"/>
      <c r="AQ2" s="4747"/>
      <c r="AR2" s="4748"/>
      <c r="AS2" s="4749"/>
      <c r="AT2" s="4697"/>
      <c r="AU2" s="4698"/>
      <c r="AV2" s="4699"/>
      <c r="AW2" s="3389"/>
      <c r="AX2" s="4575"/>
      <c r="AY2" s="4576"/>
      <c r="AZ2" s="4576"/>
      <c r="BA2" s="4576"/>
      <c r="BB2" s="4576"/>
      <c r="BC2" s="4576"/>
      <c r="BD2" s="4577"/>
      <c r="BE2" s="3389"/>
      <c r="BF2" s="4544"/>
      <c r="BG2" s="4545"/>
      <c r="BH2" s="4546"/>
      <c r="BI2" s="3389"/>
      <c r="BJ2" s="4575"/>
      <c r="BK2" s="4576"/>
      <c r="BL2" s="4576"/>
      <c r="BM2" s="4576"/>
      <c r="BN2" s="4576"/>
      <c r="BO2" s="4576"/>
      <c r="BP2" s="4577"/>
      <c r="BQ2" s="3389"/>
      <c r="BR2" s="4544"/>
      <c r="BS2" s="4545"/>
      <c r="BT2" s="4546"/>
      <c r="BU2" s="3389"/>
      <c r="BV2" s="4575"/>
      <c r="BW2" s="4576"/>
      <c r="BX2" s="4576"/>
      <c r="BY2" s="4576"/>
      <c r="BZ2" s="4576"/>
      <c r="CA2" s="4576"/>
      <c r="CB2" s="4577"/>
      <c r="CC2" s="3389"/>
      <c r="CD2" s="4544"/>
      <c r="CE2" s="4545"/>
      <c r="CF2" s="4546"/>
      <c r="CG2" s="1724"/>
      <c r="CH2" s="4665"/>
      <c r="CI2" s="4681"/>
      <c r="CJ2" s="1724"/>
      <c r="CK2" s="4544"/>
      <c r="CL2" s="4545"/>
      <c r="CM2" s="4546"/>
      <c r="CO2" s="4614"/>
      <c r="CP2" s="4580"/>
      <c r="CR2" s="4760"/>
      <c r="CS2" s="4760"/>
      <c r="CT2" s="4760"/>
      <c r="CU2" s="4760"/>
      <c r="CV2" s="4762"/>
      <c r="CW2" s="4762"/>
      <c r="CX2" s="4762"/>
      <c r="CY2" s="4762"/>
      <c r="CZ2" s="4787"/>
      <c r="DA2" s="4788"/>
      <c r="DB2" s="4788"/>
      <c r="DC2" s="4789"/>
      <c r="DE2" s="3192">
        <f>(M6*30)-DE1</f>
        <v>0</v>
      </c>
      <c r="DF2" s="3599">
        <f>DF1/DE1</f>
        <v>0.2</v>
      </c>
      <c r="DG2" s="3600"/>
      <c r="DH2" s="3754"/>
      <c r="DI2" s="3622">
        <f>(N6*30)-DI1</f>
        <v>0</v>
      </c>
      <c r="DJ2" s="3623">
        <f>DJ1/DI1</f>
        <v>0.2</v>
      </c>
      <c r="DK2" s="3624"/>
      <c r="DL2" s="3643"/>
      <c r="DM2" s="4032"/>
      <c r="DN2" s="4033"/>
      <c r="DO2" s="4034"/>
      <c r="DP2" s="4035"/>
      <c r="DQ2" s="3649">
        <f>DE2+DI2</f>
        <v>0</v>
      </c>
      <c r="DR2" s="3650">
        <f>DR1/DQ1</f>
        <v>0.2</v>
      </c>
      <c r="DS2" s="3651"/>
      <c r="DT2" s="3652"/>
      <c r="DU2" s="4676"/>
      <c r="DV2" s="4676"/>
      <c r="DW2" s="4676"/>
      <c r="DX2" s="3169"/>
    </row>
    <row r="3" spans="2:210" s="1726" customFormat="1" ht="20.25" customHeight="1" thickBot="1" x14ac:dyDescent="0.25">
      <c r="B3" s="4651"/>
      <c r="C3" s="4652"/>
      <c r="D3" s="4652"/>
      <c r="E3" s="4652"/>
      <c r="F3" s="4652"/>
      <c r="G3" s="4652"/>
      <c r="H3" s="4652"/>
      <c r="I3" s="4652"/>
      <c r="J3" s="4652"/>
      <c r="K3" s="4652"/>
      <c r="L3" s="4652"/>
      <c r="M3" s="4652"/>
      <c r="N3" s="4652"/>
      <c r="O3" s="4652"/>
      <c r="P3" s="1730"/>
      <c r="Q3" s="1731"/>
      <c r="R3" s="3550" t="s">
        <v>285</v>
      </c>
      <c r="S3" s="3547" t="s">
        <v>286</v>
      </c>
      <c r="T3" s="3917" t="s">
        <v>289</v>
      </c>
      <c r="U3" s="1861"/>
      <c r="V3" s="3502" t="s">
        <v>285</v>
      </c>
      <c r="W3" s="3502" t="s">
        <v>286</v>
      </c>
      <c r="X3" s="1861"/>
      <c r="Y3" s="3502" t="s">
        <v>285</v>
      </c>
      <c r="Z3" s="3502" t="s">
        <v>286</v>
      </c>
      <c r="AA3" s="1817"/>
      <c r="AB3" s="3502" t="s">
        <v>285</v>
      </c>
      <c r="AC3" s="3502" t="s">
        <v>286</v>
      </c>
      <c r="AD3" s="1817"/>
      <c r="AE3" s="3502" t="s">
        <v>285</v>
      </c>
      <c r="AF3" s="3502" t="s">
        <v>286</v>
      </c>
      <c r="AG3" s="1817"/>
      <c r="AH3" s="3502" t="s">
        <v>285</v>
      </c>
      <c r="AI3" s="3502" t="s">
        <v>286</v>
      </c>
      <c r="AJ3" s="1817"/>
      <c r="AK3" s="3502" t="s">
        <v>285</v>
      </c>
      <c r="AL3" s="3502" t="s">
        <v>286</v>
      </c>
      <c r="AM3" s="3420"/>
      <c r="AN3" s="4741" t="s">
        <v>285</v>
      </c>
      <c r="AO3" s="4742"/>
      <c r="AP3" s="4743"/>
      <c r="AQ3" s="4750" t="s">
        <v>286</v>
      </c>
      <c r="AR3" s="4751"/>
      <c r="AS3" s="4752"/>
      <c r="AT3" s="4700" t="s">
        <v>289</v>
      </c>
      <c r="AU3" s="4701"/>
      <c r="AV3" s="4702"/>
      <c r="AW3" s="3420"/>
      <c r="AX3" s="3422"/>
      <c r="AY3" s="3423"/>
      <c r="AZ3" s="3423"/>
      <c r="BA3" s="3423"/>
      <c r="BB3" s="3423"/>
      <c r="BC3" s="3423"/>
      <c r="BD3" s="3424"/>
      <c r="BE3" s="3420"/>
      <c r="BF3" s="3425"/>
      <c r="BG3" s="3421"/>
      <c r="BH3" s="3426"/>
      <c r="BI3" s="3420"/>
      <c r="BJ3" s="3422"/>
      <c r="BK3" s="3423"/>
      <c r="BL3" s="3423"/>
      <c r="BM3" s="3423"/>
      <c r="BN3" s="3423"/>
      <c r="BO3" s="3423"/>
      <c r="BP3" s="3424"/>
      <c r="BQ3" s="3420"/>
      <c r="BR3" s="3425"/>
      <c r="BS3" s="3421"/>
      <c r="BT3" s="3426"/>
      <c r="BU3" s="3420"/>
      <c r="BV3" s="3422"/>
      <c r="BW3" s="3423"/>
      <c r="BX3" s="3423"/>
      <c r="BY3" s="3423"/>
      <c r="BZ3" s="3423"/>
      <c r="CA3" s="3423"/>
      <c r="CB3" s="3424"/>
      <c r="CC3" s="3420"/>
      <c r="CD3" s="3425"/>
      <c r="CE3" s="3421"/>
      <c r="CF3" s="3426"/>
      <c r="CG3" s="3421"/>
      <c r="CH3" s="3427"/>
      <c r="CI3" s="3428"/>
      <c r="CJ3" s="3421"/>
      <c r="CK3" s="3425"/>
      <c r="CL3" s="3421"/>
      <c r="CM3" s="3426"/>
      <c r="CO3" s="4614"/>
      <c r="CP3" s="4580"/>
      <c r="CR3" s="4763" t="s">
        <v>285</v>
      </c>
      <c r="CS3" s="4764"/>
      <c r="CT3" s="4764"/>
      <c r="CU3" s="4765"/>
      <c r="CV3" s="4766" t="s">
        <v>286</v>
      </c>
      <c r="CW3" s="4767"/>
      <c r="CX3" s="4767"/>
      <c r="CY3" s="4768"/>
      <c r="CZ3" s="4753" t="s">
        <v>289</v>
      </c>
      <c r="DA3" s="4754"/>
      <c r="DB3" s="4755"/>
      <c r="DC3" s="4756"/>
      <c r="DE3" s="4771" t="s">
        <v>285</v>
      </c>
      <c r="DF3" s="4772"/>
      <c r="DG3" s="4773"/>
      <c r="DH3" s="3755"/>
      <c r="DI3" s="4774" t="s">
        <v>286</v>
      </c>
      <c r="DJ3" s="4775"/>
      <c r="DK3" s="4776"/>
      <c r="DL3" s="3644"/>
      <c r="DM3" s="4790" t="s">
        <v>289</v>
      </c>
      <c r="DN3" s="4791"/>
      <c r="DO3" s="4792"/>
      <c r="DP3" s="4036"/>
      <c r="DQ3" s="4777" t="s">
        <v>290</v>
      </c>
      <c r="DR3" s="4778"/>
      <c r="DS3" s="4779"/>
      <c r="DT3" s="3653"/>
      <c r="DU3" s="3429"/>
      <c r="DV3" s="3429"/>
      <c r="DW3" s="3429"/>
      <c r="DX3" s="3174"/>
    </row>
    <row r="4" spans="2:210" ht="20.25" customHeight="1" x14ac:dyDescent="0.2">
      <c r="B4" s="4720"/>
      <c r="C4" s="4721"/>
      <c r="D4" s="3388"/>
      <c r="E4" s="3556"/>
      <c r="F4" s="3546"/>
      <c r="G4" s="3929"/>
      <c r="H4" s="3542"/>
      <c r="I4" s="3556"/>
      <c r="J4" s="3546"/>
      <c r="K4" s="3929"/>
      <c r="L4" s="3542"/>
      <c r="M4" s="3556"/>
      <c r="N4" s="3546"/>
      <c r="O4" s="3929"/>
      <c r="P4" s="1720"/>
      <c r="Q4" s="3388"/>
      <c r="R4" s="3551">
        <f>(R6-R5)/R5</f>
        <v>0</v>
      </c>
      <c r="S4" s="2583">
        <f>(S6-S5)/S5</f>
        <v>0</v>
      </c>
      <c r="T4" s="3918"/>
      <c r="U4" s="3330"/>
      <c r="V4" s="1752"/>
      <c r="W4" s="1752"/>
      <c r="X4" s="3330"/>
      <c r="Y4" s="1752"/>
      <c r="Z4" s="1752"/>
      <c r="AA4" s="3330"/>
      <c r="AB4" s="1752"/>
      <c r="AC4" s="1752"/>
      <c r="AD4" s="3330"/>
      <c r="AE4" s="1752"/>
      <c r="AF4" s="1752"/>
      <c r="AG4" s="3330"/>
      <c r="AH4" s="1752"/>
      <c r="AI4" s="1752"/>
      <c r="AJ4" s="3330"/>
      <c r="AK4" s="1752"/>
      <c r="AL4" s="1752"/>
      <c r="AM4" s="3389"/>
      <c r="AN4" s="3689">
        <f>(AN6-AN5)/AN5</f>
        <v>0</v>
      </c>
      <c r="AO4" s="3690"/>
      <c r="AP4" s="3691"/>
      <c r="AQ4" s="3559">
        <f>(AQ6-AQ5)/AQ5</f>
        <v>0</v>
      </c>
      <c r="AR4" s="3560"/>
      <c r="AS4" s="3561"/>
      <c r="AT4" s="3945"/>
      <c r="AU4" s="3946"/>
      <c r="AV4" s="3947"/>
      <c r="AW4" s="3389"/>
      <c r="AX4" s="3075"/>
      <c r="AY4" s="3075"/>
      <c r="AZ4" s="3075"/>
      <c r="BA4" s="3075"/>
      <c r="BB4" s="3075"/>
      <c r="BC4" s="3075"/>
      <c r="BD4" s="3075"/>
      <c r="BE4" s="3389"/>
      <c r="BF4" s="3087" t="e">
        <f>(BF6-BF5)/BF5</f>
        <v>#DIV/0!</v>
      </c>
      <c r="BG4" s="3071"/>
      <c r="BH4" s="3072"/>
      <c r="BI4" s="3389"/>
      <c r="BJ4" s="1752"/>
      <c r="BK4" s="1752"/>
      <c r="BL4" s="1752"/>
      <c r="BM4" s="1752"/>
      <c r="BN4" s="1752"/>
      <c r="BO4" s="1752"/>
      <c r="BP4" s="1752"/>
      <c r="BQ4" s="3389"/>
      <c r="BR4" s="3099" t="e">
        <f>(BR6-BR5)/BR5</f>
        <v>#DIV/0!</v>
      </c>
      <c r="BS4" s="3100"/>
      <c r="BT4" s="3101"/>
      <c r="BU4" s="3389"/>
      <c r="BV4" s="1752"/>
      <c r="BW4" s="1752"/>
      <c r="BX4" s="1752"/>
      <c r="BY4" s="1752"/>
      <c r="BZ4" s="1752"/>
      <c r="CA4" s="1752"/>
      <c r="CB4" s="1752"/>
      <c r="CC4" s="3389"/>
      <c r="CD4" s="3099" t="e">
        <f>(CD6-CD5)/CD5</f>
        <v>#DIV/0!</v>
      </c>
      <c r="CE4" s="3036"/>
      <c r="CF4" s="3037"/>
      <c r="CG4" s="1724"/>
      <c r="CH4" s="3125"/>
      <c r="CI4" s="3125"/>
      <c r="CJ4" s="1724"/>
      <c r="CK4" s="3099" t="e">
        <f>(CK6-CK5)/CK5</f>
        <v>#DIV/0!</v>
      </c>
      <c r="CL4" s="3036"/>
      <c r="CM4" s="3037"/>
      <c r="CO4" s="4614"/>
      <c r="CP4" s="4580"/>
      <c r="CR4" s="3728"/>
      <c r="CS4" s="3729"/>
      <c r="CT4" s="3035"/>
      <c r="CU4" s="3732"/>
      <c r="CV4" s="3584"/>
      <c r="CW4" s="3585"/>
      <c r="CX4" s="3035"/>
      <c r="CY4" s="4000"/>
      <c r="CZ4" s="4007"/>
      <c r="DA4" s="4008"/>
      <c r="DB4" s="3998"/>
      <c r="DC4" s="4019"/>
      <c r="DE4" s="3601"/>
      <c r="DF4" s="3602">
        <f>CS9</f>
        <v>190</v>
      </c>
      <c r="DG4" s="3603">
        <f>DF4-E47</f>
        <v>-2912.5499999999997</v>
      </c>
      <c r="DH4" s="3756">
        <f>DG4/2</f>
        <v>-1456.2749999999999</v>
      </c>
      <c r="DI4" s="3625"/>
      <c r="DJ4" s="3626">
        <f>CW9</f>
        <v>190</v>
      </c>
      <c r="DK4" s="3627">
        <f>DJ4-F47</f>
        <v>-2912.5499999999997</v>
      </c>
      <c r="DL4" s="3645">
        <f>DK4/2</f>
        <v>-1456.2749999999999</v>
      </c>
      <c r="DM4" s="4041"/>
      <c r="DN4" s="4042"/>
      <c r="DO4" s="4043"/>
      <c r="DP4" s="4037"/>
      <c r="DQ4" s="3654">
        <f>CR6+CV6</f>
        <v>1900</v>
      </c>
      <c r="DR4" s="3655">
        <f>DF4+DJ4</f>
        <v>380</v>
      </c>
      <c r="DS4" s="3656">
        <f>DR4-(E47+F47)</f>
        <v>-5825.0999999999995</v>
      </c>
      <c r="DT4" s="3657">
        <f>DS4/2</f>
        <v>-2912.5499999999997</v>
      </c>
      <c r="DU4" s="3391"/>
      <c r="DV4" s="3391"/>
      <c r="DW4" s="3391"/>
      <c r="DX4" s="3169"/>
    </row>
    <row r="5" spans="2:210" ht="20.25" customHeight="1" thickBot="1" x14ac:dyDescent="0.25">
      <c r="B5" s="4724"/>
      <c r="C5" s="4725"/>
      <c r="D5" s="3388"/>
      <c r="E5" s="1863" t="s">
        <v>285</v>
      </c>
      <c r="F5" s="3531" t="s">
        <v>286</v>
      </c>
      <c r="G5" s="3930" t="s">
        <v>289</v>
      </c>
      <c r="H5" s="3324"/>
      <c r="I5" s="1863" t="s">
        <v>285</v>
      </c>
      <c r="J5" s="3531" t="s">
        <v>286</v>
      </c>
      <c r="K5" s="3930" t="s">
        <v>289</v>
      </c>
      <c r="L5" s="3459"/>
      <c r="M5" s="1863" t="s">
        <v>285</v>
      </c>
      <c r="N5" s="3531" t="s">
        <v>286</v>
      </c>
      <c r="O5" s="3930" t="s">
        <v>289</v>
      </c>
      <c r="P5" s="1720"/>
      <c r="Q5" s="3388"/>
      <c r="R5" s="1780">
        <v>950</v>
      </c>
      <c r="S5" s="1746">
        <v>950</v>
      </c>
      <c r="T5" s="3919"/>
      <c r="U5" s="2288"/>
      <c r="V5" s="1747"/>
      <c r="W5" s="1747"/>
      <c r="X5" s="2288"/>
      <c r="Y5" s="1747"/>
      <c r="Z5" s="1747"/>
      <c r="AA5" s="2288"/>
      <c r="AB5" s="1747"/>
      <c r="AC5" s="1747"/>
      <c r="AD5" s="2288"/>
      <c r="AE5" s="1747"/>
      <c r="AF5" s="1747"/>
      <c r="AG5" s="2288"/>
      <c r="AH5" s="1747"/>
      <c r="AI5" s="1747"/>
      <c r="AJ5" s="2288"/>
      <c r="AK5" s="1747"/>
      <c r="AL5" s="1747"/>
      <c r="AM5" s="3389"/>
      <c r="AN5" s="3692">
        <v>950</v>
      </c>
      <c r="AO5" s="3693">
        <f>AN6-AN5</f>
        <v>0</v>
      </c>
      <c r="AP5" s="3694"/>
      <c r="AQ5" s="3562">
        <v>950</v>
      </c>
      <c r="AR5" s="3563">
        <f>AQ6-AQ5</f>
        <v>0</v>
      </c>
      <c r="AS5" s="3564"/>
      <c r="AT5" s="3995"/>
      <c r="AU5" s="3996"/>
      <c r="AV5" s="3997"/>
      <c r="AW5" s="3389"/>
      <c r="AX5" s="1747"/>
      <c r="AY5" s="1747"/>
      <c r="AZ5" s="1747"/>
      <c r="BA5" s="1747"/>
      <c r="BB5" s="1747"/>
      <c r="BC5" s="1747"/>
      <c r="BD5" s="1747"/>
      <c r="BE5" s="3389"/>
      <c r="BF5" s="2956">
        <f>SUM(AX5:BD5)</f>
        <v>0</v>
      </c>
      <c r="BG5" s="3073">
        <f>BF6-BF5</f>
        <v>0</v>
      </c>
      <c r="BH5" s="3074"/>
      <c r="BI5" s="3389"/>
      <c r="BJ5" s="1747"/>
      <c r="BK5" s="1747"/>
      <c r="BL5" s="1747"/>
      <c r="BM5" s="1747"/>
      <c r="BN5" s="1747"/>
      <c r="BO5" s="1747"/>
      <c r="BP5" s="1747"/>
      <c r="BQ5" s="3389"/>
      <c r="BR5" s="3102">
        <f>SUM(BJ5:BP5)</f>
        <v>0</v>
      </c>
      <c r="BS5" s="3103">
        <f>BR6-BR5</f>
        <v>0</v>
      </c>
      <c r="BT5" s="3104"/>
      <c r="BU5" s="3389"/>
      <c r="BV5" s="1747"/>
      <c r="BW5" s="1747"/>
      <c r="BX5" s="1747"/>
      <c r="BY5" s="1747"/>
      <c r="BZ5" s="1747"/>
      <c r="CA5" s="1747"/>
      <c r="CB5" s="1747"/>
      <c r="CC5" s="3389"/>
      <c r="CD5" s="2021">
        <f>SUM(BV5:CB5)</f>
        <v>0</v>
      </c>
      <c r="CE5" s="3058">
        <f>CD6-CD5</f>
        <v>0</v>
      </c>
      <c r="CF5" s="3038"/>
      <c r="CG5" s="1724"/>
      <c r="CH5" s="3201"/>
      <c r="CI5" s="3201"/>
      <c r="CJ5" s="1724"/>
      <c r="CK5" s="2021">
        <f>SUM(CH5:CI5)</f>
        <v>0</v>
      </c>
      <c r="CL5" s="3058">
        <f>CK6-CK5</f>
        <v>0</v>
      </c>
      <c r="CM5" s="3038"/>
      <c r="CO5" s="4614"/>
      <c r="CP5" s="4580"/>
      <c r="CR5" s="3730"/>
      <c r="CS5" s="3731"/>
      <c r="CT5" s="3035"/>
      <c r="CU5" s="3733"/>
      <c r="CV5" s="3586"/>
      <c r="CW5" s="3587"/>
      <c r="CX5" s="3035"/>
      <c r="CY5" s="4001"/>
      <c r="CZ5" s="4009"/>
      <c r="DA5" s="4010"/>
      <c r="DB5" s="3998"/>
      <c r="DC5" s="4020"/>
      <c r="DE5" s="3192"/>
      <c r="DF5" s="3599">
        <f>DF4/CR6</f>
        <v>0.2</v>
      </c>
      <c r="DG5" s="3600"/>
      <c r="DH5" s="3754"/>
      <c r="DI5" s="3622"/>
      <c r="DJ5" s="3623">
        <f>DJ4/CV6</f>
        <v>0.2</v>
      </c>
      <c r="DK5" s="3624"/>
      <c r="DL5" s="3643"/>
      <c r="DM5" s="4032"/>
      <c r="DN5" s="4033"/>
      <c r="DO5" s="4034"/>
      <c r="DP5" s="4035"/>
      <c r="DQ5" s="3649"/>
      <c r="DR5" s="3650">
        <f>DR4/DQ4</f>
        <v>0.2</v>
      </c>
      <c r="DS5" s="3658"/>
      <c r="DT5" s="3652"/>
      <c r="DU5" s="3391"/>
      <c r="DV5" s="3391"/>
      <c r="DW5" s="3391"/>
      <c r="DX5" s="3169"/>
    </row>
    <row r="6" spans="2:210" s="1726" customFormat="1" ht="23.25" x14ac:dyDescent="0.2">
      <c r="B6" s="4724"/>
      <c r="C6" s="4725"/>
      <c r="D6" s="3055"/>
      <c r="E6" s="3677"/>
      <c r="F6" s="2261"/>
      <c r="G6" s="3941"/>
      <c r="H6" s="1765"/>
      <c r="I6" s="1759">
        <f>CR6</f>
        <v>950</v>
      </c>
      <c r="J6" s="1728">
        <f>CV6</f>
        <v>950</v>
      </c>
      <c r="K6" s="3920"/>
      <c r="L6" s="2287"/>
      <c r="M6" s="2470">
        <f>CR6/CU25</f>
        <v>950</v>
      </c>
      <c r="N6" s="2383">
        <f>CV6/CU25</f>
        <v>950</v>
      </c>
      <c r="O6" s="3935"/>
      <c r="P6" s="1730"/>
      <c r="Q6" s="1731"/>
      <c r="R6" s="1759">
        <v>950</v>
      </c>
      <c r="S6" s="1728">
        <v>950</v>
      </c>
      <c r="T6" s="3920"/>
      <c r="U6" s="2287"/>
      <c r="V6" s="1732"/>
      <c r="W6" s="1732"/>
      <c r="X6" s="2287"/>
      <c r="Y6" s="1732"/>
      <c r="Z6" s="1732"/>
      <c r="AA6" s="2287"/>
      <c r="AB6" s="1732"/>
      <c r="AC6" s="1732"/>
      <c r="AD6" s="2287"/>
      <c r="AE6" s="1732"/>
      <c r="AF6" s="1732"/>
      <c r="AG6" s="2287"/>
      <c r="AH6" s="1732"/>
      <c r="AI6" s="1732"/>
      <c r="AJ6" s="2287"/>
      <c r="AK6" s="1732"/>
      <c r="AL6" s="1732"/>
      <c r="AM6" s="1733"/>
      <c r="AN6" s="3695">
        <f>R6</f>
        <v>950</v>
      </c>
      <c r="AO6" s="3696">
        <f>($I$47*100/20)*1</f>
        <v>517.09166666666681</v>
      </c>
      <c r="AP6" s="3697">
        <f>AN6-AO6</f>
        <v>432.90833333333319</v>
      </c>
      <c r="AQ6" s="3565">
        <f>S6</f>
        <v>950</v>
      </c>
      <c r="AR6" s="3566">
        <f>($J$47*100/20)*1</f>
        <v>517.09166666666681</v>
      </c>
      <c r="AS6" s="3567">
        <f>AQ6-AR6</f>
        <v>432.90833333333319</v>
      </c>
      <c r="AT6" s="3993"/>
      <c r="AU6" s="3941"/>
      <c r="AV6" s="3994"/>
      <c r="AW6" s="1737"/>
      <c r="AX6" s="1732"/>
      <c r="AY6" s="1732"/>
      <c r="AZ6" s="1732"/>
      <c r="BA6" s="1732"/>
      <c r="BB6" s="1732"/>
      <c r="BC6" s="1732"/>
      <c r="BD6" s="1732"/>
      <c r="BE6" s="1738"/>
      <c r="BF6" s="3392">
        <f>SUM(AX6:BD6)</f>
        <v>0</v>
      </c>
      <c r="BG6" s="2275">
        <f>($I$47*100/20)*0</f>
        <v>0</v>
      </c>
      <c r="BH6" s="3396">
        <f>BF6-BG6</f>
        <v>0</v>
      </c>
      <c r="BI6" s="1738"/>
      <c r="BJ6" s="1732"/>
      <c r="BK6" s="1732"/>
      <c r="BL6" s="1732"/>
      <c r="BM6" s="1732"/>
      <c r="BN6" s="1732"/>
      <c r="BO6" s="1732"/>
      <c r="BP6" s="1732"/>
      <c r="BQ6" s="3008">
        <v>417.84800000000001</v>
      </c>
      <c r="BR6" s="3392">
        <f>SUM(BJ6:BP6)</f>
        <v>0</v>
      </c>
      <c r="BS6" s="2275">
        <f>($I$47*100/24)*0</f>
        <v>0</v>
      </c>
      <c r="BT6" s="3396">
        <f>BR6-BS6</f>
        <v>0</v>
      </c>
      <c r="BU6" s="2205"/>
      <c r="BV6" s="1732"/>
      <c r="BW6" s="1732"/>
      <c r="BX6" s="1732"/>
      <c r="BY6" s="1732"/>
      <c r="BZ6" s="1732"/>
      <c r="CA6" s="1732"/>
      <c r="CB6" s="1732"/>
      <c r="CC6" s="2205"/>
      <c r="CD6" s="3392">
        <f>SUM(BV6:CB6)</f>
        <v>0</v>
      </c>
      <c r="CE6" s="2275">
        <f>($I$47*100/24)*0</f>
        <v>0</v>
      </c>
      <c r="CF6" s="3396">
        <f>CD6-CE6</f>
        <v>0</v>
      </c>
      <c r="CG6" s="1861"/>
      <c r="CH6" s="3407"/>
      <c r="CI6" s="3407"/>
      <c r="CJ6" s="1861"/>
      <c r="CK6" s="3392">
        <f>SUM(CH6:CI6)</f>
        <v>0</v>
      </c>
      <c r="CL6" s="2275">
        <f>($I$47*100/24)*0</f>
        <v>0</v>
      </c>
      <c r="CM6" s="3396">
        <f>CK6-CL6</f>
        <v>0</v>
      </c>
      <c r="CO6" s="4614"/>
      <c r="CP6" s="4580"/>
      <c r="CR6" s="3734">
        <f>AN6</f>
        <v>950</v>
      </c>
      <c r="CS6" s="3741">
        <f>CR6/DE6</f>
        <v>6.1239947784886624E-2</v>
      </c>
      <c r="CT6" s="1997"/>
      <c r="CU6" s="3744">
        <f>CR6/CU25*30</f>
        <v>28500</v>
      </c>
      <c r="CV6" s="3588">
        <f>AQ6</f>
        <v>950</v>
      </c>
      <c r="CW6" s="3589">
        <f>CV6/DE6</f>
        <v>6.1239947784886624E-2</v>
      </c>
      <c r="CX6" s="2246"/>
      <c r="CY6" s="4002">
        <f>CV6/CU25*30</f>
        <v>28500</v>
      </c>
      <c r="CZ6" s="4011"/>
      <c r="DA6" s="4012"/>
      <c r="DB6" s="1818"/>
      <c r="DC6" s="4021"/>
      <c r="DD6" s="1740"/>
      <c r="DE6" s="3604">
        <f>E51</f>
        <v>15512.75</v>
      </c>
      <c r="DF6" s="3605">
        <f>DE6-CR6</f>
        <v>14562.75</v>
      </c>
      <c r="DG6" s="3606">
        <f>DF6/CU28</f>
        <v>485.42500000000001</v>
      </c>
      <c r="DH6" s="3757">
        <f>DE1/'RAWABI INCOME 6-2020'!CB1</f>
        <v>1.1004370009083819</v>
      </c>
      <c r="DI6" s="3628">
        <f>F51</f>
        <v>15512.75</v>
      </c>
      <c r="DJ6" s="3629">
        <f>DI6-CV6</f>
        <v>14562.75</v>
      </c>
      <c r="DK6" s="3630">
        <f>DJ6/CU28</f>
        <v>485.42500000000001</v>
      </c>
      <c r="DL6" s="3758" t="s">
        <v>288</v>
      </c>
      <c r="DM6" s="4044"/>
      <c r="DN6" s="4045"/>
      <c r="DO6" s="4046"/>
      <c r="DP6" s="4038"/>
      <c r="DQ6" s="3659">
        <f>DE6+DI6</f>
        <v>31025.5</v>
      </c>
      <c r="DR6" s="3660">
        <f>DJ6+DF6</f>
        <v>29125.5</v>
      </c>
      <c r="DS6" s="3661">
        <f>DR6/CU28</f>
        <v>970.85</v>
      </c>
      <c r="DT6" s="3460"/>
      <c r="DU6" s="3108"/>
      <c r="DV6" s="3108"/>
      <c r="DW6" s="3108"/>
      <c r="DX6" s="3174"/>
    </row>
    <row r="7" spans="2:210" s="1726" customFormat="1" ht="23.25" x14ac:dyDescent="0.2">
      <c r="B7" s="3675"/>
      <c r="C7" s="3676"/>
      <c r="D7" s="3055"/>
      <c r="E7" s="3677"/>
      <c r="F7" s="2261"/>
      <c r="G7" s="3941"/>
      <c r="H7" s="1765"/>
      <c r="I7" s="1759"/>
      <c r="J7" s="1728"/>
      <c r="K7" s="3920"/>
      <c r="L7" s="2287"/>
      <c r="M7" s="2470"/>
      <c r="N7" s="3544"/>
      <c r="O7" s="3544"/>
      <c r="P7" s="1730"/>
      <c r="Q7" s="1731"/>
      <c r="R7" s="3543">
        <v>675</v>
      </c>
      <c r="S7" s="3543">
        <v>675</v>
      </c>
      <c r="T7" s="3543"/>
      <c r="U7" s="2287"/>
      <c r="V7" s="1732"/>
      <c r="W7" s="1732"/>
      <c r="X7" s="2287"/>
      <c r="Y7" s="1732"/>
      <c r="Z7" s="1732"/>
      <c r="AA7" s="2287"/>
      <c r="AB7" s="1732"/>
      <c r="AC7" s="1732"/>
      <c r="AD7" s="2287"/>
      <c r="AE7" s="1732"/>
      <c r="AF7" s="1732"/>
      <c r="AG7" s="2287"/>
      <c r="AH7" s="1732"/>
      <c r="AI7" s="1732"/>
      <c r="AJ7" s="2287"/>
      <c r="AK7" s="1732"/>
      <c r="AL7" s="1732"/>
      <c r="AM7" s="1733"/>
      <c r="AN7" s="3698"/>
      <c r="AO7" s="3677"/>
      <c r="AP7" s="3699"/>
      <c r="AQ7" s="3568"/>
      <c r="AR7" s="2261"/>
      <c r="AS7" s="3569"/>
      <c r="AT7" s="3948"/>
      <c r="AU7" s="3920"/>
      <c r="AV7" s="3949"/>
      <c r="AW7" s="1737"/>
      <c r="AX7" s="1732"/>
      <c r="AY7" s="1732"/>
      <c r="AZ7" s="1732"/>
      <c r="BA7" s="1732"/>
      <c r="BB7" s="1732"/>
      <c r="BC7" s="1732"/>
      <c r="BD7" s="1732"/>
      <c r="BE7" s="1738"/>
      <c r="BF7" s="3539"/>
      <c r="BG7" s="3538"/>
      <c r="BH7" s="3540"/>
      <c r="BI7" s="1738"/>
      <c r="BJ7" s="1732"/>
      <c r="BK7" s="1732"/>
      <c r="BL7" s="1732"/>
      <c r="BM7" s="1732"/>
      <c r="BN7" s="1732"/>
      <c r="BO7" s="1732"/>
      <c r="BP7" s="1732"/>
      <c r="BQ7" s="3008"/>
      <c r="BR7" s="3539"/>
      <c r="BS7" s="3538"/>
      <c r="BT7" s="3540"/>
      <c r="BU7" s="2205"/>
      <c r="BV7" s="1732"/>
      <c r="BW7" s="1732"/>
      <c r="BX7" s="1732"/>
      <c r="BY7" s="1732"/>
      <c r="BZ7" s="1732"/>
      <c r="CA7" s="1732"/>
      <c r="CB7" s="1732"/>
      <c r="CC7" s="2205"/>
      <c r="CD7" s="3539"/>
      <c r="CE7" s="3538"/>
      <c r="CF7" s="3540"/>
      <c r="CG7" s="1861"/>
      <c r="CH7" s="3530"/>
      <c r="CI7" s="3530"/>
      <c r="CJ7" s="1861"/>
      <c r="CK7" s="3539"/>
      <c r="CL7" s="3538"/>
      <c r="CM7" s="3540"/>
      <c r="CO7" s="4614"/>
      <c r="CP7" s="4580"/>
      <c r="CR7" s="3735"/>
      <c r="CS7" s="3742"/>
      <c r="CT7" s="1997"/>
      <c r="CU7" s="3745"/>
      <c r="CV7" s="3590"/>
      <c r="CW7" s="3591"/>
      <c r="CX7" s="2246"/>
      <c r="CY7" s="4003"/>
      <c r="CZ7" s="4013"/>
      <c r="DA7" s="4014"/>
      <c r="DB7" s="1818"/>
      <c r="DC7" s="4022"/>
      <c r="DD7" s="1740"/>
      <c r="DE7" s="3607"/>
      <c r="DF7" s="3608"/>
      <c r="DG7" s="3609"/>
      <c r="DH7" s="4780" t="s">
        <v>253</v>
      </c>
      <c r="DI7" s="3631"/>
      <c r="DJ7" s="3632"/>
      <c r="DK7" s="3633"/>
      <c r="DL7" s="4782" t="s">
        <v>253</v>
      </c>
      <c r="DM7" s="4047"/>
      <c r="DN7" s="4048"/>
      <c r="DO7" s="4049"/>
      <c r="DP7" s="4039"/>
      <c r="DQ7" s="3662"/>
      <c r="DR7" s="3663"/>
      <c r="DS7" s="3664"/>
      <c r="DT7" s="3541"/>
      <c r="DU7" s="3108"/>
      <c r="DV7" s="3108"/>
      <c r="DW7" s="3108"/>
      <c r="DX7" s="3174"/>
    </row>
    <row r="8" spans="2:210" s="2713" customFormat="1" ht="24" thickBot="1" x14ac:dyDescent="0.25">
      <c r="B8" s="4724"/>
      <c r="C8" s="4725"/>
      <c r="D8" s="3056"/>
      <c r="E8" s="3678">
        <f>I8/CU25</f>
        <v>190</v>
      </c>
      <c r="F8" s="2717">
        <f>J8/CU25</f>
        <v>190</v>
      </c>
      <c r="G8" s="3942"/>
      <c r="H8" s="3325"/>
      <c r="I8" s="3552">
        <f>CR8</f>
        <v>190</v>
      </c>
      <c r="J8" s="3052">
        <f>CV8</f>
        <v>190</v>
      </c>
      <c r="K8" s="3921"/>
      <c r="L8" s="3327"/>
      <c r="M8" s="3557">
        <f>DF8</f>
        <v>15.329210526315789</v>
      </c>
      <c r="N8" s="3053">
        <f>DJ8</f>
        <v>15.329210526315789</v>
      </c>
      <c r="O8" s="3936"/>
      <c r="P8" s="2719"/>
      <c r="Q8" s="2720"/>
      <c r="R8" s="3552">
        <f>R6*20%</f>
        <v>190</v>
      </c>
      <c r="S8" s="3052">
        <f>S6*20%</f>
        <v>190</v>
      </c>
      <c r="T8" s="3921"/>
      <c r="U8" s="3327"/>
      <c r="V8" s="2782"/>
      <c r="W8" s="2782"/>
      <c r="X8" s="3327"/>
      <c r="Y8" s="2782"/>
      <c r="Z8" s="2782"/>
      <c r="AA8" s="3327"/>
      <c r="AB8" s="2782"/>
      <c r="AC8" s="2782"/>
      <c r="AD8" s="3327"/>
      <c r="AE8" s="2782"/>
      <c r="AF8" s="2782"/>
      <c r="AG8" s="3327"/>
      <c r="AH8" s="2782"/>
      <c r="AI8" s="2782"/>
      <c r="AJ8" s="3327"/>
      <c r="AK8" s="2782"/>
      <c r="AL8" s="2782"/>
      <c r="AM8" s="2722"/>
      <c r="AN8" s="3700">
        <f>R8+V8+Y8+AB8+AE8+AH8+AK8</f>
        <v>190</v>
      </c>
      <c r="AO8" s="3552">
        <f>AO6*AN9</f>
        <v>103.41833333333336</v>
      </c>
      <c r="AP8" s="3701">
        <f>AP6*AN9</f>
        <v>86.581666666666649</v>
      </c>
      <c r="AQ8" s="3570">
        <f>S8+W8+Z8+AC8+AF8+AI8+AL8</f>
        <v>190</v>
      </c>
      <c r="AR8" s="3052">
        <f>AR6*AQ9</f>
        <v>103.41833333333336</v>
      </c>
      <c r="AS8" s="3571">
        <f>AS6*AQ9</f>
        <v>86.581666666666649</v>
      </c>
      <c r="AT8" s="3950"/>
      <c r="AU8" s="3921"/>
      <c r="AV8" s="3951"/>
      <c r="AW8" s="2723"/>
      <c r="AX8" s="2721"/>
      <c r="AY8" s="2721"/>
      <c r="AZ8" s="2721"/>
      <c r="BA8" s="2721"/>
      <c r="BB8" s="2721"/>
      <c r="BC8" s="2721"/>
      <c r="BD8" s="2721"/>
      <c r="BE8" s="2724"/>
      <c r="BF8" s="2781">
        <f>SUM(AX8:BD8)</f>
        <v>0</v>
      </c>
      <c r="BG8" s="2782" t="e">
        <f>BG6*BF9</f>
        <v>#DIV/0!</v>
      </c>
      <c r="BH8" s="2783">
        <f>BH6*25%</f>
        <v>0</v>
      </c>
      <c r="BI8" s="2724"/>
      <c r="BJ8" s="2721"/>
      <c r="BK8" s="2721"/>
      <c r="BL8" s="2721"/>
      <c r="BM8" s="2721"/>
      <c r="BN8" s="2721"/>
      <c r="BO8" s="2721"/>
      <c r="BP8" s="2721"/>
      <c r="BQ8" s="3009">
        <v>85.138999999999996</v>
      </c>
      <c r="BR8" s="2781">
        <f>SUM(BJ8:BP8)</f>
        <v>0</v>
      </c>
      <c r="BS8" s="2782" t="e">
        <f>BS6*BR9</f>
        <v>#DIV/0!</v>
      </c>
      <c r="BT8" s="2783">
        <f>BT6*25%</f>
        <v>0</v>
      </c>
      <c r="BU8" s="2725"/>
      <c r="BV8" s="2721"/>
      <c r="BW8" s="2721"/>
      <c r="BX8" s="2721"/>
      <c r="BY8" s="2721"/>
      <c r="BZ8" s="2721"/>
      <c r="CA8" s="2721"/>
      <c r="CB8" s="2721"/>
      <c r="CC8" s="2725"/>
      <c r="CD8" s="2781">
        <f>SUM(BV8:CB8)</f>
        <v>0</v>
      </c>
      <c r="CE8" s="2782" t="e">
        <f>CE6*CD9</f>
        <v>#DIV/0!</v>
      </c>
      <c r="CF8" s="2783">
        <f>CF6*25%</f>
        <v>0</v>
      </c>
      <c r="CG8" s="2726"/>
      <c r="CH8" s="2721"/>
      <c r="CI8" s="2721"/>
      <c r="CJ8" s="2726"/>
      <c r="CK8" s="2781">
        <f>SUM(CH8:CI8)</f>
        <v>0</v>
      </c>
      <c r="CL8" s="2782" t="e">
        <f>CL6*CK9</f>
        <v>#DIV/0!</v>
      </c>
      <c r="CM8" s="2783">
        <f>CM6*25%</f>
        <v>0</v>
      </c>
      <c r="CO8" s="4614"/>
      <c r="CP8" s="4580"/>
      <c r="CR8" s="3736">
        <f>AN8</f>
        <v>190</v>
      </c>
      <c r="CS8" s="3743">
        <f>CR8/E47</f>
        <v>6.1239947784886631E-2</v>
      </c>
      <c r="CT8" s="2729"/>
      <c r="CU8" s="3746"/>
      <c r="CV8" s="3592">
        <f>AQ8</f>
        <v>190</v>
      </c>
      <c r="CW8" s="3593">
        <f>CV8/F47</f>
        <v>6.1239947784886631E-2</v>
      </c>
      <c r="CX8" s="3453"/>
      <c r="CY8" s="4004"/>
      <c r="CZ8" s="4015"/>
      <c r="DA8" s="4016"/>
      <c r="DB8" s="3999"/>
      <c r="DC8" s="4023"/>
      <c r="DD8" s="2730"/>
      <c r="DE8" s="3610"/>
      <c r="DF8" s="3611">
        <f>DF6/M6</f>
        <v>15.329210526315789</v>
      </c>
      <c r="DG8" s="3612" t="s">
        <v>251</v>
      </c>
      <c r="DH8" s="4781"/>
      <c r="DI8" s="3634"/>
      <c r="DJ8" s="3635">
        <f>DJ6/N6</f>
        <v>15.329210526315789</v>
      </c>
      <c r="DK8" s="3636" t="s">
        <v>251</v>
      </c>
      <c r="DL8" s="4783"/>
      <c r="DM8" s="4050"/>
      <c r="DN8" s="4051"/>
      <c r="DO8" s="4052"/>
      <c r="DP8" s="4040"/>
      <c r="DQ8" s="3665"/>
      <c r="DR8" s="3666" t="e">
        <f>DR6/W6</f>
        <v>#DIV/0!</v>
      </c>
      <c r="DS8" s="3667" t="s">
        <v>251</v>
      </c>
      <c r="DT8" s="3461"/>
      <c r="DU8" s="3109"/>
      <c r="DV8" s="3109"/>
      <c r="DW8" s="3109"/>
      <c r="DX8" s="3175"/>
    </row>
    <row r="9" spans="2:210" s="1885" customFormat="1" ht="23.25" x14ac:dyDescent="0.2">
      <c r="B9" s="4724"/>
      <c r="C9" s="4725"/>
      <c r="D9" s="3057"/>
      <c r="E9" s="3679"/>
      <c r="F9" s="2814"/>
      <c r="G9" s="3943"/>
      <c r="H9" s="3326"/>
      <c r="I9" s="1889">
        <f>I8-E47</f>
        <v>-2912.5499999999997</v>
      </c>
      <c r="J9" s="2001">
        <f>J8-F47</f>
        <v>-2912.5499999999997</v>
      </c>
      <c r="K9" s="3924"/>
      <c r="L9" s="3323"/>
      <c r="M9" s="3558">
        <f>I9-DG4</f>
        <v>0</v>
      </c>
      <c r="N9" s="3054">
        <f>J9-DK4</f>
        <v>0</v>
      </c>
      <c r="O9" s="3937"/>
      <c r="P9" s="2816"/>
      <c r="Q9" s="2817"/>
      <c r="R9" s="2818">
        <f>R8/R6</f>
        <v>0.2</v>
      </c>
      <c r="S9" s="2818">
        <f>S8/S6</f>
        <v>0.2</v>
      </c>
      <c r="T9" s="2818" t="e">
        <f>T8/T6</f>
        <v>#DIV/0!</v>
      </c>
      <c r="U9" s="3331"/>
      <c r="V9" s="2818" t="e">
        <f>V8/V6</f>
        <v>#DIV/0!</v>
      </c>
      <c r="W9" s="2818" t="e">
        <f>W8/W6</f>
        <v>#DIV/0!</v>
      </c>
      <c r="X9" s="3331"/>
      <c r="Y9" s="2818" t="e">
        <f>Y8/Y6</f>
        <v>#DIV/0!</v>
      </c>
      <c r="Z9" s="2818" t="e">
        <f>Z8/Z6</f>
        <v>#DIV/0!</v>
      </c>
      <c r="AA9" s="3331"/>
      <c r="AB9" s="2818" t="e">
        <f>AB8/AB6</f>
        <v>#DIV/0!</v>
      </c>
      <c r="AC9" s="2818" t="e">
        <f>AC8/AC6</f>
        <v>#DIV/0!</v>
      </c>
      <c r="AD9" s="3331"/>
      <c r="AE9" s="2818" t="e">
        <f>AE8/AE6</f>
        <v>#DIV/0!</v>
      </c>
      <c r="AF9" s="2818" t="e">
        <f>AF8/AF6</f>
        <v>#DIV/0!</v>
      </c>
      <c r="AG9" s="3331"/>
      <c r="AH9" s="2818" t="e">
        <f>AH8/AH6</f>
        <v>#DIV/0!</v>
      </c>
      <c r="AI9" s="2818" t="e">
        <f>AI8/AI6</f>
        <v>#DIV/0!</v>
      </c>
      <c r="AJ9" s="3331"/>
      <c r="AK9" s="2818" t="e">
        <f>AK8/AK6</f>
        <v>#DIV/0!</v>
      </c>
      <c r="AL9" s="2818" t="e">
        <f>AL8/AL6</f>
        <v>#DIV/0!</v>
      </c>
      <c r="AM9" s="2819"/>
      <c r="AN9" s="3702">
        <f>AN8/AN6</f>
        <v>0.2</v>
      </c>
      <c r="AO9" s="3581">
        <f>R8</f>
        <v>190</v>
      </c>
      <c r="AP9" s="3703">
        <f>AO9-AN8</f>
        <v>0</v>
      </c>
      <c r="AQ9" s="3572">
        <f>AQ8/AQ6</f>
        <v>0.2</v>
      </c>
      <c r="AR9" s="3581">
        <f>S8</f>
        <v>190</v>
      </c>
      <c r="AS9" s="3445">
        <f>AR9-AQ8</f>
        <v>0</v>
      </c>
      <c r="AT9" s="3952"/>
      <c r="AU9" s="3924"/>
      <c r="AV9" s="3953"/>
      <c r="AW9" s="2822"/>
      <c r="AX9" s="2818" t="e">
        <f t="shared" ref="AX9:BD9" si="0">AX8/AX6</f>
        <v>#DIV/0!</v>
      </c>
      <c r="AY9" s="2818" t="e">
        <f t="shared" si="0"/>
        <v>#DIV/0!</v>
      </c>
      <c r="AZ9" s="2818" t="e">
        <f t="shared" si="0"/>
        <v>#DIV/0!</v>
      </c>
      <c r="BA9" s="2818" t="e">
        <f t="shared" si="0"/>
        <v>#DIV/0!</v>
      </c>
      <c r="BB9" s="2818" t="e">
        <f t="shared" si="0"/>
        <v>#DIV/0!</v>
      </c>
      <c r="BC9" s="2818" t="e">
        <f t="shared" si="0"/>
        <v>#DIV/0!</v>
      </c>
      <c r="BD9" s="2818" t="e">
        <f t="shared" si="0"/>
        <v>#DIV/0!</v>
      </c>
      <c r="BE9" s="2823"/>
      <c r="BF9" s="2820" t="e">
        <f>BF8/BF6</f>
        <v>#DIV/0!</v>
      </c>
      <c r="BG9" s="2821"/>
      <c r="BH9" s="2245">
        <f>BG9-BF8</f>
        <v>0</v>
      </c>
      <c r="BI9" s="2823"/>
      <c r="BJ9" s="2818" t="e">
        <f t="shared" ref="BJ9:BQ9" si="1">BJ8/BJ6</f>
        <v>#DIV/0!</v>
      </c>
      <c r="BK9" s="2818" t="e">
        <f t="shared" si="1"/>
        <v>#DIV/0!</v>
      </c>
      <c r="BL9" s="2818" t="e">
        <f t="shared" si="1"/>
        <v>#DIV/0!</v>
      </c>
      <c r="BM9" s="2818" t="e">
        <f t="shared" si="1"/>
        <v>#DIV/0!</v>
      </c>
      <c r="BN9" s="2818" t="e">
        <f t="shared" si="1"/>
        <v>#DIV/0!</v>
      </c>
      <c r="BO9" s="2818" t="e">
        <f t="shared" si="1"/>
        <v>#DIV/0!</v>
      </c>
      <c r="BP9" s="2818" t="e">
        <f t="shared" si="1"/>
        <v>#DIV/0!</v>
      </c>
      <c r="BQ9" s="3010">
        <f t="shared" si="1"/>
        <v>0.20375591124045106</v>
      </c>
      <c r="BR9" s="2820" t="e">
        <f>BR8/BR6</f>
        <v>#DIV/0!</v>
      </c>
      <c r="BS9" s="2821"/>
      <c r="BT9" s="2245">
        <f>BS9-BR8</f>
        <v>0</v>
      </c>
      <c r="BU9" s="2402"/>
      <c r="BV9" s="2818" t="e">
        <f t="shared" ref="BV9:CB9" si="2">BV8/BV6</f>
        <v>#DIV/0!</v>
      </c>
      <c r="BW9" s="2818" t="e">
        <f t="shared" si="2"/>
        <v>#DIV/0!</v>
      </c>
      <c r="BX9" s="2818" t="e">
        <f t="shared" si="2"/>
        <v>#DIV/0!</v>
      </c>
      <c r="BY9" s="2818" t="e">
        <f t="shared" si="2"/>
        <v>#DIV/0!</v>
      </c>
      <c r="BZ9" s="2818" t="e">
        <f t="shared" si="2"/>
        <v>#DIV/0!</v>
      </c>
      <c r="CA9" s="2818" t="e">
        <f t="shared" si="2"/>
        <v>#DIV/0!</v>
      </c>
      <c r="CB9" s="2818" t="e">
        <f t="shared" si="2"/>
        <v>#DIV/0!</v>
      </c>
      <c r="CC9" s="2823"/>
      <c r="CD9" s="2820" t="e">
        <f>CD8/CD6</f>
        <v>#DIV/0!</v>
      </c>
      <c r="CE9" s="2821"/>
      <c r="CF9" s="2245">
        <f>CE9-CD8</f>
        <v>0</v>
      </c>
      <c r="CG9" s="2011"/>
      <c r="CH9" s="2818" t="e">
        <f t="shared" ref="CH9:CI9" si="3">CH8/CH6</f>
        <v>#DIV/0!</v>
      </c>
      <c r="CI9" s="2818" t="e">
        <f t="shared" si="3"/>
        <v>#DIV/0!</v>
      </c>
      <c r="CJ9" s="2823"/>
      <c r="CK9" s="2820" t="e">
        <f>CK8/CK6</f>
        <v>#DIV/0!</v>
      </c>
      <c r="CL9" s="2821"/>
      <c r="CM9" s="2245">
        <f>CL9-CK8</f>
        <v>0</v>
      </c>
      <c r="CO9" s="4614"/>
      <c r="CP9" s="4580"/>
      <c r="CR9" s="3702">
        <f>CR8/CR6</f>
        <v>0.2</v>
      </c>
      <c r="CS9" s="3582">
        <f>AO9</f>
        <v>190</v>
      </c>
      <c r="CT9" s="2010"/>
      <c r="CU9" s="3747">
        <f>CS9-CR8</f>
        <v>0</v>
      </c>
      <c r="CV9" s="3572">
        <f>CV8/CV6</f>
        <v>0.2</v>
      </c>
      <c r="CW9" s="3583">
        <f>AR9</f>
        <v>190</v>
      </c>
      <c r="CX9" s="2251"/>
      <c r="CY9" s="4005">
        <f>CW9-CV8</f>
        <v>0</v>
      </c>
      <c r="CZ9" s="4017"/>
      <c r="DA9" s="4018"/>
      <c r="DB9" s="2434"/>
      <c r="DC9" s="4024"/>
      <c r="DD9" s="1900"/>
      <c r="DE9" s="3613">
        <f>E47-CR8</f>
        <v>2912.5499999999997</v>
      </c>
      <c r="DF9" s="3614">
        <f>DE9/E8</f>
        <v>15.329210526315787</v>
      </c>
      <c r="DG9" s="3615"/>
      <c r="DH9" s="2828"/>
      <c r="DI9" s="3637">
        <f>F47-CV8</f>
        <v>2912.5499999999997</v>
      </c>
      <c r="DJ9" s="3638">
        <f>DI9/J8</f>
        <v>15.329210526315787</v>
      </c>
      <c r="DK9" s="3639"/>
      <c r="DL9" s="2828"/>
      <c r="DM9" s="4053"/>
      <c r="DN9" s="4054"/>
      <c r="DO9" s="4055"/>
      <c r="DP9" s="3799"/>
      <c r="DQ9" s="3668">
        <f>L47-DD8</f>
        <v>0</v>
      </c>
      <c r="DR9" s="3669" t="e">
        <f>DQ9/P8</f>
        <v>#DIV/0!</v>
      </c>
      <c r="DS9" s="3670"/>
      <c r="DT9" s="2828"/>
      <c r="DU9" s="3110"/>
      <c r="DV9" s="3110"/>
      <c r="DW9" s="3110"/>
      <c r="DX9" s="3176"/>
    </row>
    <row r="10" spans="2:210" ht="24" thickBot="1" x14ac:dyDescent="0.25">
      <c r="B10" s="4722"/>
      <c r="C10" s="4723"/>
      <c r="D10" s="1847"/>
      <c r="E10" s="4757">
        <f>R8+S8+V8+W8+Y8+Z8+AB8+AC8+AE8+AF8+AH8+AI8+AK8+AL8</f>
        <v>380</v>
      </c>
      <c r="F10" s="4758"/>
      <c r="G10" s="3944"/>
      <c r="H10" s="1791"/>
      <c r="I10" s="1779"/>
      <c r="J10" s="1745"/>
      <c r="K10" s="3931"/>
      <c r="L10" s="1789"/>
      <c r="M10" s="1779"/>
      <c r="N10" s="3545"/>
      <c r="O10" s="3545"/>
      <c r="P10" s="1720"/>
      <c r="Q10" s="3388"/>
      <c r="R10" s="3674">
        <f>R8/R7</f>
        <v>0.2814814814814815</v>
      </c>
      <c r="S10" s="3674">
        <f>S8/S7</f>
        <v>0.2814814814814815</v>
      </c>
      <c r="T10" s="3674" t="e">
        <f>T8/T7</f>
        <v>#DIV/0!</v>
      </c>
      <c r="U10" s="2288"/>
      <c r="V10" s="1747"/>
      <c r="W10" s="1747"/>
      <c r="X10" s="2288"/>
      <c r="Y10" s="1747"/>
      <c r="Z10" s="1747"/>
      <c r="AA10" s="2288"/>
      <c r="AB10" s="1747"/>
      <c r="AC10" s="1747"/>
      <c r="AD10" s="2288"/>
      <c r="AE10" s="1747"/>
      <c r="AF10" s="1747"/>
      <c r="AG10" s="2288"/>
      <c r="AH10" s="1747"/>
      <c r="AI10" s="1747"/>
      <c r="AJ10" s="2288"/>
      <c r="AK10" s="1747"/>
      <c r="AL10" s="1747"/>
      <c r="AM10" s="1748"/>
      <c r="AN10" s="3692"/>
      <c r="AO10" s="3693"/>
      <c r="AP10" s="3704">
        <f>AP9/AN8</f>
        <v>0</v>
      </c>
      <c r="AQ10" s="3562"/>
      <c r="AR10" s="3563"/>
      <c r="AS10" s="3573">
        <f>AS9/AQ8</f>
        <v>0</v>
      </c>
      <c r="AT10" s="3954"/>
      <c r="AU10" s="3955"/>
      <c r="AV10" s="3956"/>
      <c r="AW10" s="3390"/>
      <c r="AX10" s="1747"/>
      <c r="AY10" s="1747"/>
      <c r="AZ10" s="1747"/>
      <c r="BA10" s="1747"/>
      <c r="BB10" s="1747"/>
      <c r="BC10" s="1747"/>
      <c r="BD10" s="1747"/>
      <c r="BE10" s="1723"/>
      <c r="BF10" s="2021"/>
      <c r="BG10" s="1786"/>
      <c r="BH10" s="2278"/>
      <c r="BI10" s="1723"/>
      <c r="BJ10" s="1747"/>
      <c r="BK10" s="1747"/>
      <c r="BL10" s="1747"/>
      <c r="BM10" s="1747"/>
      <c r="BN10" s="1747"/>
      <c r="BO10" s="1747"/>
      <c r="BP10" s="1747"/>
      <c r="BQ10" s="3011"/>
      <c r="BR10" s="2021"/>
      <c r="BS10" s="1786"/>
      <c r="BT10" s="2278"/>
      <c r="BU10" s="2039"/>
      <c r="BV10" s="1747"/>
      <c r="BW10" s="1747"/>
      <c r="BX10" s="1747"/>
      <c r="BY10" s="1747"/>
      <c r="BZ10" s="1747"/>
      <c r="CA10" s="1747"/>
      <c r="CB10" s="1747"/>
      <c r="CC10" s="2039"/>
      <c r="CD10" s="2021"/>
      <c r="CE10" s="1786" t="s">
        <v>279</v>
      </c>
      <c r="CF10" s="2278"/>
      <c r="CG10" s="1994"/>
      <c r="CH10" s="1747"/>
      <c r="CI10" s="1747"/>
      <c r="CJ10" s="1994"/>
      <c r="CK10" s="2021"/>
      <c r="CL10" s="1786"/>
      <c r="CM10" s="2278"/>
      <c r="CO10" s="4614"/>
      <c r="CP10" s="4580"/>
      <c r="CR10" s="3737"/>
      <c r="CS10" s="3704">
        <f>CS9/CR6</f>
        <v>0.2</v>
      </c>
      <c r="CT10" s="1993"/>
      <c r="CU10" s="3748">
        <f>CU9/CR6</f>
        <v>0</v>
      </c>
      <c r="CV10" s="3749"/>
      <c r="CW10" s="3573">
        <f>CW9/CV6</f>
        <v>0.2</v>
      </c>
      <c r="CX10" s="1993"/>
      <c r="CY10" s="4006">
        <f>CY9/CV6</f>
        <v>0</v>
      </c>
      <c r="CZ10" s="3954"/>
      <c r="DA10" s="3956"/>
      <c r="DB10" s="1802"/>
      <c r="DC10" s="4025"/>
      <c r="DD10" s="1754"/>
      <c r="DE10" s="3616"/>
      <c r="DF10" s="3617"/>
      <c r="DG10" s="3618"/>
      <c r="DH10" s="3177"/>
      <c r="DI10" s="3640"/>
      <c r="DJ10" s="3641"/>
      <c r="DK10" s="3642"/>
      <c r="DL10" s="3177"/>
      <c r="DM10" s="4056"/>
      <c r="DN10" s="4057"/>
      <c r="DO10" s="4058"/>
      <c r="DP10" s="1994"/>
      <c r="DQ10" s="3671"/>
      <c r="DR10" s="3672"/>
      <c r="DS10" s="3673"/>
      <c r="DT10" s="3177"/>
      <c r="DU10" s="2271"/>
      <c r="DV10" s="2271"/>
      <c r="DW10" s="2271"/>
      <c r="DX10" s="3169"/>
    </row>
    <row r="11" spans="2:210" s="1923" customFormat="1" ht="5.25" customHeight="1" thickBot="1" x14ac:dyDescent="0.25">
      <c r="C11" s="3324"/>
      <c r="D11" s="3400"/>
      <c r="E11" s="1804"/>
      <c r="F11" s="1804"/>
      <c r="G11" s="1791"/>
      <c r="H11" s="1791"/>
      <c r="I11" s="1803"/>
      <c r="J11" s="1803"/>
      <c r="K11" s="1803"/>
      <c r="L11" s="1801"/>
      <c r="M11" s="2272"/>
      <c r="N11" s="1802"/>
      <c r="O11" s="1802"/>
      <c r="P11" s="3388"/>
      <c r="Q11" s="3388"/>
      <c r="R11" s="2026"/>
      <c r="S11" s="2026"/>
      <c r="T11" s="2026"/>
      <c r="U11" s="1801"/>
      <c r="V11" s="2026"/>
      <c r="W11" s="2026"/>
      <c r="X11" s="1801"/>
      <c r="Y11" s="2026"/>
      <c r="Z11" s="2026"/>
      <c r="AA11" s="1801"/>
      <c r="AB11" s="2026"/>
      <c r="AC11" s="2026"/>
      <c r="AD11" s="1801"/>
      <c r="AE11" s="2026"/>
      <c r="AF11" s="2026"/>
      <c r="AG11" s="1801"/>
      <c r="AH11" s="2026"/>
      <c r="AI11" s="2026"/>
      <c r="AJ11" s="1801"/>
      <c r="AK11" s="2026"/>
      <c r="AL11" s="2026"/>
      <c r="AM11" s="1994"/>
      <c r="AN11" s="3385"/>
      <c r="AO11" s="1801"/>
      <c r="AP11" s="3385"/>
      <c r="AQ11" s="3385"/>
      <c r="AR11" s="1801"/>
      <c r="AS11" s="3385"/>
      <c r="AT11" s="3899"/>
      <c r="AU11" s="3899"/>
      <c r="AV11" s="3899"/>
      <c r="AW11" s="3389"/>
      <c r="AX11" s="2026"/>
      <c r="AY11" s="2026"/>
      <c r="AZ11" s="2026"/>
      <c r="BA11" s="2026"/>
      <c r="BB11" s="2026"/>
      <c r="BC11" s="2026"/>
      <c r="BD11" s="2026"/>
      <c r="BE11" s="3389"/>
      <c r="BF11" s="3385"/>
      <c r="BG11" s="1801"/>
      <c r="BH11" s="3385"/>
      <c r="BI11" s="3389"/>
      <c r="BJ11" s="2026"/>
      <c r="BK11" s="2026"/>
      <c r="BL11" s="2026"/>
      <c r="BM11" s="2026"/>
      <c r="BN11" s="2026"/>
      <c r="BO11" s="2026"/>
      <c r="BP11" s="2026"/>
      <c r="BQ11" s="1994"/>
      <c r="BR11" s="3385"/>
      <c r="BS11" s="1801"/>
      <c r="BT11" s="3385"/>
      <c r="BU11" s="1994"/>
      <c r="BV11" s="2026"/>
      <c r="BW11" s="2026"/>
      <c r="BX11" s="2026"/>
      <c r="BY11" s="2026"/>
      <c r="BZ11" s="2026"/>
      <c r="CA11" s="2026"/>
      <c r="CB11" s="2026"/>
      <c r="CC11" s="1994"/>
      <c r="CD11" s="3385"/>
      <c r="CE11" s="1801"/>
      <c r="CF11" s="3385"/>
      <c r="CG11" s="1994"/>
      <c r="CH11" s="3399"/>
      <c r="CI11" s="3399"/>
      <c r="CJ11" s="1994"/>
      <c r="CK11" s="3385"/>
      <c r="CL11" s="1801"/>
      <c r="CM11" s="3385"/>
      <c r="CO11" s="4614"/>
      <c r="CP11" s="4580"/>
      <c r="CR11" s="1805"/>
      <c r="CS11" s="1993"/>
      <c r="CT11" s="1993"/>
      <c r="CU11" s="2325"/>
      <c r="CV11" s="2325"/>
      <c r="CW11" s="2325"/>
      <c r="CX11" s="2325"/>
      <c r="CY11" s="2325"/>
      <c r="CZ11" s="2325"/>
      <c r="DA11" s="2325"/>
      <c r="DB11" s="2325"/>
      <c r="DC11" s="2325"/>
      <c r="DD11" s="1994"/>
      <c r="DE11" s="2270"/>
      <c r="DF11" s="2270"/>
      <c r="DG11" s="2270"/>
      <c r="DH11" s="3177"/>
      <c r="DI11" s="2271"/>
      <c r="DJ11" s="2271"/>
      <c r="DK11" s="2271"/>
      <c r="DL11" s="3169"/>
      <c r="DM11" s="1724"/>
      <c r="DN11" s="1724"/>
      <c r="DO11" s="1724"/>
      <c r="DP11" s="1724"/>
      <c r="DQ11" s="2271"/>
      <c r="DR11" s="2271"/>
      <c r="DS11" s="2271"/>
      <c r="DT11" s="3169"/>
    </row>
    <row r="12" spans="2:210" s="1810" customFormat="1" ht="17.25" customHeight="1" x14ac:dyDescent="0.2">
      <c r="B12" s="4720"/>
      <c r="C12" s="4721"/>
      <c r="D12" s="1727"/>
      <c r="E12" s="4813">
        <f>(R8+V8+Y8+AB8+AE8+AH8+AK8)/E10</f>
        <v>0.5</v>
      </c>
      <c r="F12" s="4815">
        <f>(S8+W8+Z8+AC8+AF8+AI8+AL8)/E10</f>
        <v>0.5</v>
      </c>
      <c r="G12" s="4819"/>
      <c r="H12" s="1765"/>
      <c r="I12" s="4817"/>
      <c r="J12" s="4728"/>
      <c r="K12" s="4703"/>
      <c r="L12" s="2287"/>
      <c r="M12" s="4811"/>
      <c r="N12" s="4739"/>
      <c r="O12" s="4710"/>
      <c r="P12" s="1760"/>
      <c r="Q12" s="1761"/>
      <c r="R12" s="1759">
        <f>(R8-R47)/2</f>
        <v>43.290833333333325</v>
      </c>
      <c r="S12" s="1728">
        <f>(S8-S47)/2</f>
        <v>43.290833333333325</v>
      </c>
      <c r="T12" s="1728">
        <f>(T8-T47)/2</f>
        <v>0</v>
      </c>
      <c r="U12" s="2287"/>
      <c r="V12" s="1735">
        <f t="shared" ref="V12:AL12" si="4">(V8-V47)/2</f>
        <v>0</v>
      </c>
      <c r="W12" s="1735">
        <f t="shared" ref="W12" si="5">(W8-W47)/2</f>
        <v>0</v>
      </c>
      <c r="X12" s="2287"/>
      <c r="Y12" s="1735">
        <f t="shared" si="4"/>
        <v>0</v>
      </c>
      <c r="Z12" s="1735">
        <f t="shared" ref="Z12" si="6">(Z8-Z47)/2</f>
        <v>0</v>
      </c>
      <c r="AA12" s="2287"/>
      <c r="AB12" s="1735">
        <f t="shared" si="4"/>
        <v>0</v>
      </c>
      <c r="AC12" s="1735">
        <f t="shared" ref="AC12" si="7">(AC8-AC47)/2</f>
        <v>0</v>
      </c>
      <c r="AD12" s="2287"/>
      <c r="AE12" s="1735">
        <f t="shared" si="4"/>
        <v>0</v>
      </c>
      <c r="AF12" s="1735">
        <f t="shared" ref="AF12" si="8">(AF8-AF47)/2</f>
        <v>0</v>
      </c>
      <c r="AG12" s="2287"/>
      <c r="AH12" s="1735">
        <f t="shared" si="4"/>
        <v>0</v>
      </c>
      <c r="AI12" s="1735">
        <f t="shared" ref="AI12" si="9">(AI8-AI47)/2</f>
        <v>0</v>
      </c>
      <c r="AJ12" s="2287"/>
      <c r="AK12" s="1735">
        <f t="shared" ref="AK12" si="10">(AK8-AK47)/2</f>
        <v>0</v>
      </c>
      <c r="AL12" s="1735">
        <f t="shared" si="4"/>
        <v>0</v>
      </c>
      <c r="AM12" s="3398"/>
      <c r="AN12" s="3695">
        <f>R12+V12+Y12+AB12+AE12+AH12+AK12</f>
        <v>43.290833333333325</v>
      </c>
      <c r="AO12" s="3705"/>
      <c r="AP12" s="3706"/>
      <c r="AQ12" s="3565">
        <f>S12+W12+Z12+AC12+AF12+AI12+AL12</f>
        <v>43.290833333333325</v>
      </c>
      <c r="AR12" s="3574"/>
      <c r="AS12" s="3575"/>
      <c r="AT12" s="3957"/>
      <c r="AU12" s="3958"/>
      <c r="AV12" s="3959"/>
      <c r="AW12" s="1764"/>
      <c r="AX12" s="1735">
        <f t="shared" ref="AX12:BD12" si="11">(AX8-AX47)/2</f>
        <v>0</v>
      </c>
      <c r="AY12" s="1735">
        <f t="shared" si="11"/>
        <v>0</v>
      </c>
      <c r="AZ12" s="1735">
        <f t="shared" si="11"/>
        <v>0</v>
      </c>
      <c r="BA12" s="1735">
        <f t="shared" si="11"/>
        <v>0</v>
      </c>
      <c r="BB12" s="1735">
        <f t="shared" si="11"/>
        <v>0</v>
      </c>
      <c r="BC12" s="1735">
        <f t="shared" si="11"/>
        <v>0</v>
      </c>
      <c r="BD12" s="1735">
        <f t="shared" si="11"/>
        <v>0</v>
      </c>
      <c r="BE12" s="1764"/>
      <c r="BF12" s="1771">
        <f>SUM(AX12:BD12)</f>
        <v>0</v>
      </c>
      <c r="BG12" s="1815"/>
      <c r="BH12" s="1816"/>
      <c r="BI12" s="1764"/>
      <c r="BJ12" s="1735">
        <f>(BJ8-BJ47)/2</f>
        <v>0</v>
      </c>
      <c r="BK12" s="1735">
        <f t="shared" ref="BK12:BO12" si="12">(BK8-BK47)/2</f>
        <v>0</v>
      </c>
      <c r="BL12" s="1735">
        <f t="shared" si="12"/>
        <v>0</v>
      </c>
      <c r="BM12" s="1735">
        <f t="shared" si="12"/>
        <v>0</v>
      </c>
      <c r="BN12" s="1735">
        <f t="shared" si="12"/>
        <v>0</v>
      </c>
      <c r="BO12" s="1735">
        <f t="shared" si="12"/>
        <v>0</v>
      </c>
      <c r="BP12" s="1735">
        <f>(BP8-BP47)/2</f>
        <v>0</v>
      </c>
      <c r="BQ12" s="2289"/>
      <c r="BR12" s="1771">
        <f>SUM(BJ12:BP12)</f>
        <v>0</v>
      </c>
      <c r="BS12" s="1815"/>
      <c r="BT12" s="1816"/>
      <c r="BU12" s="2289"/>
      <c r="BV12" s="1735">
        <f>(BV8-BV47)/2</f>
        <v>0</v>
      </c>
      <c r="BW12" s="1735">
        <f t="shared" ref="BW12:CB12" si="13">(BW8-BW47)/2</f>
        <v>0</v>
      </c>
      <c r="BX12" s="1735">
        <f t="shared" si="13"/>
        <v>0</v>
      </c>
      <c r="BY12" s="1735">
        <f t="shared" si="13"/>
        <v>0</v>
      </c>
      <c r="BZ12" s="1735">
        <f t="shared" si="13"/>
        <v>0</v>
      </c>
      <c r="CA12" s="1735">
        <f t="shared" si="13"/>
        <v>0</v>
      </c>
      <c r="CB12" s="1735">
        <f t="shared" si="13"/>
        <v>0</v>
      </c>
      <c r="CC12" s="2289"/>
      <c r="CD12" s="1771">
        <f>SUM(BV12:CB12)</f>
        <v>0</v>
      </c>
      <c r="CE12" s="1815"/>
      <c r="CF12" s="1816"/>
      <c r="CG12" s="3398"/>
      <c r="CH12" s="1735">
        <f t="shared" ref="CH12:CI12" si="14">(CH8-CH47)/2</f>
        <v>0</v>
      </c>
      <c r="CI12" s="1735">
        <f t="shared" si="14"/>
        <v>0</v>
      </c>
      <c r="CJ12" s="3398"/>
      <c r="CK12" s="1771">
        <f>SUM(CH12:CI12)</f>
        <v>0</v>
      </c>
      <c r="CL12" s="1815"/>
      <c r="CM12" s="1816"/>
      <c r="CN12" s="1766"/>
      <c r="CO12" s="4614"/>
      <c r="CP12" s="4580"/>
      <c r="CQ12" s="1766"/>
      <c r="CR12" s="3738">
        <f>AN12</f>
        <v>43.290833333333325</v>
      </c>
      <c r="CS12" s="3741"/>
      <c r="CT12" s="1830"/>
      <c r="CU12" s="3456"/>
      <c r="CV12" s="3750">
        <f>AQ12</f>
        <v>43.290833333333325</v>
      </c>
      <c r="CW12" s="3751"/>
      <c r="CX12" s="3454"/>
      <c r="CY12" s="3454"/>
      <c r="CZ12" s="3454"/>
      <c r="DA12" s="3454"/>
      <c r="DB12" s="3454"/>
      <c r="DC12" s="3454"/>
      <c r="DD12" s="1817"/>
      <c r="DE12" s="4687"/>
      <c r="DF12" s="4687"/>
      <c r="DG12" s="1818"/>
      <c r="DH12" s="1774"/>
      <c r="DI12" s="1766"/>
      <c r="DJ12" s="1766"/>
      <c r="DK12" s="1819"/>
      <c r="DL12" s="1820"/>
      <c r="DM12" s="3907"/>
      <c r="DN12" s="3907"/>
      <c r="DO12" s="3907"/>
      <c r="DP12" s="3907"/>
      <c r="DQ12" s="1766"/>
      <c r="DR12" s="1766"/>
      <c r="DS12" s="1819"/>
      <c r="DT12" s="1820"/>
      <c r="DU12" s="1821"/>
      <c r="DV12" s="1821"/>
      <c r="DW12" s="1821"/>
      <c r="DX12" s="1821"/>
      <c r="DY12" s="1821"/>
      <c r="DZ12" s="1821"/>
      <c r="EA12" s="1821"/>
      <c r="EB12" s="1821"/>
      <c r="EC12" s="1821"/>
      <c r="ED12" s="1821"/>
      <c r="EE12" s="1821"/>
      <c r="EF12" s="1821"/>
      <c r="EG12" s="1821"/>
      <c r="EH12" s="1821"/>
      <c r="EI12" s="1821"/>
      <c r="EJ12" s="1821"/>
      <c r="EK12" s="1821"/>
      <c r="EL12" s="1821"/>
      <c r="EM12" s="1821"/>
      <c r="EN12" s="1821"/>
      <c r="EO12" s="1821"/>
      <c r="EP12" s="1821"/>
      <c r="EQ12" s="1821"/>
      <c r="ER12" s="1821"/>
      <c r="ES12" s="1821"/>
      <c r="ET12" s="1821"/>
      <c r="EU12" s="1821"/>
      <c r="EV12" s="1821"/>
      <c r="EW12" s="1821"/>
      <c r="EX12" s="1821"/>
      <c r="EY12" s="1821"/>
      <c r="EZ12" s="1821"/>
      <c r="FA12" s="1821"/>
      <c r="FB12" s="1821"/>
      <c r="FC12" s="1821"/>
      <c r="FD12" s="1821"/>
      <c r="FE12" s="1821"/>
      <c r="FF12" s="1821"/>
      <c r="FG12" s="1821"/>
      <c r="FH12" s="1821"/>
      <c r="FI12" s="1821"/>
      <c r="FJ12" s="1821"/>
      <c r="FK12" s="1821"/>
      <c r="FL12" s="1821"/>
      <c r="FM12" s="1821"/>
      <c r="FN12" s="1821"/>
      <c r="FO12" s="1821"/>
      <c r="FP12" s="1821"/>
      <c r="FQ12" s="1821"/>
      <c r="FR12" s="1821"/>
      <c r="FS12" s="1821"/>
      <c r="FT12" s="1821"/>
      <c r="FU12" s="1821"/>
      <c r="FV12" s="1821"/>
      <c r="FW12" s="1821"/>
      <c r="FX12" s="1821"/>
      <c r="FY12" s="1821"/>
      <c r="FZ12" s="1821"/>
      <c r="GA12" s="1821"/>
      <c r="GB12" s="1821"/>
      <c r="GC12" s="1821"/>
      <c r="GD12" s="1821"/>
      <c r="GE12" s="1821"/>
      <c r="GF12" s="1821"/>
      <c r="GG12" s="1821"/>
      <c r="GH12" s="1821"/>
      <c r="GI12" s="1821"/>
      <c r="GJ12" s="1821"/>
      <c r="GK12" s="1821"/>
      <c r="GL12" s="1821"/>
      <c r="GM12" s="1821"/>
      <c r="GN12" s="1821"/>
      <c r="GO12" s="1821"/>
      <c r="GP12" s="1821"/>
      <c r="GQ12" s="1821"/>
      <c r="GR12" s="1821"/>
      <c r="GS12" s="1821"/>
      <c r="GT12" s="1821"/>
      <c r="GU12" s="1821"/>
      <c r="GV12" s="1821"/>
      <c r="GW12" s="1821"/>
      <c r="GX12" s="1821"/>
      <c r="GY12" s="1821"/>
      <c r="GZ12" s="1821"/>
      <c r="HA12" s="1821"/>
    </row>
    <row r="13" spans="2:210" s="1777" customFormat="1" ht="17.25" customHeight="1" thickBot="1" x14ac:dyDescent="0.25">
      <c r="B13" s="4722"/>
      <c r="C13" s="4723"/>
      <c r="D13" s="1744"/>
      <c r="E13" s="4814"/>
      <c r="F13" s="4816"/>
      <c r="G13" s="4820"/>
      <c r="H13" s="1789"/>
      <c r="I13" s="4818"/>
      <c r="J13" s="4729"/>
      <c r="K13" s="4704"/>
      <c r="L13" s="2288"/>
      <c r="M13" s="4812">
        <f t="shared" ref="M13" si="15">CO56</f>
        <v>0</v>
      </c>
      <c r="N13" s="4740"/>
      <c r="O13" s="4711"/>
      <c r="P13" s="1782"/>
      <c r="Q13" s="1783"/>
      <c r="R13" s="1780">
        <f t="shared" ref="R13:AL13" si="16">R12</f>
        <v>43.290833333333325</v>
      </c>
      <c r="S13" s="1746">
        <f t="shared" ref="S13:T13" si="17">S12</f>
        <v>43.290833333333325</v>
      </c>
      <c r="T13" s="1746">
        <f t="shared" si="17"/>
        <v>0</v>
      </c>
      <c r="U13" s="2288"/>
      <c r="V13" s="1750">
        <f t="shared" si="16"/>
        <v>0</v>
      </c>
      <c r="W13" s="1750">
        <f t="shared" ref="W13" si="18">W12</f>
        <v>0</v>
      </c>
      <c r="X13" s="2288"/>
      <c r="Y13" s="1750">
        <f t="shared" si="16"/>
        <v>0</v>
      </c>
      <c r="Z13" s="1750">
        <f t="shared" ref="Z13" si="19">Z12</f>
        <v>0</v>
      </c>
      <c r="AA13" s="2288"/>
      <c r="AB13" s="1750">
        <f t="shared" si="16"/>
        <v>0</v>
      </c>
      <c r="AC13" s="1750">
        <f t="shared" ref="AC13" si="20">AC12</f>
        <v>0</v>
      </c>
      <c r="AD13" s="2288"/>
      <c r="AE13" s="1750">
        <f t="shared" si="16"/>
        <v>0</v>
      </c>
      <c r="AF13" s="1750">
        <f t="shared" ref="AF13" si="21">AF12</f>
        <v>0</v>
      </c>
      <c r="AG13" s="2288"/>
      <c r="AH13" s="1750">
        <f t="shared" si="16"/>
        <v>0</v>
      </c>
      <c r="AI13" s="1750">
        <f t="shared" ref="AI13" si="22">AI12</f>
        <v>0</v>
      </c>
      <c r="AJ13" s="2288"/>
      <c r="AK13" s="1750">
        <f t="shared" ref="AK13" si="23">AK12</f>
        <v>0</v>
      </c>
      <c r="AL13" s="1750">
        <f t="shared" si="16"/>
        <v>0</v>
      </c>
      <c r="AM13" s="1801"/>
      <c r="AN13" s="3692">
        <f>R13+V13+Y13+AB13+AE13+AH13+AK13</f>
        <v>43.290833333333325</v>
      </c>
      <c r="AO13" s="3707"/>
      <c r="AP13" s="3708"/>
      <c r="AQ13" s="3562">
        <f>S13+W13+Z13+AC13+AF13+AI13+AL13</f>
        <v>43.290833333333325</v>
      </c>
      <c r="AR13" s="3576"/>
      <c r="AS13" s="3577"/>
      <c r="AT13" s="3960"/>
      <c r="AU13" s="3961"/>
      <c r="AV13" s="3962"/>
      <c r="AW13" s="1788"/>
      <c r="AX13" s="1750">
        <f t="shared" ref="AX13:BD13" si="24">AX12</f>
        <v>0</v>
      </c>
      <c r="AY13" s="1750">
        <f t="shared" si="24"/>
        <v>0</v>
      </c>
      <c r="AZ13" s="1750">
        <f t="shared" si="24"/>
        <v>0</v>
      </c>
      <c r="BA13" s="1750">
        <f t="shared" si="24"/>
        <v>0</v>
      </c>
      <c r="BB13" s="1750">
        <f t="shared" si="24"/>
        <v>0</v>
      </c>
      <c r="BC13" s="1750">
        <f t="shared" si="24"/>
        <v>0</v>
      </c>
      <c r="BD13" s="1750">
        <f t="shared" si="24"/>
        <v>0</v>
      </c>
      <c r="BE13" s="1788"/>
      <c r="BF13" s="1785">
        <f>SUM(AX13:BD13)</f>
        <v>0</v>
      </c>
      <c r="BG13" s="1825"/>
      <c r="BH13" s="1826"/>
      <c r="BI13" s="1788"/>
      <c r="BJ13" s="1750">
        <f t="shared" ref="BJ13:BP13" si="25">BJ12</f>
        <v>0</v>
      </c>
      <c r="BK13" s="1750">
        <f t="shared" si="25"/>
        <v>0</v>
      </c>
      <c r="BL13" s="1750">
        <f t="shared" si="25"/>
        <v>0</v>
      </c>
      <c r="BM13" s="1750">
        <f t="shared" si="25"/>
        <v>0</v>
      </c>
      <c r="BN13" s="1750">
        <f t="shared" si="25"/>
        <v>0</v>
      </c>
      <c r="BO13" s="1750">
        <f t="shared" si="25"/>
        <v>0</v>
      </c>
      <c r="BP13" s="1750">
        <f t="shared" si="25"/>
        <v>0</v>
      </c>
      <c r="BQ13" s="2290"/>
      <c r="BR13" s="1785">
        <f>SUM(BJ13:BP13)</f>
        <v>0</v>
      </c>
      <c r="BS13" s="1825"/>
      <c r="BT13" s="1826"/>
      <c r="BU13" s="2290"/>
      <c r="BV13" s="1750">
        <f t="shared" ref="BV13:CB13" si="26">BV12</f>
        <v>0</v>
      </c>
      <c r="BW13" s="1750">
        <f t="shared" si="26"/>
        <v>0</v>
      </c>
      <c r="BX13" s="1750">
        <f t="shared" si="26"/>
        <v>0</v>
      </c>
      <c r="BY13" s="1750">
        <f t="shared" si="26"/>
        <v>0</v>
      </c>
      <c r="BZ13" s="1750">
        <f t="shared" si="26"/>
        <v>0</v>
      </c>
      <c r="CA13" s="1750">
        <f t="shared" si="26"/>
        <v>0</v>
      </c>
      <c r="CB13" s="1750">
        <f t="shared" si="26"/>
        <v>0</v>
      </c>
      <c r="CC13" s="2290"/>
      <c r="CD13" s="1785">
        <f>SUM(BV13:CB13)</f>
        <v>0</v>
      </c>
      <c r="CE13" s="1825"/>
      <c r="CF13" s="1826"/>
      <c r="CG13" s="1801"/>
      <c r="CH13" s="1750">
        <f t="shared" ref="CH13:CI13" si="27">CH12</f>
        <v>0</v>
      </c>
      <c r="CI13" s="1750">
        <f t="shared" si="27"/>
        <v>0</v>
      </c>
      <c r="CJ13" s="1801"/>
      <c r="CK13" s="1785">
        <f>SUM(CH13:CI13)</f>
        <v>0</v>
      </c>
      <c r="CL13" s="1825"/>
      <c r="CM13" s="1826"/>
      <c r="CN13" s="1792"/>
      <c r="CO13" s="4614"/>
      <c r="CP13" s="4580"/>
      <c r="CQ13" s="1792"/>
      <c r="CR13" s="3692"/>
      <c r="CS13" s="3704"/>
      <c r="CT13" s="1802"/>
      <c r="CU13" s="3457"/>
      <c r="CV13" s="3752"/>
      <c r="CW13" s="3753"/>
      <c r="CX13" s="3455"/>
      <c r="CY13" s="3455"/>
      <c r="CZ13" s="3455"/>
      <c r="DA13" s="3455"/>
      <c r="DB13" s="3455"/>
      <c r="DC13" s="3455"/>
      <c r="DD13" s="1795"/>
      <c r="DE13" s="4687"/>
      <c r="DF13" s="4687"/>
      <c r="DG13" s="1805"/>
      <c r="DH13" s="1797"/>
      <c r="DI13" s="1791"/>
      <c r="DJ13" s="1791"/>
      <c r="DK13" s="1807"/>
      <c r="DL13" s="1798"/>
      <c r="DM13" s="1791"/>
      <c r="DN13" s="1791"/>
      <c r="DO13" s="1791"/>
      <c r="DP13" s="1791"/>
      <c r="DQ13" s="1791"/>
      <c r="DR13" s="1791"/>
      <c r="DS13" s="1807"/>
      <c r="DT13" s="1798"/>
      <c r="DU13" s="1799"/>
      <c r="DV13" s="1799"/>
      <c r="DW13" s="1799"/>
      <c r="DX13" s="1799"/>
      <c r="DY13" s="1799"/>
      <c r="DZ13" s="1799"/>
      <c r="EA13" s="1799"/>
      <c r="EB13" s="1799"/>
      <c r="EC13" s="1799"/>
      <c r="ED13" s="1799"/>
      <c r="EE13" s="1799"/>
      <c r="EF13" s="1799"/>
      <c r="EG13" s="1799"/>
      <c r="EH13" s="1799"/>
      <c r="EI13" s="1799"/>
      <c r="EJ13" s="1799"/>
      <c r="EK13" s="1799"/>
      <c r="EL13" s="1799"/>
      <c r="EM13" s="1799"/>
      <c r="EN13" s="1799"/>
      <c r="EO13" s="1799"/>
      <c r="EP13" s="1799"/>
      <c r="EQ13" s="1799"/>
      <c r="ER13" s="1799"/>
      <c r="ES13" s="1799"/>
      <c r="ET13" s="1799"/>
      <c r="EU13" s="1799"/>
      <c r="EV13" s="1799"/>
      <c r="EW13" s="1799"/>
      <c r="EX13" s="1799"/>
      <c r="EY13" s="1799"/>
      <c r="EZ13" s="1799"/>
      <c r="FA13" s="1799"/>
      <c r="FB13" s="1799"/>
      <c r="FC13" s="1799"/>
      <c r="FD13" s="1799"/>
      <c r="FE13" s="1799"/>
      <c r="FF13" s="1799"/>
      <c r="FG13" s="1799"/>
      <c r="FH13" s="1799"/>
      <c r="FI13" s="1799"/>
      <c r="FJ13" s="1799"/>
      <c r="FK13" s="1799"/>
      <c r="FL13" s="1799"/>
      <c r="FM13" s="1799"/>
      <c r="FN13" s="1799"/>
      <c r="FO13" s="1799"/>
      <c r="FP13" s="1799"/>
      <c r="FQ13" s="1799"/>
      <c r="FR13" s="1799"/>
      <c r="FS13" s="1799"/>
      <c r="FT13" s="1799"/>
      <c r="FU13" s="1799"/>
      <c r="FV13" s="1799"/>
      <c r="FW13" s="1799"/>
      <c r="FX13" s="1799"/>
      <c r="FY13" s="1799"/>
      <c r="FZ13" s="1799"/>
      <c r="GA13" s="1799"/>
      <c r="GB13" s="1799"/>
      <c r="GC13" s="1799"/>
      <c r="GD13" s="1799"/>
      <c r="GE13" s="1799"/>
      <c r="GF13" s="1799"/>
      <c r="GG13" s="1799"/>
      <c r="GH13" s="1799"/>
      <c r="GI13" s="1799"/>
      <c r="GJ13" s="1799"/>
      <c r="GK13" s="1799"/>
      <c r="GL13" s="1799"/>
      <c r="GM13" s="1799"/>
      <c r="GN13" s="1799"/>
      <c r="GO13" s="1799"/>
      <c r="GP13" s="1799"/>
      <c r="GQ13" s="1799"/>
      <c r="GR13" s="1799"/>
      <c r="GS13" s="1799"/>
      <c r="GT13" s="1799"/>
      <c r="GU13" s="1799"/>
      <c r="GV13" s="1799"/>
      <c r="GW13" s="1799"/>
      <c r="GX13" s="1799"/>
      <c r="GY13" s="1799"/>
      <c r="GZ13" s="1799"/>
      <c r="HA13" s="1799"/>
    </row>
    <row r="14" spans="2:210" s="3400" customFormat="1" ht="4.5" customHeight="1" thickBot="1" x14ac:dyDescent="0.25">
      <c r="E14" s="1791"/>
      <c r="F14" s="1791"/>
      <c r="G14" s="1791"/>
      <c r="H14" s="1791"/>
      <c r="I14" s="1791"/>
      <c r="J14" s="1791"/>
      <c r="K14" s="1791"/>
      <c r="L14" s="1791"/>
      <c r="M14" s="1783"/>
      <c r="N14" s="1783"/>
      <c r="O14" s="1783"/>
      <c r="P14" s="1782"/>
      <c r="Q14" s="1783"/>
      <c r="R14" s="1803"/>
      <c r="S14" s="1803"/>
      <c r="T14" s="1803"/>
      <c r="U14" s="1801"/>
      <c r="V14" s="1803"/>
      <c r="W14" s="1803"/>
      <c r="X14" s="1801"/>
      <c r="Y14" s="1803"/>
      <c r="Z14" s="1803"/>
      <c r="AA14" s="1801"/>
      <c r="AB14" s="1803"/>
      <c r="AC14" s="1803"/>
      <c r="AD14" s="1801"/>
      <c r="AE14" s="1803"/>
      <c r="AF14" s="1803"/>
      <c r="AG14" s="1801"/>
      <c r="AH14" s="1803"/>
      <c r="AI14" s="1803"/>
      <c r="AJ14" s="1801"/>
      <c r="AK14" s="1803"/>
      <c r="AL14" s="1803"/>
      <c r="AM14" s="1801"/>
      <c r="AN14" s="1801"/>
      <c r="AO14" s="1801"/>
      <c r="AP14" s="1801"/>
      <c r="AQ14" s="1801"/>
      <c r="AR14" s="1801"/>
      <c r="AS14" s="1801"/>
      <c r="AT14" s="1801"/>
      <c r="AU14" s="1801"/>
      <c r="AV14" s="1801"/>
      <c r="AW14" s="1791"/>
      <c r="AX14" s="1803"/>
      <c r="AY14" s="1803"/>
      <c r="AZ14" s="1803"/>
      <c r="BA14" s="1803"/>
      <c r="BB14" s="1803"/>
      <c r="BC14" s="1803"/>
      <c r="BD14" s="1803"/>
      <c r="BE14" s="1791"/>
      <c r="BF14" s="1801"/>
      <c r="BG14" s="1801"/>
      <c r="BH14" s="1801"/>
      <c r="BI14" s="1791"/>
      <c r="BJ14" s="1803"/>
      <c r="BK14" s="1803"/>
      <c r="BL14" s="1803"/>
      <c r="BM14" s="1803"/>
      <c r="BN14" s="1803"/>
      <c r="BO14" s="1803"/>
      <c r="BP14" s="1803"/>
      <c r="BQ14" s="1801"/>
      <c r="BR14" s="1801"/>
      <c r="BS14" s="1801"/>
      <c r="BT14" s="1801"/>
      <c r="BU14" s="1801"/>
      <c r="BV14" s="1803"/>
      <c r="BW14" s="1803"/>
      <c r="BX14" s="1803"/>
      <c r="BY14" s="1803"/>
      <c r="BZ14" s="1803"/>
      <c r="CA14" s="1803"/>
      <c r="CB14" s="1803"/>
      <c r="CC14" s="1801"/>
      <c r="CD14" s="1801"/>
      <c r="CE14" s="1801"/>
      <c r="CF14" s="1801"/>
      <c r="CG14" s="1801"/>
      <c r="CH14" s="1803"/>
      <c r="CI14" s="1803"/>
      <c r="CJ14" s="1801"/>
      <c r="CK14" s="1801"/>
      <c r="CL14" s="1801"/>
      <c r="CM14" s="1801"/>
      <c r="CN14" s="1791"/>
      <c r="CO14" s="4614"/>
      <c r="CP14" s="4580"/>
      <c r="CQ14" s="1791"/>
      <c r="CR14" s="1801"/>
      <c r="CS14" s="1802"/>
      <c r="CT14" s="1802"/>
      <c r="CU14" s="1805"/>
      <c r="CV14" s="1805"/>
      <c r="CW14" s="1805"/>
      <c r="CX14" s="1805"/>
      <c r="CY14" s="1805"/>
      <c r="CZ14" s="1805"/>
      <c r="DA14" s="1805"/>
      <c r="DB14" s="1805"/>
      <c r="DC14" s="1805"/>
      <c r="DD14" s="1806"/>
      <c r="DE14" s="1801"/>
      <c r="DF14" s="1805"/>
      <c r="DG14" s="1805"/>
      <c r="DH14" s="1797"/>
      <c r="DI14" s="1791"/>
      <c r="DJ14" s="1791"/>
      <c r="DK14" s="1807"/>
      <c r="DL14" s="1808"/>
      <c r="DM14" s="1791"/>
      <c r="DN14" s="1791"/>
      <c r="DO14" s="1791"/>
      <c r="DP14" s="1791"/>
      <c r="DQ14" s="1791"/>
      <c r="DR14" s="1791"/>
      <c r="DS14" s="1807"/>
      <c r="DT14" s="1808"/>
      <c r="DU14" s="1809"/>
      <c r="DV14" s="1809"/>
      <c r="DW14" s="1809"/>
      <c r="DX14" s="1809"/>
      <c r="DY14" s="1809"/>
      <c r="DZ14" s="1809"/>
      <c r="EA14" s="1809"/>
      <c r="EB14" s="1809"/>
      <c r="EC14" s="1809"/>
      <c r="ED14" s="1809"/>
      <c r="EE14" s="1809"/>
      <c r="EF14" s="1809"/>
      <c r="EG14" s="1809"/>
      <c r="EH14" s="1809"/>
      <c r="EI14" s="1809"/>
      <c r="EJ14" s="1809"/>
      <c r="EK14" s="1809"/>
      <c r="EL14" s="1809"/>
      <c r="EM14" s="1809"/>
      <c r="EN14" s="1809"/>
      <c r="EO14" s="1809"/>
      <c r="EP14" s="1809"/>
      <c r="EQ14" s="1809"/>
      <c r="ER14" s="1809"/>
      <c r="ES14" s="1809"/>
      <c r="ET14" s="1809"/>
      <c r="EU14" s="1809"/>
      <c r="EV14" s="1809"/>
      <c r="EW14" s="1809"/>
      <c r="EX14" s="1809"/>
      <c r="EY14" s="1809"/>
      <c r="EZ14" s="1809"/>
      <c r="FA14" s="1809"/>
      <c r="FB14" s="1809"/>
      <c r="FC14" s="1809"/>
      <c r="FD14" s="1809"/>
      <c r="FE14" s="1809"/>
      <c r="FF14" s="1809"/>
      <c r="FG14" s="1809"/>
      <c r="FH14" s="1809"/>
      <c r="FI14" s="1809"/>
      <c r="FJ14" s="1809"/>
      <c r="FK14" s="1809"/>
      <c r="FL14" s="1809"/>
      <c r="FM14" s="1809"/>
      <c r="FN14" s="1809"/>
      <c r="FO14" s="1809"/>
      <c r="FP14" s="1809"/>
      <c r="FQ14" s="1809"/>
      <c r="FR14" s="1809"/>
      <c r="FS14" s="1809"/>
      <c r="FT14" s="1809"/>
      <c r="FU14" s="1809"/>
      <c r="FV14" s="1809"/>
      <c r="FW14" s="1809"/>
      <c r="FX14" s="1809"/>
      <c r="FY14" s="1809"/>
      <c r="FZ14" s="1809"/>
      <c r="GA14" s="1809"/>
      <c r="GB14" s="1809"/>
      <c r="GC14" s="1809"/>
      <c r="GD14" s="1809"/>
      <c r="GE14" s="1809"/>
      <c r="GF14" s="1809"/>
      <c r="GG14" s="1809"/>
      <c r="GH14" s="1809"/>
      <c r="GI14" s="1809"/>
      <c r="GJ14" s="1809"/>
      <c r="GK14" s="1809"/>
      <c r="GL14" s="1809"/>
      <c r="GM14" s="1809"/>
      <c r="GN14" s="1809"/>
      <c r="GO14" s="1809"/>
      <c r="GP14" s="1809"/>
      <c r="GQ14" s="1809"/>
      <c r="GR14" s="1809"/>
      <c r="GS14" s="1809"/>
      <c r="GT14" s="1809"/>
      <c r="GU14" s="1809"/>
      <c r="GV14" s="1809"/>
      <c r="GW14" s="1809"/>
      <c r="GX14" s="1809"/>
      <c r="GY14" s="1809"/>
      <c r="GZ14" s="1809"/>
      <c r="HA14" s="1809"/>
    </row>
    <row r="15" spans="2:210" s="1756" customFormat="1" ht="15" customHeight="1" x14ac:dyDescent="0.2">
      <c r="C15" s="1810"/>
      <c r="D15" s="1810"/>
      <c r="H15" s="1810"/>
      <c r="L15" s="1810"/>
      <c r="M15" s="1810"/>
      <c r="N15" s="1810"/>
      <c r="O15" s="1810"/>
      <c r="P15" s="1827"/>
      <c r="Q15" s="1810"/>
      <c r="R15" s="1759" t="str">
        <f>TEXT(R16,"DDDD")</f>
        <v>الإثنين</v>
      </c>
      <c r="S15" s="1728" t="str">
        <f>TEXT(S16,"DDDD")</f>
        <v>الإثنين</v>
      </c>
      <c r="T15" s="3920" t="str">
        <f>TEXT(T16,"DDDD")</f>
        <v>الإثنين</v>
      </c>
      <c r="U15" s="2287"/>
      <c r="V15" s="1735" t="str">
        <f t="shared" ref="V15:AL15" si="28">TEXT(V16,"DDDD")</f>
        <v>الثلاثاء</v>
      </c>
      <c r="W15" s="1735" t="str">
        <f t="shared" si="28"/>
        <v>الثلاثاء</v>
      </c>
      <c r="X15" s="2287"/>
      <c r="Y15" s="1735" t="str">
        <f t="shared" si="28"/>
        <v>الأربعاء</v>
      </c>
      <c r="Z15" s="1735" t="str">
        <f t="shared" si="28"/>
        <v>الأربعاء</v>
      </c>
      <c r="AA15" s="2287"/>
      <c r="AB15" s="1735" t="str">
        <f t="shared" si="28"/>
        <v>الخميس</v>
      </c>
      <c r="AC15" s="1735" t="str">
        <f t="shared" si="28"/>
        <v>الخميس</v>
      </c>
      <c r="AD15" s="2287"/>
      <c r="AE15" s="1728" t="str">
        <f t="shared" si="28"/>
        <v>الجمعة</v>
      </c>
      <c r="AF15" s="1728" t="str">
        <f t="shared" si="28"/>
        <v>الجمعة</v>
      </c>
      <c r="AG15" s="2287"/>
      <c r="AH15" s="1735" t="str">
        <f t="shared" si="28"/>
        <v>السبت</v>
      </c>
      <c r="AI15" s="1735" t="str">
        <f t="shared" si="28"/>
        <v>السبت</v>
      </c>
      <c r="AJ15" s="2287"/>
      <c r="AK15" s="1735" t="str">
        <f t="shared" si="28"/>
        <v>الأحد</v>
      </c>
      <c r="AL15" s="1735" t="str">
        <f t="shared" si="28"/>
        <v>الأحد</v>
      </c>
      <c r="AM15" s="3398"/>
      <c r="AN15" s="3695"/>
      <c r="AO15" s="3705"/>
      <c r="AP15" s="3706"/>
      <c r="AQ15" s="3565"/>
      <c r="AR15" s="3574"/>
      <c r="AS15" s="3575"/>
      <c r="AT15" s="3957"/>
      <c r="AU15" s="3958"/>
      <c r="AV15" s="3959"/>
      <c r="AW15" s="1764"/>
      <c r="AX15" s="1735" t="str">
        <f>TEXT(AX16,"DDDD")</f>
        <v>الإثنين</v>
      </c>
      <c r="AY15" s="1735" t="str">
        <f t="shared" ref="AY15:BD15" si="29">TEXT(AY16,"DDDD")</f>
        <v>الثلاثاء</v>
      </c>
      <c r="AZ15" s="1735" t="str">
        <f t="shared" si="29"/>
        <v>الأربعاء</v>
      </c>
      <c r="BA15" s="1735" t="str">
        <f t="shared" si="29"/>
        <v>الخميس</v>
      </c>
      <c r="BB15" s="1728" t="str">
        <f t="shared" si="29"/>
        <v>الجمعة</v>
      </c>
      <c r="BC15" s="1735" t="str">
        <f t="shared" si="29"/>
        <v>السبت</v>
      </c>
      <c r="BD15" s="1735" t="str">
        <f t="shared" si="29"/>
        <v>الأحد</v>
      </c>
      <c r="BE15" s="1764"/>
      <c r="BF15" s="1771"/>
      <c r="BG15" s="1815"/>
      <c r="BH15" s="1829"/>
      <c r="BI15" s="1764"/>
      <c r="BJ15" s="1735" t="str">
        <f>TEXT(BJ16,"DDDD")</f>
        <v>الإثنين</v>
      </c>
      <c r="BK15" s="1735" t="str">
        <f t="shared" ref="BK15:BP15" si="30">TEXT(BK16,"DDDD")</f>
        <v>الثلاثاء</v>
      </c>
      <c r="BL15" s="1735" t="str">
        <f t="shared" si="30"/>
        <v>الأربعاء</v>
      </c>
      <c r="BM15" s="1735" t="str">
        <f t="shared" si="30"/>
        <v>الخميس</v>
      </c>
      <c r="BN15" s="1728" t="str">
        <f t="shared" si="30"/>
        <v>الجمعة</v>
      </c>
      <c r="BO15" s="1735" t="str">
        <f t="shared" si="30"/>
        <v>السبت</v>
      </c>
      <c r="BP15" s="1735" t="str">
        <f t="shared" si="30"/>
        <v>الأحد</v>
      </c>
      <c r="BQ15" s="2289"/>
      <c r="BR15" s="1771"/>
      <c r="BS15" s="1815"/>
      <c r="BT15" s="1816"/>
      <c r="BU15" s="2289"/>
      <c r="BV15" s="1735" t="str">
        <f>TEXT(BV16,"DDDD")</f>
        <v>الإثنين</v>
      </c>
      <c r="BW15" s="1735" t="str">
        <f t="shared" ref="BW15:CB15" si="31">TEXT(BW16,"DDDD")</f>
        <v>الثلاثاء</v>
      </c>
      <c r="BX15" s="1735" t="str">
        <f t="shared" si="31"/>
        <v>الأربعاء</v>
      </c>
      <c r="BY15" s="1735" t="str">
        <f t="shared" si="31"/>
        <v>الخميس</v>
      </c>
      <c r="BZ15" s="1728" t="str">
        <f t="shared" si="31"/>
        <v>الجمعة</v>
      </c>
      <c r="CA15" s="1735" t="str">
        <f t="shared" si="31"/>
        <v>السبت</v>
      </c>
      <c r="CB15" s="1735" t="str">
        <f t="shared" si="31"/>
        <v>الأحد</v>
      </c>
      <c r="CC15" s="2289"/>
      <c r="CD15" s="1771"/>
      <c r="CE15" s="1815"/>
      <c r="CF15" s="1816"/>
      <c r="CG15" s="3398"/>
      <c r="CH15" s="1735" t="str">
        <f>TEXT(CH16,"DDDD")</f>
        <v>الإثنين</v>
      </c>
      <c r="CI15" s="1735" t="str">
        <f t="shared" ref="CI15" si="32">TEXT(CI16,"DDDD")</f>
        <v>الثلاثاء</v>
      </c>
      <c r="CJ15" s="3398"/>
      <c r="CK15" s="1771"/>
      <c r="CL15" s="1815"/>
      <c r="CM15" s="1816"/>
      <c r="CO15" s="4614"/>
      <c r="CP15" s="4580"/>
      <c r="CR15" s="3739">
        <f>CS6-CR1</f>
        <v>2.7906614451553291E-2</v>
      </c>
      <c r="CS15" s="4769" t="s">
        <v>287</v>
      </c>
      <c r="CT15" s="4770"/>
      <c r="CU15" s="4770"/>
      <c r="CV15" s="3594">
        <f>CW6-CV1</f>
        <v>2.7906614451553291E-2</v>
      </c>
      <c r="CW15" s="4769" t="s">
        <v>287</v>
      </c>
      <c r="CX15" s="4770"/>
      <c r="CY15" s="4770"/>
      <c r="CZ15" s="3907"/>
      <c r="DA15" s="3907"/>
      <c r="DB15" s="3907"/>
      <c r="DC15" s="3907"/>
      <c r="DD15" s="1818"/>
      <c r="DE15" s="1818"/>
      <c r="DF15" s="3380"/>
      <c r="DG15" s="4607"/>
      <c r="DH15" s="4608"/>
      <c r="DI15" s="1831"/>
      <c r="DJ15" s="1832"/>
      <c r="DK15" s="1832" t="s">
        <v>252</v>
      </c>
      <c r="DL15" s="1833"/>
      <c r="DM15" s="1833"/>
      <c r="DN15" s="1833"/>
      <c r="DO15" s="1833"/>
      <c r="DP15" s="1833"/>
      <c r="DQ15" s="1776"/>
      <c r="DR15" s="1776"/>
      <c r="DS15" s="1776"/>
      <c r="DT15" s="1834"/>
      <c r="DU15" s="1776"/>
      <c r="DV15" s="1776"/>
      <c r="DW15" s="1776"/>
      <c r="DX15" s="1776"/>
      <c r="DY15" s="1776"/>
      <c r="DZ15" s="1776"/>
      <c r="EA15" s="1776"/>
      <c r="EB15" s="1776"/>
      <c r="EC15" s="1776"/>
      <c r="ED15" s="1776"/>
      <c r="EE15" s="1776"/>
      <c r="EF15" s="1776"/>
      <c r="EG15" s="1776"/>
      <c r="EH15" s="1776"/>
      <c r="EI15" s="1776"/>
      <c r="EJ15" s="1776"/>
      <c r="EK15" s="1776"/>
      <c r="EL15" s="1776"/>
      <c r="EM15" s="1776"/>
      <c r="EN15" s="1776"/>
      <c r="EO15" s="1776"/>
      <c r="EP15" s="1776"/>
      <c r="EQ15" s="1776"/>
      <c r="ER15" s="1776"/>
      <c r="ES15" s="1776"/>
      <c r="ET15" s="1776"/>
      <c r="EU15" s="1776"/>
      <c r="EV15" s="1776"/>
      <c r="EW15" s="1776"/>
      <c r="EX15" s="1776"/>
      <c r="EY15" s="1776"/>
      <c r="EZ15" s="1776"/>
      <c r="FA15" s="1776"/>
      <c r="FB15" s="1776"/>
      <c r="FC15" s="1776"/>
      <c r="FD15" s="1776"/>
      <c r="FE15" s="1776"/>
      <c r="FF15" s="1776"/>
      <c r="FG15" s="1776"/>
      <c r="FH15" s="1776"/>
      <c r="FI15" s="1776"/>
      <c r="FJ15" s="1776"/>
      <c r="FK15" s="1776"/>
      <c r="FL15" s="1776"/>
      <c r="FM15" s="1776"/>
      <c r="FN15" s="1776"/>
      <c r="FO15" s="1776"/>
      <c r="FP15" s="1776"/>
      <c r="FQ15" s="1776"/>
      <c r="FR15" s="1776"/>
      <c r="FS15" s="1776"/>
      <c r="FT15" s="1776"/>
      <c r="FU15" s="1776"/>
      <c r="FV15" s="1776"/>
      <c r="FW15" s="1776"/>
      <c r="FX15" s="1776"/>
      <c r="FY15" s="1776"/>
      <c r="FZ15" s="1776"/>
      <c r="GA15" s="1776"/>
      <c r="GB15" s="1776"/>
      <c r="GC15" s="1776"/>
      <c r="GD15" s="1776"/>
      <c r="GE15" s="1776"/>
      <c r="GF15" s="1776"/>
      <c r="GG15" s="1776"/>
      <c r="GH15" s="1776"/>
      <c r="GI15" s="1776"/>
      <c r="GJ15" s="1776"/>
      <c r="GK15" s="1776"/>
      <c r="GL15" s="1776"/>
      <c r="GM15" s="1776"/>
      <c r="GN15" s="1776"/>
      <c r="GO15" s="1776"/>
      <c r="GP15" s="1776"/>
      <c r="GQ15" s="1776"/>
      <c r="GR15" s="1776"/>
      <c r="GS15" s="1776"/>
      <c r="GT15" s="1776"/>
      <c r="GU15" s="1776"/>
      <c r="GV15" s="1776"/>
      <c r="GW15" s="1776"/>
      <c r="GX15" s="1776"/>
      <c r="GY15" s="1776"/>
      <c r="GZ15" s="1776"/>
      <c r="HA15" s="1776"/>
      <c r="HB15" s="1776"/>
    </row>
    <row r="16" spans="2:210" s="1777" customFormat="1" ht="18.75" thickBot="1" x14ac:dyDescent="0.25">
      <c r="B16" s="4807" t="s">
        <v>0</v>
      </c>
      <c r="C16" s="4803" t="s">
        <v>1</v>
      </c>
      <c r="D16" s="3400"/>
      <c r="E16" s="4803" t="s">
        <v>24</v>
      </c>
      <c r="F16" s="4809" t="s">
        <v>24</v>
      </c>
      <c r="G16" s="4705"/>
      <c r="H16" s="3400"/>
      <c r="I16" s="4803" t="s">
        <v>107</v>
      </c>
      <c r="J16" s="4809" t="s">
        <v>107</v>
      </c>
      <c r="K16" s="4705"/>
      <c r="L16" s="3400"/>
      <c r="M16" s="4803" t="s">
        <v>2</v>
      </c>
      <c r="N16" s="4809" t="s">
        <v>2</v>
      </c>
      <c r="O16" s="4705"/>
      <c r="P16" s="1842"/>
      <c r="Q16" s="3400"/>
      <c r="R16" s="3553">
        <v>43983</v>
      </c>
      <c r="S16" s="3548">
        <v>43983</v>
      </c>
      <c r="T16" s="3922">
        <v>43983</v>
      </c>
      <c r="U16" s="3329"/>
      <c r="V16" s="3130">
        <v>43984</v>
      </c>
      <c r="W16" s="3130">
        <v>43984</v>
      </c>
      <c r="X16" s="3329"/>
      <c r="Y16" s="3130">
        <v>43985</v>
      </c>
      <c r="Z16" s="3130">
        <v>43985</v>
      </c>
      <c r="AA16" s="3329"/>
      <c r="AB16" s="3130">
        <v>43986</v>
      </c>
      <c r="AC16" s="3130">
        <v>43986</v>
      </c>
      <c r="AD16" s="3329"/>
      <c r="AE16" s="3130">
        <v>43987</v>
      </c>
      <c r="AF16" s="3130">
        <v>43987</v>
      </c>
      <c r="AG16" s="3329"/>
      <c r="AH16" s="3130">
        <v>43988</v>
      </c>
      <c r="AI16" s="3130">
        <v>43988</v>
      </c>
      <c r="AJ16" s="3329"/>
      <c r="AK16" s="3130">
        <v>43989</v>
      </c>
      <c r="AL16" s="3130">
        <v>43989</v>
      </c>
      <c r="AM16" s="1843"/>
      <c r="AN16" s="3709"/>
      <c r="AO16" s="3710"/>
      <c r="AP16" s="3711"/>
      <c r="AQ16" s="3578"/>
      <c r="AR16" s="3579"/>
      <c r="AS16" s="3580"/>
      <c r="AT16" s="3963"/>
      <c r="AU16" s="3964"/>
      <c r="AV16" s="3965"/>
      <c r="AW16" s="1847"/>
      <c r="AX16" s="3130">
        <v>43990</v>
      </c>
      <c r="AY16" s="3130">
        <v>43991</v>
      </c>
      <c r="AZ16" s="3130">
        <v>43992</v>
      </c>
      <c r="BA16" s="3130">
        <v>43993</v>
      </c>
      <c r="BB16" s="3130">
        <v>43994</v>
      </c>
      <c r="BC16" s="3130">
        <v>43995</v>
      </c>
      <c r="BD16" s="3130">
        <v>43996</v>
      </c>
      <c r="BE16" s="1744"/>
      <c r="BF16" s="1844"/>
      <c r="BG16" s="1845"/>
      <c r="BH16" s="1846"/>
      <c r="BI16" s="1744"/>
      <c r="BJ16" s="3130">
        <v>43997</v>
      </c>
      <c r="BK16" s="3130">
        <v>43998</v>
      </c>
      <c r="BL16" s="3130">
        <v>43999</v>
      </c>
      <c r="BM16" s="3130">
        <v>44000</v>
      </c>
      <c r="BN16" s="3130">
        <v>44001</v>
      </c>
      <c r="BO16" s="3130">
        <v>44002</v>
      </c>
      <c r="BP16" s="3130">
        <v>44003</v>
      </c>
      <c r="BQ16" s="2291"/>
      <c r="BR16" s="1844"/>
      <c r="BS16" s="1845"/>
      <c r="BT16" s="1846"/>
      <c r="BU16" s="2291"/>
      <c r="BV16" s="3130">
        <v>44004</v>
      </c>
      <c r="BW16" s="3130">
        <v>44005</v>
      </c>
      <c r="BX16" s="3130">
        <v>44006</v>
      </c>
      <c r="BY16" s="3130">
        <v>44007</v>
      </c>
      <c r="BZ16" s="3130">
        <v>44008</v>
      </c>
      <c r="CA16" s="3130">
        <v>44009</v>
      </c>
      <c r="CB16" s="3130">
        <v>44010</v>
      </c>
      <c r="CC16" s="2291"/>
      <c r="CD16" s="1844"/>
      <c r="CE16" s="1845"/>
      <c r="CF16" s="1846"/>
      <c r="CG16" s="1806"/>
      <c r="CH16" s="3130">
        <v>44011</v>
      </c>
      <c r="CI16" s="3130">
        <v>44012</v>
      </c>
      <c r="CJ16" s="1806"/>
      <c r="CK16" s="1844"/>
      <c r="CL16" s="1845"/>
      <c r="CM16" s="1846"/>
      <c r="CO16" s="4615"/>
      <c r="CP16" s="4581"/>
      <c r="CR16" s="3740">
        <f>CS8-CR1</f>
        <v>2.7906614451553298E-2</v>
      </c>
      <c r="CS16" s="4769"/>
      <c r="CT16" s="4770"/>
      <c r="CU16" s="4770"/>
      <c r="CV16" s="3595">
        <f>CW8-CV1</f>
        <v>2.7906614451553298E-2</v>
      </c>
      <c r="CW16" s="4769"/>
      <c r="CX16" s="4770"/>
      <c r="CY16" s="4770"/>
      <c r="CZ16" s="3907"/>
      <c r="DA16" s="3907"/>
      <c r="DB16" s="3907"/>
      <c r="DC16" s="3907"/>
      <c r="DD16" s="1806"/>
      <c r="DE16" s="1806"/>
      <c r="DF16" s="1806"/>
      <c r="DG16" s="4607"/>
      <c r="DH16" s="4608"/>
      <c r="DI16" s="3178"/>
      <c r="DJ16" s="1799"/>
      <c r="DK16" s="1799"/>
      <c r="DL16" s="1799"/>
      <c r="DM16" s="1799"/>
      <c r="DN16" s="1799"/>
      <c r="DO16" s="1799"/>
      <c r="DP16" s="1799"/>
      <c r="DQ16" s="1799"/>
      <c r="DR16" s="1799"/>
      <c r="DS16" s="1799"/>
      <c r="DT16" s="1799"/>
      <c r="DU16" s="1799"/>
      <c r="DV16" s="1799"/>
      <c r="DW16" s="1799"/>
      <c r="DX16" s="1799"/>
      <c r="DY16" s="1799"/>
      <c r="DZ16" s="1799"/>
      <c r="EA16" s="1799"/>
      <c r="EB16" s="1799"/>
      <c r="EC16" s="1799"/>
      <c r="ED16" s="1799"/>
      <c r="EE16" s="1799"/>
      <c r="EF16" s="1799"/>
      <c r="EG16" s="1799"/>
      <c r="EH16" s="1799"/>
      <c r="EI16" s="1799"/>
      <c r="EJ16" s="1799"/>
      <c r="EK16" s="1799"/>
      <c r="EL16" s="1799"/>
      <c r="EM16" s="1799"/>
      <c r="EN16" s="1799"/>
      <c r="EO16" s="1799"/>
      <c r="EP16" s="1799"/>
      <c r="EQ16" s="1799"/>
      <c r="ER16" s="1799"/>
      <c r="ES16" s="1799"/>
      <c r="ET16" s="1799"/>
      <c r="EU16" s="1799"/>
      <c r="EV16" s="1799"/>
      <c r="EW16" s="1799"/>
      <c r="EX16" s="1799"/>
      <c r="EY16" s="1799"/>
      <c r="EZ16" s="1799"/>
      <c r="FA16" s="1799"/>
      <c r="FB16" s="1799"/>
      <c r="FC16" s="1799"/>
      <c r="FD16" s="1799"/>
      <c r="FE16" s="1799"/>
      <c r="FF16" s="1799"/>
      <c r="FG16" s="1799"/>
      <c r="FH16" s="1799"/>
      <c r="FI16" s="1799"/>
      <c r="FJ16" s="1799"/>
      <c r="FK16" s="1799"/>
      <c r="FL16" s="1799"/>
      <c r="FM16" s="1799"/>
      <c r="FN16" s="1799"/>
      <c r="FO16" s="1799"/>
      <c r="FP16" s="1799"/>
      <c r="FQ16" s="1799"/>
      <c r="FR16" s="1799"/>
      <c r="FS16" s="1799"/>
      <c r="FT16" s="1799"/>
      <c r="FU16" s="1799"/>
      <c r="FV16" s="1799"/>
      <c r="FW16" s="1799"/>
      <c r="FX16" s="1799"/>
      <c r="FY16" s="1799"/>
      <c r="FZ16" s="1799"/>
      <c r="GA16" s="1799"/>
      <c r="GB16" s="1799"/>
      <c r="GC16" s="1799"/>
      <c r="GD16" s="1799"/>
      <c r="GE16" s="1799"/>
      <c r="GF16" s="1799"/>
      <c r="GG16" s="1799"/>
      <c r="GH16" s="1799"/>
      <c r="GI16" s="1799"/>
      <c r="GJ16" s="1799"/>
      <c r="GK16" s="1799"/>
      <c r="GL16" s="1799"/>
      <c r="GM16" s="1799"/>
      <c r="GN16" s="1799"/>
      <c r="GO16" s="1799"/>
      <c r="GP16" s="1799"/>
      <c r="GQ16" s="1799"/>
      <c r="GR16" s="1799"/>
      <c r="GS16" s="1799"/>
      <c r="GT16" s="1799"/>
      <c r="GU16" s="1799"/>
      <c r="GV16" s="1799"/>
      <c r="GW16" s="1799"/>
      <c r="GX16" s="1799"/>
      <c r="GY16" s="1799"/>
      <c r="GZ16" s="1799"/>
      <c r="HA16" s="1799"/>
      <c r="HB16" s="1799"/>
    </row>
    <row r="17" spans="1:209" s="1756" customFormat="1" ht="18" x14ac:dyDescent="0.2">
      <c r="B17" s="4808"/>
      <c r="C17" s="4804"/>
      <c r="D17" s="1810"/>
      <c r="E17" s="4804"/>
      <c r="F17" s="4810"/>
      <c r="G17" s="4706"/>
      <c r="H17" s="1810"/>
      <c r="I17" s="4804"/>
      <c r="J17" s="4810"/>
      <c r="K17" s="4706"/>
      <c r="L17" s="1810"/>
      <c r="M17" s="4804"/>
      <c r="N17" s="4810"/>
      <c r="O17" s="4706"/>
      <c r="P17" s="1827"/>
      <c r="Q17" s="1810"/>
      <c r="R17" s="3554">
        <f>WEEKDAY(R16,2)</f>
        <v>1</v>
      </c>
      <c r="S17" s="3549">
        <f>WEEKDAY(S16,2)</f>
        <v>1</v>
      </c>
      <c r="T17" s="3923">
        <f>WEEKDAY(T16,2)</f>
        <v>1</v>
      </c>
      <c r="U17" s="3439"/>
      <c r="V17" s="3438">
        <f t="shared" ref="V17:AL17" si="33">WEEKDAY(V16,2)</f>
        <v>2</v>
      </c>
      <c r="W17" s="3438">
        <f t="shared" si="33"/>
        <v>2</v>
      </c>
      <c r="X17" s="3439"/>
      <c r="Y17" s="3438">
        <f t="shared" si="33"/>
        <v>3</v>
      </c>
      <c r="Z17" s="3438">
        <f t="shared" ref="Z17" si="34">WEEKDAY(Z16,2)</f>
        <v>3</v>
      </c>
      <c r="AA17" s="3439"/>
      <c r="AB17" s="3438">
        <f t="shared" si="33"/>
        <v>4</v>
      </c>
      <c r="AC17" s="3438">
        <f t="shared" ref="AC17" si="35">WEEKDAY(AC16,2)</f>
        <v>4</v>
      </c>
      <c r="AD17" s="3439"/>
      <c r="AE17" s="3438">
        <f t="shared" si="33"/>
        <v>5</v>
      </c>
      <c r="AF17" s="3438">
        <f t="shared" ref="AF17" si="36">WEEKDAY(AF16,2)</f>
        <v>5</v>
      </c>
      <c r="AG17" s="3439"/>
      <c r="AH17" s="3438">
        <f t="shared" si="33"/>
        <v>6</v>
      </c>
      <c r="AI17" s="3438">
        <f t="shared" ref="AI17" si="37">WEEKDAY(AI16,2)</f>
        <v>6</v>
      </c>
      <c r="AJ17" s="3439"/>
      <c r="AK17" s="3438">
        <f t="shared" ref="AK17" si="38">WEEKDAY(AK16,2)</f>
        <v>7</v>
      </c>
      <c r="AL17" s="3438">
        <f t="shared" si="33"/>
        <v>7</v>
      </c>
      <c r="AM17" s="1817"/>
      <c r="AN17" s="1817"/>
      <c r="AO17" s="1817"/>
      <c r="AP17" s="1817"/>
      <c r="AQ17" s="1817"/>
      <c r="AR17" s="1817"/>
      <c r="AS17" s="1817"/>
      <c r="AT17" s="1817"/>
      <c r="AU17" s="1817"/>
      <c r="AV17" s="1817"/>
      <c r="AW17" s="1810"/>
      <c r="AX17" s="2504">
        <f>WEEKDAY(AX16,2)</f>
        <v>1</v>
      </c>
      <c r="AY17" s="2504">
        <f t="shared" ref="AY17:BD17" si="39">WEEKDAY(AY16,2)</f>
        <v>2</v>
      </c>
      <c r="AZ17" s="2504">
        <f t="shared" si="39"/>
        <v>3</v>
      </c>
      <c r="BA17" s="2504">
        <f t="shared" si="39"/>
        <v>4</v>
      </c>
      <c r="BB17" s="2504">
        <f t="shared" si="39"/>
        <v>5</v>
      </c>
      <c r="BC17" s="2504">
        <f t="shared" si="39"/>
        <v>6</v>
      </c>
      <c r="BD17" s="2504">
        <f t="shared" si="39"/>
        <v>7</v>
      </c>
      <c r="BE17" s="1810"/>
      <c r="BF17" s="1817"/>
      <c r="BG17" s="1817"/>
      <c r="BH17" s="1817"/>
      <c r="BI17" s="1810"/>
      <c r="BJ17" s="2504">
        <f>WEEKDAY(BJ16,2)</f>
        <v>1</v>
      </c>
      <c r="BK17" s="2504">
        <f t="shared" ref="BK17:BP17" si="40">WEEKDAY(BK16,2)</f>
        <v>2</v>
      </c>
      <c r="BL17" s="2504">
        <f t="shared" si="40"/>
        <v>3</v>
      </c>
      <c r="BM17" s="2504">
        <f t="shared" si="40"/>
        <v>4</v>
      </c>
      <c r="BN17" s="2504">
        <f t="shared" si="40"/>
        <v>5</v>
      </c>
      <c r="BO17" s="2504">
        <f t="shared" si="40"/>
        <v>6</v>
      </c>
      <c r="BP17" s="2504">
        <f t="shared" si="40"/>
        <v>7</v>
      </c>
      <c r="BQ17" s="1817"/>
      <c r="BR17" s="1817"/>
      <c r="BS17" s="1817"/>
      <c r="BT17" s="1817"/>
      <c r="BU17" s="1817"/>
      <c r="BV17" s="2504">
        <f>WEEKDAY(BV16,2)</f>
        <v>1</v>
      </c>
      <c r="BW17" s="2504">
        <f t="shared" ref="BW17:CB17" si="41">WEEKDAY(BW16,2)</f>
        <v>2</v>
      </c>
      <c r="BX17" s="2504">
        <f t="shared" si="41"/>
        <v>3</v>
      </c>
      <c r="BY17" s="2504">
        <f t="shared" si="41"/>
        <v>4</v>
      </c>
      <c r="BZ17" s="2504">
        <f t="shared" si="41"/>
        <v>5</v>
      </c>
      <c r="CA17" s="2504">
        <f t="shared" si="41"/>
        <v>6</v>
      </c>
      <c r="CB17" s="2504">
        <f t="shared" si="41"/>
        <v>7</v>
      </c>
      <c r="CC17" s="1817"/>
      <c r="CD17" s="1817"/>
      <c r="CE17" s="1817"/>
      <c r="CF17" s="1817"/>
      <c r="CG17" s="1817"/>
      <c r="CH17" s="2504">
        <f>WEEKDAY(CH16,2)</f>
        <v>1</v>
      </c>
      <c r="CI17" s="2504">
        <f>WEEKDAY(CI16,2)</f>
        <v>2</v>
      </c>
      <c r="CJ17" s="1817"/>
      <c r="CK17" s="1817"/>
      <c r="CL17" s="1817"/>
      <c r="CM17" s="1817"/>
      <c r="CO17" s="3440"/>
      <c r="CP17" s="3441"/>
      <c r="CR17" s="1817"/>
      <c r="CS17" s="1817"/>
      <c r="CT17" s="1817"/>
      <c r="CU17" s="1817"/>
      <c r="CV17" s="1817"/>
      <c r="CW17" s="1817"/>
      <c r="CX17" s="1817"/>
      <c r="CY17" s="1817"/>
      <c r="CZ17" s="1817"/>
      <c r="DA17" s="1817"/>
      <c r="DB17" s="1817"/>
      <c r="DC17" s="1817"/>
      <c r="DD17" s="3380"/>
      <c r="DE17" s="3458"/>
      <c r="DF17" s="3380"/>
      <c r="DG17" s="1817"/>
      <c r="DH17" s="1817"/>
      <c r="DI17" s="1810"/>
      <c r="DJ17" s="1810"/>
      <c r="DK17" s="1810"/>
      <c r="DL17" s="1810"/>
      <c r="DM17" s="1810"/>
      <c r="DN17" s="1810"/>
      <c r="DO17" s="1810"/>
      <c r="DP17" s="1810"/>
      <c r="DQ17" s="1810"/>
      <c r="DR17" s="1810"/>
      <c r="DS17" s="1810"/>
      <c r="DT17" s="1810"/>
      <c r="DU17" s="1810"/>
      <c r="DV17" s="1810"/>
      <c r="DW17" s="1810"/>
      <c r="DX17" s="1810"/>
      <c r="DY17" s="1810"/>
      <c r="DZ17" s="1810"/>
      <c r="EA17" s="1810"/>
      <c r="EB17" s="1810"/>
      <c r="EC17" s="1810"/>
      <c r="ED17" s="1810"/>
      <c r="EE17" s="1810"/>
      <c r="EF17" s="1810"/>
      <c r="EG17" s="1810"/>
      <c r="EH17" s="1810"/>
      <c r="EI17" s="1810"/>
      <c r="EJ17" s="1810"/>
      <c r="EK17" s="1810"/>
      <c r="EL17" s="1810"/>
      <c r="EM17" s="1810"/>
      <c r="EN17" s="1810"/>
      <c r="EO17" s="1810"/>
      <c r="EP17" s="1810"/>
      <c r="EQ17" s="1810"/>
      <c r="ER17" s="1810"/>
      <c r="ES17" s="1810"/>
      <c r="ET17" s="1810"/>
      <c r="EU17" s="1810"/>
      <c r="EV17" s="1810"/>
      <c r="EW17" s="1810"/>
      <c r="EX17" s="1810"/>
      <c r="EY17" s="1810"/>
      <c r="EZ17" s="1810"/>
      <c r="FA17" s="1810"/>
      <c r="FB17" s="1810"/>
      <c r="FC17" s="1810"/>
      <c r="FD17" s="1810"/>
      <c r="FE17" s="1810"/>
      <c r="FF17" s="1810"/>
      <c r="FG17" s="1810"/>
      <c r="FH17" s="1810"/>
      <c r="FI17" s="1810"/>
      <c r="FJ17" s="1810"/>
      <c r="FK17" s="1810"/>
      <c r="FL17" s="1810"/>
      <c r="FM17" s="1810"/>
      <c r="FN17" s="1810"/>
      <c r="FO17" s="1810"/>
      <c r="FP17" s="1810"/>
      <c r="FQ17" s="1810"/>
      <c r="FR17" s="1810"/>
      <c r="FS17" s="1810"/>
      <c r="FT17" s="1810"/>
      <c r="FU17" s="1810"/>
      <c r="FV17" s="1810"/>
      <c r="FW17" s="1810"/>
      <c r="FX17" s="1810"/>
      <c r="FY17" s="1810"/>
      <c r="FZ17" s="1810"/>
      <c r="GA17" s="1810"/>
      <c r="GB17" s="1810"/>
      <c r="GC17" s="1810"/>
      <c r="GD17" s="1810"/>
      <c r="GE17" s="1810"/>
      <c r="GF17" s="1810"/>
      <c r="GG17" s="1810"/>
      <c r="GH17" s="1810"/>
      <c r="GI17" s="1810"/>
      <c r="GJ17" s="1810"/>
      <c r="GK17" s="1810"/>
      <c r="GL17" s="1810"/>
      <c r="GM17" s="1810"/>
      <c r="GN17" s="1810"/>
      <c r="GO17" s="1810"/>
      <c r="GP17" s="1810"/>
      <c r="GQ17" s="1810"/>
      <c r="GR17" s="1810"/>
      <c r="GS17" s="1810"/>
      <c r="GT17" s="1810"/>
      <c r="GU17" s="1810"/>
      <c r="GV17" s="1810"/>
      <c r="GW17" s="1810"/>
      <c r="GX17" s="1810"/>
      <c r="GY17" s="1810"/>
      <c r="GZ17" s="1810"/>
      <c r="HA17" s="1810"/>
    </row>
    <row r="18" spans="1:209" s="1777" customFormat="1" ht="4.5" customHeight="1" x14ac:dyDescent="0.2">
      <c r="B18" s="1806"/>
      <c r="C18" s="3682"/>
      <c r="D18" s="3400"/>
      <c r="E18" s="3400"/>
      <c r="F18" s="3400"/>
      <c r="G18" s="3903"/>
      <c r="H18" s="3400"/>
      <c r="I18" s="3400"/>
      <c r="J18" s="3400"/>
      <c r="K18" s="3903"/>
      <c r="L18" s="3400"/>
      <c r="M18" s="3400"/>
      <c r="N18" s="3400"/>
      <c r="O18" s="3903"/>
      <c r="P18" s="1842"/>
      <c r="Q18" s="3400"/>
      <c r="R18" s="1806"/>
      <c r="S18" s="1806"/>
      <c r="T18" s="1806"/>
      <c r="U18" s="1806"/>
      <c r="V18" s="1806"/>
      <c r="W18" s="1806"/>
      <c r="X18" s="1806"/>
      <c r="Y18" s="1806"/>
      <c r="Z18" s="1806"/>
      <c r="AA18" s="1806"/>
      <c r="AB18" s="1806"/>
      <c r="AC18" s="1806"/>
      <c r="AD18" s="1806"/>
      <c r="AE18" s="1806"/>
      <c r="AF18" s="1806"/>
      <c r="AG18" s="1806"/>
      <c r="AH18" s="1806"/>
      <c r="AI18" s="1806"/>
      <c r="AJ18" s="1806"/>
      <c r="AK18" s="1806"/>
      <c r="AL18" s="1806"/>
      <c r="AM18" s="1806"/>
      <c r="AN18" s="1806"/>
      <c r="AO18" s="1806"/>
      <c r="AP18" s="1806"/>
      <c r="AQ18" s="1806"/>
      <c r="AR18" s="1806"/>
      <c r="AS18" s="1806"/>
      <c r="AT18" s="1806"/>
      <c r="AU18" s="1806"/>
      <c r="AV18" s="1806"/>
      <c r="AW18" s="3400"/>
      <c r="AX18" s="1806"/>
      <c r="AY18" s="1806"/>
      <c r="AZ18" s="1806"/>
      <c r="BA18" s="1806"/>
      <c r="BB18" s="1806"/>
      <c r="BC18" s="1806"/>
      <c r="BD18" s="1806"/>
      <c r="BE18" s="3400"/>
      <c r="BF18" s="1806"/>
      <c r="BG18" s="1806"/>
      <c r="BH18" s="1806"/>
      <c r="BI18" s="3400"/>
      <c r="BJ18" s="1806"/>
      <c r="BK18" s="1806"/>
      <c r="BL18" s="1806"/>
      <c r="BM18" s="1806"/>
      <c r="BN18" s="1806"/>
      <c r="BO18" s="1806"/>
      <c r="BP18" s="1806"/>
      <c r="BQ18" s="1806"/>
      <c r="BR18" s="1806"/>
      <c r="BS18" s="1806"/>
      <c r="BT18" s="1806"/>
      <c r="BU18" s="1806"/>
      <c r="BV18" s="1806"/>
      <c r="BW18" s="1806"/>
      <c r="BX18" s="1806"/>
      <c r="BY18" s="1806"/>
      <c r="BZ18" s="1806"/>
      <c r="CA18" s="1806"/>
      <c r="CB18" s="1806"/>
      <c r="CC18" s="1806"/>
      <c r="CD18" s="1806"/>
      <c r="CE18" s="1806"/>
      <c r="CF18" s="1806"/>
      <c r="CG18" s="1806"/>
      <c r="CH18" s="1806"/>
      <c r="CI18" s="1806"/>
      <c r="CJ18" s="1806"/>
      <c r="CK18" s="1806"/>
      <c r="CL18" s="1806"/>
      <c r="CM18" s="1806"/>
      <c r="CO18" s="1853"/>
      <c r="CP18" s="1854"/>
      <c r="CR18" s="3400"/>
      <c r="CS18" s="3400"/>
      <c r="CT18" s="3400"/>
      <c r="CU18" s="3400"/>
      <c r="CV18" s="3400"/>
      <c r="CW18" s="3400"/>
      <c r="CX18" s="3400"/>
      <c r="CY18" s="3400"/>
      <c r="CZ18" s="3906"/>
      <c r="DA18" s="3906"/>
      <c r="DB18" s="3906"/>
      <c r="DC18" s="3906"/>
      <c r="DE18" s="1922"/>
      <c r="DF18" s="3400"/>
      <c r="DG18" s="3400"/>
      <c r="DH18" s="3400"/>
      <c r="DI18" s="3400"/>
      <c r="DJ18" s="3400"/>
      <c r="DK18" s="3400"/>
      <c r="DL18" s="3400"/>
      <c r="DM18" s="3906"/>
      <c r="DN18" s="3906"/>
      <c r="DO18" s="3906"/>
      <c r="DP18" s="3906"/>
      <c r="DQ18" s="3400"/>
      <c r="DR18" s="3400"/>
      <c r="DS18" s="3400"/>
      <c r="DT18" s="3400"/>
      <c r="DU18" s="3400"/>
      <c r="DV18" s="3400"/>
      <c r="DW18" s="3400"/>
      <c r="DX18" s="3400"/>
      <c r="DY18" s="3400"/>
      <c r="DZ18" s="3400"/>
      <c r="EA18" s="3400"/>
      <c r="EB18" s="3400"/>
      <c r="EC18" s="3400"/>
      <c r="ED18" s="3400"/>
      <c r="EE18" s="3400"/>
      <c r="EF18" s="3400"/>
      <c r="EG18" s="3400"/>
      <c r="EH18" s="3400"/>
      <c r="EI18" s="3400"/>
      <c r="EJ18" s="3400"/>
      <c r="EK18" s="3400"/>
      <c r="EL18" s="3400"/>
      <c r="EM18" s="3400"/>
      <c r="EN18" s="3400"/>
      <c r="EO18" s="3400"/>
      <c r="EP18" s="3400"/>
      <c r="EQ18" s="3400"/>
      <c r="ER18" s="3400"/>
      <c r="ES18" s="3400"/>
      <c r="ET18" s="3400"/>
      <c r="EU18" s="3400"/>
      <c r="EV18" s="3400"/>
      <c r="EW18" s="3400"/>
      <c r="EX18" s="3400"/>
      <c r="EY18" s="3400"/>
      <c r="EZ18" s="3400"/>
      <c r="FA18" s="3400"/>
      <c r="FB18" s="3400"/>
      <c r="FC18" s="3400"/>
      <c r="FD18" s="3400"/>
      <c r="FE18" s="3400"/>
      <c r="FF18" s="3400"/>
      <c r="FG18" s="3400"/>
      <c r="FH18" s="3400"/>
      <c r="FI18" s="3400"/>
      <c r="FJ18" s="3400"/>
      <c r="FK18" s="3400"/>
      <c r="FL18" s="3400"/>
      <c r="FM18" s="3400"/>
      <c r="FN18" s="3400"/>
      <c r="FO18" s="3400"/>
      <c r="FP18" s="3400"/>
      <c r="FQ18" s="3400"/>
      <c r="FR18" s="3400"/>
      <c r="FS18" s="3400"/>
      <c r="FT18" s="3400"/>
      <c r="FU18" s="3400"/>
      <c r="FV18" s="3400"/>
      <c r="FW18" s="3400"/>
      <c r="FX18" s="3400"/>
      <c r="FY18" s="3400"/>
      <c r="FZ18" s="3400"/>
      <c r="GA18" s="3400"/>
      <c r="GB18" s="3400"/>
      <c r="GC18" s="3400"/>
      <c r="GD18" s="3400"/>
      <c r="GE18" s="3400"/>
      <c r="GF18" s="3400"/>
      <c r="GG18" s="3400"/>
      <c r="GH18" s="3400"/>
      <c r="GI18" s="3400"/>
      <c r="GJ18" s="3400"/>
      <c r="GK18" s="3400"/>
      <c r="GL18" s="3400"/>
      <c r="GM18" s="3400"/>
      <c r="GN18" s="3400"/>
      <c r="GO18" s="3400"/>
      <c r="GP18" s="3400"/>
      <c r="GQ18" s="3400"/>
      <c r="GR18" s="3400"/>
      <c r="GS18" s="3400"/>
      <c r="GT18" s="3400"/>
      <c r="GU18" s="3400"/>
      <c r="GV18" s="3400"/>
      <c r="GW18" s="3400"/>
      <c r="GX18" s="3400"/>
      <c r="GY18" s="3400"/>
      <c r="GZ18" s="3400"/>
      <c r="HA18" s="3400"/>
    </row>
    <row r="19" spans="1:209" s="1947" customFormat="1" ht="20.25" customHeight="1" x14ac:dyDescent="0.2">
      <c r="B19" s="4732"/>
      <c r="C19" s="4735" t="s">
        <v>188</v>
      </c>
      <c r="D19" s="4738"/>
      <c r="E19" s="1889" t="s">
        <v>285</v>
      </c>
      <c r="F19" s="2001" t="s">
        <v>286</v>
      </c>
      <c r="G19" s="3924"/>
      <c r="H19" s="1906"/>
      <c r="I19" s="1889" t="s">
        <v>285</v>
      </c>
      <c r="J19" s="2001" t="s">
        <v>286</v>
      </c>
      <c r="K19" s="3924"/>
      <c r="L19" s="1906"/>
      <c r="M19" s="1889" t="s">
        <v>285</v>
      </c>
      <c r="N19" s="2001" t="s">
        <v>286</v>
      </c>
      <c r="O19" s="3924"/>
      <c r="P19" s="1906"/>
      <c r="Q19" s="1906"/>
      <c r="R19" s="1889" t="s">
        <v>285</v>
      </c>
      <c r="S19" s="2001" t="s">
        <v>286</v>
      </c>
      <c r="T19" s="3924"/>
      <c r="U19" s="1960"/>
      <c r="V19" s="1960"/>
      <c r="W19" s="1960"/>
      <c r="X19" s="1960"/>
      <c r="Y19" s="1960"/>
      <c r="Z19" s="1960"/>
      <c r="AA19" s="1960"/>
      <c r="AB19" s="1960"/>
      <c r="AC19" s="1960"/>
      <c r="AD19" s="1960"/>
      <c r="AE19" s="1960"/>
      <c r="AF19" s="1960"/>
      <c r="AG19" s="1960"/>
      <c r="AH19" s="1960"/>
      <c r="AI19" s="1960"/>
      <c r="AJ19" s="1960"/>
      <c r="AK19" s="1960"/>
      <c r="AL19" s="1960"/>
      <c r="AM19" s="1960"/>
      <c r="AN19" s="1960"/>
      <c r="AO19" s="1960"/>
      <c r="AP19" s="1960"/>
      <c r="AQ19" s="1960"/>
      <c r="AR19" s="1960"/>
      <c r="AS19" s="1960"/>
      <c r="AT19" s="1960"/>
      <c r="AU19" s="1960"/>
      <c r="AV19" s="1960"/>
      <c r="AW19" s="1906"/>
      <c r="AX19" s="1960"/>
      <c r="AY19" s="1960"/>
      <c r="AZ19" s="1960"/>
      <c r="BA19" s="1960"/>
      <c r="BB19" s="1960"/>
      <c r="BC19" s="1960"/>
      <c r="BD19" s="1960"/>
      <c r="BE19" s="1906"/>
      <c r="BF19" s="1960"/>
      <c r="BG19" s="1960"/>
      <c r="BH19" s="1960"/>
      <c r="BI19" s="1906"/>
      <c r="BJ19" s="1960"/>
      <c r="BK19" s="1960"/>
      <c r="BL19" s="1960"/>
      <c r="BM19" s="1960"/>
      <c r="BN19" s="1960"/>
      <c r="BO19" s="1960"/>
      <c r="BP19" s="1960"/>
      <c r="BQ19" s="1960"/>
      <c r="BR19" s="1960"/>
      <c r="BS19" s="1960"/>
      <c r="BT19" s="1960"/>
      <c r="BU19" s="1960"/>
      <c r="BV19" s="1960"/>
      <c r="BW19" s="1960"/>
      <c r="BX19" s="1960"/>
      <c r="BY19" s="1960"/>
      <c r="BZ19" s="1960"/>
      <c r="CA19" s="1960"/>
      <c r="CB19" s="1960"/>
      <c r="CC19" s="1960"/>
      <c r="CD19" s="1960"/>
      <c r="CE19" s="1960"/>
      <c r="CF19" s="1960"/>
      <c r="CG19" s="1960"/>
      <c r="CH19" s="1960"/>
      <c r="CI19" s="1960"/>
      <c r="CJ19" s="1960"/>
      <c r="CK19" s="1960"/>
      <c r="CL19" s="1960"/>
      <c r="CM19" s="1960"/>
      <c r="CO19" s="3435"/>
      <c r="CP19" s="3436"/>
      <c r="CR19" s="1906"/>
      <c r="CS19" s="1906"/>
      <c r="CT19" s="1906"/>
      <c r="CU19" s="1906"/>
      <c r="CV19" s="1906"/>
      <c r="CW19" s="1906"/>
      <c r="CX19" s="1906"/>
      <c r="CY19" s="1906"/>
      <c r="CZ19" s="1906"/>
      <c r="DA19" s="1906"/>
      <c r="DB19" s="1906"/>
      <c r="DC19" s="1906"/>
      <c r="DE19" s="3437"/>
      <c r="DF19" s="1906"/>
      <c r="DG19" s="1906"/>
      <c r="DH19" s="1906"/>
      <c r="DI19" s="1906"/>
      <c r="DJ19" s="1906"/>
      <c r="DK19" s="1906"/>
      <c r="DL19" s="1906"/>
      <c r="DM19" s="1906"/>
      <c r="DN19" s="1906"/>
      <c r="DO19" s="1906"/>
      <c r="DP19" s="1906"/>
      <c r="DQ19" s="1906"/>
      <c r="DR19" s="1906"/>
      <c r="DS19" s="1906"/>
      <c r="DT19" s="1906"/>
      <c r="DU19" s="1906"/>
      <c r="DV19" s="1906"/>
      <c r="DW19" s="1906"/>
      <c r="DX19" s="1906"/>
      <c r="DY19" s="1906"/>
      <c r="DZ19" s="1906"/>
      <c r="EA19" s="1906"/>
      <c r="EB19" s="1906"/>
      <c r="EC19" s="1906"/>
      <c r="ED19" s="1906"/>
      <c r="EE19" s="1906"/>
      <c r="EF19" s="1906"/>
      <c r="EG19" s="1906"/>
      <c r="EH19" s="1906"/>
      <c r="EI19" s="1906"/>
      <c r="EJ19" s="1906"/>
      <c r="EK19" s="1906"/>
      <c r="EL19" s="1906"/>
      <c r="EM19" s="1906"/>
      <c r="EN19" s="1906"/>
      <c r="EO19" s="1906"/>
      <c r="EP19" s="1906"/>
      <c r="EQ19" s="1906"/>
      <c r="ER19" s="1906"/>
      <c r="ES19" s="1906"/>
      <c r="ET19" s="1906"/>
      <c r="EU19" s="1906"/>
      <c r="EV19" s="1906"/>
      <c r="EW19" s="1906"/>
      <c r="EX19" s="1906"/>
      <c r="EY19" s="1906"/>
      <c r="EZ19" s="1906"/>
      <c r="FA19" s="1906"/>
      <c r="FB19" s="1906"/>
      <c r="FC19" s="1906"/>
      <c r="FD19" s="1906"/>
      <c r="FE19" s="1906"/>
      <c r="FF19" s="1906"/>
      <c r="FG19" s="1906"/>
      <c r="FH19" s="1906"/>
      <c r="FI19" s="1906"/>
      <c r="FJ19" s="1906"/>
      <c r="FK19" s="1906"/>
      <c r="FL19" s="1906"/>
      <c r="FM19" s="1906"/>
      <c r="FN19" s="1906"/>
      <c r="FO19" s="1906"/>
      <c r="FP19" s="1906"/>
      <c r="FQ19" s="1906"/>
      <c r="FR19" s="1906"/>
      <c r="FS19" s="1906"/>
      <c r="FT19" s="1906"/>
      <c r="FU19" s="1906"/>
      <c r="FV19" s="1906"/>
      <c r="FW19" s="1906"/>
      <c r="FX19" s="1906"/>
      <c r="FY19" s="1906"/>
      <c r="FZ19" s="1906"/>
      <c r="GA19" s="1906"/>
      <c r="GB19" s="1906"/>
      <c r="GC19" s="1906"/>
      <c r="GD19" s="1906"/>
      <c r="GE19" s="1906"/>
      <c r="GF19" s="1906"/>
      <c r="GG19" s="1906"/>
      <c r="GH19" s="1906"/>
      <c r="GI19" s="1906"/>
      <c r="GJ19" s="1906"/>
      <c r="GK19" s="1906"/>
      <c r="GL19" s="1906"/>
      <c r="GM19" s="1906"/>
      <c r="GN19" s="1906"/>
      <c r="GO19" s="1906"/>
      <c r="GP19" s="1906"/>
      <c r="GQ19" s="1906"/>
      <c r="GR19" s="1906"/>
      <c r="GS19" s="1906"/>
      <c r="GT19" s="1906"/>
      <c r="GU19" s="1906"/>
      <c r="GV19" s="1906"/>
      <c r="GW19" s="1906"/>
      <c r="GX19" s="1906"/>
      <c r="GY19" s="1906"/>
      <c r="GZ19" s="1906"/>
      <c r="HA19" s="1906"/>
    </row>
    <row r="20" spans="1:209" s="3400" customFormat="1" ht="4.5" customHeight="1" x14ac:dyDescent="0.2">
      <c r="B20" s="4733"/>
      <c r="C20" s="4736"/>
      <c r="D20" s="4738"/>
      <c r="E20" s="3432"/>
      <c r="F20" s="3432"/>
      <c r="G20" s="3908"/>
      <c r="H20" s="3324"/>
      <c r="I20" s="3432"/>
      <c r="J20" s="3432"/>
      <c r="K20" s="3432"/>
      <c r="L20" s="3324"/>
      <c r="M20" s="3432"/>
      <c r="N20" s="3432"/>
      <c r="O20" s="3432"/>
      <c r="R20" s="1806"/>
      <c r="S20" s="1806"/>
      <c r="T20" s="1806"/>
      <c r="U20" s="1806"/>
      <c r="V20" s="1806"/>
      <c r="W20" s="1806"/>
      <c r="X20" s="1806"/>
      <c r="Y20" s="1806"/>
      <c r="Z20" s="1806"/>
      <c r="AA20" s="1806"/>
      <c r="AB20" s="1806"/>
      <c r="AC20" s="1806"/>
      <c r="AD20" s="1806"/>
      <c r="AE20" s="1806"/>
      <c r="AF20" s="1806"/>
      <c r="AG20" s="1806"/>
      <c r="AH20" s="1806"/>
      <c r="AI20" s="1806"/>
      <c r="AJ20" s="1806"/>
      <c r="AK20" s="1806"/>
      <c r="AL20" s="1806"/>
      <c r="AM20" s="1806"/>
      <c r="AN20" s="1806"/>
      <c r="AO20" s="1806"/>
      <c r="AP20" s="1806"/>
      <c r="AQ20" s="1806"/>
      <c r="AR20" s="1806"/>
      <c r="AS20" s="1806"/>
      <c r="AT20" s="1806"/>
      <c r="AU20" s="1806"/>
      <c r="AV20" s="1806"/>
      <c r="AX20" s="1806"/>
      <c r="AY20" s="1806"/>
      <c r="AZ20" s="1806"/>
      <c r="BA20" s="1806"/>
      <c r="BB20" s="1806"/>
      <c r="BC20" s="1806"/>
      <c r="BD20" s="1806"/>
      <c r="BF20" s="1806"/>
      <c r="BG20" s="1806"/>
      <c r="BH20" s="1806"/>
      <c r="BJ20" s="1806"/>
      <c r="BK20" s="1806"/>
      <c r="BL20" s="1806"/>
      <c r="BM20" s="1806"/>
      <c r="BN20" s="1806"/>
      <c r="BO20" s="1806"/>
      <c r="BP20" s="1806"/>
      <c r="BQ20" s="1806"/>
      <c r="BR20" s="1806"/>
      <c r="BS20" s="1806"/>
      <c r="BT20" s="1806"/>
      <c r="BU20" s="1806"/>
      <c r="BV20" s="1806"/>
      <c r="BW20" s="1806"/>
      <c r="BX20" s="1806"/>
      <c r="BY20" s="1806"/>
      <c r="BZ20" s="1806"/>
      <c r="CA20" s="1806"/>
      <c r="CB20" s="1806"/>
      <c r="CC20" s="1806"/>
      <c r="CD20" s="1806"/>
      <c r="CE20" s="1806"/>
      <c r="CF20" s="1806"/>
      <c r="CG20" s="1806"/>
      <c r="CH20" s="1806"/>
      <c r="CI20" s="1806"/>
      <c r="CJ20" s="1806"/>
      <c r="CK20" s="1806"/>
      <c r="CL20" s="1806"/>
      <c r="CM20" s="1806"/>
      <c r="CO20" s="1853"/>
      <c r="CP20" s="1854"/>
      <c r="CZ20" s="3906"/>
      <c r="DA20" s="3906"/>
      <c r="DB20" s="3906"/>
      <c r="DC20" s="3906"/>
      <c r="DE20" s="1922"/>
      <c r="DM20" s="3906"/>
      <c r="DN20" s="3906"/>
      <c r="DO20" s="3906"/>
      <c r="DP20" s="3906"/>
    </row>
    <row r="21" spans="1:209" s="1810" customFormat="1" ht="18.75" thickBot="1" x14ac:dyDescent="0.25">
      <c r="B21" s="4734"/>
      <c r="C21" s="4737"/>
      <c r="D21" s="4738"/>
      <c r="E21" s="3680">
        <f>E47</f>
        <v>3102.5499999999997</v>
      </c>
      <c r="F21" s="3433">
        <f>F47</f>
        <v>3102.5499999999997</v>
      </c>
      <c r="G21" s="3932"/>
      <c r="H21" s="3418"/>
      <c r="I21" s="3680">
        <f>I47*100/20</f>
        <v>517.09166666666681</v>
      </c>
      <c r="J21" s="3433">
        <f>J47*100/20</f>
        <v>517.09166666666681</v>
      </c>
      <c r="K21" s="3932"/>
      <c r="L21" s="3418"/>
      <c r="M21" s="3686"/>
      <c r="N21" s="3434"/>
      <c r="O21" s="3925"/>
      <c r="P21" s="1924"/>
      <c r="Q21" s="1966"/>
      <c r="R21" s="3686"/>
      <c r="S21" s="3434"/>
      <c r="T21" s="3925"/>
      <c r="U21" s="3398"/>
      <c r="V21" s="3383"/>
      <c r="W21" s="3383"/>
      <c r="X21" s="3398"/>
      <c r="Y21" s="3383"/>
      <c r="Z21" s="3383"/>
      <c r="AA21" s="3398"/>
      <c r="AB21" s="3383"/>
      <c r="AC21" s="3383"/>
      <c r="AD21" s="3398"/>
      <c r="AE21" s="3383"/>
      <c r="AF21" s="3383"/>
      <c r="AG21" s="3398"/>
      <c r="AH21" s="3383"/>
      <c r="AI21" s="3383"/>
      <c r="AJ21" s="3398"/>
      <c r="AK21" s="3383"/>
      <c r="AL21" s="3383"/>
      <c r="AM21" s="3398"/>
      <c r="AN21" s="4687"/>
      <c r="AO21" s="4687"/>
      <c r="AP21" s="4687"/>
      <c r="AQ21" s="4687"/>
      <c r="AR21" s="4687"/>
      <c r="AS21" s="4687"/>
      <c r="AT21" s="3901"/>
      <c r="AU21" s="3901"/>
      <c r="AV21" s="3901"/>
      <c r="AW21" s="1766"/>
      <c r="AX21" s="3383"/>
      <c r="AY21" s="3383"/>
      <c r="AZ21" s="3383"/>
      <c r="BA21" s="3383"/>
      <c r="BB21" s="3383"/>
      <c r="BC21" s="3383"/>
      <c r="BD21" s="3383"/>
      <c r="BE21" s="1766"/>
      <c r="BF21" s="4588"/>
      <c r="BG21" s="4588"/>
      <c r="BH21" s="4588"/>
      <c r="BI21" s="1766"/>
      <c r="BJ21" s="3383"/>
      <c r="BK21" s="3383"/>
      <c r="BL21" s="3383"/>
      <c r="BM21" s="3383"/>
      <c r="BN21" s="3383"/>
      <c r="BO21" s="3383"/>
      <c r="BP21" s="3383"/>
      <c r="BQ21" s="3398"/>
      <c r="BR21" s="4588"/>
      <c r="BS21" s="4588"/>
      <c r="BT21" s="4588"/>
      <c r="BU21" s="3398"/>
      <c r="BV21" s="3383"/>
      <c r="BW21" s="3383"/>
      <c r="BX21" s="3383"/>
      <c r="BY21" s="3383"/>
      <c r="BZ21" s="3383"/>
      <c r="CA21" s="3383"/>
      <c r="CB21" s="3383"/>
      <c r="CC21" s="3398"/>
      <c r="CD21" s="4588"/>
      <c r="CE21" s="4588"/>
      <c r="CF21" s="4588"/>
      <c r="CG21" s="3398"/>
      <c r="CH21" s="3383"/>
      <c r="CI21" s="3383"/>
      <c r="CJ21" s="3398"/>
      <c r="CK21" s="4588"/>
      <c r="CL21" s="4588"/>
      <c r="CM21" s="4588"/>
      <c r="CO21" s="3383"/>
      <c r="CP21" s="1968"/>
      <c r="CQ21" s="1817"/>
      <c r="CR21" s="3398"/>
      <c r="CS21" s="1830"/>
      <c r="CT21" s="1830"/>
      <c r="CU21" s="1761"/>
      <c r="CV21" s="1761"/>
      <c r="CW21" s="1761"/>
      <c r="CX21" s="1761"/>
      <c r="CY21" s="1761"/>
      <c r="CZ21" s="1761"/>
      <c r="DA21" s="1761"/>
      <c r="DB21" s="1761"/>
      <c r="DC21" s="1761"/>
      <c r="DE21" s="1860"/>
      <c r="DF21" s="3384"/>
      <c r="DG21" s="1860"/>
      <c r="DH21" s="1860"/>
      <c r="DI21" s="1860"/>
      <c r="DJ21" s="1860"/>
      <c r="DK21" s="1860"/>
      <c r="DL21" s="1860"/>
      <c r="DM21" s="1860"/>
      <c r="DN21" s="1860"/>
      <c r="DO21" s="1860"/>
      <c r="DP21" s="1860"/>
      <c r="DQ21" s="1860"/>
    </row>
    <row r="22" spans="1:209" x14ac:dyDescent="0.2">
      <c r="A22" s="1777"/>
      <c r="B22" s="1907">
        <v>13</v>
      </c>
      <c r="C22" s="1907" t="s">
        <v>197</v>
      </c>
      <c r="D22" s="1744"/>
      <c r="E22" s="1780">
        <v>1500</v>
      </c>
      <c r="F22" s="1746">
        <f>15000/12</f>
        <v>1250</v>
      </c>
      <c r="G22" s="3919"/>
      <c r="H22" s="2288"/>
      <c r="I22" s="1780">
        <f>E22/30</f>
        <v>50</v>
      </c>
      <c r="J22" s="1746">
        <f>F22/30</f>
        <v>41.666666666666664</v>
      </c>
      <c r="K22" s="3919"/>
      <c r="L22" s="2288"/>
      <c r="M22" s="3551">
        <f t="shared" ref="M22:M45" si="42">E22/$E$47</f>
        <v>0.48347327198594708</v>
      </c>
      <c r="N22" s="2583">
        <f>F22/$F$47</f>
        <v>0.40289439332162258</v>
      </c>
      <c r="O22" s="3918"/>
      <c r="P22" s="1909"/>
      <c r="Q22" s="1910"/>
      <c r="R22" s="1780">
        <f t="shared" ref="R22" si="43">$I$22</f>
        <v>50</v>
      </c>
      <c r="S22" s="1746">
        <f>$J$22</f>
        <v>41.666666666666664</v>
      </c>
      <c r="T22" s="3919"/>
      <c r="U22" s="2288"/>
      <c r="V22" s="1746"/>
      <c r="W22" s="1746"/>
      <c r="X22" s="2288"/>
      <c r="Y22" s="1746"/>
      <c r="Z22" s="1746"/>
      <c r="AA22" s="2288"/>
      <c r="AB22" s="1746"/>
      <c r="AC22" s="1746"/>
      <c r="AD22" s="2288"/>
      <c r="AE22" s="1746"/>
      <c r="AF22" s="1746"/>
      <c r="AG22" s="2288"/>
      <c r="AH22" s="1746"/>
      <c r="AI22" s="1746"/>
      <c r="AJ22" s="2288"/>
      <c r="AK22" s="1746"/>
      <c r="AL22" s="1746"/>
      <c r="AM22" s="3385"/>
      <c r="AN22" s="3712">
        <f>R22+V22+Y22+AB22+AE22+AH22+AK22</f>
        <v>50</v>
      </c>
      <c r="AO22" s="3713">
        <f>($AN$6*M22)*$AN$9</f>
        <v>91.85992167732995</v>
      </c>
      <c r="AP22" s="3714">
        <f>AO22-AN22</f>
        <v>41.85992167732995</v>
      </c>
      <c r="AQ22" s="3340">
        <f>S22+W22+Z22+AC22+AF22+AI22+AL22</f>
        <v>41.666666666666664</v>
      </c>
      <c r="AR22" s="3442">
        <f>($AQ$6*N22)*$AQ$9</f>
        <v>76.549934731108294</v>
      </c>
      <c r="AS22" s="3443">
        <f>AR22-AQ22</f>
        <v>34.88326806444163</v>
      </c>
      <c r="AT22" s="3966"/>
      <c r="AU22" s="3967"/>
      <c r="AV22" s="3968"/>
      <c r="AW22" s="1914"/>
      <c r="AX22" s="1746"/>
      <c r="AY22" s="1746"/>
      <c r="AZ22" s="1746"/>
      <c r="BA22" s="1746"/>
      <c r="BB22" s="1746"/>
      <c r="BC22" s="1746"/>
      <c r="BD22" s="1746"/>
      <c r="BE22" s="1914"/>
      <c r="BF22" s="1972">
        <f>SUM(AX22:BD22)</f>
        <v>0</v>
      </c>
      <c r="BG22" s="1973" t="e">
        <f t="shared" ref="BG22:BG45" si="44">($BF$6*M22)*$BF$9</f>
        <v>#DIV/0!</v>
      </c>
      <c r="BH22" s="1974" t="e">
        <f>BG22-BF22</f>
        <v>#DIV/0!</v>
      </c>
      <c r="BI22" s="1914"/>
      <c r="BJ22" s="1990"/>
      <c r="BK22" s="1990"/>
      <c r="BL22" s="1990"/>
      <c r="BM22" s="1990"/>
      <c r="BN22" s="1990"/>
      <c r="BO22" s="1990"/>
      <c r="BP22" s="1990"/>
      <c r="BQ22" s="2297"/>
      <c r="BR22" s="1972">
        <f>SUM(BJ22:BP22)</f>
        <v>0</v>
      </c>
      <c r="BS22" s="1973" t="e">
        <f t="shared" ref="BS22:BS45" si="45">($BR$6*M22)*$BR$9</f>
        <v>#DIV/0!</v>
      </c>
      <c r="BT22" s="1974" t="e">
        <f>BS22-BR22</f>
        <v>#DIV/0!</v>
      </c>
      <c r="BU22" s="2297"/>
      <c r="BV22" s="1990"/>
      <c r="BW22" s="1990"/>
      <c r="BX22" s="1990"/>
      <c r="BY22" s="1990"/>
      <c r="BZ22" s="1990"/>
      <c r="CA22" s="1990"/>
      <c r="CB22" s="1990"/>
      <c r="CC22" s="2297"/>
      <c r="CD22" s="1972">
        <f>SUM(BV22:CB22)</f>
        <v>0</v>
      </c>
      <c r="CE22" s="1973" t="e">
        <f t="shared" ref="CE22:CE45" si="46">($CD$6*M22)*$CD$9</f>
        <v>#DIV/0!</v>
      </c>
      <c r="CF22" s="1974" t="e">
        <f>CE22-CD22</f>
        <v>#DIV/0!</v>
      </c>
      <c r="CG22" s="3385"/>
      <c r="CH22" s="1746"/>
      <c r="CI22" s="1746"/>
      <c r="CJ22" s="3385"/>
      <c r="CK22" s="1972">
        <f t="shared" ref="CK22:CK45" si="47">SUM(CH22:CI22)</f>
        <v>0</v>
      </c>
      <c r="CL22" s="1973" t="e">
        <f t="shared" ref="CL22:CL45" si="48">($CK$6*M22)*$CK$9</f>
        <v>#DIV/0!</v>
      </c>
      <c r="CM22" s="1974" t="e">
        <f>CL22-CK22</f>
        <v>#DIV/0!</v>
      </c>
      <c r="CO22" s="1747">
        <v>0</v>
      </c>
      <c r="CP22" s="1752">
        <f t="shared" ref="CP22:CP45" si="49">CO22/E22</f>
        <v>0</v>
      </c>
      <c r="CQ22" s="1754"/>
      <c r="CR22" s="1975">
        <f t="shared" ref="CR22:CR45" si="50">SUM(R22:AL22)+SUM(AX22:BD22)+SUM(BJ22:BP22)+SUM(BV22:CB22)+SUM(CI22:CI22)</f>
        <v>91.666666666666657</v>
      </c>
      <c r="CS22" s="1976">
        <f t="shared" ref="CS22:CS45" si="51">CR22/E22</f>
        <v>6.1111111111111102E-2</v>
      </c>
      <c r="CT22" s="1993"/>
      <c r="CU22" s="3462"/>
      <c r="CV22" s="3463"/>
      <c r="CW22" s="3464"/>
      <c r="CX22" s="3464"/>
      <c r="CY22" s="3464"/>
      <c r="CZ22" s="3464"/>
      <c r="DA22" s="3464"/>
      <c r="DB22" s="3464"/>
      <c r="DC22" s="3464"/>
      <c r="DD22" s="3464"/>
      <c r="DE22" s="3464"/>
      <c r="DF22" s="3464"/>
      <c r="DG22" s="4026"/>
      <c r="DH22" s="3465"/>
      <c r="DI22" s="1977"/>
      <c r="DJ22" s="1977"/>
      <c r="DK22" s="1977"/>
      <c r="DQ22" s="1923"/>
      <c r="DR22" s="1923"/>
    </row>
    <row r="23" spans="1:209" s="1726" customFormat="1" x14ac:dyDescent="0.2">
      <c r="B23" s="1857">
        <v>14</v>
      </c>
      <c r="C23" s="1857" t="s">
        <v>198</v>
      </c>
      <c r="D23" s="1727"/>
      <c r="E23" s="1759">
        <v>450</v>
      </c>
      <c r="F23" s="1728">
        <v>700</v>
      </c>
      <c r="G23" s="3920"/>
      <c r="H23" s="2287"/>
      <c r="I23" s="1759">
        <f t="shared" ref="I23:J45" si="52">E23/30</f>
        <v>15</v>
      </c>
      <c r="J23" s="1728">
        <f t="shared" si="52"/>
        <v>23.333333333333332</v>
      </c>
      <c r="K23" s="3920"/>
      <c r="L23" s="2287"/>
      <c r="M23" s="3687">
        <f t="shared" si="42"/>
        <v>0.14504198159578413</v>
      </c>
      <c r="N23" s="1729">
        <f>F23/$F$47</f>
        <v>0.22562086026010864</v>
      </c>
      <c r="O23" s="3938"/>
      <c r="P23" s="1876"/>
      <c r="Q23" s="1877"/>
      <c r="R23" s="1759">
        <f t="shared" ref="R23" si="53">$I$23</f>
        <v>15</v>
      </c>
      <c r="S23" s="1728">
        <f>$J$23</f>
        <v>23.333333333333332</v>
      </c>
      <c r="T23" s="3920"/>
      <c r="U23" s="2287"/>
      <c r="V23" s="1728"/>
      <c r="W23" s="1728"/>
      <c r="X23" s="2287"/>
      <c r="Y23" s="1728"/>
      <c r="Z23" s="1728"/>
      <c r="AA23" s="2287"/>
      <c r="AB23" s="1728"/>
      <c r="AC23" s="1728"/>
      <c r="AD23" s="2287"/>
      <c r="AE23" s="1728"/>
      <c r="AF23" s="1728"/>
      <c r="AG23" s="2287"/>
      <c r="AH23" s="1728"/>
      <c r="AI23" s="1728"/>
      <c r="AJ23" s="2287"/>
      <c r="AK23" s="1728"/>
      <c r="AL23" s="1728"/>
      <c r="AM23" s="3386"/>
      <c r="AN23" s="3715">
        <f>R23+V23+Y23+AB23+AE23+AH23+AK23</f>
        <v>15</v>
      </c>
      <c r="AO23" s="1759">
        <f t="shared" ref="AO23:AO45" si="54">($AN$6*M23)*$AN$9</f>
        <v>27.557976503198987</v>
      </c>
      <c r="AP23" s="3716">
        <f>AO23-AN23</f>
        <v>12.557976503198987</v>
      </c>
      <c r="AQ23" s="3341">
        <f>S23+W23+Z23+AC23+AF23+AI23+AL23</f>
        <v>23.333333333333332</v>
      </c>
      <c r="AR23" s="1728">
        <f>($AQ$6*N23)*$AQ$9</f>
        <v>42.867963449420643</v>
      </c>
      <c r="AS23" s="3444">
        <f>AR23-AQ23</f>
        <v>19.53463011608731</v>
      </c>
      <c r="AT23" s="3948"/>
      <c r="AU23" s="3920"/>
      <c r="AV23" s="3949"/>
      <c r="AW23" s="1881"/>
      <c r="AX23" s="1728"/>
      <c r="AY23" s="1728"/>
      <c r="AZ23" s="1728"/>
      <c r="BA23" s="1728"/>
      <c r="BB23" s="1728"/>
      <c r="BC23" s="1728"/>
      <c r="BD23" s="1728"/>
      <c r="BE23" s="1881"/>
      <c r="BF23" s="1982">
        <f>SUM(AX23:BD23)</f>
        <v>0</v>
      </c>
      <c r="BG23" s="2268" t="e">
        <f t="shared" si="44"/>
        <v>#DIV/0!</v>
      </c>
      <c r="BH23" s="1984" t="e">
        <f>BG23-BF23</f>
        <v>#DIV/0!</v>
      </c>
      <c r="BI23" s="1881"/>
      <c r="BJ23" s="2268"/>
      <c r="BK23" s="2268"/>
      <c r="BL23" s="2268"/>
      <c r="BM23" s="2268"/>
      <c r="BN23" s="2268"/>
      <c r="BO23" s="2268"/>
      <c r="BP23" s="2268"/>
      <c r="BQ23" s="2293"/>
      <c r="BR23" s="1982">
        <f>SUM(BJ23:BP23)</f>
        <v>0</v>
      </c>
      <c r="BS23" s="2268" t="e">
        <f t="shared" si="45"/>
        <v>#DIV/0!</v>
      </c>
      <c r="BT23" s="1984" t="e">
        <f>BS23-BR23</f>
        <v>#DIV/0!</v>
      </c>
      <c r="BU23" s="2293"/>
      <c r="BV23" s="2268"/>
      <c r="BW23" s="2268"/>
      <c r="BX23" s="2268"/>
      <c r="BY23" s="2268"/>
      <c r="BZ23" s="2268"/>
      <c r="CA23" s="2268"/>
      <c r="CB23" s="2268"/>
      <c r="CC23" s="2293"/>
      <c r="CD23" s="1982">
        <f>SUM(BV23:CB23)</f>
        <v>0</v>
      </c>
      <c r="CE23" s="2268" t="e">
        <f t="shared" si="46"/>
        <v>#DIV/0!</v>
      </c>
      <c r="CF23" s="1984" t="e">
        <f>CE23-CD23</f>
        <v>#DIV/0!</v>
      </c>
      <c r="CG23" s="3386"/>
      <c r="CH23" s="1728"/>
      <c r="CI23" s="1728"/>
      <c r="CJ23" s="3386"/>
      <c r="CK23" s="1982">
        <f t="shared" si="47"/>
        <v>0</v>
      </c>
      <c r="CL23" s="2268" t="e">
        <f t="shared" si="48"/>
        <v>#DIV/0!</v>
      </c>
      <c r="CM23" s="1984" t="e">
        <f>CL23-CK23</f>
        <v>#DIV/0!</v>
      </c>
      <c r="CO23" s="1732">
        <v>0</v>
      </c>
      <c r="CP23" s="1882">
        <f t="shared" si="49"/>
        <v>0</v>
      </c>
      <c r="CQ23" s="1740"/>
      <c r="CR23" s="1734">
        <f t="shared" si="50"/>
        <v>38.333333333333329</v>
      </c>
      <c r="CS23" s="1918">
        <f t="shared" si="51"/>
        <v>8.5185185185185169E-2</v>
      </c>
      <c r="CT23" s="1997"/>
      <c r="CU23" s="3466">
        <v>43983</v>
      </c>
      <c r="CV23" s="1830"/>
      <c r="CW23" s="1817"/>
      <c r="CX23" s="1810"/>
      <c r="CY23" s="1810"/>
      <c r="CZ23" s="1810"/>
      <c r="DA23" s="1810"/>
      <c r="DB23" s="1810"/>
      <c r="DC23" s="1810"/>
      <c r="DD23" s="1810"/>
      <c r="DE23" s="1810"/>
      <c r="DF23" s="1810"/>
      <c r="DG23" s="3905"/>
      <c r="DH23" s="3467"/>
      <c r="DI23" s="3384"/>
      <c r="DJ23" s="3384"/>
      <c r="DK23" s="3384"/>
      <c r="DQ23" s="1860"/>
      <c r="DR23" s="1810"/>
    </row>
    <row r="24" spans="1:209" s="1947" customFormat="1" x14ac:dyDescent="0.2">
      <c r="B24" s="1887">
        <v>15</v>
      </c>
      <c r="C24" s="1887" t="s">
        <v>239</v>
      </c>
      <c r="D24" s="1888"/>
      <c r="E24" s="1889">
        <v>200</v>
      </c>
      <c r="F24" s="2001">
        <v>200</v>
      </c>
      <c r="G24" s="3924"/>
      <c r="H24" s="3323"/>
      <c r="I24" s="1889">
        <f t="shared" si="52"/>
        <v>6.666666666666667</v>
      </c>
      <c r="J24" s="2001">
        <f t="shared" si="52"/>
        <v>6.666666666666667</v>
      </c>
      <c r="K24" s="3924"/>
      <c r="L24" s="3323"/>
      <c r="M24" s="1948">
        <f t="shared" si="42"/>
        <v>6.4463102931459612E-2</v>
      </c>
      <c r="N24" s="2583">
        <f t="shared" ref="N24:N45" si="55">F24/$F$47</f>
        <v>6.4463102931459612E-2</v>
      </c>
      <c r="O24" s="3918"/>
      <c r="P24" s="2003"/>
      <c r="Q24" s="1950"/>
      <c r="R24" s="1889">
        <f t="shared" ref="R24" si="56">$I$24</f>
        <v>6.666666666666667</v>
      </c>
      <c r="S24" s="2001">
        <f>$J$24</f>
        <v>6.666666666666667</v>
      </c>
      <c r="T24" s="3924"/>
      <c r="U24" s="3323"/>
      <c r="V24" s="2001"/>
      <c r="W24" s="2001"/>
      <c r="X24" s="3323"/>
      <c r="Y24" s="2001"/>
      <c r="Z24" s="2001"/>
      <c r="AA24" s="3323"/>
      <c r="AB24" s="2001"/>
      <c r="AC24" s="2001"/>
      <c r="AD24" s="3323"/>
      <c r="AE24" s="2001"/>
      <c r="AF24" s="2001"/>
      <c r="AG24" s="3323"/>
      <c r="AH24" s="2001"/>
      <c r="AI24" s="2001"/>
      <c r="AJ24" s="3323"/>
      <c r="AK24" s="2001"/>
      <c r="AL24" s="2001"/>
      <c r="AM24" s="1951"/>
      <c r="AN24" s="3717">
        <f t="shared" ref="AN24:AN45" si="57">R24+V24+Y24+AB24+AE24+AH24+AK24</f>
        <v>6.666666666666667</v>
      </c>
      <c r="AO24" s="1889">
        <f t="shared" si="54"/>
        <v>12.247989556977327</v>
      </c>
      <c r="AP24" s="3703">
        <f t="shared" ref="AP24:AP44" si="58">AO24-AN24</f>
        <v>5.58132289031066</v>
      </c>
      <c r="AQ24" s="3342">
        <f t="shared" ref="AQ24:AQ45" si="59">S24+W24+Z24+AC24+AF24+AI24+AL24</f>
        <v>6.666666666666667</v>
      </c>
      <c r="AR24" s="1746">
        <f t="shared" ref="AR24:AR45" si="60">($AQ$6*N24)*$AQ$9</f>
        <v>12.247989556977327</v>
      </c>
      <c r="AS24" s="3445">
        <f t="shared" ref="AS24:AS44" si="61">AR24-AQ24</f>
        <v>5.58132289031066</v>
      </c>
      <c r="AT24" s="3952"/>
      <c r="AU24" s="3924"/>
      <c r="AV24" s="3953"/>
      <c r="AW24" s="1955"/>
      <c r="AX24" s="2001"/>
      <c r="AY24" s="2001"/>
      <c r="AZ24" s="2001"/>
      <c r="BA24" s="2001"/>
      <c r="BB24" s="2001"/>
      <c r="BC24" s="2001"/>
      <c r="BD24" s="2001"/>
      <c r="BE24" s="1955"/>
      <c r="BF24" s="2004">
        <f t="shared" ref="BF24:BF45" si="62">SUM(AX24:BD24)</f>
        <v>0</v>
      </c>
      <c r="BG24" s="2005" t="e">
        <f t="shared" si="44"/>
        <v>#DIV/0!</v>
      </c>
      <c r="BH24" s="2006" t="e">
        <f t="shared" ref="BH24:BH45" si="63">BG24-BF24</f>
        <v>#DIV/0!</v>
      </c>
      <c r="BI24" s="1955"/>
      <c r="BJ24" s="2005"/>
      <c r="BK24" s="2005"/>
      <c r="BL24" s="2005"/>
      <c r="BM24" s="2005"/>
      <c r="BN24" s="2005"/>
      <c r="BO24" s="2005"/>
      <c r="BP24" s="2005"/>
      <c r="BQ24" s="2299"/>
      <c r="BR24" s="2004">
        <f t="shared" ref="BR24:BR45" si="64">SUM(BJ24:BP24)</f>
        <v>0</v>
      </c>
      <c r="BS24" s="2005" t="e">
        <f t="shared" si="45"/>
        <v>#DIV/0!</v>
      </c>
      <c r="BT24" s="2006" t="e">
        <f t="shared" ref="BT24:BT45" si="65">BS24-BR24</f>
        <v>#DIV/0!</v>
      </c>
      <c r="BU24" s="2299"/>
      <c r="BV24" s="2005"/>
      <c r="BW24" s="2005"/>
      <c r="BX24" s="2005"/>
      <c r="BY24" s="2005"/>
      <c r="BZ24" s="2005"/>
      <c r="CA24" s="2005"/>
      <c r="CB24" s="2005"/>
      <c r="CC24" s="2299"/>
      <c r="CD24" s="2004">
        <f t="shared" ref="CD24:CD45" si="66">SUM(BV24:CB24)</f>
        <v>0</v>
      </c>
      <c r="CE24" s="2005" t="e">
        <f t="shared" si="46"/>
        <v>#DIV/0!</v>
      </c>
      <c r="CF24" s="2006" t="e">
        <f t="shared" ref="CF24:CF45" si="67">CE24-CD24</f>
        <v>#DIV/0!</v>
      </c>
      <c r="CG24" s="1951"/>
      <c r="CH24" s="2001"/>
      <c r="CI24" s="2001"/>
      <c r="CJ24" s="1951"/>
      <c r="CK24" s="2004">
        <f t="shared" si="47"/>
        <v>0</v>
      </c>
      <c r="CL24" s="2005" t="e">
        <f t="shared" si="48"/>
        <v>#DIV/0!</v>
      </c>
      <c r="CM24" s="2006" t="e">
        <f t="shared" ref="CM24" si="68">CL24-CK24</f>
        <v>#DIV/0!</v>
      </c>
      <c r="CO24" s="3408">
        <v>0</v>
      </c>
      <c r="CP24" s="2008">
        <f t="shared" si="49"/>
        <v>0</v>
      </c>
      <c r="CQ24" s="1959"/>
      <c r="CR24" s="1901">
        <f t="shared" si="50"/>
        <v>13.333333333333334</v>
      </c>
      <c r="CS24" s="1902">
        <f t="shared" si="51"/>
        <v>6.6666666666666666E-2</v>
      </c>
      <c r="CT24" s="1962"/>
      <c r="CU24" s="3468">
        <v>43982</v>
      </c>
      <c r="CV24" s="2010"/>
      <c r="CW24" s="2011"/>
      <c r="CX24" s="1946"/>
      <c r="CY24" s="1946"/>
      <c r="CZ24" s="1946"/>
      <c r="DA24" s="1946"/>
      <c r="DB24" s="1946"/>
      <c r="DC24" s="1946"/>
      <c r="DD24" s="1946"/>
      <c r="DE24" s="1946"/>
      <c r="DF24" s="1946"/>
      <c r="DG24" s="1905"/>
      <c r="DH24" s="3469"/>
      <c r="DI24" s="1905"/>
      <c r="DJ24" s="1905"/>
      <c r="DK24" s="1905"/>
      <c r="DQ24" s="3381"/>
      <c r="DR24" s="1946"/>
    </row>
    <row r="25" spans="1:209" s="1756" customFormat="1" x14ac:dyDescent="0.2">
      <c r="B25" s="1857">
        <v>16</v>
      </c>
      <c r="C25" s="1857" t="s">
        <v>268</v>
      </c>
      <c r="D25" s="1727"/>
      <c r="E25" s="1759">
        <v>166</v>
      </c>
      <c r="F25" s="1728">
        <v>166</v>
      </c>
      <c r="G25" s="3920"/>
      <c r="H25" s="2287"/>
      <c r="I25" s="1759">
        <f t="shared" si="52"/>
        <v>5.5333333333333332</v>
      </c>
      <c r="J25" s="1728">
        <f t="shared" si="52"/>
        <v>5.5333333333333332</v>
      </c>
      <c r="K25" s="3920"/>
      <c r="L25" s="2287"/>
      <c r="M25" s="3687">
        <f t="shared" si="42"/>
        <v>5.3504375433111477E-2</v>
      </c>
      <c r="N25" s="1729">
        <f t="shared" si="55"/>
        <v>5.3504375433111477E-2</v>
      </c>
      <c r="O25" s="3938"/>
      <c r="P25" s="1931"/>
      <c r="Q25" s="1924"/>
      <c r="R25" s="1759">
        <f t="shared" ref="R25" si="69">$I$25</f>
        <v>5.5333333333333332</v>
      </c>
      <c r="S25" s="1728">
        <f>$J$25</f>
        <v>5.5333333333333332</v>
      </c>
      <c r="T25" s="3920"/>
      <c r="U25" s="2287"/>
      <c r="V25" s="1728"/>
      <c r="W25" s="1728"/>
      <c r="X25" s="2287"/>
      <c r="Y25" s="1728"/>
      <c r="Z25" s="1728"/>
      <c r="AA25" s="2287"/>
      <c r="AB25" s="1728"/>
      <c r="AC25" s="1728"/>
      <c r="AD25" s="2287"/>
      <c r="AE25" s="1728"/>
      <c r="AF25" s="1728"/>
      <c r="AG25" s="2287"/>
      <c r="AH25" s="1728"/>
      <c r="AI25" s="1728"/>
      <c r="AJ25" s="2287"/>
      <c r="AK25" s="1728"/>
      <c r="AL25" s="1728"/>
      <c r="AM25" s="3398"/>
      <c r="AN25" s="3715">
        <f t="shared" si="57"/>
        <v>5.5333333333333332</v>
      </c>
      <c r="AO25" s="1759">
        <f t="shared" si="54"/>
        <v>10.165831332291182</v>
      </c>
      <c r="AP25" s="3716">
        <f t="shared" si="58"/>
        <v>4.6324979989578488</v>
      </c>
      <c r="AQ25" s="3341">
        <f t="shared" si="59"/>
        <v>5.5333333333333332</v>
      </c>
      <c r="AR25" s="1728">
        <f t="shared" si="60"/>
        <v>10.165831332291182</v>
      </c>
      <c r="AS25" s="3444">
        <f t="shared" si="61"/>
        <v>4.6324979989578488</v>
      </c>
      <c r="AT25" s="3948"/>
      <c r="AU25" s="3920"/>
      <c r="AV25" s="3949"/>
      <c r="AW25" s="1764"/>
      <c r="AX25" s="1728"/>
      <c r="AY25" s="1728"/>
      <c r="AZ25" s="1728"/>
      <c r="BA25" s="1728"/>
      <c r="BB25" s="1728"/>
      <c r="BC25" s="1728"/>
      <c r="BD25" s="1728"/>
      <c r="BE25" s="1764"/>
      <c r="BF25" s="1982">
        <f t="shared" si="62"/>
        <v>0</v>
      </c>
      <c r="BG25" s="2268" t="e">
        <f t="shared" si="44"/>
        <v>#DIV/0!</v>
      </c>
      <c r="BH25" s="1984" t="e">
        <f t="shared" si="63"/>
        <v>#DIV/0!</v>
      </c>
      <c r="BI25" s="1764"/>
      <c r="BJ25" s="2268"/>
      <c r="BK25" s="2268"/>
      <c r="BL25" s="2268"/>
      <c r="BM25" s="2268"/>
      <c r="BN25" s="2268"/>
      <c r="BO25" s="2268"/>
      <c r="BP25" s="2268"/>
      <c r="BQ25" s="2289"/>
      <c r="BR25" s="1982">
        <f t="shared" si="64"/>
        <v>0</v>
      </c>
      <c r="BS25" s="2268" t="e">
        <f t="shared" si="45"/>
        <v>#DIV/0!</v>
      </c>
      <c r="BT25" s="1984" t="e">
        <f t="shared" si="65"/>
        <v>#DIV/0!</v>
      </c>
      <c r="BU25" s="2289"/>
      <c r="BV25" s="2268"/>
      <c r="BW25" s="2268"/>
      <c r="BX25" s="2268"/>
      <c r="BY25" s="2268"/>
      <c r="BZ25" s="2268"/>
      <c r="CA25" s="2268"/>
      <c r="CB25" s="2268"/>
      <c r="CC25" s="2289"/>
      <c r="CD25" s="1982">
        <f t="shared" si="66"/>
        <v>0</v>
      </c>
      <c r="CE25" s="2268" t="e">
        <f t="shared" si="46"/>
        <v>#DIV/0!</v>
      </c>
      <c r="CF25" s="1984" t="e">
        <f t="shared" si="67"/>
        <v>#DIV/0!</v>
      </c>
      <c r="CG25" s="3398"/>
      <c r="CH25" s="1728"/>
      <c r="CI25" s="1728"/>
      <c r="CJ25" s="3398"/>
      <c r="CK25" s="1982">
        <f t="shared" si="47"/>
        <v>0</v>
      </c>
      <c r="CL25" s="2268" t="e">
        <f t="shared" si="48"/>
        <v>#DIV/0!</v>
      </c>
      <c r="CM25" s="1984" t="e">
        <f>CL25-CK25</f>
        <v>#DIV/0!</v>
      </c>
      <c r="CO25" s="1735">
        <v>0</v>
      </c>
      <c r="CP25" s="1768">
        <f t="shared" si="49"/>
        <v>0</v>
      </c>
      <c r="CQ25" s="3380"/>
      <c r="CR25" s="1763">
        <f t="shared" si="50"/>
        <v>11.066666666666666</v>
      </c>
      <c r="CS25" s="1883">
        <f t="shared" si="51"/>
        <v>6.6666666666666666E-2</v>
      </c>
      <c r="CT25" s="1830"/>
      <c r="CU25" s="3470">
        <f>CU23-CU24</f>
        <v>1</v>
      </c>
      <c r="CV25" s="1997"/>
      <c r="CW25" s="1861"/>
      <c r="CX25" s="1860"/>
      <c r="CY25" s="1860"/>
      <c r="CZ25" s="1860"/>
      <c r="DA25" s="1860"/>
      <c r="DB25" s="1860"/>
      <c r="DC25" s="1860"/>
      <c r="DD25" s="1860"/>
      <c r="DE25" s="1860"/>
      <c r="DF25" s="1860"/>
      <c r="DG25" s="1761"/>
      <c r="DH25" s="3471"/>
      <c r="DI25" s="1761"/>
      <c r="DJ25" s="1761"/>
      <c r="DK25" s="1761"/>
      <c r="DQ25" s="3384"/>
      <c r="DR25" s="1860"/>
    </row>
    <row r="26" spans="1:209" s="1777" customFormat="1" x14ac:dyDescent="0.2">
      <c r="B26" s="1907">
        <v>17</v>
      </c>
      <c r="C26" s="1907" t="s">
        <v>257</v>
      </c>
      <c r="D26" s="1744"/>
      <c r="E26" s="1780">
        <v>125</v>
      </c>
      <c r="F26" s="1746">
        <v>125</v>
      </c>
      <c r="G26" s="3919"/>
      <c r="H26" s="2288"/>
      <c r="I26" s="1780">
        <f t="shared" si="52"/>
        <v>4.166666666666667</v>
      </c>
      <c r="J26" s="1746">
        <f t="shared" si="52"/>
        <v>4.166666666666667</v>
      </c>
      <c r="K26" s="3919"/>
      <c r="L26" s="2288"/>
      <c r="M26" s="3551">
        <f t="shared" si="42"/>
        <v>4.0289439332162259E-2</v>
      </c>
      <c r="N26" s="2583">
        <f t="shared" si="55"/>
        <v>4.0289439332162259E-2</v>
      </c>
      <c r="O26" s="3918"/>
      <c r="P26" s="1866"/>
      <c r="Q26" s="1867"/>
      <c r="R26" s="1780">
        <f t="shared" ref="R26" si="70">$I$26</f>
        <v>4.166666666666667</v>
      </c>
      <c r="S26" s="1746">
        <f>$J$26</f>
        <v>4.166666666666667</v>
      </c>
      <c r="T26" s="3919"/>
      <c r="U26" s="2288"/>
      <c r="V26" s="1746"/>
      <c r="W26" s="1746"/>
      <c r="X26" s="2288"/>
      <c r="Y26" s="1746"/>
      <c r="Z26" s="1746"/>
      <c r="AA26" s="2288"/>
      <c r="AB26" s="1746"/>
      <c r="AC26" s="1746"/>
      <c r="AD26" s="2288"/>
      <c r="AE26" s="1746"/>
      <c r="AF26" s="1746"/>
      <c r="AG26" s="2288"/>
      <c r="AH26" s="1746"/>
      <c r="AI26" s="1746"/>
      <c r="AJ26" s="2288"/>
      <c r="AK26" s="1746"/>
      <c r="AL26" s="1746"/>
      <c r="AM26" s="1801"/>
      <c r="AN26" s="3717">
        <f t="shared" si="57"/>
        <v>4.166666666666667</v>
      </c>
      <c r="AO26" s="1780">
        <f t="shared" si="54"/>
        <v>7.6549934731108298</v>
      </c>
      <c r="AP26" s="3718">
        <f t="shared" si="58"/>
        <v>3.4883268064441628</v>
      </c>
      <c r="AQ26" s="3342">
        <f t="shared" si="59"/>
        <v>4.166666666666667</v>
      </c>
      <c r="AR26" s="1746">
        <f t="shared" si="60"/>
        <v>7.6549934731108298</v>
      </c>
      <c r="AS26" s="3446">
        <f t="shared" si="61"/>
        <v>3.4883268064441628</v>
      </c>
      <c r="AT26" s="3969"/>
      <c r="AU26" s="3919"/>
      <c r="AV26" s="3970"/>
      <c r="AW26" s="1788"/>
      <c r="AX26" s="1746"/>
      <c r="AY26" s="1746"/>
      <c r="AZ26" s="1746"/>
      <c r="BA26" s="1746"/>
      <c r="BB26" s="1746"/>
      <c r="BC26" s="1746"/>
      <c r="BD26" s="1746"/>
      <c r="BE26" s="1788"/>
      <c r="BF26" s="1989">
        <f t="shared" si="62"/>
        <v>0</v>
      </c>
      <c r="BG26" s="1990" t="e">
        <f t="shared" si="44"/>
        <v>#DIV/0!</v>
      </c>
      <c r="BH26" s="1991" t="e">
        <f t="shared" si="63"/>
        <v>#DIV/0!</v>
      </c>
      <c r="BI26" s="1788"/>
      <c r="BJ26" s="1990"/>
      <c r="BK26" s="1990"/>
      <c r="BL26" s="1990"/>
      <c r="BM26" s="1990"/>
      <c r="BN26" s="1990"/>
      <c r="BO26" s="1990"/>
      <c r="BP26" s="1990"/>
      <c r="BQ26" s="2290"/>
      <c r="BR26" s="1989">
        <f t="shared" si="64"/>
        <v>0</v>
      </c>
      <c r="BS26" s="1990" t="e">
        <f t="shared" si="45"/>
        <v>#DIV/0!</v>
      </c>
      <c r="BT26" s="1991" t="e">
        <f t="shared" si="65"/>
        <v>#DIV/0!</v>
      </c>
      <c r="BU26" s="2290"/>
      <c r="BV26" s="1990"/>
      <c r="BW26" s="1990"/>
      <c r="BX26" s="1990"/>
      <c r="BY26" s="1990"/>
      <c r="BZ26" s="1990"/>
      <c r="CA26" s="1990"/>
      <c r="CB26" s="1990"/>
      <c r="CC26" s="2290"/>
      <c r="CD26" s="1989">
        <f t="shared" si="66"/>
        <v>0</v>
      </c>
      <c r="CE26" s="1990" t="e">
        <f t="shared" si="46"/>
        <v>#DIV/0!</v>
      </c>
      <c r="CF26" s="1991" t="e">
        <f t="shared" si="67"/>
        <v>#DIV/0!</v>
      </c>
      <c r="CG26" s="1801"/>
      <c r="CH26" s="1746"/>
      <c r="CI26" s="1746"/>
      <c r="CJ26" s="1801"/>
      <c r="CK26" s="1989">
        <f t="shared" si="47"/>
        <v>0</v>
      </c>
      <c r="CL26" s="1990" t="e">
        <f t="shared" si="48"/>
        <v>#DIV/0!</v>
      </c>
      <c r="CM26" s="1991" t="e">
        <f>CL26-CK26</f>
        <v>#DIV/0!</v>
      </c>
      <c r="CO26" s="1750">
        <v>0</v>
      </c>
      <c r="CP26" s="1871">
        <f t="shared" si="49"/>
        <v>0</v>
      </c>
      <c r="CQ26" s="1795"/>
      <c r="CR26" s="1935">
        <f t="shared" si="50"/>
        <v>8.3333333333333339</v>
      </c>
      <c r="CS26" s="1930">
        <f t="shared" si="51"/>
        <v>6.6666666666666666E-2</v>
      </c>
      <c r="CT26" s="1802"/>
      <c r="CU26" s="3472">
        <v>43983</v>
      </c>
      <c r="CV26" s="1993"/>
      <c r="CW26" s="1994"/>
      <c r="CX26" s="1923"/>
      <c r="CY26" s="1923"/>
      <c r="CZ26" s="1923"/>
      <c r="DA26" s="1923"/>
      <c r="DB26" s="1923"/>
      <c r="DC26" s="1923"/>
      <c r="DD26" s="1923"/>
      <c r="DE26" s="1923"/>
      <c r="DF26" s="1923"/>
      <c r="DG26" s="1783"/>
      <c r="DH26" s="3473"/>
      <c r="DI26" s="1783"/>
      <c r="DJ26" s="1783"/>
      <c r="DK26" s="1783"/>
      <c r="DQ26" s="1916"/>
      <c r="DR26" s="1923"/>
    </row>
    <row r="27" spans="1:209" s="1756" customFormat="1" x14ac:dyDescent="0.2">
      <c r="B27" s="1857">
        <v>18</v>
      </c>
      <c r="C27" s="1857" t="s">
        <v>211</v>
      </c>
      <c r="D27" s="1727"/>
      <c r="E27" s="1759">
        <v>150</v>
      </c>
      <c r="F27" s="1728">
        <v>150</v>
      </c>
      <c r="G27" s="3920"/>
      <c r="H27" s="2287"/>
      <c r="I27" s="1759">
        <f t="shared" si="52"/>
        <v>5</v>
      </c>
      <c r="J27" s="1728">
        <f t="shared" si="52"/>
        <v>5</v>
      </c>
      <c r="K27" s="3920"/>
      <c r="L27" s="2287"/>
      <c r="M27" s="3687">
        <f t="shared" si="42"/>
        <v>4.8347327198594706E-2</v>
      </c>
      <c r="N27" s="1729">
        <f t="shared" si="55"/>
        <v>4.8347327198594706E-2</v>
      </c>
      <c r="O27" s="3938"/>
      <c r="P27" s="1931"/>
      <c r="Q27" s="1924"/>
      <c r="R27" s="1759">
        <f t="shared" ref="R27" si="71">$I$27</f>
        <v>5</v>
      </c>
      <c r="S27" s="1728">
        <f>$J$27</f>
        <v>5</v>
      </c>
      <c r="T27" s="3920"/>
      <c r="U27" s="2287"/>
      <c r="V27" s="1728"/>
      <c r="W27" s="1728"/>
      <c r="X27" s="2287"/>
      <c r="Y27" s="1728"/>
      <c r="Z27" s="1728"/>
      <c r="AA27" s="2287"/>
      <c r="AB27" s="1728"/>
      <c r="AC27" s="1728"/>
      <c r="AD27" s="2287"/>
      <c r="AE27" s="1728"/>
      <c r="AF27" s="1728"/>
      <c r="AG27" s="2287"/>
      <c r="AH27" s="1728"/>
      <c r="AI27" s="1728"/>
      <c r="AJ27" s="2287"/>
      <c r="AK27" s="1728"/>
      <c r="AL27" s="1728"/>
      <c r="AM27" s="3398"/>
      <c r="AN27" s="3715">
        <f t="shared" si="57"/>
        <v>5</v>
      </c>
      <c r="AO27" s="1759">
        <f t="shared" si="54"/>
        <v>9.1859921677329943</v>
      </c>
      <c r="AP27" s="3716">
        <f t="shared" si="58"/>
        <v>4.1859921677329943</v>
      </c>
      <c r="AQ27" s="3341">
        <f t="shared" si="59"/>
        <v>5</v>
      </c>
      <c r="AR27" s="1728">
        <f t="shared" si="60"/>
        <v>9.1859921677329943</v>
      </c>
      <c r="AS27" s="3444">
        <f t="shared" si="61"/>
        <v>4.1859921677329943</v>
      </c>
      <c r="AT27" s="3948"/>
      <c r="AU27" s="3920"/>
      <c r="AV27" s="3949"/>
      <c r="AW27" s="1764"/>
      <c r="AX27" s="1728"/>
      <c r="AY27" s="1728"/>
      <c r="AZ27" s="1728"/>
      <c r="BA27" s="1728"/>
      <c r="BB27" s="1728"/>
      <c r="BC27" s="1728"/>
      <c r="BD27" s="1728"/>
      <c r="BE27" s="1764"/>
      <c r="BF27" s="1982">
        <f t="shared" si="62"/>
        <v>0</v>
      </c>
      <c r="BG27" s="2268" t="e">
        <f t="shared" si="44"/>
        <v>#DIV/0!</v>
      </c>
      <c r="BH27" s="1984" t="e">
        <f t="shared" si="63"/>
        <v>#DIV/0!</v>
      </c>
      <c r="BI27" s="1764"/>
      <c r="BJ27" s="2268"/>
      <c r="BK27" s="2268"/>
      <c r="BL27" s="2268"/>
      <c r="BM27" s="2268"/>
      <c r="BN27" s="2268"/>
      <c r="BO27" s="2268"/>
      <c r="BP27" s="2268"/>
      <c r="BQ27" s="2289"/>
      <c r="BR27" s="1982">
        <f t="shared" si="64"/>
        <v>0</v>
      </c>
      <c r="BS27" s="2268" t="e">
        <f t="shared" si="45"/>
        <v>#DIV/0!</v>
      </c>
      <c r="BT27" s="1984" t="e">
        <f t="shared" si="65"/>
        <v>#DIV/0!</v>
      </c>
      <c r="BU27" s="2289"/>
      <c r="BV27" s="2268"/>
      <c r="BW27" s="2268"/>
      <c r="BX27" s="2268"/>
      <c r="BY27" s="2268"/>
      <c r="BZ27" s="2268"/>
      <c r="CA27" s="2268"/>
      <c r="CB27" s="2268"/>
      <c r="CC27" s="2289"/>
      <c r="CD27" s="1982">
        <f t="shared" si="66"/>
        <v>0</v>
      </c>
      <c r="CE27" s="2268" t="e">
        <f t="shared" si="46"/>
        <v>#DIV/0!</v>
      </c>
      <c r="CF27" s="1984" t="e">
        <f t="shared" si="67"/>
        <v>#DIV/0!</v>
      </c>
      <c r="CG27" s="3398"/>
      <c r="CH27" s="1728"/>
      <c r="CI27" s="1728"/>
      <c r="CJ27" s="3398"/>
      <c r="CK27" s="1982">
        <f t="shared" si="47"/>
        <v>0</v>
      </c>
      <c r="CL27" s="2268" t="e">
        <f t="shared" si="48"/>
        <v>#DIV/0!</v>
      </c>
      <c r="CM27" s="1984" t="e">
        <f>CL27-CK27</f>
        <v>#DIV/0!</v>
      </c>
      <c r="CO27" s="1735">
        <v>0</v>
      </c>
      <c r="CP27" s="1768">
        <f t="shared" si="49"/>
        <v>0</v>
      </c>
      <c r="CQ27" s="3380"/>
      <c r="CR27" s="1763">
        <f t="shared" si="50"/>
        <v>10</v>
      </c>
      <c r="CS27" s="1883">
        <f t="shared" si="51"/>
        <v>6.6666666666666666E-2</v>
      </c>
      <c r="CT27" s="1830"/>
      <c r="CU27" s="3474">
        <v>44013</v>
      </c>
      <c r="CV27" s="1997"/>
      <c r="CW27" s="1861"/>
      <c r="CX27" s="1860"/>
      <c r="CY27" s="1860"/>
      <c r="CZ27" s="1860"/>
      <c r="DA27" s="1860"/>
      <c r="DB27" s="1860"/>
      <c r="DC27" s="1860"/>
      <c r="DD27" s="1860"/>
      <c r="DE27" s="1860"/>
      <c r="DF27" s="1860"/>
      <c r="DG27" s="1761"/>
      <c r="DH27" s="3471"/>
      <c r="DI27" s="1761"/>
      <c r="DJ27" s="1761"/>
      <c r="DK27" s="1761"/>
      <c r="DQ27" s="3384"/>
      <c r="DR27" s="1860"/>
    </row>
    <row r="28" spans="1:209" s="1947" customFormat="1" x14ac:dyDescent="0.2">
      <c r="B28" s="1887">
        <v>19</v>
      </c>
      <c r="C28" s="1907" t="s">
        <v>255</v>
      </c>
      <c r="D28" s="1744"/>
      <c r="E28" s="1780">
        <v>75</v>
      </c>
      <c r="F28" s="1746">
        <v>75</v>
      </c>
      <c r="G28" s="3919"/>
      <c r="H28" s="2288"/>
      <c r="I28" s="1780">
        <f t="shared" si="52"/>
        <v>2.5</v>
      </c>
      <c r="J28" s="1746">
        <f t="shared" si="52"/>
        <v>2.5</v>
      </c>
      <c r="K28" s="3919"/>
      <c r="L28" s="2288"/>
      <c r="M28" s="3551">
        <f t="shared" si="42"/>
        <v>2.4173663599297353E-2</v>
      </c>
      <c r="N28" s="2583">
        <f t="shared" si="55"/>
        <v>2.4173663599297353E-2</v>
      </c>
      <c r="O28" s="3918"/>
      <c r="P28" s="2003"/>
      <c r="Q28" s="1950"/>
      <c r="R28" s="1889">
        <f t="shared" ref="R28" si="72">$I$28</f>
        <v>2.5</v>
      </c>
      <c r="S28" s="2001">
        <f>$J$28</f>
        <v>2.5</v>
      </c>
      <c r="T28" s="3924"/>
      <c r="U28" s="3323"/>
      <c r="V28" s="2001"/>
      <c r="W28" s="2001"/>
      <c r="X28" s="3323"/>
      <c r="Y28" s="2001"/>
      <c r="Z28" s="2001"/>
      <c r="AA28" s="3323"/>
      <c r="AB28" s="2001"/>
      <c r="AC28" s="2001"/>
      <c r="AD28" s="3323"/>
      <c r="AE28" s="2001"/>
      <c r="AF28" s="2001"/>
      <c r="AG28" s="3323"/>
      <c r="AH28" s="2001"/>
      <c r="AI28" s="2001"/>
      <c r="AJ28" s="3323"/>
      <c r="AK28" s="2001"/>
      <c r="AL28" s="2001"/>
      <c r="AM28" s="1951"/>
      <c r="AN28" s="3717">
        <f t="shared" si="57"/>
        <v>2.5</v>
      </c>
      <c r="AO28" s="1889">
        <f t="shared" si="54"/>
        <v>4.5929960838664972</v>
      </c>
      <c r="AP28" s="3703">
        <f t="shared" si="58"/>
        <v>2.0929960838664972</v>
      </c>
      <c r="AQ28" s="3342">
        <f t="shared" si="59"/>
        <v>2.5</v>
      </c>
      <c r="AR28" s="1746">
        <f t="shared" si="60"/>
        <v>4.5929960838664972</v>
      </c>
      <c r="AS28" s="3445">
        <f t="shared" si="61"/>
        <v>2.0929960838664972</v>
      </c>
      <c r="AT28" s="3952"/>
      <c r="AU28" s="3924"/>
      <c r="AV28" s="3953"/>
      <c r="AW28" s="1955"/>
      <c r="AX28" s="2001"/>
      <c r="AY28" s="2001"/>
      <c r="AZ28" s="2001"/>
      <c r="BA28" s="2001"/>
      <c r="BB28" s="2001"/>
      <c r="BC28" s="2001"/>
      <c r="BD28" s="2001"/>
      <c r="BE28" s="1955"/>
      <c r="BF28" s="2004">
        <f t="shared" si="62"/>
        <v>0</v>
      </c>
      <c r="BG28" s="2005" t="e">
        <f t="shared" si="44"/>
        <v>#DIV/0!</v>
      </c>
      <c r="BH28" s="2006" t="e">
        <f t="shared" si="63"/>
        <v>#DIV/0!</v>
      </c>
      <c r="BI28" s="1955"/>
      <c r="BJ28" s="2005"/>
      <c r="BK28" s="2005"/>
      <c r="BL28" s="2005"/>
      <c r="BM28" s="2005"/>
      <c r="BN28" s="2005"/>
      <c r="BO28" s="2005"/>
      <c r="BP28" s="2005"/>
      <c r="BQ28" s="2299"/>
      <c r="BR28" s="2004">
        <f t="shared" si="64"/>
        <v>0</v>
      </c>
      <c r="BS28" s="2005" t="e">
        <f t="shared" si="45"/>
        <v>#DIV/0!</v>
      </c>
      <c r="BT28" s="2006" t="e">
        <f t="shared" si="65"/>
        <v>#DIV/0!</v>
      </c>
      <c r="BU28" s="2299"/>
      <c r="BV28" s="2005"/>
      <c r="BW28" s="2005"/>
      <c r="BX28" s="2005"/>
      <c r="BY28" s="2005"/>
      <c r="BZ28" s="2005"/>
      <c r="CA28" s="2005"/>
      <c r="CB28" s="2005"/>
      <c r="CC28" s="2299"/>
      <c r="CD28" s="2004">
        <f t="shared" si="66"/>
        <v>0</v>
      </c>
      <c r="CE28" s="2005" t="e">
        <f t="shared" si="46"/>
        <v>#DIV/0!</v>
      </c>
      <c r="CF28" s="2006" t="e">
        <f t="shared" si="67"/>
        <v>#DIV/0!</v>
      </c>
      <c r="CG28" s="1951"/>
      <c r="CH28" s="2001"/>
      <c r="CI28" s="2001"/>
      <c r="CJ28" s="1951"/>
      <c r="CK28" s="2004">
        <f t="shared" si="47"/>
        <v>0</v>
      </c>
      <c r="CL28" s="2005" t="e">
        <f t="shared" si="48"/>
        <v>#DIV/0!</v>
      </c>
      <c r="CM28" s="2006" t="e">
        <f>CL28-CK28</f>
        <v>#DIV/0!</v>
      </c>
      <c r="CO28" s="3408">
        <v>0</v>
      </c>
      <c r="CP28" s="2008">
        <f t="shared" si="49"/>
        <v>0</v>
      </c>
      <c r="CQ28" s="1959"/>
      <c r="CR28" s="1901">
        <f t="shared" si="50"/>
        <v>5</v>
      </c>
      <c r="CS28" s="1902">
        <f t="shared" si="51"/>
        <v>6.6666666666666666E-2</v>
      </c>
      <c r="CT28" s="1962"/>
      <c r="CU28" s="3475">
        <f>CU27-CU26</f>
        <v>30</v>
      </c>
      <c r="CV28" s="2010"/>
      <c r="CW28" s="2011"/>
      <c r="CX28" s="1946"/>
      <c r="CY28" s="1946"/>
      <c r="CZ28" s="1946"/>
      <c r="DA28" s="1946"/>
      <c r="DB28" s="1946"/>
      <c r="DC28" s="1946"/>
      <c r="DD28" s="1946"/>
      <c r="DE28" s="1946"/>
      <c r="DF28" s="1946"/>
      <c r="DG28" s="1905"/>
      <c r="DH28" s="3469"/>
      <c r="DI28" s="1905"/>
      <c r="DJ28" s="1905"/>
      <c r="DK28" s="1905"/>
      <c r="DQ28" s="3381"/>
      <c r="DR28" s="1946"/>
    </row>
    <row r="29" spans="1:209" s="1756" customFormat="1" x14ac:dyDescent="0.2">
      <c r="B29" s="1857">
        <v>20</v>
      </c>
      <c r="C29" s="1857" t="s">
        <v>235</v>
      </c>
      <c r="D29" s="1727"/>
      <c r="E29" s="1759">
        <v>25</v>
      </c>
      <c r="F29" s="1728">
        <v>25</v>
      </c>
      <c r="G29" s="3920"/>
      <c r="H29" s="2287"/>
      <c r="I29" s="1759">
        <f t="shared" si="52"/>
        <v>0.83333333333333337</v>
      </c>
      <c r="J29" s="1728">
        <f t="shared" si="52"/>
        <v>0.83333333333333337</v>
      </c>
      <c r="K29" s="3920"/>
      <c r="L29" s="2287"/>
      <c r="M29" s="3687">
        <f t="shared" si="42"/>
        <v>8.0578878664324515E-3</v>
      </c>
      <c r="N29" s="1729">
        <f t="shared" si="55"/>
        <v>8.0578878664324515E-3</v>
      </c>
      <c r="O29" s="3938"/>
      <c r="P29" s="1931"/>
      <c r="Q29" s="1924"/>
      <c r="R29" s="1759">
        <f t="shared" ref="R29" si="73">$I$29</f>
        <v>0.83333333333333337</v>
      </c>
      <c r="S29" s="1728">
        <f>$J$29</f>
        <v>0.83333333333333337</v>
      </c>
      <c r="T29" s="3920"/>
      <c r="U29" s="2287"/>
      <c r="V29" s="1728"/>
      <c r="W29" s="1728"/>
      <c r="X29" s="2287"/>
      <c r="Y29" s="1728"/>
      <c r="Z29" s="1728"/>
      <c r="AA29" s="2287"/>
      <c r="AB29" s="1728"/>
      <c r="AC29" s="1728"/>
      <c r="AD29" s="2287"/>
      <c r="AE29" s="1728"/>
      <c r="AF29" s="1728"/>
      <c r="AG29" s="2287"/>
      <c r="AH29" s="1728"/>
      <c r="AI29" s="1728"/>
      <c r="AJ29" s="2287"/>
      <c r="AK29" s="1728"/>
      <c r="AL29" s="1728"/>
      <c r="AM29" s="3398"/>
      <c r="AN29" s="3715">
        <f t="shared" si="57"/>
        <v>0.83333333333333337</v>
      </c>
      <c r="AO29" s="1759">
        <f t="shared" si="54"/>
        <v>1.5309986946221659</v>
      </c>
      <c r="AP29" s="3716">
        <f t="shared" si="58"/>
        <v>0.6976653612888325</v>
      </c>
      <c r="AQ29" s="3341">
        <f t="shared" si="59"/>
        <v>0.83333333333333337</v>
      </c>
      <c r="AR29" s="1728">
        <f t="shared" si="60"/>
        <v>1.5309986946221659</v>
      </c>
      <c r="AS29" s="3444">
        <f t="shared" si="61"/>
        <v>0.6976653612888325</v>
      </c>
      <c r="AT29" s="3948"/>
      <c r="AU29" s="3920"/>
      <c r="AV29" s="3949"/>
      <c r="AW29" s="1764"/>
      <c r="AX29" s="1728"/>
      <c r="AY29" s="1728"/>
      <c r="AZ29" s="1728"/>
      <c r="BA29" s="1728"/>
      <c r="BB29" s="1728"/>
      <c r="BC29" s="1728"/>
      <c r="BD29" s="1728"/>
      <c r="BE29" s="1764"/>
      <c r="BF29" s="1982">
        <f t="shared" si="62"/>
        <v>0</v>
      </c>
      <c r="BG29" s="2268" t="e">
        <f t="shared" si="44"/>
        <v>#DIV/0!</v>
      </c>
      <c r="BH29" s="1984" t="e">
        <f t="shared" si="63"/>
        <v>#DIV/0!</v>
      </c>
      <c r="BI29" s="1764"/>
      <c r="BJ29" s="2268"/>
      <c r="BK29" s="2268"/>
      <c r="BL29" s="2268"/>
      <c r="BM29" s="2268"/>
      <c r="BN29" s="2268"/>
      <c r="BO29" s="2268"/>
      <c r="BP29" s="2268"/>
      <c r="BQ29" s="2289"/>
      <c r="BR29" s="1982">
        <f t="shared" si="64"/>
        <v>0</v>
      </c>
      <c r="BS29" s="2268" t="e">
        <f t="shared" si="45"/>
        <v>#DIV/0!</v>
      </c>
      <c r="BT29" s="1984" t="e">
        <f t="shared" si="65"/>
        <v>#DIV/0!</v>
      </c>
      <c r="BU29" s="2289"/>
      <c r="BV29" s="2268"/>
      <c r="BW29" s="2268"/>
      <c r="BX29" s="2268"/>
      <c r="BY29" s="2268"/>
      <c r="BZ29" s="2268"/>
      <c r="CA29" s="2268"/>
      <c r="CB29" s="2268"/>
      <c r="CC29" s="2289"/>
      <c r="CD29" s="1982">
        <f t="shared" si="66"/>
        <v>0</v>
      </c>
      <c r="CE29" s="2268" t="e">
        <f t="shared" si="46"/>
        <v>#DIV/0!</v>
      </c>
      <c r="CF29" s="1984" t="e">
        <f t="shared" si="67"/>
        <v>#DIV/0!</v>
      </c>
      <c r="CG29" s="3398"/>
      <c r="CH29" s="1728"/>
      <c r="CI29" s="1728"/>
      <c r="CJ29" s="3398"/>
      <c r="CK29" s="1982">
        <f t="shared" si="47"/>
        <v>0</v>
      </c>
      <c r="CL29" s="2268" t="e">
        <f t="shared" si="48"/>
        <v>#DIV/0!</v>
      </c>
      <c r="CM29" s="1984" t="e">
        <f t="shared" ref="CM29:CM45" si="74">CL29-CK29</f>
        <v>#DIV/0!</v>
      </c>
      <c r="CO29" s="1735">
        <v>0</v>
      </c>
      <c r="CP29" s="1768">
        <f t="shared" si="49"/>
        <v>0</v>
      </c>
      <c r="CQ29" s="3380"/>
      <c r="CR29" s="1763">
        <f t="shared" si="50"/>
        <v>1.6666666666666667</v>
      </c>
      <c r="CS29" s="1883">
        <f t="shared" si="51"/>
        <v>6.6666666666666666E-2</v>
      </c>
      <c r="CT29" s="1830"/>
      <c r="CU29" s="3466"/>
      <c r="CV29" s="1997"/>
      <c r="CW29" s="1861"/>
      <c r="CX29" s="1860"/>
      <c r="CY29" s="1860"/>
      <c r="CZ29" s="1860"/>
      <c r="DA29" s="1860"/>
      <c r="DB29" s="1860"/>
      <c r="DC29" s="1860"/>
      <c r="DD29" s="1860"/>
      <c r="DE29" s="1860"/>
      <c r="DF29" s="1860"/>
      <c r="DG29" s="1761"/>
      <c r="DH29" s="3471"/>
      <c r="DI29" s="1761"/>
      <c r="DJ29" s="1761"/>
      <c r="DK29" s="1761"/>
      <c r="DQ29" s="3384"/>
      <c r="DR29" s="1860"/>
    </row>
    <row r="30" spans="1:209" s="1947" customFormat="1" x14ac:dyDescent="0.2">
      <c r="B30" s="1887">
        <v>21</v>
      </c>
      <c r="C30" s="1887" t="s">
        <v>202</v>
      </c>
      <c r="D30" s="1888"/>
      <c r="E30" s="1889">
        <v>50</v>
      </c>
      <c r="F30" s="2001">
        <v>50</v>
      </c>
      <c r="G30" s="3924"/>
      <c r="H30" s="3323"/>
      <c r="I30" s="1889">
        <f t="shared" si="52"/>
        <v>1.6666666666666667</v>
      </c>
      <c r="J30" s="2001">
        <f t="shared" si="52"/>
        <v>1.6666666666666667</v>
      </c>
      <c r="K30" s="3924"/>
      <c r="L30" s="3323"/>
      <c r="M30" s="1948">
        <f t="shared" si="42"/>
        <v>1.6115775732864903E-2</v>
      </c>
      <c r="N30" s="2583">
        <f t="shared" si="55"/>
        <v>1.6115775732864903E-2</v>
      </c>
      <c r="O30" s="3918"/>
      <c r="P30" s="2003"/>
      <c r="Q30" s="1950"/>
      <c r="R30" s="1889">
        <f t="shared" ref="R30" si="75">$I$30</f>
        <v>1.6666666666666667</v>
      </c>
      <c r="S30" s="2001">
        <f>$J$30</f>
        <v>1.6666666666666667</v>
      </c>
      <c r="T30" s="3924"/>
      <c r="U30" s="3323"/>
      <c r="V30" s="2001"/>
      <c r="W30" s="2001"/>
      <c r="X30" s="3323"/>
      <c r="Y30" s="2001"/>
      <c r="Z30" s="2001"/>
      <c r="AA30" s="3323"/>
      <c r="AB30" s="2001"/>
      <c r="AC30" s="2001"/>
      <c r="AD30" s="3323"/>
      <c r="AE30" s="2001"/>
      <c r="AF30" s="2001"/>
      <c r="AG30" s="3323"/>
      <c r="AH30" s="2001"/>
      <c r="AI30" s="2001"/>
      <c r="AJ30" s="3323"/>
      <c r="AK30" s="2001"/>
      <c r="AL30" s="2001"/>
      <c r="AM30" s="1951"/>
      <c r="AN30" s="3717">
        <f t="shared" si="57"/>
        <v>1.6666666666666667</v>
      </c>
      <c r="AO30" s="1889">
        <f t="shared" si="54"/>
        <v>3.0619973892443317</v>
      </c>
      <c r="AP30" s="3703">
        <f t="shared" si="58"/>
        <v>1.395330722577665</v>
      </c>
      <c r="AQ30" s="3342">
        <f t="shared" si="59"/>
        <v>1.6666666666666667</v>
      </c>
      <c r="AR30" s="1746">
        <f t="shared" si="60"/>
        <v>3.0619973892443317</v>
      </c>
      <c r="AS30" s="3445">
        <f t="shared" si="61"/>
        <v>1.395330722577665</v>
      </c>
      <c r="AT30" s="3952"/>
      <c r="AU30" s="3924"/>
      <c r="AV30" s="3953"/>
      <c r="AW30" s="1955"/>
      <c r="AX30" s="2001"/>
      <c r="AY30" s="2001"/>
      <c r="AZ30" s="2001"/>
      <c r="BA30" s="2001"/>
      <c r="BB30" s="2001"/>
      <c r="BC30" s="2001"/>
      <c r="BD30" s="2001"/>
      <c r="BE30" s="1955"/>
      <c r="BF30" s="2004">
        <f t="shared" si="62"/>
        <v>0</v>
      </c>
      <c r="BG30" s="2005" t="e">
        <f t="shared" si="44"/>
        <v>#DIV/0!</v>
      </c>
      <c r="BH30" s="2006" t="e">
        <f t="shared" si="63"/>
        <v>#DIV/0!</v>
      </c>
      <c r="BI30" s="1955"/>
      <c r="BJ30" s="2005"/>
      <c r="BK30" s="2005"/>
      <c r="BL30" s="2005"/>
      <c r="BM30" s="2005"/>
      <c r="BN30" s="2005"/>
      <c r="BO30" s="2005"/>
      <c r="BP30" s="2005"/>
      <c r="BQ30" s="2299"/>
      <c r="BR30" s="2004">
        <f t="shared" si="64"/>
        <v>0</v>
      </c>
      <c r="BS30" s="2005" t="e">
        <f t="shared" si="45"/>
        <v>#DIV/0!</v>
      </c>
      <c r="BT30" s="2006" t="e">
        <f t="shared" si="65"/>
        <v>#DIV/0!</v>
      </c>
      <c r="BU30" s="2299"/>
      <c r="BV30" s="2005"/>
      <c r="BW30" s="2005"/>
      <c r="BX30" s="2005"/>
      <c r="BY30" s="2005"/>
      <c r="BZ30" s="2005"/>
      <c r="CA30" s="2005"/>
      <c r="CB30" s="2005"/>
      <c r="CC30" s="2299"/>
      <c r="CD30" s="2004">
        <f t="shared" si="66"/>
        <v>0</v>
      </c>
      <c r="CE30" s="2005" t="e">
        <f t="shared" si="46"/>
        <v>#DIV/0!</v>
      </c>
      <c r="CF30" s="2006" t="e">
        <f t="shared" si="67"/>
        <v>#DIV/0!</v>
      </c>
      <c r="CG30" s="1951"/>
      <c r="CH30" s="2001"/>
      <c r="CI30" s="2001"/>
      <c r="CJ30" s="1951"/>
      <c r="CK30" s="2004">
        <f t="shared" si="47"/>
        <v>0</v>
      </c>
      <c r="CL30" s="2005" t="e">
        <f t="shared" si="48"/>
        <v>#DIV/0!</v>
      </c>
      <c r="CM30" s="2006" t="e">
        <f t="shared" si="74"/>
        <v>#DIV/0!</v>
      </c>
      <c r="CO30" s="3408">
        <v>0</v>
      </c>
      <c r="CP30" s="2008">
        <f t="shared" si="49"/>
        <v>0</v>
      </c>
      <c r="CQ30" s="1959"/>
      <c r="CR30" s="1901">
        <f t="shared" si="50"/>
        <v>3.3333333333333335</v>
      </c>
      <c r="CS30" s="1902">
        <f t="shared" si="51"/>
        <v>6.6666666666666666E-2</v>
      </c>
      <c r="CT30" s="1962"/>
      <c r="CU30" s="3476"/>
      <c r="CV30" s="2010" t="s">
        <v>157</v>
      </c>
      <c r="CW30" s="2490">
        <f>CR1</f>
        <v>3.3333333333333333E-2</v>
      </c>
      <c r="CX30" s="1946"/>
      <c r="CY30" s="1946"/>
      <c r="CZ30" s="1946"/>
      <c r="DA30" s="1946"/>
      <c r="DB30" s="1946"/>
      <c r="DC30" s="1946"/>
      <c r="DD30" s="1946"/>
      <c r="DE30" s="1946"/>
      <c r="DF30" s="1946"/>
      <c r="DG30" s="1905"/>
      <c r="DH30" s="3469"/>
      <c r="DI30" s="1905"/>
      <c r="DJ30" s="1905"/>
      <c r="DK30" s="1905"/>
      <c r="DQ30" s="3381"/>
      <c r="DR30" s="1946"/>
    </row>
    <row r="31" spans="1:209" s="1726" customFormat="1" x14ac:dyDescent="0.2">
      <c r="A31" s="1756"/>
      <c r="B31" s="1857">
        <v>22</v>
      </c>
      <c r="C31" s="1857" t="s">
        <v>262</v>
      </c>
      <c r="D31" s="1727"/>
      <c r="E31" s="1759">
        <v>50</v>
      </c>
      <c r="F31" s="1728">
        <v>50</v>
      </c>
      <c r="G31" s="3920"/>
      <c r="H31" s="2287"/>
      <c r="I31" s="1759">
        <f t="shared" si="52"/>
        <v>1.6666666666666667</v>
      </c>
      <c r="J31" s="1728">
        <f t="shared" si="52"/>
        <v>1.6666666666666667</v>
      </c>
      <c r="K31" s="3920"/>
      <c r="L31" s="2287"/>
      <c r="M31" s="3687">
        <f t="shared" si="42"/>
        <v>1.6115775732864903E-2</v>
      </c>
      <c r="N31" s="1729">
        <f t="shared" si="55"/>
        <v>1.6115775732864903E-2</v>
      </c>
      <c r="O31" s="3938"/>
      <c r="P31" s="1931"/>
      <c r="Q31" s="1877"/>
      <c r="R31" s="1759">
        <f t="shared" ref="R31" si="76">$I$31</f>
        <v>1.6666666666666667</v>
      </c>
      <c r="S31" s="1728">
        <f>$J$31</f>
        <v>1.6666666666666667</v>
      </c>
      <c r="T31" s="3920"/>
      <c r="U31" s="2287"/>
      <c r="V31" s="1728"/>
      <c r="W31" s="1728"/>
      <c r="X31" s="2287"/>
      <c r="Y31" s="1728"/>
      <c r="Z31" s="1728"/>
      <c r="AA31" s="2287"/>
      <c r="AB31" s="1728"/>
      <c r="AC31" s="1728"/>
      <c r="AD31" s="2287"/>
      <c r="AE31" s="1728"/>
      <c r="AF31" s="1728"/>
      <c r="AG31" s="2287"/>
      <c r="AH31" s="1728"/>
      <c r="AI31" s="1728"/>
      <c r="AJ31" s="2287"/>
      <c r="AK31" s="1728"/>
      <c r="AL31" s="1728"/>
      <c r="AM31" s="3386"/>
      <c r="AN31" s="3715">
        <f t="shared" si="57"/>
        <v>1.6666666666666667</v>
      </c>
      <c r="AO31" s="1759">
        <f t="shared" si="54"/>
        <v>3.0619973892443317</v>
      </c>
      <c r="AP31" s="3716">
        <f t="shared" si="58"/>
        <v>1.395330722577665</v>
      </c>
      <c r="AQ31" s="3341">
        <f t="shared" si="59"/>
        <v>1.6666666666666667</v>
      </c>
      <c r="AR31" s="1728">
        <f t="shared" si="60"/>
        <v>3.0619973892443317</v>
      </c>
      <c r="AS31" s="3444">
        <f t="shared" si="61"/>
        <v>1.395330722577665</v>
      </c>
      <c r="AT31" s="3948"/>
      <c r="AU31" s="3920"/>
      <c r="AV31" s="3949"/>
      <c r="AW31" s="1881"/>
      <c r="AX31" s="1728"/>
      <c r="AY31" s="1728"/>
      <c r="AZ31" s="1728"/>
      <c r="BA31" s="1728"/>
      <c r="BB31" s="1728"/>
      <c r="BC31" s="1728"/>
      <c r="BD31" s="1728"/>
      <c r="BE31" s="1881"/>
      <c r="BF31" s="1982">
        <f t="shared" si="62"/>
        <v>0</v>
      </c>
      <c r="BG31" s="2268" t="e">
        <f t="shared" si="44"/>
        <v>#DIV/0!</v>
      </c>
      <c r="BH31" s="1984" t="e">
        <f t="shared" si="63"/>
        <v>#DIV/0!</v>
      </c>
      <c r="BI31" s="1881"/>
      <c r="BJ31" s="2268"/>
      <c r="BK31" s="2268"/>
      <c r="BL31" s="2268"/>
      <c r="BM31" s="2268"/>
      <c r="BN31" s="2268"/>
      <c r="BO31" s="2268"/>
      <c r="BP31" s="2268"/>
      <c r="BQ31" s="2293"/>
      <c r="BR31" s="1982">
        <f t="shared" si="64"/>
        <v>0</v>
      </c>
      <c r="BS31" s="2268" t="e">
        <f t="shared" si="45"/>
        <v>#DIV/0!</v>
      </c>
      <c r="BT31" s="1984" t="e">
        <f t="shared" si="65"/>
        <v>#DIV/0!</v>
      </c>
      <c r="BU31" s="2293"/>
      <c r="BV31" s="2268"/>
      <c r="BW31" s="2268"/>
      <c r="BX31" s="2268"/>
      <c r="BY31" s="2268"/>
      <c r="BZ31" s="2268"/>
      <c r="CA31" s="2268"/>
      <c r="CB31" s="2268"/>
      <c r="CC31" s="2293"/>
      <c r="CD31" s="1982">
        <f t="shared" si="66"/>
        <v>0</v>
      </c>
      <c r="CE31" s="2268" t="e">
        <f t="shared" si="46"/>
        <v>#DIV/0!</v>
      </c>
      <c r="CF31" s="1984" t="e">
        <f t="shared" si="67"/>
        <v>#DIV/0!</v>
      </c>
      <c r="CG31" s="3386"/>
      <c r="CH31" s="1728"/>
      <c r="CI31" s="1728"/>
      <c r="CJ31" s="3386"/>
      <c r="CK31" s="1982">
        <f t="shared" si="47"/>
        <v>0</v>
      </c>
      <c r="CL31" s="2268" t="e">
        <f t="shared" si="48"/>
        <v>#DIV/0!</v>
      </c>
      <c r="CM31" s="1984" t="e">
        <f t="shared" si="74"/>
        <v>#DIV/0!</v>
      </c>
      <c r="CO31" s="1732">
        <v>0</v>
      </c>
      <c r="CP31" s="1882">
        <f t="shared" si="49"/>
        <v>0</v>
      </c>
      <c r="CQ31" s="1740"/>
      <c r="CR31" s="1734">
        <f t="shared" si="50"/>
        <v>3.3333333333333335</v>
      </c>
      <c r="CS31" s="1918">
        <f t="shared" si="51"/>
        <v>6.6666666666666666E-2</v>
      </c>
      <c r="CT31" s="1997"/>
      <c r="CU31" s="3477"/>
      <c r="CV31" s="1830"/>
      <c r="CW31" s="3301"/>
      <c r="CX31" s="1810"/>
      <c r="CY31" s="1810"/>
      <c r="CZ31" s="1810"/>
      <c r="DA31" s="1810"/>
      <c r="DB31" s="1810"/>
      <c r="DC31" s="1810"/>
      <c r="DD31" s="1810"/>
      <c r="DE31" s="1810"/>
      <c r="DF31" s="1810"/>
      <c r="DG31" s="3905"/>
      <c r="DH31" s="3467"/>
      <c r="DI31" s="3384"/>
      <c r="DJ31" s="3384"/>
      <c r="DK31" s="3384"/>
      <c r="DQ31" s="2014"/>
      <c r="DR31" s="1810"/>
    </row>
    <row r="32" spans="1:209" s="1885" customFormat="1" x14ac:dyDescent="0.2">
      <c r="A32" s="1947"/>
      <c r="B32" s="1887">
        <v>23</v>
      </c>
      <c r="C32" s="1887" t="s">
        <v>240</v>
      </c>
      <c r="D32" s="1888"/>
      <c r="E32" s="1889">
        <v>15</v>
      </c>
      <c r="F32" s="2001">
        <v>15</v>
      </c>
      <c r="G32" s="3924"/>
      <c r="H32" s="3323"/>
      <c r="I32" s="1889">
        <f t="shared" si="52"/>
        <v>0.5</v>
      </c>
      <c r="J32" s="2001">
        <f t="shared" si="52"/>
        <v>0.5</v>
      </c>
      <c r="K32" s="3924"/>
      <c r="L32" s="3323"/>
      <c r="M32" s="1948">
        <f t="shared" si="42"/>
        <v>4.8347327198594711E-3</v>
      </c>
      <c r="N32" s="2583">
        <f t="shared" si="55"/>
        <v>4.8347327198594711E-3</v>
      </c>
      <c r="O32" s="3918"/>
      <c r="P32" s="1891"/>
      <c r="Q32" s="1950"/>
      <c r="R32" s="1889">
        <f t="shared" ref="R32" si="77">$I$32</f>
        <v>0.5</v>
      </c>
      <c r="S32" s="2001">
        <f>$J$32</f>
        <v>0.5</v>
      </c>
      <c r="T32" s="3924"/>
      <c r="U32" s="3323"/>
      <c r="V32" s="2001"/>
      <c r="W32" s="2001"/>
      <c r="X32" s="3323"/>
      <c r="Y32" s="2001"/>
      <c r="Z32" s="2001"/>
      <c r="AA32" s="3323"/>
      <c r="AB32" s="2001"/>
      <c r="AC32" s="2001"/>
      <c r="AD32" s="3323"/>
      <c r="AE32" s="2001"/>
      <c r="AF32" s="2001"/>
      <c r="AG32" s="3323"/>
      <c r="AH32" s="2001"/>
      <c r="AI32" s="2001"/>
      <c r="AJ32" s="3323"/>
      <c r="AK32" s="2001"/>
      <c r="AL32" s="2001"/>
      <c r="AM32" s="3382"/>
      <c r="AN32" s="3717">
        <f t="shared" si="57"/>
        <v>0.5</v>
      </c>
      <c r="AO32" s="1889">
        <f t="shared" si="54"/>
        <v>0.91859921677329948</v>
      </c>
      <c r="AP32" s="3703">
        <f t="shared" si="58"/>
        <v>0.41859921677329948</v>
      </c>
      <c r="AQ32" s="3342">
        <f t="shared" si="59"/>
        <v>0.5</v>
      </c>
      <c r="AR32" s="1746">
        <f t="shared" si="60"/>
        <v>0.91859921677329948</v>
      </c>
      <c r="AS32" s="3445">
        <f t="shared" si="61"/>
        <v>0.41859921677329948</v>
      </c>
      <c r="AT32" s="3952"/>
      <c r="AU32" s="3924"/>
      <c r="AV32" s="3953"/>
      <c r="AW32" s="1896"/>
      <c r="AX32" s="2001"/>
      <c r="AY32" s="2001"/>
      <c r="AZ32" s="2001"/>
      <c r="BA32" s="2001"/>
      <c r="BB32" s="2001"/>
      <c r="BC32" s="2001"/>
      <c r="BD32" s="2001"/>
      <c r="BE32" s="1896"/>
      <c r="BF32" s="2004">
        <f t="shared" si="62"/>
        <v>0</v>
      </c>
      <c r="BG32" s="2005" t="e">
        <f t="shared" si="44"/>
        <v>#DIV/0!</v>
      </c>
      <c r="BH32" s="2006" t="e">
        <f t="shared" si="63"/>
        <v>#DIV/0!</v>
      </c>
      <c r="BI32" s="1896"/>
      <c r="BJ32" s="2005"/>
      <c r="BK32" s="2005"/>
      <c r="BL32" s="2005"/>
      <c r="BM32" s="2005"/>
      <c r="BN32" s="2005"/>
      <c r="BO32" s="2005"/>
      <c r="BP32" s="2005"/>
      <c r="BQ32" s="2295"/>
      <c r="BR32" s="2004">
        <f t="shared" si="64"/>
        <v>0</v>
      </c>
      <c r="BS32" s="2005" t="e">
        <f t="shared" si="45"/>
        <v>#DIV/0!</v>
      </c>
      <c r="BT32" s="2006" t="e">
        <f t="shared" si="65"/>
        <v>#DIV/0!</v>
      </c>
      <c r="BU32" s="2295"/>
      <c r="BV32" s="2005"/>
      <c r="BW32" s="2005"/>
      <c r="BX32" s="2005"/>
      <c r="BY32" s="2005"/>
      <c r="BZ32" s="2005"/>
      <c r="CA32" s="2005"/>
      <c r="CB32" s="2005"/>
      <c r="CC32" s="2295"/>
      <c r="CD32" s="2004">
        <f t="shared" si="66"/>
        <v>0</v>
      </c>
      <c r="CE32" s="2005" t="e">
        <f t="shared" si="46"/>
        <v>#DIV/0!</v>
      </c>
      <c r="CF32" s="2006" t="e">
        <f t="shared" si="67"/>
        <v>#DIV/0!</v>
      </c>
      <c r="CG32" s="3382"/>
      <c r="CH32" s="2001"/>
      <c r="CI32" s="2001"/>
      <c r="CJ32" s="3382"/>
      <c r="CK32" s="2004">
        <f t="shared" si="47"/>
        <v>0</v>
      </c>
      <c r="CL32" s="2005" t="e">
        <f t="shared" si="48"/>
        <v>#DIV/0!</v>
      </c>
      <c r="CM32" s="2006" t="e">
        <f t="shared" si="74"/>
        <v>#DIV/0!</v>
      </c>
      <c r="CO32" s="1898">
        <v>0</v>
      </c>
      <c r="CP32" s="1899">
        <f t="shared" si="49"/>
        <v>0</v>
      </c>
      <c r="CQ32" s="1900"/>
      <c r="CR32" s="2244">
        <f t="shared" si="50"/>
        <v>1</v>
      </c>
      <c r="CS32" s="2387">
        <f t="shared" si="51"/>
        <v>6.6666666666666666E-2</v>
      </c>
      <c r="CT32" s="2010"/>
      <c r="CU32" s="3476"/>
      <c r="CV32" s="2010"/>
      <c r="CW32" s="2490"/>
      <c r="CX32" s="1906"/>
      <c r="CY32" s="1906"/>
      <c r="CZ32" s="1906"/>
      <c r="DA32" s="1906"/>
      <c r="DB32" s="1906"/>
      <c r="DC32" s="1906"/>
      <c r="DD32" s="1906"/>
      <c r="DE32" s="1906"/>
      <c r="DF32" s="1906"/>
      <c r="DG32" s="3904"/>
      <c r="DH32" s="3478"/>
      <c r="DI32" s="3381"/>
      <c r="DJ32" s="3381"/>
      <c r="DK32" s="3381"/>
      <c r="DQ32" s="3381"/>
      <c r="DR32" s="1906"/>
    </row>
    <row r="33" spans="2:122" s="1726" customFormat="1" x14ac:dyDescent="0.2">
      <c r="B33" s="1857">
        <v>24</v>
      </c>
      <c r="C33" s="1857" t="s">
        <v>254</v>
      </c>
      <c r="D33" s="1727"/>
      <c r="E33" s="1759">
        <v>26.35</v>
      </c>
      <c r="F33" s="1728">
        <v>26.35</v>
      </c>
      <c r="G33" s="3920"/>
      <c r="H33" s="2287"/>
      <c r="I33" s="1759">
        <f t="shared" si="52"/>
        <v>0.87833333333333341</v>
      </c>
      <c r="J33" s="1728">
        <f t="shared" si="52"/>
        <v>0.87833333333333341</v>
      </c>
      <c r="K33" s="3920"/>
      <c r="L33" s="2287"/>
      <c r="M33" s="3687">
        <f t="shared" si="42"/>
        <v>8.4930138112198038E-3</v>
      </c>
      <c r="N33" s="1729">
        <f t="shared" si="55"/>
        <v>8.4930138112198038E-3</v>
      </c>
      <c r="O33" s="3938"/>
      <c r="P33" s="1931"/>
      <c r="Q33" s="1924"/>
      <c r="R33" s="1759">
        <f t="shared" ref="R33" si="78">$I$33</f>
        <v>0.87833333333333341</v>
      </c>
      <c r="S33" s="1728">
        <f>$J$33</f>
        <v>0.87833333333333341</v>
      </c>
      <c r="T33" s="3920"/>
      <c r="U33" s="2287"/>
      <c r="V33" s="1728"/>
      <c r="W33" s="1728"/>
      <c r="X33" s="2287"/>
      <c r="Y33" s="1728"/>
      <c r="Z33" s="1728"/>
      <c r="AA33" s="2287"/>
      <c r="AB33" s="1728"/>
      <c r="AC33" s="1728"/>
      <c r="AD33" s="2287"/>
      <c r="AE33" s="1728"/>
      <c r="AF33" s="1728"/>
      <c r="AG33" s="2287"/>
      <c r="AH33" s="1728"/>
      <c r="AI33" s="1728"/>
      <c r="AJ33" s="2287"/>
      <c r="AK33" s="1728"/>
      <c r="AL33" s="1728"/>
      <c r="AM33" s="3386"/>
      <c r="AN33" s="3715">
        <f t="shared" si="57"/>
        <v>0.87833333333333341</v>
      </c>
      <c r="AO33" s="1759">
        <f t="shared" si="54"/>
        <v>1.6136726241317629</v>
      </c>
      <c r="AP33" s="3716">
        <f>AO33-AN33</f>
        <v>0.73533929079842952</v>
      </c>
      <c r="AQ33" s="3341">
        <f t="shared" si="59"/>
        <v>0.87833333333333341</v>
      </c>
      <c r="AR33" s="1728">
        <f t="shared" si="60"/>
        <v>1.6136726241317629</v>
      </c>
      <c r="AS33" s="3444">
        <f>AR33-AQ33</f>
        <v>0.73533929079842952</v>
      </c>
      <c r="AT33" s="3948"/>
      <c r="AU33" s="3920"/>
      <c r="AV33" s="3949"/>
      <c r="AW33" s="1881"/>
      <c r="AX33" s="1728"/>
      <c r="AY33" s="1728"/>
      <c r="AZ33" s="1728"/>
      <c r="BA33" s="1728"/>
      <c r="BB33" s="1728"/>
      <c r="BC33" s="1728"/>
      <c r="BD33" s="1728"/>
      <c r="BE33" s="1881"/>
      <c r="BF33" s="1982">
        <f t="shared" si="62"/>
        <v>0</v>
      </c>
      <c r="BG33" s="2268" t="e">
        <f t="shared" si="44"/>
        <v>#DIV/0!</v>
      </c>
      <c r="BH33" s="1984" t="e">
        <f t="shared" si="63"/>
        <v>#DIV/0!</v>
      </c>
      <c r="BI33" s="1881"/>
      <c r="BJ33" s="2268"/>
      <c r="BK33" s="2268"/>
      <c r="BL33" s="2268"/>
      <c r="BM33" s="2268"/>
      <c r="BN33" s="2268"/>
      <c r="BO33" s="2268"/>
      <c r="BP33" s="2268"/>
      <c r="BQ33" s="2293"/>
      <c r="BR33" s="1982">
        <f t="shared" si="64"/>
        <v>0</v>
      </c>
      <c r="BS33" s="2268" t="e">
        <f t="shared" si="45"/>
        <v>#DIV/0!</v>
      </c>
      <c r="BT33" s="1984" t="e">
        <f t="shared" si="65"/>
        <v>#DIV/0!</v>
      </c>
      <c r="BU33" s="2293"/>
      <c r="BV33" s="2268"/>
      <c r="BW33" s="2268"/>
      <c r="BX33" s="2268"/>
      <c r="BY33" s="2268"/>
      <c r="BZ33" s="2268"/>
      <c r="CA33" s="2268"/>
      <c r="CB33" s="2268"/>
      <c r="CC33" s="2293"/>
      <c r="CD33" s="1982">
        <f t="shared" si="66"/>
        <v>0</v>
      </c>
      <c r="CE33" s="2268" t="e">
        <f t="shared" si="46"/>
        <v>#DIV/0!</v>
      </c>
      <c r="CF33" s="1984" t="e">
        <f t="shared" si="67"/>
        <v>#DIV/0!</v>
      </c>
      <c r="CG33" s="3386"/>
      <c r="CH33" s="1728"/>
      <c r="CI33" s="1728"/>
      <c r="CJ33" s="3386"/>
      <c r="CK33" s="1982">
        <f t="shared" si="47"/>
        <v>0</v>
      </c>
      <c r="CL33" s="2268" t="e">
        <f t="shared" si="48"/>
        <v>#DIV/0!</v>
      </c>
      <c r="CM33" s="1984" t="e">
        <f t="shared" si="74"/>
        <v>#DIV/0!</v>
      </c>
      <c r="CO33" s="1732">
        <v>0</v>
      </c>
      <c r="CP33" s="1882">
        <f t="shared" si="49"/>
        <v>0</v>
      </c>
      <c r="CQ33" s="1740"/>
      <c r="CR33" s="1734">
        <f t="shared" si="50"/>
        <v>1.7566666666666668</v>
      </c>
      <c r="CS33" s="1918">
        <f t="shared" si="51"/>
        <v>6.6666666666666666E-2</v>
      </c>
      <c r="CT33" s="1997"/>
      <c r="CU33" s="3479"/>
      <c r="CV33" s="1861"/>
      <c r="CW33" s="1861"/>
      <c r="CX33" s="1810"/>
      <c r="CY33" s="1810"/>
      <c r="CZ33" s="1810"/>
      <c r="DA33" s="1810"/>
      <c r="DB33" s="1810"/>
      <c r="DC33" s="1810"/>
      <c r="DD33" s="1810"/>
      <c r="DE33" s="1810"/>
      <c r="DF33" s="1810"/>
      <c r="DG33" s="3905"/>
      <c r="DH33" s="3467"/>
      <c r="DI33" s="3384"/>
      <c r="DJ33" s="3384"/>
      <c r="DK33" s="3384"/>
      <c r="DQ33" s="3384"/>
      <c r="DR33" s="1810"/>
    </row>
    <row r="34" spans="2:122" s="1885" customFormat="1" x14ac:dyDescent="0.2">
      <c r="B34" s="3683">
        <v>25</v>
      </c>
      <c r="C34" s="3683" t="s">
        <v>205</v>
      </c>
      <c r="D34" s="1888"/>
      <c r="E34" s="3681">
        <v>25.5</v>
      </c>
      <c r="F34" s="2597">
        <v>25.5</v>
      </c>
      <c r="G34" s="3933"/>
      <c r="H34" s="3323"/>
      <c r="I34" s="3681">
        <f t="shared" si="52"/>
        <v>0.85</v>
      </c>
      <c r="J34" s="2597">
        <f t="shared" si="52"/>
        <v>0.85</v>
      </c>
      <c r="K34" s="3933"/>
      <c r="L34" s="3323"/>
      <c r="M34" s="3688">
        <f t="shared" si="42"/>
        <v>8.2190456237611013E-3</v>
      </c>
      <c r="N34" s="2583">
        <f t="shared" si="55"/>
        <v>8.2190456237611013E-3</v>
      </c>
      <c r="O34" s="3918"/>
      <c r="P34" s="2003"/>
      <c r="Q34" s="1950"/>
      <c r="R34" s="1889">
        <f t="shared" ref="R34" si="79">$I$34</f>
        <v>0.85</v>
      </c>
      <c r="S34" s="2001">
        <f>$J$34</f>
        <v>0.85</v>
      </c>
      <c r="T34" s="3924"/>
      <c r="U34" s="3323"/>
      <c r="V34" s="2001"/>
      <c r="W34" s="2001"/>
      <c r="X34" s="3323"/>
      <c r="Y34" s="2001"/>
      <c r="Z34" s="2001"/>
      <c r="AA34" s="3323"/>
      <c r="AB34" s="2001"/>
      <c r="AC34" s="2001"/>
      <c r="AD34" s="3323"/>
      <c r="AE34" s="2001"/>
      <c r="AF34" s="2001"/>
      <c r="AG34" s="3323"/>
      <c r="AH34" s="2001"/>
      <c r="AI34" s="2001"/>
      <c r="AJ34" s="3323"/>
      <c r="AK34" s="2001"/>
      <c r="AL34" s="2001"/>
      <c r="AM34" s="3382"/>
      <c r="AN34" s="3717">
        <f t="shared" si="57"/>
        <v>0.85</v>
      </c>
      <c r="AO34" s="1889">
        <f t="shared" si="54"/>
        <v>1.5616186685146092</v>
      </c>
      <c r="AP34" s="3703">
        <f t="shared" si="58"/>
        <v>0.7116186685146092</v>
      </c>
      <c r="AQ34" s="3342">
        <f t="shared" si="59"/>
        <v>0.85</v>
      </c>
      <c r="AR34" s="1746">
        <f t="shared" si="60"/>
        <v>1.5616186685146092</v>
      </c>
      <c r="AS34" s="3445">
        <f t="shared" si="61"/>
        <v>0.7116186685146092</v>
      </c>
      <c r="AT34" s="3952"/>
      <c r="AU34" s="3924"/>
      <c r="AV34" s="3953"/>
      <c r="AW34" s="1896"/>
      <c r="AX34" s="2001"/>
      <c r="AY34" s="2001"/>
      <c r="AZ34" s="2001"/>
      <c r="BA34" s="2001"/>
      <c r="BB34" s="2001"/>
      <c r="BC34" s="2001"/>
      <c r="BD34" s="2001"/>
      <c r="BE34" s="1896"/>
      <c r="BF34" s="2481">
        <f t="shared" si="62"/>
        <v>0</v>
      </c>
      <c r="BG34" s="2482" t="e">
        <f t="shared" si="44"/>
        <v>#DIV/0!</v>
      </c>
      <c r="BH34" s="2483" t="e">
        <f t="shared" si="63"/>
        <v>#DIV/0!</v>
      </c>
      <c r="BI34" s="1896"/>
      <c r="BJ34" s="2005"/>
      <c r="BK34" s="2005"/>
      <c r="BL34" s="2005"/>
      <c r="BM34" s="2005"/>
      <c r="BN34" s="2005"/>
      <c r="BO34" s="2005"/>
      <c r="BP34" s="2005"/>
      <c r="BQ34" s="2295"/>
      <c r="BR34" s="2481">
        <f t="shared" si="64"/>
        <v>0</v>
      </c>
      <c r="BS34" s="2482" t="e">
        <f t="shared" si="45"/>
        <v>#DIV/0!</v>
      </c>
      <c r="BT34" s="2483" t="e">
        <f t="shared" si="65"/>
        <v>#DIV/0!</v>
      </c>
      <c r="BU34" s="2295"/>
      <c r="BV34" s="2005"/>
      <c r="BW34" s="2005"/>
      <c r="BX34" s="2005"/>
      <c r="BY34" s="2005"/>
      <c r="BZ34" s="2005"/>
      <c r="CA34" s="2005"/>
      <c r="CB34" s="2005"/>
      <c r="CC34" s="2295"/>
      <c r="CD34" s="2481">
        <f t="shared" si="66"/>
        <v>0</v>
      </c>
      <c r="CE34" s="2482" t="e">
        <f t="shared" si="46"/>
        <v>#DIV/0!</v>
      </c>
      <c r="CF34" s="2483" t="e">
        <f t="shared" si="67"/>
        <v>#DIV/0!</v>
      </c>
      <c r="CG34" s="3382"/>
      <c r="CH34" s="2001"/>
      <c r="CI34" s="2001"/>
      <c r="CJ34" s="3382"/>
      <c r="CK34" s="2481">
        <f t="shared" si="47"/>
        <v>0</v>
      </c>
      <c r="CL34" s="2482" t="e">
        <f t="shared" si="48"/>
        <v>#DIV/0!</v>
      </c>
      <c r="CM34" s="2483" t="e">
        <f t="shared" si="74"/>
        <v>#DIV/0!</v>
      </c>
      <c r="CO34" s="1898">
        <v>0</v>
      </c>
      <c r="CP34" s="1899">
        <f t="shared" si="49"/>
        <v>0</v>
      </c>
      <c r="CQ34" s="1900"/>
      <c r="CR34" s="2388">
        <f t="shared" si="50"/>
        <v>1.7</v>
      </c>
      <c r="CS34" s="2389">
        <f t="shared" si="51"/>
        <v>6.6666666666666666E-2</v>
      </c>
      <c r="CT34" s="2010"/>
      <c r="CU34" s="3476"/>
      <c r="CV34" s="2404" t="s">
        <v>155</v>
      </c>
      <c r="CW34" s="2010" t="s">
        <v>156</v>
      </c>
      <c r="CX34" s="1906"/>
      <c r="CY34" s="1906"/>
      <c r="CZ34" s="1906"/>
      <c r="DA34" s="1906"/>
      <c r="DB34" s="1906"/>
      <c r="DC34" s="1906"/>
      <c r="DD34" s="1906"/>
      <c r="DE34" s="1906"/>
      <c r="DF34" s="1906"/>
      <c r="DG34" s="3904"/>
      <c r="DH34" s="3478"/>
      <c r="DI34" s="3381"/>
      <c r="DJ34" s="3381"/>
      <c r="DK34" s="3381"/>
      <c r="DQ34" s="3381"/>
      <c r="DR34" s="1906"/>
    </row>
    <row r="35" spans="2:122" s="1726" customFormat="1" x14ac:dyDescent="0.2">
      <c r="B35" s="1857">
        <v>26</v>
      </c>
      <c r="C35" s="1857" t="s">
        <v>206</v>
      </c>
      <c r="D35" s="1727"/>
      <c r="E35" s="1759">
        <v>16.7</v>
      </c>
      <c r="F35" s="1728">
        <v>16.7</v>
      </c>
      <c r="G35" s="3920"/>
      <c r="H35" s="2287"/>
      <c r="I35" s="1759">
        <f t="shared" si="52"/>
        <v>0.55666666666666664</v>
      </c>
      <c r="J35" s="1728">
        <f t="shared" si="52"/>
        <v>0.55666666666666664</v>
      </c>
      <c r="K35" s="3920"/>
      <c r="L35" s="2287"/>
      <c r="M35" s="3687">
        <f t="shared" si="42"/>
        <v>5.382669094776877E-3</v>
      </c>
      <c r="N35" s="1729">
        <f t="shared" si="55"/>
        <v>5.382669094776877E-3</v>
      </c>
      <c r="O35" s="3938"/>
      <c r="P35" s="1931"/>
      <c r="Q35" s="1924"/>
      <c r="R35" s="1759">
        <f t="shared" ref="R35" si="80">$I$35</f>
        <v>0.55666666666666664</v>
      </c>
      <c r="S35" s="1728">
        <f>$J$35</f>
        <v>0.55666666666666664</v>
      </c>
      <c r="T35" s="3920"/>
      <c r="U35" s="2287"/>
      <c r="V35" s="1728"/>
      <c r="W35" s="1728"/>
      <c r="X35" s="2287"/>
      <c r="Y35" s="1728"/>
      <c r="Z35" s="1728"/>
      <c r="AA35" s="2287"/>
      <c r="AB35" s="1728"/>
      <c r="AC35" s="1728"/>
      <c r="AD35" s="2287"/>
      <c r="AE35" s="1728"/>
      <c r="AF35" s="1728"/>
      <c r="AG35" s="2287"/>
      <c r="AH35" s="1728"/>
      <c r="AI35" s="1728"/>
      <c r="AJ35" s="2287"/>
      <c r="AK35" s="1728"/>
      <c r="AL35" s="1728"/>
      <c r="AM35" s="3386"/>
      <c r="AN35" s="3715">
        <f t="shared" si="57"/>
        <v>0.55666666666666664</v>
      </c>
      <c r="AO35" s="1759">
        <f t="shared" si="54"/>
        <v>1.0227071280076065</v>
      </c>
      <c r="AP35" s="3716">
        <f t="shared" si="58"/>
        <v>0.4660404613409399</v>
      </c>
      <c r="AQ35" s="3341">
        <f t="shared" si="59"/>
        <v>0.55666666666666664</v>
      </c>
      <c r="AR35" s="1728">
        <f t="shared" si="60"/>
        <v>1.0227071280076065</v>
      </c>
      <c r="AS35" s="3444">
        <f t="shared" si="61"/>
        <v>0.4660404613409399</v>
      </c>
      <c r="AT35" s="3948"/>
      <c r="AU35" s="3920"/>
      <c r="AV35" s="3949"/>
      <c r="AW35" s="1881"/>
      <c r="AX35" s="1728"/>
      <c r="AY35" s="1728"/>
      <c r="AZ35" s="1728"/>
      <c r="BA35" s="1728"/>
      <c r="BB35" s="1728"/>
      <c r="BC35" s="1728"/>
      <c r="BD35" s="1728"/>
      <c r="BE35" s="1881"/>
      <c r="BF35" s="2016">
        <f>SUM(AX35:BD35)</f>
        <v>0</v>
      </c>
      <c r="BG35" s="2017" t="e">
        <f t="shared" si="44"/>
        <v>#DIV/0!</v>
      </c>
      <c r="BH35" s="2018" t="e">
        <f>BG35-BF35</f>
        <v>#DIV/0!</v>
      </c>
      <c r="BI35" s="1881"/>
      <c r="BJ35" s="2268"/>
      <c r="BK35" s="2268"/>
      <c r="BL35" s="2268"/>
      <c r="BM35" s="2268"/>
      <c r="BN35" s="2268"/>
      <c r="BO35" s="2268"/>
      <c r="BP35" s="2268"/>
      <c r="BQ35" s="2293"/>
      <c r="BR35" s="2016">
        <f t="shared" si="64"/>
        <v>0</v>
      </c>
      <c r="BS35" s="2017" t="e">
        <f t="shared" si="45"/>
        <v>#DIV/0!</v>
      </c>
      <c r="BT35" s="2018" t="e">
        <f t="shared" si="65"/>
        <v>#DIV/0!</v>
      </c>
      <c r="BU35" s="2293"/>
      <c r="BV35" s="2268"/>
      <c r="BW35" s="2268"/>
      <c r="BX35" s="2268"/>
      <c r="BY35" s="2268"/>
      <c r="BZ35" s="2268"/>
      <c r="CA35" s="2268"/>
      <c r="CB35" s="2268"/>
      <c r="CC35" s="2293"/>
      <c r="CD35" s="2016">
        <f t="shared" si="66"/>
        <v>0</v>
      </c>
      <c r="CE35" s="2017" t="e">
        <f t="shared" si="46"/>
        <v>#DIV/0!</v>
      </c>
      <c r="CF35" s="2018" t="e">
        <f t="shared" si="67"/>
        <v>#DIV/0!</v>
      </c>
      <c r="CG35" s="3386"/>
      <c r="CH35" s="1728"/>
      <c r="CI35" s="1728"/>
      <c r="CJ35" s="3386"/>
      <c r="CK35" s="2016">
        <f t="shared" si="47"/>
        <v>0</v>
      </c>
      <c r="CL35" s="2017" t="e">
        <f t="shared" si="48"/>
        <v>#DIV/0!</v>
      </c>
      <c r="CM35" s="2018" t="e">
        <f t="shared" si="74"/>
        <v>#DIV/0!</v>
      </c>
      <c r="CO35" s="1732">
        <v>0</v>
      </c>
      <c r="CP35" s="1882">
        <f t="shared" si="49"/>
        <v>0</v>
      </c>
      <c r="CQ35" s="1740"/>
      <c r="CR35" s="2019">
        <f t="shared" si="50"/>
        <v>1.1133333333333333</v>
      </c>
      <c r="CS35" s="2020">
        <f t="shared" si="51"/>
        <v>6.6666666666666666E-2</v>
      </c>
      <c r="CT35" s="1997"/>
      <c r="CU35" s="3480" t="s">
        <v>159</v>
      </c>
      <c r="CV35" s="2059">
        <v>0.5</v>
      </c>
      <c r="CW35" s="1997">
        <f>IF(CW30&lt;=CV35,CW30," ")</f>
        <v>3.3333333333333333E-2</v>
      </c>
      <c r="CX35" s="1810"/>
      <c r="CY35" s="1810"/>
      <c r="CZ35" s="1810"/>
      <c r="DA35" s="1810"/>
      <c r="DB35" s="1810"/>
      <c r="DC35" s="1810"/>
      <c r="DD35" s="1810"/>
      <c r="DE35" s="1810"/>
      <c r="DF35" s="1810"/>
      <c r="DG35" s="3905"/>
      <c r="DH35" s="3467"/>
      <c r="DI35" s="3384"/>
      <c r="DJ35" s="3384"/>
      <c r="DK35" s="3384"/>
      <c r="DQ35" s="3384"/>
      <c r="DR35" s="1810"/>
    </row>
    <row r="36" spans="2:122" x14ac:dyDescent="0.2">
      <c r="B36" s="1907">
        <v>27</v>
      </c>
      <c r="C36" s="1887" t="s">
        <v>258</v>
      </c>
      <c r="D36" s="1888"/>
      <c r="E36" s="1889">
        <v>15</v>
      </c>
      <c r="F36" s="2001">
        <v>15</v>
      </c>
      <c r="G36" s="3924"/>
      <c r="H36" s="3323"/>
      <c r="I36" s="1889">
        <f t="shared" si="52"/>
        <v>0.5</v>
      </c>
      <c r="J36" s="2001">
        <f t="shared" si="52"/>
        <v>0.5</v>
      </c>
      <c r="K36" s="3924"/>
      <c r="L36" s="3323"/>
      <c r="M36" s="1948">
        <f t="shared" si="42"/>
        <v>4.8347327198594711E-3</v>
      </c>
      <c r="N36" s="2583">
        <f t="shared" si="55"/>
        <v>4.8347327198594711E-3</v>
      </c>
      <c r="O36" s="3918"/>
      <c r="P36" s="1866"/>
      <c r="Q36" s="1867"/>
      <c r="R36" s="1780">
        <f t="shared" ref="R36" si="81">$I$36</f>
        <v>0.5</v>
      </c>
      <c r="S36" s="1746">
        <f>$J$36</f>
        <v>0.5</v>
      </c>
      <c r="T36" s="3919"/>
      <c r="U36" s="2288"/>
      <c r="V36" s="1746"/>
      <c r="W36" s="1746"/>
      <c r="X36" s="2288"/>
      <c r="Y36" s="1746"/>
      <c r="Z36" s="1746"/>
      <c r="AA36" s="2288"/>
      <c r="AB36" s="1746"/>
      <c r="AC36" s="1746"/>
      <c r="AD36" s="2288"/>
      <c r="AE36" s="1746"/>
      <c r="AF36" s="1746"/>
      <c r="AG36" s="2288"/>
      <c r="AH36" s="1746"/>
      <c r="AI36" s="1746"/>
      <c r="AJ36" s="2288"/>
      <c r="AK36" s="1746"/>
      <c r="AL36" s="1746"/>
      <c r="AM36" s="3385"/>
      <c r="AN36" s="3717">
        <f t="shared" si="57"/>
        <v>0.5</v>
      </c>
      <c r="AO36" s="1780">
        <f t="shared" si="54"/>
        <v>0.91859921677329948</v>
      </c>
      <c r="AP36" s="3718">
        <f t="shared" si="58"/>
        <v>0.41859921677329948</v>
      </c>
      <c r="AQ36" s="3342">
        <f t="shared" si="59"/>
        <v>0.5</v>
      </c>
      <c r="AR36" s="1746">
        <f t="shared" si="60"/>
        <v>0.91859921677329948</v>
      </c>
      <c r="AS36" s="3446">
        <f t="shared" si="61"/>
        <v>0.41859921677329948</v>
      </c>
      <c r="AT36" s="3969"/>
      <c r="AU36" s="3919"/>
      <c r="AV36" s="3970"/>
      <c r="AW36" s="1914"/>
      <c r="AX36" s="1746"/>
      <c r="AY36" s="1746"/>
      <c r="AZ36" s="1746"/>
      <c r="BA36" s="1746"/>
      <c r="BB36" s="1746"/>
      <c r="BC36" s="1746"/>
      <c r="BD36" s="1746"/>
      <c r="BE36" s="1914"/>
      <c r="BF36" s="2953">
        <f t="shared" ref="BF36:BF42" si="82">SUM(AX36:BD36)</f>
        <v>0</v>
      </c>
      <c r="BG36" s="2954" t="e">
        <f t="shared" si="44"/>
        <v>#DIV/0!</v>
      </c>
      <c r="BH36" s="2955" t="e">
        <f t="shared" ref="BH36:BH42" si="83">BG36-BF36</f>
        <v>#DIV/0!</v>
      </c>
      <c r="BI36" s="1914"/>
      <c r="BJ36" s="1990"/>
      <c r="BK36" s="1990"/>
      <c r="BL36" s="1990"/>
      <c r="BM36" s="1990"/>
      <c r="BN36" s="1990"/>
      <c r="BO36" s="1990"/>
      <c r="BP36" s="1990"/>
      <c r="BQ36" s="2297"/>
      <c r="BR36" s="2953">
        <f t="shared" si="64"/>
        <v>0</v>
      </c>
      <c r="BS36" s="2954" t="e">
        <f t="shared" si="45"/>
        <v>#DIV/0!</v>
      </c>
      <c r="BT36" s="2955" t="e">
        <f t="shared" si="65"/>
        <v>#DIV/0!</v>
      </c>
      <c r="BU36" s="2297"/>
      <c r="BV36" s="1990"/>
      <c r="BW36" s="1990"/>
      <c r="BX36" s="1990"/>
      <c r="BY36" s="1990"/>
      <c r="BZ36" s="1990"/>
      <c r="CA36" s="1990"/>
      <c r="CB36" s="1990"/>
      <c r="CC36" s="2297"/>
      <c r="CD36" s="2953">
        <f t="shared" si="66"/>
        <v>0</v>
      </c>
      <c r="CE36" s="2954" t="e">
        <f t="shared" si="46"/>
        <v>#DIV/0!</v>
      </c>
      <c r="CF36" s="2955" t="e">
        <f t="shared" si="67"/>
        <v>#DIV/0!</v>
      </c>
      <c r="CG36" s="3385"/>
      <c r="CH36" s="1746"/>
      <c r="CI36" s="1746"/>
      <c r="CJ36" s="3385"/>
      <c r="CK36" s="2953">
        <f t="shared" si="47"/>
        <v>0</v>
      </c>
      <c r="CL36" s="2954" t="e">
        <f t="shared" si="48"/>
        <v>#DIV/0!</v>
      </c>
      <c r="CM36" s="2955" t="e">
        <f t="shared" si="74"/>
        <v>#DIV/0!</v>
      </c>
      <c r="CO36" s="1747">
        <v>0</v>
      </c>
      <c r="CP36" s="1752">
        <f t="shared" si="49"/>
        <v>0</v>
      </c>
      <c r="CQ36" s="1754"/>
      <c r="CR36" s="2956">
        <f t="shared" si="50"/>
        <v>1</v>
      </c>
      <c r="CS36" s="2957">
        <f t="shared" si="51"/>
        <v>6.6666666666666666E-2</v>
      </c>
      <c r="CT36" s="1993"/>
      <c r="CU36" s="3481" t="s">
        <v>160</v>
      </c>
      <c r="CV36" s="2463">
        <v>0.75</v>
      </c>
      <c r="CW36" s="1802" t="str">
        <f>IF(AND(CW30&gt;CV35,CW30&lt;=CV36),CW30," ")</f>
        <v xml:space="preserve"> </v>
      </c>
      <c r="CX36" s="3906"/>
      <c r="CY36" s="3906"/>
      <c r="CZ36" s="3906"/>
      <c r="DA36" s="3906"/>
      <c r="DB36" s="3906"/>
      <c r="DC36" s="3906"/>
      <c r="DD36" s="3906"/>
      <c r="DE36" s="3906"/>
      <c r="DF36" s="3906"/>
      <c r="DG36" s="1916"/>
      <c r="DH36" s="3482"/>
      <c r="DI36" s="1916"/>
      <c r="DJ36" s="1916"/>
      <c r="DK36" s="1916"/>
      <c r="DQ36" s="1916"/>
      <c r="DR36" s="3400"/>
    </row>
    <row r="37" spans="2:122" s="1726" customFormat="1" x14ac:dyDescent="0.2">
      <c r="B37" s="3684">
        <v>28</v>
      </c>
      <c r="C37" s="1857" t="s">
        <v>259</v>
      </c>
      <c r="D37" s="1727"/>
      <c r="E37" s="1759">
        <v>15</v>
      </c>
      <c r="F37" s="1728">
        <v>15</v>
      </c>
      <c r="G37" s="3920"/>
      <c r="H37" s="2287"/>
      <c r="I37" s="1759">
        <f t="shared" si="52"/>
        <v>0.5</v>
      </c>
      <c r="J37" s="1728">
        <f t="shared" si="52"/>
        <v>0.5</v>
      </c>
      <c r="K37" s="3920"/>
      <c r="L37" s="2287"/>
      <c r="M37" s="3687">
        <f t="shared" si="42"/>
        <v>4.8347327198594711E-3</v>
      </c>
      <c r="N37" s="1729">
        <f t="shared" si="55"/>
        <v>4.8347327198594711E-3</v>
      </c>
      <c r="O37" s="3938"/>
      <c r="P37" s="1931"/>
      <c r="Q37" s="1924"/>
      <c r="R37" s="1759">
        <f t="shared" ref="R37" si="84">$I$37</f>
        <v>0.5</v>
      </c>
      <c r="S37" s="1728">
        <f>$J$37</f>
        <v>0.5</v>
      </c>
      <c r="T37" s="3920"/>
      <c r="U37" s="2287"/>
      <c r="V37" s="1728"/>
      <c r="W37" s="1728"/>
      <c r="X37" s="2287"/>
      <c r="Y37" s="1728"/>
      <c r="Z37" s="1728"/>
      <c r="AA37" s="2287"/>
      <c r="AB37" s="1728"/>
      <c r="AC37" s="1728"/>
      <c r="AD37" s="2287"/>
      <c r="AE37" s="1728"/>
      <c r="AF37" s="1728"/>
      <c r="AG37" s="2287"/>
      <c r="AH37" s="1728"/>
      <c r="AI37" s="1728"/>
      <c r="AJ37" s="2287"/>
      <c r="AK37" s="1728"/>
      <c r="AL37" s="1728"/>
      <c r="AM37" s="3386"/>
      <c r="AN37" s="3715">
        <f t="shared" si="57"/>
        <v>0.5</v>
      </c>
      <c r="AO37" s="1759">
        <f t="shared" si="54"/>
        <v>0.91859921677329948</v>
      </c>
      <c r="AP37" s="3716">
        <f t="shared" si="58"/>
        <v>0.41859921677329948</v>
      </c>
      <c r="AQ37" s="3341">
        <f t="shared" si="59"/>
        <v>0.5</v>
      </c>
      <c r="AR37" s="1728">
        <f t="shared" si="60"/>
        <v>0.91859921677329948</v>
      </c>
      <c r="AS37" s="3444">
        <f t="shared" si="61"/>
        <v>0.41859921677329948</v>
      </c>
      <c r="AT37" s="3948"/>
      <c r="AU37" s="3920"/>
      <c r="AV37" s="3949"/>
      <c r="AW37" s="1881"/>
      <c r="AX37" s="1728"/>
      <c r="AY37" s="1728"/>
      <c r="AZ37" s="1728"/>
      <c r="BA37" s="1728"/>
      <c r="BB37" s="1728"/>
      <c r="BC37" s="1728"/>
      <c r="BD37" s="1728"/>
      <c r="BE37" s="1881"/>
      <c r="BF37" s="2016">
        <f t="shared" si="82"/>
        <v>0</v>
      </c>
      <c r="BG37" s="2017" t="e">
        <f t="shared" si="44"/>
        <v>#DIV/0!</v>
      </c>
      <c r="BH37" s="2018" t="e">
        <f t="shared" si="83"/>
        <v>#DIV/0!</v>
      </c>
      <c r="BI37" s="1881"/>
      <c r="BJ37" s="2268"/>
      <c r="BK37" s="2268"/>
      <c r="BL37" s="2268"/>
      <c r="BM37" s="2268"/>
      <c r="BN37" s="2268"/>
      <c r="BO37" s="2268"/>
      <c r="BP37" s="2268"/>
      <c r="BQ37" s="2293"/>
      <c r="BR37" s="2016">
        <f t="shared" si="64"/>
        <v>0</v>
      </c>
      <c r="BS37" s="2017" t="e">
        <f t="shared" si="45"/>
        <v>#DIV/0!</v>
      </c>
      <c r="BT37" s="2018" t="e">
        <f t="shared" si="65"/>
        <v>#DIV/0!</v>
      </c>
      <c r="BU37" s="2293"/>
      <c r="BV37" s="2268"/>
      <c r="BW37" s="2268"/>
      <c r="BX37" s="2268"/>
      <c r="BY37" s="2268"/>
      <c r="BZ37" s="2268"/>
      <c r="CA37" s="2268"/>
      <c r="CB37" s="2268"/>
      <c r="CC37" s="2293"/>
      <c r="CD37" s="2016">
        <f t="shared" si="66"/>
        <v>0</v>
      </c>
      <c r="CE37" s="2017" t="e">
        <f t="shared" si="46"/>
        <v>#DIV/0!</v>
      </c>
      <c r="CF37" s="2018" t="e">
        <f t="shared" si="67"/>
        <v>#DIV/0!</v>
      </c>
      <c r="CG37" s="3386"/>
      <c r="CH37" s="1728"/>
      <c r="CI37" s="1728"/>
      <c r="CJ37" s="3386"/>
      <c r="CK37" s="2016">
        <f t="shared" si="47"/>
        <v>0</v>
      </c>
      <c r="CL37" s="2017" t="e">
        <f t="shared" si="48"/>
        <v>#DIV/0!</v>
      </c>
      <c r="CM37" s="2018" t="e">
        <f t="shared" si="74"/>
        <v>#DIV/0!</v>
      </c>
      <c r="CO37" s="1732">
        <v>0</v>
      </c>
      <c r="CP37" s="1882">
        <f t="shared" si="49"/>
        <v>0</v>
      </c>
      <c r="CQ37" s="1740"/>
      <c r="CR37" s="2019">
        <f t="shared" si="50"/>
        <v>1</v>
      </c>
      <c r="CS37" s="2020">
        <f t="shared" si="51"/>
        <v>6.6666666666666666E-2</v>
      </c>
      <c r="CT37" s="1997"/>
      <c r="CU37" s="3480" t="s">
        <v>161</v>
      </c>
      <c r="CV37" s="2059">
        <v>1</v>
      </c>
      <c r="CW37" s="2037" t="str">
        <f>IF(CW30&gt;CV36,CW30," ")</f>
        <v xml:space="preserve"> </v>
      </c>
      <c r="CX37" s="1810"/>
      <c r="CY37" s="1810"/>
      <c r="CZ37" s="1810"/>
      <c r="DA37" s="1810"/>
      <c r="DB37" s="1810"/>
      <c r="DC37" s="1810"/>
      <c r="DD37" s="1810"/>
      <c r="DE37" s="1810"/>
      <c r="DF37" s="1810"/>
      <c r="DG37" s="3905"/>
      <c r="DH37" s="3467"/>
      <c r="DI37" s="3384"/>
      <c r="DJ37" s="3384"/>
      <c r="DK37" s="3384"/>
      <c r="DQ37" s="3384"/>
      <c r="DR37" s="1810"/>
    </row>
    <row r="38" spans="2:122" x14ac:dyDescent="0.2">
      <c r="B38" s="1907">
        <v>29</v>
      </c>
      <c r="C38" s="1887" t="s">
        <v>244</v>
      </c>
      <c r="D38" s="1888"/>
      <c r="E38" s="1889">
        <v>5</v>
      </c>
      <c r="F38" s="2001">
        <v>5</v>
      </c>
      <c r="G38" s="3924"/>
      <c r="H38" s="3323"/>
      <c r="I38" s="1889">
        <f t="shared" si="52"/>
        <v>0.16666666666666666</v>
      </c>
      <c r="J38" s="2001">
        <f t="shared" si="52"/>
        <v>0.16666666666666666</v>
      </c>
      <c r="K38" s="3924"/>
      <c r="L38" s="3323"/>
      <c r="M38" s="1948">
        <f t="shared" si="42"/>
        <v>1.6115775732864902E-3</v>
      </c>
      <c r="N38" s="2583">
        <f t="shared" si="55"/>
        <v>1.6115775732864902E-3</v>
      </c>
      <c r="O38" s="3918"/>
      <c r="P38" s="1866"/>
      <c r="Q38" s="1867"/>
      <c r="R38" s="1780">
        <f t="shared" ref="R38" si="85">$I$38</f>
        <v>0.16666666666666666</v>
      </c>
      <c r="S38" s="1746">
        <f>$J$38</f>
        <v>0.16666666666666666</v>
      </c>
      <c r="T38" s="3919"/>
      <c r="U38" s="2288"/>
      <c r="V38" s="1746"/>
      <c r="W38" s="1746"/>
      <c r="X38" s="2288"/>
      <c r="Y38" s="1746"/>
      <c r="Z38" s="1746"/>
      <c r="AA38" s="2288"/>
      <c r="AB38" s="1746"/>
      <c r="AC38" s="1746"/>
      <c r="AD38" s="2288"/>
      <c r="AE38" s="1746"/>
      <c r="AF38" s="1746"/>
      <c r="AG38" s="2288"/>
      <c r="AH38" s="1746"/>
      <c r="AI38" s="1746"/>
      <c r="AJ38" s="2288"/>
      <c r="AK38" s="1746"/>
      <c r="AL38" s="1746"/>
      <c r="AM38" s="3385"/>
      <c r="AN38" s="3717">
        <f t="shared" si="57"/>
        <v>0.16666666666666666</v>
      </c>
      <c r="AO38" s="1780">
        <f t="shared" si="54"/>
        <v>0.30619973892443314</v>
      </c>
      <c r="AP38" s="3718">
        <f t="shared" si="58"/>
        <v>0.13953307225776648</v>
      </c>
      <c r="AQ38" s="3342">
        <f t="shared" si="59"/>
        <v>0.16666666666666666</v>
      </c>
      <c r="AR38" s="1746">
        <f t="shared" si="60"/>
        <v>0.30619973892443314</v>
      </c>
      <c r="AS38" s="3446">
        <f t="shared" si="61"/>
        <v>0.13953307225776648</v>
      </c>
      <c r="AT38" s="3969"/>
      <c r="AU38" s="3919"/>
      <c r="AV38" s="3970"/>
      <c r="AW38" s="1914"/>
      <c r="AX38" s="1746"/>
      <c r="AY38" s="1746"/>
      <c r="AZ38" s="1746"/>
      <c r="BA38" s="1746"/>
      <c r="BB38" s="1746"/>
      <c r="BC38" s="1746"/>
      <c r="BD38" s="1746"/>
      <c r="BE38" s="1914"/>
      <c r="BF38" s="2953">
        <f t="shared" si="82"/>
        <v>0</v>
      </c>
      <c r="BG38" s="2954" t="e">
        <f t="shared" si="44"/>
        <v>#DIV/0!</v>
      </c>
      <c r="BH38" s="2955" t="e">
        <f t="shared" si="83"/>
        <v>#DIV/0!</v>
      </c>
      <c r="BI38" s="1914"/>
      <c r="BJ38" s="1990"/>
      <c r="BK38" s="1990"/>
      <c r="BL38" s="1990"/>
      <c r="BM38" s="1990"/>
      <c r="BN38" s="1990"/>
      <c r="BO38" s="1990"/>
      <c r="BP38" s="1990"/>
      <c r="BQ38" s="2297"/>
      <c r="BR38" s="2953">
        <f t="shared" si="64"/>
        <v>0</v>
      </c>
      <c r="BS38" s="2954" t="e">
        <f t="shared" si="45"/>
        <v>#DIV/0!</v>
      </c>
      <c r="BT38" s="2955" t="e">
        <f t="shared" si="65"/>
        <v>#DIV/0!</v>
      </c>
      <c r="BU38" s="2297"/>
      <c r="BV38" s="1990"/>
      <c r="BW38" s="1990"/>
      <c r="BX38" s="1990"/>
      <c r="BY38" s="1990"/>
      <c r="BZ38" s="1990"/>
      <c r="CA38" s="1990"/>
      <c r="CB38" s="1990"/>
      <c r="CC38" s="2297"/>
      <c r="CD38" s="2953">
        <f t="shared" si="66"/>
        <v>0</v>
      </c>
      <c r="CE38" s="2954" t="e">
        <f t="shared" si="46"/>
        <v>#DIV/0!</v>
      </c>
      <c r="CF38" s="2955" t="e">
        <f t="shared" si="67"/>
        <v>#DIV/0!</v>
      </c>
      <c r="CG38" s="3385"/>
      <c r="CH38" s="1746"/>
      <c r="CI38" s="1746"/>
      <c r="CJ38" s="3385"/>
      <c r="CK38" s="2953">
        <f t="shared" si="47"/>
        <v>0</v>
      </c>
      <c r="CL38" s="2954" t="e">
        <f t="shared" si="48"/>
        <v>#DIV/0!</v>
      </c>
      <c r="CM38" s="2955" t="e">
        <f t="shared" si="74"/>
        <v>#DIV/0!</v>
      </c>
      <c r="CO38" s="1747">
        <v>0</v>
      </c>
      <c r="CP38" s="1752">
        <f t="shared" si="49"/>
        <v>0</v>
      </c>
      <c r="CQ38" s="1754"/>
      <c r="CR38" s="2956">
        <f t="shared" si="50"/>
        <v>0.33333333333333331</v>
      </c>
      <c r="CS38" s="2957">
        <f t="shared" si="51"/>
        <v>6.6666666666666666E-2</v>
      </c>
      <c r="CT38" s="1993"/>
      <c r="CU38" s="3483"/>
      <c r="CV38" s="2047" t="s">
        <v>158</v>
      </c>
      <c r="CW38" s="2952">
        <f>MAX(100%,CW30)-CW30</f>
        <v>0.96666666666666667</v>
      </c>
      <c r="CX38" s="3906"/>
      <c r="CY38" s="3906"/>
      <c r="CZ38" s="3906"/>
      <c r="DA38" s="3906"/>
      <c r="DB38" s="3906"/>
      <c r="DC38" s="3906"/>
      <c r="DD38" s="3906"/>
      <c r="DE38" s="3906"/>
      <c r="DF38" s="3906"/>
      <c r="DG38" s="1916"/>
      <c r="DH38" s="3482"/>
      <c r="DI38" s="1916"/>
      <c r="DJ38" s="1916"/>
      <c r="DK38" s="1916"/>
      <c r="DQ38" s="1916"/>
      <c r="DR38" s="3400"/>
    </row>
    <row r="39" spans="2:122" s="1726" customFormat="1" ht="17.25" thickBot="1" x14ac:dyDescent="0.25">
      <c r="B39" s="1857">
        <v>30</v>
      </c>
      <c r="C39" s="1857" t="s">
        <v>230</v>
      </c>
      <c r="D39" s="1727"/>
      <c r="E39" s="1759">
        <v>0</v>
      </c>
      <c r="F39" s="1728">
        <v>0</v>
      </c>
      <c r="G39" s="3920"/>
      <c r="H39" s="2287"/>
      <c r="I39" s="1759">
        <f t="shared" si="52"/>
        <v>0</v>
      </c>
      <c r="J39" s="1728">
        <f t="shared" si="52"/>
        <v>0</v>
      </c>
      <c r="K39" s="3920"/>
      <c r="L39" s="2287"/>
      <c r="M39" s="3687">
        <f t="shared" si="42"/>
        <v>0</v>
      </c>
      <c r="N39" s="1729">
        <f t="shared" si="55"/>
        <v>0</v>
      </c>
      <c r="O39" s="3938"/>
      <c r="P39" s="1931"/>
      <c r="Q39" s="1924"/>
      <c r="R39" s="1759">
        <f t="shared" ref="R39" si="86">$I$39</f>
        <v>0</v>
      </c>
      <c r="S39" s="1728">
        <f>$J$39</f>
        <v>0</v>
      </c>
      <c r="T39" s="3920"/>
      <c r="U39" s="2287"/>
      <c r="V39" s="1728"/>
      <c r="W39" s="1728"/>
      <c r="X39" s="2287"/>
      <c r="Y39" s="1728"/>
      <c r="Z39" s="1728"/>
      <c r="AA39" s="2287"/>
      <c r="AB39" s="1728"/>
      <c r="AC39" s="1728"/>
      <c r="AD39" s="2287"/>
      <c r="AE39" s="1728"/>
      <c r="AF39" s="1728"/>
      <c r="AG39" s="2287"/>
      <c r="AH39" s="1728"/>
      <c r="AI39" s="1728"/>
      <c r="AJ39" s="2287"/>
      <c r="AK39" s="1728"/>
      <c r="AL39" s="1728"/>
      <c r="AM39" s="3386"/>
      <c r="AN39" s="3715">
        <f t="shared" si="57"/>
        <v>0</v>
      </c>
      <c r="AO39" s="1759">
        <f t="shared" si="54"/>
        <v>0</v>
      </c>
      <c r="AP39" s="3716">
        <f t="shared" si="58"/>
        <v>0</v>
      </c>
      <c r="AQ39" s="3341">
        <f t="shared" si="59"/>
        <v>0</v>
      </c>
      <c r="AR39" s="1728">
        <f t="shared" si="60"/>
        <v>0</v>
      </c>
      <c r="AS39" s="3444">
        <f t="shared" si="61"/>
        <v>0</v>
      </c>
      <c r="AT39" s="3948"/>
      <c r="AU39" s="3920"/>
      <c r="AV39" s="3949"/>
      <c r="AW39" s="1881"/>
      <c r="AX39" s="1728"/>
      <c r="AY39" s="1728"/>
      <c r="AZ39" s="1728"/>
      <c r="BA39" s="1728"/>
      <c r="BB39" s="1728"/>
      <c r="BC39" s="1728"/>
      <c r="BD39" s="1728"/>
      <c r="BE39" s="1881"/>
      <c r="BF39" s="2016">
        <f t="shared" si="82"/>
        <v>0</v>
      </c>
      <c r="BG39" s="2017" t="e">
        <f t="shared" si="44"/>
        <v>#DIV/0!</v>
      </c>
      <c r="BH39" s="2018" t="e">
        <f t="shared" si="83"/>
        <v>#DIV/0!</v>
      </c>
      <c r="BI39" s="1881"/>
      <c r="BJ39" s="2268"/>
      <c r="BK39" s="2268"/>
      <c r="BL39" s="2268"/>
      <c r="BM39" s="2268"/>
      <c r="BN39" s="2268"/>
      <c r="BO39" s="2268"/>
      <c r="BP39" s="2268"/>
      <c r="BQ39" s="2293"/>
      <c r="BR39" s="2016">
        <f t="shared" si="64"/>
        <v>0</v>
      </c>
      <c r="BS39" s="2017" t="e">
        <f t="shared" si="45"/>
        <v>#DIV/0!</v>
      </c>
      <c r="BT39" s="2018" t="e">
        <f t="shared" si="65"/>
        <v>#DIV/0!</v>
      </c>
      <c r="BU39" s="2293"/>
      <c r="BV39" s="2268"/>
      <c r="BW39" s="2268"/>
      <c r="BX39" s="2268"/>
      <c r="BY39" s="2268"/>
      <c r="BZ39" s="2268"/>
      <c r="CA39" s="2268"/>
      <c r="CB39" s="2268"/>
      <c r="CC39" s="2293"/>
      <c r="CD39" s="2016">
        <f t="shared" si="66"/>
        <v>0</v>
      </c>
      <c r="CE39" s="2017" t="e">
        <f t="shared" si="46"/>
        <v>#DIV/0!</v>
      </c>
      <c r="CF39" s="2018" t="e">
        <f t="shared" si="67"/>
        <v>#DIV/0!</v>
      </c>
      <c r="CG39" s="3386"/>
      <c r="CH39" s="1728"/>
      <c r="CI39" s="1728"/>
      <c r="CJ39" s="3386"/>
      <c r="CK39" s="2016">
        <f t="shared" si="47"/>
        <v>0</v>
      </c>
      <c r="CL39" s="2017" t="e">
        <f t="shared" si="48"/>
        <v>#DIV/0!</v>
      </c>
      <c r="CM39" s="2018" t="e">
        <f t="shared" si="74"/>
        <v>#DIV/0!</v>
      </c>
      <c r="CO39" s="1732">
        <v>0</v>
      </c>
      <c r="CP39" s="1882" t="e">
        <f t="shared" si="49"/>
        <v>#DIV/0!</v>
      </c>
      <c r="CQ39" s="1740"/>
      <c r="CR39" s="2019">
        <f t="shared" si="50"/>
        <v>0</v>
      </c>
      <c r="CS39" s="2020" t="e">
        <f t="shared" si="51"/>
        <v>#DIV/0!</v>
      </c>
      <c r="CT39" s="1997"/>
      <c r="CU39" s="3484"/>
      <c r="CV39" s="3485"/>
      <c r="CW39" s="3486"/>
      <c r="CX39" s="3487"/>
      <c r="CY39" s="3487"/>
      <c r="CZ39" s="3487"/>
      <c r="DA39" s="3487"/>
      <c r="DB39" s="3487"/>
      <c r="DC39" s="3487"/>
      <c r="DD39" s="3487"/>
      <c r="DE39" s="3487"/>
      <c r="DF39" s="3487"/>
      <c r="DG39" s="4027"/>
      <c r="DH39" s="3488"/>
      <c r="DI39" s="3452"/>
      <c r="DJ39" s="3452"/>
      <c r="DK39" s="3452"/>
      <c r="DL39" s="1860"/>
      <c r="DM39" s="1860"/>
      <c r="DN39" s="1860"/>
      <c r="DO39" s="1860"/>
      <c r="DP39" s="1860"/>
      <c r="DQ39" s="3452"/>
      <c r="DR39" s="1810"/>
    </row>
    <row r="40" spans="2:122" s="1885" customFormat="1" x14ac:dyDescent="0.2">
      <c r="B40" s="3683">
        <v>31</v>
      </c>
      <c r="C40" s="1887" t="s">
        <v>199</v>
      </c>
      <c r="D40" s="1888"/>
      <c r="E40" s="1889">
        <v>0</v>
      </c>
      <c r="F40" s="2001">
        <v>0</v>
      </c>
      <c r="G40" s="3924"/>
      <c r="H40" s="3323"/>
      <c r="I40" s="1889">
        <f t="shared" si="52"/>
        <v>0</v>
      </c>
      <c r="J40" s="2001">
        <f t="shared" si="52"/>
        <v>0</v>
      </c>
      <c r="K40" s="3924"/>
      <c r="L40" s="3323"/>
      <c r="M40" s="1948">
        <f t="shared" si="42"/>
        <v>0</v>
      </c>
      <c r="N40" s="2583">
        <f t="shared" si="55"/>
        <v>0</v>
      </c>
      <c r="O40" s="3918"/>
      <c r="P40" s="2003"/>
      <c r="Q40" s="1950"/>
      <c r="R40" s="1889">
        <f t="shared" ref="R40" si="87">$I$40</f>
        <v>0</v>
      </c>
      <c r="S40" s="2001">
        <f>$J$40</f>
        <v>0</v>
      </c>
      <c r="T40" s="3924"/>
      <c r="U40" s="3323"/>
      <c r="V40" s="2001"/>
      <c r="W40" s="2001"/>
      <c r="X40" s="3323"/>
      <c r="Y40" s="2001"/>
      <c r="Z40" s="2001"/>
      <c r="AA40" s="3323"/>
      <c r="AB40" s="2001"/>
      <c r="AC40" s="2001"/>
      <c r="AD40" s="3323"/>
      <c r="AE40" s="2001"/>
      <c r="AF40" s="2001"/>
      <c r="AG40" s="3323"/>
      <c r="AH40" s="2001"/>
      <c r="AI40" s="2001"/>
      <c r="AJ40" s="3323"/>
      <c r="AK40" s="2001"/>
      <c r="AL40" s="2001"/>
      <c r="AM40" s="3382"/>
      <c r="AN40" s="3717">
        <f t="shared" si="57"/>
        <v>0</v>
      </c>
      <c r="AO40" s="1889">
        <f t="shared" si="54"/>
        <v>0</v>
      </c>
      <c r="AP40" s="3703">
        <f t="shared" si="58"/>
        <v>0</v>
      </c>
      <c r="AQ40" s="3342">
        <f t="shared" si="59"/>
        <v>0</v>
      </c>
      <c r="AR40" s="1746">
        <f t="shared" si="60"/>
        <v>0</v>
      </c>
      <c r="AS40" s="3445">
        <f t="shared" si="61"/>
        <v>0</v>
      </c>
      <c r="AT40" s="3952"/>
      <c r="AU40" s="3924"/>
      <c r="AV40" s="3953"/>
      <c r="AW40" s="1896"/>
      <c r="AX40" s="2001"/>
      <c r="AY40" s="2001"/>
      <c r="AZ40" s="2001"/>
      <c r="BA40" s="2001"/>
      <c r="BB40" s="2001"/>
      <c r="BC40" s="2001"/>
      <c r="BD40" s="2001"/>
      <c r="BE40" s="1896"/>
      <c r="BF40" s="2481">
        <f t="shared" si="82"/>
        <v>0</v>
      </c>
      <c r="BG40" s="2482" t="e">
        <f t="shared" si="44"/>
        <v>#DIV/0!</v>
      </c>
      <c r="BH40" s="2483" t="e">
        <f t="shared" si="83"/>
        <v>#DIV/0!</v>
      </c>
      <c r="BI40" s="1896"/>
      <c r="BJ40" s="2005"/>
      <c r="BK40" s="2005"/>
      <c r="BL40" s="2005"/>
      <c r="BM40" s="2005"/>
      <c r="BN40" s="2005"/>
      <c r="BO40" s="2005"/>
      <c r="BP40" s="2005"/>
      <c r="BQ40" s="2295"/>
      <c r="BR40" s="2016">
        <f t="shared" si="64"/>
        <v>0</v>
      </c>
      <c r="BS40" s="2482" t="e">
        <f t="shared" si="45"/>
        <v>#DIV/0!</v>
      </c>
      <c r="BT40" s="2483" t="e">
        <f t="shared" si="65"/>
        <v>#DIV/0!</v>
      </c>
      <c r="BU40" s="2295"/>
      <c r="BV40" s="2005"/>
      <c r="BW40" s="2005"/>
      <c r="BX40" s="2005"/>
      <c r="BY40" s="2005"/>
      <c r="BZ40" s="2005"/>
      <c r="CA40" s="2005"/>
      <c r="CB40" s="2005"/>
      <c r="CC40" s="2295"/>
      <c r="CD40" s="2481">
        <f t="shared" si="66"/>
        <v>0</v>
      </c>
      <c r="CE40" s="2482" t="e">
        <f t="shared" si="46"/>
        <v>#DIV/0!</v>
      </c>
      <c r="CF40" s="2483" t="e">
        <f t="shared" si="67"/>
        <v>#DIV/0!</v>
      </c>
      <c r="CG40" s="3382"/>
      <c r="CH40" s="2001"/>
      <c r="CI40" s="2001"/>
      <c r="CJ40" s="3382"/>
      <c r="CK40" s="2481">
        <f t="shared" si="47"/>
        <v>0</v>
      </c>
      <c r="CL40" s="2482" t="e">
        <f t="shared" si="48"/>
        <v>#DIV/0!</v>
      </c>
      <c r="CM40" s="2483" t="e">
        <f t="shared" si="74"/>
        <v>#DIV/0!</v>
      </c>
      <c r="CO40" s="1898">
        <v>0</v>
      </c>
      <c r="CP40" s="1899" t="e">
        <f t="shared" si="49"/>
        <v>#DIV/0!</v>
      </c>
      <c r="CQ40" s="1900"/>
      <c r="CR40" s="2388">
        <f t="shared" si="50"/>
        <v>0</v>
      </c>
      <c r="CS40" s="2389" t="e">
        <f t="shared" si="51"/>
        <v>#DIV/0!</v>
      </c>
      <c r="CT40" s="2010"/>
      <c r="CU40" s="3381"/>
      <c r="CV40" s="3381"/>
      <c r="CW40" s="3381"/>
      <c r="CX40" s="3381"/>
      <c r="CY40" s="3381"/>
      <c r="CZ40" s="3904"/>
      <c r="DA40" s="3904"/>
      <c r="DB40" s="3904"/>
      <c r="DC40" s="3904"/>
      <c r="DE40" s="3381"/>
      <c r="DF40" s="2993"/>
      <c r="DG40" s="1962"/>
      <c r="DH40" s="1960"/>
      <c r="DI40" s="1906"/>
      <c r="DJ40" s="1906"/>
      <c r="DK40" s="1906"/>
      <c r="DL40" s="1906"/>
      <c r="DM40" s="1906"/>
      <c r="DN40" s="1906"/>
      <c r="DO40" s="1906"/>
      <c r="DP40" s="1906"/>
      <c r="DQ40" s="1906"/>
      <c r="DR40" s="1906"/>
    </row>
    <row r="41" spans="2:122" s="1726" customFormat="1" x14ac:dyDescent="0.2">
      <c r="B41" s="1857">
        <v>32</v>
      </c>
      <c r="C41" s="1857" t="s">
        <v>284</v>
      </c>
      <c r="D41" s="1727"/>
      <c r="E41" s="1759">
        <v>0</v>
      </c>
      <c r="F41" s="1728">
        <v>0</v>
      </c>
      <c r="G41" s="3920"/>
      <c r="H41" s="2287"/>
      <c r="I41" s="1759">
        <f t="shared" si="52"/>
        <v>0</v>
      </c>
      <c r="J41" s="1728">
        <f t="shared" si="52"/>
        <v>0</v>
      </c>
      <c r="K41" s="3920"/>
      <c r="L41" s="2287"/>
      <c r="M41" s="3687">
        <f t="shared" si="42"/>
        <v>0</v>
      </c>
      <c r="N41" s="1729">
        <f t="shared" si="55"/>
        <v>0</v>
      </c>
      <c r="O41" s="3938"/>
      <c r="P41" s="1931"/>
      <c r="Q41" s="1924"/>
      <c r="R41" s="1759">
        <f t="shared" ref="R41" si="88">$I$41</f>
        <v>0</v>
      </c>
      <c r="S41" s="1728">
        <f>$J$41</f>
        <v>0</v>
      </c>
      <c r="T41" s="3920"/>
      <c r="U41" s="2287"/>
      <c r="V41" s="1728"/>
      <c r="W41" s="1728"/>
      <c r="X41" s="2287"/>
      <c r="Y41" s="1728"/>
      <c r="Z41" s="1728"/>
      <c r="AA41" s="2287"/>
      <c r="AB41" s="1728"/>
      <c r="AC41" s="1728"/>
      <c r="AD41" s="2287"/>
      <c r="AE41" s="1728"/>
      <c r="AF41" s="1728"/>
      <c r="AG41" s="2287"/>
      <c r="AH41" s="1728"/>
      <c r="AI41" s="1728"/>
      <c r="AJ41" s="2287"/>
      <c r="AK41" s="1728"/>
      <c r="AL41" s="1728"/>
      <c r="AM41" s="3386"/>
      <c r="AN41" s="3715">
        <f t="shared" si="57"/>
        <v>0</v>
      </c>
      <c r="AO41" s="1759">
        <f t="shared" si="54"/>
        <v>0</v>
      </c>
      <c r="AP41" s="3716">
        <f t="shared" si="58"/>
        <v>0</v>
      </c>
      <c r="AQ41" s="3341">
        <f t="shared" si="59"/>
        <v>0</v>
      </c>
      <c r="AR41" s="1728">
        <f t="shared" si="60"/>
        <v>0</v>
      </c>
      <c r="AS41" s="3444">
        <f t="shared" si="61"/>
        <v>0</v>
      </c>
      <c r="AT41" s="3948"/>
      <c r="AU41" s="3920"/>
      <c r="AV41" s="3949"/>
      <c r="AW41" s="1881"/>
      <c r="AX41" s="1728"/>
      <c r="AY41" s="1728"/>
      <c r="AZ41" s="1728"/>
      <c r="BA41" s="1728"/>
      <c r="BB41" s="1728"/>
      <c r="BC41" s="1728"/>
      <c r="BD41" s="1728"/>
      <c r="BE41" s="1881"/>
      <c r="BF41" s="2016">
        <f t="shared" si="82"/>
        <v>0</v>
      </c>
      <c r="BG41" s="2017" t="e">
        <f t="shared" si="44"/>
        <v>#DIV/0!</v>
      </c>
      <c r="BH41" s="2018" t="e">
        <f t="shared" si="83"/>
        <v>#DIV/0!</v>
      </c>
      <c r="BI41" s="1881"/>
      <c r="BJ41" s="2268"/>
      <c r="BK41" s="2268"/>
      <c r="BL41" s="2268"/>
      <c r="BM41" s="2268"/>
      <c r="BN41" s="2268"/>
      <c r="BO41" s="2268"/>
      <c r="BP41" s="2268"/>
      <c r="BQ41" s="2293"/>
      <c r="BR41" s="2016">
        <f t="shared" si="64"/>
        <v>0</v>
      </c>
      <c r="BS41" s="2017" t="e">
        <f t="shared" si="45"/>
        <v>#DIV/0!</v>
      </c>
      <c r="BT41" s="2018" t="e">
        <f t="shared" si="65"/>
        <v>#DIV/0!</v>
      </c>
      <c r="BU41" s="2293"/>
      <c r="BV41" s="2268"/>
      <c r="BW41" s="2268"/>
      <c r="BX41" s="2268"/>
      <c r="BY41" s="2268"/>
      <c r="BZ41" s="2268"/>
      <c r="CA41" s="2268"/>
      <c r="CB41" s="2268"/>
      <c r="CC41" s="2293"/>
      <c r="CD41" s="2016">
        <f t="shared" si="66"/>
        <v>0</v>
      </c>
      <c r="CE41" s="2017" t="e">
        <f t="shared" si="46"/>
        <v>#DIV/0!</v>
      </c>
      <c r="CF41" s="2018" t="e">
        <f t="shared" si="67"/>
        <v>#DIV/0!</v>
      </c>
      <c r="CG41" s="3386"/>
      <c r="CH41" s="1728"/>
      <c r="CI41" s="1728"/>
      <c r="CJ41" s="3386"/>
      <c r="CK41" s="2016">
        <f t="shared" si="47"/>
        <v>0</v>
      </c>
      <c r="CL41" s="2017" t="e">
        <f t="shared" si="48"/>
        <v>#DIV/0!</v>
      </c>
      <c r="CM41" s="2018" t="e">
        <f t="shared" si="74"/>
        <v>#DIV/0!</v>
      </c>
      <c r="CO41" s="1732">
        <v>0</v>
      </c>
      <c r="CP41" s="1882" t="e">
        <f t="shared" si="49"/>
        <v>#DIV/0!</v>
      </c>
      <c r="CQ41" s="1740"/>
      <c r="CR41" s="2019">
        <f t="shared" si="50"/>
        <v>0</v>
      </c>
      <c r="CS41" s="2020" t="e">
        <f t="shared" si="51"/>
        <v>#DIV/0!</v>
      </c>
      <c r="CT41" s="1997"/>
      <c r="CU41" s="3384"/>
      <c r="CV41" s="3384"/>
      <c r="CW41" s="3384"/>
      <c r="CX41" s="3384"/>
      <c r="CY41" s="3384"/>
      <c r="CZ41" s="3905"/>
      <c r="DA41" s="3905"/>
      <c r="DB41" s="3905"/>
      <c r="DC41" s="3905"/>
      <c r="DE41" s="3384"/>
      <c r="DF41" s="2992"/>
      <c r="DG41" s="1830"/>
      <c r="DH41" s="1817"/>
      <c r="DI41" s="1810"/>
      <c r="DJ41" s="1810"/>
      <c r="DK41" s="1810"/>
      <c r="DL41" s="1810"/>
      <c r="DM41" s="1810"/>
      <c r="DN41" s="1810"/>
      <c r="DO41" s="1810"/>
      <c r="DP41" s="1810"/>
      <c r="DQ41" s="1810"/>
      <c r="DR41" s="1810"/>
    </row>
    <row r="42" spans="2:122" s="1885" customFormat="1" x14ac:dyDescent="0.2">
      <c r="B42" s="1887">
        <v>33</v>
      </c>
      <c r="C42" s="1907" t="s">
        <v>260</v>
      </c>
      <c r="D42" s="1744"/>
      <c r="E42" s="1780">
        <v>0</v>
      </c>
      <c r="F42" s="1746">
        <v>0</v>
      </c>
      <c r="G42" s="3919"/>
      <c r="H42" s="2288"/>
      <c r="I42" s="1780">
        <f t="shared" si="52"/>
        <v>0</v>
      </c>
      <c r="J42" s="1746">
        <f t="shared" si="52"/>
        <v>0</v>
      </c>
      <c r="K42" s="3919"/>
      <c r="L42" s="2288"/>
      <c r="M42" s="3551">
        <f t="shared" si="42"/>
        <v>0</v>
      </c>
      <c r="N42" s="2583">
        <f t="shared" si="55"/>
        <v>0</v>
      </c>
      <c r="O42" s="3918"/>
      <c r="P42" s="2003"/>
      <c r="Q42" s="1950"/>
      <c r="R42" s="1889">
        <f t="shared" ref="R42" si="89">$I$42</f>
        <v>0</v>
      </c>
      <c r="S42" s="2001">
        <f>$J$42</f>
        <v>0</v>
      </c>
      <c r="T42" s="3924"/>
      <c r="U42" s="3323"/>
      <c r="V42" s="2001"/>
      <c r="W42" s="2001"/>
      <c r="X42" s="3323"/>
      <c r="Y42" s="2001"/>
      <c r="Z42" s="2001"/>
      <c r="AA42" s="3323"/>
      <c r="AB42" s="2001"/>
      <c r="AC42" s="2001"/>
      <c r="AD42" s="3323"/>
      <c r="AE42" s="2001"/>
      <c r="AF42" s="2001"/>
      <c r="AG42" s="3323"/>
      <c r="AH42" s="2001"/>
      <c r="AI42" s="2001"/>
      <c r="AJ42" s="3323"/>
      <c r="AK42" s="2001"/>
      <c r="AL42" s="2001"/>
      <c r="AM42" s="3382"/>
      <c r="AN42" s="3717">
        <f t="shared" si="57"/>
        <v>0</v>
      </c>
      <c r="AO42" s="1889">
        <f t="shared" si="54"/>
        <v>0</v>
      </c>
      <c r="AP42" s="3703">
        <f t="shared" si="58"/>
        <v>0</v>
      </c>
      <c r="AQ42" s="3342">
        <f t="shared" si="59"/>
        <v>0</v>
      </c>
      <c r="AR42" s="1746">
        <f>($AQ$6*N42)*$AQ$9</f>
        <v>0</v>
      </c>
      <c r="AS42" s="3445">
        <f t="shared" si="61"/>
        <v>0</v>
      </c>
      <c r="AT42" s="3952"/>
      <c r="AU42" s="3924"/>
      <c r="AV42" s="3953"/>
      <c r="AW42" s="1896"/>
      <c r="AX42" s="2001"/>
      <c r="AY42" s="2001"/>
      <c r="AZ42" s="2001"/>
      <c r="BA42" s="2001"/>
      <c r="BB42" s="2001"/>
      <c r="BC42" s="2001"/>
      <c r="BD42" s="2001"/>
      <c r="BE42" s="1896"/>
      <c r="BF42" s="2481">
        <f t="shared" si="82"/>
        <v>0</v>
      </c>
      <c r="BG42" s="2482" t="e">
        <f t="shared" si="44"/>
        <v>#DIV/0!</v>
      </c>
      <c r="BH42" s="2483" t="e">
        <f t="shared" si="83"/>
        <v>#DIV/0!</v>
      </c>
      <c r="BI42" s="1896"/>
      <c r="BJ42" s="2005"/>
      <c r="BK42" s="2005"/>
      <c r="BL42" s="2005"/>
      <c r="BM42" s="2005"/>
      <c r="BN42" s="2005"/>
      <c r="BO42" s="2005"/>
      <c r="BP42" s="2005"/>
      <c r="BQ42" s="2295"/>
      <c r="BR42" s="2016">
        <f t="shared" si="64"/>
        <v>0</v>
      </c>
      <c r="BS42" s="2482" t="e">
        <f t="shared" si="45"/>
        <v>#DIV/0!</v>
      </c>
      <c r="BT42" s="2483" t="e">
        <f t="shared" si="65"/>
        <v>#DIV/0!</v>
      </c>
      <c r="BU42" s="2295"/>
      <c r="BV42" s="2005"/>
      <c r="BW42" s="2005"/>
      <c r="BX42" s="2005"/>
      <c r="BY42" s="2005"/>
      <c r="BZ42" s="2005"/>
      <c r="CA42" s="2005"/>
      <c r="CB42" s="2005"/>
      <c r="CC42" s="2295"/>
      <c r="CD42" s="2481">
        <f t="shared" si="66"/>
        <v>0</v>
      </c>
      <c r="CE42" s="2482" t="e">
        <f t="shared" si="46"/>
        <v>#DIV/0!</v>
      </c>
      <c r="CF42" s="2483" t="e">
        <f t="shared" si="67"/>
        <v>#DIV/0!</v>
      </c>
      <c r="CG42" s="3382"/>
      <c r="CH42" s="2001"/>
      <c r="CI42" s="2001"/>
      <c r="CJ42" s="3382"/>
      <c r="CK42" s="2481">
        <f t="shared" si="47"/>
        <v>0</v>
      </c>
      <c r="CL42" s="2482" t="e">
        <f t="shared" si="48"/>
        <v>#DIV/0!</v>
      </c>
      <c r="CM42" s="2483" t="e">
        <f t="shared" si="74"/>
        <v>#DIV/0!</v>
      </c>
      <c r="CO42" s="1898">
        <v>0</v>
      </c>
      <c r="CP42" s="1899" t="e">
        <f t="shared" si="49"/>
        <v>#DIV/0!</v>
      </c>
      <c r="CQ42" s="1900"/>
      <c r="CR42" s="2388">
        <f t="shared" si="50"/>
        <v>0</v>
      </c>
      <c r="CS42" s="2389" t="e">
        <f t="shared" si="51"/>
        <v>#DIV/0!</v>
      </c>
      <c r="CT42" s="2010"/>
      <c r="CU42" s="3381"/>
      <c r="CV42" s="3381"/>
      <c r="CW42" s="3381"/>
      <c r="CX42" s="3381"/>
      <c r="CY42" s="3381"/>
      <c r="CZ42" s="3904"/>
      <c r="DA42" s="3904"/>
      <c r="DB42" s="3904"/>
      <c r="DC42" s="3904"/>
      <c r="DE42" s="3381"/>
      <c r="DF42" s="2993"/>
      <c r="DG42" s="1962"/>
      <c r="DH42" s="1960"/>
      <c r="DI42" s="1906"/>
      <c r="DJ42" s="1906"/>
      <c r="DK42" s="1906"/>
      <c r="DL42" s="1906"/>
      <c r="DM42" s="1906"/>
      <c r="DN42" s="1906"/>
      <c r="DO42" s="1906"/>
      <c r="DP42" s="1906"/>
      <c r="DQ42" s="1906"/>
      <c r="DR42" s="1906"/>
    </row>
    <row r="43" spans="2:122" s="1726" customFormat="1" x14ac:dyDescent="0.2">
      <c r="B43" s="3684">
        <v>34</v>
      </c>
      <c r="C43" s="1857" t="s">
        <v>283</v>
      </c>
      <c r="D43" s="1727"/>
      <c r="E43" s="1759">
        <v>193</v>
      </c>
      <c r="F43" s="1728">
        <v>193</v>
      </c>
      <c r="G43" s="3920"/>
      <c r="H43" s="2287"/>
      <c r="I43" s="1759">
        <f t="shared" si="52"/>
        <v>6.4333333333333336</v>
      </c>
      <c r="J43" s="1728">
        <f t="shared" si="52"/>
        <v>6.4333333333333336</v>
      </c>
      <c r="K43" s="3920"/>
      <c r="L43" s="2287"/>
      <c r="M43" s="3687">
        <f t="shared" si="42"/>
        <v>6.2206894328858522E-2</v>
      </c>
      <c r="N43" s="1729">
        <f t="shared" si="55"/>
        <v>6.2206894328858522E-2</v>
      </c>
      <c r="O43" s="3938"/>
      <c r="P43" s="1931"/>
      <c r="Q43" s="1924"/>
      <c r="R43" s="1759">
        <f t="shared" ref="R43" si="90">$I$43</f>
        <v>6.4333333333333336</v>
      </c>
      <c r="S43" s="1728">
        <f>$J$43</f>
        <v>6.4333333333333336</v>
      </c>
      <c r="T43" s="3920"/>
      <c r="U43" s="2287"/>
      <c r="V43" s="1728"/>
      <c r="W43" s="1728"/>
      <c r="X43" s="2287"/>
      <c r="Y43" s="1728"/>
      <c r="Z43" s="1728"/>
      <c r="AA43" s="2287"/>
      <c r="AB43" s="1728"/>
      <c r="AC43" s="1728"/>
      <c r="AD43" s="2287"/>
      <c r="AE43" s="1728"/>
      <c r="AF43" s="1728"/>
      <c r="AG43" s="2287"/>
      <c r="AH43" s="1728"/>
      <c r="AI43" s="1728"/>
      <c r="AJ43" s="2287"/>
      <c r="AK43" s="1728"/>
      <c r="AL43" s="1728"/>
      <c r="AM43" s="3386"/>
      <c r="AN43" s="3715">
        <f t="shared" si="57"/>
        <v>6.4333333333333336</v>
      </c>
      <c r="AO43" s="1759">
        <f t="shared" si="54"/>
        <v>11.81930992248312</v>
      </c>
      <c r="AP43" s="3716">
        <f t="shared" si="58"/>
        <v>5.3859765891497862</v>
      </c>
      <c r="AQ43" s="3341">
        <f t="shared" si="59"/>
        <v>6.4333333333333336</v>
      </c>
      <c r="AR43" s="1728">
        <f t="shared" si="60"/>
        <v>11.81930992248312</v>
      </c>
      <c r="AS43" s="3444">
        <f t="shared" si="61"/>
        <v>5.3859765891497862</v>
      </c>
      <c r="AT43" s="3948"/>
      <c r="AU43" s="3920"/>
      <c r="AV43" s="3949"/>
      <c r="AW43" s="1881"/>
      <c r="AX43" s="1728"/>
      <c r="AY43" s="1728"/>
      <c r="AZ43" s="1728"/>
      <c r="BA43" s="1728"/>
      <c r="BB43" s="1728"/>
      <c r="BC43" s="1728"/>
      <c r="BD43" s="1728"/>
      <c r="BE43" s="1881"/>
      <c r="BF43" s="2016">
        <f t="shared" si="62"/>
        <v>0</v>
      </c>
      <c r="BG43" s="2017" t="e">
        <f t="shared" si="44"/>
        <v>#DIV/0!</v>
      </c>
      <c r="BH43" s="2018" t="e">
        <f t="shared" si="63"/>
        <v>#DIV/0!</v>
      </c>
      <c r="BI43" s="1881"/>
      <c r="BJ43" s="2268"/>
      <c r="BK43" s="2268"/>
      <c r="BL43" s="2268"/>
      <c r="BM43" s="2268"/>
      <c r="BN43" s="2268"/>
      <c r="BO43" s="2268"/>
      <c r="BP43" s="2268"/>
      <c r="BQ43" s="2293"/>
      <c r="BR43" s="2016">
        <f t="shared" si="64"/>
        <v>0</v>
      </c>
      <c r="BS43" s="2017" t="e">
        <f t="shared" si="45"/>
        <v>#DIV/0!</v>
      </c>
      <c r="BT43" s="2018" t="e">
        <f t="shared" si="65"/>
        <v>#DIV/0!</v>
      </c>
      <c r="BU43" s="2293"/>
      <c r="BV43" s="2268"/>
      <c r="BW43" s="2268"/>
      <c r="BX43" s="2268"/>
      <c r="BY43" s="2268"/>
      <c r="BZ43" s="2268"/>
      <c r="CA43" s="2268"/>
      <c r="CB43" s="2268"/>
      <c r="CC43" s="2293"/>
      <c r="CD43" s="2016">
        <f t="shared" si="66"/>
        <v>0</v>
      </c>
      <c r="CE43" s="2017" t="e">
        <f t="shared" si="46"/>
        <v>#DIV/0!</v>
      </c>
      <c r="CF43" s="2018" t="e">
        <f t="shared" si="67"/>
        <v>#DIV/0!</v>
      </c>
      <c r="CG43" s="3386"/>
      <c r="CH43" s="1728"/>
      <c r="CI43" s="1728"/>
      <c r="CJ43" s="3386"/>
      <c r="CK43" s="2016">
        <f t="shared" si="47"/>
        <v>0</v>
      </c>
      <c r="CL43" s="2017" t="e">
        <f t="shared" si="48"/>
        <v>#DIV/0!</v>
      </c>
      <c r="CM43" s="2018" t="e">
        <f t="shared" si="74"/>
        <v>#DIV/0!</v>
      </c>
      <c r="CO43" s="1732">
        <v>0</v>
      </c>
      <c r="CP43" s="1882">
        <f t="shared" si="49"/>
        <v>0</v>
      </c>
      <c r="CQ43" s="1740"/>
      <c r="CR43" s="2019">
        <f t="shared" si="50"/>
        <v>12.866666666666667</v>
      </c>
      <c r="CS43" s="2020">
        <f t="shared" si="51"/>
        <v>6.6666666666666666E-2</v>
      </c>
      <c r="CT43" s="1997"/>
      <c r="CU43" s="3384"/>
      <c r="CV43" s="3384"/>
      <c r="CW43" s="3384"/>
      <c r="CX43" s="3384"/>
      <c r="CY43" s="3384"/>
      <c r="CZ43" s="3905"/>
      <c r="DA43" s="3905"/>
      <c r="DB43" s="3905"/>
      <c r="DC43" s="3905"/>
      <c r="DE43" s="3384"/>
      <c r="DF43" s="2992"/>
      <c r="DG43" s="1830"/>
      <c r="DH43" s="1817"/>
      <c r="DI43" s="1810"/>
      <c r="DJ43" s="1810"/>
      <c r="DK43" s="1810"/>
      <c r="DL43" s="1810"/>
      <c r="DM43" s="1810"/>
      <c r="DN43" s="1810"/>
      <c r="DO43" s="1810"/>
      <c r="DP43" s="1810"/>
      <c r="DQ43" s="1810"/>
      <c r="DR43" s="1810"/>
    </row>
    <row r="44" spans="2:122" x14ac:dyDescent="0.2">
      <c r="B44" s="1907">
        <v>35</v>
      </c>
      <c r="C44" s="1907" t="s">
        <v>282</v>
      </c>
      <c r="D44" s="1744"/>
      <c r="E44" s="1780">
        <v>0</v>
      </c>
      <c r="F44" s="1746">
        <v>0</v>
      </c>
      <c r="G44" s="3919"/>
      <c r="H44" s="2288"/>
      <c r="I44" s="1780">
        <f t="shared" si="52"/>
        <v>0</v>
      </c>
      <c r="J44" s="1746">
        <f t="shared" si="52"/>
        <v>0</v>
      </c>
      <c r="K44" s="3919"/>
      <c r="L44" s="2288"/>
      <c r="M44" s="3551">
        <f t="shared" si="42"/>
        <v>0</v>
      </c>
      <c r="N44" s="2583">
        <f t="shared" si="55"/>
        <v>0</v>
      </c>
      <c r="O44" s="3918"/>
      <c r="P44" s="1866"/>
      <c r="Q44" s="1867"/>
      <c r="R44" s="1780">
        <f t="shared" ref="R44" si="91">$I$44</f>
        <v>0</v>
      </c>
      <c r="S44" s="1746">
        <f>$J$44</f>
        <v>0</v>
      </c>
      <c r="T44" s="3919"/>
      <c r="U44" s="2288"/>
      <c r="V44" s="1746"/>
      <c r="W44" s="1746"/>
      <c r="X44" s="2288"/>
      <c r="Y44" s="1746"/>
      <c r="Z44" s="1746"/>
      <c r="AA44" s="2288"/>
      <c r="AB44" s="1746"/>
      <c r="AC44" s="1746"/>
      <c r="AD44" s="2288"/>
      <c r="AE44" s="1746"/>
      <c r="AF44" s="1746"/>
      <c r="AG44" s="2288"/>
      <c r="AH44" s="1746"/>
      <c r="AI44" s="1746"/>
      <c r="AJ44" s="2288"/>
      <c r="AK44" s="1746"/>
      <c r="AL44" s="1746"/>
      <c r="AM44" s="3385"/>
      <c r="AN44" s="3717">
        <f t="shared" si="57"/>
        <v>0</v>
      </c>
      <c r="AO44" s="1780">
        <f t="shared" si="54"/>
        <v>0</v>
      </c>
      <c r="AP44" s="3718">
        <f t="shared" si="58"/>
        <v>0</v>
      </c>
      <c r="AQ44" s="3342">
        <f t="shared" si="59"/>
        <v>0</v>
      </c>
      <c r="AR44" s="1746">
        <f t="shared" si="60"/>
        <v>0</v>
      </c>
      <c r="AS44" s="3446">
        <f t="shared" si="61"/>
        <v>0</v>
      </c>
      <c r="AT44" s="3969"/>
      <c r="AU44" s="3919"/>
      <c r="AV44" s="3970"/>
      <c r="AW44" s="1914"/>
      <c r="AX44" s="1746"/>
      <c r="AY44" s="1746"/>
      <c r="AZ44" s="1746"/>
      <c r="BA44" s="1746"/>
      <c r="BB44" s="1746"/>
      <c r="BC44" s="1746"/>
      <c r="BD44" s="1746"/>
      <c r="BE44" s="1914"/>
      <c r="BF44" s="2953">
        <f t="shared" si="62"/>
        <v>0</v>
      </c>
      <c r="BG44" s="2954" t="e">
        <f t="shared" si="44"/>
        <v>#DIV/0!</v>
      </c>
      <c r="BH44" s="2955" t="e">
        <f t="shared" si="63"/>
        <v>#DIV/0!</v>
      </c>
      <c r="BI44" s="1914"/>
      <c r="BJ44" s="1990"/>
      <c r="BK44" s="1990"/>
      <c r="BL44" s="1990"/>
      <c r="BM44" s="1990"/>
      <c r="BN44" s="1990"/>
      <c r="BO44" s="1990"/>
      <c r="BP44" s="1990"/>
      <c r="BQ44" s="2297"/>
      <c r="BR44" s="2016">
        <f t="shared" si="64"/>
        <v>0</v>
      </c>
      <c r="BS44" s="2954" t="e">
        <f t="shared" si="45"/>
        <v>#DIV/0!</v>
      </c>
      <c r="BT44" s="2955" t="e">
        <f t="shared" si="65"/>
        <v>#DIV/0!</v>
      </c>
      <c r="BU44" s="2297"/>
      <c r="BV44" s="1990"/>
      <c r="BW44" s="1990"/>
      <c r="BX44" s="1990"/>
      <c r="BY44" s="1990"/>
      <c r="BZ44" s="1990"/>
      <c r="CA44" s="1990"/>
      <c r="CB44" s="1990"/>
      <c r="CC44" s="2297"/>
      <c r="CD44" s="2953">
        <f t="shared" si="66"/>
        <v>0</v>
      </c>
      <c r="CE44" s="2954" t="e">
        <f t="shared" si="46"/>
        <v>#DIV/0!</v>
      </c>
      <c r="CF44" s="2955" t="e">
        <f t="shared" si="67"/>
        <v>#DIV/0!</v>
      </c>
      <c r="CG44" s="3385"/>
      <c r="CH44" s="1746"/>
      <c r="CI44" s="1746"/>
      <c r="CJ44" s="3385"/>
      <c r="CK44" s="2953">
        <f t="shared" si="47"/>
        <v>0</v>
      </c>
      <c r="CL44" s="2954" t="e">
        <f t="shared" si="48"/>
        <v>#DIV/0!</v>
      </c>
      <c r="CM44" s="2955" t="e">
        <f t="shared" si="74"/>
        <v>#DIV/0!</v>
      </c>
      <c r="CO44" s="1747">
        <v>0</v>
      </c>
      <c r="CP44" s="1752" t="e">
        <f t="shared" si="49"/>
        <v>#DIV/0!</v>
      </c>
      <c r="CQ44" s="1754"/>
      <c r="CR44" s="2956">
        <f t="shared" si="50"/>
        <v>0</v>
      </c>
      <c r="CS44" s="2957" t="e">
        <f t="shared" si="51"/>
        <v>#DIV/0!</v>
      </c>
      <c r="CT44" s="1993"/>
      <c r="CU44" s="1916"/>
      <c r="CV44" s="1916"/>
      <c r="CW44" s="1916"/>
      <c r="CX44" s="1916"/>
      <c r="CY44" s="1916"/>
      <c r="CZ44" s="1916"/>
      <c r="DA44" s="1916"/>
      <c r="DB44" s="1916"/>
      <c r="DC44" s="1916"/>
      <c r="DE44" s="1916"/>
      <c r="DF44" s="2994"/>
      <c r="DG44" s="1802"/>
      <c r="DH44" s="1806"/>
      <c r="DI44" s="3400"/>
      <c r="DJ44" s="3400"/>
      <c r="DK44" s="3400"/>
      <c r="DL44" s="3400"/>
      <c r="DM44" s="3906"/>
      <c r="DN44" s="3906"/>
      <c r="DO44" s="3906"/>
      <c r="DP44" s="3906"/>
      <c r="DQ44" s="3400"/>
      <c r="DR44" s="3400"/>
    </row>
    <row r="45" spans="2:122" s="1726" customFormat="1" ht="17.25" thickBot="1" x14ac:dyDescent="0.25">
      <c r="B45" s="1857">
        <v>36</v>
      </c>
      <c r="C45" s="1857" t="s">
        <v>261</v>
      </c>
      <c r="D45" s="1727"/>
      <c r="E45" s="1759">
        <v>0</v>
      </c>
      <c r="F45" s="1728">
        <v>0</v>
      </c>
      <c r="G45" s="3920"/>
      <c r="H45" s="2287"/>
      <c r="I45" s="1759">
        <f t="shared" si="52"/>
        <v>0</v>
      </c>
      <c r="J45" s="1728">
        <f t="shared" si="52"/>
        <v>0</v>
      </c>
      <c r="K45" s="3920"/>
      <c r="L45" s="2287"/>
      <c r="M45" s="3687">
        <f t="shared" si="42"/>
        <v>0</v>
      </c>
      <c r="N45" s="1729">
        <f t="shared" si="55"/>
        <v>0</v>
      </c>
      <c r="O45" s="3938"/>
      <c r="P45" s="1931"/>
      <c r="Q45" s="1924"/>
      <c r="R45" s="1759">
        <f t="shared" ref="R45" si="92">$I$45</f>
        <v>0</v>
      </c>
      <c r="S45" s="1728">
        <f>$J$45</f>
        <v>0</v>
      </c>
      <c r="T45" s="3920"/>
      <c r="U45" s="2287"/>
      <c r="V45" s="1728"/>
      <c r="W45" s="1728"/>
      <c r="X45" s="2287"/>
      <c r="Y45" s="1728"/>
      <c r="Z45" s="1728"/>
      <c r="AA45" s="2287"/>
      <c r="AB45" s="1728"/>
      <c r="AC45" s="1728"/>
      <c r="AD45" s="2287"/>
      <c r="AE45" s="1728"/>
      <c r="AF45" s="1728"/>
      <c r="AG45" s="2287"/>
      <c r="AH45" s="1728"/>
      <c r="AI45" s="1728"/>
      <c r="AJ45" s="2287"/>
      <c r="AK45" s="1728"/>
      <c r="AL45" s="1728"/>
      <c r="AM45" s="3386"/>
      <c r="AN45" s="3719">
        <f t="shared" si="57"/>
        <v>0</v>
      </c>
      <c r="AO45" s="3720">
        <f t="shared" si="54"/>
        <v>0</v>
      </c>
      <c r="AP45" s="3721">
        <f>AO45-AN45</f>
        <v>0</v>
      </c>
      <c r="AQ45" s="3343">
        <f t="shared" si="59"/>
        <v>0</v>
      </c>
      <c r="AR45" s="3447">
        <f t="shared" si="60"/>
        <v>0</v>
      </c>
      <c r="AS45" s="3448">
        <f>AR45-AQ45</f>
        <v>0</v>
      </c>
      <c r="AT45" s="3971"/>
      <c r="AU45" s="3972"/>
      <c r="AV45" s="3973"/>
      <c r="AW45" s="1881"/>
      <c r="AX45" s="1728"/>
      <c r="AY45" s="1728"/>
      <c r="AZ45" s="1728"/>
      <c r="BA45" s="1728"/>
      <c r="BB45" s="1728"/>
      <c r="BC45" s="1728"/>
      <c r="BD45" s="1728"/>
      <c r="BE45" s="1881"/>
      <c r="BF45" s="2799">
        <f t="shared" si="62"/>
        <v>0</v>
      </c>
      <c r="BG45" s="2800" t="e">
        <f t="shared" si="44"/>
        <v>#DIV/0!</v>
      </c>
      <c r="BH45" s="2801" t="e">
        <f t="shared" si="63"/>
        <v>#DIV/0!</v>
      </c>
      <c r="BI45" s="1881"/>
      <c r="BJ45" s="2268"/>
      <c r="BK45" s="2268"/>
      <c r="BL45" s="2268"/>
      <c r="BM45" s="2268"/>
      <c r="BN45" s="2268"/>
      <c r="BO45" s="2268"/>
      <c r="BP45" s="2268"/>
      <c r="BQ45" s="2293"/>
      <c r="BR45" s="2016">
        <f t="shared" si="64"/>
        <v>0</v>
      </c>
      <c r="BS45" s="2800" t="e">
        <f t="shared" si="45"/>
        <v>#DIV/0!</v>
      </c>
      <c r="BT45" s="2801" t="e">
        <f t="shared" si="65"/>
        <v>#DIV/0!</v>
      </c>
      <c r="BU45" s="2293"/>
      <c r="BV45" s="2268"/>
      <c r="BW45" s="2268"/>
      <c r="BX45" s="2268"/>
      <c r="BY45" s="2268"/>
      <c r="BZ45" s="2268"/>
      <c r="CA45" s="2268"/>
      <c r="CB45" s="2268"/>
      <c r="CC45" s="2293"/>
      <c r="CD45" s="2799">
        <f t="shared" si="66"/>
        <v>0</v>
      </c>
      <c r="CE45" s="2800" t="e">
        <f t="shared" si="46"/>
        <v>#DIV/0!</v>
      </c>
      <c r="CF45" s="2801" t="e">
        <f t="shared" si="67"/>
        <v>#DIV/0!</v>
      </c>
      <c r="CG45" s="3386"/>
      <c r="CH45" s="1728"/>
      <c r="CI45" s="1728"/>
      <c r="CJ45" s="3386"/>
      <c r="CK45" s="2799">
        <f t="shared" si="47"/>
        <v>0</v>
      </c>
      <c r="CL45" s="2800" t="e">
        <f t="shared" si="48"/>
        <v>#DIV/0!</v>
      </c>
      <c r="CM45" s="2801" t="e">
        <f t="shared" si="74"/>
        <v>#DIV/0!</v>
      </c>
      <c r="CO45" s="1732">
        <v>0</v>
      </c>
      <c r="CP45" s="1882" t="e">
        <f t="shared" si="49"/>
        <v>#DIV/0!</v>
      </c>
      <c r="CQ45" s="1740"/>
      <c r="CR45" s="3393">
        <f t="shared" si="50"/>
        <v>0</v>
      </c>
      <c r="CS45" s="2802" t="e">
        <f t="shared" si="51"/>
        <v>#DIV/0!</v>
      </c>
      <c r="CT45" s="1997"/>
      <c r="CU45" s="3384"/>
      <c r="CV45" s="3384"/>
      <c r="CW45" s="3384"/>
      <c r="CX45" s="3384"/>
      <c r="CY45" s="3384"/>
      <c r="CZ45" s="3905"/>
      <c r="DA45" s="3905"/>
      <c r="DB45" s="3905"/>
      <c r="DC45" s="3905"/>
      <c r="DE45" s="3384"/>
      <c r="DF45" s="2992"/>
      <c r="DG45" s="1997"/>
      <c r="DH45" s="1861"/>
      <c r="DI45" s="1860"/>
      <c r="DJ45" s="1860"/>
      <c r="DK45" s="1860"/>
      <c r="DL45" s="1860"/>
      <c r="DM45" s="1860"/>
      <c r="DN45" s="1860"/>
      <c r="DO45" s="1860"/>
      <c r="DP45" s="1860"/>
      <c r="DQ45" s="1860"/>
      <c r="DR45" s="1860"/>
    </row>
    <row r="46" spans="2:122" s="1923" customFormat="1" ht="4.5" customHeight="1" thickBot="1" x14ac:dyDescent="0.25">
      <c r="B46" s="3419"/>
      <c r="C46" s="2526"/>
      <c r="D46" s="3400"/>
      <c r="E46" s="2527"/>
      <c r="F46" s="2527"/>
      <c r="G46" s="2527"/>
      <c r="H46" s="1801"/>
      <c r="I46" s="2527"/>
      <c r="J46" s="2527"/>
      <c r="K46" s="2527"/>
      <c r="L46" s="1801"/>
      <c r="M46" s="2528"/>
      <c r="N46" s="2528"/>
      <c r="O46" s="2528"/>
      <c r="P46" s="1866"/>
      <c r="Q46" s="1867"/>
      <c r="R46" s="2026"/>
      <c r="S46" s="2026"/>
      <c r="T46" s="2026"/>
      <c r="U46" s="1801"/>
      <c r="V46" s="2026"/>
      <c r="W46" s="2026"/>
      <c r="X46" s="1801"/>
      <c r="Y46" s="2026"/>
      <c r="Z46" s="2026"/>
      <c r="AA46" s="1801"/>
      <c r="AB46" s="2026"/>
      <c r="AC46" s="2026"/>
      <c r="AD46" s="1801"/>
      <c r="AE46" s="2026"/>
      <c r="AF46" s="2026"/>
      <c r="AG46" s="1801"/>
      <c r="AH46" s="2026"/>
      <c r="AI46" s="2026"/>
      <c r="AJ46" s="1801"/>
      <c r="AK46" s="2026"/>
      <c r="AL46" s="2026"/>
      <c r="AM46" s="3385"/>
      <c r="AN46" s="3385"/>
      <c r="AO46" s="3385"/>
      <c r="AP46" s="3385"/>
      <c r="AQ46" s="3385"/>
      <c r="AR46" s="3385"/>
      <c r="AS46" s="3385"/>
      <c r="AT46" s="3899"/>
      <c r="AU46" s="3899"/>
      <c r="AV46" s="3899"/>
      <c r="AW46" s="1915"/>
      <c r="AX46" s="2026"/>
      <c r="AY46" s="2026"/>
      <c r="AZ46" s="2026"/>
      <c r="BA46" s="2026"/>
      <c r="BB46" s="2026"/>
      <c r="BC46" s="2026"/>
      <c r="BD46" s="2026"/>
      <c r="BE46" s="1915"/>
      <c r="BF46" s="3385"/>
      <c r="BG46" s="3385"/>
      <c r="BH46" s="3385"/>
      <c r="BI46" s="1915"/>
      <c r="BJ46" s="2026"/>
      <c r="BK46" s="2026"/>
      <c r="BL46" s="2026"/>
      <c r="BM46" s="2026"/>
      <c r="BN46" s="2026"/>
      <c r="BO46" s="2026"/>
      <c r="BP46" s="2026"/>
      <c r="BQ46" s="3385"/>
      <c r="BR46" s="3385"/>
      <c r="BS46" s="3385"/>
      <c r="BT46" s="3385"/>
      <c r="BU46" s="3385"/>
      <c r="BV46" s="2026"/>
      <c r="BW46" s="2026"/>
      <c r="BX46" s="2026"/>
      <c r="BY46" s="2026"/>
      <c r="BZ46" s="2026"/>
      <c r="CA46" s="2026"/>
      <c r="CB46" s="2026"/>
      <c r="CC46" s="3385"/>
      <c r="CD46" s="3385"/>
      <c r="CE46" s="3385"/>
      <c r="CF46" s="3385"/>
      <c r="CG46" s="3385"/>
      <c r="CH46" s="2026"/>
      <c r="CI46" s="2026"/>
      <c r="CJ46" s="3385"/>
      <c r="CK46" s="3385"/>
      <c r="CL46" s="3385"/>
      <c r="CM46" s="3385"/>
      <c r="CO46" s="3385"/>
      <c r="CP46" s="1993"/>
      <c r="CQ46" s="1994"/>
      <c r="CR46" s="2027"/>
      <c r="CS46" s="2028"/>
      <c r="CT46" s="1993"/>
      <c r="CU46" s="1916"/>
      <c r="CV46" s="1916"/>
      <c r="CW46" s="1916"/>
      <c r="CX46" s="1916"/>
      <c r="CY46" s="1916"/>
      <c r="CZ46" s="1916"/>
      <c r="DA46" s="1916"/>
      <c r="DB46" s="1916"/>
      <c r="DC46" s="1916"/>
      <c r="DE46" s="1916"/>
      <c r="DF46" s="1993"/>
      <c r="DG46" s="2030"/>
      <c r="DH46" s="1994"/>
    </row>
    <row r="47" spans="2:122" s="1885" customFormat="1" ht="18.75" thickBot="1" x14ac:dyDescent="0.25">
      <c r="B47" s="1887"/>
      <c r="C47" s="3555"/>
      <c r="D47" s="3367"/>
      <c r="E47" s="3555">
        <f>SUM(E22:E45)</f>
        <v>3102.5499999999997</v>
      </c>
      <c r="F47" s="3368">
        <f>SUM(F22:F45)</f>
        <v>3102.5499999999997</v>
      </c>
      <c r="G47" s="3926"/>
      <c r="H47" s="3369"/>
      <c r="I47" s="3555">
        <f>SUM(I22:I45)</f>
        <v>103.41833333333335</v>
      </c>
      <c r="J47" s="3368">
        <f>SUM(J22:J45)</f>
        <v>103.41833333333335</v>
      </c>
      <c r="K47" s="3926"/>
      <c r="L47" s="3369"/>
      <c r="M47" s="3685">
        <f t="shared" ref="M47:N47" si="93">SUM(M22:M45)</f>
        <v>1.0000000000000002</v>
      </c>
      <c r="N47" s="3370">
        <f t="shared" si="93"/>
        <v>1.0000000000000002</v>
      </c>
      <c r="O47" s="3939"/>
      <c r="P47" s="3371"/>
      <c r="Q47" s="3372"/>
      <c r="R47" s="3555">
        <f t="shared" ref="R47" si="94">SUM(R22:R45)</f>
        <v>103.41833333333335</v>
      </c>
      <c r="S47" s="3368">
        <f t="shared" ref="S47" si="95">SUM(S22:S45)</f>
        <v>103.41833333333335</v>
      </c>
      <c r="T47" s="3926"/>
      <c r="U47" s="3323"/>
      <c r="V47" s="2001"/>
      <c r="W47" s="2001"/>
      <c r="X47" s="3323"/>
      <c r="Y47" s="2001"/>
      <c r="Z47" s="2001"/>
      <c r="AA47" s="3323"/>
      <c r="AB47" s="2001"/>
      <c r="AC47" s="2001"/>
      <c r="AD47" s="3323"/>
      <c r="AE47" s="2001"/>
      <c r="AF47" s="2001"/>
      <c r="AG47" s="3323"/>
      <c r="AH47" s="2001"/>
      <c r="AI47" s="2001"/>
      <c r="AJ47" s="3323"/>
      <c r="AK47" s="2001"/>
      <c r="AL47" s="2001"/>
      <c r="AM47" s="3382"/>
      <c r="AN47" s="3722">
        <f>SUM(AN22:AN45)</f>
        <v>103.41833333333335</v>
      </c>
      <c r="AO47" s="3723">
        <f>SUM(AO22:AO45)</f>
        <v>189.99999999999997</v>
      </c>
      <c r="AP47" s="3724">
        <f t="shared" ref="AP47" si="96">SUM(AP22:AP45)</f>
        <v>86.581666666666692</v>
      </c>
      <c r="AQ47" s="3449">
        <f>SUM(AQ22:AQ45)</f>
        <v>103.41833333333335</v>
      </c>
      <c r="AR47" s="3450">
        <f t="shared" ref="AR47:AS47" si="97">SUM(AR22:AR45)</f>
        <v>189.99999999999997</v>
      </c>
      <c r="AS47" s="3451">
        <f t="shared" si="97"/>
        <v>86.581666666666692</v>
      </c>
      <c r="AT47" s="3974"/>
      <c r="AU47" s="3975"/>
      <c r="AV47" s="3976"/>
      <c r="AW47" s="1896"/>
      <c r="AX47" s="2001"/>
      <c r="AY47" s="2001"/>
      <c r="AZ47" s="2001"/>
      <c r="BA47" s="2001"/>
      <c r="BB47" s="2001"/>
      <c r="BC47" s="2001"/>
      <c r="BD47" s="2001"/>
      <c r="BE47" s="1896"/>
      <c r="BF47" s="2804">
        <f>SUM(BF22:BF45)</f>
        <v>0</v>
      </c>
      <c r="BG47" s="2805" t="e">
        <f>SUM(BG22:BG45)</f>
        <v>#DIV/0!</v>
      </c>
      <c r="BH47" s="2806" t="e">
        <f>SUM(BH22:BH45)</f>
        <v>#DIV/0!</v>
      </c>
      <c r="BI47" s="1896"/>
      <c r="BJ47" s="2005"/>
      <c r="BK47" s="2005"/>
      <c r="BL47" s="2005"/>
      <c r="BM47" s="2005"/>
      <c r="BN47" s="2005"/>
      <c r="BO47" s="2005"/>
      <c r="BP47" s="2005"/>
      <c r="BQ47" s="2295"/>
      <c r="BR47" s="2804">
        <f>SUM(BR22:BR45)</f>
        <v>0</v>
      </c>
      <c r="BS47" s="2805" t="e">
        <f>SUM(BS22:BS45)</f>
        <v>#DIV/0!</v>
      </c>
      <c r="BT47" s="2806" t="e">
        <f>SUM(BT22:BT45)</f>
        <v>#DIV/0!</v>
      </c>
      <c r="BU47" s="2295"/>
      <c r="BV47" s="2005"/>
      <c r="BW47" s="2005"/>
      <c r="BX47" s="2005"/>
      <c r="BY47" s="2005"/>
      <c r="BZ47" s="2005"/>
      <c r="CA47" s="2005"/>
      <c r="CB47" s="2005"/>
      <c r="CC47" s="2295"/>
      <c r="CD47" s="2804">
        <f>SUM(CD22:CD45)</f>
        <v>0</v>
      </c>
      <c r="CE47" s="2805" t="e">
        <f>SUM(CE22:CE45)</f>
        <v>#DIV/0!</v>
      </c>
      <c r="CF47" s="2806" t="e">
        <f>SUM(CF22:CF45)</f>
        <v>#DIV/0!</v>
      </c>
      <c r="CG47" s="3382"/>
      <c r="CH47" s="2005"/>
      <c r="CI47" s="2005"/>
      <c r="CJ47" s="3382"/>
      <c r="CK47" s="2804">
        <f>SUM(CK22:CK45)</f>
        <v>0</v>
      </c>
      <c r="CL47" s="2805" t="e">
        <f>SUM(CL22:CL45)</f>
        <v>#DIV/0!</v>
      </c>
      <c r="CM47" s="2806" t="e">
        <f>SUM(CM22:CM45)</f>
        <v>#DIV/0!</v>
      </c>
      <c r="CO47" s="2397">
        <f>SUM(CO22:CO45)</f>
        <v>0</v>
      </c>
      <c r="CP47" s="2398">
        <f>CO47/E47</f>
        <v>0</v>
      </c>
      <c r="CQ47" s="1900"/>
      <c r="CR47" s="2397">
        <f>SUM(CR22:CR45)</f>
        <v>206.8366666666667</v>
      </c>
      <c r="CS47" s="2398">
        <f>CR47/E47</f>
        <v>6.666666666666668E-2</v>
      </c>
      <c r="CT47" s="2010"/>
      <c r="CU47" s="3381"/>
      <c r="CV47" s="3381"/>
      <c r="CW47" s="3381"/>
      <c r="CX47" s="3381"/>
      <c r="CY47" s="3381"/>
      <c r="CZ47" s="3904"/>
      <c r="DA47" s="3904"/>
      <c r="DB47" s="3904"/>
      <c r="DC47" s="3904"/>
      <c r="DE47" s="3381"/>
      <c r="DF47" s="1946"/>
      <c r="DG47" s="1946"/>
      <c r="DH47" s="1946"/>
      <c r="DI47" s="1946"/>
      <c r="DJ47" s="1946"/>
      <c r="DK47" s="1946"/>
      <c r="DL47" s="1946"/>
      <c r="DM47" s="1946"/>
      <c r="DN47" s="1946"/>
      <c r="DO47" s="1946"/>
      <c r="DP47" s="1946"/>
      <c r="DQ47" s="1946"/>
      <c r="DR47" s="1946"/>
    </row>
    <row r="48" spans="2:122" s="1947" customFormat="1" ht="4.5" customHeight="1" thickBot="1" x14ac:dyDescent="0.25">
      <c r="B48" s="2634"/>
      <c r="C48" s="2392"/>
      <c r="D48" s="1906"/>
      <c r="E48" s="2392"/>
      <c r="F48" s="2392"/>
      <c r="G48" s="1951"/>
      <c r="H48" s="1951"/>
      <c r="I48" s="2392"/>
      <c r="J48" s="2392"/>
      <c r="K48" s="1951"/>
      <c r="L48" s="1951"/>
      <c r="M48" s="2636"/>
      <c r="N48" s="2636"/>
      <c r="O48" s="1962"/>
      <c r="P48" s="1949"/>
      <c r="Q48" s="1950"/>
      <c r="R48" s="2392"/>
      <c r="S48" s="2392"/>
      <c r="T48" s="2392"/>
      <c r="U48" s="1951"/>
      <c r="V48" s="2392"/>
      <c r="W48" s="2392"/>
      <c r="X48" s="1951"/>
      <c r="Y48" s="2392"/>
      <c r="Z48" s="2392"/>
      <c r="AA48" s="1951"/>
      <c r="AB48" s="2392"/>
      <c r="AC48" s="2392"/>
      <c r="AD48" s="1951"/>
      <c r="AE48" s="2392"/>
      <c r="AF48" s="2392"/>
      <c r="AG48" s="1951"/>
      <c r="AH48" s="2392"/>
      <c r="AI48" s="2392"/>
      <c r="AJ48" s="1951"/>
      <c r="AK48" s="2392"/>
      <c r="AL48" s="2392"/>
      <c r="AM48" s="1951"/>
      <c r="AN48" s="1951"/>
      <c r="AO48" s="1951"/>
      <c r="AP48" s="1951"/>
      <c r="AQ48" s="1951"/>
      <c r="AR48" s="1951"/>
      <c r="AS48" s="1951"/>
      <c r="AT48" s="1951"/>
      <c r="AU48" s="1951"/>
      <c r="AV48" s="1951"/>
      <c r="AW48" s="1956"/>
      <c r="AX48" s="2392"/>
      <c r="AY48" s="2392"/>
      <c r="AZ48" s="2392"/>
      <c r="BA48" s="2392"/>
      <c r="BB48" s="2392"/>
      <c r="BC48" s="2392"/>
      <c r="BD48" s="2392"/>
      <c r="BE48" s="1956"/>
      <c r="BF48" s="1951"/>
      <c r="BG48" s="1951"/>
      <c r="BH48" s="1951"/>
      <c r="BI48" s="1956"/>
      <c r="BJ48" s="2392"/>
      <c r="BK48" s="2392"/>
      <c r="BL48" s="2392"/>
      <c r="BM48" s="2392"/>
      <c r="BN48" s="2392"/>
      <c r="BO48" s="2392"/>
      <c r="BP48" s="2392"/>
      <c r="BQ48" s="1951"/>
      <c r="BR48" s="1951"/>
      <c r="BS48" s="1951"/>
      <c r="BT48" s="1951"/>
      <c r="BU48" s="1951"/>
      <c r="BV48" s="2392"/>
      <c r="BW48" s="2392"/>
      <c r="BX48" s="2392"/>
      <c r="BY48" s="2392"/>
      <c r="BZ48" s="2392"/>
      <c r="CA48" s="2392"/>
      <c r="CB48" s="2392"/>
      <c r="CC48" s="1951"/>
      <c r="CD48" s="1951"/>
      <c r="CE48" s="1951"/>
      <c r="CF48" s="1951"/>
      <c r="CG48" s="1951"/>
      <c r="CH48" s="2392"/>
      <c r="CI48" s="2392"/>
      <c r="CJ48" s="1951"/>
      <c r="CK48" s="1951"/>
      <c r="CL48" s="1951"/>
      <c r="CM48" s="1951"/>
      <c r="CO48" s="1951"/>
      <c r="CP48" s="1962"/>
      <c r="CQ48" s="1959"/>
      <c r="CR48" s="1951"/>
      <c r="CS48" s="1962"/>
      <c r="CT48" s="1962"/>
      <c r="CU48" s="1905"/>
      <c r="CV48" s="1905"/>
      <c r="CW48" s="1905"/>
      <c r="CX48" s="1905"/>
      <c r="CY48" s="1905"/>
      <c r="CZ48" s="1905"/>
      <c r="DA48" s="1905"/>
      <c r="DB48" s="1905"/>
      <c r="DC48" s="1905"/>
      <c r="DE48" s="1905"/>
      <c r="DF48" s="1906"/>
      <c r="DG48" s="1906"/>
      <c r="DH48" s="1906"/>
      <c r="DI48" s="1906"/>
      <c r="DJ48" s="1906"/>
      <c r="DK48" s="1906"/>
      <c r="DL48" s="1906"/>
      <c r="DM48" s="1906"/>
      <c r="DN48" s="1906"/>
      <c r="DO48" s="1906"/>
      <c r="DP48" s="1906"/>
      <c r="DQ48" s="1906"/>
      <c r="DR48" s="1906"/>
    </row>
    <row r="49" spans="1:122" s="1726" customFormat="1" ht="18.75" thickBot="1" x14ac:dyDescent="0.25">
      <c r="B49" s="1857">
        <v>37</v>
      </c>
      <c r="C49" s="1857"/>
      <c r="D49" s="1727"/>
      <c r="E49" s="4730">
        <f>E47+F47</f>
        <v>6205.0999999999995</v>
      </c>
      <c r="F49" s="4731"/>
      <c r="G49" s="3934"/>
      <c r="H49" s="3418"/>
      <c r="I49" s="4730">
        <f>I47+J47</f>
        <v>206.8366666666667</v>
      </c>
      <c r="J49" s="4731"/>
      <c r="K49" s="3934"/>
      <c r="L49" s="2287"/>
      <c r="M49" s="4805"/>
      <c r="N49" s="4806"/>
      <c r="O49" s="3940"/>
      <c r="P49" s="1760"/>
      <c r="Q49" s="1924"/>
      <c r="R49" s="3916"/>
      <c r="S49" s="3928"/>
      <c r="T49" s="3927"/>
      <c r="U49" s="2287"/>
      <c r="V49" s="1728"/>
      <c r="W49" s="1728"/>
      <c r="X49" s="2287"/>
      <c r="Y49" s="1728"/>
      <c r="Z49" s="1728"/>
      <c r="AA49" s="2287"/>
      <c r="AB49" s="1728"/>
      <c r="AC49" s="1728"/>
      <c r="AD49" s="2287"/>
      <c r="AE49" s="1728"/>
      <c r="AF49" s="1728"/>
      <c r="AG49" s="2287"/>
      <c r="AH49" s="1728"/>
      <c r="AI49" s="1728"/>
      <c r="AJ49" s="2287"/>
      <c r="AK49" s="1728"/>
      <c r="AL49" s="1728"/>
      <c r="AM49" s="3386"/>
      <c r="AN49" s="3725"/>
      <c r="AO49" s="3726"/>
      <c r="AP49" s="3727"/>
      <c r="AQ49" s="3344"/>
      <c r="AR49" s="3345"/>
      <c r="AS49" s="3346"/>
      <c r="AT49" s="3977"/>
      <c r="AU49" s="3978"/>
      <c r="AV49" s="3979"/>
      <c r="AW49" s="1881"/>
      <c r="AX49" s="1728"/>
      <c r="AY49" s="1728"/>
      <c r="AZ49" s="1728"/>
      <c r="BA49" s="1728"/>
      <c r="BB49" s="1728"/>
      <c r="BC49" s="1728"/>
      <c r="BD49" s="1728"/>
      <c r="BE49" s="1881"/>
      <c r="BF49" s="2031"/>
      <c r="BG49" s="2032"/>
      <c r="BH49" s="2033"/>
      <c r="BI49" s="1881"/>
      <c r="BJ49" s="2268"/>
      <c r="BK49" s="2268"/>
      <c r="BL49" s="2268"/>
      <c r="BM49" s="2268"/>
      <c r="BN49" s="2268"/>
      <c r="BO49" s="2268"/>
      <c r="BP49" s="2268"/>
      <c r="BQ49" s="2293"/>
      <c r="BR49" s="2031"/>
      <c r="BS49" s="2032"/>
      <c r="BT49" s="2033"/>
      <c r="BU49" s="2293"/>
      <c r="BV49" s="2268"/>
      <c r="BW49" s="2268"/>
      <c r="BX49" s="2268"/>
      <c r="BY49" s="2268"/>
      <c r="BZ49" s="2268"/>
      <c r="CA49" s="2268"/>
      <c r="CB49" s="2268"/>
      <c r="CC49" s="2293"/>
      <c r="CD49" s="2031"/>
      <c r="CE49" s="2032"/>
      <c r="CF49" s="2033"/>
      <c r="CG49" s="3386"/>
      <c r="CH49" s="2268"/>
      <c r="CI49" s="2268"/>
      <c r="CJ49" s="3386"/>
      <c r="CK49" s="2031"/>
      <c r="CL49" s="2032"/>
      <c r="CM49" s="2033"/>
      <c r="CO49" s="2034"/>
      <c r="CP49" s="2035"/>
      <c r="CQ49" s="1740"/>
      <c r="CR49" s="2034"/>
      <c r="CS49" s="2035"/>
      <c r="CT49" s="1997"/>
      <c r="CU49" s="3384"/>
      <c r="CV49" s="3384"/>
      <c r="CW49" s="3384"/>
      <c r="CX49" s="3384"/>
      <c r="CY49" s="3384"/>
      <c r="CZ49" s="3905"/>
      <c r="DA49" s="3905"/>
      <c r="DB49" s="3905"/>
      <c r="DC49" s="3905"/>
      <c r="DE49" s="3384"/>
      <c r="DF49" s="1860"/>
      <c r="DG49" s="1860"/>
      <c r="DH49" s="1860"/>
      <c r="DI49" s="1860"/>
      <c r="DJ49" s="1860"/>
      <c r="DK49" s="1860"/>
      <c r="DL49" s="1860"/>
      <c r="DM49" s="1860"/>
      <c r="DN49" s="1860"/>
      <c r="DO49" s="1860"/>
      <c r="DP49" s="1860"/>
      <c r="DQ49" s="1860"/>
      <c r="DR49" s="1860"/>
    </row>
    <row r="50" spans="1:122" s="1923" customFormat="1" ht="4.5" customHeight="1" thickBot="1" x14ac:dyDescent="0.25">
      <c r="B50" s="3332"/>
      <c r="C50" s="3333"/>
      <c r="D50" s="3400"/>
      <c r="E50" s="3335"/>
      <c r="F50" s="3335"/>
      <c r="G50" s="1801"/>
      <c r="H50" s="1801"/>
      <c r="I50" s="3335"/>
      <c r="J50" s="3335"/>
      <c r="K50" s="1801"/>
      <c r="L50" s="1801"/>
      <c r="M50" s="3336"/>
      <c r="N50" s="3336"/>
      <c r="O50" s="2463"/>
      <c r="P50" s="1866"/>
      <c r="Q50" s="1867"/>
      <c r="R50" s="2274"/>
      <c r="S50" s="2274"/>
      <c r="T50" s="2274"/>
      <c r="U50" s="1801"/>
      <c r="V50" s="2274"/>
      <c r="W50" s="2274"/>
      <c r="X50" s="1801"/>
      <c r="Y50" s="2274"/>
      <c r="Z50" s="2274"/>
      <c r="AA50" s="1801"/>
      <c r="AB50" s="2274"/>
      <c r="AC50" s="2274"/>
      <c r="AD50" s="1801"/>
      <c r="AE50" s="2274"/>
      <c r="AF50" s="2274"/>
      <c r="AG50" s="1801"/>
      <c r="AH50" s="2274"/>
      <c r="AI50" s="2274"/>
      <c r="AJ50" s="1801"/>
      <c r="AK50" s="2274"/>
      <c r="AL50" s="2274"/>
      <c r="AM50" s="3385"/>
      <c r="AN50" s="3385"/>
      <c r="AO50" s="3385"/>
      <c r="AP50" s="3385"/>
      <c r="AQ50" s="3385"/>
      <c r="AR50" s="3385"/>
      <c r="AS50" s="3385"/>
      <c r="AT50" s="3899"/>
      <c r="AU50" s="3899"/>
      <c r="AV50" s="3899"/>
      <c r="AW50" s="1915"/>
      <c r="AX50" s="2026"/>
      <c r="AY50" s="2026"/>
      <c r="AZ50" s="2026"/>
      <c r="BA50" s="2026"/>
      <c r="BB50" s="2026"/>
      <c r="BC50" s="2026"/>
      <c r="BD50" s="2026"/>
      <c r="BE50" s="1915"/>
      <c r="BF50" s="3385"/>
      <c r="BG50" s="3385"/>
      <c r="BH50" s="3385"/>
      <c r="BI50" s="1915"/>
      <c r="BJ50" s="2026"/>
      <c r="BK50" s="2026"/>
      <c r="BL50" s="2026"/>
      <c r="BM50" s="2026"/>
      <c r="BN50" s="2026"/>
      <c r="BO50" s="2026"/>
      <c r="BP50" s="2026"/>
      <c r="BQ50" s="3385"/>
      <c r="BR50" s="3385"/>
      <c r="BS50" s="3385"/>
      <c r="BT50" s="3385"/>
      <c r="BU50" s="3385"/>
      <c r="BV50" s="2026"/>
      <c r="BW50" s="2026"/>
      <c r="BX50" s="2026"/>
      <c r="BY50" s="2026"/>
      <c r="BZ50" s="2026"/>
      <c r="CA50" s="2026"/>
      <c r="CB50" s="2026"/>
      <c r="CC50" s="3385"/>
      <c r="CD50" s="2274"/>
      <c r="CE50" s="2274"/>
      <c r="CF50" s="2274"/>
      <c r="CG50" s="3385"/>
      <c r="CH50" s="2026"/>
      <c r="CI50" s="2026"/>
      <c r="CJ50" s="3385"/>
      <c r="CK50" s="2274"/>
      <c r="CL50" s="2274"/>
      <c r="CM50" s="2274"/>
      <c r="CO50" s="3385"/>
      <c r="CP50" s="1993"/>
      <c r="CQ50" s="1994"/>
      <c r="CR50" s="3385"/>
      <c r="CS50" s="1993"/>
      <c r="CT50" s="1993"/>
      <c r="CU50" s="1916"/>
      <c r="CV50" s="1916"/>
      <c r="CW50" s="1916"/>
      <c r="CX50" s="1916"/>
      <c r="CY50" s="1916"/>
      <c r="CZ50" s="1916"/>
      <c r="DA50" s="1916"/>
      <c r="DB50" s="1916"/>
      <c r="DC50" s="1916"/>
      <c r="DE50" s="1916"/>
    </row>
    <row r="51" spans="1:122" s="3802" customFormat="1" ht="21" thickBot="1" x14ac:dyDescent="0.25">
      <c r="B51" s="3803"/>
      <c r="C51" s="3800" t="s">
        <v>150</v>
      </c>
      <c r="D51" s="3784"/>
      <c r="E51" s="3788">
        <f>E47*100/20</f>
        <v>15512.75</v>
      </c>
      <c r="F51" s="3788">
        <f>F47*100/20</f>
        <v>15512.75</v>
      </c>
      <c r="G51" s="3788"/>
      <c r="H51" s="3789"/>
      <c r="I51" s="3788">
        <f>I47*100/20</f>
        <v>517.09166666666681</v>
      </c>
      <c r="J51" s="3788">
        <f>J47*100/20</f>
        <v>517.09166666666681</v>
      </c>
      <c r="K51" s="3788"/>
      <c r="L51" s="3804"/>
      <c r="M51" s="3853">
        <f>E51/E94</f>
        <v>0.71270559588348803</v>
      </c>
      <c r="N51" s="3853">
        <f>F51/F94</f>
        <v>0.63938463440771576</v>
      </c>
      <c r="O51" s="3853"/>
      <c r="P51" s="3833"/>
      <c r="Q51" s="3854"/>
      <c r="R51" s="3788">
        <f t="shared" ref="R51" si="98">R13</f>
        <v>43.290833333333325</v>
      </c>
      <c r="S51" s="3788">
        <f>S13</f>
        <v>43.290833333333325</v>
      </c>
      <c r="T51" s="3788"/>
      <c r="U51" s="3789"/>
      <c r="V51" s="3788"/>
      <c r="W51" s="3788"/>
      <c r="X51" s="3790"/>
      <c r="Y51" s="3788"/>
      <c r="Z51" s="3788"/>
      <c r="AA51" s="3790"/>
      <c r="AB51" s="3788"/>
      <c r="AC51" s="3788"/>
      <c r="AD51" s="3790"/>
      <c r="AE51" s="3788"/>
      <c r="AF51" s="3788"/>
      <c r="AG51" s="3790"/>
      <c r="AH51" s="3788"/>
      <c r="AI51" s="3788"/>
      <c r="AJ51" s="3790"/>
      <c r="AK51" s="3788"/>
      <c r="AL51" s="3788"/>
      <c r="AM51" s="3785"/>
      <c r="AN51" s="3855">
        <f>SUM(R51:AL51)</f>
        <v>86.581666666666649</v>
      </c>
      <c r="AO51" s="3856"/>
      <c r="AP51" s="3857"/>
      <c r="AQ51" s="3855"/>
      <c r="AR51" s="3856"/>
      <c r="AS51" s="3857"/>
      <c r="AT51" s="3806"/>
      <c r="AU51" s="3980"/>
      <c r="AV51" s="3865"/>
      <c r="AW51" s="3785"/>
      <c r="AX51" s="3791"/>
      <c r="AY51" s="3794"/>
      <c r="AZ51" s="3794"/>
      <c r="BA51" s="3794"/>
      <c r="BB51" s="3794"/>
      <c r="BC51" s="3794"/>
      <c r="BD51" s="3794"/>
      <c r="BE51" s="3785"/>
      <c r="BF51" s="3791">
        <f>SUM(AX51:BD51)</f>
        <v>0</v>
      </c>
      <c r="BG51" s="3792"/>
      <c r="BH51" s="3793"/>
      <c r="BI51" s="3789"/>
      <c r="BJ51" s="3791"/>
      <c r="BK51" s="3794"/>
      <c r="BL51" s="3794"/>
      <c r="BM51" s="3794"/>
      <c r="BN51" s="3794"/>
      <c r="BO51" s="3794"/>
      <c r="BP51" s="3794"/>
      <c r="BQ51" s="3858"/>
      <c r="BR51" s="3791">
        <f>SUM(BJ51:BP51)</f>
        <v>0</v>
      </c>
      <c r="BS51" s="3792"/>
      <c r="BT51" s="3793"/>
      <c r="BU51" s="3785"/>
      <c r="BV51" s="3791"/>
      <c r="BW51" s="3794"/>
      <c r="BX51" s="3794"/>
      <c r="BY51" s="3794"/>
      <c r="BZ51" s="3794"/>
      <c r="CA51" s="3794"/>
      <c r="CB51" s="3793"/>
      <c r="CC51" s="3785"/>
      <c r="CD51" s="3791">
        <f>SUM(BV51:CB51)</f>
        <v>0</v>
      </c>
      <c r="CE51" s="3792"/>
      <c r="CF51" s="3793"/>
      <c r="CH51" s="3791"/>
      <c r="CI51" s="3793"/>
      <c r="CJ51" s="3859"/>
      <c r="CK51" s="3860">
        <f>SUM(CH51:CI51)</f>
        <v>0</v>
      </c>
      <c r="CL51" s="3861"/>
      <c r="CM51" s="3793"/>
      <c r="CN51" s="3834"/>
      <c r="CO51" s="3860">
        <f>SUM(R51:AL51)+SUM(AX51:BD51)+SUM(BJ51:BP51)+SUM(BV51:CB51)+SUM(CI51:CI51)</f>
        <v>86.581666666666649</v>
      </c>
      <c r="CP51" s="3862"/>
      <c r="CR51" s="3816"/>
      <c r="CS51" s="3816"/>
      <c r="CT51" s="3816"/>
      <c r="DE51" s="3799"/>
      <c r="DF51" s="3816"/>
      <c r="DG51" s="3816"/>
      <c r="DH51" s="3816"/>
      <c r="DI51" s="3816"/>
      <c r="DJ51" s="3816"/>
      <c r="DK51" s="3816"/>
      <c r="DL51" s="3816"/>
      <c r="DM51" s="3816"/>
      <c r="DN51" s="3816"/>
      <c r="DO51" s="3816"/>
      <c r="DP51" s="3816"/>
      <c r="DQ51" s="3816"/>
      <c r="DR51" s="3816"/>
    </row>
    <row r="52" spans="1:122" s="1860" customFormat="1" ht="17.25" thickBot="1" x14ac:dyDescent="0.25">
      <c r="B52" s="1861"/>
      <c r="C52" s="1861" t="s">
        <v>143</v>
      </c>
      <c r="D52" s="1861"/>
      <c r="E52" s="3386"/>
      <c r="F52" s="3386"/>
      <c r="G52" s="3900"/>
      <c r="H52" s="3398"/>
      <c r="I52" s="3386"/>
      <c r="J52" s="3386"/>
      <c r="K52" s="3900"/>
      <c r="L52" s="3398"/>
      <c r="M52" s="2059"/>
      <c r="N52" s="2059"/>
      <c r="O52" s="2059"/>
      <c r="P52" s="1931"/>
      <c r="Q52" s="1877"/>
      <c r="R52" s="3386"/>
      <c r="S52" s="3386"/>
      <c r="T52" s="3900"/>
      <c r="U52" s="3398"/>
      <c r="V52" s="3386"/>
      <c r="W52" s="3386"/>
      <c r="X52" s="3398"/>
      <c r="Y52" s="3386"/>
      <c r="Z52" s="3386"/>
      <c r="AA52" s="3398"/>
      <c r="AB52" s="3386"/>
      <c r="AC52" s="3386"/>
      <c r="AD52" s="3398"/>
      <c r="AE52" s="3386"/>
      <c r="AF52" s="3386"/>
      <c r="AG52" s="3398"/>
      <c r="AH52" s="3386"/>
      <c r="AI52" s="3386"/>
      <c r="AJ52" s="3398"/>
      <c r="AK52" s="3386"/>
      <c r="AL52" s="3386"/>
      <c r="AM52" s="3386"/>
      <c r="AN52" s="3347"/>
      <c r="AO52" s="3347"/>
      <c r="AP52" s="3347"/>
      <c r="AQ52" s="3347"/>
      <c r="AR52" s="3347"/>
      <c r="AS52" s="3347"/>
      <c r="AT52" s="3900"/>
      <c r="AU52" s="3900"/>
      <c r="AV52" s="3900"/>
      <c r="AW52" s="1862"/>
      <c r="AX52" s="3386"/>
      <c r="AY52" s="3386"/>
      <c r="AZ52" s="3386"/>
      <c r="BA52" s="3386"/>
      <c r="BB52" s="3386"/>
      <c r="BC52" s="3386"/>
      <c r="BD52" s="3386"/>
      <c r="BE52" s="1862"/>
      <c r="BF52" s="3386"/>
      <c r="BG52" s="3386"/>
      <c r="BH52" s="3386"/>
      <c r="BI52" s="1862"/>
      <c r="BJ52" s="3386"/>
      <c r="BK52" s="3386"/>
      <c r="BL52" s="3386"/>
      <c r="BM52" s="3386"/>
      <c r="BN52" s="3386"/>
      <c r="BO52" s="3386"/>
      <c r="BP52" s="3386"/>
      <c r="BQ52" s="3386"/>
      <c r="BR52" s="3386"/>
      <c r="BS52" s="3386"/>
      <c r="BT52" s="3386"/>
      <c r="BU52" s="3386"/>
      <c r="BV52" s="3386"/>
      <c r="BW52" s="3386"/>
      <c r="BX52" s="3386"/>
      <c r="BY52" s="3386"/>
      <c r="BZ52" s="3386"/>
      <c r="CA52" s="3386"/>
      <c r="CB52" s="3386"/>
      <c r="CC52" s="3386"/>
      <c r="CD52" s="3386"/>
      <c r="CE52" s="3386"/>
      <c r="CF52" s="3386"/>
      <c r="CG52" s="3386"/>
      <c r="CH52" s="3386"/>
      <c r="CI52" s="3386"/>
      <c r="CJ52" s="3386"/>
      <c r="CK52" s="3386"/>
      <c r="CL52" s="3386"/>
      <c r="CM52" s="3386"/>
      <c r="CN52" s="1862"/>
      <c r="CO52" s="3386"/>
      <c r="CP52" s="2639"/>
      <c r="CQ52" s="1861"/>
      <c r="CR52" s="4634" t="s">
        <v>99</v>
      </c>
      <c r="CS52" s="4634"/>
      <c r="CT52" s="3386"/>
      <c r="CU52" s="1862"/>
      <c r="CV52" s="1862"/>
      <c r="CW52" s="1862"/>
      <c r="CX52" s="1862"/>
      <c r="CY52" s="1862"/>
      <c r="CZ52" s="1862"/>
      <c r="DA52" s="1862"/>
      <c r="DB52" s="1862"/>
      <c r="DC52" s="1862"/>
      <c r="DE52" s="3384"/>
    </row>
    <row r="53" spans="1:122" s="1900" customFormat="1" x14ac:dyDescent="0.2">
      <c r="A53" s="2464"/>
      <c r="B53" s="3334">
        <v>38</v>
      </c>
      <c r="C53" s="3334" t="s">
        <v>245</v>
      </c>
      <c r="D53" s="1960"/>
      <c r="E53" s="2176">
        <f>106*$E$12</f>
        <v>53</v>
      </c>
      <c r="F53" s="2176">
        <f>106*$F$12</f>
        <v>53</v>
      </c>
      <c r="G53" s="2176"/>
      <c r="H53" s="2299"/>
      <c r="I53" s="2176">
        <f t="shared" ref="I53:J61" si="99">E53/30</f>
        <v>1.7666666666666666</v>
      </c>
      <c r="J53" s="2176">
        <f t="shared" si="99"/>
        <v>1.7666666666666666</v>
      </c>
      <c r="K53" s="2176"/>
      <c r="L53" s="3328"/>
      <c r="M53" s="3350">
        <f>E53/$E$62</f>
        <v>0.31500742942050519</v>
      </c>
      <c r="N53" s="3350">
        <f t="shared" ref="N53:N61" si="100">F53/$F$62</f>
        <v>0.31500742942050519</v>
      </c>
      <c r="O53" s="3350"/>
      <c r="P53" s="2468"/>
      <c r="Q53" s="2339"/>
      <c r="R53" s="2176">
        <f>IF(R51&gt;$I$62,$I$53,IF(R51&lt;$I$62,(IF(R51&lt;0,0,R51*$M$53))))</f>
        <v>1.7666666666666666</v>
      </c>
      <c r="S53" s="2176">
        <f>IF(S51&gt;$J$62,$J$53,IF(S51&lt;$J$62,(IF(S51&lt;0,0,S51*$N$53))))</f>
        <v>1.7666666666666666</v>
      </c>
      <c r="T53" s="2176"/>
      <c r="U53" s="1951"/>
      <c r="V53" s="2176"/>
      <c r="W53" s="2176"/>
      <c r="X53" s="3323"/>
      <c r="Y53" s="2176"/>
      <c r="Z53" s="2176"/>
      <c r="AA53" s="3323"/>
      <c r="AB53" s="2176"/>
      <c r="AC53" s="2176"/>
      <c r="AD53" s="3323"/>
      <c r="AE53" s="2176"/>
      <c r="AF53" s="2176"/>
      <c r="AG53" s="3323"/>
      <c r="AH53" s="2176"/>
      <c r="AI53" s="2176"/>
      <c r="AJ53" s="3323"/>
      <c r="AK53" s="2176"/>
      <c r="AL53" s="2176"/>
      <c r="AM53" s="1951"/>
      <c r="AN53" s="3352">
        <f t="shared" ref="AN53:AN87" si="101">SUM(R53:AL53)</f>
        <v>3.5333333333333332</v>
      </c>
      <c r="AO53" s="3353">
        <f>$I$53*0</f>
        <v>0</v>
      </c>
      <c r="AP53" s="3354">
        <f>AN53-AO53</f>
        <v>3.5333333333333332</v>
      </c>
      <c r="AQ53" s="3352"/>
      <c r="AR53" s="3353"/>
      <c r="AS53" s="3354"/>
      <c r="AT53" s="3352"/>
      <c r="AU53" s="3981"/>
      <c r="AV53" s="3982"/>
      <c r="AW53" s="1951"/>
      <c r="AX53" s="2410"/>
      <c r="AY53" s="2408"/>
      <c r="AZ53" s="2408"/>
      <c r="BA53" s="2408"/>
      <c r="BB53" s="2408"/>
      <c r="BC53" s="2408"/>
      <c r="BD53" s="2409"/>
      <c r="BE53" s="1951"/>
      <c r="BF53" s="2410">
        <f>SUM(AX53:BD53)</f>
        <v>0</v>
      </c>
      <c r="BG53" s="2408">
        <f>$I$53*0</f>
        <v>0</v>
      </c>
      <c r="BH53" s="2411">
        <f>BF53-BG53</f>
        <v>0</v>
      </c>
      <c r="BI53" s="1951"/>
      <c r="BJ53" s="2410"/>
      <c r="BK53" s="2406"/>
      <c r="BL53" s="2406"/>
      <c r="BM53" s="2406"/>
      <c r="BN53" s="2406"/>
      <c r="BO53" s="2406"/>
      <c r="BP53" s="2406"/>
      <c r="BQ53" s="1951"/>
      <c r="BR53" s="2410">
        <f>SUM(BJ53:BP53)</f>
        <v>0</v>
      </c>
      <c r="BS53" s="2408">
        <f>$I$53*0</f>
        <v>0</v>
      </c>
      <c r="BT53" s="2411">
        <f>BR53-BS53</f>
        <v>0</v>
      </c>
      <c r="BU53" s="1951"/>
      <c r="BV53" s="2410"/>
      <c r="BW53" s="2406"/>
      <c r="BX53" s="2406"/>
      <c r="BY53" s="2406"/>
      <c r="BZ53" s="2406"/>
      <c r="CA53" s="2406"/>
      <c r="CB53" s="2409"/>
      <c r="CC53" s="1951"/>
      <c r="CD53" s="2410">
        <f>SUM(BV53:CB53)</f>
        <v>0</v>
      </c>
      <c r="CE53" s="2408">
        <f>$I$53*0</f>
        <v>0</v>
      </c>
      <c r="CF53" s="2411">
        <f>CD53-CE53</f>
        <v>0</v>
      </c>
      <c r="CG53" s="1951"/>
      <c r="CH53" s="2410"/>
      <c r="CI53" s="2409"/>
      <c r="CJ53" s="1951"/>
      <c r="CK53" s="2410">
        <f t="shared" ref="CK53:CK61" si="102">SUM(CH53:CI53)</f>
        <v>0</v>
      </c>
      <c r="CL53" s="2408">
        <f>$I$53*0</f>
        <v>0</v>
      </c>
      <c r="CM53" s="2411">
        <f>CK53-CL53</f>
        <v>0</v>
      </c>
      <c r="CO53" s="2410"/>
      <c r="CP53" s="2412"/>
      <c r="CR53" s="2410">
        <f t="shared" ref="CR53:CR61" si="103">SUM(R53:AL53)+SUM(AX53:BD53)+SUM(BJ53:BP53)+SUM(BV53:CB53)+SUM(CI53:CI53)</f>
        <v>3.5333333333333332</v>
      </c>
      <c r="CS53" s="2413">
        <f t="shared" ref="CS53:CS62" si="104">CR53/E53</f>
        <v>6.6666666666666666E-2</v>
      </c>
      <c r="CT53" s="2353"/>
      <c r="CU53" s="4635">
        <f>CS62-CR1</f>
        <v>3.3333333333333319E-2</v>
      </c>
      <c r="CV53" s="3384"/>
      <c r="CW53" s="3384"/>
      <c r="CX53" s="3384"/>
      <c r="CY53" s="3384"/>
      <c r="CZ53" s="3905"/>
      <c r="DA53" s="3905"/>
      <c r="DB53" s="3905"/>
      <c r="DC53" s="3905"/>
      <c r="DE53" s="4627"/>
      <c r="DF53" s="2011"/>
      <c r="DG53" s="2011"/>
      <c r="DH53" s="2011"/>
      <c r="DI53" s="2011"/>
      <c r="DJ53" s="2011"/>
      <c r="DK53" s="2011"/>
      <c r="DL53" s="2011"/>
      <c r="DM53" s="2011"/>
      <c r="DN53" s="2011"/>
      <c r="DO53" s="2011"/>
      <c r="DP53" s="2011"/>
      <c r="DQ53" s="2011"/>
      <c r="DR53" s="2011"/>
    </row>
    <row r="54" spans="1:122" s="1740" customFormat="1" x14ac:dyDescent="0.2">
      <c r="A54" s="2466"/>
      <c r="B54" s="3348">
        <v>39</v>
      </c>
      <c r="C54" s="3348" t="s">
        <v>241</v>
      </c>
      <c r="D54" s="1817"/>
      <c r="E54" s="2088">
        <f>63*$E$12</f>
        <v>31.5</v>
      </c>
      <c r="F54" s="2088">
        <f>63*$F$12</f>
        <v>31.5</v>
      </c>
      <c r="G54" s="2088"/>
      <c r="H54" s="2289"/>
      <c r="I54" s="2088">
        <f t="shared" si="99"/>
        <v>1.05</v>
      </c>
      <c r="J54" s="2088">
        <f t="shared" si="99"/>
        <v>1.05</v>
      </c>
      <c r="K54" s="2088"/>
      <c r="L54" s="1762"/>
      <c r="M54" s="3351">
        <f>E54/$E$62</f>
        <v>0.18722139673105498</v>
      </c>
      <c r="N54" s="3351">
        <f t="shared" si="100"/>
        <v>0.18722139673105498</v>
      </c>
      <c r="O54" s="3351"/>
      <c r="P54" s="2465"/>
      <c r="Q54" s="2131"/>
      <c r="R54" s="2088">
        <f t="shared" ref="R54" si="105">IF(R51&gt;$I$62,$I$54,IF(R51&lt;$I$62,(IF(R51&lt;0,0,R51*$M$54))))</f>
        <v>1.05</v>
      </c>
      <c r="S54" s="2088">
        <f>IF(S51&gt;$J$62,$J$54,IF(S51&lt;$J$62,(IF(S51&lt;0,0,S51*$N$54))))</f>
        <v>1.05</v>
      </c>
      <c r="T54" s="2088"/>
      <c r="U54" s="3398"/>
      <c r="V54" s="2088"/>
      <c r="W54" s="2088"/>
      <c r="X54" s="2287"/>
      <c r="Y54" s="2088"/>
      <c r="Z54" s="2088"/>
      <c r="AA54" s="2287"/>
      <c r="AB54" s="2088"/>
      <c r="AC54" s="2088"/>
      <c r="AD54" s="2287"/>
      <c r="AE54" s="2088"/>
      <c r="AF54" s="2088"/>
      <c r="AG54" s="2287"/>
      <c r="AH54" s="2088"/>
      <c r="AI54" s="2088"/>
      <c r="AJ54" s="2287"/>
      <c r="AK54" s="2088"/>
      <c r="AL54" s="2088"/>
      <c r="AM54" s="3398"/>
      <c r="AN54" s="3355">
        <f>SUM(R54:AL54)</f>
        <v>2.1</v>
      </c>
      <c r="AO54" s="2157">
        <f>$I$54*0</f>
        <v>0</v>
      </c>
      <c r="AP54" s="3356">
        <f>AN54-AO54</f>
        <v>2.1</v>
      </c>
      <c r="AQ54" s="3355"/>
      <c r="AR54" s="2157"/>
      <c r="AS54" s="3356"/>
      <c r="AT54" s="3359"/>
      <c r="AU54" s="2088"/>
      <c r="AV54" s="3363"/>
      <c r="AW54" s="3398"/>
      <c r="AX54" s="2153"/>
      <c r="AY54" s="2157"/>
      <c r="AZ54" s="2157"/>
      <c r="BA54" s="2157"/>
      <c r="BB54" s="2157"/>
      <c r="BC54" s="2157"/>
      <c r="BD54" s="2156"/>
      <c r="BE54" s="3398"/>
      <c r="BF54" s="2153">
        <f t="shared" ref="BF54:BF74" si="106">SUM(AX54:BD54)</f>
        <v>0</v>
      </c>
      <c r="BG54" s="2157">
        <f>$I$54*0</f>
        <v>0</v>
      </c>
      <c r="BH54" s="2158">
        <f t="shared" ref="BH54:BH74" si="107">BF54-BG54</f>
        <v>0</v>
      </c>
      <c r="BI54" s="3398"/>
      <c r="BJ54" s="2153"/>
      <c r="BK54" s="2154"/>
      <c r="BL54" s="2154"/>
      <c r="BM54" s="2154"/>
      <c r="BN54" s="2154"/>
      <c r="BO54" s="2154"/>
      <c r="BP54" s="2154"/>
      <c r="BQ54" s="3398"/>
      <c r="BR54" s="2153">
        <f t="shared" ref="BR54:BR61" si="108">SUM(BJ54:BP54)</f>
        <v>0</v>
      </c>
      <c r="BS54" s="2157">
        <f>$I$54*0</f>
        <v>0</v>
      </c>
      <c r="BT54" s="2158">
        <f t="shared" ref="BT54:BT61" si="109">BR54-BS54</f>
        <v>0</v>
      </c>
      <c r="BU54" s="3398"/>
      <c r="BV54" s="2153"/>
      <c r="BW54" s="2154"/>
      <c r="BX54" s="2088"/>
      <c r="BY54" s="2088"/>
      <c r="BZ54" s="2088"/>
      <c r="CA54" s="2088"/>
      <c r="CB54" s="2091"/>
      <c r="CC54" s="3398"/>
      <c r="CD54" s="2153">
        <f t="shared" ref="CD54:CD61" si="110">SUM(BV54:CB54)</f>
        <v>0</v>
      </c>
      <c r="CE54" s="2157">
        <f>$I$54*0</f>
        <v>0</v>
      </c>
      <c r="CF54" s="2158">
        <f t="shared" ref="CF54:CF61" si="111">CD54-CE54</f>
        <v>0</v>
      </c>
      <c r="CG54" s="3398"/>
      <c r="CH54" s="2090"/>
      <c r="CI54" s="2091"/>
      <c r="CJ54" s="3398"/>
      <c r="CK54" s="2153">
        <f t="shared" si="102"/>
        <v>0</v>
      </c>
      <c r="CL54" s="2157">
        <f>$I$54*0</f>
        <v>0</v>
      </c>
      <c r="CM54" s="2158">
        <f t="shared" ref="CM54:CM61" si="112">CK54-CL54</f>
        <v>0</v>
      </c>
      <c r="CO54" s="2153"/>
      <c r="CP54" s="2616"/>
      <c r="CR54" s="2153">
        <f t="shared" si="103"/>
        <v>2.1</v>
      </c>
      <c r="CS54" s="2617">
        <f t="shared" si="104"/>
        <v>6.6666666666666666E-2</v>
      </c>
      <c r="CT54" s="2351"/>
      <c r="CU54" s="4636"/>
      <c r="CV54" s="3384"/>
      <c r="CW54" s="3384"/>
      <c r="CX54" s="3384"/>
      <c r="CY54" s="3384"/>
      <c r="CZ54" s="3905"/>
      <c r="DA54" s="3905"/>
      <c r="DB54" s="3905"/>
      <c r="DC54" s="3905"/>
      <c r="DE54" s="4627"/>
      <c r="DF54" s="1861"/>
      <c r="DG54" s="1861"/>
      <c r="DH54" s="1861"/>
      <c r="DI54" s="1861"/>
      <c r="DJ54" s="1861"/>
      <c r="DK54" s="1861"/>
      <c r="DL54" s="1861"/>
      <c r="DM54" s="1861"/>
      <c r="DN54" s="1861"/>
      <c r="DO54" s="1861"/>
      <c r="DP54" s="1861"/>
      <c r="DQ54" s="1861"/>
      <c r="DR54" s="1861"/>
    </row>
    <row r="55" spans="1:122" s="1900" customFormat="1" x14ac:dyDescent="0.2">
      <c r="A55" s="2464"/>
      <c r="B55" s="3334">
        <v>40</v>
      </c>
      <c r="C55" s="3334" t="s">
        <v>117</v>
      </c>
      <c r="D55" s="1960"/>
      <c r="E55" s="2176">
        <f>37*$E$12</f>
        <v>18.5</v>
      </c>
      <c r="F55" s="2176">
        <f>37*$F$12</f>
        <v>18.5</v>
      </c>
      <c r="G55" s="2176"/>
      <c r="H55" s="2299"/>
      <c r="I55" s="2176">
        <f t="shared" si="99"/>
        <v>0.6166666666666667</v>
      </c>
      <c r="J55" s="2176">
        <f t="shared" si="99"/>
        <v>0.6166666666666667</v>
      </c>
      <c r="K55" s="2176"/>
      <c r="L55" s="3328"/>
      <c r="M55" s="3350">
        <f t="shared" ref="M55:M61" si="113">E55/$E$62</f>
        <v>0.10995542347696879</v>
      </c>
      <c r="N55" s="3350">
        <f t="shared" si="100"/>
        <v>0.10995542347696879</v>
      </c>
      <c r="O55" s="3350"/>
      <c r="P55" s="2468"/>
      <c r="Q55" s="2339"/>
      <c r="R55" s="2176">
        <f t="shared" ref="R55" si="114">IF(R51&gt;$I$62,$I$55,IF(R51&lt;$I$62,(IF(R51&lt;0,0,R51*$M$55))))</f>
        <v>0.6166666666666667</v>
      </c>
      <c r="S55" s="2176">
        <f>IF(S51&gt;$J$62,$J$55,IF(S51&lt;$J$62,(IF(S51&lt;0,0,S51*$N$55))))</f>
        <v>0.6166666666666667</v>
      </c>
      <c r="T55" s="2176"/>
      <c r="U55" s="1951"/>
      <c r="V55" s="2176"/>
      <c r="W55" s="2176"/>
      <c r="X55" s="3323"/>
      <c r="Y55" s="2176"/>
      <c r="Z55" s="2176"/>
      <c r="AA55" s="3323"/>
      <c r="AB55" s="2176"/>
      <c r="AC55" s="2176"/>
      <c r="AD55" s="3323"/>
      <c r="AE55" s="2176"/>
      <c r="AF55" s="2176"/>
      <c r="AG55" s="3323"/>
      <c r="AH55" s="2176"/>
      <c r="AI55" s="2176"/>
      <c r="AJ55" s="3323"/>
      <c r="AK55" s="2176"/>
      <c r="AL55" s="2176"/>
      <c r="AM55" s="1951"/>
      <c r="AN55" s="3357">
        <f t="shared" ref="AN55" si="115">SUM(R55:AL55)</f>
        <v>1.2333333333333334</v>
      </c>
      <c r="AO55" s="2167">
        <f>$I$55*0</f>
        <v>0</v>
      </c>
      <c r="AP55" s="3358">
        <f>AN55-AO55</f>
        <v>1.2333333333333334</v>
      </c>
      <c r="AQ55" s="3357"/>
      <c r="AR55" s="2167"/>
      <c r="AS55" s="3358"/>
      <c r="AT55" s="3361"/>
      <c r="AU55" s="2176"/>
      <c r="AV55" s="3362"/>
      <c r="AW55" s="1951"/>
      <c r="AX55" s="2163"/>
      <c r="AY55" s="2167"/>
      <c r="AZ55" s="2167"/>
      <c r="BA55" s="2167"/>
      <c r="BB55" s="2167"/>
      <c r="BC55" s="2167"/>
      <c r="BD55" s="2166"/>
      <c r="BE55" s="1951"/>
      <c r="BF55" s="2163">
        <f t="shared" si="106"/>
        <v>0</v>
      </c>
      <c r="BG55" s="2167">
        <f>$I$55*0</f>
        <v>0</v>
      </c>
      <c r="BH55" s="2168">
        <f t="shared" si="107"/>
        <v>0</v>
      </c>
      <c r="BI55" s="1951"/>
      <c r="BJ55" s="2163"/>
      <c r="BK55" s="2164"/>
      <c r="BL55" s="2164"/>
      <c r="BM55" s="2164"/>
      <c r="BN55" s="2164"/>
      <c r="BO55" s="2164"/>
      <c r="BP55" s="2164"/>
      <c r="BQ55" s="1951"/>
      <c r="BR55" s="2163">
        <f t="shared" si="108"/>
        <v>0</v>
      </c>
      <c r="BS55" s="2167">
        <f>$I$55*0</f>
        <v>0</v>
      </c>
      <c r="BT55" s="2168">
        <f t="shared" si="109"/>
        <v>0</v>
      </c>
      <c r="BU55" s="1951"/>
      <c r="BV55" s="2163"/>
      <c r="BW55" s="2164"/>
      <c r="BX55" s="2176"/>
      <c r="BY55" s="2176"/>
      <c r="BZ55" s="2176"/>
      <c r="CA55" s="2176"/>
      <c r="CB55" s="2171"/>
      <c r="CC55" s="1951"/>
      <c r="CD55" s="2163">
        <f t="shared" si="110"/>
        <v>0</v>
      </c>
      <c r="CE55" s="2167">
        <f>$I$55*0</f>
        <v>0</v>
      </c>
      <c r="CF55" s="2168">
        <f t="shared" si="111"/>
        <v>0</v>
      </c>
      <c r="CG55" s="1951"/>
      <c r="CH55" s="2169"/>
      <c r="CI55" s="2171"/>
      <c r="CJ55" s="1951"/>
      <c r="CK55" s="2163">
        <f t="shared" si="102"/>
        <v>0</v>
      </c>
      <c r="CL55" s="2167">
        <f>$I$55*0</f>
        <v>0</v>
      </c>
      <c r="CM55" s="2168">
        <f t="shared" si="112"/>
        <v>0</v>
      </c>
      <c r="CO55" s="2163"/>
      <c r="CP55" s="2619"/>
      <c r="CR55" s="2163">
        <f t="shared" si="103"/>
        <v>1.2333333333333334</v>
      </c>
      <c r="CS55" s="2620">
        <f t="shared" si="104"/>
        <v>6.6666666666666666E-2</v>
      </c>
      <c r="CT55" s="2353"/>
      <c r="CU55" s="4636"/>
      <c r="CV55" s="3384"/>
      <c r="CW55" s="3384"/>
      <c r="CX55" s="3384"/>
      <c r="CY55" s="3384"/>
      <c r="CZ55" s="3905"/>
      <c r="DA55" s="3905"/>
      <c r="DB55" s="3905"/>
      <c r="DC55" s="3905"/>
      <c r="DE55" s="4627"/>
      <c r="DF55" s="2011"/>
      <c r="DG55" s="2011"/>
      <c r="DH55" s="2011"/>
      <c r="DI55" s="2011"/>
      <c r="DJ55" s="2011"/>
      <c r="DK55" s="2011"/>
      <c r="DL55" s="2011"/>
      <c r="DM55" s="2011"/>
      <c r="DN55" s="2011"/>
      <c r="DO55" s="2011"/>
      <c r="DP55" s="2011"/>
      <c r="DQ55" s="2011"/>
      <c r="DR55" s="2011"/>
    </row>
    <row r="56" spans="1:122" s="1726" customFormat="1" x14ac:dyDescent="0.2">
      <c r="B56" s="3348">
        <v>41</v>
      </c>
      <c r="C56" s="3348" t="s">
        <v>246</v>
      </c>
      <c r="D56" s="1817"/>
      <c r="E56" s="2088">
        <f>37*$E$12</f>
        <v>18.5</v>
      </c>
      <c r="F56" s="2088">
        <f>37*$F$12</f>
        <v>18.5</v>
      </c>
      <c r="G56" s="2088"/>
      <c r="H56" s="2289"/>
      <c r="I56" s="2088">
        <f t="shared" si="99"/>
        <v>0.6166666666666667</v>
      </c>
      <c r="J56" s="2088">
        <f t="shared" si="99"/>
        <v>0.6166666666666667</v>
      </c>
      <c r="K56" s="2088"/>
      <c r="L56" s="1762"/>
      <c r="M56" s="3351">
        <f t="shared" si="113"/>
        <v>0.10995542347696879</v>
      </c>
      <c r="N56" s="3351">
        <f t="shared" si="100"/>
        <v>0.10995542347696879</v>
      </c>
      <c r="O56" s="3351"/>
      <c r="P56" s="1931"/>
      <c r="Q56" s="1924"/>
      <c r="R56" s="2088">
        <f t="shared" ref="R56" si="116">IF(R51&gt;$I$62,$I$56,IF(R51&lt;$I$62,(IF(R51&lt;0,0,R51*$M$56))))</f>
        <v>0.6166666666666667</v>
      </c>
      <c r="S56" s="2088">
        <f>IF(S51&gt;$J$62,$J$56,IF(S51&lt;$J$62,(IF(S51&lt;0,0,S51*$N$56))))</f>
        <v>0.6166666666666667</v>
      </c>
      <c r="T56" s="2088"/>
      <c r="U56" s="3398"/>
      <c r="V56" s="2088"/>
      <c r="W56" s="2088"/>
      <c r="X56" s="2287"/>
      <c r="Y56" s="2088"/>
      <c r="Z56" s="2088"/>
      <c r="AA56" s="2287"/>
      <c r="AB56" s="2088"/>
      <c r="AC56" s="2088"/>
      <c r="AD56" s="2287"/>
      <c r="AE56" s="2088"/>
      <c r="AF56" s="2088"/>
      <c r="AG56" s="2287"/>
      <c r="AH56" s="2088"/>
      <c r="AI56" s="2088"/>
      <c r="AJ56" s="2287"/>
      <c r="AK56" s="2088"/>
      <c r="AL56" s="2088"/>
      <c r="AM56" s="3398"/>
      <c r="AN56" s="3359">
        <f t="shared" si="101"/>
        <v>1.2333333333333334</v>
      </c>
      <c r="AO56" s="2087">
        <f>$I$56*0</f>
        <v>0</v>
      </c>
      <c r="AP56" s="3360">
        <f>AN56-AO56</f>
        <v>1.2333333333333334</v>
      </c>
      <c r="AQ56" s="3359"/>
      <c r="AR56" s="2087"/>
      <c r="AS56" s="3360"/>
      <c r="AT56" s="3359"/>
      <c r="AU56" s="2088"/>
      <c r="AV56" s="3363"/>
      <c r="AW56" s="1766"/>
      <c r="AX56" s="2090"/>
      <c r="AY56" s="2087"/>
      <c r="AZ56" s="2087"/>
      <c r="BA56" s="2087"/>
      <c r="BB56" s="2087"/>
      <c r="BC56" s="2087"/>
      <c r="BD56" s="2091"/>
      <c r="BE56" s="1766"/>
      <c r="BF56" s="2090">
        <f t="shared" si="106"/>
        <v>0</v>
      </c>
      <c r="BG56" s="2087">
        <f>$I$56*0</f>
        <v>0</v>
      </c>
      <c r="BH56" s="2174">
        <f t="shared" si="107"/>
        <v>0</v>
      </c>
      <c r="BI56" s="1766"/>
      <c r="BJ56" s="2090"/>
      <c r="BK56" s="2088"/>
      <c r="BL56" s="2088"/>
      <c r="BM56" s="2088"/>
      <c r="BN56" s="2088"/>
      <c r="BO56" s="2088"/>
      <c r="BP56" s="2088"/>
      <c r="BQ56" s="3398"/>
      <c r="BR56" s="2090">
        <f t="shared" si="108"/>
        <v>0</v>
      </c>
      <c r="BS56" s="2087">
        <f>$I$56*0</f>
        <v>0</v>
      </c>
      <c r="BT56" s="2174">
        <f t="shared" si="109"/>
        <v>0</v>
      </c>
      <c r="BU56" s="3398"/>
      <c r="BV56" s="2090"/>
      <c r="BW56" s="2088"/>
      <c r="BX56" s="2088"/>
      <c r="BY56" s="2088"/>
      <c r="BZ56" s="2088"/>
      <c r="CA56" s="2088"/>
      <c r="CB56" s="2091"/>
      <c r="CC56" s="3398"/>
      <c r="CD56" s="2090">
        <f t="shared" si="110"/>
        <v>0</v>
      </c>
      <c r="CE56" s="2087">
        <f>$I$56*0</f>
        <v>0</v>
      </c>
      <c r="CF56" s="2174">
        <f t="shared" si="111"/>
        <v>0</v>
      </c>
      <c r="CG56" s="3398"/>
      <c r="CH56" s="2090"/>
      <c r="CI56" s="2091"/>
      <c r="CJ56" s="3398"/>
      <c r="CK56" s="2090">
        <f t="shared" si="102"/>
        <v>0</v>
      </c>
      <c r="CL56" s="2087">
        <f>$I$56*0</f>
        <v>0</v>
      </c>
      <c r="CM56" s="2174">
        <f t="shared" si="112"/>
        <v>0</v>
      </c>
      <c r="CO56" s="2090"/>
      <c r="CP56" s="2159"/>
      <c r="CQ56" s="1740"/>
      <c r="CR56" s="2090">
        <f t="shared" si="103"/>
        <v>1.2333333333333334</v>
      </c>
      <c r="CS56" s="2160">
        <f t="shared" si="104"/>
        <v>6.6666666666666666E-2</v>
      </c>
      <c r="CT56" s="2351"/>
      <c r="CU56" s="4636"/>
      <c r="CV56" s="3384"/>
      <c r="CW56" s="3384"/>
      <c r="CX56" s="3384"/>
      <c r="CY56" s="3384"/>
      <c r="CZ56" s="3905"/>
      <c r="DA56" s="3905"/>
      <c r="DB56" s="3905"/>
      <c r="DC56" s="3905"/>
      <c r="DE56" s="4627"/>
      <c r="DF56" s="1830"/>
      <c r="DG56" s="2131"/>
      <c r="DH56" s="1830"/>
      <c r="DI56" s="1860"/>
      <c r="DJ56" s="1860"/>
      <c r="DK56" s="1860"/>
      <c r="DL56" s="1860"/>
      <c r="DM56" s="1860"/>
      <c r="DN56" s="1860"/>
      <c r="DO56" s="1860"/>
      <c r="DP56" s="1860"/>
      <c r="DQ56" s="1860"/>
      <c r="DR56" s="1860"/>
    </row>
    <row r="57" spans="1:122" s="1885" customFormat="1" x14ac:dyDescent="0.2">
      <c r="B57" s="3334">
        <v>42</v>
      </c>
      <c r="C57" s="3334" t="s">
        <v>118</v>
      </c>
      <c r="D57" s="1960"/>
      <c r="E57" s="2176">
        <f>35*$E$12</f>
        <v>17.5</v>
      </c>
      <c r="F57" s="2176">
        <f>35*$F$12</f>
        <v>17.5</v>
      </c>
      <c r="G57" s="2176"/>
      <c r="H57" s="2299"/>
      <c r="I57" s="2176">
        <f t="shared" si="99"/>
        <v>0.58333333333333337</v>
      </c>
      <c r="J57" s="2176">
        <f t="shared" si="99"/>
        <v>0.58333333333333337</v>
      </c>
      <c r="K57" s="2176"/>
      <c r="L57" s="3328"/>
      <c r="M57" s="3350">
        <f t="shared" si="113"/>
        <v>0.10401188707280833</v>
      </c>
      <c r="N57" s="3350">
        <f t="shared" si="100"/>
        <v>0.10401188707280833</v>
      </c>
      <c r="O57" s="3350"/>
      <c r="P57" s="2003"/>
      <c r="Q57" s="1950"/>
      <c r="R57" s="2176">
        <f t="shared" ref="R57" si="117">IF(R51&gt;$I$62,$I$57,IF(R51&lt;$I$62,(IF(R51&lt;0,0,R51*$M$57))))</f>
        <v>0.58333333333333337</v>
      </c>
      <c r="S57" s="2176">
        <f>IF(S51&gt;$J$62,$J$57,IF(S51&lt;$J$62,(IF(S51&lt;0,0,S51*$N$57))))</f>
        <v>0.58333333333333337</v>
      </c>
      <c r="T57" s="2176"/>
      <c r="U57" s="1951"/>
      <c r="V57" s="2176"/>
      <c r="W57" s="2176"/>
      <c r="X57" s="3323"/>
      <c r="Y57" s="2176"/>
      <c r="Z57" s="2176"/>
      <c r="AA57" s="3323"/>
      <c r="AB57" s="2176"/>
      <c r="AC57" s="2176"/>
      <c r="AD57" s="3323"/>
      <c r="AE57" s="2176"/>
      <c r="AF57" s="2176"/>
      <c r="AG57" s="3323"/>
      <c r="AH57" s="2176"/>
      <c r="AI57" s="2176"/>
      <c r="AJ57" s="3323"/>
      <c r="AK57" s="2176"/>
      <c r="AL57" s="2176"/>
      <c r="AM57" s="1951"/>
      <c r="AN57" s="3361">
        <f t="shared" si="101"/>
        <v>1.1666666666666667</v>
      </c>
      <c r="AO57" s="2176">
        <f>$I$57*0</f>
        <v>0</v>
      </c>
      <c r="AP57" s="3362">
        <f t="shared" ref="AP57:AP74" si="118">AN57-AO57</f>
        <v>1.1666666666666667</v>
      </c>
      <c r="AQ57" s="3361"/>
      <c r="AR57" s="2176"/>
      <c r="AS57" s="3362"/>
      <c r="AT57" s="3361"/>
      <c r="AU57" s="2176"/>
      <c r="AV57" s="3362"/>
      <c r="AW57" s="1956"/>
      <c r="AX57" s="2169"/>
      <c r="AY57" s="2176"/>
      <c r="AZ57" s="2176"/>
      <c r="BA57" s="2176"/>
      <c r="BB57" s="2176"/>
      <c r="BC57" s="2176"/>
      <c r="BD57" s="2171"/>
      <c r="BE57" s="1956"/>
      <c r="BF57" s="2169">
        <f t="shared" si="106"/>
        <v>0</v>
      </c>
      <c r="BG57" s="2176">
        <f>$I$57*0</f>
        <v>0</v>
      </c>
      <c r="BH57" s="2171">
        <f t="shared" si="107"/>
        <v>0</v>
      </c>
      <c r="BI57" s="1956"/>
      <c r="BJ57" s="2169"/>
      <c r="BK57" s="2176"/>
      <c r="BL57" s="2176"/>
      <c r="BM57" s="2176"/>
      <c r="BN57" s="2176"/>
      <c r="BO57" s="2176"/>
      <c r="BP57" s="2176"/>
      <c r="BQ57" s="1951"/>
      <c r="BR57" s="2169">
        <f t="shared" si="108"/>
        <v>0</v>
      </c>
      <c r="BS57" s="2176">
        <f>$I$57*0</f>
        <v>0</v>
      </c>
      <c r="BT57" s="2171">
        <f t="shared" si="109"/>
        <v>0</v>
      </c>
      <c r="BU57" s="1951"/>
      <c r="BV57" s="2169"/>
      <c r="BW57" s="2176"/>
      <c r="BX57" s="2176"/>
      <c r="BY57" s="2176"/>
      <c r="BZ57" s="2176"/>
      <c r="CA57" s="2176"/>
      <c r="CB57" s="2171"/>
      <c r="CC57" s="1951"/>
      <c r="CD57" s="2169">
        <f t="shared" si="110"/>
        <v>0</v>
      </c>
      <c r="CE57" s="2176">
        <f>$I$57*0</f>
        <v>0</v>
      </c>
      <c r="CF57" s="2171">
        <f t="shared" si="111"/>
        <v>0</v>
      </c>
      <c r="CG57" s="1951"/>
      <c r="CH57" s="2169"/>
      <c r="CI57" s="2171"/>
      <c r="CJ57" s="1951"/>
      <c r="CK57" s="2169">
        <f t="shared" si="102"/>
        <v>0</v>
      </c>
      <c r="CL57" s="2176">
        <f>$I$57*0</f>
        <v>0</v>
      </c>
      <c r="CM57" s="2171">
        <f t="shared" si="112"/>
        <v>0</v>
      </c>
      <c r="CO57" s="2179"/>
      <c r="CP57" s="2180"/>
      <c r="CQ57" s="1900"/>
      <c r="CR57" s="2179">
        <f t="shared" si="103"/>
        <v>1.1666666666666667</v>
      </c>
      <c r="CS57" s="2181">
        <f t="shared" si="104"/>
        <v>6.6666666666666666E-2</v>
      </c>
      <c r="CT57" s="2353"/>
      <c r="CU57" s="4636"/>
      <c r="CV57" s="3384"/>
      <c r="CW57" s="3384"/>
      <c r="CX57" s="3384"/>
      <c r="CY57" s="3384"/>
      <c r="CZ57" s="3905"/>
      <c r="DA57" s="3905"/>
      <c r="DB57" s="3905"/>
      <c r="DC57" s="3905"/>
      <c r="DE57" s="4627"/>
      <c r="DF57" s="1962"/>
      <c r="DG57" s="2339"/>
      <c r="DH57" s="1962"/>
      <c r="DI57" s="1946"/>
      <c r="DJ57" s="1946"/>
      <c r="DK57" s="1946"/>
      <c r="DL57" s="1946"/>
      <c r="DM57" s="1946"/>
      <c r="DN57" s="1946"/>
      <c r="DO57" s="1946"/>
      <c r="DP57" s="1946"/>
      <c r="DQ57" s="1946"/>
      <c r="DR57" s="1946"/>
    </row>
    <row r="58" spans="1:122" s="1726" customFormat="1" x14ac:dyDescent="0.2">
      <c r="A58" s="1756"/>
      <c r="B58" s="3348">
        <v>43</v>
      </c>
      <c r="C58" s="3348" t="s">
        <v>269</v>
      </c>
      <c r="D58" s="1817"/>
      <c r="E58" s="2088">
        <f>29.5*$E$12</f>
        <v>14.75</v>
      </c>
      <c r="F58" s="2088">
        <f>29.5*$F$12</f>
        <v>14.75</v>
      </c>
      <c r="G58" s="2088"/>
      <c r="H58" s="2289"/>
      <c r="I58" s="2088">
        <f t="shared" si="99"/>
        <v>0.49166666666666664</v>
      </c>
      <c r="J58" s="2088">
        <f t="shared" si="99"/>
        <v>0.49166666666666664</v>
      </c>
      <c r="K58" s="2088"/>
      <c r="L58" s="1762"/>
      <c r="M58" s="3351">
        <f t="shared" si="113"/>
        <v>8.7667161961367007E-2</v>
      </c>
      <c r="N58" s="3351">
        <f t="shared" si="100"/>
        <v>8.7667161961367007E-2</v>
      </c>
      <c r="O58" s="3351"/>
      <c r="P58" s="1931"/>
      <c r="Q58" s="1924"/>
      <c r="R58" s="2088">
        <f t="shared" ref="R58" si="119">IF(R51&gt;$I$62,$I$58,IF(R51&lt;$I$62,(IF(R51&lt;0,0,R51*$M$58))))</f>
        <v>0.49166666666666664</v>
      </c>
      <c r="S58" s="2088">
        <f>IF(S51&gt;$J$62,$J$58,IF(S51&lt;$J$62,(IF(S51&lt;0,0,S51*$N$58))))</f>
        <v>0.49166666666666664</v>
      </c>
      <c r="T58" s="2088"/>
      <c r="U58" s="3398"/>
      <c r="V58" s="2088"/>
      <c r="W58" s="2088"/>
      <c r="X58" s="2287"/>
      <c r="Y58" s="2088"/>
      <c r="Z58" s="2088"/>
      <c r="AA58" s="2287"/>
      <c r="AB58" s="2088"/>
      <c r="AC58" s="2088"/>
      <c r="AD58" s="2287"/>
      <c r="AE58" s="2088"/>
      <c r="AF58" s="2088"/>
      <c r="AG58" s="2287"/>
      <c r="AH58" s="2088"/>
      <c r="AI58" s="2088"/>
      <c r="AJ58" s="2287"/>
      <c r="AK58" s="2088"/>
      <c r="AL58" s="2088"/>
      <c r="AM58" s="3398"/>
      <c r="AN58" s="3359">
        <f t="shared" si="101"/>
        <v>0.98333333333333328</v>
      </c>
      <c r="AO58" s="2088">
        <f>$I$58*0</f>
        <v>0</v>
      </c>
      <c r="AP58" s="3363">
        <f t="shared" si="118"/>
        <v>0.98333333333333328</v>
      </c>
      <c r="AQ58" s="3359"/>
      <c r="AR58" s="2088"/>
      <c r="AS58" s="3363"/>
      <c r="AT58" s="3359"/>
      <c r="AU58" s="2088"/>
      <c r="AV58" s="3363"/>
      <c r="AW58" s="1766"/>
      <c r="AX58" s="2090"/>
      <c r="AY58" s="2088"/>
      <c r="AZ58" s="2088"/>
      <c r="BA58" s="2088"/>
      <c r="BB58" s="2088"/>
      <c r="BC58" s="2088"/>
      <c r="BD58" s="2091"/>
      <c r="BE58" s="1766"/>
      <c r="BF58" s="2090">
        <f t="shared" si="106"/>
        <v>0</v>
      </c>
      <c r="BG58" s="2088">
        <f>$I$58*0</f>
        <v>0</v>
      </c>
      <c r="BH58" s="2091">
        <f t="shared" si="107"/>
        <v>0</v>
      </c>
      <c r="BI58" s="1766"/>
      <c r="BJ58" s="2090"/>
      <c r="BK58" s="2088"/>
      <c r="BL58" s="2088"/>
      <c r="BM58" s="2088"/>
      <c r="BN58" s="2088"/>
      <c r="BO58" s="2088"/>
      <c r="BP58" s="2088"/>
      <c r="BQ58" s="3398"/>
      <c r="BR58" s="2090">
        <f t="shared" si="108"/>
        <v>0</v>
      </c>
      <c r="BS58" s="2088">
        <f>$I$58*0</f>
        <v>0</v>
      </c>
      <c r="BT58" s="2091">
        <f t="shared" si="109"/>
        <v>0</v>
      </c>
      <c r="BU58" s="3398"/>
      <c r="BV58" s="2090"/>
      <c r="BW58" s="2088"/>
      <c r="BX58" s="2088"/>
      <c r="BY58" s="2088"/>
      <c r="BZ58" s="2088"/>
      <c r="CA58" s="2088"/>
      <c r="CB58" s="2091"/>
      <c r="CC58" s="3398"/>
      <c r="CD58" s="2090">
        <f t="shared" si="110"/>
        <v>0</v>
      </c>
      <c r="CE58" s="2088">
        <f>$I$58*0</f>
        <v>0</v>
      </c>
      <c r="CF58" s="2091">
        <f t="shared" si="111"/>
        <v>0</v>
      </c>
      <c r="CG58" s="3398"/>
      <c r="CH58" s="2090"/>
      <c r="CI58" s="2091"/>
      <c r="CJ58" s="3398"/>
      <c r="CK58" s="2090">
        <f t="shared" si="102"/>
        <v>0</v>
      </c>
      <c r="CL58" s="2088">
        <f>$I$58*0</f>
        <v>0</v>
      </c>
      <c r="CM58" s="2091">
        <f t="shared" si="112"/>
        <v>0</v>
      </c>
      <c r="CO58" s="2092"/>
      <c r="CP58" s="2093"/>
      <c r="CQ58" s="1740"/>
      <c r="CR58" s="2092">
        <f t="shared" si="103"/>
        <v>0.98333333333333328</v>
      </c>
      <c r="CS58" s="2094">
        <f t="shared" si="104"/>
        <v>6.6666666666666666E-2</v>
      </c>
      <c r="CT58" s="2351"/>
      <c r="CU58" s="4636"/>
      <c r="CV58" s="3384"/>
      <c r="CW58" s="3384"/>
      <c r="CX58" s="3384"/>
      <c r="CY58" s="3384"/>
      <c r="CZ58" s="3905"/>
      <c r="DA58" s="3905"/>
      <c r="DB58" s="3905"/>
      <c r="DC58" s="3905"/>
      <c r="DE58" s="4627"/>
      <c r="DF58" s="3384"/>
      <c r="DG58" s="3384"/>
      <c r="DH58" s="1860"/>
      <c r="DI58" s="1860"/>
      <c r="DJ58" s="1860"/>
      <c r="DK58" s="1860"/>
      <c r="DL58" s="1860"/>
      <c r="DM58" s="1860"/>
      <c r="DN58" s="1860"/>
      <c r="DO58" s="1860"/>
      <c r="DP58" s="1860"/>
      <c r="DQ58" s="1860"/>
      <c r="DR58" s="1860"/>
    </row>
    <row r="59" spans="1:122" s="1885" customFormat="1" x14ac:dyDescent="0.2">
      <c r="B59" s="3334">
        <v>44</v>
      </c>
      <c r="C59" s="3334" t="s">
        <v>123</v>
      </c>
      <c r="D59" s="1960"/>
      <c r="E59" s="2176">
        <f>25*$E$12</f>
        <v>12.5</v>
      </c>
      <c r="F59" s="2176">
        <f>25*$F$12</f>
        <v>12.5</v>
      </c>
      <c r="G59" s="2176"/>
      <c r="H59" s="2299"/>
      <c r="I59" s="2176">
        <f t="shared" si="99"/>
        <v>0.41666666666666669</v>
      </c>
      <c r="J59" s="2176">
        <f t="shared" si="99"/>
        <v>0.41666666666666669</v>
      </c>
      <c r="K59" s="2176"/>
      <c r="L59" s="3328"/>
      <c r="M59" s="3350">
        <f t="shared" si="113"/>
        <v>7.4294205052005943E-2</v>
      </c>
      <c r="N59" s="3350">
        <f t="shared" si="100"/>
        <v>7.4294205052005943E-2</v>
      </c>
      <c r="O59" s="3350"/>
      <c r="P59" s="2003"/>
      <c r="Q59" s="1950"/>
      <c r="R59" s="2176">
        <f t="shared" ref="R59" si="120">IF(R51&gt;$I$62,$I$59,IF(R51&lt;$I$62,(IF(R51&lt;0,0,R51*$M$59))))</f>
        <v>0.41666666666666669</v>
      </c>
      <c r="S59" s="2176">
        <f>IF(S51&gt;$J$62,$J$59,IF(S51&lt;$J$62,(IF(S51&lt;0,0,S51*$N$59))))</f>
        <v>0.41666666666666669</v>
      </c>
      <c r="T59" s="2176"/>
      <c r="U59" s="1951"/>
      <c r="V59" s="2176"/>
      <c r="W59" s="2176"/>
      <c r="X59" s="3323"/>
      <c r="Y59" s="2176"/>
      <c r="Z59" s="2176"/>
      <c r="AA59" s="3323"/>
      <c r="AB59" s="2176"/>
      <c r="AC59" s="2176"/>
      <c r="AD59" s="3323"/>
      <c r="AE59" s="2176"/>
      <c r="AF59" s="2176"/>
      <c r="AG59" s="3323"/>
      <c r="AH59" s="2176"/>
      <c r="AI59" s="2176"/>
      <c r="AJ59" s="3323"/>
      <c r="AK59" s="2176"/>
      <c r="AL59" s="2176"/>
      <c r="AM59" s="1951"/>
      <c r="AN59" s="3361">
        <f t="shared" si="101"/>
        <v>0.83333333333333337</v>
      </c>
      <c r="AO59" s="2176">
        <f>$I$59*0</f>
        <v>0</v>
      </c>
      <c r="AP59" s="3362">
        <f t="shared" si="118"/>
        <v>0.83333333333333337</v>
      </c>
      <c r="AQ59" s="3361"/>
      <c r="AR59" s="2176"/>
      <c r="AS59" s="3362"/>
      <c r="AT59" s="3361"/>
      <c r="AU59" s="2176"/>
      <c r="AV59" s="3362"/>
      <c r="AW59" s="1956"/>
      <c r="AX59" s="2169"/>
      <c r="AY59" s="2176"/>
      <c r="AZ59" s="2176"/>
      <c r="BA59" s="2176"/>
      <c r="BB59" s="2176"/>
      <c r="BC59" s="2176"/>
      <c r="BD59" s="2171"/>
      <c r="BE59" s="1956"/>
      <c r="BF59" s="2169">
        <f t="shared" si="106"/>
        <v>0</v>
      </c>
      <c r="BG59" s="2176">
        <f>$I$59*0</f>
        <v>0</v>
      </c>
      <c r="BH59" s="2171">
        <f t="shared" si="107"/>
        <v>0</v>
      </c>
      <c r="BI59" s="1956"/>
      <c r="BJ59" s="2169"/>
      <c r="BK59" s="2176"/>
      <c r="BL59" s="2176"/>
      <c r="BM59" s="2176"/>
      <c r="BN59" s="2176"/>
      <c r="BO59" s="2176"/>
      <c r="BP59" s="2176"/>
      <c r="BQ59" s="1951"/>
      <c r="BR59" s="2169">
        <f t="shared" si="108"/>
        <v>0</v>
      </c>
      <c r="BS59" s="2176">
        <f>$I$59*0</f>
        <v>0</v>
      </c>
      <c r="BT59" s="2171">
        <f t="shared" si="109"/>
        <v>0</v>
      </c>
      <c r="BU59" s="1951"/>
      <c r="BV59" s="2169"/>
      <c r="BW59" s="2176"/>
      <c r="BX59" s="2176"/>
      <c r="BY59" s="2176"/>
      <c r="BZ59" s="2176"/>
      <c r="CA59" s="2176"/>
      <c r="CB59" s="2171"/>
      <c r="CC59" s="1951"/>
      <c r="CD59" s="2169">
        <f t="shared" si="110"/>
        <v>0</v>
      </c>
      <c r="CE59" s="2176">
        <f>$I$59*0</f>
        <v>0</v>
      </c>
      <c r="CF59" s="2171">
        <f t="shared" si="111"/>
        <v>0</v>
      </c>
      <c r="CG59" s="1951"/>
      <c r="CH59" s="2169"/>
      <c r="CI59" s="2171"/>
      <c r="CJ59" s="1951"/>
      <c r="CK59" s="2169">
        <f t="shared" si="102"/>
        <v>0</v>
      </c>
      <c r="CL59" s="2176">
        <f>$I$59*0</f>
        <v>0</v>
      </c>
      <c r="CM59" s="2171">
        <f t="shared" si="112"/>
        <v>0</v>
      </c>
      <c r="CO59" s="2179"/>
      <c r="CP59" s="2180"/>
      <c r="CQ59" s="1900"/>
      <c r="CR59" s="2179">
        <f t="shared" si="103"/>
        <v>0.83333333333333337</v>
      </c>
      <c r="CS59" s="2181">
        <f t="shared" si="104"/>
        <v>6.6666666666666666E-2</v>
      </c>
      <c r="CT59" s="2353"/>
      <c r="CU59" s="4636"/>
      <c r="CV59" s="3384"/>
      <c r="CW59" s="3384"/>
      <c r="CX59" s="3384"/>
      <c r="CY59" s="3384"/>
      <c r="CZ59" s="3905"/>
      <c r="DA59" s="3905"/>
      <c r="DB59" s="3905"/>
      <c r="DC59" s="3905"/>
      <c r="DE59" s="4627"/>
      <c r="DF59" s="3381"/>
      <c r="DG59" s="3381"/>
      <c r="DH59" s="1946"/>
      <c r="DI59" s="1946"/>
      <c r="DJ59" s="1946"/>
      <c r="DK59" s="1946"/>
      <c r="DL59" s="1946"/>
      <c r="DM59" s="1946"/>
      <c r="DN59" s="1946"/>
      <c r="DO59" s="1946"/>
      <c r="DP59" s="1946"/>
      <c r="DQ59" s="1946"/>
      <c r="DR59" s="1946"/>
    </row>
    <row r="60" spans="1:122" s="1726" customFormat="1" x14ac:dyDescent="0.2">
      <c r="B60" s="3348">
        <v>45</v>
      </c>
      <c r="C60" s="3348" t="s">
        <v>119</v>
      </c>
      <c r="D60" s="1817"/>
      <c r="E60" s="2088">
        <f>4*$E$12</f>
        <v>2</v>
      </c>
      <c r="F60" s="2088">
        <f>4*$F$12</f>
        <v>2</v>
      </c>
      <c r="G60" s="2088"/>
      <c r="H60" s="2289"/>
      <c r="I60" s="2088">
        <f t="shared" si="99"/>
        <v>6.6666666666666666E-2</v>
      </c>
      <c r="J60" s="2088">
        <f t="shared" si="99"/>
        <v>6.6666666666666666E-2</v>
      </c>
      <c r="K60" s="2088"/>
      <c r="L60" s="1762"/>
      <c r="M60" s="3351">
        <f t="shared" si="113"/>
        <v>1.188707280832095E-2</v>
      </c>
      <c r="N60" s="3351">
        <f t="shared" si="100"/>
        <v>1.188707280832095E-2</v>
      </c>
      <c r="O60" s="3351"/>
      <c r="P60" s="1931"/>
      <c r="Q60" s="1924"/>
      <c r="R60" s="2088">
        <f t="shared" ref="R60" si="121">IF(R51&gt;$I$62,$I$60,IF(R51&lt;$I$62,(IF(R51&lt;0,0,R51*$M$60))))</f>
        <v>6.6666666666666666E-2</v>
      </c>
      <c r="S60" s="2088">
        <f>IF(S51&gt;$J$62,$J$60,IF(S51&lt;$J$62,(IF(S51&lt;0,0,S51*$N$60))))</f>
        <v>6.6666666666666666E-2</v>
      </c>
      <c r="T60" s="2088"/>
      <c r="U60" s="3398"/>
      <c r="V60" s="2088"/>
      <c r="W60" s="2088"/>
      <c r="X60" s="2287"/>
      <c r="Y60" s="2088"/>
      <c r="Z60" s="2088"/>
      <c r="AA60" s="2287"/>
      <c r="AB60" s="2088"/>
      <c r="AC60" s="2088"/>
      <c r="AD60" s="2287"/>
      <c r="AE60" s="2088"/>
      <c r="AF60" s="2088"/>
      <c r="AG60" s="2287"/>
      <c r="AH60" s="2088"/>
      <c r="AI60" s="2088"/>
      <c r="AJ60" s="2287"/>
      <c r="AK60" s="2088"/>
      <c r="AL60" s="2088"/>
      <c r="AM60" s="3398"/>
      <c r="AN60" s="3359">
        <f>SUM(R60:AL60)</f>
        <v>0.13333333333333333</v>
      </c>
      <c r="AO60" s="2087">
        <f>$I$60*0</f>
        <v>0</v>
      </c>
      <c r="AP60" s="3360">
        <f t="shared" si="118"/>
        <v>0.13333333333333333</v>
      </c>
      <c r="AQ60" s="3359"/>
      <c r="AR60" s="2087"/>
      <c r="AS60" s="3360"/>
      <c r="AT60" s="3359"/>
      <c r="AU60" s="2088"/>
      <c r="AV60" s="3363"/>
      <c r="AW60" s="1766"/>
      <c r="AX60" s="2090"/>
      <c r="AY60" s="2087"/>
      <c r="AZ60" s="2087"/>
      <c r="BA60" s="2087"/>
      <c r="BB60" s="2087"/>
      <c r="BC60" s="2087"/>
      <c r="BD60" s="2091"/>
      <c r="BE60" s="1766"/>
      <c r="BF60" s="2090">
        <f t="shared" si="106"/>
        <v>0</v>
      </c>
      <c r="BG60" s="2087">
        <f>$I$60*0</f>
        <v>0</v>
      </c>
      <c r="BH60" s="2174">
        <f t="shared" si="107"/>
        <v>0</v>
      </c>
      <c r="BI60" s="1766"/>
      <c r="BJ60" s="2090"/>
      <c r="BK60" s="2088"/>
      <c r="BL60" s="2088"/>
      <c r="BM60" s="2088"/>
      <c r="BN60" s="2088"/>
      <c r="BO60" s="2088"/>
      <c r="BP60" s="2088"/>
      <c r="BQ60" s="3398"/>
      <c r="BR60" s="2090">
        <f t="shared" si="108"/>
        <v>0</v>
      </c>
      <c r="BS60" s="2087">
        <f>$I$60*0</f>
        <v>0</v>
      </c>
      <c r="BT60" s="2174">
        <f t="shared" si="109"/>
        <v>0</v>
      </c>
      <c r="BU60" s="3398"/>
      <c r="BV60" s="2090"/>
      <c r="BW60" s="2088"/>
      <c r="BX60" s="2088"/>
      <c r="BY60" s="2088"/>
      <c r="BZ60" s="2088"/>
      <c r="CA60" s="2088"/>
      <c r="CB60" s="2091"/>
      <c r="CC60" s="3398"/>
      <c r="CD60" s="2090">
        <f t="shared" si="110"/>
        <v>0</v>
      </c>
      <c r="CE60" s="2087">
        <f>$I$60*0</f>
        <v>0</v>
      </c>
      <c r="CF60" s="2174">
        <f t="shared" si="111"/>
        <v>0</v>
      </c>
      <c r="CG60" s="3398"/>
      <c r="CH60" s="2090"/>
      <c r="CI60" s="2091"/>
      <c r="CJ60" s="3398"/>
      <c r="CK60" s="2090">
        <f t="shared" si="102"/>
        <v>0</v>
      </c>
      <c r="CL60" s="2087">
        <f>$I$60*0</f>
        <v>0</v>
      </c>
      <c r="CM60" s="2174">
        <f t="shared" si="112"/>
        <v>0</v>
      </c>
      <c r="CO60" s="2092"/>
      <c r="CP60" s="2093"/>
      <c r="CQ60" s="1740"/>
      <c r="CR60" s="2092">
        <f t="shared" si="103"/>
        <v>0.13333333333333333</v>
      </c>
      <c r="CS60" s="2094">
        <f t="shared" si="104"/>
        <v>6.6666666666666666E-2</v>
      </c>
      <c r="CT60" s="2351"/>
      <c r="CU60" s="4636"/>
      <c r="CV60" s="3384"/>
      <c r="CW60" s="3384"/>
      <c r="CX60" s="3384"/>
      <c r="CY60" s="3384"/>
      <c r="CZ60" s="3905"/>
      <c r="DA60" s="3905"/>
      <c r="DB60" s="3905"/>
      <c r="DC60" s="3905"/>
      <c r="DE60" s="4627"/>
      <c r="DF60" s="3384"/>
      <c r="DG60" s="1860"/>
      <c r="DH60" s="1860"/>
      <c r="DI60" s="1860"/>
      <c r="DJ60" s="1860"/>
      <c r="DK60" s="1860"/>
      <c r="DL60" s="1860"/>
      <c r="DM60" s="1860"/>
      <c r="DN60" s="1860"/>
      <c r="DO60" s="1860"/>
      <c r="DP60" s="1860"/>
      <c r="DQ60" s="1860"/>
      <c r="DR60" s="1860"/>
    </row>
    <row r="61" spans="1:122" s="1885" customFormat="1" ht="17.25" thickBot="1" x14ac:dyDescent="0.25">
      <c r="B61" s="3334">
        <v>46</v>
      </c>
      <c r="C61" s="3334" t="s">
        <v>237</v>
      </c>
      <c r="D61" s="1960"/>
      <c r="E61" s="2176">
        <v>0</v>
      </c>
      <c r="F61" s="2176">
        <v>0</v>
      </c>
      <c r="G61" s="2176"/>
      <c r="H61" s="2299"/>
      <c r="I61" s="2176">
        <f t="shared" si="99"/>
        <v>0</v>
      </c>
      <c r="J61" s="2176">
        <f t="shared" si="99"/>
        <v>0</v>
      </c>
      <c r="K61" s="2176"/>
      <c r="L61" s="3328"/>
      <c r="M61" s="3350">
        <f t="shared" si="113"/>
        <v>0</v>
      </c>
      <c r="N61" s="3350">
        <f t="shared" si="100"/>
        <v>0</v>
      </c>
      <c r="O61" s="3350"/>
      <c r="P61" s="2003"/>
      <c r="Q61" s="1950"/>
      <c r="R61" s="2176">
        <f t="shared" ref="R61" si="122">IF(R51&gt;$I$62,$I$61,IF(R51&lt;$I$62,(IF(R51&lt;0,0,R51*$M$61))))</f>
        <v>0</v>
      </c>
      <c r="S61" s="2176">
        <f>IF(S51&gt;$J$62,$J$61,IF(S51&lt;$J$62,(IF(S51&lt;0,0,S51*$N$61))))</f>
        <v>0</v>
      </c>
      <c r="T61" s="2176"/>
      <c r="U61" s="1951"/>
      <c r="V61" s="2176"/>
      <c r="W61" s="2176"/>
      <c r="X61" s="3323"/>
      <c r="Y61" s="2176"/>
      <c r="Z61" s="2176"/>
      <c r="AA61" s="3323"/>
      <c r="AB61" s="2176"/>
      <c r="AC61" s="2176"/>
      <c r="AD61" s="3323"/>
      <c r="AE61" s="2176"/>
      <c r="AF61" s="2176"/>
      <c r="AG61" s="3323"/>
      <c r="AH61" s="2176"/>
      <c r="AI61" s="2176"/>
      <c r="AJ61" s="3323"/>
      <c r="AK61" s="2176"/>
      <c r="AL61" s="2176"/>
      <c r="AM61" s="1951"/>
      <c r="AN61" s="3364">
        <f t="shared" ref="AN61:AN73" si="123">SUM(R61:AL61)</f>
        <v>0</v>
      </c>
      <c r="AO61" s="3365">
        <f>$I$61*0</f>
        <v>0</v>
      </c>
      <c r="AP61" s="3366">
        <f t="shared" si="118"/>
        <v>0</v>
      </c>
      <c r="AQ61" s="3364"/>
      <c r="AR61" s="3365"/>
      <c r="AS61" s="3366"/>
      <c r="AT61" s="3361"/>
      <c r="AU61" s="2176"/>
      <c r="AV61" s="3362"/>
      <c r="AW61" s="1956"/>
      <c r="AX61" s="2179"/>
      <c r="AY61" s="2681"/>
      <c r="AZ61" s="2681"/>
      <c r="BA61" s="2681"/>
      <c r="BB61" s="2681"/>
      <c r="BC61" s="2681"/>
      <c r="BD61" s="2683"/>
      <c r="BE61" s="1956"/>
      <c r="BF61" s="2179">
        <f t="shared" si="106"/>
        <v>0</v>
      </c>
      <c r="BG61" s="2681">
        <f>$I$61*0</f>
        <v>0</v>
      </c>
      <c r="BH61" s="2684">
        <f t="shared" si="107"/>
        <v>0</v>
      </c>
      <c r="BI61" s="1956"/>
      <c r="BJ61" s="2179"/>
      <c r="BK61" s="2418"/>
      <c r="BL61" s="2418"/>
      <c r="BM61" s="2418"/>
      <c r="BN61" s="2418"/>
      <c r="BO61" s="2418"/>
      <c r="BP61" s="2418"/>
      <c r="BQ61" s="1951"/>
      <c r="BR61" s="2169">
        <f t="shared" si="108"/>
        <v>0</v>
      </c>
      <c r="BS61" s="2170">
        <f>$I$61*0</f>
        <v>0</v>
      </c>
      <c r="BT61" s="2178">
        <f t="shared" si="109"/>
        <v>0</v>
      </c>
      <c r="BU61" s="1951"/>
      <c r="BV61" s="2179"/>
      <c r="BW61" s="2418"/>
      <c r="BX61" s="2308"/>
      <c r="BY61" s="2308"/>
      <c r="BZ61" s="2308"/>
      <c r="CA61" s="2308"/>
      <c r="CB61" s="2309"/>
      <c r="CC61" s="1951"/>
      <c r="CD61" s="2169">
        <f t="shared" si="110"/>
        <v>0</v>
      </c>
      <c r="CE61" s="2170">
        <f>$I$61*0</f>
        <v>0</v>
      </c>
      <c r="CF61" s="2178">
        <f t="shared" si="111"/>
        <v>0</v>
      </c>
      <c r="CG61" s="1951"/>
      <c r="CH61" s="2187"/>
      <c r="CI61" s="2309"/>
      <c r="CJ61" s="1951"/>
      <c r="CK61" s="2179">
        <f t="shared" si="102"/>
        <v>0</v>
      </c>
      <c r="CL61" s="2681">
        <f>$I$61*0</f>
        <v>0</v>
      </c>
      <c r="CM61" s="2684">
        <f t="shared" si="112"/>
        <v>0</v>
      </c>
      <c r="CO61" s="2179"/>
      <c r="CP61" s="2180"/>
      <c r="CQ61" s="1900"/>
      <c r="CR61" s="2179">
        <f t="shared" si="103"/>
        <v>0</v>
      </c>
      <c r="CS61" s="2181" t="e">
        <f t="shared" si="104"/>
        <v>#DIV/0!</v>
      </c>
      <c r="CT61" s="2353"/>
      <c r="CU61" s="4636"/>
      <c r="CV61" s="3384"/>
      <c r="CW61" s="3384"/>
      <c r="CX61" s="3384"/>
      <c r="CY61" s="3384"/>
      <c r="CZ61" s="3905"/>
      <c r="DA61" s="3905"/>
      <c r="DB61" s="3905"/>
      <c r="DC61" s="3905"/>
      <c r="DE61" s="4627"/>
      <c r="DF61" s="3381"/>
      <c r="DG61" s="1946"/>
      <c r="DH61" s="1946"/>
      <c r="DI61" s="1946"/>
      <c r="DJ61" s="1946"/>
      <c r="DK61" s="1946"/>
      <c r="DL61" s="1946"/>
      <c r="DM61" s="1946"/>
      <c r="DN61" s="1946"/>
      <c r="DO61" s="1946"/>
      <c r="DP61" s="1946"/>
      <c r="DQ61" s="1946"/>
      <c r="DR61" s="1946"/>
    </row>
    <row r="62" spans="1:122" s="3761" customFormat="1" ht="21" thickBot="1" x14ac:dyDescent="0.25">
      <c r="B62" s="3762"/>
      <c r="C62" s="3762" t="s">
        <v>192</v>
      </c>
      <c r="D62" s="3763"/>
      <c r="E62" s="3764">
        <f>SUM(E53:E61)</f>
        <v>168.25</v>
      </c>
      <c r="F62" s="3764">
        <f>SUM(F53:F61)</f>
        <v>168.25</v>
      </c>
      <c r="G62" s="3764"/>
      <c r="H62" s="3765"/>
      <c r="I62" s="3764">
        <f t="shared" ref="I62:N62" si="124">SUM(I53:I61)</f>
        <v>5.6083333333333325</v>
      </c>
      <c r="J62" s="3764">
        <f>SUM(J53:J61)</f>
        <v>5.6083333333333325</v>
      </c>
      <c r="K62" s="3764"/>
      <c r="L62" s="3766"/>
      <c r="M62" s="3767">
        <f t="shared" si="124"/>
        <v>1</v>
      </c>
      <c r="N62" s="3767">
        <f t="shared" si="124"/>
        <v>1</v>
      </c>
      <c r="O62" s="3767"/>
      <c r="P62" s="3768"/>
      <c r="Q62" s="3769"/>
      <c r="R62" s="3764">
        <f t="shared" ref="R62:S62" si="125">SUM(R53:R61)</f>
        <v>5.6083333333333325</v>
      </c>
      <c r="S62" s="3764">
        <f t="shared" si="125"/>
        <v>5.6083333333333325</v>
      </c>
      <c r="T62" s="3764"/>
      <c r="U62" s="3770"/>
      <c r="V62" s="3764"/>
      <c r="W62" s="3764"/>
      <c r="X62" s="3771"/>
      <c r="Y62" s="3764"/>
      <c r="Z62" s="3764"/>
      <c r="AA62" s="3771"/>
      <c r="AB62" s="3764"/>
      <c r="AC62" s="3764"/>
      <c r="AD62" s="3771"/>
      <c r="AE62" s="3764"/>
      <c r="AF62" s="3764"/>
      <c r="AG62" s="3771"/>
      <c r="AH62" s="3764"/>
      <c r="AI62" s="3764"/>
      <c r="AJ62" s="3771"/>
      <c r="AK62" s="3764"/>
      <c r="AL62" s="3764"/>
      <c r="AM62" s="3770"/>
      <c r="AN62" s="3772">
        <f>SUM(AN53:AN61)</f>
        <v>11.216666666666665</v>
      </c>
      <c r="AO62" s="3773">
        <f t="shared" ref="AO62" si="126">SUM(AO53:AO61)</f>
        <v>0</v>
      </c>
      <c r="AP62" s="3774">
        <f>SUM(AP53:AP61)</f>
        <v>11.216666666666665</v>
      </c>
      <c r="AQ62" s="3772"/>
      <c r="AR62" s="3773"/>
      <c r="AS62" s="3774"/>
      <c r="AT62" s="3983"/>
      <c r="AU62" s="3984"/>
      <c r="AV62" s="3985"/>
      <c r="AW62" s="3770"/>
      <c r="AX62" s="3775"/>
      <c r="AY62" s="3776"/>
      <c r="AZ62" s="3776"/>
      <c r="BA62" s="3776"/>
      <c r="BB62" s="3776"/>
      <c r="BC62" s="3776"/>
      <c r="BD62" s="3777"/>
      <c r="BE62" s="3770"/>
      <c r="BF62" s="3775">
        <f>SUM(BF53:BF61)</f>
        <v>0</v>
      </c>
      <c r="BG62" s="3776">
        <f>SUM(BG53:BG61)</f>
        <v>0</v>
      </c>
      <c r="BH62" s="3778">
        <f>SUM(BH53:BH61)</f>
        <v>0</v>
      </c>
      <c r="BI62" s="3770"/>
      <c r="BJ62" s="3775"/>
      <c r="BK62" s="3779"/>
      <c r="BL62" s="3779"/>
      <c r="BM62" s="3779"/>
      <c r="BN62" s="3779"/>
      <c r="BO62" s="3779"/>
      <c r="BP62" s="3779"/>
      <c r="BQ62" s="3770"/>
      <c r="BR62" s="3775">
        <f>SUM(BR53:BR61)</f>
        <v>0</v>
      </c>
      <c r="BS62" s="3776">
        <f>SUM(BS53:BS61)</f>
        <v>0</v>
      </c>
      <c r="BT62" s="3778">
        <f>SUM(BT53:BT61)</f>
        <v>0</v>
      </c>
      <c r="BU62" s="3770"/>
      <c r="BV62" s="3775"/>
      <c r="BW62" s="3779"/>
      <c r="BX62" s="3779"/>
      <c r="BY62" s="3779"/>
      <c r="BZ62" s="3779"/>
      <c r="CA62" s="3779"/>
      <c r="CB62" s="3777"/>
      <c r="CC62" s="3770"/>
      <c r="CD62" s="3775">
        <f>SUM(CD53:CD61)</f>
        <v>0</v>
      </c>
      <c r="CE62" s="3776">
        <f>SUM(CE53:CE61)</f>
        <v>0</v>
      </c>
      <c r="CF62" s="3778">
        <f>SUM(CF53:CF61)</f>
        <v>0</v>
      </c>
      <c r="CG62" s="3770"/>
      <c r="CH62" s="3775"/>
      <c r="CI62" s="3777"/>
      <c r="CJ62" s="3770"/>
      <c r="CK62" s="3775">
        <f>SUM(CK53:CK61)</f>
        <v>0</v>
      </c>
      <c r="CL62" s="3776">
        <f>SUM(CL53:CL61)</f>
        <v>0</v>
      </c>
      <c r="CM62" s="3778">
        <f>SUM(CM53:CM61)</f>
        <v>0</v>
      </c>
      <c r="CO62" s="3775">
        <f>AP62+BH62+BT62</f>
        <v>11.216666666666665</v>
      </c>
      <c r="CP62" s="3780"/>
      <c r="CR62" s="3775">
        <f>SUM(CR53:CR61)</f>
        <v>11.216666666666665</v>
      </c>
      <c r="CS62" s="3781">
        <f t="shared" si="104"/>
        <v>6.6666666666666652E-2</v>
      </c>
      <c r="CT62" s="3782"/>
      <c r="CU62" s="4637"/>
      <c r="CV62" s="3783"/>
      <c r="CW62" s="3783"/>
      <c r="CX62" s="3783"/>
      <c r="CY62" s="3783"/>
      <c r="CZ62" s="3783"/>
      <c r="DA62" s="3783"/>
      <c r="DB62" s="3783"/>
      <c r="DC62" s="3783"/>
      <c r="DE62" s="4627"/>
      <c r="DF62" s="3783"/>
      <c r="DG62" s="3421"/>
      <c r="DH62" s="3421"/>
      <c r="DI62" s="3421"/>
      <c r="DJ62" s="3421"/>
      <c r="DK62" s="3421"/>
      <c r="DL62" s="3421"/>
      <c r="DM62" s="3421"/>
      <c r="DN62" s="3421"/>
      <c r="DO62" s="3421"/>
      <c r="DP62" s="3421"/>
      <c r="DQ62" s="3421"/>
      <c r="DR62" s="3421"/>
    </row>
    <row r="63" spans="1:122" s="1810" customFormat="1" ht="4.5" customHeight="1" thickBot="1" x14ac:dyDescent="0.25">
      <c r="B63" s="1817"/>
      <c r="C63" s="1817"/>
      <c r="D63" s="1817"/>
      <c r="E63" s="3398"/>
      <c r="F63" s="3398"/>
      <c r="G63" s="3901"/>
      <c r="H63" s="3398"/>
      <c r="I63" s="3398"/>
      <c r="J63" s="3398"/>
      <c r="K63" s="3901"/>
      <c r="L63" s="3398"/>
      <c r="M63" s="2131"/>
      <c r="N63" s="2131"/>
      <c r="O63" s="2131"/>
      <c r="P63" s="1924"/>
      <c r="Q63" s="1924"/>
      <c r="R63" s="3398"/>
      <c r="S63" s="3398"/>
      <c r="T63" s="3901"/>
      <c r="U63" s="3398"/>
      <c r="V63" s="3398"/>
      <c r="W63" s="3398"/>
      <c r="X63" s="3398"/>
      <c r="Y63" s="3398"/>
      <c r="Z63" s="3398"/>
      <c r="AA63" s="3398"/>
      <c r="AB63" s="3398"/>
      <c r="AC63" s="3398"/>
      <c r="AD63" s="3398"/>
      <c r="AE63" s="3398"/>
      <c r="AF63" s="3398"/>
      <c r="AG63" s="3398"/>
      <c r="AH63" s="3398"/>
      <c r="AI63" s="3398"/>
      <c r="AJ63" s="3398"/>
      <c r="AK63" s="3398"/>
      <c r="AL63" s="3398"/>
      <c r="AM63" s="3398"/>
      <c r="AN63" s="3398"/>
      <c r="AO63" s="3398"/>
      <c r="AP63" s="3398"/>
      <c r="AQ63" s="3398"/>
      <c r="AR63" s="3398"/>
      <c r="AS63" s="3398"/>
      <c r="AT63" s="3901"/>
      <c r="AU63" s="3901"/>
      <c r="AV63" s="3901"/>
      <c r="AW63" s="1766"/>
      <c r="AX63" s="3383"/>
      <c r="AY63" s="3383"/>
      <c r="AZ63" s="3383"/>
      <c r="BA63" s="3383"/>
      <c r="BB63" s="3383"/>
      <c r="BC63" s="3383"/>
      <c r="BD63" s="3383"/>
      <c r="BE63" s="1766"/>
      <c r="BF63" s="3398"/>
      <c r="BG63" s="3398"/>
      <c r="BH63" s="3398"/>
      <c r="BI63" s="1766"/>
      <c r="BJ63" s="3383"/>
      <c r="BK63" s="3383"/>
      <c r="BL63" s="3383"/>
      <c r="BM63" s="3383"/>
      <c r="BN63" s="3383"/>
      <c r="BO63" s="3383"/>
      <c r="BP63" s="3383"/>
      <c r="BQ63" s="3398"/>
      <c r="BR63" s="2137"/>
      <c r="BS63" s="2137"/>
      <c r="BT63" s="2137"/>
      <c r="BU63" s="3398"/>
      <c r="BV63" s="3383"/>
      <c r="BW63" s="3383"/>
      <c r="BX63" s="3387"/>
      <c r="BY63" s="3387"/>
      <c r="BZ63" s="3387"/>
      <c r="CA63" s="3387"/>
      <c r="CB63" s="3387"/>
      <c r="CC63" s="3398"/>
      <c r="CD63" s="2137"/>
      <c r="CE63" s="2137"/>
      <c r="CF63" s="2137"/>
      <c r="CG63" s="3398"/>
      <c r="CH63" s="3383"/>
      <c r="CI63" s="3383"/>
      <c r="CJ63" s="3398"/>
      <c r="CK63" s="3398"/>
      <c r="CL63" s="3398"/>
      <c r="CM63" s="3398"/>
      <c r="CO63" s="3398"/>
      <c r="CP63" s="2132"/>
      <c r="CQ63" s="1817"/>
      <c r="CR63" s="3398"/>
      <c r="CS63" s="1830"/>
      <c r="CT63" s="1830"/>
      <c r="CU63" s="2115"/>
      <c r="CV63" s="3384"/>
      <c r="CW63" s="3384"/>
      <c r="CX63" s="3384"/>
      <c r="CY63" s="3384"/>
      <c r="CZ63" s="3905"/>
      <c r="DA63" s="3905"/>
      <c r="DB63" s="3905"/>
      <c r="DC63" s="3905"/>
      <c r="DF63" s="1761"/>
    </row>
    <row r="64" spans="1:122" s="3784" customFormat="1" ht="21" thickBot="1" x14ac:dyDescent="0.25">
      <c r="C64" s="3784" t="s">
        <v>143</v>
      </c>
      <c r="E64" s="3785"/>
      <c r="F64" s="3785"/>
      <c r="G64" s="3785"/>
      <c r="H64" s="3785"/>
      <c r="I64" s="3785"/>
      <c r="J64" s="3785"/>
      <c r="K64" s="3785"/>
      <c r="L64" s="3785"/>
      <c r="M64" s="3786"/>
      <c r="N64" s="3786"/>
      <c r="O64" s="3786"/>
      <c r="P64" s="3787"/>
      <c r="Q64" s="3786"/>
      <c r="R64" s="3788">
        <f>R51-R62</f>
        <v>37.68249999999999</v>
      </c>
      <c r="S64" s="3788">
        <f>S51-S62</f>
        <v>37.68249999999999</v>
      </c>
      <c r="T64" s="3788"/>
      <c r="U64" s="3789"/>
      <c r="V64" s="3788"/>
      <c r="W64" s="3788"/>
      <c r="X64" s="3790"/>
      <c r="Y64" s="3788"/>
      <c r="Z64" s="3788"/>
      <c r="AA64" s="3790"/>
      <c r="AB64" s="3788"/>
      <c r="AC64" s="3788"/>
      <c r="AD64" s="3790"/>
      <c r="AE64" s="3788"/>
      <c r="AF64" s="3788"/>
      <c r="AG64" s="3790"/>
      <c r="AH64" s="3788"/>
      <c r="AI64" s="3788"/>
      <c r="AJ64" s="3790"/>
      <c r="AK64" s="3788"/>
      <c r="AL64" s="3788"/>
      <c r="AM64" s="3785"/>
      <c r="AN64" s="3785"/>
      <c r="AO64" s="3785"/>
      <c r="AP64" s="3785"/>
      <c r="AQ64" s="3785"/>
      <c r="AR64" s="3785"/>
      <c r="AS64" s="3785"/>
      <c r="AT64" s="3785"/>
      <c r="AU64" s="3785"/>
      <c r="AV64" s="3785"/>
      <c r="AW64" s="3785"/>
      <c r="AX64" s="3791"/>
      <c r="AY64" s="3792"/>
      <c r="AZ64" s="3792"/>
      <c r="BA64" s="3792"/>
      <c r="BB64" s="3792"/>
      <c r="BC64" s="3792"/>
      <c r="BD64" s="3793"/>
      <c r="BE64" s="3785"/>
      <c r="BF64" s="3785"/>
      <c r="BG64" s="3785"/>
      <c r="BH64" s="3785"/>
      <c r="BI64" s="3785"/>
      <c r="BJ64" s="3791"/>
      <c r="BK64" s="3792"/>
      <c r="BL64" s="3792"/>
      <c r="BM64" s="3792"/>
      <c r="BN64" s="3792"/>
      <c r="BO64" s="3792"/>
      <c r="BP64" s="3792"/>
      <c r="BQ64" s="3785"/>
      <c r="BR64" s="3785"/>
      <c r="BS64" s="3785"/>
      <c r="BT64" s="3785"/>
      <c r="BU64" s="3785"/>
      <c r="BV64" s="3791"/>
      <c r="BW64" s="3792"/>
      <c r="BX64" s="3794"/>
      <c r="BY64" s="3794"/>
      <c r="BZ64" s="3794"/>
      <c r="CA64" s="3794"/>
      <c r="CB64" s="3793"/>
      <c r="CC64" s="3785"/>
      <c r="CD64" s="3785"/>
      <c r="CE64" s="3785"/>
      <c r="CF64" s="3785"/>
      <c r="CG64" s="3785"/>
      <c r="CH64" s="3791"/>
      <c r="CI64" s="3793"/>
      <c r="CJ64" s="3785"/>
      <c r="CK64" s="3785"/>
      <c r="CL64" s="3785"/>
      <c r="CM64" s="3785"/>
      <c r="CO64" s="3795"/>
      <c r="CP64" s="3796"/>
      <c r="CR64" s="3795"/>
      <c r="CS64" s="3797"/>
      <c r="CT64" s="3798"/>
      <c r="CU64" s="3799"/>
      <c r="CV64" s="3799"/>
      <c r="CW64" s="3799"/>
      <c r="CX64" s="3799"/>
      <c r="CY64" s="3799"/>
      <c r="CZ64" s="3799"/>
      <c r="DA64" s="3799"/>
      <c r="DB64" s="3799"/>
      <c r="DC64" s="3799"/>
      <c r="DF64" s="3798"/>
    </row>
    <row r="65" spans="1:122" s="1810" customFormat="1" ht="4.5" customHeight="1" thickBot="1" x14ac:dyDescent="0.25">
      <c r="B65" s="1817"/>
      <c r="C65" s="1817"/>
      <c r="D65" s="1817"/>
      <c r="E65" s="3398"/>
      <c r="F65" s="3398"/>
      <c r="G65" s="3901"/>
      <c r="H65" s="3398"/>
      <c r="I65" s="3398"/>
      <c r="J65" s="3398"/>
      <c r="K65" s="3901"/>
      <c r="L65" s="3398"/>
      <c r="M65" s="2131"/>
      <c r="N65" s="2131"/>
      <c r="O65" s="2131"/>
      <c r="P65" s="1924"/>
      <c r="Q65" s="1924"/>
      <c r="R65" s="3398"/>
      <c r="S65" s="3398"/>
      <c r="T65" s="3901"/>
      <c r="U65" s="3398"/>
      <c r="V65" s="3398"/>
      <c r="W65" s="3398"/>
      <c r="X65" s="3398"/>
      <c r="Y65" s="3398"/>
      <c r="Z65" s="3398"/>
      <c r="AA65" s="3398"/>
      <c r="AB65" s="3398"/>
      <c r="AC65" s="3398"/>
      <c r="AD65" s="3398"/>
      <c r="AE65" s="3398"/>
      <c r="AF65" s="3398"/>
      <c r="AG65" s="3398"/>
      <c r="AH65" s="3398"/>
      <c r="AI65" s="3398"/>
      <c r="AJ65" s="3398"/>
      <c r="AK65" s="3398"/>
      <c r="AL65" s="3398"/>
      <c r="AM65" s="3398"/>
      <c r="AN65" s="3398"/>
      <c r="AO65" s="3398"/>
      <c r="AP65" s="3398"/>
      <c r="AQ65" s="3398"/>
      <c r="AR65" s="3398"/>
      <c r="AS65" s="3398"/>
      <c r="AT65" s="3901"/>
      <c r="AU65" s="3901"/>
      <c r="AV65" s="3901"/>
      <c r="AW65" s="1766"/>
      <c r="AX65" s="3387"/>
      <c r="AY65" s="3387"/>
      <c r="AZ65" s="3387"/>
      <c r="BA65" s="3387"/>
      <c r="BB65" s="3387"/>
      <c r="BC65" s="3387"/>
      <c r="BD65" s="3387"/>
      <c r="BE65" s="1766"/>
      <c r="BF65" s="3398"/>
      <c r="BG65" s="3398"/>
      <c r="BH65" s="3398"/>
      <c r="BI65" s="1766"/>
      <c r="BJ65" s="2137"/>
      <c r="BK65" s="2137"/>
      <c r="BL65" s="2137"/>
      <c r="BM65" s="2137"/>
      <c r="BN65" s="2137"/>
      <c r="BO65" s="2137"/>
      <c r="BP65" s="2137"/>
      <c r="BQ65" s="3398"/>
      <c r="BR65" s="3398"/>
      <c r="BS65" s="3398"/>
      <c r="BT65" s="3398"/>
      <c r="BU65" s="3398"/>
      <c r="BV65" s="2137"/>
      <c r="BW65" s="2137"/>
      <c r="BX65" s="2137"/>
      <c r="BY65" s="2137"/>
      <c r="BZ65" s="2137"/>
      <c r="CA65" s="2137"/>
      <c r="CB65" s="2137"/>
      <c r="CC65" s="3398"/>
      <c r="CD65" s="3398"/>
      <c r="CE65" s="3398"/>
      <c r="CF65" s="3398"/>
      <c r="CG65" s="3398"/>
      <c r="CH65" s="2137"/>
      <c r="CI65" s="2137"/>
      <c r="CJ65" s="3398"/>
      <c r="CK65" s="3398"/>
      <c r="CL65" s="3398"/>
      <c r="CM65" s="3398"/>
      <c r="CO65" s="2137"/>
      <c r="CP65" s="2138"/>
      <c r="CQ65" s="1817"/>
      <c r="CR65" s="2137"/>
      <c r="CS65" s="2139"/>
      <c r="CT65" s="1830"/>
      <c r="CU65" s="2640"/>
      <c r="CV65" s="3384"/>
      <c r="CW65" s="3384"/>
      <c r="CX65" s="3384"/>
      <c r="CY65" s="3384"/>
      <c r="CZ65" s="3905"/>
      <c r="DA65" s="3905"/>
      <c r="DB65" s="3905"/>
      <c r="DC65" s="3905"/>
      <c r="DF65" s="1761"/>
    </row>
    <row r="66" spans="1:122" s="1740" customFormat="1" x14ac:dyDescent="0.2">
      <c r="A66" s="2466"/>
      <c r="B66" s="3348">
        <v>47</v>
      </c>
      <c r="C66" s="3348" t="s">
        <v>132</v>
      </c>
      <c r="D66" s="1817"/>
      <c r="E66" s="2088">
        <f>465*35%</f>
        <v>162.75</v>
      </c>
      <c r="F66" s="2088">
        <f>465*65%</f>
        <v>302.25</v>
      </c>
      <c r="G66" s="2088"/>
      <c r="H66" s="2289"/>
      <c r="I66" s="2088">
        <f t="shared" ref="I66:J74" si="127">E66/30</f>
        <v>5.4249999999999998</v>
      </c>
      <c r="J66" s="2088">
        <f t="shared" si="127"/>
        <v>10.074999999999999</v>
      </c>
      <c r="K66" s="2088"/>
      <c r="L66" s="1762"/>
      <c r="M66" s="3351">
        <f>E66/$E$75</f>
        <v>0.27944711538461542</v>
      </c>
      <c r="N66" s="3351">
        <f t="shared" ref="N66:N74" si="128">F66/$F$75</f>
        <v>0.27944711538461542</v>
      </c>
      <c r="O66" s="3351"/>
      <c r="P66" s="2465"/>
      <c r="Q66" s="2131"/>
      <c r="R66" s="2088">
        <f t="shared" ref="R66" si="129">IF(R64&gt;$I$75,$I$66,IF(R64&lt;$I$75,(IF(R64&lt;0,0,R64*$M$66))))</f>
        <v>5.4249999999999998</v>
      </c>
      <c r="S66" s="2088">
        <f>IF(S64&gt;$J$75,$J$66,IF(S64&lt;$J$75,(IF(S64&lt;0,0,S64*$N$66))))</f>
        <v>10.074999999999999</v>
      </c>
      <c r="T66" s="2088"/>
      <c r="U66" s="2289"/>
      <c r="V66" s="2088"/>
      <c r="W66" s="2088"/>
      <c r="X66" s="2287"/>
      <c r="Y66" s="2088"/>
      <c r="Z66" s="2088"/>
      <c r="AA66" s="2287"/>
      <c r="AB66" s="2088"/>
      <c r="AC66" s="2088"/>
      <c r="AD66" s="2287"/>
      <c r="AE66" s="2088"/>
      <c r="AF66" s="2088"/>
      <c r="AG66" s="2287"/>
      <c r="AH66" s="2088"/>
      <c r="AI66" s="2088"/>
      <c r="AJ66" s="2287"/>
      <c r="AK66" s="2088"/>
      <c r="AL66" s="2088"/>
      <c r="AM66" s="3398"/>
      <c r="AN66" s="3373">
        <f t="shared" si="123"/>
        <v>15.5</v>
      </c>
      <c r="AO66" s="3374">
        <f>$I$66*0</f>
        <v>0</v>
      </c>
      <c r="AP66" s="3375">
        <f t="shared" si="118"/>
        <v>15.5</v>
      </c>
      <c r="AQ66" s="3373"/>
      <c r="AR66" s="3374"/>
      <c r="AS66" s="3375"/>
      <c r="AT66" s="3373"/>
      <c r="AU66" s="3986"/>
      <c r="AV66" s="3987"/>
      <c r="AW66" s="3398"/>
      <c r="AX66" s="2090"/>
      <c r="AY66" s="2087"/>
      <c r="AZ66" s="2087"/>
      <c r="BA66" s="2087"/>
      <c r="BB66" s="2087"/>
      <c r="BC66" s="2087"/>
      <c r="BD66" s="2091"/>
      <c r="BE66" s="3398"/>
      <c r="BF66" s="2067">
        <f t="shared" si="106"/>
        <v>0</v>
      </c>
      <c r="BG66" s="2068">
        <f>$I$66*0</f>
        <v>0</v>
      </c>
      <c r="BH66" s="2070">
        <f>BF66-BG66</f>
        <v>0</v>
      </c>
      <c r="BI66" s="3398"/>
      <c r="BJ66" s="2067"/>
      <c r="BK66" s="2065"/>
      <c r="BL66" s="2065"/>
      <c r="BM66" s="2065"/>
      <c r="BN66" s="2065"/>
      <c r="BO66" s="2065"/>
      <c r="BP66" s="2065"/>
      <c r="BQ66" s="3398"/>
      <c r="BR66" s="2067">
        <f>SUM(BJ66:BP66)</f>
        <v>0</v>
      </c>
      <c r="BS66" s="2068">
        <f>$I$66*0</f>
        <v>0</v>
      </c>
      <c r="BT66" s="2070">
        <f>BR66-BS66</f>
        <v>0</v>
      </c>
      <c r="BU66" s="3398"/>
      <c r="BV66" s="2067"/>
      <c r="BW66" s="2065"/>
      <c r="BX66" s="2065"/>
      <c r="BY66" s="2065"/>
      <c r="BZ66" s="2065"/>
      <c r="CA66" s="2065"/>
      <c r="CB66" s="2069"/>
      <c r="CC66" s="3398"/>
      <c r="CD66" s="2067">
        <f t="shared" ref="CD66:CD74" si="130">SUM(BV66:CB66)</f>
        <v>0</v>
      </c>
      <c r="CE66" s="2068">
        <f>$I$66*0</f>
        <v>0</v>
      </c>
      <c r="CF66" s="2070">
        <f t="shared" ref="CF66:CF74" si="131">CD66-CE66</f>
        <v>0</v>
      </c>
      <c r="CG66" s="3398"/>
      <c r="CH66" s="2067"/>
      <c r="CI66" s="2069"/>
      <c r="CJ66" s="3398"/>
      <c r="CK66" s="2067">
        <f t="shared" ref="CK66:CK75" si="132">SUM(CH66:CI66)</f>
        <v>0</v>
      </c>
      <c r="CL66" s="2068">
        <f>$I$66*0</f>
        <v>0</v>
      </c>
      <c r="CM66" s="2070">
        <f t="shared" ref="CM66:CM74" si="133">CK66-CL66</f>
        <v>0</v>
      </c>
      <c r="CO66" s="2067"/>
      <c r="CP66" s="2071"/>
      <c r="CR66" s="2067">
        <f t="shared" ref="CR66:CR74" si="134">SUM(R66:AL66)+SUM(AX66:BD66)+SUM(BJ66:BP66)+SUM(BV66:CB66)+SUM(CI66:CI66)</f>
        <v>15.5</v>
      </c>
      <c r="CS66" s="2072">
        <f t="shared" ref="CS66:CS75" si="135">CR66/E66</f>
        <v>9.5238095238095233E-2</v>
      </c>
      <c r="CT66" s="2351"/>
      <c r="CU66" s="4635">
        <f>CS75-CR1</f>
        <v>6.1904761904761914E-2</v>
      </c>
      <c r="CV66" s="3384"/>
      <c r="CW66" s="3384"/>
      <c r="CX66" s="3384"/>
      <c r="CY66" s="3384"/>
      <c r="CZ66" s="3905"/>
      <c r="DA66" s="3905"/>
      <c r="DB66" s="3905"/>
      <c r="DC66" s="3905"/>
      <c r="DF66" s="1997"/>
      <c r="DG66" s="1861"/>
      <c r="DH66" s="1861"/>
      <c r="DI66" s="1861"/>
      <c r="DJ66" s="1861"/>
      <c r="DK66" s="1861"/>
      <c r="DL66" s="1861"/>
      <c r="DM66" s="1861"/>
      <c r="DN66" s="1861"/>
      <c r="DO66" s="1861"/>
      <c r="DP66" s="1861"/>
      <c r="DQ66" s="1861"/>
      <c r="DR66" s="1861"/>
    </row>
    <row r="67" spans="1:122" s="1900" customFormat="1" x14ac:dyDescent="0.2">
      <c r="A67" s="2464"/>
      <c r="B67" s="3334">
        <v>48</v>
      </c>
      <c r="C67" s="3334" t="s">
        <v>232</v>
      </c>
      <c r="D67" s="1960"/>
      <c r="E67" s="2176">
        <f>345*35%</f>
        <v>120.74999999999999</v>
      </c>
      <c r="F67" s="2176">
        <f>345*65%</f>
        <v>224.25</v>
      </c>
      <c r="G67" s="2176"/>
      <c r="H67" s="2299"/>
      <c r="I67" s="2176">
        <f t="shared" si="127"/>
        <v>4.0249999999999995</v>
      </c>
      <c r="J67" s="2176">
        <f t="shared" si="127"/>
        <v>7.4749999999999996</v>
      </c>
      <c r="K67" s="2176"/>
      <c r="L67" s="3328"/>
      <c r="M67" s="3350">
        <f t="shared" ref="M67:M74" si="136">E67/$E$75</f>
        <v>0.20733173076923075</v>
      </c>
      <c r="N67" s="3350">
        <f t="shared" si="128"/>
        <v>0.20733173076923078</v>
      </c>
      <c r="O67" s="3350"/>
      <c r="P67" s="2468"/>
      <c r="Q67" s="2339"/>
      <c r="R67" s="2176">
        <f t="shared" ref="R67" si="137">IF(R64&gt;$I$75,$I$67,IF(R64&lt;$I$75,(IF(R64&lt;0,0,R64*$M$67))))</f>
        <v>4.0249999999999995</v>
      </c>
      <c r="S67" s="2176">
        <f>IF(S64&gt;$J$75,$J$67,IF(S64&lt;$J$75,(IF(S64&lt;0,0,S64*$N$67))))</f>
        <v>7.4749999999999996</v>
      </c>
      <c r="T67" s="2176"/>
      <c r="U67" s="2299"/>
      <c r="V67" s="2176"/>
      <c r="W67" s="2176"/>
      <c r="X67" s="3323"/>
      <c r="Y67" s="2176"/>
      <c r="Z67" s="2176"/>
      <c r="AA67" s="3323"/>
      <c r="AB67" s="2176"/>
      <c r="AC67" s="2176"/>
      <c r="AD67" s="3323"/>
      <c r="AE67" s="2176"/>
      <c r="AF67" s="2176"/>
      <c r="AG67" s="3323"/>
      <c r="AH67" s="2176"/>
      <c r="AI67" s="2176"/>
      <c r="AJ67" s="3323"/>
      <c r="AK67" s="2176"/>
      <c r="AL67" s="2176"/>
      <c r="AM67" s="1951"/>
      <c r="AN67" s="3357">
        <f t="shared" si="123"/>
        <v>11.5</v>
      </c>
      <c r="AO67" s="2167">
        <f>$I$67*0</f>
        <v>0</v>
      </c>
      <c r="AP67" s="3358">
        <f t="shared" si="118"/>
        <v>11.5</v>
      </c>
      <c r="AQ67" s="3357"/>
      <c r="AR67" s="2167"/>
      <c r="AS67" s="3358"/>
      <c r="AT67" s="3361"/>
      <c r="AU67" s="2176"/>
      <c r="AV67" s="3362"/>
      <c r="AW67" s="1951"/>
      <c r="AX67" s="2169"/>
      <c r="AY67" s="2170"/>
      <c r="AZ67" s="2170"/>
      <c r="BA67" s="2170"/>
      <c r="BB67" s="2170"/>
      <c r="BC67" s="2170"/>
      <c r="BD67" s="2171"/>
      <c r="BE67" s="1951"/>
      <c r="BF67" s="2163">
        <f>SUM(AX67:BD67)</f>
        <v>0</v>
      </c>
      <c r="BG67" s="2167">
        <f>$I$67*0</f>
        <v>0</v>
      </c>
      <c r="BH67" s="2168">
        <f t="shared" ref="BH67:BH68" si="138">BF67-BG67</f>
        <v>0</v>
      </c>
      <c r="BI67" s="1951"/>
      <c r="BJ67" s="2163"/>
      <c r="BK67" s="2164"/>
      <c r="BL67" s="2164"/>
      <c r="BM67" s="2164"/>
      <c r="BN67" s="2164"/>
      <c r="BO67" s="2164"/>
      <c r="BP67" s="2164"/>
      <c r="BQ67" s="1951"/>
      <c r="BR67" s="2163">
        <f t="shared" ref="BR67:BR74" si="139">SUM(BJ67:BP67)</f>
        <v>0</v>
      </c>
      <c r="BS67" s="2167">
        <f>$I$67*0</f>
        <v>0</v>
      </c>
      <c r="BT67" s="2168">
        <f t="shared" ref="BT67:BT74" si="140">BR67-BS67</f>
        <v>0</v>
      </c>
      <c r="BU67" s="1951"/>
      <c r="BV67" s="2163"/>
      <c r="BW67" s="2164"/>
      <c r="BX67" s="2176"/>
      <c r="BY67" s="2176"/>
      <c r="BZ67" s="2176"/>
      <c r="CA67" s="2176"/>
      <c r="CB67" s="2171"/>
      <c r="CC67" s="1951"/>
      <c r="CD67" s="2163">
        <f t="shared" si="130"/>
        <v>0</v>
      </c>
      <c r="CE67" s="2167">
        <f>$I$67*0</f>
        <v>0</v>
      </c>
      <c r="CF67" s="2168">
        <f t="shared" si="131"/>
        <v>0</v>
      </c>
      <c r="CG67" s="1951"/>
      <c r="CH67" s="2169"/>
      <c r="CI67" s="2171"/>
      <c r="CJ67" s="1951"/>
      <c r="CK67" s="2169">
        <f t="shared" si="132"/>
        <v>0</v>
      </c>
      <c r="CL67" s="2170">
        <f>$I$67*0</f>
        <v>0</v>
      </c>
      <c r="CM67" s="2178">
        <f t="shared" si="133"/>
        <v>0</v>
      </c>
      <c r="CO67" s="2169"/>
      <c r="CP67" s="2172"/>
      <c r="CR67" s="2169">
        <f t="shared" si="134"/>
        <v>11.5</v>
      </c>
      <c r="CS67" s="2173">
        <f t="shared" si="135"/>
        <v>9.5238095238095247E-2</v>
      </c>
      <c r="CT67" s="2353"/>
      <c r="CU67" s="4636"/>
      <c r="CV67" s="3384"/>
      <c r="CW67" s="3384"/>
      <c r="CX67" s="3384"/>
      <c r="CY67" s="3384"/>
      <c r="CZ67" s="3905"/>
      <c r="DA67" s="3905"/>
      <c r="DB67" s="3905"/>
      <c r="DC67" s="3905"/>
      <c r="DF67" s="2010"/>
      <c r="DG67" s="2011"/>
      <c r="DH67" s="2011"/>
      <c r="DI67" s="2011"/>
      <c r="DJ67" s="2011"/>
      <c r="DK67" s="2011"/>
      <c r="DL67" s="2011"/>
      <c r="DM67" s="2011"/>
      <c r="DN67" s="2011"/>
      <c r="DO67" s="2011"/>
      <c r="DP67" s="2011"/>
      <c r="DQ67" s="2011"/>
      <c r="DR67" s="2011"/>
    </row>
    <row r="68" spans="1:122" s="1726" customFormat="1" x14ac:dyDescent="0.2">
      <c r="A68" s="1756"/>
      <c r="B68" s="3348">
        <v>49</v>
      </c>
      <c r="C68" s="3348" t="s">
        <v>4</v>
      </c>
      <c r="D68" s="1817"/>
      <c r="E68" s="2088">
        <f>300*35%</f>
        <v>105</v>
      </c>
      <c r="F68" s="2088">
        <f>300*65%</f>
        <v>195</v>
      </c>
      <c r="G68" s="2088"/>
      <c r="H68" s="2289"/>
      <c r="I68" s="2088">
        <f t="shared" si="127"/>
        <v>3.5</v>
      </c>
      <c r="J68" s="2088">
        <f t="shared" si="127"/>
        <v>6.5</v>
      </c>
      <c r="K68" s="2088"/>
      <c r="L68" s="1762"/>
      <c r="M68" s="3351">
        <f t="shared" si="136"/>
        <v>0.18028846153846154</v>
      </c>
      <c r="N68" s="3351">
        <f t="shared" si="128"/>
        <v>0.18028846153846156</v>
      </c>
      <c r="O68" s="3351"/>
      <c r="P68" s="1931"/>
      <c r="Q68" s="1924"/>
      <c r="R68" s="2088">
        <f t="shared" ref="R68" si="141">IF(R64&gt;$I$75,$I$68,IF(R64&lt;$I$75,(IF(R64&lt;0,0,R64*$M$68))))</f>
        <v>3.5</v>
      </c>
      <c r="S68" s="2088">
        <f>IF(S64&gt;$J$75,$J$68,IF(S64&lt;$J$75,(IF(S64&lt;0,0,S64*$N$68))))</f>
        <v>6.5</v>
      </c>
      <c r="T68" s="2088"/>
      <c r="U68" s="2289"/>
      <c r="V68" s="2088"/>
      <c r="W68" s="2088"/>
      <c r="X68" s="2287"/>
      <c r="Y68" s="2088"/>
      <c r="Z68" s="2088"/>
      <c r="AA68" s="2287"/>
      <c r="AB68" s="2088"/>
      <c r="AC68" s="2088"/>
      <c r="AD68" s="2287"/>
      <c r="AE68" s="2088"/>
      <c r="AF68" s="2088"/>
      <c r="AG68" s="2287"/>
      <c r="AH68" s="2088"/>
      <c r="AI68" s="2088"/>
      <c r="AJ68" s="2287"/>
      <c r="AK68" s="2088"/>
      <c r="AL68" s="2088"/>
      <c r="AM68" s="3398"/>
      <c r="AN68" s="3355">
        <f t="shared" si="123"/>
        <v>10</v>
      </c>
      <c r="AO68" s="2157">
        <f>$I$68*0</f>
        <v>0</v>
      </c>
      <c r="AP68" s="3356">
        <f t="shared" si="118"/>
        <v>10</v>
      </c>
      <c r="AQ68" s="3355"/>
      <c r="AR68" s="2157"/>
      <c r="AS68" s="3356"/>
      <c r="AT68" s="3359"/>
      <c r="AU68" s="2088"/>
      <c r="AV68" s="3363"/>
      <c r="AW68" s="1766"/>
      <c r="AX68" s="2090"/>
      <c r="AY68" s="2087"/>
      <c r="AZ68" s="2087"/>
      <c r="BA68" s="2087"/>
      <c r="BB68" s="2087"/>
      <c r="BC68" s="2087"/>
      <c r="BD68" s="2091"/>
      <c r="BE68" s="1766"/>
      <c r="BF68" s="2153">
        <f t="shared" ref="BF68" si="142">SUM(AX68:BD68)</f>
        <v>0</v>
      </c>
      <c r="BG68" s="2157">
        <f>$I$68*0</f>
        <v>0</v>
      </c>
      <c r="BH68" s="2158">
        <f t="shared" si="138"/>
        <v>0</v>
      </c>
      <c r="BI68" s="1766"/>
      <c r="BJ68" s="2153"/>
      <c r="BK68" s="2154"/>
      <c r="BL68" s="2154"/>
      <c r="BM68" s="2154"/>
      <c r="BN68" s="2154"/>
      <c r="BO68" s="2154"/>
      <c r="BP68" s="2154"/>
      <c r="BQ68" s="3398"/>
      <c r="BR68" s="2153">
        <f t="shared" si="139"/>
        <v>0</v>
      </c>
      <c r="BS68" s="2157">
        <f>$I$68*0</f>
        <v>0</v>
      </c>
      <c r="BT68" s="2158">
        <f t="shared" si="140"/>
        <v>0</v>
      </c>
      <c r="BU68" s="3398"/>
      <c r="BV68" s="2153"/>
      <c r="BW68" s="2154"/>
      <c r="BX68" s="2088"/>
      <c r="BY68" s="2088"/>
      <c r="BZ68" s="2088"/>
      <c r="CA68" s="2088"/>
      <c r="CB68" s="2091"/>
      <c r="CC68" s="3398"/>
      <c r="CD68" s="2153">
        <f t="shared" si="130"/>
        <v>0</v>
      </c>
      <c r="CE68" s="2157">
        <f>$I$68*0</f>
        <v>0</v>
      </c>
      <c r="CF68" s="2158">
        <f t="shared" si="131"/>
        <v>0</v>
      </c>
      <c r="CG68" s="3398"/>
      <c r="CH68" s="2090"/>
      <c r="CI68" s="2091"/>
      <c r="CJ68" s="3398"/>
      <c r="CK68" s="2090">
        <f t="shared" si="132"/>
        <v>0</v>
      </c>
      <c r="CL68" s="2087">
        <f>$I$68*0</f>
        <v>0</v>
      </c>
      <c r="CM68" s="2174">
        <f t="shared" si="133"/>
        <v>0</v>
      </c>
      <c r="CO68" s="2090"/>
      <c r="CP68" s="2159"/>
      <c r="CQ68" s="1740"/>
      <c r="CR68" s="2090">
        <f t="shared" si="134"/>
        <v>10</v>
      </c>
      <c r="CS68" s="2160">
        <f t="shared" si="135"/>
        <v>9.5238095238095233E-2</v>
      </c>
      <c r="CT68" s="2351"/>
      <c r="CU68" s="4636"/>
      <c r="CV68" s="3384"/>
      <c r="CW68" s="3384"/>
      <c r="CX68" s="3384"/>
      <c r="CY68" s="3384"/>
      <c r="CZ68" s="3905"/>
      <c r="DA68" s="3905"/>
      <c r="DB68" s="3905"/>
      <c r="DC68" s="3905"/>
      <c r="DF68" s="3384"/>
      <c r="DG68" s="1860"/>
      <c r="DH68" s="1860"/>
      <c r="DI68" s="1860"/>
      <c r="DJ68" s="1860"/>
      <c r="DK68" s="1860"/>
      <c r="DL68" s="1860"/>
      <c r="DM68" s="1860"/>
      <c r="DN68" s="1860"/>
      <c r="DO68" s="1860"/>
      <c r="DP68" s="1860"/>
      <c r="DQ68" s="1860"/>
      <c r="DR68" s="1860"/>
    </row>
    <row r="69" spans="1:122" s="1900" customFormat="1" x14ac:dyDescent="0.2">
      <c r="A69" s="2464"/>
      <c r="B69" s="3334">
        <v>50</v>
      </c>
      <c r="C69" s="3334" t="s">
        <v>121</v>
      </c>
      <c r="D69" s="1960"/>
      <c r="E69" s="2176">
        <f>270*35%</f>
        <v>94.5</v>
      </c>
      <c r="F69" s="2176">
        <f>270*65%</f>
        <v>175.5</v>
      </c>
      <c r="G69" s="2176"/>
      <c r="H69" s="2299"/>
      <c r="I69" s="2176">
        <f t="shared" si="127"/>
        <v>3.15</v>
      </c>
      <c r="J69" s="2176">
        <f t="shared" si="127"/>
        <v>5.85</v>
      </c>
      <c r="K69" s="2176"/>
      <c r="L69" s="3328"/>
      <c r="M69" s="3350">
        <f t="shared" si="136"/>
        <v>0.16225961538461539</v>
      </c>
      <c r="N69" s="3350">
        <f t="shared" si="128"/>
        <v>0.16225961538461539</v>
      </c>
      <c r="O69" s="3350"/>
      <c r="P69" s="2468"/>
      <c r="Q69" s="2339"/>
      <c r="R69" s="2176">
        <f t="shared" ref="R69" si="143">IF(R64&gt;$I$75,$I$69,IF(R64&lt;$I$75,(IF(R64&lt;0,0,R64*$M$69))))</f>
        <v>3.15</v>
      </c>
      <c r="S69" s="2176">
        <f>IF(S64&gt;$J$75,$J$69,IF(S64&lt;$J$75,(IF(S64&lt;0,0,S64*$N$69))))</f>
        <v>5.85</v>
      </c>
      <c r="T69" s="2176"/>
      <c r="U69" s="2299"/>
      <c r="V69" s="2176"/>
      <c r="W69" s="2176"/>
      <c r="X69" s="3323"/>
      <c r="Y69" s="2176"/>
      <c r="Z69" s="2176"/>
      <c r="AA69" s="3323"/>
      <c r="AB69" s="2176"/>
      <c r="AC69" s="2176"/>
      <c r="AD69" s="3323"/>
      <c r="AE69" s="2176"/>
      <c r="AF69" s="2176"/>
      <c r="AG69" s="3323"/>
      <c r="AH69" s="2176"/>
      <c r="AI69" s="2176"/>
      <c r="AJ69" s="3323"/>
      <c r="AK69" s="2176"/>
      <c r="AL69" s="2176"/>
      <c r="AM69" s="1951"/>
      <c r="AN69" s="3361">
        <f t="shared" si="123"/>
        <v>9</v>
      </c>
      <c r="AO69" s="2170">
        <f>$I$69*0</f>
        <v>0</v>
      </c>
      <c r="AP69" s="3376">
        <f t="shared" si="118"/>
        <v>9</v>
      </c>
      <c r="AQ69" s="3361"/>
      <c r="AR69" s="2170"/>
      <c r="AS69" s="3376"/>
      <c r="AT69" s="3361"/>
      <c r="AU69" s="2176"/>
      <c r="AV69" s="3362"/>
      <c r="AW69" s="1951"/>
      <c r="AX69" s="2169"/>
      <c r="AY69" s="2170"/>
      <c r="AZ69" s="2170"/>
      <c r="BA69" s="2170"/>
      <c r="BB69" s="2170"/>
      <c r="BC69" s="2170"/>
      <c r="BD69" s="2171"/>
      <c r="BE69" s="1951"/>
      <c r="BF69" s="2169">
        <f t="shared" si="106"/>
        <v>0</v>
      </c>
      <c r="BG69" s="2170">
        <f>$I$69*0</f>
        <v>0</v>
      </c>
      <c r="BH69" s="2178">
        <f t="shared" si="107"/>
        <v>0</v>
      </c>
      <c r="BI69" s="1951"/>
      <c r="BJ69" s="2169"/>
      <c r="BK69" s="2176"/>
      <c r="BL69" s="2176"/>
      <c r="BM69" s="2176"/>
      <c r="BN69" s="2176"/>
      <c r="BO69" s="2176"/>
      <c r="BP69" s="2176"/>
      <c r="BQ69" s="1951"/>
      <c r="BR69" s="2169">
        <f t="shared" si="139"/>
        <v>0</v>
      </c>
      <c r="BS69" s="2170">
        <f>$I$69*0</f>
        <v>0</v>
      </c>
      <c r="BT69" s="2178">
        <f t="shared" si="140"/>
        <v>0</v>
      </c>
      <c r="BU69" s="1951"/>
      <c r="BV69" s="2169"/>
      <c r="BW69" s="2176"/>
      <c r="BX69" s="2176"/>
      <c r="BY69" s="2176"/>
      <c r="BZ69" s="2176"/>
      <c r="CA69" s="2176"/>
      <c r="CB69" s="2171"/>
      <c r="CC69" s="1951"/>
      <c r="CD69" s="2169">
        <f t="shared" si="130"/>
        <v>0</v>
      </c>
      <c r="CE69" s="2170">
        <f>$I$69*0</f>
        <v>0</v>
      </c>
      <c r="CF69" s="2178">
        <f t="shared" si="131"/>
        <v>0</v>
      </c>
      <c r="CG69" s="1951"/>
      <c r="CH69" s="2169"/>
      <c r="CI69" s="2171"/>
      <c r="CJ69" s="1951"/>
      <c r="CK69" s="2169">
        <f t="shared" si="132"/>
        <v>0</v>
      </c>
      <c r="CL69" s="2170">
        <f>$I$69*0</f>
        <v>0</v>
      </c>
      <c r="CM69" s="2178">
        <f t="shared" si="133"/>
        <v>0</v>
      </c>
      <c r="CO69" s="2179"/>
      <c r="CP69" s="2180"/>
      <c r="CR69" s="2179">
        <f t="shared" si="134"/>
        <v>9</v>
      </c>
      <c r="CS69" s="2181">
        <f t="shared" si="135"/>
        <v>9.5238095238095233E-2</v>
      </c>
      <c r="CT69" s="2353"/>
      <c r="CU69" s="4636"/>
      <c r="CV69" s="3384"/>
      <c r="CW69" s="3384"/>
      <c r="CX69" s="3384"/>
      <c r="CY69" s="3384"/>
      <c r="CZ69" s="3905"/>
      <c r="DA69" s="3905"/>
      <c r="DB69" s="3905"/>
      <c r="DC69" s="3905"/>
      <c r="DF69" s="2010"/>
      <c r="DG69" s="2011"/>
      <c r="DH69" s="2011"/>
      <c r="DI69" s="2011"/>
      <c r="DJ69" s="2011"/>
      <c r="DK69" s="2011"/>
      <c r="DL69" s="2011"/>
      <c r="DM69" s="2011"/>
      <c r="DN69" s="2011"/>
      <c r="DO69" s="2011"/>
      <c r="DP69" s="2011"/>
      <c r="DQ69" s="2011"/>
      <c r="DR69" s="2011"/>
    </row>
    <row r="70" spans="1:122" s="1740" customFormat="1" x14ac:dyDescent="0.2">
      <c r="A70" s="2466"/>
      <c r="B70" s="3348">
        <v>51</v>
      </c>
      <c r="C70" s="3348" t="s">
        <v>229</v>
      </c>
      <c r="D70" s="1817"/>
      <c r="E70" s="2088">
        <f>209*35%</f>
        <v>73.149999999999991</v>
      </c>
      <c r="F70" s="2088">
        <f>209*65%</f>
        <v>135.85</v>
      </c>
      <c r="G70" s="2088"/>
      <c r="H70" s="2289"/>
      <c r="I70" s="2088">
        <f t="shared" si="127"/>
        <v>2.438333333333333</v>
      </c>
      <c r="J70" s="2088">
        <f t="shared" si="127"/>
        <v>4.5283333333333333</v>
      </c>
      <c r="K70" s="2088"/>
      <c r="L70" s="1762"/>
      <c r="M70" s="3351">
        <f t="shared" si="136"/>
        <v>0.12560096153846154</v>
      </c>
      <c r="N70" s="3351">
        <f t="shared" si="128"/>
        <v>0.12560096153846154</v>
      </c>
      <c r="O70" s="3351"/>
      <c r="P70" s="2465"/>
      <c r="Q70" s="2131"/>
      <c r="R70" s="2088">
        <f t="shared" ref="R70" si="144">IF(R64&gt;$I$75,$I$70,IF(R64&lt;$I$75,(IF(R64&lt;0,0,R64*$M$70))))</f>
        <v>2.438333333333333</v>
      </c>
      <c r="S70" s="2088">
        <f>IF(S64&gt;$J$75,$J$70,IF(S64&lt;$J$75,(IF(S64&lt;0,0,S64*$N$70))))</f>
        <v>4.5283333333333333</v>
      </c>
      <c r="T70" s="2088"/>
      <c r="U70" s="2289"/>
      <c r="V70" s="2088"/>
      <c r="W70" s="2088"/>
      <c r="X70" s="2287"/>
      <c r="Y70" s="2088"/>
      <c r="Z70" s="2088"/>
      <c r="AA70" s="2287"/>
      <c r="AB70" s="2088"/>
      <c r="AC70" s="2088"/>
      <c r="AD70" s="2287"/>
      <c r="AE70" s="2088"/>
      <c r="AF70" s="2088"/>
      <c r="AG70" s="2287"/>
      <c r="AH70" s="2088"/>
      <c r="AI70" s="2088"/>
      <c r="AJ70" s="2287"/>
      <c r="AK70" s="2088"/>
      <c r="AL70" s="2088"/>
      <c r="AM70" s="3398"/>
      <c r="AN70" s="3359">
        <f t="shared" si="123"/>
        <v>6.9666666666666668</v>
      </c>
      <c r="AO70" s="2087">
        <f>$I$70*0</f>
        <v>0</v>
      </c>
      <c r="AP70" s="3360">
        <f t="shared" si="118"/>
        <v>6.9666666666666668</v>
      </c>
      <c r="AQ70" s="3359"/>
      <c r="AR70" s="2087"/>
      <c r="AS70" s="3360"/>
      <c r="AT70" s="3359"/>
      <c r="AU70" s="2088"/>
      <c r="AV70" s="3363"/>
      <c r="AW70" s="3398"/>
      <c r="AX70" s="2090"/>
      <c r="AY70" s="2087"/>
      <c r="AZ70" s="2087"/>
      <c r="BA70" s="2087"/>
      <c r="BB70" s="2087"/>
      <c r="BC70" s="2087"/>
      <c r="BD70" s="2091"/>
      <c r="BE70" s="3398"/>
      <c r="BF70" s="2090">
        <f t="shared" si="106"/>
        <v>0</v>
      </c>
      <c r="BG70" s="2087">
        <f>$I$70*0</f>
        <v>0</v>
      </c>
      <c r="BH70" s="2174">
        <f t="shared" si="107"/>
        <v>0</v>
      </c>
      <c r="BI70" s="3398"/>
      <c r="BJ70" s="2090"/>
      <c r="BK70" s="2088"/>
      <c r="BL70" s="2088"/>
      <c r="BM70" s="2088"/>
      <c r="BN70" s="2088"/>
      <c r="BO70" s="2088"/>
      <c r="BP70" s="2088"/>
      <c r="BQ70" s="3398"/>
      <c r="BR70" s="2090">
        <f t="shared" si="139"/>
        <v>0</v>
      </c>
      <c r="BS70" s="2087">
        <f>$I$70*0</f>
        <v>0</v>
      </c>
      <c r="BT70" s="2174">
        <f t="shared" si="140"/>
        <v>0</v>
      </c>
      <c r="BU70" s="3398"/>
      <c r="BV70" s="2090"/>
      <c r="BW70" s="2088"/>
      <c r="BX70" s="2088"/>
      <c r="BY70" s="2088"/>
      <c r="BZ70" s="2088"/>
      <c r="CA70" s="2088"/>
      <c r="CB70" s="2091"/>
      <c r="CC70" s="3398"/>
      <c r="CD70" s="2090">
        <f t="shared" si="130"/>
        <v>0</v>
      </c>
      <c r="CE70" s="2087">
        <f>$I$70*0</f>
        <v>0</v>
      </c>
      <c r="CF70" s="2174">
        <f t="shared" si="131"/>
        <v>0</v>
      </c>
      <c r="CG70" s="3398"/>
      <c r="CH70" s="2090"/>
      <c r="CI70" s="2091"/>
      <c r="CJ70" s="3398"/>
      <c r="CK70" s="2090">
        <f t="shared" si="132"/>
        <v>0</v>
      </c>
      <c r="CL70" s="2087">
        <f>$I$70*0</f>
        <v>0</v>
      </c>
      <c r="CM70" s="2174">
        <f t="shared" si="133"/>
        <v>0</v>
      </c>
      <c r="CO70" s="2092"/>
      <c r="CP70" s="2093"/>
      <c r="CR70" s="2092">
        <f t="shared" si="134"/>
        <v>6.9666666666666668</v>
      </c>
      <c r="CS70" s="2094">
        <f t="shared" si="135"/>
        <v>9.5238095238095247E-2</v>
      </c>
      <c r="CT70" s="2351"/>
      <c r="CU70" s="4636"/>
      <c r="CV70" s="3384"/>
      <c r="CW70" s="3384"/>
      <c r="CX70" s="3384"/>
      <c r="CY70" s="3384"/>
      <c r="CZ70" s="3905"/>
      <c r="DA70" s="3905"/>
      <c r="DB70" s="3905"/>
      <c r="DC70" s="3905"/>
      <c r="DF70" s="1997"/>
      <c r="DG70" s="1861"/>
      <c r="DH70" s="1861"/>
      <c r="DI70" s="1861"/>
      <c r="DJ70" s="1861"/>
      <c r="DK70" s="1861"/>
      <c r="DL70" s="1861"/>
      <c r="DM70" s="1861"/>
      <c r="DN70" s="1861"/>
      <c r="DO70" s="1861"/>
      <c r="DP70" s="1861"/>
      <c r="DQ70" s="1861"/>
      <c r="DR70" s="1861"/>
    </row>
    <row r="71" spans="1:122" s="1885" customFormat="1" x14ac:dyDescent="0.2">
      <c r="A71" s="1947"/>
      <c r="B71" s="3334">
        <v>52</v>
      </c>
      <c r="C71" s="3334" t="s">
        <v>122</v>
      </c>
      <c r="D71" s="1960"/>
      <c r="E71" s="2176">
        <f>75*35%</f>
        <v>26.25</v>
      </c>
      <c r="F71" s="2176">
        <f>75*65%</f>
        <v>48.75</v>
      </c>
      <c r="G71" s="2176"/>
      <c r="H71" s="2299"/>
      <c r="I71" s="2176">
        <f t="shared" si="127"/>
        <v>0.875</v>
      </c>
      <c r="J71" s="2176">
        <f t="shared" si="127"/>
        <v>1.625</v>
      </c>
      <c r="K71" s="2176"/>
      <c r="L71" s="3328"/>
      <c r="M71" s="3350">
        <f t="shared" si="136"/>
        <v>4.5072115384615384E-2</v>
      </c>
      <c r="N71" s="3350">
        <f t="shared" si="128"/>
        <v>4.5072115384615391E-2</v>
      </c>
      <c r="O71" s="3350"/>
      <c r="P71" s="2003"/>
      <c r="Q71" s="1950"/>
      <c r="R71" s="2176">
        <f t="shared" ref="R71" si="145">IF(R64&gt;$I$75,$I$71,IF(R64&lt;$I$75,(IF(R64&lt;0,0,R64*$M$71))))</f>
        <v>0.875</v>
      </c>
      <c r="S71" s="2176">
        <f>IF(S64&gt;$J$75,$J$71,IF(S64&lt;$J$75,(IF(S64&lt;0,0,S64*$N$71))))</f>
        <v>1.625</v>
      </c>
      <c r="T71" s="2176"/>
      <c r="U71" s="2299"/>
      <c r="V71" s="2176"/>
      <c r="W71" s="2176"/>
      <c r="X71" s="3323"/>
      <c r="Y71" s="2176"/>
      <c r="Z71" s="2176"/>
      <c r="AA71" s="3323"/>
      <c r="AB71" s="2176"/>
      <c r="AC71" s="2176"/>
      <c r="AD71" s="3323"/>
      <c r="AE71" s="2176"/>
      <c r="AF71" s="2176"/>
      <c r="AG71" s="3323"/>
      <c r="AH71" s="2176"/>
      <c r="AI71" s="2176"/>
      <c r="AJ71" s="3323"/>
      <c r="AK71" s="2176"/>
      <c r="AL71" s="2176"/>
      <c r="AM71" s="1951"/>
      <c r="AN71" s="3361">
        <f t="shared" si="123"/>
        <v>2.5</v>
      </c>
      <c r="AO71" s="2170">
        <f>$I$71*0</f>
        <v>0</v>
      </c>
      <c r="AP71" s="3376">
        <f t="shared" si="118"/>
        <v>2.5</v>
      </c>
      <c r="AQ71" s="3361"/>
      <c r="AR71" s="2170"/>
      <c r="AS71" s="3376"/>
      <c r="AT71" s="3361"/>
      <c r="AU71" s="2176"/>
      <c r="AV71" s="3362"/>
      <c r="AW71" s="1956"/>
      <c r="AX71" s="2169"/>
      <c r="AY71" s="2170"/>
      <c r="AZ71" s="2170"/>
      <c r="BA71" s="2170"/>
      <c r="BB71" s="2170"/>
      <c r="BC71" s="2170"/>
      <c r="BD71" s="2171"/>
      <c r="BE71" s="1956"/>
      <c r="BF71" s="2169">
        <f t="shared" si="106"/>
        <v>0</v>
      </c>
      <c r="BG71" s="2170">
        <f>$I$71*0</f>
        <v>0</v>
      </c>
      <c r="BH71" s="2178">
        <f t="shared" si="107"/>
        <v>0</v>
      </c>
      <c r="BI71" s="1956"/>
      <c r="BJ71" s="2169"/>
      <c r="BK71" s="2176"/>
      <c r="BL71" s="2176"/>
      <c r="BM71" s="2176"/>
      <c r="BN71" s="2176"/>
      <c r="BO71" s="2176"/>
      <c r="BP71" s="2176"/>
      <c r="BQ71" s="1951"/>
      <c r="BR71" s="2169">
        <f t="shared" si="139"/>
        <v>0</v>
      </c>
      <c r="BS71" s="2170">
        <f>$I$71*0</f>
        <v>0</v>
      </c>
      <c r="BT71" s="2178">
        <f t="shared" si="140"/>
        <v>0</v>
      </c>
      <c r="BU71" s="1951"/>
      <c r="BV71" s="2169"/>
      <c r="BW71" s="2176"/>
      <c r="BX71" s="2176"/>
      <c r="BY71" s="2176"/>
      <c r="BZ71" s="2176"/>
      <c r="CA71" s="2176"/>
      <c r="CB71" s="2171"/>
      <c r="CC71" s="1951"/>
      <c r="CD71" s="2169">
        <f t="shared" si="130"/>
        <v>0</v>
      </c>
      <c r="CE71" s="2170">
        <f>$I$71*0</f>
        <v>0</v>
      </c>
      <c r="CF71" s="2178">
        <f t="shared" si="131"/>
        <v>0</v>
      </c>
      <c r="CG71" s="1951"/>
      <c r="CH71" s="2169"/>
      <c r="CI71" s="2171"/>
      <c r="CJ71" s="1951"/>
      <c r="CK71" s="2169">
        <f t="shared" si="132"/>
        <v>0</v>
      </c>
      <c r="CL71" s="2170">
        <f>$I$71*0</f>
        <v>0</v>
      </c>
      <c r="CM71" s="2178">
        <f t="shared" si="133"/>
        <v>0</v>
      </c>
      <c r="CO71" s="2179"/>
      <c r="CP71" s="2180"/>
      <c r="CQ71" s="1900"/>
      <c r="CR71" s="2179">
        <f t="shared" si="134"/>
        <v>2.5</v>
      </c>
      <c r="CS71" s="2181">
        <f t="shared" si="135"/>
        <v>9.5238095238095233E-2</v>
      </c>
      <c r="CT71" s="2353"/>
      <c r="CU71" s="4636"/>
      <c r="CV71" s="3384"/>
      <c r="CW71" s="3384"/>
      <c r="CX71" s="3384"/>
      <c r="CY71" s="3384"/>
      <c r="CZ71" s="3905"/>
      <c r="DA71" s="3905"/>
      <c r="DB71" s="3905"/>
      <c r="DC71" s="3905"/>
      <c r="DF71" s="3381"/>
      <c r="DG71" s="1946"/>
      <c r="DH71" s="1946"/>
      <c r="DI71" s="1946"/>
      <c r="DJ71" s="1946"/>
      <c r="DK71" s="1946"/>
      <c r="DL71" s="1946"/>
      <c r="DM71" s="1946"/>
      <c r="DN71" s="1946"/>
      <c r="DO71" s="1946"/>
      <c r="DP71" s="1946"/>
      <c r="DQ71" s="1946"/>
      <c r="DR71" s="1946"/>
    </row>
    <row r="72" spans="1:122" s="1726" customFormat="1" x14ac:dyDescent="0.2">
      <c r="A72" s="1756"/>
      <c r="B72" s="3348">
        <v>53</v>
      </c>
      <c r="C72" s="3348" t="s">
        <v>242</v>
      </c>
      <c r="D72" s="1817"/>
      <c r="E72" s="2088">
        <v>0</v>
      </c>
      <c r="F72" s="2088">
        <v>0</v>
      </c>
      <c r="G72" s="2088"/>
      <c r="H72" s="2289"/>
      <c r="I72" s="2088">
        <f t="shared" si="127"/>
        <v>0</v>
      </c>
      <c r="J72" s="2088">
        <f t="shared" si="127"/>
        <v>0</v>
      </c>
      <c r="K72" s="2088"/>
      <c r="L72" s="1762"/>
      <c r="M72" s="3351">
        <f t="shared" si="136"/>
        <v>0</v>
      </c>
      <c r="N72" s="3351">
        <f t="shared" si="128"/>
        <v>0</v>
      </c>
      <c r="O72" s="3351"/>
      <c r="P72" s="1931"/>
      <c r="Q72" s="1924"/>
      <c r="R72" s="2088">
        <f t="shared" ref="R72" si="146">IF(R64&gt;$I$75,$I$72,IF(R64&lt;$I$75,(IF(R64&lt;0,0,R64*$M$72))))</f>
        <v>0</v>
      </c>
      <c r="S72" s="2088">
        <f>IF(S64&gt;$J$75,$J$72,IF(S64&lt;$J$75,(IF(S64&lt;0,0,S64*$N$72))))</f>
        <v>0</v>
      </c>
      <c r="T72" s="2088"/>
      <c r="U72" s="2289"/>
      <c r="V72" s="2088"/>
      <c r="W72" s="2088"/>
      <c r="X72" s="2287"/>
      <c r="Y72" s="2088"/>
      <c r="Z72" s="2088"/>
      <c r="AA72" s="2287"/>
      <c r="AB72" s="2088"/>
      <c r="AC72" s="2088"/>
      <c r="AD72" s="2287"/>
      <c r="AE72" s="2088"/>
      <c r="AF72" s="2088"/>
      <c r="AG72" s="2287"/>
      <c r="AH72" s="2088"/>
      <c r="AI72" s="2088"/>
      <c r="AJ72" s="2287"/>
      <c r="AK72" s="2088"/>
      <c r="AL72" s="2088"/>
      <c r="AM72" s="3398"/>
      <c r="AN72" s="3359">
        <f t="shared" si="123"/>
        <v>0</v>
      </c>
      <c r="AO72" s="2087">
        <f>$I$72*0</f>
        <v>0</v>
      </c>
      <c r="AP72" s="3360">
        <f t="shared" si="118"/>
        <v>0</v>
      </c>
      <c r="AQ72" s="3359"/>
      <c r="AR72" s="2087"/>
      <c r="AS72" s="3360"/>
      <c r="AT72" s="3359"/>
      <c r="AU72" s="2088"/>
      <c r="AV72" s="3363"/>
      <c r="AW72" s="1766"/>
      <c r="AX72" s="2090"/>
      <c r="AY72" s="2087"/>
      <c r="AZ72" s="2087"/>
      <c r="BA72" s="2087"/>
      <c r="BB72" s="2087"/>
      <c r="BC72" s="2087"/>
      <c r="BD72" s="2091"/>
      <c r="BE72" s="1766"/>
      <c r="BF72" s="2090">
        <f t="shared" si="106"/>
        <v>0</v>
      </c>
      <c r="BG72" s="2087">
        <f>$I$72*0</f>
        <v>0</v>
      </c>
      <c r="BH72" s="2174">
        <f t="shared" si="107"/>
        <v>0</v>
      </c>
      <c r="BI72" s="1766"/>
      <c r="BJ72" s="2090"/>
      <c r="BK72" s="2088"/>
      <c r="BL72" s="2088"/>
      <c r="BM72" s="2088"/>
      <c r="BN72" s="2088"/>
      <c r="BO72" s="2088"/>
      <c r="BP72" s="2088"/>
      <c r="BQ72" s="3398"/>
      <c r="BR72" s="2090">
        <f t="shared" si="139"/>
        <v>0</v>
      </c>
      <c r="BS72" s="2087">
        <f>$I$72*0</f>
        <v>0</v>
      </c>
      <c r="BT72" s="2174">
        <f t="shared" si="140"/>
        <v>0</v>
      </c>
      <c r="BU72" s="3398"/>
      <c r="BV72" s="2090"/>
      <c r="BW72" s="2088"/>
      <c r="BX72" s="2088"/>
      <c r="BY72" s="2088"/>
      <c r="BZ72" s="2088"/>
      <c r="CA72" s="2088"/>
      <c r="CB72" s="2091"/>
      <c r="CC72" s="3398"/>
      <c r="CD72" s="2090">
        <f t="shared" si="130"/>
        <v>0</v>
      </c>
      <c r="CE72" s="2087">
        <f>$I$72*0</f>
        <v>0</v>
      </c>
      <c r="CF72" s="2174">
        <f t="shared" si="131"/>
        <v>0</v>
      </c>
      <c r="CG72" s="3398"/>
      <c r="CH72" s="2090"/>
      <c r="CI72" s="2091"/>
      <c r="CJ72" s="3398"/>
      <c r="CK72" s="2090">
        <f t="shared" si="132"/>
        <v>0</v>
      </c>
      <c r="CL72" s="2087">
        <f>$I$72*0</f>
        <v>0</v>
      </c>
      <c r="CM72" s="2174">
        <f t="shared" si="133"/>
        <v>0</v>
      </c>
      <c r="CO72" s="2092"/>
      <c r="CP72" s="2093"/>
      <c r="CQ72" s="1740"/>
      <c r="CR72" s="2092">
        <f t="shared" si="134"/>
        <v>0</v>
      </c>
      <c r="CS72" s="2094" t="e">
        <f t="shared" si="135"/>
        <v>#DIV/0!</v>
      </c>
      <c r="CT72" s="2351"/>
      <c r="CU72" s="4636"/>
      <c r="CV72" s="3384"/>
      <c r="CW72" s="3384"/>
      <c r="CX72" s="3384"/>
      <c r="CY72" s="3384"/>
      <c r="CZ72" s="3905"/>
      <c r="DA72" s="3905"/>
      <c r="DB72" s="3905"/>
      <c r="DC72" s="3905"/>
      <c r="DF72" s="3384"/>
      <c r="DG72" s="1860"/>
      <c r="DH72" s="1860"/>
      <c r="DI72" s="1860"/>
      <c r="DJ72" s="1860"/>
      <c r="DK72" s="1860"/>
      <c r="DL72" s="1860"/>
      <c r="DM72" s="1860"/>
      <c r="DN72" s="1860"/>
      <c r="DO72" s="1860"/>
      <c r="DP72" s="1860"/>
      <c r="DQ72" s="1860"/>
      <c r="DR72" s="1860"/>
    </row>
    <row r="73" spans="1:122" s="1885" customFormat="1" x14ac:dyDescent="0.2">
      <c r="B73" s="3334">
        <v>54</v>
      </c>
      <c r="C73" s="3334" t="s">
        <v>227</v>
      </c>
      <c r="D73" s="1960"/>
      <c r="E73" s="2176">
        <v>0</v>
      </c>
      <c r="F73" s="2176">
        <v>0</v>
      </c>
      <c r="G73" s="2176"/>
      <c r="H73" s="2299"/>
      <c r="I73" s="2176">
        <f t="shared" si="127"/>
        <v>0</v>
      </c>
      <c r="J73" s="2176">
        <f t="shared" si="127"/>
        <v>0</v>
      </c>
      <c r="K73" s="2176"/>
      <c r="L73" s="3328"/>
      <c r="M73" s="3350">
        <f t="shared" si="136"/>
        <v>0</v>
      </c>
      <c r="N73" s="3350">
        <f t="shared" si="128"/>
        <v>0</v>
      </c>
      <c r="O73" s="3350"/>
      <c r="P73" s="2003"/>
      <c r="Q73" s="1950"/>
      <c r="R73" s="2176">
        <f t="shared" ref="R73" si="147">IF(R64&gt;$I$75,$I$73,IF(R64&lt;$I$75,(IF(R64&lt;0,0,R64*$M$73))))</f>
        <v>0</v>
      </c>
      <c r="S73" s="2176">
        <f>IF(S64&gt;$J$75,$J$73,IF(S64&lt;$J$75,(IF(S64&lt;0,0,S64*$N$73))))</f>
        <v>0</v>
      </c>
      <c r="T73" s="2176"/>
      <c r="U73" s="2299"/>
      <c r="V73" s="2176"/>
      <c r="W73" s="2176"/>
      <c r="X73" s="3323"/>
      <c r="Y73" s="2176"/>
      <c r="Z73" s="2176"/>
      <c r="AA73" s="3323"/>
      <c r="AB73" s="2176"/>
      <c r="AC73" s="2176"/>
      <c r="AD73" s="3323"/>
      <c r="AE73" s="2176"/>
      <c r="AF73" s="2176"/>
      <c r="AG73" s="3323"/>
      <c r="AH73" s="2176"/>
      <c r="AI73" s="2176"/>
      <c r="AJ73" s="3323"/>
      <c r="AK73" s="2176"/>
      <c r="AL73" s="2176"/>
      <c r="AM73" s="1951"/>
      <c r="AN73" s="3361">
        <f t="shared" si="123"/>
        <v>0</v>
      </c>
      <c r="AO73" s="2170">
        <f>$I$73*0</f>
        <v>0</v>
      </c>
      <c r="AP73" s="3376">
        <f t="shared" si="118"/>
        <v>0</v>
      </c>
      <c r="AQ73" s="3361"/>
      <c r="AR73" s="2170"/>
      <c r="AS73" s="3376"/>
      <c r="AT73" s="3361"/>
      <c r="AU73" s="2176"/>
      <c r="AV73" s="3362"/>
      <c r="AW73" s="1956"/>
      <c r="AX73" s="2169"/>
      <c r="AY73" s="2170"/>
      <c r="AZ73" s="2170"/>
      <c r="BA73" s="2170"/>
      <c r="BB73" s="2170"/>
      <c r="BC73" s="2170"/>
      <c r="BD73" s="2171"/>
      <c r="BE73" s="1956"/>
      <c r="BF73" s="2169">
        <f t="shared" si="106"/>
        <v>0</v>
      </c>
      <c r="BG73" s="2170">
        <f>$I$73*0</f>
        <v>0</v>
      </c>
      <c r="BH73" s="2178">
        <f t="shared" si="107"/>
        <v>0</v>
      </c>
      <c r="BI73" s="1956"/>
      <c r="BJ73" s="2169"/>
      <c r="BK73" s="2176"/>
      <c r="BL73" s="2176"/>
      <c r="BM73" s="2176"/>
      <c r="BN73" s="2176"/>
      <c r="BO73" s="2176"/>
      <c r="BP73" s="2176"/>
      <c r="BQ73" s="1951"/>
      <c r="BR73" s="2169">
        <f t="shared" si="139"/>
        <v>0</v>
      </c>
      <c r="BS73" s="2170">
        <f>$I$73*0</f>
        <v>0</v>
      </c>
      <c r="BT73" s="2178">
        <f t="shared" si="140"/>
        <v>0</v>
      </c>
      <c r="BU73" s="1951"/>
      <c r="BV73" s="2169"/>
      <c r="BW73" s="2176"/>
      <c r="BX73" s="2176"/>
      <c r="BY73" s="2176"/>
      <c r="BZ73" s="2176"/>
      <c r="CA73" s="2176"/>
      <c r="CB73" s="2171"/>
      <c r="CC73" s="1951"/>
      <c r="CD73" s="2169">
        <f t="shared" si="130"/>
        <v>0</v>
      </c>
      <c r="CE73" s="2170">
        <f>$I$73*0</f>
        <v>0</v>
      </c>
      <c r="CF73" s="2178">
        <f t="shared" si="131"/>
        <v>0</v>
      </c>
      <c r="CG73" s="1951"/>
      <c r="CH73" s="2169"/>
      <c r="CI73" s="2171"/>
      <c r="CJ73" s="1951"/>
      <c r="CK73" s="2169">
        <f t="shared" si="132"/>
        <v>0</v>
      </c>
      <c r="CL73" s="2170">
        <f>$I$73*0</f>
        <v>0</v>
      </c>
      <c r="CM73" s="2178">
        <f t="shared" si="133"/>
        <v>0</v>
      </c>
      <c r="CO73" s="2179"/>
      <c r="CP73" s="2180"/>
      <c r="CQ73" s="1900"/>
      <c r="CR73" s="2179">
        <f t="shared" si="134"/>
        <v>0</v>
      </c>
      <c r="CS73" s="2181" t="e">
        <f t="shared" si="135"/>
        <v>#DIV/0!</v>
      </c>
      <c r="CT73" s="2353"/>
      <c r="CU73" s="4636"/>
      <c r="CV73" s="3384"/>
      <c r="CW73" s="3384"/>
      <c r="CX73" s="3384"/>
      <c r="CY73" s="3384"/>
      <c r="CZ73" s="3905"/>
      <c r="DA73" s="3905"/>
      <c r="DB73" s="3905"/>
      <c r="DC73" s="3905"/>
      <c r="DF73" s="3381"/>
      <c r="DG73" s="1946"/>
      <c r="DH73" s="1946"/>
      <c r="DI73" s="1946"/>
      <c r="DJ73" s="1946"/>
      <c r="DK73" s="1946"/>
      <c r="DL73" s="1946"/>
      <c r="DM73" s="1946"/>
      <c r="DN73" s="1946"/>
      <c r="DO73" s="1946"/>
      <c r="DP73" s="1946"/>
      <c r="DQ73" s="1946"/>
      <c r="DR73" s="1946"/>
    </row>
    <row r="74" spans="1:122" s="1726" customFormat="1" ht="17.25" thickBot="1" x14ac:dyDescent="0.25">
      <c r="B74" s="3348">
        <v>55</v>
      </c>
      <c r="C74" s="3348" t="s">
        <v>228</v>
      </c>
      <c r="D74" s="1817"/>
      <c r="E74" s="2088">
        <v>0</v>
      </c>
      <c r="F74" s="2088">
        <v>0</v>
      </c>
      <c r="G74" s="2088"/>
      <c r="H74" s="2289"/>
      <c r="I74" s="2088">
        <f t="shared" si="127"/>
        <v>0</v>
      </c>
      <c r="J74" s="2088">
        <f t="shared" si="127"/>
        <v>0</v>
      </c>
      <c r="K74" s="2088"/>
      <c r="L74" s="1762"/>
      <c r="M74" s="3351">
        <f t="shared" si="136"/>
        <v>0</v>
      </c>
      <c r="N74" s="3351">
        <f t="shared" si="128"/>
        <v>0</v>
      </c>
      <c r="O74" s="3351"/>
      <c r="P74" s="1931"/>
      <c r="Q74" s="1924"/>
      <c r="R74" s="2088">
        <f t="shared" ref="R74" si="148">IF(R64&gt;$I$75,$I$74,IF(R64&lt;$I$75,(IF(R64&lt;0,0,R64*$M$74))))</f>
        <v>0</v>
      </c>
      <c r="S74" s="2088">
        <f>IF(S64&gt;$J$75,$J$74,IF(S64&lt;$J$75,(IF(S64&lt;0,0,S64*$N$74))))</f>
        <v>0</v>
      </c>
      <c r="T74" s="2088"/>
      <c r="U74" s="2289"/>
      <c r="V74" s="2088"/>
      <c r="W74" s="2088"/>
      <c r="X74" s="2287"/>
      <c r="Y74" s="2088"/>
      <c r="Z74" s="2088"/>
      <c r="AA74" s="2287"/>
      <c r="AB74" s="2088"/>
      <c r="AC74" s="2088"/>
      <c r="AD74" s="2287"/>
      <c r="AE74" s="2088"/>
      <c r="AF74" s="2088"/>
      <c r="AG74" s="2287"/>
      <c r="AH74" s="2088"/>
      <c r="AI74" s="2088"/>
      <c r="AJ74" s="2287"/>
      <c r="AK74" s="2088"/>
      <c r="AL74" s="2088"/>
      <c r="AM74" s="3398"/>
      <c r="AN74" s="3377">
        <f t="shared" si="101"/>
        <v>0</v>
      </c>
      <c r="AO74" s="3378">
        <f>$I$74*0</f>
        <v>0</v>
      </c>
      <c r="AP74" s="3379">
        <f t="shared" si="118"/>
        <v>0</v>
      </c>
      <c r="AQ74" s="3377"/>
      <c r="AR74" s="3378"/>
      <c r="AS74" s="3379"/>
      <c r="AT74" s="3359"/>
      <c r="AU74" s="2088"/>
      <c r="AV74" s="3363"/>
      <c r="AW74" s="1766"/>
      <c r="AX74" s="2445"/>
      <c r="AY74" s="2650"/>
      <c r="AZ74" s="2650"/>
      <c r="BA74" s="2650"/>
      <c r="BB74" s="2650"/>
      <c r="BC74" s="2650"/>
      <c r="BD74" s="2652"/>
      <c r="BE74" s="1766"/>
      <c r="BF74" s="2445">
        <f t="shared" si="106"/>
        <v>0</v>
      </c>
      <c r="BG74" s="2650">
        <f>$I$74*0</f>
        <v>0</v>
      </c>
      <c r="BH74" s="2651">
        <f t="shared" si="107"/>
        <v>0</v>
      </c>
      <c r="BI74" s="1766"/>
      <c r="BJ74" s="2193"/>
      <c r="BK74" s="2313"/>
      <c r="BL74" s="2313"/>
      <c r="BM74" s="2313"/>
      <c r="BN74" s="2313"/>
      <c r="BO74" s="2313"/>
      <c r="BP74" s="2313"/>
      <c r="BQ74" s="3398"/>
      <c r="BR74" s="2445">
        <f t="shared" si="139"/>
        <v>0</v>
      </c>
      <c r="BS74" s="2650">
        <f>$I$74*0</f>
        <v>0</v>
      </c>
      <c r="BT74" s="2651">
        <f t="shared" si="140"/>
        <v>0</v>
      </c>
      <c r="BU74" s="3398"/>
      <c r="BV74" s="2193"/>
      <c r="BW74" s="2313"/>
      <c r="BX74" s="2313"/>
      <c r="BY74" s="2313"/>
      <c r="BZ74" s="2313"/>
      <c r="CA74" s="2313"/>
      <c r="CB74" s="2314"/>
      <c r="CC74" s="3398"/>
      <c r="CD74" s="2445">
        <f t="shared" si="130"/>
        <v>0</v>
      </c>
      <c r="CE74" s="2650">
        <f>$I$74*0</f>
        <v>0</v>
      </c>
      <c r="CF74" s="2651">
        <f t="shared" si="131"/>
        <v>0</v>
      </c>
      <c r="CG74" s="3398"/>
      <c r="CH74" s="2193"/>
      <c r="CI74" s="2314"/>
      <c r="CJ74" s="3398"/>
      <c r="CK74" s="2445">
        <f t="shared" si="132"/>
        <v>0</v>
      </c>
      <c r="CL74" s="2650">
        <f>$I$74*0</f>
        <v>0</v>
      </c>
      <c r="CM74" s="2651">
        <f t="shared" si="133"/>
        <v>0</v>
      </c>
      <c r="CO74" s="2193"/>
      <c r="CP74" s="2654"/>
      <c r="CQ74" s="1740"/>
      <c r="CR74" s="2193">
        <f t="shared" si="134"/>
        <v>0</v>
      </c>
      <c r="CS74" s="2195" t="e">
        <f t="shared" si="135"/>
        <v>#DIV/0!</v>
      </c>
      <c r="CT74" s="2351"/>
      <c r="CU74" s="4636"/>
      <c r="CV74" s="3384"/>
      <c r="CW74" s="3384"/>
      <c r="CX74" s="3384"/>
      <c r="CY74" s="3384"/>
      <c r="CZ74" s="3905"/>
      <c r="DA74" s="3905"/>
      <c r="DB74" s="3905"/>
      <c r="DC74" s="3905"/>
      <c r="DF74" s="3384"/>
      <c r="DG74" s="3384"/>
      <c r="DH74" s="1860"/>
      <c r="DI74" s="1860"/>
      <c r="DJ74" s="1860"/>
      <c r="DK74" s="1860"/>
      <c r="DL74" s="1860"/>
      <c r="DM74" s="1860"/>
      <c r="DN74" s="1860"/>
      <c r="DO74" s="1860"/>
      <c r="DP74" s="1860"/>
      <c r="DQ74" s="1860"/>
      <c r="DR74" s="1860"/>
    </row>
    <row r="75" spans="1:122" s="3802" customFormat="1" ht="21" thickBot="1" x14ac:dyDescent="0.25">
      <c r="B75" s="3803"/>
      <c r="C75" s="3803" t="s">
        <v>194</v>
      </c>
      <c r="D75" s="3784"/>
      <c r="E75" s="3788">
        <f>SUM(E66:E74)</f>
        <v>582.4</v>
      </c>
      <c r="F75" s="3788">
        <f>SUM(F66:F74)</f>
        <v>1081.5999999999999</v>
      </c>
      <c r="G75" s="3788"/>
      <c r="H75" s="3789"/>
      <c r="I75" s="3788">
        <f>SUM(I66:I74)</f>
        <v>19.41333333333333</v>
      </c>
      <c r="J75" s="3788">
        <f>SUM(J66:J74)</f>
        <v>36.053333333333335</v>
      </c>
      <c r="K75" s="3788"/>
      <c r="L75" s="3804"/>
      <c r="M75" s="3805">
        <f>SUM(M66:M74)</f>
        <v>1</v>
      </c>
      <c r="N75" s="3805">
        <f>SUM(N66:N74)</f>
        <v>1</v>
      </c>
      <c r="O75" s="3805"/>
      <c r="P75" s="3787"/>
      <c r="Q75" s="3786"/>
      <c r="R75" s="3788">
        <f t="shared" ref="R75:U75" si="149">SUM(R66:R74)</f>
        <v>19.41333333333333</v>
      </c>
      <c r="S75" s="3788">
        <f t="shared" si="149"/>
        <v>36.053333333333335</v>
      </c>
      <c r="T75" s="3788"/>
      <c r="U75" s="3788">
        <f t="shared" si="149"/>
        <v>0</v>
      </c>
      <c r="V75" s="3788"/>
      <c r="W75" s="3788"/>
      <c r="X75" s="3790"/>
      <c r="Y75" s="3788"/>
      <c r="Z75" s="3788"/>
      <c r="AA75" s="3790"/>
      <c r="AB75" s="3788"/>
      <c r="AC75" s="3788"/>
      <c r="AD75" s="3790"/>
      <c r="AE75" s="3788"/>
      <c r="AF75" s="3788"/>
      <c r="AG75" s="3790"/>
      <c r="AH75" s="3788"/>
      <c r="AI75" s="3788"/>
      <c r="AJ75" s="3790"/>
      <c r="AK75" s="3788"/>
      <c r="AL75" s="3788"/>
      <c r="AM75" s="3785"/>
      <c r="AN75" s="3806">
        <f>SUM(AN66:AN74)</f>
        <v>55.466666666666669</v>
      </c>
      <c r="AO75" s="3807">
        <f>SUM(AO66:AO74)</f>
        <v>0</v>
      </c>
      <c r="AP75" s="3808">
        <f>SUM(AP66:AP74)</f>
        <v>55.466666666666669</v>
      </c>
      <c r="AQ75" s="3806"/>
      <c r="AR75" s="3807"/>
      <c r="AS75" s="3808"/>
      <c r="AT75" s="3988"/>
      <c r="AU75" s="3989"/>
      <c r="AV75" s="3990"/>
      <c r="AW75" s="3785"/>
      <c r="AX75" s="3791"/>
      <c r="AY75" s="3792"/>
      <c r="AZ75" s="3792"/>
      <c r="BA75" s="3792"/>
      <c r="BB75" s="3792"/>
      <c r="BC75" s="3792"/>
      <c r="BD75" s="3793"/>
      <c r="BE75" s="3785"/>
      <c r="BF75" s="3791">
        <f>SUM(AX75:BD75)</f>
        <v>0</v>
      </c>
      <c r="BG75" s="3792">
        <f>SUM(BG66:BG74)</f>
        <v>0</v>
      </c>
      <c r="BH75" s="3809">
        <f>SUM(BH53:BH74)</f>
        <v>0</v>
      </c>
      <c r="BI75" s="3785"/>
      <c r="BJ75" s="3791"/>
      <c r="BK75" s="3794"/>
      <c r="BL75" s="3794"/>
      <c r="BM75" s="3794"/>
      <c r="BN75" s="3794"/>
      <c r="BO75" s="3794"/>
      <c r="BP75" s="3794"/>
      <c r="BQ75" s="3785"/>
      <c r="BR75" s="3791">
        <f>SUM(BJ75:BP75)</f>
        <v>0</v>
      </c>
      <c r="BS75" s="3792">
        <f>SUM(BS66:BS74)</f>
        <v>0</v>
      </c>
      <c r="BT75" s="3809">
        <f>SUM(BT53:BT74)</f>
        <v>0</v>
      </c>
      <c r="BU75" s="3785"/>
      <c r="BV75" s="3791"/>
      <c r="BW75" s="3794"/>
      <c r="BX75" s="3794"/>
      <c r="BY75" s="3794"/>
      <c r="BZ75" s="3794"/>
      <c r="CA75" s="3794"/>
      <c r="CB75" s="3793"/>
      <c r="CC75" s="3785"/>
      <c r="CD75" s="3810">
        <f>SUM(BV75:CB75)</f>
        <v>0</v>
      </c>
      <c r="CE75" s="3811">
        <f>SUM(CE66:CE74)</f>
        <v>0</v>
      </c>
      <c r="CF75" s="3812">
        <f>SUM(CF53:CF74)</f>
        <v>0</v>
      </c>
      <c r="CG75" s="3785"/>
      <c r="CH75" s="3791"/>
      <c r="CI75" s="3793"/>
      <c r="CJ75" s="3785"/>
      <c r="CK75" s="3810">
        <f t="shared" si="132"/>
        <v>0</v>
      </c>
      <c r="CL75" s="3811">
        <f>SUM(CL53:CL74)</f>
        <v>0</v>
      </c>
      <c r="CM75" s="3812">
        <f>SUM(CM53:CM74)</f>
        <v>0</v>
      </c>
      <c r="CO75" s="3810">
        <f>AP75+BH75+BT75</f>
        <v>55.466666666666669</v>
      </c>
      <c r="CP75" s="3813"/>
      <c r="CR75" s="3810">
        <f>SUM(CR66:CR74)</f>
        <v>55.466666666666669</v>
      </c>
      <c r="CS75" s="3814">
        <f t="shared" si="135"/>
        <v>9.5238095238095247E-2</v>
      </c>
      <c r="CT75" s="3815"/>
      <c r="CU75" s="4637"/>
      <c r="CV75" s="3783"/>
      <c r="CW75" s="3783"/>
      <c r="CX75" s="3783"/>
      <c r="CY75" s="3783"/>
      <c r="CZ75" s="3783"/>
      <c r="DA75" s="3783"/>
      <c r="DB75" s="3783"/>
      <c r="DC75" s="3783"/>
      <c r="DF75" s="3799"/>
      <c r="DG75" s="3816"/>
      <c r="DH75" s="3816"/>
      <c r="DI75" s="3816"/>
      <c r="DJ75" s="3816"/>
      <c r="DK75" s="3816"/>
      <c r="DL75" s="3816"/>
      <c r="DM75" s="3816"/>
      <c r="DN75" s="3816"/>
      <c r="DO75" s="3816"/>
      <c r="DP75" s="3816"/>
      <c r="DQ75" s="3816"/>
      <c r="DR75" s="3816"/>
    </row>
    <row r="76" spans="1:122" s="3421" customFormat="1" ht="4.5" customHeight="1" x14ac:dyDescent="0.2">
      <c r="B76" s="3759"/>
      <c r="C76" s="3759"/>
      <c r="E76" s="3817"/>
      <c r="F76" s="3817"/>
      <c r="G76" s="3817"/>
      <c r="H76" s="3770"/>
      <c r="I76" s="3817"/>
      <c r="J76" s="3817"/>
      <c r="K76" s="3817"/>
      <c r="L76" s="3770"/>
      <c r="M76" s="3818"/>
      <c r="N76" s="3818"/>
      <c r="O76" s="3818"/>
      <c r="P76" s="3819"/>
      <c r="Q76" s="3783"/>
      <c r="R76" s="3817"/>
      <c r="S76" s="3817"/>
      <c r="T76" s="3817"/>
      <c r="U76" s="3770"/>
      <c r="V76" s="3817"/>
      <c r="W76" s="3817"/>
      <c r="X76" s="3770"/>
      <c r="Y76" s="3817"/>
      <c r="Z76" s="3817"/>
      <c r="AA76" s="3770"/>
      <c r="AB76" s="3817"/>
      <c r="AC76" s="3817"/>
      <c r="AD76" s="3770"/>
      <c r="AE76" s="3817"/>
      <c r="AF76" s="3817"/>
      <c r="AG76" s="3770"/>
      <c r="AH76" s="3817"/>
      <c r="AI76" s="3817"/>
      <c r="AJ76" s="3770"/>
      <c r="AK76" s="3817"/>
      <c r="AL76" s="3817"/>
      <c r="AM76" s="3820"/>
      <c r="AN76" s="3820"/>
      <c r="AO76" s="3820"/>
      <c r="AP76" s="3820"/>
      <c r="AQ76" s="3820"/>
      <c r="AR76" s="3820"/>
      <c r="AS76" s="3820"/>
      <c r="AT76" s="3820"/>
      <c r="AU76" s="3820"/>
      <c r="AV76" s="3820"/>
      <c r="AW76" s="3820"/>
      <c r="AX76" s="3821"/>
      <c r="AY76" s="3821"/>
      <c r="AZ76" s="3821"/>
      <c r="BA76" s="3821"/>
      <c r="BB76" s="3821"/>
      <c r="BC76" s="3821"/>
      <c r="BD76" s="3821"/>
      <c r="BE76" s="3820"/>
      <c r="BF76" s="3820"/>
      <c r="BG76" s="3820"/>
      <c r="BH76" s="3820"/>
      <c r="BI76" s="3820"/>
      <c r="BJ76" s="3817"/>
      <c r="BK76" s="3817"/>
      <c r="BL76" s="3817"/>
      <c r="BM76" s="3817"/>
      <c r="BN76" s="3817"/>
      <c r="BO76" s="3817"/>
      <c r="BP76" s="3817"/>
      <c r="BQ76" s="3820"/>
      <c r="BR76" s="3820"/>
      <c r="BS76" s="3820"/>
      <c r="BT76" s="3820"/>
      <c r="BU76" s="3820"/>
      <c r="BV76" s="3817"/>
      <c r="BW76" s="3817"/>
      <c r="BX76" s="3817"/>
      <c r="BY76" s="3817"/>
      <c r="BZ76" s="3817"/>
      <c r="CA76" s="3817"/>
      <c r="CB76" s="3817"/>
      <c r="CC76" s="3820"/>
      <c r="CD76" s="3820"/>
      <c r="CE76" s="3820"/>
      <c r="CF76" s="3820"/>
      <c r="CG76" s="3820"/>
      <c r="CH76" s="3817"/>
      <c r="CI76" s="3817"/>
      <c r="CJ76" s="3820"/>
      <c r="CK76" s="3820"/>
      <c r="CL76" s="3820"/>
      <c r="CM76" s="3820"/>
      <c r="CO76" s="3817"/>
      <c r="CP76" s="3822"/>
      <c r="CR76" s="3817"/>
      <c r="CS76" s="3818"/>
      <c r="CT76" s="3783"/>
      <c r="CU76" s="3783"/>
      <c r="CV76" s="3783"/>
      <c r="CW76" s="3783"/>
      <c r="CX76" s="3783"/>
      <c r="CY76" s="3783"/>
      <c r="CZ76" s="3783"/>
      <c r="DA76" s="3783"/>
      <c r="DB76" s="3783"/>
      <c r="DC76" s="3783"/>
    </row>
    <row r="77" spans="1:122" s="3421" customFormat="1" ht="15.75" customHeight="1" x14ac:dyDescent="0.2">
      <c r="B77" s="3759"/>
      <c r="C77" s="3817"/>
      <c r="E77" s="3823">
        <f>E62+E75</f>
        <v>750.65</v>
      </c>
      <c r="F77" s="3823">
        <f>F62+F75</f>
        <v>1249.8499999999999</v>
      </c>
      <c r="G77" s="3823"/>
      <c r="H77" s="3771"/>
      <c r="I77" s="3823">
        <f>I62+I75</f>
        <v>25.021666666666661</v>
      </c>
      <c r="J77" s="3823">
        <f>J62+J75</f>
        <v>41.661666666666669</v>
      </c>
      <c r="K77" s="3823"/>
      <c r="L77" s="3771"/>
      <c r="M77" s="3824">
        <f>E77/E96</f>
        <v>0.17243636864835063</v>
      </c>
      <c r="N77" s="3824">
        <f>F77/F96</f>
        <v>0.25757357184073854</v>
      </c>
      <c r="O77" s="3824"/>
      <c r="P77" s="3819"/>
      <c r="Q77" s="3783"/>
      <c r="R77" s="3823">
        <f t="shared" ref="R77:S77" si="150">R64-R75</f>
        <v>18.26916666666666</v>
      </c>
      <c r="S77" s="3823">
        <f t="shared" si="150"/>
        <v>1.6291666666666558</v>
      </c>
      <c r="T77" s="3823"/>
      <c r="U77" s="3771"/>
      <c r="V77" s="3823"/>
      <c r="W77" s="3823"/>
      <c r="X77" s="3771"/>
      <c r="Y77" s="3823"/>
      <c r="Z77" s="3823"/>
      <c r="AA77" s="3771"/>
      <c r="AB77" s="3823"/>
      <c r="AC77" s="3823"/>
      <c r="AD77" s="3771"/>
      <c r="AE77" s="3823"/>
      <c r="AF77" s="3823"/>
      <c r="AG77" s="3771"/>
      <c r="AH77" s="3823"/>
      <c r="AI77" s="3823"/>
      <c r="AJ77" s="3771"/>
      <c r="AK77" s="3823"/>
      <c r="AL77" s="3823"/>
      <c r="AM77" s="3820"/>
      <c r="AN77" s="3820"/>
      <c r="AO77" s="3820"/>
      <c r="AP77" s="3820"/>
      <c r="AQ77" s="3820"/>
      <c r="AR77" s="3820"/>
      <c r="AS77" s="3820"/>
      <c r="AT77" s="3820"/>
      <c r="AU77" s="3820"/>
      <c r="AV77" s="3820"/>
      <c r="AW77" s="3820"/>
      <c r="AX77" s="3823"/>
      <c r="AY77" s="3823"/>
      <c r="AZ77" s="3823"/>
      <c r="BA77" s="3823"/>
      <c r="BB77" s="3823"/>
      <c r="BC77" s="3823"/>
      <c r="BD77" s="3823"/>
      <c r="BE77" s="3820"/>
      <c r="BF77" s="3820"/>
      <c r="BG77" s="3820"/>
      <c r="BH77" s="3820"/>
      <c r="BI77" s="3820"/>
      <c r="BJ77" s="3823"/>
      <c r="BK77" s="3823"/>
      <c r="BL77" s="3823"/>
      <c r="BM77" s="3823"/>
      <c r="BN77" s="3823"/>
      <c r="BO77" s="3823"/>
      <c r="BP77" s="3823"/>
      <c r="BQ77" s="3820"/>
      <c r="BR77" s="3820"/>
      <c r="BS77" s="3820"/>
      <c r="BT77" s="3820"/>
      <c r="BU77" s="3820"/>
      <c r="BV77" s="3823"/>
      <c r="BW77" s="3823"/>
      <c r="BX77" s="3823"/>
      <c r="BY77" s="3823"/>
      <c r="BZ77" s="3823"/>
      <c r="CA77" s="3823"/>
      <c r="CB77" s="3823"/>
      <c r="CC77" s="3820"/>
      <c r="CD77" s="3820"/>
      <c r="CE77" s="3820"/>
      <c r="CF77" s="3820"/>
      <c r="CG77" s="3820"/>
      <c r="CH77" s="3823"/>
      <c r="CI77" s="3823"/>
      <c r="CJ77" s="3820"/>
      <c r="CK77" s="3820"/>
      <c r="CL77" s="3820"/>
      <c r="CM77" s="3820"/>
      <c r="CO77" s="3823"/>
      <c r="CP77" s="3825"/>
      <c r="CR77" s="3823"/>
      <c r="CS77" s="3824"/>
      <c r="CT77" s="3783"/>
      <c r="CU77" s="3783"/>
      <c r="CV77" s="3783"/>
      <c r="CW77" s="3783"/>
      <c r="CX77" s="3783"/>
      <c r="CY77" s="3783"/>
      <c r="CZ77" s="3783"/>
      <c r="DA77" s="3783"/>
      <c r="DB77" s="3783"/>
      <c r="DC77" s="3783"/>
    </row>
    <row r="78" spans="1:122" s="3421" customFormat="1" ht="4.5" customHeight="1" thickBot="1" x14ac:dyDescent="0.25">
      <c r="B78" s="3759"/>
      <c r="C78" s="3759"/>
      <c r="E78" s="3817"/>
      <c r="F78" s="3817"/>
      <c r="G78" s="3817"/>
      <c r="H78" s="3770"/>
      <c r="I78" s="3817"/>
      <c r="J78" s="3817"/>
      <c r="K78" s="3817"/>
      <c r="L78" s="3770"/>
      <c r="M78" s="3818"/>
      <c r="N78" s="3818"/>
      <c r="O78" s="3818"/>
      <c r="P78" s="3819"/>
      <c r="Q78" s="3783"/>
      <c r="R78" s="3820"/>
      <c r="S78" s="3820"/>
      <c r="T78" s="3820"/>
      <c r="U78" s="3770"/>
      <c r="V78" s="3820"/>
      <c r="W78" s="3820"/>
      <c r="X78" s="3770"/>
      <c r="Y78" s="3820"/>
      <c r="Z78" s="3820"/>
      <c r="AA78" s="3770"/>
      <c r="AB78" s="3820"/>
      <c r="AC78" s="3820"/>
      <c r="AD78" s="3770"/>
      <c r="AE78" s="3820"/>
      <c r="AF78" s="3820"/>
      <c r="AG78" s="3770"/>
      <c r="AH78" s="3820"/>
      <c r="AI78" s="3820"/>
      <c r="AJ78" s="3770"/>
      <c r="AK78" s="3820"/>
      <c r="AL78" s="3820"/>
      <c r="AM78" s="3820"/>
      <c r="AN78" s="3820"/>
      <c r="AO78" s="3820"/>
      <c r="AP78" s="3820"/>
      <c r="AQ78" s="3820"/>
      <c r="AR78" s="3820"/>
      <c r="AS78" s="3820"/>
      <c r="AT78" s="3820"/>
      <c r="AU78" s="3820"/>
      <c r="AV78" s="3820"/>
      <c r="AW78" s="3820"/>
      <c r="AX78" s="3826"/>
      <c r="AY78" s="3826"/>
      <c r="AZ78" s="3826"/>
      <c r="BA78" s="3826"/>
      <c r="BB78" s="3826"/>
      <c r="BC78" s="3826"/>
      <c r="BD78" s="3826"/>
      <c r="BE78" s="3820"/>
      <c r="BF78" s="3820"/>
      <c r="BG78" s="3820"/>
      <c r="BH78" s="3820"/>
      <c r="BI78" s="3820"/>
      <c r="BJ78" s="3826"/>
      <c r="BK78" s="3826"/>
      <c r="BL78" s="3826"/>
      <c r="BM78" s="3826"/>
      <c r="BN78" s="3826"/>
      <c r="BO78" s="3826"/>
      <c r="BP78" s="3826"/>
      <c r="BQ78" s="3820"/>
      <c r="BR78" s="3820"/>
      <c r="BS78" s="3820"/>
      <c r="BT78" s="3820"/>
      <c r="BU78" s="3820"/>
      <c r="BV78" s="3826"/>
      <c r="BW78" s="3826"/>
      <c r="BX78" s="3826"/>
      <c r="BY78" s="3826"/>
      <c r="BZ78" s="3826"/>
      <c r="CA78" s="3826"/>
      <c r="CB78" s="3826"/>
      <c r="CC78" s="3820"/>
      <c r="CD78" s="3820"/>
      <c r="CE78" s="3820"/>
      <c r="CF78" s="3820"/>
      <c r="CG78" s="3820"/>
      <c r="CH78" s="3821"/>
      <c r="CI78" s="3821"/>
      <c r="CJ78" s="3820"/>
      <c r="CK78" s="3820"/>
      <c r="CL78" s="3820"/>
      <c r="CM78" s="3820"/>
      <c r="CO78" s="3821"/>
      <c r="CP78" s="3827"/>
      <c r="CR78" s="3821"/>
      <c r="CS78" s="3828"/>
      <c r="CT78" s="3783"/>
      <c r="CU78" s="3783"/>
      <c r="CV78" s="3783"/>
      <c r="CW78" s="3783"/>
      <c r="CX78" s="3783"/>
      <c r="CY78" s="3783"/>
      <c r="CZ78" s="3783"/>
      <c r="DA78" s="3783"/>
      <c r="DB78" s="3783"/>
      <c r="DC78" s="3783"/>
    </row>
    <row r="79" spans="1:122" s="3802" customFormat="1" ht="21" thickBot="1" x14ac:dyDescent="0.25">
      <c r="B79" s="3829"/>
      <c r="C79" s="3801" t="s">
        <v>151</v>
      </c>
      <c r="D79" s="3830"/>
      <c r="E79" s="3831">
        <f>(E75+E62)*100/20</f>
        <v>3753.25</v>
      </c>
      <c r="F79" s="3831">
        <f>(F75+F62)*100/20</f>
        <v>6249.2499999999991</v>
      </c>
      <c r="G79" s="3831"/>
      <c r="H79" s="3790"/>
      <c r="I79" s="3831">
        <f>(I75+I62)*100/20</f>
        <v>125.10833333333331</v>
      </c>
      <c r="J79" s="3831">
        <f>(J75+J62)*100/20</f>
        <v>208.30833333333334</v>
      </c>
      <c r="K79" s="3831"/>
      <c r="L79" s="3790"/>
      <c r="M79" s="3832">
        <f>E79/E94</f>
        <v>0.17243636864835063</v>
      </c>
      <c r="N79" s="3832">
        <f>F79/F94</f>
        <v>0.25757357184073859</v>
      </c>
      <c r="O79" s="3832"/>
      <c r="P79" s="3833"/>
      <c r="Q79" s="3799"/>
      <c r="R79" s="3834"/>
      <c r="S79" s="3834"/>
      <c r="T79" s="3834"/>
      <c r="U79" s="3785"/>
      <c r="V79" s="3834"/>
      <c r="W79" s="3834"/>
      <c r="X79" s="3785"/>
      <c r="Y79" s="3834"/>
      <c r="Z79" s="3834"/>
      <c r="AA79" s="3785"/>
      <c r="AB79" s="3834"/>
      <c r="AC79" s="3834"/>
      <c r="AD79" s="3785"/>
      <c r="AE79" s="3834"/>
      <c r="AF79" s="3834"/>
      <c r="AG79" s="3785"/>
      <c r="AH79" s="3834"/>
      <c r="AI79" s="3834"/>
      <c r="AJ79" s="3785"/>
      <c r="AK79" s="3834"/>
      <c r="AL79" s="3834"/>
      <c r="AM79" s="3834"/>
      <c r="AN79" s="3834"/>
      <c r="AO79" s="3834"/>
      <c r="AP79" s="3834"/>
      <c r="AQ79" s="3834"/>
      <c r="AR79" s="3834"/>
      <c r="AS79" s="3834"/>
      <c r="AT79" s="3834"/>
      <c r="AU79" s="3834"/>
      <c r="AV79" s="3834"/>
      <c r="AW79" s="3834"/>
      <c r="AX79" s="3835"/>
      <c r="AY79" s="3835"/>
      <c r="AZ79" s="3835"/>
      <c r="BA79" s="3835"/>
      <c r="BB79" s="3835"/>
      <c r="BC79" s="3835"/>
      <c r="BD79" s="3835"/>
      <c r="BE79" s="3836"/>
      <c r="BF79" s="3837"/>
      <c r="BG79" s="3838"/>
      <c r="BH79" s="3839"/>
      <c r="BI79" s="3834"/>
      <c r="BJ79" s="3835"/>
      <c r="BK79" s="3835"/>
      <c r="BL79" s="3835"/>
      <c r="BM79" s="3835"/>
      <c r="BN79" s="3835"/>
      <c r="BO79" s="3835"/>
      <c r="BP79" s="3835"/>
      <c r="BQ79" s="3836"/>
      <c r="BR79" s="3837"/>
      <c r="BS79" s="3838"/>
      <c r="BT79" s="3839"/>
      <c r="BU79" s="3834"/>
      <c r="BV79" s="3835"/>
      <c r="BW79" s="3835"/>
      <c r="BX79" s="3835"/>
      <c r="BY79" s="3835"/>
      <c r="BZ79" s="3835"/>
      <c r="CA79" s="3835"/>
      <c r="CB79" s="3835"/>
      <c r="CC79" s="3836"/>
      <c r="CD79" s="3837">
        <f t="shared" ref="CD79:CD80" si="151">SUM(BV79:CB79)</f>
        <v>0</v>
      </c>
      <c r="CE79" s="3838"/>
      <c r="CF79" s="3839"/>
      <c r="CG79" s="3834"/>
      <c r="CH79" s="3840"/>
      <c r="CI79" s="3840"/>
      <c r="CJ79" s="3834"/>
      <c r="CK79" s="3837">
        <f>SUM(CH79:CI79)</f>
        <v>0</v>
      </c>
      <c r="CL79" s="3838"/>
      <c r="CM79" s="3839"/>
      <c r="CO79" s="3840"/>
      <c r="CP79" s="3841"/>
      <c r="CR79" s="3840"/>
      <c r="CS79" s="3842"/>
      <c r="CT79" s="3799"/>
      <c r="CU79" s="3799"/>
      <c r="CV79" s="3799"/>
      <c r="CW79" s="3799"/>
      <c r="CX79" s="3799"/>
      <c r="CY79" s="3799"/>
      <c r="CZ79" s="3799"/>
      <c r="DA79" s="3799"/>
      <c r="DB79" s="3799"/>
      <c r="DC79" s="3799"/>
    </row>
    <row r="80" spans="1:122" s="3761" customFormat="1" ht="21" thickBot="1" x14ac:dyDescent="0.25">
      <c r="B80" s="3762"/>
      <c r="C80" s="3349" t="s">
        <v>149</v>
      </c>
      <c r="D80" s="3763"/>
      <c r="E80" s="3764"/>
      <c r="F80" s="3764"/>
      <c r="G80" s="3764"/>
      <c r="H80" s="3765"/>
      <c r="I80" s="3764"/>
      <c r="J80" s="3764"/>
      <c r="K80" s="3764"/>
      <c r="L80" s="3766"/>
      <c r="M80" s="3843"/>
      <c r="N80" s="3843"/>
      <c r="O80" s="3843"/>
      <c r="P80" s="3844"/>
      <c r="Q80" s="3845"/>
      <c r="R80" s="3764">
        <f>IF(R77&gt;$I$77,R77,IF(R77&lt;$I$77,(IF(R77&lt;0,-24.18,(R64+R62)-$I$77))))</f>
        <v>18.269166666666663</v>
      </c>
      <c r="S80" s="3764">
        <f>IF(S77&gt;$J$77,S77,IF(S77&lt;$J$77,(IF(S77&lt;0,-42.503,(S64+S62)-$J$77))))</f>
        <v>1.6291666666666558</v>
      </c>
      <c r="T80" s="3764"/>
      <c r="U80" s="3771"/>
      <c r="V80" s="3764"/>
      <c r="W80" s="3764"/>
      <c r="X80" s="3771"/>
      <c r="Y80" s="3764"/>
      <c r="Z80" s="3764"/>
      <c r="AA80" s="3771"/>
      <c r="AB80" s="3764"/>
      <c r="AC80" s="3764"/>
      <c r="AD80" s="3771"/>
      <c r="AE80" s="3764"/>
      <c r="AF80" s="3764"/>
      <c r="AG80" s="3771"/>
      <c r="AH80" s="3764"/>
      <c r="AI80" s="3764"/>
      <c r="AJ80" s="3771"/>
      <c r="AK80" s="3764"/>
      <c r="AL80" s="3764"/>
      <c r="AM80" s="3770"/>
      <c r="AN80" s="3772">
        <f>SUM(R80:AL80)</f>
        <v>19.898333333333319</v>
      </c>
      <c r="AO80" s="3846"/>
      <c r="AP80" s="3847"/>
      <c r="AQ80" s="3772"/>
      <c r="AR80" s="3846"/>
      <c r="AS80" s="3847"/>
      <c r="AT80" s="3772"/>
      <c r="AU80" s="3846"/>
      <c r="AV80" s="3847"/>
      <c r="AW80" s="3770"/>
      <c r="AX80" s="3775"/>
      <c r="AY80" s="3779"/>
      <c r="AZ80" s="3779"/>
      <c r="BA80" s="3779"/>
      <c r="BB80" s="3779"/>
      <c r="BC80" s="3779"/>
      <c r="BD80" s="3779"/>
      <c r="BE80" s="3770"/>
      <c r="BF80" s="3775">
        <f>SUM(AX80:BD80)</f>
        <v>0</v>
      </c>
      <c r="BG80" s="3776"/>
      <c r="BH80" s="3777"/>
      <c r="BI80" s="3765"/>
      <c r="BJ80" s="3775"/>
      <c r="BK80" s="3779"/>
      <c r="BL80" s="3779"/>
      <c r="BM80" s="3779"/>
      <c r="BN80" s="3779"/>
      <c r="BO80" s="3779"/>
      <c r="BP80" s="3779"/>
      <c r="BQ80" s="3848"/>
      <c r="BR80" s="3775">
        <f t="shared" ref="BR80" si="152">SUM(BJ80:BP80)</f>
        <v>0</v>
      </c>
      <c r="BS80" s="3776"/>
      <c r="BT80" s="3777"/>
      <c r="BU80" s="3770"/>
      <c r="BV80" s="3775"/>
      <c r="BW80" s="3779"/>
      <c r="BX80" s="3779"/>
      <c r="BY80" s="3779"/>
      <c r="BZ80" s="3779"/>
      <c r="CA80" s="3779"/>
      <c r="CB80" s="3777"/>
      <c r="CC80" s="3770"/>
      <c r="CD80" s="3775">
        <f t="shared" si="151"/>
        <v>0</v>
      </c>
      <c r="CE80" s="3776"/>
      <c r="CF80" s="3777"/>
      <c r="CH80" s="3775"/>
      <c r="CI80" s="3777"/>
      <c r="CJ80" s="3849"/>
      <c r="CK80" s="3850">
        <f>SUM(CH80:CI80)</f>
        <v>0</v>
      </c>
      <c r="CL80" s="3851"/>
      <c r="CM80" s="3852"/>
      <c r="CN80" s="3820"/>
      <c r="CO80" s="3850">
        <f>SUM(R80:AL80)+SUM(AX80:BD80)+SUM(BJ80:BP80)+SUM(BV80:CB80)+SUM(CI80:CI80)</f>
        <v>19.898333333333319</v>
      </c>
      <c r="CP80" s="3781"/>
      <c r="CT80" s="3421"/>
    </row>
    <row r="81" spans="1:108" s="1756" customFormat="1" ht="17.25" thickBot="1" x14ac:dyDescent="0.25">
      <c r="B81" s="1817"/>
      <c r="C81" s="1817"/>
      <c r="D81" s="1817"/>
      <c r="E81" s="3398"/>
      <c r="F81" s="3398"/>
      <c r="G81" s="3901"/>
      <c r="H81" s="3398"/>
      <c r="I81" s="3398"/>
      <c r="J81" s="3398"/>
      <c r="K81" s="3901"/>
      <c r="L81" s="3398"/>
      <c r="M81" s="1818"/>
      <c r="N81" s="1818"/>
      <c r="O81" s="1818"/>
      <c r="P81" s="2216"/>
      <c r="Q81" s="2055"/>
      <c r="R81" s="3398"/>
      <c r="S81" s="3398"/>
      <c r="T81" s="3901"/>
      <c r="U81" s="3398"/>
      <c r="V81" s="3398"/>
      <c r="W81" s="3398"/>
      <c r="X81" s="3398"/>
      <c r="Y81" s="3398"/>
      <c r="Z81" s="3398"/>
      <c r="AA81" s="3398"/>
      <c r="AB81" s="3398"/>
      <c r="AC81" s="3398"/>
      <c r="AD81" s="3398"/>
      <c r="AE81" s="3398"/>
      <c r="AF81" s="3398"/>
      <c r="AG81" s="3398"/>
      <c r="AH81" s="3398"/>
      <c r="AI81" s="3398"/>
      <c r="AJ81" s="3398"/>
      <c r="AK81" s="3398"/>
      <c r="AL81" s="3398"/>
      <c r="AM81" s="3398"/>
      <c r="AN81" s="3398"/>
      <c r="AO81" s="3398"/>
      <c r="AP81" s="3398"/>
      <c r="AQ81" s="3398"/>
      <c r="AR81" s="3398"/>
      <c r="AS81" s="3398"/>
      <c r="AT81" s="3901"/>
      <c r="AU81" s="3901"/>
      <c r="AV81" s="3901"/>
      <c r="AW81" s="1766"/>
      <c r="AX81" s="3398"/>
      <c r="AY81" s="3398"/>
      <c r="AZ81" s="3398"/>
      <c r="BA81" s="3398"/>
      <c r="BB81" s="3398"/>
      <c r="BC81" s="3398"/>
      <c r="BD81" s="3398"/>
      <c r="BE81" s="1766"/>
      <c r="BF81" s="3398"/>
      <c r="BG81" s="3398"/>
      <c r="BH81" s="3398"/>
      <c r="BI81" s="1766"/>
      <c r="BJ81" s="3398"/>
      <c r="BK81" s="3398"/>
      <c r="BL81" s="3398"/>
      <c r="BM81" s="3398"/>
      <c r="BN81" s="3398"/>
      <c r="BO81" s="3398"/>
      <c r="BP81" s="3398"/>
      <c r="BQ81" s="3398"/>
      <c r="BR81" s="3398"/>
      <c r="BS81" s="3398"/>
      <c r="BT81" s="3398"/>
      <c r="BU81" s="3398"/>
      <c r="BV81" s="3398"/>
      <c r="BW81" s="3398"/>
      <c r="BX81" s="3398"/>
      <c r="BY81" s="3398"/>
      <c r="BZ81" s="3398"/>
      <c r="CA81" s="3398"/>
      <c r="CB81" s="3398"/>
      <c r="CC81" s="3398"/>
      <c r="CD81" s="3398"/>
      <c r="CE81" s="3398"/>
      <c r="CF81" s="3398"/>
      <c r="CG81" s="3398"/>
      <c r="CH81" s="3398"/>
      <c r="CI81" s="3398"/>
      <c r="CJ81" s="3398"/>
      <c r="CK81" s="3398"/>
      <c r="CL81" s="3398"/>
      <c r="CM81" s="3398"/>
      <c r="CN81" s="1766"/>
      <c r="CO81" s="3398"/>
      <c r="CP81" s="1830"/>
      <c r="CQ81" s="3380"/>
      <c r="CR81" s="3380"/>
      <c r="CS81" s="3380"/>
      <c r="CT81" s="1817"/>
    </row>
    <row r="82" spans="1:108" s="1947" customFormat="1" x14ac:dyDescent="0.2">
      <c r="A82" s="2217"/>
      <c r="B82" s="2218">
        <v>56</v>
      </c>
      <c r="C82" s="2218" t="s">
        <v>74</v>
      </c>
      <c r="D82" s="2219"/>
      <c r="E82" s="3408">
        <f>1000*E12</f>
        <v>500</v>
      </c>
      <c r="F82" s="3408">
        <f>1000*F12</f>
        <v>500</v>
      </c>
      <c r="G82" s="3902"/>
      <c r="H82" s="3323"/>
      <c r="I82" s="3408">
        <f>E82/30</f>
        <v>16.666666666666668</v>
      </c>
      <c r="J82" s="3408">
        <f>F82/30</f>
        <v>16.666666666666668</v>
      </c>
      <c r="K82" s="3902"/>
      <c r="L82" s="3323"/>
      <c r="M82" s="2008">
        <f>E82/E96</f>
        <v>0.11485803546816135</v>
      </c>
      <c r="N82" s="2008">
        <f>F82/F96</f>
        <v>0.10304179375154561</v>
      </c>
      <c r="O82" s="2008"/>
      <c r="P82" s="1949"/>
      <c r="Q82" s="1905"/>
      <c r="R82" s="3408">
        <f>$E$82/30</f>
        <v>16.666666666666668</v>
      </c>
      <c r="S82" s="3408">
        <f>$F$82/30</f>
        <v>16.666666666666668</v>
      </c>
      <c r="T82" s="3902"/>
      <c r="U82" s="3323"/>
      <c r="V82" s="3408"/>
      <c r="W82" s="3408"/>
      <c r="X82" s="3323"/>
      <c r="Y82" s="3408"/>
      <c r="Z82" s="3408"/>
      <c r="AA82" s="3323"/>
      <c r="AB82" s="3408"/>
      <c r="AC82" s="3408"/>
      <c r="AD82" s="3323"/>
      <c r="AE82" s="3408"/>
      <c r="AF82" s="3408"/>
      <c r="AG82" s="3323"/>
      <c r="AH82" s="3408"/>
      <c r="AI82" s="3408"/>
      <c r="AJ82" s="3323"/>
      <c r="AK82" s="3408"/>
      <c r="AL82" s="3408"/>
      <c r="AM82" s="1951"/>
      <c r="AN82" s="3401">
        <f t="shared" si="101"/>
        <v>33.333333333333336</v>
      </c>
      <c r="AO82" s="3402"/>
      <c r="AP82" s="3403"/>
      <c r="AQ82" s="3401"/>
      <c r="AR82" s="3402"/>
      <c r="AS82" s="3403"/>
      <c r="AT82" s="3401"/>
      <c r="AU82" s="3991"/>
      <c r="AV82" s="3992"/>
      <c r="AW82" s="1955"/>
      <c r="AX82" s="2223"/>
      <c r="AY82" s="2223"/>
      <c r="AZ82" s="2223"/>
      <c r="BA82" s="2223"/>
      <c r="BB82" s="2223"/>
      <c r="BC82" s="2223"/>
      <c r="BD82" s="2223"/>
      <c r="BE82" s="1955"/>
      <c r="BF82" s="2220">
        <f t="shared" ref="BF82:BF83" si="153">SUM(AX82:BD82)</f>
        <v>0</v>
      </c>
      <c r="BG82" s="2221"/>
      <c r="BH82" s="2222"/>
      <c r="BI82" s="1955"/>
      <c r="BJ82" s="2223"/>
      <c r="BK82" s="2223"/>
      <c r="BL82" s="2223"/>
      <c r="BM82" s="2223"/>
      <c r="BN82" s="2223"/>
      <c r="BO82" s="2223"/>
      <c r="BP82" s="2223"/>
      <c r="BQ82" s="2299"/>
      <c r="BR82" s="2220">
        <f t="shared" ref="BR82:BR85" si="154">SUM(BJ82:BP82)</f>
        <v>0</v>
      </c>
      <c r="BS82" s="2221"/>
      <c r="BT82" s="2222"/>
      <c r="BU82" s="2299"/>
      <c r="BV82" s="2223"/>
      <c r="BW82" s="2223"/>
      <c r="BX82" s="2223"/>
      <c r="BY82" s="2223"/>
      <c r="BZ82" s="2223"/>
      <c r="CA82" s="2223"/>
      <c r="CB82" s="2223"/>
      <c r="CC82" s="2299"/>
      <c r="CD82" s="2220">
        <f t="shared" ref="CD82:CD83" si="155">SUM(BV82:CB82)</f>
        <v>0</v>
      </c>
      <c r="CE82" s="2221"/>
      <c r="CF82" s="2222"/>
      <c r="CG82" s="1951"/>
      <c r="CH82" s="3408"/>
      <c r="CI82" s="3408"/>
      <c r="CJ82" s="1951"/>
      <c r="CK82" s="2220">
        <f>SUM(CH82:CI82)</f>
        <v>0</v>
      </c>
      <c r="CL82" s="2221"/>
      <c r="CM82" s="2222"/>
      <c r="CO82" s="3408">
        <f>SUM(R82:AL82)+SUM(AX82:BD82)+SUM(BJ82:BP82)+SUM(BV82:CB82)+SUM(CI82:CI82)</f>
        <v>33.333333333333336</v>
      </c>
      <c r="CP82" s="2008">
        <f>CO82/E82</f>
        <v>6.6666666666666666E-2</v>
      </c>
      <c r="CQ82" s="1959"/>
      <c r="CR82" s="2224"/>
      <c r="CS82" s="2225"/>
      <c r="CT82" s="2339"/>
      <c r="CU82" s="1950"/>
      <c r="CV82" s="1950"/>
      <c r="CW82" s="1950"/>
      <c r="CX82" s="1950"/>
      <c r="CY82" s="1950"/>
      <c r="CZ82" s="1950"/>
      <c r="DA82" s="1950"/>
      <c r="DB82" s="1950"/>
      <c r="DC82" s="1950"/>
    </row>
    <row r="83" spans="1:108" s="1860" customFormat="1" ht="17.25" thickBot="1" x14ac:dyDescent="0.25">
      <c r="B83" s="1739"/>
      <c r="C83" s="1739" t="s">
        <v>153</v>
      </c>
      <c r="D83" s="2205"/>
      <c r="E83" s="1732">
        <f>E82*100/20</f>
        <v>2500</v>
      </c>
      <c r="F83" s="1732">
        <f>F82*100/20</f>
        <v>2500</v>
      </c>
      <c r="G83" s="1732"/>
      <c r="H83" s="2287"/>
      <c r="I83" s="1732">
        <f>I82*100/20</f>
        <v>83.333333333333343</v>
      </c>
      <c r="J83" s="1732">
        <f>J82*100/20</f>
        <v>83.333333333333343</v>
      </c>
      <c r="K83" s="1732"/>
      <c r="L83" s="2287"/>
      <c r="M83" s="1882">
        <f>E83/E94</f>
        <v>0.11485803546816135</v>
      </c>
      <c r="N83" s="1882">
        <f>F83/F94</f>
        <v>0.10304179375154562</v>
      </c>
      <c r="O83" s="1882"/>
      <c r="P83" s="1760"/>
      <c r="Q83" s="3384"/>
      <c r="R83" s="1732">
        <f t="shared" ref="R83" si="156">R82*100/20</f>
        <v>83.333333333333343</v>
      </c>
      <c r="S83" s="1732">
        <f t="shared" ref="S83" si="157">S82*100/20</f>
        <v>83.333333333333343</v>
      </c>
      <c r="T83" s="1732"/>
      <c r="U83" s="2287"/>
      <c r="V83" s="1732"/>
      <c r="W83" s="1732"/>
      <c r="X83" s="2287"/>
      <c r="Y83" s="1732"/>
      <c r="Z83" s="1732"/>
      <c r="AA83" s="2287"/>
      <c r="AB83" s="1732"/>
      <c r="AC83" s="1732"/>
      <c r="AD83" s="2287"/>
      <c r="AE83" s="1732"/>
      <c r="AF83" s="1732"/>
      <c r="AG83" s="2287"/>
      <c r="AH83" s="1732"/>
      <c r="AI83" s="1732"/>
      <c r="AJ83" s="2287"/>
      <c r="AK83" s="1732"/>
      <c r="AL83" s="1732"/>
      <c r="AM83" s="3386"/>
      <c r="AN83" s="3404">
        <f t="shared" si="101"/>
        <v>166.66666666666669</v>
      </c>
      <c r="AO83" s="3405"/>
      <c r="AP83" s="3406"/>
      <c r="AQ83" s="3404"/>
      <c r="AR83" s="3405"/>
      <c r="AS83" s="3406"/>
      <c r="AT83" s="3404"/>
      <c r="AU83" s="3416"/>
      <c r="AV83" s="3417"/>
      <c r="AW83" s="1881"/>
      <c r="AX83" s="2210"/>
      <c r="AY83" s="2210"/>
      <c r="AZ83" s="2210"/>
      <c r="BA83" s="2210"/>
      <c r="BB83" s="2210"/>
      <c r="BC83" s="2210"/>
      <c r="BD83" s="2210"/>
      <c r="BE83" s="1881"/>
      <c r="BF83" s="3393">
        <f t="shared" si="153"/>
        <v>0</v>
      </c>
      <c r="BG83" s="2227"/>
      <c r="BH83" s="2228"/>
      <c r="BI83" s="1881"/>
      <c r="BJ83" s="2210"/>
      <c r="BK83" s="2210"/>
      <c r="BL83" s="2210"/>
      <c r="BM83" s="2210"/>
      <c r="BN83" s="2210"/>
      <c r="BO83" s="2210"/>
      <c r="BP83" s="2210"/>
      <c r="BQ83" s="2293"/>
      <c r="BR83" s="3393">
        <f t="shared" si="154"/>
        <v>0</v>
      </c>
      <c r="BS83" s="2227"/>
      <c r="BT83" s="2228"/>
      <c r="BU83" s="2293"/>
      <c r="BV83" s="2210"/>
      <c r="BW83" s="2210"/>
      <c r="BX83" s="2210"/>
      <c r="BY83" s="2210"/>
      <c r="BZ83" s="2210"/>
      <c r="CA83" s="2210"/>
      <c r="CB83" s="2210"/>
      <c r="CC83" s="2293"/>
      <c r="CD83" s="3393">
        <f t="shared" si="155"/>
        <v>0</v>
      </c>
      <c r="CE83" s="2227"/>
      <c r="CF83" s="2228"/>
      <c r="CG83" s="3386"/>
      <c r="CH83" s="1732"/>
      <c r="CI83" s="1732"/>
      <c r="CJ83" s="3386"/>
      <c r="CK83" s="3393">
        <f>SUM(CH83:CI83)</f>
        <v>0</v>
      </c>
      <c r="CL83" s="2227"/>
      <c r="CM83" s="2228"/>
      <c r="CN83" s="1726"/>
      <c r="CO83" s="1732">
        <f>SUM(R83:AL83)+SUM(AX83:BD83)+SUM(BJ83:BP83)+SUM(BV83:CB83)+SUM(CI83:CI83)</f>
        <v>166.66666666666669</v>
      </c>
      <c r="CP83" s="1882">
        <f>CO83/E83</f>
        <v>6.666666666666668E-2</v>
      </c>
      <c r="CQ83" s="1740"/>
      <c r="CR83" s="2229"/>
      <c r="CS83" s="2230"/>
      <c r="CT83" s="2059"/>
      <c r="CU83" s="1877"/>
      <c r="CV83" s="1877"/>
      <c r="CW83" s="1877"/>
      <c r="CX83" s="1877"/>
      <c r="CY83" s="1877"/>
      <c r="CZ83" s="1877"/>
      <c r="DA83" s="1877"/>
      <c r="DB83" s="1877"/>
      <c r="DC83" s="1877"/>
      <c r="DD83" s="1726"/>
    </row>
    <row r="84" spans="1:108" s="1860" customFormat="1" ht="4.5" customHeight="1" thickBot="1" x14ac:dyDescent="0.25">
      <c r="B84" s="2231"/>
      <c r="C84" s="2231"/>
      <c r="D84" s="1861"/>
      <c r="E84" s="2232"/>
      <c r="F84" s="2232"/>
      <c r="G84" s="2232"/>
      <c r="H84" s="3398"/>
      <c r="I84" s="2232"/>
      <c r="J84" s="2232"/>
      <c r="K84" s="2232"/>
      <c r="L84" s="3398"/>
      <c r="M84" s="2233"/>
      <c r="N84" s="2233"/>
      <c r="O84" s="2233"/>
      <c r="P84" s="1760"/>
      <c r="Q84" s="3384"/>
      <c r="R84" s="2232"/>
      <c r="S84" s="2232"/>
      <c r="T84" s="2232"/>
      <c r="U84" s="3398"/>
      <c r="V84" s="2232"/>
      <c r="W84" s="2232"/>
      <c r="X84" s="3398"/>
      <c r="Y84" s="2232"/>
      <c r="Z84" s="2232"/>
      <c r="AA84" s="3398"/>
      <c r="AB84" s="2232"/>
      <c r="AC84" s="2232"/>
      <c r="AD84" s="3398"/>
      <c r="AE84" s="2232"/>
      <c r="AF84" s="2232"/>
      <c r="AG84" s="3398"/>
      <c r="AH84" s="2232"/>
      <c r="AI84" s="2232"/>
      <c r="AJ84" s="3398"/>
      <c r="AK84" s="2232"/>
      <c r="AL84" s="2232"/>
      <c r="AM84" s="3386"/>
      <c r="AN84" s="3386"/>
      <c r="AO84" s="3386"/>
      <c r="AP84" s="3386"/>
      <c r="AQ84" s="3386"/>
      <c r="AR84" s="3386"/>
      <c r="AS84" s="3386"/>
      <c r="AT84" s="3900"/>
      <c r="AU84" s="3900"/>
      <c r="AV84" s="3900"/>
      <c r="AW84" s="1862"/>
      <c r="AX84" s="2232"/>
      <c r="AY84" s="2232"/>
      <c r="AZ84" s="2232"/>
      <c r="BA84" s="2232"/>
      <c r="BB84" s="2232"/>
      <c r="BC84" s="2232"/>
      <c r="BD84" s="2232"/>
      <c r="BE84" s="1862"/>
      <c r="BF84" s="3386"/>
      <c r="BG84" s="3386"/>
      <c r="BH84" s="3386"/>
      <c r="BI84" s="1862"/>
      <c r="BJ84" s="2232"/>
      <c r="BK84" s="2232"/>
      <c r="BL84" s="2232"/>
      <c r="BM84" s="2232"/>
      <c r="BN84" s="2232"/>
      <c r="BO84" s="2232"/>
      <c r="BP84" s="2232"/>
      <c r="BQ84" s="3386"/>
      <c r="BR84" s="3386"/>
      <c r="BS84" s="3386"/>
      <c r="BT84" s="3386"/>
      <c r="BU84" s="3386"/>
      <c r="BV84" s="2232"/>
      <c r="BW84" s="2232"/>
      <c r="BX84" s="2232"/>
      <c r="BY84" s="2232"/>
      <c r="BZ84" s="2232"/>
      <c r="CA84" s="2232"/>
      <c r="CB84" s="2232"/>
      <c r="CC84" s="3386"/>
      <c r="CD84" s="3386"/>
      <c r="CE84" s="3386"/>
      <c r="CF84" s="3386"/>
      <c r="CG84" s="3386"/>
      <c r="CH84" s="2232"/>
      <c r="CI84" s="2232"/>
      <c r="CJ84" s="3386"/>
      <c r="CK84" s="3386"/>
      <c r="CL84" s="3386"/>
      <c r="CM84" s="3386"/>
      <c r="CN84" s="1726"/>
      <c r="CO84" s="2232"/>
      <c r="CP84" s="2233"/>
      <c r="CQ84" s="1740"/>
      <c r="CR84" s="3386"/>
      <c r="CS84" s="2059"/>
      <c r="CT84" s="2059"/>
      <c r="CU84" s="1877"/>
      <c r="CV84" s="1877"/>
      <c r="CW84" s="1877"/>
      <c r="CX84" s="1877"/>
      <c r="CY84" s="1877"/>
      <c r="CZ84" s="1877"/>
      <c r="DA84" s="1877"/>
      <c r="DB84" s="1877"/>
      <c r="DC84" s="1877"/>
      <c r="DD84" s="1726"/>
    </row>
    <row r="85" spans="1:108" s="3802" customFormat="1" ht="21" thickBot="1" x14ac:dyDescent="0.25">
      <c r="B85" s="3803"/>
      <c r="C85" s="3803" t="s">
        <v>154</v>
      </c>
      <c r="D85" s="3784"/>
      <c r="E85" s="3788"/>
      <c r="F85" s="3788"/>
      <c r="G85" s="3788"/>
      <c r="H85" s="3789"/>
      <c r="I85" s="3788"/>
      <c r="J85" s="3788"/>
      <c r="K85" s="3788"/>
      <c r="L85" s="3804"/>
      <c r="M85" s="3863"/>
      <c r="N85" s="3863"/>
      <c r="O85" s="3863"/>
      <c r="P85" s="3864"/>
      <c r="Q85" s="3854"/>
      <c r="R85" s="3788">
        <f>IF(R80&gt;$I$82,R80-R82,IF(R80&lt;$I$82,(IF(R80&lt;0,-12.057,R80-R82))))</f>
        <v>1.6024999999999956</v>
      </c>
      <c r="S85" s="3788">
        <f>IF(S80&gt;$J$82,S80-S82,IF(S80&lt;$J$82,(IF(S80&lt;0,-19.167,S80-S82))))</f>
        <v>-15.037500000000012</v>
      </c>
      <c r="T85" s="3788"/>
      <c r="U85" s="3789"/>
      <c r="V85" s="3788"/>
      <c r="W85" s="3788"/>
      <c r="X85" s="3790"/>
      <c r="Y85" s="3788"/>
      <c r="Z85" s="3788"/>
      <c r="AA85" s="3790"/>
      <c r="AB85" s="3788"/>
      <c r="AC85" s="3788"/>
      <c r="AD85" s="3790"/>
      <c r="AE85" s="3788"/>
      <c r="AF85" s="3788"/>
      <c r="AG85" s="3790"/>
      <c r="AH85" s="3788"/>
      <c r="AI85" s="3788"/>
      <c r="AJ85" s="3790"/>
      <c r="AK85" s="3788"/>
      <c r="AL85" s="3788"/>
      <c r="AM85" s="3785"/>
      <c r="AN85" s="3806">
        <f>SUM(R85:AL85)</f>
        <v>-13.435000000000016</v>
      </c>
      <c r="AO85" s="3807"/>
      <c r="AP85" s="3865"/>
      <c r="AQ85" s="3806"/>
      <c r="AR85" s="3807"/>
      <c r="AS85" s="3865"/>
      <c r="AT85" s="3806"/>
      <c r="AU85" s="3980"/>
      <c r="AV85" s="3865"/>
      <c r="AW85" s="3785"/>
      <c r="AX85" s="3791"/>
      <c r="AY85" s="3794"/>
      <c r="AZ85" s="3794"/>
      <c r="BA85" s="3794"/>
      <c r="BB85" s="3794"/>
      <c r="BC85" s="3794"/>
      <c r="BD85" s="3794"/>
      <c r="BE85" s="3785"/>
      <c r="BF85" s="3791">
        <f>SUM(AX85:BD85)</f>
        <v>0</v>
      </c>
      <c r="BG85" s="3792"/>
      <c r="BH85" s="3793"/>
      <c r="BI85" s="3789"/>
      <c r="BJ85" s="3791"/>
      <c r="BK85" s="3794"/>
      <c r="BL85" s="3794"/>
      <c r="BM85" s="3794"/>
      <c r="BN85" s="3794"/>
      <c r="BO85" s="3794"/>
      <c r="BP85" s="3794"/>
      <c r="BQ85" s="3858"/>
      <c r="BR85" s="3791">
        <f t="shared" si="154"/>
        <v>0</v>
      </c>
      <c r="BS85" s="3792"/>
      <c r="BT85" s="3793"/>
      <c r="BU85" s="3785"/>
      <c r="BV85" s="3791"/>
      <c r="BW85" s="3794"/>
      <c r="BX85" s="3794"/>
      <c r="BY85" s="3794"/>
      <c r="BZ85" s="3794"/>
      <c r="CA85" s="3794"/>
      <c r="CB85" s="3793"/>
      <c r="CC85" s="3785"/>
      <c r="CD85" s="3791">
        <f t="shared" ref="CD85" si="158">SUM(BV85:CB85)</f>
        <v>0</v>
      </c>
      <c r="CE85" s="3792"/>
      <c r="CF85" s="3793"/>
      <c r="CH85" s="3791"/>
      <c r="CI85" s="3793"/>
      <c r="CJ85" s="3859"/>
      <c r="CK85" s="3860">
        <f>SUM(CH85:CI85)</f>
        <v>0</v>
      </c>
      <c r="CL85" s="3866"/>
      <c r="CM85" s="3867"/>
      <c r="CN85" s="3834"/>
      <c r="CO85" s="3860">
        <f>SUM(R85:AL85)+SUM(AX85:BD85)+SUM(BJ85:BP85)+SUM(BV85:CB85)+SUM(CI85:CI85)</f>
        <v>-13.435000000000016</v>
      </c>
      <c r="CP85" s="3862">
        <f>CO85/E82</f>
        <v>-2.6870000000000033E-2</v>
      </c>
      <c r="CT85" s="3816"/>
    </row>
    <row r="86" spans="1:108" s="1756" customFormat="1" ht="17.25" thickBot="1" x14ac:dyDescent="0.25">
      <c r="B86" s="1817"/>
      <c r="C86" s="1817"/>
      <c r="D86" s="1817"/>
      <c r="E86" s="3398"/>
      <c r="F86" s="3398"/>
      <c r="G86" s="3901"/>
      <c r="H86" s="3398"/>
      <c r="I86" s="3398"/>
      <c r="J86" s="3398"/>
      <c r="K86" s="3901"/>
      <c r="L86" s="3398"/>
      <c r="M86" s="1818"/>
      <c r="N86" s="1818"/>
      <c r="O86" s="1818"/>
      <c r="P86" s="2216"/>
      <c r="Q86" s="2055"/>
      <c r="R86" s="3398"/>
      <c r="S86" s="3398"/>
      <c r="T86" s="3901"/>
      <c r="U86" s="3398"/>
      <c r="V86" s="3398"/>
      <c r="W86" s="3398"/>
      <c r="X86" s="3398"/>
      <c r="Y86" s="3398"/>
      <c r="Z86" s="3398"/>
      <c r="AA86" s="3398"/>
      <c r="AB86" s="3398"/>
      <c r="AC86" s="3398"/>
      <c r="AD86" s="3398"/>
      <c r="AE86" s="3398"/>
      <c r="AF86" s="3398"/>
      <c r="AG86" s="3398"/>
      <c r="AH86" s="3398"/>
      <c r="AI86" s="3398"/>
      <c r="AJ86" s="3398"/>
      <c r="AK86" s="3398"/>
      <c r="AL86" s="3398"/>
      <c r="AM86" s="3398"/>
      <c r="AN86" s="3398"/>
      <c r="AO86" s="3398"/>
      <c r="AP86" s="3398"/>
      <c r="AQ86" s="3398"/>
      <c r="AR86" s="3398"/>
      <c r="AS86" s="3398"/>
      <c r="AT86" s="3901"/>
      <c r="AU86" s="3901"/>
      <c r="AV86" s="3901"/>
      <c r="AW86" s="1766"/>
      <c r="AX86" s="3398"/>
      <c r="AY86" s="3398"/>
      <c r="AZ86" s="3398"/>
      <c r="BA86" s="3398"/>
      <c r="BB86" s="3398"/>
      <c r="BC86" s="3398"/>
      <c r="BD86" s="3398"/>
      <c r="BE86" s="1766"/>
      <c r="BF86" s="3398"/>
      <c r="BG86" s="3398"/>
      <c r="BH86" s="3398"/>
      <c r="BI86" s="1766"/>
      <c r="BJ86" s="3398"/>
      <c r="BK86" s="3398"/>
      <c r="BL86" s="3398"/>
      <c r="BM86" s="3398"/>
      <c r="BN86" s="3398"/>
      <c r="BO86" s="3398"/>
      <c r="BP86" s="3398"/>
      <c r="BQ86" s="3398"/>
      <c r="BR86" s="3398"/>
      <c r="BS86" s="3398"/>
      <c r="BT86" s="3398"/>
      <c r="BU86" s="3398"/>
      <c r="BV86" s="3398"/>
      <c r="BW86" s="3398"/>
      <c r="BX86" s="3398"/>
      <c r="BY86" s="3398"/>
      <c r="BZ86" s="3398"/>
      <c r="CA86" s="3398"/>
      <c r="CB86" s="3398"/>
      <c r="CC86" s="3398"/>
      <c r="CD86" s="3398"/>
      <c r="CE86" s="3398"/>
      <c r="CF86" s="3398"/>
      <c r="CG86" s="3398"/>
      <c r="CH86" s="3398"/>
      <c r="CI86" s="3398"/>
      <c r="CJ86" s="3398"/>
      <c r="CK86" s="3398"/>
      <c r="CL86" s="3398"/>
      <c r="CM86" s="3398"/>
      <c r="CN86" s="1766"/>
      <c r="CO86" s="3398"/>
      <c r="CP86" s="1830"/>
      <c r="CQ86" s="3380"/>
      <c r="CR86" s="3380"/>
      <c r="CS86" s="3380"/>
      <c r="CT86" s="1817"/>
    </row>
    <row r="87" spans="1:108" s="1860" customFormat="1" x14ac:dyDescent="0.2">
      <c r="B87" s="4793"/>
      <c r="C87" s="4795" t="s">
        <v>213</v>
      </c>
      <c r="D87" s="1861"/>
      <c r="E87" s="4709">
        <f>E51</f>
        <v>15512.75</v>
      </c>
      <c r="F87" s="4709">
        <f>F51</f>
        <v>15512.75</v>
      </c>
      <c r="G87" s="4709"/>
      <c r="H87" s="2299"/>
      <c r="I87" s="4707">
        <f t="shared" ref="I87:J88" si="159">E87/30</f>
        <v>517.0916666666667</v>
      </c>
      <c r="J87" s="4707">
        <f t="shared" si="159"/>
        <v>517.0916666666667</v>
      </c>
      <c r="K87" s="4707"/>
      <c r="L87" s="3328"/>
      <c r="M87" s="4712">
        <f>I87*20%</f>
        <v>103.41833333333335</v>
      </c>
      <c r="N87" s="4712">
        <f>J87*20%</f>
        <v>103.41833333333335</v>
      </c>
      <c r="O87" s="4712"/>
      <c r="P87" s="2216"/>
      <c r="Q87" s="2055"/>
      <c r="R87" s="4726" t="str">
        <f>IF(R51&gt;0,"0.000",R51)</f>
        <v>0.000</v>
      </c>
      <c r="S87" s="4726" t="str">
        <f>IF(S51&gt;0,"0.000",S51)</f>
        <v>0.000</v>
      </c>
      <c r="T87" s="4726"/>
      <c r="U87" s="2289"/>
      <c r="V87" s="4726">
        <f t="shared" ref="V87:AL87" si="160">IF(V51&gt;0,"0.000",V51)</f>
        <v>0</v>
      </c>
      <c r="W87" s="4726"/>
      <c r="X87" s="2287"/>
      <c r="Y87" s="4726">
        <f t="shared" si="160"/>
        <v>0</v>
      </c>
      <c r="Z87" s="4726"/>
      <c r="AA87" s="2287"/>
      <c r="AB87" s="4726">
        <f t="shared" si="160"/>
        <v>0</v>
      </c>
      <c r="AC87" s="4726"/>
      <c r="AD87" s="2287"/>
      <c r="AE87" s="4726">
        <f t="shared" si="160"/>
        <v>0</v>
      </c>
      <c r="AF87" s="4726"/>
      <c r="AG87" s="2287"/>
      <c r="AH87" s="4726">
        <f t="shared" si="160"/>
        <v>0</v>
      </c>
      <c r="AI87" s="4726"/>
      <c r="AJ87" s="2287"/>
      <c r="AK87" s="4726"/>
      <c r="AL87" s="4726">
        <f t="shared" si="160"/>
        <v>0</v>
      </c>
      <c r="AM87" s="3386"/>
      <c r="AN87" s="4797">
        <f t="shared" si="101"/>
        <v>0</v>
      </c>
      <c r="AO87" s="4799"/>
      <c r="AP87" s="4801"/>
      <c r="AQ87" s="4797"/>
      <c r="AR87" s="4799"/>
      <c r="AS87" s="4801"/>
      <c r="AT87" s="4797"/>
      <c r="AU87" s="4799"/>
      <c r="AV87" s="4801"/>
      <c r="AW87" s="1862"/>
      <c r="AX87" s="4628">
        <f t="shared" ref="AX87:BD87" si="161">IF(AX51&gt;0,"0.000",AX51)</f>
        <v>0</v>
      </c>
      <c r="AY87" s="4630">
        <f t="shared" si="161"/>
        <v>0</v>
      </c>
      <c r="AZ87" s="4630">
        <f t="shared" si="161"/>
        <v>0</v>
      </c>
      <c r="BA87" s="4630">
        <f t="shared" si="161"/>
        <v>0</v>
      </c>
      <c r="BB87" s="4630">
        <f t="shared" si="161"/>
        <v>0</v>
      </c>
      <c r="BC87" s="4630">
        <f t="shared" si="161"/>
        <v>0</v>
      </c>
      <c r="BD87" s="4632">
        <f t="shared" si="161"/>
        <v>0</v>
      </c>
      <c r="BE87" s="1862"/>
      <c r="BF87" s="4628">
        <f t="shared" ref="BF87:BF92" si="162">SUM(AX87:BD87)</f>
        <v>0</v>
      </c>
      <c r="BG87" s="4630"/>
      <c r="BH87" s="4632"/>
      <c r="BI87" s="1862"/>
      <c r="BJ87" s="4628">
        <f t="shared" ref="BJ87:BP87" si="163">IF(BJ51&gt;0,"0.000",BJ51)</f>
        <v>0</v>
      </c>
      <c r="BK87" s="4630">
        <f t="shared" si="163"/>
        <v>0</v>
      </c>
      <c r="BL87" s="4630">
        <f t="shared" si="163"/>
        <v>0</v>
      </c>
      <c r="BM87" s="4630">
        <f t="shared" si="163"/>
        <v>0</v>
      </c>
      <c r="BN87" s="4630">
        <f t="shared" si="163"/>
        <v>0</v>
      </c>
      <c r="BO87" s="4630">
        <f t="shared" si="163"/>
        <v>0</v>
      </c>
      <c r="BP87" s="4632">
        <f t="shared" si="163"/>
        <v>0</v>
      </c>
      <c r="BQ87" s="3386"/>
      <c r="BR87" s="4628">
        <f t="shared" ref="BR87:BR92" si="164">SUM(BJ87:BP87)</f>
        <v>0</v>
      </c>
      <c r="BS87" s="4630"/>
      <c r="BT87" s="4632"/>
      <c r="BU87" s="3386"/>
      <c r="BV87" s="4628">
        <f t="shared" ref="BV87:CB87" si="165">IF(BV51&gt;0,"0.000",BV51)</f>
        <v>0</v>
      </c>
      <c r="BW87" s="4630">
        <f t="shared" si="165"/>
        <v>0</v>
      </c>
      <c r="BX87" s="4630">
        <f t="shared" si="165"/>
        <v>0</v>
      </c>
      <c r="BY87" s="4630">
        <f t="shared" si="165"/>
        <v>0</v>
      </c>
      <c r="BZ87" s="4630">
        <f t="shared" si="165"/>
        <v>0</v>
      </c>
      <c r="CA87" s="4630">
        <f t="shared" si="165"/>
        <v>0</v>
      </c>
      <c r="CB87" s="4632">
        <f t="shared" si="165"/>
        <v>0</v>
      </c>
      <c r="CC87" s="3386"/>
      <c r="CD87" s="4628">
        <f t="shared" ref="CD87:CD92" si="166">SUM(BV87:CB87)</f>
        <v>0</v>
      </c>
      <c r="CE87" s="4630"/>
      <c r="CF87" s="4632"/>
      <c r="CG87" s="3386"/>
      <c r="CH87" s="4670">
        <f t="shared" ref="CH87" si="167">IF(CH51&gt;0,"0.000",CH51)</f>
        <v>0</v>
      </c>
      <c r="CI87" s="4674">
        <f>IF(CI51&gt;0,"0.000",CI51)</f>
        <v>0</v>
      </c>
      <c r="CJ87" s="3386"/>
      <c r="CK87" s="4628">
        <f>SUM(CH87:CI87)</f>
        <v>0</v>
      </c>
      <c r="CL87" s="4630"/>
      <c r="CM87" s="4632"/>
      <c r="CN87" s="1726"/>
      <c r="CO87" s="4628">
        <f>SUM(R87:AL87)+SUM(AX87:BD87)+SUM(BJ87:BP87)+SUM(BV87:CB87)+SUM(CI87:CI87)</f>
        <v>0</v>
      </c>
      <c r="CP87" s="4632"/>
      <c r="CQ87" s="1740"/>
      <c r="CR87" s="3386"/>
      <c r="CS87" s="1997"/>
      <c r="CT87" s="1997"/>
      <c r="CU87" s="3384"/>
      <c r="CV87" s="3384"/>
      <c r="CW87" s="3384"/>
      <c r="CX87" s="3384"/>
      <c r="CY87" s="3384"/>
      <c r="CZ87" s="3905"/>
      <c r="DA87" s="3905"/>
      <c r="DB87" s="3905"/>
      <c r="DC87" s="3905"/>
    </row>
    <row r="88" spans="1:108" s="1946" customFormat="1" ht="17.25" thickBot="1" x14ac:dyDescent="0.25">
      <c r="B88" s="4794"/>
      <c r="C88" s="4796"/>
      <c r="D88" s="2011"/>
      <c r="E88" s="4709"/>
      <c r="F88" s="4709"/>
      <c r="G88" s="4709"/>
      <c r="H88" s="2299"/>
      <c r="I88" s="4708">
        <f t="shared" si="159"/>
        <v>0</v>
      </c>
      <c r="J88" s="4708">
        <f t="shared" si="159"/>
        <v>0</v>
      </c>
      <c r="K88" s="4708"/>
      <c r="L88" s="3328"/>
      <c r="M88" s="4713"/>
      <c r="N88" s="4713"/>
      <c r="O88" s="4713"/>
      <c r="P88" s="2213"/>
      <c r="Q88" s="2214"/>
      <c r="R88" s="4727"/>
      <c r="S88" s="4727"/>
      <c r="T88" s="4727"/>
      <c r="U88" s="2289"/>
      <c r="V88" s="4727"/>
      <c r="W88" s="4727"/>
      <c r="X88" s="2287"/>
      <c r="Y88" s="4727"/>
      <c r="Z88" s="4727"/>
      <c r="AA88" s="2287"/>
      <c r="AB88" s="4727"/>
      <c r="AC88" s="4727"/>
      <c r="AD88" s="2287"/>
      <c r="AE88" s="4727"/>
      <c r="AF88" s="4727"/>
      <c r="AG88" s="2287"/>
      <c r="AH88" s="4727"/>
      <c r="AI88" s="4727"/>
      <c r="AJ88" s="2287"/>
      <c r="AK88" s="4727"/>
      <c r="AL88" s="4727"/>
      <c r="AM88" s="3382"/>
      <c r="AN88" s="4798"/>
      <c r="AO88" s="4800"/>
      <c r="AP88" s="4802"/>
      <c r="AQ88" s="4798"/>
      <c r="AR88" s="4800"/>
      <c r="AS88" s="4802"/>
      <c r="AT88" s="4798"/>
      <c r="AU88" s="4800"/>
      <c r="AV88" s="4802"/>
      <c r="AW88" s="1897"/>
      <c r="AX88" s="4629"/>
      <c r="AY88" s="4631"/>
      <c r="AZ88" s="4631"/>
      <c r="BA88" s="4631"/>
      <c r="BB88" s="4631"/>
      <c r="BC88" s="4631"/>
      <c r="BD88" s="4633"/>
      <c r="BE88" s="1897"/>
      <c r="BF88" s="4629"/>
      <c r="BG88" s="4631"/>
      <c r="BH88" s="4633"/>
      <c r="BI88" s="1897"/>
      <c r="BJ88" s="4629"/>
      <c r="BK88" s="4631"/>
      <c r="BL88" s="4631"/>
      <c r="BM88" s="4631"/>
      <c r="BN88" s="4631"/>
      <c r="BO88" s="4631"/>
      <c r="BP88" s="4633"/>
      <c r="BQ88" s="3382"/>
      <c r="BR88" s="4629"/>
      <c r="BS88" s="4631"/>
      <c r="BT88" s="4633"/>
      <c r="BU88" s="3382"/>
      <c r="BV88" s="4629"/>
      <c r="BW88" s="4631"/>
      <c r="BX88" s="4631"/>
      <c r="BY88" s="4631"/>
      <c r="BZ88" s="4631"/>
      <c r="CA88" s="4631"/>
      <c r="CB88" s="4633"/>
      <c r="CC88" s="3382"/>
      <c r="CD88" s="4629"/>
      <c r="CE88" s="4631"/>
      <c r="CF88" s="4633"/>
      <c r="CG88" s="3382"/>
      <c r="CH88" s="4671"/>
      <c r="CI88" s="4675"/>
      <c r="CJ88" s="3382"/>
      <c r="CK88" s="4629"/>
      <c r="CL88" s="4631"/>
      <c r="CM88" s="4633"/>
      <c r="CN88" s="1885"/>
      <c r="CO88" s="4629"/>
      <c r="CP88" s="4633"/>
      <c r="CQ88" s="1900"/>
      <c r="CR88" s="3382"/>
      <c r="CS88" s="2010"/>
      <c r="CT88" s="2010"/>
      <c r="CU88" s="3381"/>
      <c r="CV88" s="3381"/>
      <c r="CW88" s="3381"/>
      <c r="CX88" s="3381"/>
      <c r="CY88" s="3381"/>
      <c r="CZ88" s="3904"/>
      <c r="DA88" s="3904"/>
      <c r="DB88" s="3904"/>
      <c r="DC88" s="3904"/>
    </row>
    <row r="89" spans="1:108" s="1860" customFormat="1" ht="5.25" customHeight="1" thickBot="1" x14ac:dyDescent="0.25">
      <c r="B89" s="1861"/>
      <c r="C89" s="1861"/>
      <c r="D89" s="1861"/>
      <c r="E89" s="3398"/>
      <c r="F89" s="3398"/>
      <c r="G89" s="3901"/>
      <c r="H89" s="3398"/>
      <c r="I89" s="3398"/>
      <c r="J89" s="3398"/>
      <c r="K89" s="3901"/>
      <c r="L89" s="3398"/>
      <c r="M89" s="1818"/>
      <c r="N89" s="1818"/>
      <c r="O89" s="1818"/>
      <c r="P89" s="2055"/>
      <c r="Q89" s="2055"/>
      <c r="R89" s="3386"/>
      <c r="S89" s="3386"/>
      <c r="T89" s="3900"/>
      <c r="U89" s="3398"/>
      <c r="V89" s="3386"/>
      <c r="W89" s="3386"/>
      <c r="X89" s="3398"/>
      <c r="Y89" s="3386"/>
      <c r="Z89" s="3386"/>
      <c r="AA89" s="3398"/>
      <c r="AB89" s="3386"/>
      <c r="AC89" s="3386"/>
      <c r="AD89" s="3398"/>
      <c r="AE89" s="3386"/>
      <c r="AF89" s="3386"/>
      <c r="AG89" s="3398"/>
      <c r="AH89" s="3386"/>
      <c r="AI89" s="3386"/>
      <c r="AJ89" s="3398"/>
      <c r="AK89" s="3386"/>
      <c r="AL89" s="3386"/>
      <c r="AM89" s="3386"/>
      <c r="AN89" s="3386"/>
      <c r="AO89" s="3386"/>
      <c r="AP89" s="3386"/>
      <c r="AQ89" s="3386"/>
      <c r="AR89" s="3386"/>
      <c r="AS89" s="3386"/>
      <c r="AT89" s="3900"/>
      <c r="AU89" s="3900"/>
      <c r="AV89" s="3900"/>
      <c r="AW89" s="1862"/>
      <c r="AX89" s="3386"/>
      <c r="AY89" s="3386"/>
      <c r="AZ89" s="3386"/>
      <c r="BA89" s="3386"/>
      <c r="BB89" s="3386"/>
      <c r="BC89" s="3386"/>
      <c r="BD89" s="3386"/>
      <c r="BE89" s="1862"/>
      <c r="BF89" s="3386"/>
      <c r="BG89" s="3386"/>
      <c r="BH89" s="3386"/>
      <c r="BI89" s="1862"/>
      <c r="BJ89" s="3386"/>
      <c r="BK89" s="3386"/>
      <c r="BL89" s="3386"/>
      <c r="BM89" s="3386"/>
      <c r="BN89" s="3386"/>
      <c r="BO89" s="3386"/>
      <c r="BP89" s="3386"/>
      <c r="BQ89" s="3386"/>
      <c r="BR89" s="3386"/>
      <c r="BS89" s="3386"/>
      <c r="BT89" s="3386"/>
      <c r="BU89" s="3386"/>
      <c r="BV89" s="3386"/>
      <c r="BW89" s="3386"/>
      <c r="BX89" s="3386"/>
      <c r="BY89" s="3386"/>
      <c r="BZ89" s="3386"/>
      <c r="CA89" s="3386"/>
      <c r="CB89" s="3386"/>
      <c r="CC89" s="3386"/>
      <c r="CD89" s="3386"/>
      <c r="CE89" s="3386"/>
      <c r="CF89" s="3386"/>
      <c r="CG89" s="3386"/>
      <c r="CH89" s="3386"/>
      <c r="CI89" s="3386"/>
      <c r="CJ89" s="3386"/>
      <c r="CK89" s="3386"/>
      <c r="CL89" s="3386"/>
      <c r="CM89" s="3386"/>
      <c r="CO89" s="3386"/>
      <c r="CP89" s="3386"/>
      <c r="CQ89" s="1861"/>
      <c r="CR89" s="3386"/>
      <c r="CS89" s="1997"/>
      <c r="CT89" s="1997"/>
      <c r="CU89" s="3384"/>
      <c r="CV89" s="3384"/>
      <c r="CW89" s="3384"/>
      <c r="CX89" s="3384"/>
      <c r="CY89" s="3384"/>
      <c r="CZ89" s="3905"/>
      <c r="DA89" s="3905"/>
      <c r="DB89" s="3905"/>
      <c r="DC89" s="3905"/>
    </row>
    <row r="90" spans="1:108" s="1726" customFormat="1" x14ac:dyDescent="0.2">
      <c r="B90" s="1739"/>
      <c r="C90" s="1739" t="s">
        <v>143</v>
      </c>
      <c r="D90" s="1861"/>
      <c r="E90" s="1735">
        <f>E79</f>
        <v>3753.25</v>
      </c>
      <c r="F90" s="1735">
        <f>F79</f>
        <v>6249.2499999999991</v>
      </c>
      <c r="G90" s="1735"/>
      <c r="H90" s="3398"/>
      <c r="I90" s="2265">
        <f t="shared" ref="I90:J91" si="168">E90/30</f>
        <v>125.10833333333333</v>
      </c>
      <c r="J90" s="2265">
        <f t="shared" si="168"/>
        <v>208.30833333333331</v>
      </c>
      <c r="K90" s="2265"/>
      <c r="L90" s="3398"/>
      <c r="M90" s="3411">
        <f>I90*20%</f>
        <v>25.021666666666668</v>
      </c>
      <c r="N90" s="3411">
        <f>J90*20%</f>
        <v>41.661666666666662</v>
      </c>
      <c r="O90" s="3411"/>
      <c r="P90" s="2216"/>
      <c r="Q90" s="2055"/>
      <c r="R90" s="1732" t="str">
        <f>IF(R80&gt;0,"0.000",R80)</f>
        <v>0.000</v>
      </c>
      <c r="S90" s="1732" t="str">
        <f>IF(S80&gt;0,"0.000",S80)</f>
        <v>0.000</v>
      </c>
      <c r="T90" s="1732"/>
      <c r="U90" s="2289"/>
      <c r="V90" s="1732">
        <f>IF(V80&gt;0,"0.000",V80)</f>
        <v>0</v>
      </c>
      <c r="W90" s="1732"/>
      <c r="X90" s="2287"/>
      <c r="Y90" s="1732">
        <f t="shared" ref="Y90:AL90" si="169">IF(Y80&gt;0,"0.000",Y80)</f>
        <v>0</v>
      </c>
      <c r="Z90" s="1732"/>
      <c r="AA90" s="2287"/>
      <c r="AB90" s="1732">
        <f t="shared" si="169"/>
        <v>0</v>
      </c>
      <c r="AC90" s="1732"/>
      <c r="AD90" s="2287"/>
      <c r="AE90" s="1732">
        <f t="shared" si="169"/>
        <v>0</v>
      </c>
      <c r="AF90" s="1732"/>
      <c r="AG90" s="2287"/>
      <c r="AH90" s="1732">
        <f t="shared" si="169"/>
        <v>0</v>
      </c>
      <c r="AI90" s="1732"/>
      <c r="AJ90" s="2287"/>
      <c r="AK90" s="1732"/>
      <c r="AL90" s="1732">
        <f t="shared" si="169"/>
        <v>0</v>
      </c>
      <c r="AM90" s="3386"/>
      <c r="AN90" s="3337">
        <f t="shared" ref="AN90:AN92" si="170">SUM(R90:AL90)</f>
        <v>0</v>
      </c>
      <c r="AO90" s="3414"/>
      <c r="AP90" s="3338"/>
      <c r="AQ90" s="3337"/>
      <c r="AR90" s="3414"/>
      <c r="AS90" s="3338"/>
      <c r="AT90" s="3337"/>
      <c r="AU90" s="3414"/>
      <c r="AV90" s="3338"/>
      <c r="AW90" s="1862"/>
      <c r="AX90" s="3392">
        <f t="shared" ref="AX90:BD90" si="171">IF(AX80&gt;0,"0.000",AX80)</f>
        <v>0</v>
      </c>
      <c r="AY90" s="3394">
        <f t="shared" si="171"/>
        <v>0</v>
      </c>
      <c r="AZ90" s="3394">
        <f t="shared" si="171"/>
        <v>0</v>
      </c>
      <c r="BA90" s="3394">
        <f t="shared" si="171"/>
        <v>0</v>
      </c>
      <c r="BB90" s="3394">
        <f t="shared" si="171"/>
        <v>0</v>
      </c>
      <c r="BC90" s="3394">
        <f t="shared" si="171"/>
        <v>0</v>
      </c>
      <c r="BD90" s="3396">
        <f t="shared" si="171"/>
        <v>0</v>
      </c>
      <c r="BE90" s="1862"/>
      <c r="BF90" s="3392">
        <f>SUM(AX90:BD90)</f>
        <v>0</v>
      </c>
      <c r="BG90" s="3394"/>
      <c r="BH90" s="3396"/>
      <c r="BI90" s="1862"/>
      <c r="BJ90" s="3392">
        <f t="shared" ref="BJ90:BP90" si="172">IF(BJ80&gt;0,"0.000",BJ80)</f>
        <v>0</v>
      </c>
      <c r="BK90" s="3394">
        <f t="shared" si="172"/>
        <v>0</v>
      </c>
      <c r="BL90" s="3394">
        <f t="shared" si="172"/>
        <v>0</v>
      </c>
      <c r="BM90" s="3394">
        <f t="shared" si="172"/>
        <v>0</v>
      </c>
      <c r="BN90" s="3394">
        <f t="shared" si="172"/>
        <v>0</v>
      </c>
      <c r="BO90" s="3394">
        <f t="shared" si="172"/>
        <v>0</v>
      </c>
      <c r="BP90" s="3396">
        <f t="shared" si="172"/>
        <v>0</v>
      </c>
      <c r="BQ90" s="3386"/>
      <c r="BR90" s="3392">
        <f t="shared" si="164"/>
        <v>0</v>
      </c>
      <c r="BS90" s="3394"/>
      <c r="BT90" s="3396"/>
      <c r="BU90" s="3386"/>
      <c r="BV90" s="3392">
        <f t="shared" ref="BV90:CB90" si="173">IF(BV80&gt;0,"0.000",BV80)</f>
        <v>0</v>
      </c>
      <c r="BW90" s="3394">
        <f t="shared" si="173"/>
        <v>0</v>
      </c>
      <c r="BX90" s="3394">
        <f t="shared" si="173"/>
        <v>0</v>
      </c>
      <c r="BY90" s="3394">
        <f t="shared" si="173"/>
        <v>0</v>
      </c>
      <c r="BZ90" s="3394">
        <f t="shared" si="173"/>
        <v>0</v>
      </c>
      <c r="CA90" s="3394">
        <f t="shared" si="173"/>
        <v>0</v>
      </c>
      <c r="CB90" s="3396">
        <f t="shared" si="173"/>
        <v>0</v>
      </c>
      <c r="CC90" s="3386"/>
      <c r="CD90" s="3392">
        <f t="shared" si="166"/>
        <v>0</v>
      </c>
      <c r="CE90" s="3394"/>
      <c r="CF90" s="3396"/>
      <c r="CG90" s="3386"/>
      <c r="CH90" s="3392">
        <f t="shared" ref="CH90" si="174">IF(CH80&gt;0,"0.000",CH80)</f>
        <v>0</v>
      </c>
      <c r="CI90" s="3396">
        <f>IF(CI80&gt;0,"0.000",CI80)</f>
        <v>0</v>
      </c>
      <c r="CJ90" s="3386"/>
      <c r="CK90" s="3392">
        <f>SUM(CH90:CI90)</f>
        <v>0</v>
      </c>
      <c r="CL90" s="3394"/>
      <c r="CM90" s="3396"/>
      <c r="CO90" s="2663">
        <f>SUM(R90:AL90)+SUM(AX90:BD90)+SUM(BJ90:BP90)+SUM(BV90:CB90)+SUM(CI90:CI90)</f>
        <v>0</v>
      </c>
      <c r="CP90" s="3396"/>
      <c r="CQ90" s="1740"/>
      <c r="CR90" s="3386"/>
      <c r="CS90" s="2246"/>
      <c r="CT90" s="2246"/>
      <c r="CU90" s="2247"/>
      <c r="CV90" s="2247"/>
      <c r="CW90" s="2247"/>
      <c r="CX90" s="2247"/>
      <c r="CY90" s="2247"/>
      <c r="CZ90" s="2247"/>
      <c r="DA90" s="2247"/>
      <c r="DB90" s="2247"/>
      <c r="DC90" s="2247"/>
    </row>
    <row r="91" spans="1:108" s="1885" customFormat="1" x14ac:dyDescent="0.2">
      <c r="B91" s="2401"/>
      <c r="C91" s="2401" t="s">
        <v>178</v>
      </c>
      <c r="D91" s="2011"/>
      <c r="E91" s="3408">
        <f>E83</f>
        <v>2500</v>
      </c>
      <c r="F91" s="3408">
        <f>F83</f>
        <v>2500</v>
      </c>
      <c r="G91" s="3902"/>
      <c r="H91" s="1951"/>
      <c r="I91" s="2243">
        <f t="shared" si="168"/>
        <v>83.333333333333329</v>
      </c>
      <c r="J91" s="2243">
        <f t="shared" si="168"/>
        <v>83.333333333333329</v>
      </c>
      <c r="K91" s="2243"/>
      <c r="L91" s="1951"/>
      <c r="M91" s="3412">
        <f>I91*20%</f>
        <v>16.666666666666668</v>
      </c>
      <c r="N91" s="3412">
        <f>J91*20%</f>
        <v>16.666666666666668</v>
      </c>
      <c r="O91" s="3412"/>
      <c r="P91" s="2213"/>
      <c r="Q91" s="2214"/>
      <c r="R91" s="1898" t="str">
        <f>IF(R85&gt;0,"0.000",R85)</f>
        <v>0.000</v>
      </c>
      <c r="S91" s="1898">
        <f>IF(S85&gt;0,"0.000",S85)</f>
        <v>-15.037500000000012</v>
      </c>
      <c r="T91" s="1898"/>
      <c r="U91" s="2299"/>
      <c r="V91" s="1898">
        <f t="shared" ref="V91:AL91" si="175">IF(V85&gt;0,"0.000",V85)</f>
        <v>0</v>
      </c>
      <c r="W91" s="1898"/>
      <c r="X91" s="3323"/>
      <c r="Y91" s="1898">
        <f t="shared" si="175"/>
        <v>0</v>
      </c>
      <c r="Z91" s="1898"/>
      <c r="AA91" s="3323"/>
      <c r="AB91" s="1898">
        <f t="shared" si="175"/>
        <v>0</v>
      </c>
      <c r="AC91" s="1898"/>
      <c r="AD91" s="3323"/>
      <c r="AE91" s="1898">
        <f t="shared" si="175"/>
        <v>0</v>
      </c>
      <c r="AF91" s="1898"/>
      <c r="AG91" s="3323"/>
      <c r="AH91" s="1898">
        <f t="shared" si="175"/>
        <v>0</v>
      </c>
      <c r="AI91" s="1898"/>
      <c r="AJ91" s="3323"/>
      <c r="AK91" s="1898"/>
      <c r="AL91" s="1898">
        <f t="shared" si="175"/>
        <v>0</v>
      </c>
      <c r="AM91" s="3382"/>
      <c r="AN91" s="3415">
        <f t="shared" si="170"/>
        <v>-15.037500000000012</v>
      </c>
      <c r="AO91" s="1898"/>
      <c r="AP91" s="3339"/>
      <c r="AQ91" s="3415"/>
      <c r="AR91" s="1898"/>
      <c r="AS91" s="3339"/>
      <c r="AT91" s="3415"/>
      <c r="AU91" s="1898"/>
      <c r="AV91" s="3339"/>
      <c r="AW91" s="1897"/>
      <c r="AX91" s="2244">
        <f t="shared" ref="AX91:BD91" si="176">IF(AX85&gt;0,"0.000",AX85)</f>
        <v>0</v>
      </c>
      <c r="AY91" s="1898">
        <f t="shared" si="176"/>
        <v>0</v>
      </c>
      <c r="AZ91" s="1898">
        <f t="shared" si="176"/>
        <v>0</v>
      </c>
      <c r="BA91" s="1898">
        <f t="shared" si="176"/>
        <v>0</v>
      </c>
      <c r="BB91" s="1898">
        <f t="shared" si="176"/>
        <v>0</v>
      </c>
      <c r="BC91" s="1898">
        <f t="shared" si="176"/>
        <v>0</v>
      </c>
      <c r="BD91" s="2245">
        <f t="shared" si="176"/>
        <v>0</v>
      </c>
      <c r="BE91" s="1897"/>
      <c r="BF91" s="2244">
        <f t="shared" si="162"/>
        <v>0</v>
      </c>
      <c r="BG91" s="1898"/>
      <c r="BH91" s="2245"/>
      <c r="BI91" s="1897"/>
      <c r="BJ91" s="2244">
        <f t="shared" ref="BJ91:BP91" si="177">IF(BJ85&gt;0,"0.000",BJ85)</f>
        <v>0</v>
      </c>
      <c r="BK91" s="1898">
        <f t="shared" si="177"/>
        <v>0</v>
      </c>
      <c r="BL91" s="1898">
        <f t="shared" si="177"/>
        <v>0</v>
      </c>
      <c r="BM91" s="1898">
        <f t="shared" si="177"/>
        <v>0</v>
      </c>
      <c r="BN91" s="1898">
        <f t="shared" si="177"/>
        <v>0</v>
      </c>
      <c r="BO91" s="1898">
        <f t="shared" si="177"/>
        <v>0</v>
      </c>
      <c r="BP91" s="2245">
        <f t="shared" si="177"/>
        <v>0</v>
      </c>
      <c r="BQ91" s="3382"/>
      <c r="BR91" s="2244">
        <f t="shared" si="164"/>
        <v>0</v>
      </c>
      <c r="BS91" s="1898"/>
      <c r="BT91" s="2245"/>
      <c r="BU91" s="3382"/>
      <c r="BV91" s="2244">
        <f t="shared" ref="BV91:CB91" si="178">IF(BV85&gt;0,"0.000",BV85)</f>
        <v>0</v>
      </c>
      <c r="BW91" s="1898">
        <f t="shared" si="178"/>
        <v>0</v>
      </c>
      <c r="BX91" s="1898">
        <f t="shared" si="178"/>
        <v>0</v>
      </c>
      <c r="BY91" s="1898">
        <f t="shared" si="178"/>
        <v>0</v>
      </c>
      <c r="BZ91" s="1898">
        <f t="shared" si="178"/>
        <v>0</v>
      </c>
      <c r="CA91" s="1898">
        <f t="shared" si="178"/>
        <v>0</v>
      </c>
      <c r="CB91" s="2245">
        <f t="shared" si="178"/>
        <v>0</v>
      </c>
      <c r="CC91" s="3382"/>
      <c r="CD91" s="2244">
        <f t="shared" si="166"/>
        <v>0</v>
      </c>
      <c r="CE91" s="1898"/>
      <c r="CF91" s="2245"/>
      <c r="CG91" s="3382"/>
      <c r="CH91" s="3025">
        <f t="shared" ref="CH91" si="179">IF(CH85&gt;0,"0.000",CH85)</f>
        <v>0</v>
      </c>
      <c r="CI91" s="2245">
        <f>IF(CI85&gt;0,"0.000",CI85)</f>
        <v>0</v>
      </c>
      <c r="CJ91" s="3382"/>
      <c r="CK91" s="2244">
        <f>SUM(CH91:CI91)</f>
        <v>0</v>
      </c>
      <c r="CL91" s="1898"/>
      <c r="CM91" s="2245"/>
      <c r="CO91" s="2244">
        <f>SUM(R91:AL91)+SUM(AX91:BD91)+SUM(BJ91:BP91)+SUM(BV91:CB91)+SUM(CI91:CI91)</f>
        <v>-15.037500000000012</v>
      </c>
      <c r="CP91" s="2245"/>
      <c r="CQ91" s="1900"/>
      <c r="CR91" s="3382"/>
      <c r="CS91" s="2251"/>
      <c r="CT91" s="2251"/>
      <c r="CU91" s="2252"/>
      <c r="CV91" s="2252"/>
      <c r="CW91" s="2252"/>
      <c r="CX91" s="2252"/>
      <c r="CY91" s="2252"/>
      <c r="CZ91" s="2252"/>
      <c r="DA91" s="2252"/>
      <c r="DB91" s="2252"/>
      <c r="DC91" s="2252"/>
    </row>
    <row r="92" spans="1:108" s="1726" customFormat="1" ht="18.75" thickBot="1" x14ac:dyDescent="0.25">
      <c r="B92" s="1739"/>
      <c r="C92" s="1739" t="s">
        <v>272</v>
      </c>
      <c r="D92" s="1861"/>
      <c r="E92" s="3409">
        <f>E90+E91</f>
        <v>6253.25</v>
      </c>
      <c r="F92" s="3409">
        <f>F90+F91</f>
        <v>8749.25</v>
      </c>
      <c r="G92" s="3409"/>
      <c r="H92" s="3398"/>
      <c r="I92" s="3410">
        <f>I90+I91</f>
        <v>208.44166666666666</v>
      </c>
      <c r="J92" s="3410">
        <f>J90+J91</f>
        <v>291.64166666666665</v>
      </c>
      <c r="K92" s="3410"/>
      <c r="L92" s="3398"/>
      <c r="M92" s="3413">
        <f>M90+M91</f>
        <v>41.688333333333333</v>
      </c>
      <c r="N92" s="3413">
        <f>N90+N91</f>
        <v>58.328333333333333</v>
      </c>
      <c r="O92" s="3413"/>
      <c r="P92" s="2216"/>
      <c r="Q92" s="2055"/>
      <c r="R92" s="1732">
        <f>IF(R85&lt;0,"0.000",R85)</f>
        <v>1.6024999999999956</v>
      </c>
      <c r="S92" s="1732" t="str">
        <f>IF(S85&lt;0,"0.000",S85)</f>
        <v>0.000</v>
      </c>
      <c r="T92" s="1732"/>
      <c r="U92" s="2289"/>
      <c r="V92" s="1732">
        <f t="shared" ref="V92:AL92" si="180">IF(V85&lt;0,"0.000",V85)</f>
        <v>0</v>
      </c>
      <c r="W92" s="1732"/>
      <c r="X92" s="2287"/>
      <c r="Y92" s="1732">
        <f t="shared" si="180"/>
        <v>0</v>
      </c>
      <c r="Z92" s="1732"/>
      <c r="AA92" s="2287"/>
      <c r="AB92" s="1732">
        <f t="shared" si="180"/>
        <v>0</v>
      </c>
      <c r="AC92" s="1732"/>
      <c r="AD92" s="2287"/>
      <c r="AE92" s="1732">
        <f t="shared" si="180"/>
        <v>0</v>
      </c>
      <c r="AF92" s="1732"/>
      <c r="AG92" s="2287"/>
      <c r="AH92" s="1732">
        <f t="shared" si="180"/>
        <v>0</v>
      </c>
      <c r="AI92" s="1732"/>
      <c r="AJ92" s="2287"/>
      <c r="AK92" s="1732"/>
      <c r="AL92" s="1732">
        <f t="shared" si="180"/>
        <v>0</v>
      </c>
      <c r="AM92" s="3386"/>
      <c r="AN92" s="3404">
        <f t="shared" si="170"/>
        <v>1.6024999999999956</v>
      </c>
      <c r="AO92" s="3416"/>
      <c r="AP92" s="3417"/>
      <c r="AQ92" s="3404"/>
      <c r="AR92" s="3416"/>
      <c r="AS92" s="3417"/>
      <c r="AT92" s="3404"/>
      <c r="AU92" s="3416"/>
      <c r="AV92" s="3417"/>
      <c r="AW92" s="1862"/>
      <c r="AX92" s="3393">
        <f t="shared" ref="AX92:BD92" si="181">IF(AX85&lt;0,"0.000",AX85)</f>
        <v>0</v>
      </c>
      <c r="AY92" s="3395">
        <f t="shared" si="181"/>
        <v>0</v>
      </c>
      <c r="AZ92" s="3395">
        <f t="shared" si="181"/>
        <v>0</v>
      </c>
      <c r="BA92" s="3395">
        <f t="shared" si="181"/>
        <v>0</v>
      </c>
      <c r="BB92" s="3395">
        <f t="shared" si="181"/>
        <v>0</v>
      </c>
      <c r="BC92" s="3395">
        <f t="shared" si="181"/>
        <v>0</v>
      </c>
      <c r="BD92" s="3397">
        <f t="shared" si="181"/>
        <v>0</v>
      </c>
      <c r="BE92" s="1862"/>
      <c r="BF92" s="3393">
        <f t="shared" si="162"/>
        <v>0</v>
      </c>
      <c r="BG92" s="3395"/>
      <c r="BH92" s="3397"/>
      <c r="BI92" s="1862"/>
      <c r="BJ92" s="3393">
        <f t="shared" ref="BJ92:BP92" si="182">IF(BJ85&lt;0,"0.000",BJ85)</f>
        <v>0</v>
      </c>
      <c r="BK92" s="3395">
        <f t="shared" si="182"/>
        <v>0</v>
      </c>
      <c r="BL92" s="3395">
        <f t="shared" si="182"/>
        <v>0</v>
      </c>
      <c r="BM92" s="3395">
        <f t="shared" si="182"/>
        <v>0</v>
      </c>
      <c r="BN92" s="3395">
        <f t="shared" si="182"/>
        <v>0</v>
      </c>
      <c r="BO92" s="3395">
        <f t="shared" si="182"/>
        <v>0</v>
      </c>
      <c r="BP92" s="3397">
        <f t="shared" si="182"/>
        <v>0</v>
      </c>
      <c r="BQ92" s="3386"/>
      <c r="BR92" s="3393">
        <f t="shared" si="164"/>
        <v>0</v>
      </c>
      <c r="BS92" s="3395"/>
      <c r="BT92" s="3397"/>
      <c r="BU92" s="3386"/>
      <c r="BV92" s="3393">
        <f t="shared" ref="BV92:CB92" si="183">IF(BV85&lt;0,"0.000",BV85)</f>
        <v>0</v>
      </c>
      <c r="BW92" s="3395">
        <f t="shared" si="183"/>
        <v>0</v>
      </c>
      <c r="BX92" s="3395">
        <f t="shared" si="183"/>
        <v>0</v>
      </c>
      <c r="BY92" s="3395">
        <f t="shared" si="183"/>
        <v>0</v>
      </c>
      <c r="BZ92" s="3395">
        <f t="shared" si="183"/>
        <v>0</v>
      </c>
      <c r="CA92" s="3395">
        <f t="shared" si="183"/>
        <v>0</v>
      </c>
      <c r="CB92" s="3397">
        <f t="shared" si="183"/>
        <v>0</v>
      </c>
      <c r="CC92" s="3386"/>
      <c r="CD92" s="3393">
        <f t="shared" si="166"/>
        <v>0</v>
      </c>
      <c r="CE92" s="3395"/>
      <c r="CF92" s="3397"/>
      <c r="CG92" s="3386"/>
      <c r="CH92" s="3393">
        <f t="shared" ref="CH92" si="184">IF(CH85&lt;0,"0.000",CH85)</f>
        <v>0</v>
      </c>
      <c r="CI92" s="3397">
        <f>IF(CI85&lt;0,"0.000",CI85)</f>
        <v>0</v>
      </c>
      <c r="CJ92" s="3386"/>
      <c r="CK92" s="3393">
        <f>SUM(CH92:CI92)</f>
        <v>0</v>
      </c>
      <c r="CL92" s="3395"/>
      <c r="CM92" s="3397"/>
      <c r="CO92" s="3393">
        <f>SUM(R92:AL92)+SUM(AX92:BD92)+SUM(BJ92:BP92)+SUM(BV92:CB92)+SUM(CI92:CI92)</f>
        <v>1.6024999999999956</v>
      </c>
      <c r="CP92" s="3397"/>
      <c r="CQ92" s="1740"/>
      <c r="CR92" s="3386"/>
      <c r="CS92" s="2246"/>
      <c r="CT92" s="2246"/>
      <c r="CU92" s="2247"/>
      <c r="CV92" s="2247"/>
      <c r="CW92" s="2247"/>
      <c r="CX92" s="2247"/>
      <c r="CY92" s="2247"/>
      <c r="CZ92" s="2247"/>
      <c r="DA92" s="2247"/>
      <c r="DB92" s="2247"/>
      <c r="DC92" s="2247"/>
    </row>
    <row r="93" spans="1:108" s="1726" customFormat="1" ht="4.5" customHeight="1" thickBot="1" x14ac:dyDescent="0.25">
      <c r="B93" s="1740"/>
      <c r="C93" s="1740"/>
      <c r="D93" s="1861"/>
      <c r="E93" s="1740"/>
      <c r="F93" s="1740"/>
      <c r="G93" s="1740"/>
      <c r="H93" s="1817"/>
      <c r="I93" s="1740"/>
      <c r="J93" s="1740"/>
      <c r="K93" s="1740"/>
      <c r="L93" s="1817"/>
      <c r="M93" s="1997"/>
      <c r="N93" s="1997"/>
      <c r="O93" s="1997"/>
      <c r="P93" s="1760"/>
      <c r="Q93" s="3384"/>
      <c r="R93" s="1740"/>
      <c r="S93" s="1740"/>
      <c r="T93" s="1740"/>
      <c r="U93" s="1817"/>
      <c r="V93" s="1740"/>
      <c r="W93" s="1740"/>
      <c r="X93" s="1817"/>
      <c r="Y93" s="1740"/>
      <c r="Z93" s="1740"/>
      <c r="AA93" s="1817"/>
      <c r="AB93" s="1740"/>
      <c r="AC93" s="1740"/>
      <c r="AD93" s="1817"/>
      <c r="AE93" s="1740"/>
      <c r="AF93" s="1740"/>
      <c r="AG93" s="1817"/>
      <c r="AH93" s="1740"/>
      <c r="AI93" s="1740"/>
      <c r="AJ93" s="1817"/>
      <c r="AK93" s="1740"/>
      <c r="AL93" s="1740"/>
      <c r="AM93" s="1861"/>
      <c r="AN93" s="1740"/>
      <c r="AO93" s="1740"/>
      <c r="AP93" s="1740"/>
      <c r="AQ93" s="1740"/>
      <c r="AR93" s="1740"/>
      <c r="AS93" s="1740"/>
      <c r="AT93" s="1740"/>
      <c r="AU93" s="1740"/>
      <c r="AV93" s="1740"/>
      <c r="AW93" s="1860"/>
      <c r="AX93" s="1740"/>
      <c r="AY93" s="1740"/>
      <c r="AZ93" s="1740"/>
      <c r="BA93" s="1740"/>
      <c r="BB93" s="1740"/>
      <c r="BC93" s="1740"/>
      <c r="BD93" s="1740"/>
      <c r="BE93" s="1860"/>
      <c r="BF93" s="1740"/>
      <c r="BG93" s="1740"/>
      <c r="BH93" s="1740"/>
      <c r="BI93" s="1860"/>
      <c r="BJ93" s="1740"/>
      <c r="BK93" s="1740"/>
      <c r="BL93" s="1740"/>
      <c r="BM93" s="1740"/>
      <c r="BN93" s="1740"/>
      <c r="BO93" s="1740"/>
      <c r="BP93" s="1740"/>
      <c r="BQ93" s="1861"/>
      <c r="BR93" s="1740"/>
      <c r="BS93" s="1740"/>
      <c r="BT93" s="1740"/>
      <c r="BU93" s="1861"/>
      <c r="BV93" s="1740"/>
      <c r="BW93" s="1740"/>
      <c r="BX93" s="1740"/>
      <c r="BY93" s="1740"/>
      <c r="BZ93" s="1740"/>
      <c r="CA93" s="1740"/>
      <c r="CB93" s="1740"/>
      <c r="CC93" s="1861"/>
      <c r="CD93" s="1740"/>
      <c r="CE93" s="1740"/>
      <c r="CF93" s="1740"/>
      <c r="CG93" s="1740"/>
      <c r="CH93" s="1740"/>
      <c r="CI93" s="1740"/>
      <c r="CJ93" s="1740"/>
      <c r="CK93" s="1740"/>
      <c r="CL93" s="1740"/>
      <c r="CM93" s="1740"/>
      <c r="CO93" s="1740"/>
      <c r="CP93" s="1740"/>
      <c r="CQ93" s="1740"/>
      <c r="CR93" s="1740"/>
      <c r="CS93" s="1740"/>
      <c r="CT93" s="1861"/>
    </row>
    <row r="94" spans="1:108" s="3802" customFormat="1" ht="21" thickBot="1" x14ac:dyDescent="0.25">
      <c r="B94" s="3803"/>
      <c r="C94" s="3803"/>
      <c r="D94" s="3784"/>
      <c r="E94" s="3788">
        <f>SUM(E87:E91)</f>
        <v>21766</v>
      </c>
      <c r="F94" s="3788">
        <f>SUM(F87:F91)</f>
        <v>24262</v>
      </c>
      <c r="G94" s="3788"/>
      <c r="H94" s="3789"/>
      <c r="I94" s="3788">
        <f>E94/30</f>
        <v>725.5333333333333</v>
      </c>
      <c r="J94" s="3788">
        <f>F94/30</f>
        <v>808.73333333333335</v>
      </c>
      <c r="K94" s="3788"/>
      <c r="L94" s="3804"/>
      <c r="M94" s="3863">
        <f>I94*20%</f>
        <v>145.10666666666665</v>
      </c>
      <c r="N94" s="3863">
        <f>J94*20%</f>
        <v>161.74666666666667</v>
      </c>
      <c r="O94" s="3863"/>
      <c r="P94" s="3864"/>
      <c r="Q94" s="3854"/>
      <c r="R94" s="3788">
        <f>SUM(R87:R92)</f>
        <v>1.6024999999999956</v>
      </c>
      <c r="S94" s="3788">
        <f>SUM(S87:S92)</f>
        <v>-15.037500000000012</v>
      </c>
      <c r="T94" s="3788"/>
      <c r="U94" s="3789"/>
      <c r="V94" s="3788">
        <f t="shared" ref="V94:AL94" si="185">SUM(V87:V92)</f>
        <v>0</v>
      </c>
      <c r="W94" s="3788"/>
      <c r="X94" s="3790"/>
      <c r="Y94" s="3788">
        <f t="shared" si="185"/>
        <v>0</v>
      </c>
      <c r="Z94" s="3788"/>
      <c r="AA94" s="3790"/>
      <c r="AB94" s="3788">
        <f t="shared" si="185"/>
        <v>0</v>
      </c>
      <c r="AC94" s="3788"/>
      <c r="AD94" s="3790"/>
      <c r="AE94" s="3788">
        <f t="shared" si="185"/>
        <v>0</v>
      </c>
      <c r="AF94" s="3788"/>
      <c r="AG94" s="3790"/>
      <c r="AH94" s="3788">
        <f t="shared" si="185"/>
        <v>0</v>
      </c>
      <c r="AI94" s="3788"/>
      <c r="AJ94" s="3790"/>
      <c r="AK94" s="3788"/>
      <c r="AL94" s="3788">
        <f t="shared" si="185"/>
        <v>0</v>
      </c>
      <c r="AM94" s="3785"/>
      <c r="AN94" s="3806">
        <f>SUM(R94:AL94)</f>
        <v>-13.435000000000016</v>
      </c>
      <c r="AO94" s="3807"/>
      <c r="AP94" s="3865"/>
      <c r="AQ94" s="3806"/>
      <c r="AR94" s="3807"/>
      <c r="AS94" s="3865"/>
      <c r="AT94" s="3806"/>
      <c r="AU94" s="3980"/>
      <c r="AV94" s="3865"/>
      <c r="AW94" s="3785"/>
      <c r="AX94" s="3791">
        <f t="shared" ref="AX94:BD94" si="186">SUM(AX87:AX92)</f>
        <v>0</v>
      </c>
      <c r="AY94" s="3792">
        <f t="shared" si="186"/>
        <v>0</v>
      </c>
      <c r="AZ94" s="3792">
        <f t="shared" si="186"/>
        <v>0</v>
      </c>
      <c r="BA94" s="3792">
        <f t="shared" si="186"/>
        <v>0</v>
      </c>
      <c r="BB94" s="3792">
        <f t="shared" si="186"/>
        <v>0</v>
      </c>
      <c r="BC94" s="3792">
        <f t="shared" si="186"/>
        <v>0</v>
      </c>
      <c r="BD94" s="3793">
        <f t="shared" si="186"/>
        <v>0</v>
      </c>
      <c r="BE94" s="3785"/>
      <c r="BF94" s="3791">
        <f>SUM(AX94:BD94)</f>
        <v>0</v>
      </c>
      <c r="BG94" s="3792"/>
      <c r="BH94" s="3793"/>
      <c r="BI94" s="3789"/>
      <c r="BJ94" s="3791">
        <f t="shared" ref="BJ94:BP94" si="187">SUM(BJ87:BJ92)</f>
        <v>0</v>
      </c>
      <c r="BK94" s="3794">
        <f t="shared" si="187"/>
        <v>0</v>
      </c>
      <c r="BL94" s="3794">
        <f t="shared" si="187"/>
        <v>0</v>
      </c>
      <c r="BM94" s="3794">
        <f t="shared" si="187"/>
        <v>0</v>
      </c>
      <c r="BN94" s="3794">
        <f t="shared" si="187"/>
        <v>0</v>
      </c>
      <c r="BO94" s="3794">
        <f t="shared" si="187"/>
        <v>0</v>
      </c>
      <c r="BP94" s="3793">
        <f t="shared" si="187"/>
        <v>0</v>
      </c>
      <c r="BQ94" s="3858"/>
      <c r="BR94" s="3791">
        <f>SUM(BJ94:BP94)</f>
        <v>0</v>
      </c>
      <c r="BS94" s="3792"/>
      <c r="BT94" s="3793"/>
      <c r="BU94" s="3785"/>
      <c r="BV94" s="3791">
        <f t="shared" ref="BV94:CB94" si="188">SUM(BV87:BV92)</f>
        <v>0</v>
      </c>
      <c r="BW94" s="3794">
        <f t="shared" si="188"/>
        <v>0</v>
      </c>
      <c r="BX94" s="3794">
        <f t="shared" si="188"/>
        <v>0</v>
      </c>
      <c r="BY94" s="3794">
        <f t="shared" si="188"/>
        <v>0</v>
      </c>
      <c r="BZ94" s="3794">
        <f t="shared" si="188"/>
        <v>0</v>
      </c>
      <c r="CA94" s="3794">
        <f t="shared" si="188"/>
        <v>0</v>
      </c>
      <c r="CB94" s="3793">
        <f t="shared" si="188"/>
        <v>0</v>
      </c>
      <c r="CC94" s="3785"/>
      <c r="CD94" s="3791">
        <f>SUM(BV94:CB94)</f>
        <v>0</v>
      </c>
      <c r="CE94" s="3792"/>
      <c r="CF94" s="3793"/>
      <c r="CH94" s="3791">
        <f t="shared" ref="CH94:CI94" si="189">SUM(CH87:CH92)</f>
        <v>0</v>
      </c>
      <c r="CI94" s="3793">
        <f t="shared" si="189"/>
        <v>0</v>
      </c>
      <c r="CJ94" s="3859"/>
      <c r="CK94" s="3860">
        <f>SUM(CH94:CI94)</f>
        <v>0</v>
      </c>
      <c r="CL94" s="3866"/>
      <c r="CM94" s="3867"/>
      <c r="CN94" s="3834"/>
      <c r="CO94" s="3860">
        <f>SUM(R94:AL94)+SUM(AX94:BD94)+SUM(BJ94:BP94)+SUM(BV94:CB94)+SUM(CI94:CI94)</f>
        <v>-13.435000000000016</v>
      </c>
      <c r="CP94" s="3862"/>
      <c r="CT94" s="3816"/>
    </row>
    <row r="95" spans="1:108" s="3761" customFormat="1" ht="4.5" customHeight="1" thickBot="1" x14ac:dyDescent="0.25">
      <c r="D95" s="3421"/>
      <c r="H95" s="3763"/>
      <c r="L95" s="3763"/>
      <c r="M95" s="3421"/>
      <c r="N95" s="3421"/>
      <c r="O95" s="3421"/>
      <c r="P95" s="3868"/>
      <c r="Q95" s="3763"/>
      <c r="U95" s="3763"/>
      <c r="X95" s="3763"/>
      <c r="AA95" s="3763"/>
      <c r="AD95" s="3763"/>
      <c r="AG95" s="3763"/>
      <c r="AJ95" s="3763"/>
      <c r="AM95" s="3421"/>
      <c r="AW95" s="3421"/>
      <c r="BE95" s="3421"/>
      <c r="BI95" s="3421"/>
      <c r="BQ95" s="3421"/>
      <c r="BU95" s="3421"/>
      <c r="CC95" s="3421"/>
      <c r="CT95" s="3421"/>
    </row>
    <row r="96" spans="1:108" s="3761" customFormat="1" ht="21" thickBot="1" x14ac:dyDescent="0.25">
      <c r="B96" s="3762"/>
      <c r="C96" s="3762"/>
      <c r="D96" s="3763"/>
      <c r="E96" s="3764">
        <f>E94*20%</f>
        <v>4353.2</v>
      </c>
      <c r="F96" s="3764">
        <f>F94*20%</f>
        <v>4852.4000000000005</v>
      </c>
      <c r="G96" s="3764"/>
      <c r="H96" s="3765"/>
      <c r="I96" s="3764"/>
      <c r="J96" s="3764"/>
      <c r="K96" s="3764"/>
      <c r="L96" s="3766"/>
      <c r="M96" s="3843"/>
      <c r="N96" s="3843"/>
      <c r="O96" s="3843"/>
      <c r="P96" s="3844"/>
      <c r="Q96" s="3845"/>
      <c r="R96" s="3764">
        <f>R94*100/20</f>
        <v>8.012499999999978</v>
      </c>
      <c r="S96" s="3764">
        <f>S94*100/20</f>
        <v>-75.187500000000057</v>
      </c>
      <c r="T96" s="3764"/>
      <c r="U96" s="3765"/>
      <c r="V96" s="3764">
        <f>V94*100/20</f>
        <v>0</v>
      </c>
      <c r="W96" s="3764"/>
      <c r="X96" s="3771"/>
      <c r="Y96" s="3764">
        <f t="shared" ref="Y96:AL96" si="190">Y94*100/20</f>
        <v>0</v>
      </c>
      <c r="Z96" s="3764"/>
      <c r="AA96" s="3771"/>
      <c r="AB96" s="3764">
        <f t="shared" si="190"/>
        <v>0</v>
      </c>
      <c r="AC96" s="3764"/>
      <c r="AD96" s="3771"/>
      <c r="AE96" s="3764">
        <f t="shared" si="190"/>
        <v>0</v>
      </c>
      <c r="AF96" s="3764"/>
      <c r="AG96" s="3771"/>
      <c r="AH96" s="3764">
        <f t="shared" si="190"/>
        <v>0</v>
      </c>
      <c r="AI96" s="3764"/>
      <c r="AJ96" s="3771"/>
      <c r="AK96" s="3764"/>
      <c r="AL96" s="3764">
        <f t="shared" si="190"/>
        <v>0</v>
      </c>
      <c r="AM96" s="3770"/>
      <c r="AN96" s="3772">
        <f>SUM(R96:AL96)</f>
        <v>-67.175000000000082</v>
      </c>
      <c r="AO96" s="3773"/>
      <c r="AP96" s="3847"/>
      <c r="AQ96" s="3772"/>
      <c r="AR96" s="3773"/>
      <c r="AS96" s="3847"/>
      <c r="AT96" s="3772"/>
      <c r="AU96" s="3846"/>
      <c r="AV96" s="3847"/>
      <c r="AW96" s="3770"/>
      <c r="AX96" s="3775">
        <f t="shared" ref="AX96:BD96" si="191">AX94*100/20</f>
        <v>0</v>
      </c>
      <c r="AY96" s="3776">
        <f t="shared" si="191"/>
        <v>0</v>
      </c>
      <c r="AZ96" s="3776">
        <f t="shared" si="191"/>
        <v>0</v>
      </c>
      <c r="BA96" s="3776">
        <f t="shared" si="191"/>
        <v>0</v>
      </c>
      <c r="BB96" s="3776">
        <f t="shared" si="191"/>
        <v>0</v>
      </c>
      <c r="BC96" s="3776">
        <f t="shared" si="191"/>
        <v>0</v>
      </c>
      <c r="BD96" s="3777">
        <f t="shared" si="191"/>
        <v>0</v>
      </c>
      <c r="BE96" s="3770"/>
      <c r="BF96" s="3775">
        <f>SUM(AX96:BD96)</f>
        <v>0</v>
      </c>
      <c r="BG96" s="3776"/>
      <c r="BH96" s="3777"/>
      <c r="BI96" s="3765"/>
      <c r="BJ96" s="3775">
        <f>BJ94*100/20</f>
        <v>0</v>
      </c>
      <c r="BK96" s="3779">
        <f>BK94*100/20</f>
        <v>0</v>
      </c>
      <c r="BL96" s="3779">
        <f t="shared" ref="BL96:BM96" si="192">BL94*100/30</f>
        <v>0</v>
      </c>
      <c r="BM96" s="3779">
        <f t="shared" si="192"/>
        <v>0</v>
      </c>
      <c r="BN96" s="3779">
        <f t="shared" ref="BN96:BP96" si="193">BN94*100/20</f>
        <v>0</v>
      </c>
      <c r="BO96" s="3779">
        <f t="shared" si="193"/>
        <v>0</v>
      </c>
      <c r="BP96" s="3777">
        <f t="shared" si="193"/>
        <v>0</v>
      </c>
      <c r="BQ96" s="3848"/>
      <c r="BR96" s="3775">
        <f>SUM(BJ96:BP96)</f>
        <v>0</v>
      </c>
      <c r="BS96" s="3776"/>
      <c r="BT96" s="3777"/>
      <c r="BU96" s="3770"/>
      <c r="BV96" s="3775">
        <f t="shared" ref="BV96:CB96" si="194">BV94*100/30</f>
        <v>0</v>
      </c>
      <c r="BW96" s="3779">
        <f t="shared" si="194"/>
        <v>0</v>
      </c>
      <c r="BX96" s="3779">
        <f t="shared" si="194"/>
        <v>0</v>
      </c>
      <c r="BY96" s="3779">
        <f t="shared" si="194"/>
        <v>0</v>
      </c>
      <c r="BZ96" s="3779">
        <f t="shared" si="194"/>
        <v>0</v>
      </c>
      <c r="CA96" s="3779">
        <f t="shared" si="194"/>
        <v>0</v>
      </c>
      <c r="CB96" s="3777">
        <f t="shared" si="194"/>
        <v>0</v>
      </c>
      <c r="CC96" s="3770"/>
      <c r="CD96" s="3775">
        <f>SUM(BV96:CB96)</f>
        <v>0</v>
      </c>
      <c r="CE96" s="3776"/>
      <c r="CF96" s="3777"/>
      <c r="CH96" s="3775">
        <f t="shared" ref="CH96:CI96" si="195">CH94*100/30</f>
        <v>0</v>
      </c>
      <c r="CI96" s="3777">
        <f t="shared" si="195"/>
        <v>0</v>
      </c>
      <c r="CJ96" s="3849"/>
      <c r="CK96" s="3850">
        <f>SUM(CH96:CI96)</f>
        <v>0</v>
      </c>
      <c r="CL96" s="3851"/>
      <c r="CM96" s="3852"/>
      <c r="CN96" s="3820"/>
      <c r="CO96" s="3850">
        <f>SUM(R96:AL96)+SUM(AX96:BD96)+SUM(BJ96:BP96)+SUM(BV96:CB96)+SUM(CI96:CI96)</f>
        <v>-67.175000000000082</v>
      </c>
      <c r="CP96" s="3869">
        <f>CO96/CU25</f>
        <v>-67.175000000000082</v>
      </c>
      <c r="CT96" s="3421"/>
    </row>
    <row r="97" spans="3:63" ht="17.25" thickBot="1" x14ac:dyDescent="0.25"/>
    <row r="98" spans="3:63" ht="20.25" x14ac:dyDescent="0.2">
      <c r="C98" s="2449"/>
      <c r="D98" s="2450"/>
      <c r="E98" s="3876"/>
      <c r="F98" s="3877"/>
      <c r="G98" s="3877"/>
      <c r="H98" s="3877"/>
      <c r="I98" s="3878">
        <f>I99/30</f>
        <v>200</v>
      </c>
      <c r="J98" s="3883"/>
      <c r="K98" s="3909"/>
      <c r="L98" s="3884"/>
      <c r="M98" s="3884"/>
      <c r="N98" s="3885">
        <f>N99/30</f>
        <v>333.33333333333331</v>
      </c>
      <c r="O98" s="3913"/>
    </row>
    <row r="99" spans="3:63" ht="18" x14ac:dyDescent="0.2">
      <c r="C99" s="2449"/>
      <c r="D99" s="2450"/>
      <c r="E99" s="3879">
        <v>45000</v>
      </c>
      <c r="F99" s="3880">
        <v>30000</v>
      </c>
      <c r="G99" s="3880"/>
      <c r="H99" s="3880"/>
      <c r="I99" s="3881">
        <f>F99*20%</f>
        <v>6000</v>
      </c>
      <c r="J99" s="3886">
        <v>60000</v>
      </c>
      <c r="K99" s="3910"/>
      <c r="L99" s="3887"/>
      <c r="M99" s="3887">
        <v>50000</v>
      </c>
      <c r="N99" s="3888">
        <f>M99*20%</f>
        <v>10000</v>
      </c>
      <c r="O99" s="3914"/>
      <c r="Y99" s="2255"/>
      <c r="Z99" s="2255"/>
      <c r="AA99" s="3430"/>
      <c r="AB99" s="2256"/>
      <c r="AC99" s="2256"/>
      <c r="AD99" s="3431"/>
      <c r="AE99" s="2256"/>
      <c r="AF99" s="2256"/>
      <c r="AG99" s="3431"/>
      <c r="AH99" s="2257"/>
      <c r="AI99" s="2257"/>
      <c r="AJ99" s="1791"/>
      <c r="AK99" s="2257"/>
      <c r="AL99" s="2257"/>
      <c r="AM99" s="1915"/>
    </row>
    <row r="100" spans="3:63" ht="18" x14ac:dyDescent="0.2">
      <c r="C100" s="3179"/>
      <c r="D100" s="3388"/>
      <c r="E100" s="3882"/>
      <c r="F100" s="3880">
        <f>F99/30</f>
        <v>1000</v>
      </c>
      <c r="G100" s="3880"/>
      <c r="H100" s="1778"/>
      <c r="I100" s="3881">
        <f>I99-E47</f>
        <v>2897.4500000000003</v>
      </c>
      <c r="J100" s="3889"/>
      <c r="K100" s="3911"/>
      <c r="L100" s="3887"/>
      <c r="M100" s="3887">
        <f>M99/30</f>
        <v>1666.6666666666667</v>
      </c>
      <c r="N100" s="3888">
        <f>N99-F47</f>
        <v>6897.4500000000007</v>
      </c>
      <c r="O100" s="3914"/>
      <c r="BK100" s="2257"/>
    </row>
    <row r="101" spans="3:63" ht="18.75" thickBot="1" x14ac:dyDescent="0.25">
      <c r="C101" s="2771"/>
      <c r="D101" s="3388"/>
      <c r="E101" s="3893"/>
      <c r="F101" s="3894"/>
      <c r="G101" s="3894"/>
      <c r="H101" s="3894"/>
      <c r="I101" s="3895">
        <f>I100/2</f>
        <v>1448.7250000000001</v>
      </c>
      <c r="J101" s="3890"/>
      <c r="K101" s="3912"/>
      <c r="L101" s="3891"/>
      <c r="M101" s="3891"/>
      <c r="N101" s="3892">
        <f>N100/2</f>
        <v>3448.7250000000004</v>
      </c>
      <c r="O101" s="3915"/>
    </row>
    <row r="102" spans="3:63" ht="18" x14ac:dyDescent="0.2">
      <c r="M102" s="2449"/>
      <c r="N102" s="2449"/>
      <c r="O102" s="2449"/>
    </row>
  </sheetData>
  <mergeCells count="154">
    <mergeCell ref="B16:B17"/>
    <mergeCell ref="C16:C17"/>
    <mergeCell ref="E16:E17"/>
    <mergeCell ref="F16:F17"/>
    <mergeCell ref="I16:I17"/>
    <mergeCell ref="J16:J17"/>
    <mergeCell ref="M12:M13"/>
    <mergeCell ref="N16:N17"/>
    <mergeCell ref="E12:E13"/>
    <mergeCell ref="F12:F13"/>
    <mergeCell ref="I12:I13"/>
    <mergeCell ref="G12:G13"/>
    <mergeCell ref="G16:G17"/>
    <mergeCell ref="CO87:CO88"/>
    <mergeCell ref="CP87:CP88"/>
    <mergeCell ref="N87:N88"/>
    <mergeCell ref="M16:M17"/>
    <mergeCell ref="CD87:CD88"/>
    <mergeCell ref="CE87:CE88"/>
    <mergeCell ref="CF87:CF88"/>
    <mergeCell ref="CH87:CH88"/>
    <mergeCell ref="CI87:CI88"/>
    <mergeCell ref="CK87:CK88"/>
    <mergeCell ref="BW87:BW88"/>
    <mergeCell ref="BX87:BX88"/>
    <mergeCell ref="BY87:BY88"/>
    <mergeCell ref="BZ87:BZ88"/>
    <mergeCell ref="CA87:CA88"/>
    <mergeCell ref="CB87:CB88"/>
    <mergeCell ref="BO87:BO88"/>
    <mergeCell ref="BP87:BP88"/>
    <mergeCell ref="M49:N49"/>
    <mergeCell ref="W87:W88"/>
    <mergeCell ref="Z87:Z88"/>
    <mergeCell ref="AC87:AC88"/>
    <mergeCell ref="AF87:AF88"/>
    <mergeCell ref="AI87:AI88"/>
    <mergeCell ref="AK87:AK88"/>
    <mergeCell ref="AT87:AT88"/>
    <mergeCell ref="AU87:AU88"/>
    <mergeCell ref="AV87:AV88"/>
    <mergeCell ref="AN21:AP21"/>
    <mergeCell ref="CL87:CL88"/>
    <mergeCell ref="CM87:CM88"/>
    <mergeCell ref="BT87:BT88"/>
    <mergeCell ref="BV87:BV88"/>
    <mergeCell ref="BH87:BH88"/>
    <mergeCell ref="BJ87:BJ88"/>
    <mergeCell ref="BK87:BK88"/>
    <mergeCell ref="BL87:BL88"/>
    <mergeCell ref="BM87:BM88"/>
    <mergeCell ref="BN87:BN88"/>
    <mergeCell ref="BA87:BA88"/>
    <mergeCell ref="BB87:BB88"/>
    <mergeCell ref="BC87:BC88"/>
    <mergeCell ref="BD87:BD88"/>
    <mergeCell ref="BF87:BF88"/>
    <mergeCell ref="BG87:BG88"/>
    <mergeCell ref="DM3:DO3"/>
    <mergeCell ref="AX1:BD2"/>
    <mergeCell ref="BF1:BH2"/>
    <mergeCell ref="CR52:CS52"/>
    <mergeCell ref="CU53:CU62"/>
    <mergeCell ref="DE53:DE62"/>
    <mergeCell ref="CU66:CU75"/>
    <mergeCell ref="B87:B88"/>
    <mergeCell ref="C87:C88"/>
    <mergeCell ref="E87:E88"/>
    <mergeCell ref="I87:I88"/>
    <mergeCell ref="M87:M88"/>
    <mergeCell ref="R87:R88"/>
    <mergeCell ref="S87:S88"/>
    <mergeCell ref="J87:J88"/>
    <mergeCell ref="F87:F88"/>
    <mergeCell ref="AQ87:AQ88"/>
    <mergeCell ref="AR87:AR88"/>
    <mergeCell ref="AS87:AS88"/>
    <mergeCell ref="AN87:AN88"/>
    <mergeCell ref="AO87:AO88"/>
    <mergeCell ref="AP87:AP88"/>
    <mergeCell ref="AX87:AX88"/>
    <mergeCell ref="AY87:AY88"/>
    <mergeCell ref="DG15:DG16"/>
    <mergeCell ref="DW1:DW2"/>
    <mergeCell ref="CP1:CP16"/>
    <mergeCell ref="CR1:CU2"/>
    <mergeCell ref="DU1:DU2"/>
    <mergeCell ref="BR1:BT2"/>
    <mergeCell ref="BV1:CB2"/>
    <mergeCell ref="CD1:CF2"/>
    <mergeCell ref="CH1:CI2"/>
    <mergeCell ref="CK1:CM2"/>
    <mergeCell ref="CO1:CO16"/>
    <mergeCell ref="DH15:DH16"/>
    <mergeCell ref="DV1:DV2"/>
    <mergeCell ref="CV1:CY2"/>
    <mergeCell ref="CR3:CU3"/>
    <mergeCell ref="CV3:CY3"/>
    <mergeCell ref="CS15:CU16"/>
    <mergeCell ref="CW15:CY16"/>
    <mergeCell ref="DE3:DG3"/>
    <mergeCell ref="DI3:DK3"/>
    <mergeCell ref="DQ3:DS3"/>
    <mergeCell ref="DH7:DH8"/>
    <mergeCell ref="DL7:DL8"/>
    <mergeCell ref="CZ1:DC2"/>
    <mergeCell ref="C19:C21"/>
    <mergeCell ref="D19:D21"/>
    <mergeCell ref="N12:N13"/>
    <mergeCell ref="T87:T88"/>
    <mergeCell ref="BJ1:BP2"/>
    <mergeCell ref="DE12:DF13"/>
    <mergeCell ref="BF21:BH21"/>
    <mergeCell ref="BR21:BT21"/>
    <mergeCell ref="CD21:CF21"/>
    <mergeCell ref="CK21:CM21"/>
    <mergeCell ref="AN3:AP3"/>
    <mergeCell ref="AQ1:AS2"/>
    <mergeCell ref="AQ3:AS3"/>
    <mergeCell ref="AQ21:AS21"/>
    <mergeCell ref="CZ3:DC3"/>
    <mergeCell ref="AZ87:AZ88"/>
    <mergeCell ref="V87:V88"/>
    <mergeCell ref="Y87:Y88"/>
    <mergeCell ref="BR87:BR88"/>
    <mergeCell ref="BS87:BS88"/>
    <mergeCell ref="E10:F10"/>
    <mergeCell ref="AE87:AE88"/>
    <mergeCell ref="AH87:AH88"/>
    <mergeCell ref="AL87:AL88"/>
    <mergeCell ref="AT1:AV2"/>
    <mergeCell ref="AT3:AV3"/>
    <mergeCell ref="K12:K13"/>
    <mergeCell ref="K16:K17"/>
    <mergeCell ref="K87:K88"/>
    <mergeCell ref="G87:G88"/>
    <mergeCell ref="B1:O3"/>
    <mergeCell ref="O12:O13"/>
    <mergeCell ref="O16:O17"/>
    <mergeCell ref="O87:O88"/>
    <mergeCell ref="R1:AL2"/>
    <mergeCell ref="AN1:AP2"/>
    <mergeCell ref="B12:C13"/>
    <mergeCell ref="B4:C4"/>
    <mergeCell ref="B5:C5"/>
    <mergeCell ref="B6:C6"/>
    <mergeCell ref="B8:C8"/>
    <mergeCell ref="AB87:AB88"/>
    <mergeCell ref="J12:J13"/>
    <mergeCell ref="E49:F49"/>
    <mergeCell ref="I49:J49"/>
    <mergeCell ref="B9:C9"/>
    <mergeCell ref="B10:C10"/>
    <mergeCell ref="B19:B21"/>
  </mergeCells>
  <conditionalFormatting sqref="CP90">
    <cfRule type="cellIs" dxfId="109" priority="72" operator="greaterThan">
      <formula>0</formula>
    </cfRule>
    <cfRule type="cellIs" dxfId="108" priority="73" operator="lessThan">
      <formula>0</formula>
    </cfRule>
  </conditionalFormatting>
  <conditionalFormatting sqref="CU9:DC9">
    <cfRule type="cellIs" dxfId="107" priority="1" operator="lessThan">
      <formula>-10</formula>
    </cfRule>
  </conditionalFormatting>
  <conditionalFormatting sqref="BJ6:BP7 BV6:CB7">
    <cfRule type="cellIs" dxfId="106" priority="104" operator="lessThan">
      <formula>$I$87</formula>
    </cfRule>
    <cfRule type="cellIs" dxfId="105" priority="105" operator="between">
      <formula>$I$87</formula>
      <formula>$I$94</formula>
    </cfRule>
    <cfRule type="cellIs" dxfId="104" priority="106" operator="greaterThan">
      <formula>$F$100</formula>
    </cfRule>
  </conditionalFormatting>
  <conditionalFormatting sqref="BV6:CB7">
    <cfRule type="cellIs" dxfId="103" priority="118" operator="between">
      <formula>$F$100</formula>
      <formula>635</formula>
    </cfRule>
    <cfRule type="cellIs" dxfId="102" priority="119" operator="lessThan">
      <formula>$I$21</formula>
    </cfRule>
    <cfRule type="cellIs" dxfId="101" priority="120" operator="greaterThan">
      <formula>$F$100</formula>
    </cfRule>
    <cfRule type="cellIs" dxfId="100" priority="121" operator="lessThan">
      <formula>$I$21</formula>
    </cfRule>
    <cfRule type="cellIs" dxfId="99" priority="122" operator="greaterThan">
      <formula>$F$100</formula>
    </cfRule>
  </conditionalFormatting>
  <conditionalFormatting sqref="CH8:CI8 BJ8:BP8 BV8:CB8 R8 U8:AL8">
    <cfRule type="cellIs" dxfId="98" priority="142" operator="greaterThan">
      <formula>$I$98</formula>
    </cfRule>
  </conditionalFormatting>
  <conditionalFormatting sqref="AX8:BD8">
    <cfRule type="cellIs" dxfId="97" priority="158" operator="between">
      <formula>$I$47</formula>
      <formula>$I$98</formula>
    </cfRule>
    <cfRule type="cellIs" dxfId="96" priority="159" operator="lessThan">
      <formula>$I$47</formula>
    </cfRule>
    <cfRule type="cellIs" dxfId="95" priority="160" operator="greaterThan">
      <formula>$I$98</formula>
    </cfRule>
    <cfRule type="cellIs" dxfId="94" priority="161" operator="greaterThan">
      <formula>$I$98</formula>
    </cfRule>
  </conditionalFormatting>
  <conditionalFormatting sqref="BJ8:BP8 BV8:CB8">
    <cfRule type="cellIs" dxfId="93" priority="162" operator="lessThan">
      <formula>$M$87</formula>
    </cfRule>
    <cfRule type="cellIs" dxfId="92" priority="163" operator="between">
      <formula>$M$87</formula>
      <formula>$M$94</formula>
    </cfRule>
    <cfRule type="cellIs" dxfId="91" priority="164" operator="greaterThan">
      <formula>$I$98</formula>
    </cfRule>
    <cfRule type="cellIs" dxfId="90" priority="165" operator="greaterThan">
      <formula>$F$100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5D8B-20EA-4C54-B615-F55FF2F3A3C1}">
  <dimension ref="A1:FU100"/>
  <sheetViews>
    <sheetView zoomScale="80" zoomScaleNormal="80" zoomScaleSheetLayoutView="80" workbookViewId="0">
      <pane xSplit="15" ySplit="15" topLeftCell="AK16" activePane="bottomRight" state="frozen"/>
      <selection pane="topRight" activeCell="M1" sqref="M1"/>
      <selection pane="bottomLeft" activeCell="A16" sqref="A16"/>
      <selection pane="bottomRight" activeCell="BY9" sqref="BY9"/>
    </sheetView>
  </sheetViews>
  <sheetFormatPr defaultColWidth="9.125" defaultRowHeight="16.5" x14ac:dyDescent="0.2"/>
  <cols>
    <col min="1" max="1" width="1.75" style="1719" customWidth="1"/>
    <col min="2" max="2" width="3.375" style="1719" bestFit="1" customWidth="1"/>
    <col min="3" max="3" width="43.25" style="1719" bestFit="1" customWidth="1"/>
    <col min="4" max="4" width="0.875" style="1923" customWidth="1"/>
    <col min="5" max="5" width="10.625" style="1719" bestFit="1" customWidth="1"/>
    <col min="6" max="7" width="12.75" style="1719" hidden="1" customWidth="1"/>
    <col min="8" max="9" width="9.5" style="1719" hidden="1" customWidth="1"/>
    <col min="10" max="10" width="10.625" style="1719" bestFit="1" customWidth="1"/>
    <col min="11" max="11" width="11.25" style="1719" bestFit="1" customWidth="1"/>
    <col min="12" max="12" width="8.375" style="1719" bestFit="1" customWidth="1"/>
    <col min="13" max="13" width="8" style="1719" bestFit="1" customWidth="1"/>
    <col min="14" max="14" width="8.625" style="1719" bestFit="1" customWidth="1"/>
    <col min="15" max="15" width="0.875" style="1719" customWidth="1"/>
    <col min="16" max="16" width="0.875" style="1923" customWidth="1"/>
    <col min="17" max="17" width="9.5" style="1719" hidden="1" customWidth="1"/>
    <col min="18" max="23" width="10.875" style="1719" hidden="1" customWidth="1"/>
    <col min="24" max="24" width="0.875" style="1923" customWidth="1"/>
    <col min="25" max="25" width="8.75" style="1719" bestFit="1" customWidth="1"/>
    <col min="26" max="27" width="8.125" style="1719" bestFit="1" customWidth="1"/>
    <col min="28" max="28" width="0.875" style="1923" customWidth="1"/>
    <col min="29" max="35" width="9.5" style="1719" customWidth="1"/>
    <col min="36" max="36" width="0.875" style="1923" customWidth="1"/>
    <col min="37" max="37" width="9.25" style="1719" bestFit="1" customWidth="1"/>
    <col min="38" max="38" width="8.125" style="1719" customWidth="1"/>
    <col min="39" max="39" width="8.75" style="1719" bestFit="1" customWidth="1"/>
    <col min="40" max="40" width="0.875" style="1923" customWidth="1"/>
    <col min="41" max="41" width="9.5" style="1719" hidden="1" customWidth="1"/>
    <col min="42" max="47" width="10.875" style="1719" hidden="1" customWidth="1"/>
    <col min="48" max="48" width="0.875" style="1923" hidden="1" customWidth="1"/>
    <col min="49" max="49" width="10" style="1719" hidden="1" customWidth="1"/>
    <col min="50" max="50" width="9.25" style="1719" hidden="1" customWidth="1"/>
    <col min="51" max="51" width="10" style="1719" hidden="1" customWidth="1"/>
    <col min="52" max="52" width="0.875" style="1923" hidden="1" customWidth="1"/>
    <col min="53" max="53" width="12.375" style="1719" hidden="1" customWidth="1"/>
    <col min="54" max="59" width="10.875" style="1719" hidden="1" customWidth="1"/>
    <col min="60" max="60" width="0.875" style="1923" hidden="1" customWidth="1"/>
    <col min="61" max="63" width="10" style="1719" hidden="1" customWidth="1"/>
    <col min="64" max="64" width="0.875" style="1719" hidden="1" customWidth="1"/>
    <col min="65" max="66" width="11.125" style="1719" hidden="1" customWidth="1"/>
    <col min="67" max="67" width="10.875" style="1719" hidden="1" customWidth="1"/>
    <col min="68" max="68" width="0.875" style="1719" hidden="1" customWidth="1"/>
    <col min="69" max="69" width="10.625" style="1719" hidden="1" customWidth="1"/>
    <col min="70" max="70" width="9.25" style="1719" hidden="1" customWidth="1"/>
    <col min="71" max="71" width="10" style="1719" hidden="1" customWidth="1"/>
    <col min="72" max="72" width="0.875" style="1719" customWidth="1"/>
    <col min="73" max="73" width="7.75" style="1719" bestFit="1" customWidth="1"/>
    <col min="74" max="74" width="8.75" style="1719" bestFit="1" customWidth="1"/>
    <col min="75" max="75" width="0.875" style="1719" customWidth="1"/>
    <col min="76" max="76" width="9" style="1719" bestFit="1" customWidth="1"/>
    <col min="77" max="77" width="8.125" style="1719" bestFit="1" customWidth="1"/>
    <col min="78" max="78" width="0.875" style="1923" customWidth="1"/>
    <col min="79" max="79" width="9" style="1719" bestFit="1" customWidth="1"/>
    <col min="80" max="80" width="1.875" style="1719" customWidth="1"/>
    <col min="81" max="81" width="10.75" style="1719" bestFit="1" customWidth="1"/>
    <col min="82" max="82" width="13.25" style="1719" bestFit="1" customWidth="1"/>
    <col min="83" max="83" width="11.375" style="1719" bestFit="1" customWidth="1"/>
    <col min="84" max="84" width="14.25" style="1719" bestFit="1" customWidth="1"/>
    <col min="85" max="85" width="9.875" style="1719" bestFit="1" customWidth="1"/>
    <col min="86" max="86" width="12" style="1719" customWidth="1"/>
    <col min="87" max="87" width="10.875" style="1719" customWidth="1"/>
    <col min="88" max="88" width="10" style="1719" bestFit="1" customWidth="1"/>
    <col min="89" max="89" width="13" style="1719" bestFit="1" customWidth="1"/>
    <col min="90" max="90" width="12" style="1719" bestFit="1" customWidth="1"/>
    <col min="91" max="91" width="12.125" style="1719" bestFit="1" customWidth="1"/>
    <col min="92" max="92" width="11" style="1719" bestFit="1" customWidth="1"/>
    <col min="93" max="94" width="9.125" style="1719" customWidth="1"/>
    <col min="95" max="16384" width="9.125" style="1719"/>
  </cols>
  <sheetData>
    <row r="1" spans="2:177" s="1726" customFormat="1" ht="18" x14ac:dyDescent="0.2">
      <c r="C1" s="4834" t="s">
        <v>295</v>
      </c>
      <c r="D1" s="4835"/>
      <c r="E1" s="4835"/>
      <c r="F1" s="4835"/>
      <c r="G1" s="4835"/>
      <c r="H1" s="4835"/>
      <c r="I1" s="4835"/>
      <c r="J1" s="4835"/>
      <c r="K1" s="4835"/>
      <c r="L1" s="4835"/>
      <c r="M1" s="4835"/>
      <c r="N1" s="4836"/>
      <c r="P1" s="2453"/>
      <c r="Q1" s="4572" t="s">
        <v>135</v>
      </c>
      <c r="R1" s="4573"/>
      <c r="S1" s="4573"/>
      <c r="T1" s="4573"/>
      <c r="U1" s="4573"/>
      <c r="V1" s="4573"/>
      <c r="W1" s="4574"/>
      <c r="X1" s="1860"/>
      <c r="Y1" s="4541" t="s">
        <v>139</v>
      </c>
      <c r="Z1" s="4542"/>
      <c r="AA1" s="4543"/>
      <c r="AB1" s="1860"/>
      <c r="AC1" s="4572" t="s">
        <v>136</v>
      </c>
      <c r="AD1" s="4573"/>
      <c r="AE1" s="4573"/>
      <c r="AF1" s="4573"/>
      <c r="AG1" s="4573"/>
      <c r="AH1" s="4573"/>
      <c r="AI1" s="4574"/>
      <c r="AJ1" s="1860"/>
      <c r="AK1" s="4541" t="s">
        <v>140</v>
      </c>
      <c r="AL1" s="4542"/>
      <c r="AM1" s="4543"/>
      <c r="AN1" s="1860"/>
      <c r="AO1" s="4572" t="s">
        <v>137</v>
      </c>
      <c r="AP1" s="4573"/>
      <c r="AQ1" s="4573"/>
      <c r="AR1" s="4573"/>
      <c r="AS1" s="4573"/>
      <c r="AT1" s="4573"/>
      <c r="AU1" s="4574"/>
      <c r="AV1" s="1860"/>
      <c r="AW1" s="4541" t="s">
        <v>141</v>
      </c>
      <c r="AX1" s="4542"/>
      <c r="AY1" s="4543"/>
      <c r="AZ1" s="1860"/>
      <c r="BA1" s="4572" t="s">
        <v>138</v>
      </c>
      <c r="BB1" s="4573"/>
      <c r="BC1" s="4573"/>
      <c r="BD1" s="4573"/>
      <c r="BE1" s="4573"/>
      <c r="BF1" s="4573"/>
      <c r="BG1" s="4574"/>
      <c r="BH1" s="1860"/>
      <c r="BI1" s="4541" t="s">
        <v>142</v>
      </c>
      <c r="BJ1" s="4542"/>
      <c r="BK1" s="4543"/>
      <c r="BM1" s="4664" t="s">
        <v>145</v>
      </c>
      <c r="BN1" s="4678"/>
      <c r="BO1" s="4679"/>
      <c r="BQ1" s="4541" t="s">
        <v>146</v>
      </c>
      <c r="BR1" s="4542"/>
      <c r="BS1" s="4543"/>
      <c r="BU1" s="4613" t="s">
        <v>54</v>
      </c>
      <c r="BV1" s="4579" t="s">
        <v>61</v>
      </c>
      <c r="BX1" s="4582">
        <f>CD23/31</f>
        <v>0.41935483870967744</v>
      </c>
      <c r="BY1" s="4583"/>
      <c r="BZ1" s="4583"/>
      <c r="CA1" s="4584"/>
      <c r="CC1" s="2333">
        <f>BX5/CD23*31</f>
        <v>26609.102769230769</v>
      </c>
      <c r="CD1" s="3164">
        <f>CC1*BX8</f>
        <v>5446.4448461538468</v>
      </c>
      <c r="CE1" s="2329">
        <f>CD1-E45</f>
        <v>2548.2798461538473</v>
      </c>
      <c r="CF1" s="2762">
        <f>CE1/2</f>
        <v>1274.1399230769237</v>
      </c>
      <c r="CG1" s="4676"/>
      <c r="CH1" s="4676"/>
      <c r="CI1" s="4676"/>
      <c r="CK1" s="4676"/>
      <c r="CL1" s="4676"/>
      <c r="CM1" s="4676"/>
    </row>
    <row r="2" spans="2:177" ht="24" thickBot="1" x14ac:dyDescent="0.25">
      <c r="C2" s="4837"/>
      <c r="D2" s="4838"/>
      <c r="E2" s="4839"/>
      <c r="F2" s="4839"/>
      <c r="G2" s="4839"/>
      <c r="H2" s="4839"/>
      <c r="I2" s="4839"/>
      <c r="J2" s="4839"/>
      <c r="K2" s="4839"/>
      <c r="L2" s="4839"/>
      <c r="M2" s="4839"/>
      <c r="N2" s="4840"/>
      <c r="O2" s="1720"/>
      <c r="P2" s="4175"/>
      <c r="Q2" s="4575"/>
      <c r="R2" s="4576"/>
      <c r="S2" s="4576"/>
      <c r="T2" s="4576"/>
      <c r="U2" s="4576"/>
      <c r="V2" s="4576"/>
      <c r="W2" s="4577"/>
      <c r="X2" s="4176"/>
      <c r="Y2" s="4544"/>
      <c r="Z2" s="4545"/>
      <c r="AA2" s="4546"/>
      <c r="AB2" s="4176"/>
      <c r="AC2" s="4575"/>
      <c r="AD2" s="4576"/>
      <c r="AE2" s="4576"/>
      <c r="AF2" s="4576"/>
      <c r="AG2" s="4576"/>
      <c r="AH2" s="4576"/>
      <c r="AI2" s="4577"/>
      <c r="AJ2" s="4176"/>
      <c r="AK2" s="4544"/>
      <c r="AL2" s="4545"/>
      <c r="AM2" s="4546"/>
      <c r="AN2" s="4176"/>
      <c r="AO2" s="4575"/>
      <c r="AP2" s="4576"/>
      <c r="AQ2" s="4576"/>
      <c r="AR2" s="4576"/>
      <c r="AS2" s="4576"/>
      <c r="AT2" s="4576"/>
      <c r="AU2" s="4577"/>
      <c r="AV2" s="4176"/>
      <c r="AW2" s="4544"/>
      <c r="AX2" s="4545"/>
      <c r="AY2" s="4546"/>
      <c r="AZ2" s="4176"/>
      <c r="BA2" s="4575"/>
      <c r="BB2" s="4576"/>
      <c r="BC2" s="4576"/>
      <c r="BD2" s="4576"/>
      <c r="BE2" s="4576"/>
      <c r="BF2" s="4576"/>
      <c r="BG2" s="4577"/>
      <c r="BH2" s="4176"/>
      <c r="BI2" s="4544"/>
      <c r="BJ2" s="4545"/>
      <c r="BK2" s="4546"/>
      <c r="BL2" s="1724"/>
      <c r="BM2" s="4665"/>
      <c r="BN2" s="4680"/>
      <c r="BO2" s="4681"/>
      <c r="BP2" s="1724"/>
      <c r="BQ2" s="4544"/>
      <c r="BR2" s="4545"/>
      <c r="BS2" s="4546"/>
      <c r="BU2" s="4614"/>
      <c r="BV2" s="4580"/>
      <c r="BX2" s="4585"/>
      <c r="BY2" s="4586"/>
      <c r="BZ2" s="4586"/>
      <c r="CA2" s="4587"/>
      <c r="CC2" s="3518">
        <f>(N5*31)-CC1</f>
        <v>0</v>
      </c>
      <c r="CD2" s="3166">
        <f>CD1/CC1</f>
        <v>0.20468352102618811</v>
      </c>
      <c r="CE2" s="3167"/>
      <c r="CF2" s="3168"/>
      <c r="CG2" s="4676"/>
      <c r="CH2" s="4676"/>
      <c r="CI2" s="4676"/>
      <c r="CJ2" s="3169"/>
      <c r="CK2" s="4676"/>
      <c r="CL2" s="4676"/>
      <c r="CM2" s="4676"/>
      <c r="CN2" s="3169"/>
    </row>
    <row r="3" spans="2:177" ht="20.25" customHeight="1" x14ac:dyDescent="0.2">
      <c r="C3" s="4823" t="s">
        <v>189</v>
      </c>
      <c r="D3" s="4175"/>
      <c r="E3" s="4212"/>
      <c r="F3" s="4212"/>
      <c r="G3" s="4212"/>
      <c r="H3" s="4212"/>
      <c r="I3" s="4212"/>
      <c r="J3" s="4212"/>
      <c r="K3" s="4212"/>
      <c r="L3" s="4212"/>
      <c r="M3" s="4216"/>
      <c r="N3" s="4212"/>
      <c r="O3" s="1720"/>
      <c r="P3" s="4175"/>
      <c r="Q3" s="1871">
        <f t="shared" ref="Q3:V3" si="0">Q4/Q5</f>
        <v>-0.33668813361177702</v>
      </c>
      <c r="R3" s="1871">
        <f t="shared" si="0"/>
        <v>-0.23864888332535988</v>
      </c>
      <c r="S3" s="1871">
        <f t="shared" si="0"/>
        <v>1</v>
      </c>
      <c r="T3" s="1871">
        <f t="shared" si="0"/>
        <v>-0.27421478752445361</v>
      </c>
      <c r="U3" s="1871">
        <f t="shared" si="0"/>
        <v>-0.26709254265628873</v>
      </c>
      <c r="V3" s="1871">
        <f t="shared" si="0"/>
        <v>-0.16829209589586741</v>
      </c>
      <c r="W3" s="1871">
        <f t="shared" ref="W3" si="1">W4/W5</f>
        <v>-5.103921897588027E-2</v>
      </c>
      <c r="X3" s="4176"/>
      <c r="Y3" s="3039">
        <f>SUM(Q3:W3)</f>
        <v>-0.33597566198962692</v>
      </c>
      <c r="Z3" s="4826">
        <f>Y4/Y5</f>
        <v>-3.9768329968042589E-2</v>
      </c>
      <c r="AA3" s="4827"/>
      <c r="AB3" s="4176"/>
      <c r="AC3" s="4100">
        <f t="shared" ref="AC3" si="2">AC4/AC5</f>
        <v>0.12912017433500222</v>
      </c>
      <c r="AD3" s="4100">
        <f t="shared" ref="AD3:AF3" si="3">AD4/AD5</f>
        <v>0.27749448849560387</v>
      </c>
      <c r="AE3" s="4100">
        <f t="shared" si="3"/>
        <v>7.3449655454057905E-2</v>
      </c>
      <c r="AF3" s="4100">
        <f t="shared" si="3"/>
        <v>-0.21168570074276086</v>
      </c>
      <c r="AG3" s="4100">
        <f t="shared" ref="AG3:AH3" si="4">AG4/AG5</f>
        <v>-0.45845203808930751</v>
      </c>
      <c r="AH3" s="4100">
        <f t="shared" si="4"/>
        <v>-0.26408456256879465</v>
      </c>
      <c r="AI3" s="4100"/>
      <c r="AJ3" s="4176"/>
      <c r="AK3" s="3087">
        <f>SUM(AC3:AI3)</f>
        <v>-0.45415798311619898</v>
      </c>
      <c r="AL3" s="4841">
        <f>AK4/AK5</f>
        <v>-2.0014051992371756E-2</v>
      </c>
      <c r="AM3" s="4842"/>
      <c r="AN3" s="4176"/>
      <c r="AO3" s="4095"/>
      <c r="AP3" s="4095"/>
      <c r="AQ3" s="4095"/>
      <c r="AR3" s="4095"/>
      <c r="AS3" s="4095"/>
      <c r="AT3" s="4095"/>
      <c r="AU3" s="4095"/>
      <c r="AV3" s="4176"/>
      <c r="AW3" s="3099"/>
      <c r="AX3" s="3100"/>
      <c r="AY3" s="3101"/>
      <c r="AZ3" s="4176"/>
      <c r="BA3" s="4095"/>
      <c r="BB3" s="4095"/>
      <c r="BC3" s="4095"/>
      <c r="BD3" s="4095"/>
      <c r="BE3" s="4095"/>
      <c r="BF3" s="4095"/>
      <c r="BG3" s="4095"/>
      <c r="BH3" s="4176"/>
      <c r="BI3" s="3099"/>
      <c r="BJ3" s="3036"/>
      <c r="BK3" s="3037"/>
      <c r="BL3" s="1724"/>
      <c r="BM3" s="4192"/>
      <c r="BN3" s="4192"/>
      <c r="BO3" s="3125"/>
      <c r="BP3" s="1724"/>
      <c r="BQ3" s="3099" t="e">
        <f>(BQ5-BQ4)/BQ4</f>
        <v>#DIV/0!</v>
      </c>
      <c r="BR3" s="3036"/>
      <c r="BS3" s="3037"/>
      <c r="BU3" s="4614"/>
      <c r="BV3" s="4580"/>
      <c r="BX3" s="3099">
        <f>Y3+AK3</f>
        <v>-0.79013364510582584</v>
      </c>
      <c r="BY3" s="4830">
        <f>Z3+AL3</f>
        <v>-5.9782381960414341E-2</v>
      </c>
      <c r="BZ3" s="4830"/>
      <c r="CA3" s="4831"/>
      <c r="CC3" s="4208">
        <f>CC1+CC2</f>
        <v>26609.102769230769</v>
      </c>
      <c r="CD3" s="3171">
        <f>BY8</f>
        <v>2279.5100000000002</v>
      </c>
      <c r="CE3" s="3172">
        <f>CD3-E45</f>
        <v>-618.65499999999929</v>
      </c>
      <c r="CF3" s="4106">
        <f>CE3/2</f>
        <v>-309.32749999999965</v>
      </c>
      <c r="CG3" s="4209">
        <f>CC3*CD2</f>
        <v>5446.4448461538468</v>
      </c>
      <c r="CH3" s="4184"/>
      <c r="CI3" s="4184"/>
      <c r="CJ3" s="3169"/>
      <c r="CK3" s="4184"/>
      <c r="CL3" s="4184"/>
      <c r="CM3" s="4184"/>
      <c r="CN3" s="3169"/>
    </row>
    <row r="4" spans="2:177" ht="20.25" customHeight="1" thickBot="1" x14ac:dyDescent="0.25">
      <c r="C4" s="4824"/>
      <c r="D4" s="4175"/>
      <c r="E4" s="4212"/>
      <c r="F4" s="4212"/>
      <c r="G4" s="4212"/>
      <c r="H4" s="4212"/>
      <c r="I4" s="4212"/>
      <c r="J4" s="4212"/>
      <c r="K4" s="4212"/>
      <c r="L4" s="4212"/>
      <c r="M4" s="4216"/>
      <c r="N4" s="4212"/>
      <c r="O4" s="1720"/>
      <c r="P4" s="4175"/>
      <c r="Q4" s="1747">
        <f>Q5-'RAWABI INCOME 6-2020'!S5</f>
        <v>-261.505</v>
      </c>
      <c r="R4" s="1747">
        <f>R5-'RAWABI INCOME 6-2020'!T5</f>
        <v>-186.06999999999994</v>
      </c>
      <c r="S4" s="1747">
        <f>S5-'RAWABI INCOME 6-2020'!U5</f>
        <v>887.22299999999996</v>
      </c>
      <c r="T4" s="1747">
        <f>T5-'RAWABI INCOME 6-2020'!V5</f>
        <v>-282.16399999999999</v>
      </c>
      <c r="U4" s="1747">
        <f>U5-'RAWABI INCOME 6-2020'!W5</f>
        <v>-226.82300000000009</v>
      </c>
      <c r="V4" s="1747">
        <f>V5-'RAWABI INCOME 6-2020'!Q5</f>
        <v>-119.56799999999998</v>
      </c>
      <c r="W4" s="1747">
        <f>W5-'RAWABI INCOME 6-2020'!R5</f>
        <v>-50.80499999999995</v>
      </c>
      <c r="X4" s="4176"/>
      <c r="Y4" s="2021">
        <f>SUM(Q4:W4)</f>
        <v>-239.71199999999999</v>
      </c>
      <c r="Z4" s="4828"/>
      <c r="AA4" s="4829"/>
      <c r="AB4" s="4176"/>
      <c r="AC4" s="1747">
        <f>AC5-'RAWABI INCOME 6-2020'!AE5</f>
        <v>136.39699999999993</v>
      </c>
      <c r="AD4" s="1747">
        <f>AD5-'RAWABI INCOME 6-2020'!AF5</f>
        <v>309.26400000000012</v>
      </c>
      <c r="AE4" s="1747">
        <f>AE5-'RAWABI INCOME 6-2020'!AG5</f>
        <v>65.466999999999985</v>
      </c>
      <c r="AF4" s="1747">
        <f>AF5-'RAWABI INCOME 6-2020'!AH5</f>
        <v>-181.31599999999992</v>
      </c>
      <c r="AG4" s="1747">
        <f>AG5-'RAWABI INCOME 6-2020'!AI5</f>
        <v>-265.03800000000001</v>
      </c>
      <c r="AH4" s="1747">
        <f>AH5-'RAWABI INCOME 6-2020'!AC5</f>
        <v>-167.46500000000003</v>
      </c>
      <c r="AI4" s="1747"/>
      <c r="AJ4" s="4176"/>
      <c r="AK4" s="2956">
        <f>SUM(AC4:AI4)</f>
        <v>-102.69099999999992</v>
      </c>
      <c r="AL4" s="4843"/>
      <c r="AM4" s="4844"/>
      <c r="AN4" s="4176"/>
      <c r="AO4" s="1747"/>
      <c r="AP4" s="1747"/>
      <c r="AQ4" s="1747"/>
      <c r="AR4" s="1747"/>
      <c r="AS4" s="1747"/>
      <c r="AT4" s="1747"/>
      <c r="AU4" s="1747"/>
      <c r="AV4" s="4176"/>
      <c r="AW4" s="3102"/>
      <c r="AX4" s="3103"/>
      <c r="AY4" s="3104"/>
      <c r="AZ4" s="4176"/>
      <c r="BA4" s="1747"/>
      <c r="BB4" s="1747"/>
      <c r="BC4" s="1747"/>
      <c r="BD4" s="1747"/>
      <c r="BE4" s="1747"/>
      <c r="BF4" s="1747"/>
      <c r="BG4" s="1747"/>
      <c r="BH4" s="4176"/>
      <c r="BI4" s="2021"/>
      <c r="BJ4" s="3058"/>
      <c r="BK4" s="3038"/>
      <c r="BL4" s="1724"/>
      <c r="BM4" s="3201"/>
      <c r="BN4" s="3201"/>
      <c r="BO4" s="3201"/>
      <c r="BP4" s="1724"/>
      <c r="BQ4" s="2021">
        <f>SUM(BM4:BO4)</f>
        <v>0</v>
      </c>
      <c r="BR4" s="3058">
        <f>BQ5-BQ4</f>
        <v>0</v>
      </c>
      <c r="BS4" s="3038"/>
      <c r="BU4" s="4614"/>
      <c r="BV4" s="4580"/>
      <c r="BX4" s="4407">
        <f>Y4+AK4</f>
        <v>-342.40299999999991</v>
      </c>
      <c r="BY4" s="4832"/>
      <c r="BZ4" s="4832"/>
      <c r="CA4" s="4833"/>
      <c r="CC4" s="3165"/>
      <c r="CD4" s="3166">
        <f>CD3/BX5</f>
        <v>0.20428177013432441</v>
      </c>
      <c r="CE4" s="3167">
        <f>CE3/E7</f>
        <v>-3.5212520353608743</v>
      </c>
      <c r="CF4" s="3519"/>
      <c r="CG4" s="4210">
        <f>CG3-E45</f>
        <v>2548.2798461538473</v>
      </c>
      <c r="CH4" s="4184"/>
      <c r="CI4" s="4184"/>
      <c r="CJ4" s="3169"/>
      <c r="CK4" s="4184"/>
      <c r="CL4" s="4184"/>
      <c r="CM4" s="4184"/>
      <c r="CN4" s="3169"/>
    </row>
    <row r="5" spans="2:177" s="1726" customFormat="1" ht="24" thickBot="1" x14ac:dyDescent="0.25">
      <c r="C5" s="4824"/>
      <c r="D5" s="3055"/>
      <c r="E5" s="2260"/>
      <c r="F5" s="2260"/>
      <c r="G5" s="2260"/>
      <c r="H5" s="2260"/>
      <c r="I5" s="3048"/>
      <c r="J5" s="3048"/>
      <c r="K5" s="1728">
        <f>BX5</f>
        <v>11158.656000000001</v>
      </c>
      <c r="L5" s="1728"/>
      <c r="M5" s="1728"/>
      <c r="N5" s="2383">
        <f>BX5/CD23</f>
        <v>858.35815384615387</v>
      </c>
      <c r="O5" s="1730"/>
      <c r="P5" s="1731"/>
      <c r="Q5" s="1732">
        <v>776.69799999999998</v>
      </c>
      <c r="R5" s="1732">
        <v>779.68100000000004</v>
      </c>
      <c r="S5" s="1732">
        <v>887.22299999999996</v>
      </c>
      <c r="T5" s="1732">
        <v>1028.989</v>
      </c>
      <c r="U5" s="1732">
        <v>849.23</v>
      </c>
      <c r="V5" s="1732">
        <v>710.47900000000004</v>
      </c>
      <c r="W5" s="1732">
        <v>995.41099999999994</v>
      </c>
      <c r="X5" s="1733"/>
      <c r="Y5" s="4178">
        <f>SUM(Q5:W5)</f>
        <v>6027.7110000000002</v>
      </c>
      <c r="Z5" s="2275">
        <f>($K$45*100/20)*7</f>
        <v>3586.7494971201932</v>
      </c>
      <c r="AA5" s="4182">
        <f>Y5-Z5</f>
        <v>2440.9615028798071</v>
      </c>
      <c r="AB5" s="1737"/>
      <c r="AC5" s="1732">
        <v>1056.357</v>
      </c>
      <c r="AD5" s="1732">
        <v>1114.4870000000001</v>
      </c>
      <c r="AE5" s="1732">
        <v>891.31799999999998</v>
      </c>
      <c r="AF5" s="1732">
        <v>856.53399999999999</v>
      </c>
      <c r="AG5" s="1732">
        <v>578.11500000000001</v>
      </c>
      <c r="AH5" s="1732">
        <v>634.13400000000001</v>
      </c>
      <c r="AI5" s="1732"/>
      <c r="AJ5" s="1738"/>
      <c r="AK5" s="4178">
        <f>SUM(AC5:AI5)</f>
        <v>5130.9450000000006</v>
      </c>
      <c r="AL5" s="2275">
        <f>($K$45*100/20)*6</f>
        <v>3074.3567118173082</v>
      </c>
      <c r="AM5" s="4182">
        <f>AK5-AL5</f>
        <v>2056.5882881826924</v>
      </c>
      <c r="AN5" s="1738"/>
      <c r="AO5" s="1732"/>
      <c r="AP5" s="1732"/>
      <c r="AQ5" s="1732"/>
      <c r="AR5" s="1732"/>
      <c r="AS5" s="1732"/>
      <c r="AT5" s="1732"/>
      <c r="AU5" s="1732"/>
      <c r="AV5" s="3008">
        <v>417.84800000000001</v>
      </c>
      <c r="AW5" s="4178">
        <f>SUM(AO5:AU5)</f>
        <v>0</v>
      </c>
      <c r="AX5" s="2275">
        <f>($K$45*100/24)*0</f>
        <v>0</v>
      </c>
      <c r="AY5" s="4182">
        <f>AW5-AX5</f>
        <v>0</v>
      </c>
      <c r="AZ5" s="2205"/>
      <c r="BA5" s="1732"/>
      <c r="BB5" s="1732"/>
      <c r="BC5" s="1732"/>
      <c r="BD5" s="1732"/>
      <c r="BE5" s="1732"/>
      <c r="BF5" s="1732"/>
      <c r="BG5" s="1732"/>
      <c r="BH5" s="2205"/>
      <c r="BI5" s="4178">
        <f>SUM(BA5:BG5)</f>
        <v>0</v>
      </c>
      <c r="BJ5" s="2275">
        <f>($K$45*100/24)*0</f>
        <v>0</v>
      </c>
      <c r="BK5" s="4182">
        <f>BI5-BJ5</f>
        <v>0</v>
      </c>
      <c r="BL5" s="1861"/>
      <c r="BM5" s="4189"/>
      <c r="BN5" s="4189"/>
      <c r="BO5" s="4189"/>
      <c r="BP5" s="1861"/>
      <c r="BQ5" s="4178">
        <f>SUM(BM5:BO5)</f>
        <v>0</v>
      </c>
      <c r="BR5" s="2275">
        <f>($K$45*100/24)*0</f>
        <v>0</v>
      </c>
      <c r="BS5" s="4182">
        <f>BQ5-BR5</f>
        <v>0</v>
      </c>
      <c r="BU5" s="4614"/>
      <c r="BV5" s="4580"/>
      <c r="BX5" s="2345">
        <f>SUM(Q5:W5)+SUM(AC5:AI5)+SUM(AO5:AU5)+SUM(BA5:BG5)+SUM(BM5:BO5)</f>
        <v>11158.656000000001</v>
      </c>
      <c r="BY5" s="2346">
        <f>BX5/CC5</f>
        <v>0.77004973836893365</v>
      </c>
      <c r="BZ5" s="1997"/>
      <c r="CA5" s="2347">
        <f>BX5/CD23*29</f>
        <v>24892.386461538463</v>
      </c>
      <c r="CB5" s="1740"/>
      <c r="CC5" s="2747">
        <f>C45</f>
        <v>14490.824999999997</v>
      </c>
      <c r="CD5" s="2748">
        <f>CC5-BX5</f>
        <v>3332.1689999999962</v>
      </c>
      <c r="CE5" s="2749">
        <f>CD5/CD26</f>
        <v>185.12049999999979</v>
      </c>
      <c r="CF5" s="3506">
        <f>CC1/'RAWABI INCOME 6-2020'!CB1-1</f>
        <v>2.7426008710007999E-2</v>
      </c>
      <c r="CG5" s="4211">
        <f>CG4/2</f>
        <v>1274.1399230769237</v>
      </c>
      <c r="CH5" s="3108">
        <f>CG5-CF1</f>
        <v>0</v>
      </c>
      <c r="CI5" s="3108"/>
      <c r="CJ5" s="3174"/>
      <c r="CK5" s="3108"/>
      <c r="CL5" s="3108"/>
      <c r="CM5" s="3108"/>
      <c r="CN5" s="3174"/>
    </row>
    <row r="6" spans="2:177" ht="23.25" x14ac:dyDescent="0.2">
      <c r="C6" s="4824"/>
      <c r="D6" s="1847"/>
      <c r="E6" s="4224"/>
      <c r="F6" s="4224"/>
      <c r="G6" s="4224"/>
      <c r="H6" s="4224"/>
      <c r="I6" s="4225"/>
      <c r="J6" s="4225"/>
      <c r="K6" s="1746"/>
      <c r="L6" s="1746"/>
      <c r="M6" s="1746"/>
      <c r="N6" s="2382"/>
      <c r="O6" s="1720"/>
      <c r="P6" s="4214"/>
      <c r="Q6" s="4226">
        <v>616.46100000000001</v>
      </c>
      <c r="R6" s="4226">
        <v>615.73800000000006</v>
      </c>
      <c r="S6" s="4226">
        <v>698.77499999999998</v>
      </c>
      <c r="T6" s="4226">
        <v>819.38300000000004</v>
      </c>
      <c r="U6" s="4226">
        <v>680.49199999999996</v>
      </c>
      <c r="V6" s="4226">
        <v>568.66200000000003</v>
      </c>
      <c r="W6" s="4226">
        <v>799.65599999999995</v>
      </c>
      <c r="X6" s="1748"/>
      <c r="Y6" s="4227">
        <f>SUM(Q6:W6)</f>
        <v>4799.1670000000004</v>
      </c>
      <c r="Z6" s="4228">
        <v>4799.2389999999996</v>
      </c>
      <c r="AA6" s="4229">
        <f>Z6-Y6</f>
        <v>7.1999999999206921E-2</v>
      </c>
      <c r="AB6" s="4215"/>
      <c r="AC6" s="4230">
        <v>835.66</v>
      </c>
      <c r="AD6" s="4230">
        <v>902.423</v>
      </c>
      <c r="AE6" s="4230">
        <v>711.62699999999995</v>
      </c>
      <c r="AF6" s="4230">
        <v>678.75</v>
      </c>
      <c r="AG6" s="4230">
        <v>452.71199999999999</v>
      </c>
      <c r="AH6" s="4230">
        <v>494.41699999999997</v>
      </c>
      <c r="AI6" s="4230"/>
      <c r="AJ6" s="1723"/>
      <c r="AK6" s="4231">
        <f>SUM(AC6:AI6)</f>
        <v>4075.5889999999999</v>
      </c>
      <c r="AL6" s="4232">
        <v>4076.5129999999999</v>
      </c>
      <c r="AM6" s="4233">
        <f>AL6-AK6</f>
        <v>0.92399999999997817</v>
      </c>
      <c r="AN6" s="1723"/>
      <c r="AO6" s="4230"/>
      <c r="AP6" s="4230"/>
      <c r="AQ6" s="4230"/>
      <c r="AR6" s="4230"/>
      <c r="AS6" s="4230"/>
      <c r="AT6" s="4230"/>
      <c r="AU6" s="4230"/>
      <c r="AV6" s="4234"/>
      <c r="AW6" s="4231">
        <f>SUM(AO6:AU6)</f>
        <v>0</v>
      </c>
      <c r="AX6" s="4232"/>
      <c r="AY6" s="4233">
        <f>AX6-AW6</f>
        <v>0</v>
      </c>
      <c r="AZ6" s="2039"/>
      <c r="BA6" s="4230"/>
      <c r="BB6" s="4230"/>
      <c r="BC6" s="4230"/>
      <c r="BD6" s="4230"/>
      <c r="BE6" s="4230"/>
      <c r="BF6" s="4230"/>
      <c r="BG6" s="4230"/>
      <c r="BH6" s="2039"/>
      <c r="BI6" s="4231">
        <f>SUM(BA6:BG6)</f>
        <v>0</v>
      </c>
      <c r="BJ6" s="4232"/>
      <c r="BK6" s="4233">
        <f>BJ6-BI6</f>
        <v>0</v>
      </c>
      <c r="BL6" s="1994"/>
      <c r="BM6" s="3071"/>
      <c r="BN6" s="3071"/>
      <c r="BO6" s="3071"/>
      <c r="BP6" s="1994"/>
      <c r="BQ6" s="4231">
        <f>SUM(BM6:BO6)</f>
        <v>0</v>
      </c>
      <c r="BR6" s="4232"/>
      <c r="BS6" s="4233">
        <f>BR6-BQ6</f>
        <v>0</v>
      </c>
      <c r="BU6" s="4614"/>
      <c r="BV6" s="4580"/>
      <c r="BX6" s="4235">
        <f>Y6+AK6+AW6+BI6+BQ6</f>
        <v>8874.7560000000012</v>
      </c>
      <c r="BY6" s="4236">
        <v>8879.2189999999991</v>
      </c>
      <c r="BZ6" s="1993"/>
      <c r="CA6" s="4237">
        <f>BY6-BX6</f>
        <v>4.4629999999979191</v>
      </c>
      <c r="CB6" s="1754"/>
      <c r="CC6" s="4238"/>
      <c r="CD6" s="4239"/>
      <c r="CE6" s="4240"/>
      <c r="CF6" s="4241"/>
      <c r="CG6" s="4242"/>
      <c r="CH6" s="2271"/>
      <c r="CI6" s="2271"/>
      <c r="CJ6" s="3169"/>
      <c r="CK6" s="2271"/>
      <c r="CL6" s="2271"/>
      <c r="CM6" s="2271"/>
      <c r="CN6" s="3169"/>
    </row>
    <row r="7" spans="2:177" s="2713" customFormat="1" ht="24" thickBot="1" x14ac:dyDescent="0.25">
      <c r="C7" s="4824"/>
      <c r="D7" s="3056"/>
      <c r="E7" s="2716">
        <f>K7/CD23</f>
        <v>175.69176923076927</v>
      </c>
      <c r="F7" s="2716"/>
      <c r="G7" s="2716"/>
      <c r="H7" s="2716"/>
      <c r="I7" s="3049"/>
      <c r="J7" s="3049"/>
      <c r="K7" s="3052">
        <f>BX7</f>
        <v>2283.9930000000004</v>
      </c>
      <c r="L7" s="3052"/>
      <c r="M7" s="3052"/>
      <c r="N7" s="3053">
        <f>C45/N5</f>
        <v>16.882026383822563</v>
      </c>
      <c r="O7" s="2719"/>
      <c r="P7" s="2720"/>
      <c r="Q7" s="2782">
        <v>160.24700000000001</v>
      </c>
      <c r="R7" s="2782">
        <v>163.94900000000001</v>
      </c>
      <c r="S7" s="2782">
        <v>188.45500000000001</v>
      </c>
      <c r="T7" s="2782">
        <v>209.614</v>
      </c>
      <c r="U7" s="2782">
        <v>168.749</v>
      </c>
      <c r="V7" s="2782">
        <v>141.81899999999999</v>
      </c>
      <c r="W7" s="2782">
        <v>195.761</v>
      </c>
      <c r="X7" s="2722"/>
      <c r="Y7" s="2781">
        <f>SUM(Q7:W7)</f>
        <v>1228.5940000000001</v>
      </c>
      <c r="Z7" s="2782">
        <f>Z5*Y8</f>
        <v>731.06672029645858</v>
      </c>
      <c r="AA7" s="2783">
        <f>AA5*Y8</f>
        <v>497.52727970354147</v>
      </c>
      <c r="AB7" s="2723"/>
      <c r="AC7" s="2721">
        <v>220.708</v>
      </c>
      <c r="AD7" s="2721">
        <v>212.07599999999999</v>
      </c>
      <c r="AE7" s="2721">
        <v>179.70400000000001</v>
      </c>
      <c r="AF7" s="2721">
        <v>177.785</v>
      </c>
      <c r="AG7" s="2721">
        <v>125.40600000000001</v>
      </c>
      <c r="AH7" s="2721">
        <v>139.72</v>
      </c>
      <c r="AI7" s="2721"/>
      <c r="AJ7" s="2724"/>
      <c r="AK7" s="2781">
        <f>SUM(AC7:AI7)</f>
        <v>1055.3990000000001</v>
      </c>
      <c r="AL7" s="2782">
        <f>AL5*AK8</f>
        <v>632.37337357841011</v>
      </c>
      <c r="AM7" s="2783">
        <f>AM5*25%</f>
        <v>514.1470720456731</v>
      </c>
      <c r="AN7" s="2724"/>
      <c r="AO7" s="2721"/>
      <c r="AP7" s="2721"/>
      <c r="AQ7" s="2721"/>
      <c r="AR7" s="2721"/>
      <c r="AS7" s="2721"/>
      <c r="AT7" s="2721"/>
      <c r="AU7" s="2721"/>
      <c r="AV7" s="3009">
        <v>85.138999999999996</v>
      </c>
      <c r="AW7" s="2781">
        <f>SUM(AO7:AU7)</f>
        <v>0</v>
      </c>
      <c r="AX7" s="2782" t="e">
        <f>AX5*AW8</f>
        <v>#DIV/0!</v>
      </c>
      <c r="AY7" s="2783">
        <f>AY5*25%</f>
        <v>0</v>
      </c>
      <c r="AZ7" s="2725"/>
      <c r="BA7" s="2721"/>
      <c r="BB7" s="2721"/>
      <c r="BC7" s="2721"/>
      <c r="BD7" s="2721"/>
      <c r="BE7" s="2721"/>
      <c r="BF7" s="2721"/>
      <c r="BG7" s="2721"/>
      <c r="BH7" s="2725"/>
      <c r="BI7" s="2781">
        <f>SUM(BA7:BG7)</f>
        <v>0</v>
      </c>
      <c r="BJ7" s="2782" t="e">
        <f>BJ5*BI8</f>
        <v>#DIV/0!</v>
      </c>
      <c r="BK7" s="2783">
        <f>BK5*25%</f>
        <v>0</v>
      </c>
      <c r="BL7" s="2726"/>
      <c r="BM7" s="2721"/>
      <c r="BN7" s="2721"/>
      <c r="BO7" s="2721"/>
      <c r="BP7" s="2726"/>
      <c r="BQ7" s="2781">
        <f>SUM(BM7:BO7)</f>
        <v>0</v>
      </c>
      <c r="BR7" s="2782" t="e">
        <f>BR5*BQ8</f>
        <v>#DIV/0!</v>
      </c>
      <c r="BS7" s="2783">
        <f>BS5*25%</f>
        <v>0</v>
      </c>
      <c r="BU7" s="4614"/>
      <c r="BV7" s="4580"/>
      <c r="BX7" s="2727">
        <f>SUM(Q7:W7)+SUM(AC7:AI7)+SUM(AO7:AU7)+SUM(BA7:BG7)+SUM(BM7:BO7)</f>
        <v>2283.9930000000004</v>
      </c>
      <c r="BY7" s="2728">
        <f>BX7/E45</f>
        <v>0.78808245907324148</v>
      </c>
      <c r="BZ7" s="2729"/>
      <c r="CA7" s="2798"/>
      <c r="CB7" s="2730"/>
      <c r="CC7" s="3161"/>
      <c r="CD7" s="3162">
        <f>CD5/N5</f>
        <v>3.8820263838225633</v>
      </c>
      <c r="CE7" s="3163" t="s">
        <v>251</v>
      </c>
      <c r="CF7" s="3112" t="s">
        <v>253</v>
      </c>
      <c r="CG7" s="3109"/>
      <c r="CH7" s="3109"/>
      <c r="CI7" s="3109"/>
      <c r="CJ7" s="3175"/>
      <c r="CK7" s="3109"/>
      <c r="CL7" s="3109"/>
      <c r="CM7" s="3109"/>
      <c r="CN7" s="3175"/>
    </row>
    <row r="8" spans="2:177" s="1885" customFormat="1" ht="23.25" x14ac:dyDescent="0.2">
      <c r="C8" s="4824"/>
      <c r="D8" s="3057"/>
      <c r="E8" s="2813">
        <f>K8/2</f>
        <v>-307.08599999999956</v>
      </c>
      <c r="F8" s="2813"/>
      <c r="G8" s="2813"/>
      <c r="H8" s="2813"/>
      <c r="I8" s="3050"/>
      <c r="J8" s="3050"/>
      <c r="K8" s="2001">
        <f>K7-E45</f>
        <v>-614.17199999999912</v>
      </c>
      <c r="L8" s="2001"/>
      <c r="M8" s="2001"/>
      <c r="N8" s="3054">
        <f>K8-CE3</f>
        <v>4.4830000000001746</v>
      </c>
      <c r="O8" s="2816"/>
      <c r="P8" s="2817"/>
      <c r="Q8" s="4199">
        <f>Q7/Q5</f>
        <v>0.20631828587172879</v>
      </c>
      <c r="R8" s="4199">
        <f t="shared" ref="R8" si="5">R7/R5</f>
        <v>0.21027702355193983</v>
      </c>
      <c r="S8" s="4199">
        <f>S7/S5</f>
        <v>0.21240995781218477</v>
      </c>
      <c r="T8" s="4199">
        <f t="shared" ref="T8:W8" si="6">T7/T5</f>
        <v>0.20370868881980272</v>
      </c>
      <c r="U8" s="4199">
        <f>U7/U5</f>
        <v>0.19870824158355216</v>
      </c>
      <c r="V8" s="4199">
        <f t="shared" si="6"/>
        <v>0.19961040368540095</v>
      </c>
      <c r="W8" s="4199">
        <f t="shared" si="6"/>
        <v>0.19666348874987316</v>
      </c>
      <c r="X8" s="2819"/>
      <c r="Y8" s="2820">
        <f>Y7/Y5</f>
        <v>0.20382430411809724</v>
      </c>
      <c r="Z8" s="4204">
        <v>1228.5260000000001</v>
      </c>
      <c r="AA8" s="4205">
        <f>Z8-Y7</f>
        <v>-6.7999999999983629E-2</v>
      </c>
      <c r="AB8" s="2822"/>
      <c r="AC8" s="2818">
        <f t="shared" ref="AC8" si="7">AC7/AC5</f>
        <v>0.20893315422721676</v>
      </c>
      <c r="AD8" s="2818">
        <f t="shared" ref="AD8:AI8" si="8">AD7/AD5</f>
        <v>0.1902902411602827</v>
      </c>
      <c r="AE8" s="2818">
        <f t="shared" si="8"/>
        <v>0.20161603378367768</v>
      </c>
      <c r="AF8" s="2818">
        <f t="shared" ref="AF8:AG8" si="9">AF7/AF5</f>
        <v>0.20756327244452644</v>
      </c>
      <c r="AG8" s="2818">
        <f t="shared" si="9"/>
        <v>0.2169222386549389</v>
      </c>
      <c r="AH8" s="2818">
        <f t="shared" ref="AH8" si="10">AH7/AH5</f>
        <v>0.22033198030700135</v>
      </c>
      <c r="AI8" s="2818" t="e">
        <f t="shared" si="8"/>
        <v>#DIV/0!</v>
      </c>
      <c r="AJ8" s="2823"/>
      <c r="AK8" s="2820">
        <f>AK7/AK5</f>
        <v>0.20569290842135318</v>
      </c>
      <c r="AL8" s="2821">
        <v>1054.4680000000001</v>
      </c>
      <c r="AM8" s="3042">
        <f>AL8-AK7</f>
        <v>-0.93100000000004002</v>
      </c>
      <c r="AN8" s="2823"/>
      <c r="AO8" s="2818" t="e">
        <f t="shared" ref="AO8:AV8" si="11">AO7/AO5</f>
        <v>#DIV/0!</v>
      </c>
      <c r="AP8" s="2818" t="e">
        <f t="shared" si="11"/>
        <v>#DIV/0!</v>
      </c>
      <c r="AQ8" s="2818" t="e">
        <f t="shared" si="11"/>
        <v>#DIV/0!</v>
      </c>
      <c r="AR8" s="2818" t="e">
        <f t="shared" si="11"/>
        <v>#DIV/0!</v>
      </c>
      <c r="AS8" s="2818" t="e">
        <f t="shared" si="11"/>
        <v>#DIV/0!</v>
      </c>
      <c r="AT8" s="2818" t="e">
        <f t="shared" si="11"/>
        <v>#DIV/0!</v>
      </c>
      <c r="AU8" s="2818" t="e">
        <f t="shared" si="11"/>
        <v>#DIV/0!</v>
      </c>
      <c r="AV8" s="3010">
        <f t="shared" si="11"/>
        <v>0.20375591124045106</v>
      </c>
      <c r="AW8" s="2820" t="e">
        <f>AW7/AW5</f>
        <v>#DIV/0!</v>
      </c>
      <c r="AX8" s="2821"/>
      <c r="AY8" s="3042">
        <f>AX8-AW7</f>
        <v>0</v>
      </c>
      <c r="AZ8" s="2402"/>
      <c r="BA8" s="2818"/>
      <c r="BB8" s="2818"/>
      <c r="BC8" s="2818"/>
      <c r="BD8" s="2818"/>
      <c r="BE8" s="2818"/>
      <c r="BF8" s="2818"/>
      <c r="BG8" s="2818"/>
      <c r="BH8" s="2823"/>
      <c r="BI8" s="2820" t="e">
        <f>BI7/BI5</f>
        <v>#DIV/0!</v>
      </c>
      <c r="BJ8" s="2821"/>
      <c r="BK8" s="3042">
        <f>BJ8-BI7</f>
        <v>0</v>
      </c>
      <c r="BL8" s="2011"/>
      <c r="BM8" s="2818" t="e">
        <f t="shared" ref="BM8" si="12">BM7/BM5</f>
        <v>#DIV/0!</v>
      </c>
      <c r="BN8" s="2818" t="e">
        <f t="shared" ref="BN8:BO8" si="13">BN7/BN5</f>
        <v>#DIV/0!</v>
      </c>
      <c r="BO8" s="2818" t="e">
        <f t="shared" si="13"/>
        <v>#DIV/0!</v>
      </c>
      <c r="BP8" s="2823"/>
      <c r="BQ8" s="2820" t="e">
        <f>BQ7/BQ5</f>
        <v>#DIV/0!</v>
      </c>
      <c r="BR8" s="2821"/>
      <c r="BS8" s="3042">
        <f>BR8-BQ7</f>
        <v>0</v>
      </c>
      <c r="BU8" s="4614"/>
      <c r="BV8" s="4580"/>
      <c r="BX8" s="2820">
        <f>BX7/BX5</f>
        <v>0.20468352102618811</v>
      </c>
      <c r="BY8" s="4205">
        <v>2279.5100000000002</v>
      </c>
      <c r="BZ8" s="2010"/>
      <c r="CA8" s="4207">
        <f>BY8-BX7</f>
        <v>-4.4830000000001746</v>
      </c>
      <c r="CB8" s="1900"/>
      <c r="CC8" s="3158">
        <f>E45-BX7</f>
        <v>614.17199999999912</v>
      </c>
      <c r="CD8" s="3159">
        <f>CC8/E7</f>
        <v>3.4957357575088834</v>
      </c>
      <c r="CE8" s="3160"/>
      <c r="CF8" s="2828"/>
      <c r="CG8" s="3110"/>
      <c r="CH8" s="3110"/>
      <c r="CI8" s="3110"/>
      <c r="CJ8" s="3176"/>
      <c r="CK8" s="3110"/>
      <c r="CL8" s="3110"/>
      <c r="CM8" s="3110"/>
      <c r="CN8" s="3176"/>
    </row>
    <row r="9" spans="2:177" ht="24" thickBot="1" x14ac:dyDescent="0.25">
      <c r="C9" s="4825"/>
      <c r="D9" s="1847"/>
      <c r="E9" s="4163"/>
      <c r="F9" s="4163"/>
      <c r="G9" s="4163"/>
      <c r="H9" s="4163"/>
      <c r="I9" s="4163"/>
      <c r="J9" s="4163"/>
      <c r="K9" s="4163"/>
      <c r="L9" s="4163"/>
      <c r="M9" s="1745"/>
      <c r="N9" s="4163"/>
      <c r="O9" s="1720"/>
      <c r="P9" s="4175"/>
      <c r="Q9" s="4200">
        <f t="shared" ref="Q9:U9" si="14">Q7/Q6</f>
        <v>0.25994669573582108</v>
      </c>
      <c r="R9" s="4200">
        <f t="shared" si="14"/>
        <v>0.26626422277007428</v>
      </c>
      <c r="S9" s="4200">
        <f t="shared" si="14"/>
        <v>0.26969339200744163</v>
      </c>
      <c r="T9" s="4200">
        <f t="shared" si="14"/>
        <v>0.25581931770612765</v>
      </c>
      <c r="U9" s="4200">
        <f t="shared" si="14"/>
        <v>0.24798087266272051</v>
      </c>
      <c r="V9" s="4200">
        <f>V7/V6</f>
        <v>0.24939067495278386</v>
      </c>
      <c r="W9" s="4200">
        <f>W7/W6</f>
        <v>0.24480651680222495</v>
      </c>
      <c r="X9" s="1748"/>
      <c r="Y9" s="4201">
        <f>Y7/Y6</f>
        <v>0.25600151026209339</v>
      </c>
      <c r="Z9" s="4202">
        <f>Z8/Y6</f>
        <v>0.25598734113649307</v>
      </c>
      <c r="AA9" s="4203">
        <f>AA8/Y7</f>
        <v>-5.534782035398482E-5</v>
      </c>
      <c r="AB9" s="4177"/>
      <c r="AC9" s="3674">
        <f>AC7/AC6</f>
        <v>0.2641121987411148</v>
      </c>
      <c r="AD9" s="3674">
        <f t="shared" ref="AD9:AI9" si="15">AD7/AD6</f>
        <v>0.23500730810274117</v>
      </c>
      <c r="AE9" s="3674">
        <f t="shared" si="15"/>
        <v>0.25252555060445997</v>
      </c>
      <c r="AF9" s="3674">
        <f t="shared" ref="AF9:AG9" si="16">AF7/AF6</f>
        <v>0.26193001841620628</v>
      </c>
      <c r="AG9" s="3674">
        <f t="shared" si="16"/>
        <v>0.27701054975348566</v>
      </c>
      <c r="AH9" s="3674">
        <f t="shared" ref="AH9" si="17">AH7/AH6</f>
        <v>0.28259546091659471</v>
      </c>
      <c r="AI9" s="3674" t="e">
        <f t="shared" si="15"/>
        <v>#DIV/0!</v>
      </c>
      <c r="AJ9" s="1723"/>
      <c r="AK9" s="3874">
        <f>AK7/AK6</f>
        <v>0.25895619013595339</v>
      </c>
      <c r="AL9" s="4098">
        <f>AL8/AK6</f>
        <v>0.25872775689599714</v>
      </c>
      <c r="AM9" s="4099">
        <f>AM8/AK7</f>
        <v>-8.8213083393109135E-4</v>
      </c>
      <c r="AN9" s="1723"/>
      <c r="AO9" s="3674" t="e">
        <f t="shared" ref="AO9:AU9" si="18">AO7/AO6</f>
        <v>#DIV/0!</v>
      </c>
      <c r="AP9" s="3674" t="e">
        <f t="shared" si="18"/>
        <v>#DIV/0!</v>
      </c>
      <c r="AQ9" s="3674" t="e">
        <f t="shared" si="18"/>
        <v>#DIV/0!</v>
      </c>
      <c r="AR9" s="3674" t="e">
        <f t="shared" si="18"/>
        <v>#DIV/0!</v>
      </c>
      <c r="AS9" s="3674" t="e">
        <f t="shared" si="18"/>
        <v>#DIV/0!</v>
      </c>
      <c r="AT9" s="3674" t="e">
        <f t="shared" si="18"/>
        <v>#DIV/0!</v>
      </c>
      <c r="AU9" s="3674" t="e">
        <f t="shared" si="18"/>
        <v>#DIV/0!</v>
      </c>
      <c r="AV9" s="3011"/>
      <c r="AW9" s="3874" t="e">
        <f>AW7/AW6</f>
        <v>#DIV/0!</v>
      </c>
      <c r="AX9" s="4101" t="e">
        <f>AX8/AW6</f>
        <v>#DIV/0!</v>
      </c>
      <c r="AY9" s="4099" t="e">
        <f>AY8/AW7</f>
        <v>#DIV/0!</v>
      </c>
      <c r="AZ9" s="2039"/>
      <c r="BA9" s="3674"/>
      <c r="BB9" s="3674"/>
      <c r="BC9" s="3674"/>
      <c r="BD9" s="3674"/>
      <c r="BE9" s="3674"/>
      <c r="BF9" s="3674"/>
      <c r="BG9" s="3674"/>
      <c r="BH9" s="2039"/>
      <c r="BI9" s="3874" t="e">
        <f>BI7/BI6</f>
        <v>#DIV/0!</v>
      </c>
      <c r="BJ9" s="4101" t="e">
        <f>BJ8/BI6</f>
        <v>#DIV/0!</v>
      </c>
      <c r="BK9" s="4099" t="e">
        <f>BK8/BI7</f>
        <v>#DIV/0!</v>
      </c>
      <c r="BL9" s="1994"/>
      <c r="BM9" s="1752" t="e">
        <f t="shared" ref="BM9:BO9" si="19">BM7/BM6</f>
        <v>#DIV/0!</v>
      </c>
      <c r="BN9" s="1752" t="e">
        <f t="shared" si="19"/>
        <v>#DIV/0!</v>
      </c>
      <c r="BO9" s="1752" t="e">
        <f t="shared" si="19"/>
        <v>#DIV/0!</v>
      </c>
      <c r="BP9" s="1994"/>
      <c r="BQ9" s="3874" t="e">
        <f>BQ7/BQ6</f>
        <v>#DIV/0!</v>
      </c>
      <c r="BR9" s="4101" t="e">
        <f>BR8/BQ6</f>
        <v>#DIV/0!</v>
      </c>
      <c r="BS9" s="4099" t="e">
        <f>BS8/BQ7</f>
        <v>#DIV/0!</v>
      </c>
      <c r="BU9" s="4614"/>
      <c r="BV9" s="4580"/>
      <c r="BX9" s="4201">
        <f>BX7/BX6</f>
        <v>0.2573583994872648</v>
      </c>
      <c r="BY9" s="4203">
        <f>BY8/BX6</f>
        <v>0.25685325883889087</v>
      </c>
      <c r="BZ9" s="1993"/>
      <c r="CA9" s="4206">
        <f>CA8/BX7</f>
        <v>-1.9627906039993001E-3</v>
      </c>
      <c r="CB9" s="1754"/>
      <c r="CC9" s="2753"/>
      <c r="CD9" s="2754"/>
      <c r="CE9" s="2755"/>
      <c r="CF9" s="3177"/>
      <c r="CG9" s="2271"/>
      <c r="CH9" s="2271"/>
      <c r="CI9" s="2271"/>
      <c r="CJ9" s="3169"/>
      <c r="CK9" s="2271"/>
      <c r="CL9" s="2271"/>
      <c r="CM9" s="2271"/>
      <c r="CN9" s="3169"/>
    </row>
    <row r="10" spans="2:177" s="1923" customFormat="1" ht="5.25" customHeight="1" thickBot="1" x14ac:dyDescent="0.25">
      <c r="C10" s="4249"/>
      <c r="D10" s="4190"/>
      <c r="E10" s="4250"/>
      <c r="F10" s="4250"/>
      <c r="G10" s="4250"/>
      <c r="H10" s="4250"/>
      <c r="I10" s="4250"/>
      <c r="J10" s="4250"/>
      <c r="K10" s="3335"/>
      <c r="L10" s="3335"/>
      <c r="M10" s="3335"/>
      <c r="N10" s="4251"/>
      <c r="O10" s="4175"/>
      <c r="P10" s="4175"/>
      <c r="Q10" s="2026"/>
      <c r="R10" s="2026"/>
      <c r="S10" s="2026"/>
      <c r="T10" s="2026"/>
      <c r="U10" s="2026"/>
      <c r="V10" s="2026"/>
      <c r="W10" s="2026"/>
      <c r="X10" s="1994"/>
      <c r="Y10" s="4171"/>
      <c r="Z10" s="1801"/>
      <c r="AA10" s="4171"/>
      <c r="AB10" s="4176"/>
      <c r="AC10" s="2026"/>
      <c r="AD10" s="2026"/>
      <c r="AE10" s="2026"/>
      <c r="AF10" s="2026"/>
      <c r="AG10" s="2026"/>
      <c r="AH10" s="2026"/>
      <c r="AI10" s="2026"/>
      <c r="AJ10" s="4176"/>
      <c r="AK10" s="4171"/>
      <c r="AL10" s="1801"/>
      <c r="AM10" s="4171"/>
      <c r="AN10" s="4176"/>
      <c r="AO10" s="2026"/>
      <c r="AP10" s="2026"/>
      <c r="AQ10" s="2026"/>
      <c r="AR10" s="2026"/>
      <c r="AS10" s="2026"/>
      <c r="AT10" s="2026"/>
      <c r="AU10" s="2026"/>
      <c r="AV10" s="1994"/>
      <c r="AW10" s="4171"/>
      <c r="AX10" s="1801"/>
      <c r="AY10" s="4171"/>
      <c r="AZ10" s="1994"/>
      <c r="BA10" s="2026"/>
      <c r="BB10" s="2026"/>
      <c r="BC10" s="2026"/>
      <c r="BD10" s="2026"/>
      <c r="BE10" s="2026"/>
      <c r="BF10" s="2026"/>
      <c r="BG10" s="2026"/>
      <c r="BH10" s="1994"/>
      <c r="BI10" s="4171"/>
      <c r="BJ10" s="1801"/>
      <c r="BK10" s="4171"/>
      <c r="BL10" s="1994"/>
      <c r="BM10" s="4185"/>
      <c r="BN10" s="4185"/>
      <c r="BO10" s="4185"/>
      <c r="BP10" s="1994"/>
      <c r="BQ10" s="4171"/>
      <c r="BR10" s="1801"/>
      <c r="BS10" s="4171"/>
      <c r="BU10" s="4614"/>
      <c r="BV10" s="4580"/>
      <c r="BX10" s="1805"/>
      <c r="BY10" s="1993"/>
      <c r="BZ10" s="1993"/>
      <c r="CA10" s="2325"/>
      <c r="CB10" s="1994"/>
      <c r="CC10" s="2270"/>
      <c r="CD10" s="2270"/>
      <c r="CE10" s="2270"/>
      <c r="CF10" s="3177"/>
      <c r="CG10" s="2271"/>
      <c r="CH10" s="2271"/>
      <c r="CI10" s="2271"/>
      <c r="CJ10" s="3169"/>
      <c r="CK10" s="2271"/>
      <c r="CL10" s="2271"/>
      <c r="CM10" s="2271"/>
      <c r="CN10" s="3169"/>
    </row>
    <row r="11" spans="2:177" s="1810" customFormat="1" ht="17.25" customHeight="1" x14ac:dyDescent="0.2">
      <c r="C11" s="1811" t="s">
        <v>190</v>
      </c>
      <c r="D11" s="2578"/>
      <c r="E11" s="1812"/>
      <c r="F11" s="1812"/>
      <c r="G11" s="1812"/>
      <c r="H11" s="1812"/>
      <c r="I11" s="1812"/>
      <c r="J11" s="1812"/>
      <c r="K11" s="1813">
        <f>BX11</f>
        <v>531.6199328818268</v>
      </c>
      <c r="L11" s="1813"/>
      <c r="M11" s="1813"/>
      <c r="N11" s="4252">
        <f>CF1-K11</f>
        <v>742.51999019509685</v>
      </c>
      <c r="O11" s="1760"/>
      <c r="P11" s="1761"/>
      <c r="Q11" s="1735">
        <f t="shared" ref="Q11:W11" si="20">(Q7-Q45)/2</f>
        <v>28.884221469711541</v>
      </c>
      <c r="R11" s="1735">
        <f t="shared" si="20"/>
        <v>30.73522146971154</v>
      </c>
      <c r="S11" s="1735">
        <f t="shared" si="20"/>
        <v>70.855248357500002</v>
      </c>
      <c r="T11" s="1735">
        <f t="shared" si="20"/>
        <v>53.567721469711536</v>
      </c>
      <c r="U11" s="1735">
        <f t="shared" si="20"/>
        <v>33.135221469711531</v>
      </c>
      <c r="V11" s="1735">
        <f t="shared" si="20"/>
        <v>19.670221469711528</v>
      </c>
      <c r="W11" s="1735">
        <f t="shared" si="20"/>
        <v>46.641221469711532</v>
      </c>
      <c r="X11" s="4186"/>
      <c r="Y11" s="1771">
        <f>SUM(Q11:W11)</f>
        <v>283.48907717576918</v>
      </c>
      <c r="Z11" s="1815"/>
      <c r="AA11" s="1816"/>
      <c r="AB11" s="1764"/>
      <c r="AC11" s="1735">
        <f t="shared" ref="AC11:AI11" si="21">(AC7-AC45)/2</f>
        <v>59.114721469711533</v>
      </c>
      <c r="AD11" s="1735">
        <f t="shared" si="21"/>
        <v>54.798721469711531</v>
      </c>
      <c r="AE11" s="1735">
        <f t="shared" si="21"/>
        <v>66.4797483575</v>
      </c>
      <c r="AF11" s="1735">
        <f t="shared" si="21"/>
        <v>37.653221469711532</v>
      </c>
      <c r="AG11" s="1735">
        <f t="shared" si="21"/>
        <v>11.463721469711537</v>
      </c>
      <c r="AH11" s="1735">
        <f t="shared" si="21"/>
        <v>18.620721469711533</v>
      </c>
      <c r="AI11" s="1735">
        <f t="shared" si="21"/>
        <v>0</v>
      </c>
      <c r="AJ11" s="1764"/>
      <c r="AK11" s="1771">
        <f>SUM(AC11:AI11)</f>
        <v>248.13085570605767</v>
      </c>
      <c r="AL11" s="1815"/>
      <c r="AM11" s="1816"/>
      <c r="AN11" s="1764"/>
      <c r="AO11" s="1735">
        <f t="shared" ref="AO11:AU11" si="22">(AO7-AO45)/2</f>
        <v>0</v>
      </c>
      <c r="AP11" s="1735">
        <f t="shared" si="22"/>
        <v>0</v>
      </c>
      <c r="AQ11" s="1735">
        <f t="shared" si="22"/>
        <v>0</v>
      </c>
      <c r="AR11" s="1735">
        <f t="shared" si="22"/>
        <v>0</v>
      </c>
      <c r="AS11" s="1735">
        <f t="shared" si="22"/>
        <v>0</v>
      </c>
      <c r="AT11" s="1735">
        <f t="shared" si="22"/>
        <v>0</v>
      </c>
      <c r="AU11" s="1735">
        <f t="shared" si="22"/>
        <v>0</v>
      </c>
      <c r="AV11" s="2289"/>
      <c r="AW11" s="1771">
        <f>SUM(AO11:AU11)</f>
        <v>0</v>
      </c>
      <c r="AX11" s="1815"/>
      <c r="AY11" s="1816"/>
      <c r="AZ11" s="2289"/>
      <c r="BA11" s="1735">
        <f t="shared" ref="BA11:BG11" si="23">(BA7-BA45)/2</f>
        <v>0</v>
      </c>
      <c r="BB11" s="1735">
        <f t="shared" si="23"/>
        <v>0</v>
      </c>
      <c r="BC11" s="1735">
        <f t="shared" si="23"/>
        <v>0</v>
      </c>
      <c r="BD11" s="1735">
        <f t="shared" si="23"/>
        <v>0</v>
      </c>
      <c r="BE11" s="1735">
        <f t="shared" si="23"/>
        <v>0</v>
      </c>
      <c r="BF11" s="1735">
        <f t="shared" si="23"/>
        <v>0</v>
      </c>
      <c r="BG11" s="1735">
        <f t="shared" si="23"/>
        <v>0</v>
      </c>
      <c r="BH11" s="2289"/>
      <c r="BI11" s="1771">
        <f>SUM(BA11:BG11)</f>
        <v>0</v>
      </c>
      <c r="BJ11" s="1815"/>
      <c r="BK11" s="1816"/>
      <c r="BL11" s="4186"/>
      <c r="BM11" s="1735">
        <f>(BM7-BM45)/2</f>
        <v>0</v>
      </c>
      <c r="BN11" s="1735">
        <f>(BN7-BN45)/2</f>
        <v>0</v>
      </c>
      <c r="BO11" s="1735">
        <f>(BO7-BO45)/2</f>
        <v>0</v>
      </c>
      <c r="BP11" s="4186"/>
      <c r="BQ11" s="1771">
        <f>SUM(BM11:BO11)</f>
        <v>0</v>
      </c>
      <c r="BR11" s="1815"/>
      <c r="BS11" s="1816"/>
      <c r="BT11" s="4191"/>
      <c r="BU11" s="4614"/>
      <c r="BV11" s="4580"/>
      <c r="BW11" s="4191"/>
      <c r="BX11" s="1771">
        <f>SUM(Q11:W11)+SUM(AC11:AI11)+SUM(AO11:AU11)+SUM(BA11:BG11)+SUM(BO11:BO11)</f>
        <v>531.6199328818268</v>
      </c>
      <c r="BY11" s="2340"/>
      <c r="BZ11" s="1830"/>
      <c r="CA11" s="2348">
        <v>0</v>
      </c>
      <c r="CB11" s="1817"/>
      <c r="CC11" s="4687" t="s">
        <v>226</v>
      </c>
      <c r="CD11" s="4687"/>
      <c r="CE11" s="1818"/>
      <c r="CF11" s="1774"/>
      <c r="CG11" s="4191"/>
      <c r="CH11" s="4191"/>
      <c r="CI11" s="1819"/>
      <c r="CJ11" s="1820"/>
      <c r="CK11" s="4191"/>
      <c r="CL11" s="4191"/>
      <c r="CM11" s="1819"/>
      <c r="CN11" s="1820"/>
      <c r="CO11" s="1821"/>
      <c r="CP11" s="1821"/>
      <c r="CQ11" s="1821"/>
      <c r="CR11" s="1821"/>
      <c r="CS11" s="1821"/>
      <c r="CT11" s="1821"/>
      <c r="CU11" s="1821"/>
      <c r="CV11" s="1821"/>
      <c r="CW11" s="1821"/>
      <c r="CX11" s="1821"/>
      <c r="CY11" s="1821"/>
      <c r="CZ11" s="1821"/>
      <c r="DA11" s="1821"/>
      <c r="DB11" s="1821"/>
      <c r="DC11" s="1821"/>
      <c r="DD11" s="1821"/>
      <c r="DE11" s="1821"/>
      <c r="DF11" s="1821"/>
      <c r="DG11" s="1821"/>
      <c r="DH11" s="1821"/>
      <c r="DI11" s="1821"/>
      <c r="DJ11" s="1821"/>
      <c r="DK11" s="1821"/>
      <c r="DL11" s="1821"/>
      <c r="DM11" s="1821"/>
      <c r="DN11" s="1821"/>
      <c r="DO11" s="1821"/>
      <c r="DP11" s="1821"/>
      <c r="DQ11" s="1821"/>
      <c r="DR11" s="1821"/>
      <c r="DS11" s="1821"/>
      <c r="DT11" s="1821"/>
      <c r="DU11" s="1821"/>
      <c r="DV11" s="1821"/>
      <c r="DW11" s="1821"/>
      <c r="DX11" s="1821"/>
      <c r="DY11" s="1821"/>
      <c r="DZ11" s="1821"/>
      <c r="EA11" s="1821"/>
      <c r="EB11" s="1821"/>
      <c r="EC11" s="1821"/>
      <c r="ED11" s="1821"/>
      <c r="EE11" s="1821"/>
      <c r="EF11" s="1821"/>
      <c r="EG11" s="1821"/>
      <c r="EH11" s="1821"/>
      <c r="EI11" s="1821"/>
      <c r="EJ11" s="1821"/>
      <c r="EK11" s="1821"/>
      <c r="EL11" s="1821"/>
      <c r="EM11" s="1821"/>
      <c r="EN11" s="1821"/>
      <c r="EO11" s="1821"/>
      <c r="EP11" s="1821"/>
      <c r="EQ11" s="1821"/>
      <c r="ER11" s="1821"/>
      <c r="ES11" s="1821"/>
      <c r="ET11" s="1821"/>
      <c r="EU11" s="1821"/>
      <c r="EV11" s="1821"/>
      <c r="EW11" s="1821"/>
      <c r="EX11" s="1821"/>
      <c r="EY11" s="1821"/>
      <c r="EZ11" s="1821"/>
      <c r="FA11" s="1821"/>
      <c r="FB11" s="1821"/>
      <c r="FC11" s="1821"/>
      <c r="FD11" s="1821"/>
      <c r="FE11" s="1821"/>
      <c r="FF11" s="1821"/>
      <c r="FG11" s="1821"/>
      <c r="FH11" s="1821"/>
      <c r="FI11" s="1821"/>
      <c r="FJ11" s="1821"/>
      <c r="FK11" s="1821"/>
      <c r="FL11" s="1821"/>
      <c r="FM11" s="1821"/>
      <c r="FN11" s="1821"/>
      <c r="FO11" s="1821"/>
      <c r="FP11" s="1821"/>
      <c r="FQ11" s="1821"/>
      <c r="FR11" s="1821"/>
      <c r="FS11" s="1821"/>
      <c r="FT11" s="1821"/>
      <c r="FU11" s="1821"/>
    </row>
    <row r="12" spans="2:177" s="4190" customFormat="1" ht="4.5" customHeight="1" thickBot="1" x14ac:dyDescent="0.25">
      <c r="E12" s="1791"/>
      <c r="F12" s="1791"/>
      <c r="G12" s="1791"/>
      <c r="H12" s="1791"/>
      <c r="I12" s="1791"/>
      <c r="J12" s="1791"/>
      <c r="K12" s="1791"/>
      <c r="L12" s="1791"/>
      <c r="M12" s="1791"/>
      <c r="N12" s="1783"/>
      <c r="O12" s="1782"/>
      <c r="P12" s="1783"/>
      <c r="Q12" s="1803"/>
      <c r="R12" s="1803"/>
      <c r="S12" s="1803"/>
      <c r="T12" s="1803"/>
      <c r="U12" s="1803"/>
      <c r="V12" s="1803"/>
      <c r="W12" s="1803"/>
      <c r="X12" s="1801"/>
      <c r="Y12" s="1801"/>
      <c r="Z12" s="1801"/>
      <c r="AA12" s="1801"/>
      <c r="AB12" s="1791"/>
      <c r="AC12" s="1803"/>
      <c r="AD12" s="1803"/>
      <c r="AE12" s="1803"/>
      <c r="AF12" s="1803"/>
      <c r="AG12" s="1803"/>
      <c r="AH12" s="1803"/>
      <c r="AI12" s="1803"/>
      <c r="AJ12" s="1791"/>
      <c r="AK12" s="1801"/>
      <c r="AL12" s="1801"/>
      <c r="AM12" s="1801"/>
      <c r="AN12" s="1791"/>
      <c r="AO12" s="1803"/>
      <c r="AP12" s="1803"/>
      <c r="AQ12" s="1803"/>
      <c r="AR12" s="1803"/>
      <c r="AS12" s="1803"/>
      <c r="AT12" s="1803"/>
      <c r="AU12" s="1803"/>
      <c r="AV12" s="1801"/>
      <c r="AW12" s="1801"/>
      <c r="AX12" s="1801"/>
      <c r="AY12" s="1801"/>
      <c r="AZ12" s="1801"/>
      <c r="BA12" s="1803"/>
      <c r="BB12" s="1803"/>
      <c r="BC12" s="1803"/>
      <c r="BD12" s="1803"/>
      <c r="BE12" s="1803"/>
      <c r="BF12" s="1803"/>
      <c r="BG12" s="1803"/>
      <c r="BH12" s="1801"/>
      <c r="BI12" s="1801"/>
      <c r="BJ12" s="1801"/>
      <c r="BK12" s="1801"/>
      <c r="BL12" s="1801"/>
      <c r="BM12" s="1803"/>
      <c r="BN12" s="1803"/>
      <c r="BO12" s="1803"/>
      <c r="BP12" s="1801"/>
      <c r="BQ12" s="1801"/>
      <c r="BR12" s="1801"/>
      <c r="BS12" s="1801"/>
      <c r="BT12" s="1791"/>
      <c r="BU12" s="4614"/>
      <c r="BV12" s="4580"/>
      <c r="BW12" s="1791"/>
      <c r="BX12" s="1801"/>
      <c r="BY12" s="1802"/>
      <c r="BZ12" s="1802"/>
      <c r="CA12" s="1805"/>
      <c r="CB12" s="1806"/>
      <c r="CC12" s="1801"/>
      <c r="CD12" s="1805"/>
      <c r="CE12" s="1805"/>
      <c r="CF12" s="1797"/>
      <c r="CG12" s="1791"/>
      <c r="CH12" s="1791"/>
      <c r="CI12" s="1807"/>
      <c r="CJ12" s="1808"/>
      <c r="CK12" s="1791"/>
      <c r="CL12" s="1791"/>
      <c r="CM12" s="1807"/>
      <c r="CN12" s="1808"/>
      <c r="CO12" s="1809"/>
      <c r="CP12" s="1809"/>
      <c r="CQ12" s="1809"/>
      <c r="CR12" s="1809"/>
      <c r="CS12" s="1809"/>
      <c r="CT12" s="1809"/>
      <c r="CU12" s="1809"/>
      <c r="CV12" s="1809"/>
      <c r="CW12" s="1809"/>
      <c r="CX12" s="1809"/>
      <c r="CY12" s="1809"/>
      <c r="CZ12" s="1809"/>
      <c r="DA12" s="1809"/>
      <c r="DB12" s="1809"/>
      <c r="DC12" s="1809"/>
      <c r="DD12" s="1809"/>
      <c r="DE12" s="1809"/>
      <c r="DF12" s="1809"/>
      <c r="DG12" s="1809"/>
      <c r="DH12" s="1809"/>
      <c r="DI12" s="1809"/>
      <c r="DJ12" s="1809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  <c r="FR12" s="1809"/>
      <c r="FS12" s="1809"/>
      <c r="FT12" s="1809"/>
      <c r="FU12" s="1809"/>
    </row>
    <row r="13" spans="2:177" s="1756" customFormat="1" ht="15" customHeight="1" x14ac:dyDescent="0.2">
      <c r="C13" s="1810"/>
      <c r="D13" s="1810"/>
      <c r="N13" s="1810"/>
      <c r="O13" s="1827"/>
      <c r="P13" s="1810"/>
      <c r="Q13" s="1735" t="str">
        <f>TEXT(Q14,"DDDD")</f>
        <v>الأربعاء</v>
      </c>
      <c r="R13" s="1735" t="str">
        <f t="shared" ref="R13:W13" si="24">TEXT(R14,"DDDD")</f>
        <v>الخميس</v>
      </c>
      <c r="S13" s="1728" t="str">
        <f t="shared" si="24"/>
        <v>الجمعة</v>
      </c>
      <c r="T13" s="1735" t="str">
        <f t="shared" si="24"/>
        <v>السبت</v>
      </c>
      <c r="U13" s="1735" t="str">
        <f t="shared" si="24"/>
        <v>الأحد</v>
      </c>
      <c r="V13" s="1735" t="str">
        <f t="shared" si="24"/>
        <v>الإثنين</v>
      </c>
      <c r="W13" s="1735" t="str">
        <f t="shared" si="24"/>
        <v>الثلاثاء</v>
      </c>
      <c r="X13" s="4186"/>
      <c r="Y13" s="1771"/>
      <c r="Z13" s="1815"/>
      <c r="AA13" s="1816"/>
      <c r="AB13" s="1764"/>
      <c r="AC13" s="1735" t="str">
        <f>TEXT(AC14,"DDDD")</f>
        <v>الأربعاء</v>
      </c>
      <c r="AD13" s="1735" t="str">
        <f t="shared" ref="AD13:AI13" si="25">TEXT(AD14,"DDDD")</f>
        <v>الخميس</v>
      </c>
      <c r="AE13" s="1728" t="str">
        <f t="shared" si="25"/>
        <v>الجمعة</v>
      </c>
      <c r="AF13" s="1735" t="str">
        <f t="shared" si="25"/>
        <v>السبت</v>
      </c>
      <c r="AG13" s="1735" t="str">
        <f t="shared" si="25"/>
        <v>الأحد</v>
      </c>
      <c r="AH13" s="1735" t="str">
        <f t="shared" si="25"/>
        <v>الإثنين</v>
      </c>
      <c r="AI13" s="1735" t="str">
        <f t="shared" si="25"/>
        <v>الثلاثاء</v>
      </c>
      <c r="AJ13" s="1764"/>
      <c r="AK13" s="1771"/>
      <c r="AL13" s="1815"/>
      <c r="AM13" s="1829"/>
      <c r="AN13" s="1764"/>
      <c r="AO13" s="1735" t="str">
        <f>TEXT(AO14,"DDDD")</f>
        <v>الأربعاء</v>
      </c>
      <c r="AP13" s="1735" t="str">
        <f t="shared" ref="AP13:AU13" si="26">TEXT(AP14,"DDDD")</f>
        <v>الخميس</v>
      </c>
      <c r="AQ13" s="1728" t="str">
        <f t="shared" si="26"/>
        <v>الجمعة</v>
      </c>
      <c r="AR13" s="1735" t="str">
        <f t="shared" si="26"/>
        <v>السبت</v>
      </c>
      <c r="AS13" s="1735" t="str">
        <f t="shared" si="26"/>
        <v>الأحد</v>
      </c>
      <c r="AT13" s="1735" t="str">
        <f t="shared" si="26"/>
        <v>الإثنين</v>
      </c>
      <c r="AU13" s="1735" t="str">
        <f t="shared" si="26"/>
        <v>الثلاثاء</v>
      </c>
      <c r="AV13" s="2289"/>
      <c r="AW13" s="1771"/>
      <c r="AX13" s="1815"/>
      <c r="AY13" s="1816"/>
      <c r="AZ13" s="2289"/>
      <c r="BA13" s="1735" t="str">
        <f>TEXT(BA14,"DDDD")</f>
        <v>الأربعاء</v>
      </c>
      <c r="BB13" s="1735" t="str">
        <f t="shared" ref="BB13:BG13" si="27">TEXT(BB14,"DDDD")</f>
        <v>الخميس</v>
      </c>
      <c r="BC13" s="1728" t="str">
        <f t="shared" si="27"/>
        <v>الجمعة</v>
      </c>
      <c r="BD13" s="1735" t="str">
        <f t="shared" si="27"/>
        <v>السبت</v>
      </c>
      <c r="BE13" s="1735" t="str">
        <f t="shared" si="27"/>
        <v>الأحد</v>
      </c>
      <c r="BF13" s="1735" t="str">
        <f t="shared" si="27"/>
        <v>الإثنين</v>
      </c>
      <c r="BG13" s="1735" t="str">
        <f t="shared" si="27"/>
        <v>الثلاثاء</v>
      </c>
      <c r="BH13" s="2289"/>
      <c r="BI13" s="1771"/>
      <c r="BJ13" s="1815"/>
      <c r="BK13" s="1816"/>
      <c r="BL13" s="4186"/>
      <c r="BM13" s="1735" t="str">
        <f>TEXT(BM14,"DDDD")</f>
        <v>الأربعاء</v>
      </c>
      <c r="BN13" s="1735" t="str">
        <f t="shared" ref="BN13:BO13" si="28">TEXT(BN14,"DDDD")</f>
        <v>الخميس</v>
      </c>
      <c r="BO13" s="1728" t="str">
        <f t="shared" si="28"/>
        <v>الجمعة</v>
      </c>
      <c r="BP13" s="4186"/>
      <c r="BQ13" s="1771"/>
      <c r="BR13" s="1815"/>
      <c r="BS13" s="1816"/>
      <c r="BU13" s="4614"/>
      <c r="BV13" s="4580"/>
      <c r="BX13" s="4186"/>
      <c r="BY13" s="1830"/>
      <c r="BZ13" s="1830"/>
      <c r="CA13" s="1818"/>
      <c r="CB13" s="4168"/>
      <c r="CC13" s="2742">
        <f>BY5-BX1</f>
        <v>0.35069489965925621</v>
      </c>
      <c r="CD13" s="4607"/>
      <c r="CE13" s="4608" t="s">
        <v>101</v>
      </c>
      <c r="CF13" s="1831"/>
      <c r="CG13" s="1832"/>
      <c r="CH13" s="1832" t="s">
        <v>252</v>
      </c>
      <c r="CI13" s="1833"/>
      <c r="CJ13" s="1776"/>
      <c r="CK13" s="1776"/>
      <c r="CL13" s="1776"/>
      <c r="CM13" s="1834"/>
      <c r="CN13" s="1776"/>
      <c r="CO13" s="1776"/>
      <c r="CP13" s="1776"/>
      <c r="CQ13" s="1776"/>
      <c r="CR13" s="1776"/>
      <c r="CS13" s="1776"/>
      <c r="CT13" s="1776"/>
      <c r="CU13" s="1776"/>
      <c r="CV13" s="1776"/>
      <c r="CW13" s="1776"/>
      <c r="CX13" s="1776"/>
      <c r="CY13" s="1776"/>
      <c r="CZ13" s="1776"/>
      <c r="DA13" s="1776"/>
      <c r="DB13" s="1776"/>
      <c r="DC13" s="1776"/>
      <c r="DD13" s="1776"/>
      <c r="DE13" s="1776"/>
      <c r="DF13" s="1776"/>
      <c r="DG13" s="1776"/>
      <c r="DH13" s="1776"/>
      <c r="DI13" s="1776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  <c r="FR13" s="1776"/>
      <c r="FS13" s="1776"/>
      <c r="FT13" s="1776"/>
      <c r="FU13" s="1776"/>
    </row>
    <row r="14" spans="2:177" s="1777" customFormat="1" ht="18.75" thickBot="1" x14ac:dyDescent="0.25">
      <c r="B14" s="1835" t="s">
        <v>0</v>
      </c>
      <c r="C14" s="1836" t="s">
        <v>1</v>
      </c>
      <c r="D14" s="1744"/>
      <c r="E14" s="1836" t="s">
        <v>24</v>
      </c>
      <c r="F14" s="1837" t="s">
        <v>108</v>
      </c>
      <c r="G14" s="1838" t="s">
        <v>109</v>
      </c>
      <c r="H14" s="1839" t="s">
        <v>110</v>
      </c>
      <c r="I14" s="1840" t="s">
        <v>111</v>
      </c>
      <c r="J14" s="1836"/>
      <c r="K14" s="1841" t="s">
        <v>107</v>
      </c>
      <c r="L14" s="1841"/>
      <c r="M14" s="1841"/>
      <c r="N14" s="1836" t="s">
        <v>2</v>
      </c>
      <c r="O14" s="1842"/>
      <c r="P14" s="4190"/>
      <c r="Q14" s="3130">
        <v>44013</v>
      </c>
      <c r="R14" s="3130">
        <v>44014</v>
      </c>
      <c r="S14" s="3548">
        <v>44015</v>
      </c>
      <c r="T14" s="3130">
        <v>44016</v>
      </c>
      <c r="U14" s="3130">
        <v>44017</v>
      </c>
      <c r="V14" s="3130">
        <v>44018</v>
      </c>
      <c r="W14" s="3130">
        <v>44019</v>
      </c>
      <c r="X14" s="1843"/>
      <c r="Y14" s="1844"/>
      <c r="Z14" s="1845"/>
      <c r="AA14" s="1846"/>
      <c r="AB14" s="1847"/>
      <c r="AC14" s="3130">
        <v>44020</v>
      </c>
      <c r="AD14" s="3130">
        <v>44021</v>
      </c>
      <c r="AE14" s="3548">
        <v>44022</v>
      </c>
      <c r="AF14" s="3130">
        <v>44023</v>
      </c>
      <c r="AG14" s="3130">
        <v>44024</v>
      </c>
      <c r="AH14" s="3130">
        <v>44025</v>
      </c>
      <c r="AI14" s="3130">
        <v>44026</v>
      </c>
      <c r="AJ14" s="1744"/>
      <c r="AK14" s="1844"/>
      <c r="AL14" s="1845"/>
      <c r="AM14" s="1846"/>
      <c r="AN14" s="1744"/>
      <c r="AO14" s="3130">
        <v>44027</v>
      </c>
      <c r="AP14" s="3130">
        <v>44028</v>
      </c>
      <c r="AQ14" s="3548">
        <v>44029</v>
      </c>
      <c r="AR14" s="3130">
        <v>44030</v>
      </c>
      <c r="AS14" s="3130">
        <v>44031</v>
      </c>
      <c r="AT14" s="3130">
        <v>44032</v>
      </c>
      <c r="AU14" s="3130">
        <v>44033</v>
      </c>
      <c r="AV14" s="2291"/>
      <c r="AW14" s="1844"/>
      <c r="AX14" s="1845"/>
      <c r="AY14" s="1846"/>
      <c r="AZ14" s="2291"/>
      <c r="BA14" s="3130">
        <v>44034</v>
      </c>
      <c r="BB14" s="3130">
        <v>44035</v>
      </c>
      <c r="BC14" s="3548">
        <v>44036</v>
      </c>
      <c r="BD14" s="3130">
        <v>44037</v>
      </c>
      <c r="BE14" s="3130">
        <v>44038</v>
      </c>
      <c r="BF14" s="3130">
        <v>44039</v>
      </c>
      <c r="BG14" s="3130">
        <v>44040</v>
      </c>
      <c r="BH14" s="2291"/>
      <c r="BI14" s="1844"/>
      <c r="BJ14" s="1845"/>
      <c r="BK14" s="1846"/>
      <c r="BL14" s="1806"/>
      <c r="BM14" s="3130">
        <v>44041</v>
      </c>
      <c r="BN14" s="3130">
        <v>44042</v>
      </c>
      <c r="BO14" s="3548">
        <v>44043</v>
      </c>
      <c r="BP14" s="1806"/>
      <c r="BQ14" s="1844"/>
      <c r="BR14" s="1845"/>
      <c r="BS14" s="1846"/>
      <c r="BU14" s="4615"/>
      <c r="BV14" s="4581"/>
      <c r="BX14" s="1835" t="s">
        <v>7</v>
      </c>
      <c r="BY14" s="1835" t="s">
        <v>2</v>
      </c>
      <c r="BZ14" s="1806"/>
      <c r="CA14" s="1806"/>
      <c r="CB14" s="1795"/>
      <c r="CC14" s="2743">
        <f>BY7-BX1</f>
        <v>0.36872762036356405</v>
      </c>
      <c r="CD14" s="4607"/>
      <c r="CE14" s="4608"/>
      <c r="CF14" s="3178"/>
      <c r="CG14" s="1799"/>
      <c r="CH14" s="1799"/>
      <c r="CI14" s="1799"/>
      <c r="CJ14" s="1799"/>
      <c r="CK14" s="1799"/>
      <c r="CL14" s="1799"/>
      <c r="CM14" s="1799"/>
      <c r="CN14" s="1799"/>
      <c r="CO14" s="1799"/>
      <c r="CP14" s="1799"/>
      <c r="CQ14" s="1799"/>
      <c r="CR14" s="1799"/>
      <c r="CS14" s="1799"/>
      <c r="CT14" s="1799"/>
      <c r="CU14" s="1799"/>
      <c r="CV14" s="1799"/>
      <c r="CW14" s="1799"/>
      <c r="CX14" s="1799"/>
      <c r="CY14" s="1799"/>
      <c r="CZ14" s="1799"/>
      <c r="DA14" s="1799"/>
      <c r="DB14" s="1799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  <c r="FR14" s="1799"/>
      <c r="FS14" s="1799"/>
      <c r="FT14" s="1799"/>
      <c r="FU14" s="1799"/>
    </row>
    <row r="15" spans="2:177" s="1777" customFormat="1" ht="18" x14ac:dyDescent="0.2">
      <c r="B15" s="1806"/>
      <c r="C15" s="4190"/>
      <c r="D15" s="4190"/>
      <c r="E15" s="4190"/>
      <c r="F15" s="1849"/>
      <c r="G15" s="1850"/>
      <c r="H15" s="1851"/>
      <c r="I15" s="1852"/>
      <c r="J15" s="4190"/>
      <c r="K15" s="4190"/>
      <c r="L15" s="4190"/>
      <c r="M15" s="4219"/>
      <c r="N15" s="4190"/>
      <c r="O15" s="1842"/>
      <c r="P15" s="4190"/>
      <c r="Q15" s="3131">
        <f>WEEKDAY(Q14,16)</f>
        <v>5</v>
      </c>
      <c r="R15" s="3131">
        <f t="shared" ref="R15:W15" si="29">WEEKDAY(R14,16)</f>
        <v>6</v>
      </c>
      <c r="S15" s="4194">
        <f t="shared" si="29"/>
        <v>7</v>
      </c>
      <c r="T15" s="3131">
        <f t="shared" si="29"/>
        <v>1</v>
      </c>
      <c r="U15" s="3131">
        <f t="shared" si="29"/>
        <v>2</v>
      </c>
      <c r="V15" s="3131">
        <f t="shared" si="29"/>
        <v>3</v>
      </c>
      <c r="W15" s="3131">
        <f t="shared" si="29"/>
        <v>4</v>
      </c>
      <c r="X15" s="1806"/>
      <c r="Y15" s="1806"/>
      <c r="Z15" s="1806"/>
      <c r="AA15" s="1806"/>
      <c r="AB15" s="4190"/>
      <c r="AC15" s="1835">
        <f>WEEKDAY(AC14,16)</f>
        <v>5</v>
      </c>
      <c r="AD15" s="1835">
        <f>WEEKDAY(AD14,16)</f>
        <v>6</v>
      </c>
      <c r="AE15" s="1987">
        <f>WEEKDAY(AE14,16)</f>
        <v>7</v>
      </c>
      <c r="AF15" s="1835">
        <f>WEEKDAY(AF14,16)</f>
        <v>1</v>
      </c>
      <c r="AG15" s="1835">
        <f t="shared" ref="AG15:AI15" si="30">WEEKDAY(AG14,16)</f>
        <v>2</v>
      </c>
      <c r="AH15" s="1835">
        <f t="shared" si="30"/>
        <v>3</v>
      </c>
      <c r="AI15" s="1835">
        <f t="shared" si="30"/>
        <v>4</v>
      </c>
      <c r="AJ15" s="4190"/>
      <c r="AK15" s="1806"/>
      <c r="AL15" s="1806"/>
      <c r="AM15" s="1806"/>
      <c r="AN15" s="4190"/>
      <c r="AO15" s="1835">
        <f>WEEKDAY(AO14,16)</f>
        <v>5</v>
      </c>
      <c r="AP15" s="1835">
        <f t="shared" ref="AP15:AU15" si="31">WEEKDAY(AP14,16)</f>
        <v>6</v>
      </c>
      <c r="AQ15" s="1987">
        <f t="shared" si="31"/>
        <v>7</v>
      </c>
      <c r="AR15" s="1835">
        <f t="shared" si="31"/>
        <v>1</v>
      </c>
      <c r="AS15" s="1835">
        <f t="shared" si="31"/>
        <v>2</v>
      </c>
      <c r="AT15" s="1835">
        <f t="shared" si="31"/>
        <v>3</v>
      </c>
      <c r="AU15" s="1835">
        <f t="shared" si="31"/>
        <v>4</v>
      </c>
      <c r="AV15" s="1806"/>
      <c r="AW15" s="1806"/>
      <c r="AX15" s="1806"/>
      <c r="AY15" s="1806"/>
      <c r="AZ15" s="1806"/>
      <c r="BA15" s="1835">
        <f>WEEKDAY(BA14,16)</f>
        <v>5</v>
      </c>
      <c r="BB15" s="1835">
        <f t="shared" ref="BB15:BG15" si="32">WEEKDAY(BB14,16)</f>
        <v>6</v>
      </c>
      <c r="BC15" s="1987">
        <f t="shared" si="32"/>
        <v>7</v>
      </c>
      <c r="BD15" s="1835">
        <f t="shared" si="32"/>
        <v>1</v>
      </c>
      <c r="BE15" s="1835">
        <f t="shared" si="32"/>
        <v>2</v>
      </c>
      <c r="BF15" s="1835">
        <f t="shared" si="32"/>
        <v>3</v>
      </c>
      <c r="BG15" s="1835">
        <f t="shared" si="32"/>
        <v>4</v>
      </c>
      <c r="BH15" s="1806"/>
      <c r="BI15" s="1806"/>
      <c r="BJ15" s="1806"/>
      <c r="BK15" s="1806"/>
      <c r="BL15" s="1806"/>
      <c r="BM15" s="1835">
        <f>WEEKDAY(BM14,16)</f>
        <v>5</v>
      </c>
      <c r="BN15" s="1835">
        <f t="shared" ref="BN15:BO15" si="33">WEEKDAY(BN14,16)</f>
        <v>6</v>
      </c>
      <c r="BO15" s="1987">
        <f t="shared" si="33"/>
        <v>7</v>
      </c>
      <c r="BP15" s="1806"/>
      <c r="BQ15" s="1806"/>
      <c r="BR15" s="1806"/>
      <c r="BS15" s="1806"/>
      <c r="BU15" s="1853"/>
      <c r="BV15" s="1854"/>
      <c r="BX15" s="1806"/>
      <c r="BY15" s="1806"/>
      <c r="BZ15" s="1806"/>
      <c r="CA15" s="1806"/>
      <c r="CB15" s="1795"/>
      <c r="CC15" s="3132"/>
      <c r="CD15" s="4168"/>
      <c r="CE15" s="1806"/>
      <c r="CF15" s="1806"/>
      <c r="CG15" s="4190"/>
      <c r="CH15" s="4190"/>
      <c r="CI15" s="4190"/>
      <c r="CJ15" s="4190"/>
      <c r="CK15" s="4190"/>
      <c r="CL15" s="4190"/>
      <c r="CM15" s="4190"/>
      <c r="CN15" s="4190"/>
      <c r="CO15" s="4190"/>
      <c r="CP15" s="4190"/>
      <c r="CQ15" s="4190"/>
      <c r="CR15" s="4190"/>
      <c r="CS15" s="4190"/>
      <c r="CT15" s="4190"/>
      <c r="CU15" s="4190"/>
      <c r="CV15" s="4190"/>
      <c r="CW15" s="4190"/>
      <c r="CX15" s="4190"/>
      <c r="CY15" s="4190"/>
      <c r="CZ15" s="4190"/>
      <c r="DA15" s="4190"/>
      <c r="DB15" s="4190"/>
      <c r="DC15" s="4190"/>
      <c r="DD15" s="4190"/>
      <c r="DE15" s="4190"/>
      <c r="DF15" s="4190"/>
      <c r="DG15" s="4190"/>
      <c r="DH15" s="4190"/>
      <c r="DI15" s="4190"/>
      <c r="DJ15" s="4190"/>
      <c r="DK15" s="4190"/>
      <c r="DL15" s="4190"/>
      <c r="DM15" s="4190"/>
      <c r="DN15" s="4190"/>
      <c r="DO15" s="4190"/>
      <c r="DP15" s="4190"/>
      <c r="DQ15" s="4190"/>
      <c r="DR15" s="4190"/>
      <c r="DS15" s="4190"/>
      <c r="DT15" s="4190"/>
      <c r="DU15" s="4190"/>
      <c r="DV15" s="4190"/>
      <c r="DW15" s="4190"/>
      <c r="DX15" s="4190"/>
      <c r="DY15" s="4190"/>
      <c r="DZ15" s="4190"/>
      <c r="EA15" s="4190"/>
      <c r="EB15" s="4190"/>
      <c r="EC15" s="4190"/>
      <c r="ED15" s="4190"/>
      <c r="EE15" s="4190"/>
      <c r="EF15" s="4190"/>
      <c r="EG15" s="4190"/>
      <c r="EH15" s="4190"/>
      <c r="EI15" s="4190"/>
      <c r="EJ15" s="4190"/>
      <c r="EK15" s="4190"/>
      <c r="EL15" s="4190"/>
      <c r="EM15" s="4190"/>
      <c r="EN15" s="4190"/>
      <c r="EO15" s="4190"/>
      <c r="EP15" s="4190"/>
      <c r="EQ15" s="4190"/>
      <c r="ER15" s="4190"/>
      <c r="ES15" s="4190"/>
      <c r="ET15" s="4190"/>
      <c r="EU15" s="4190"/>
      <c r="EV15" s="4190"/>
      <c r="EW15" s="4190"/>
      <c r="EX15" s="4190"/>
      <c r="EY15" s="4190"/>
      <c r="EZ15" s="4190"/>
      <c r="FA15" s="4190"/>
      <c r="FB15" s="4190"/>
      <c r="FC15" s="4190"/>
      <c r="FD15" s="4190"/>
      <c r="FE15" s="4190"/>
      <c r="FF15" s="4190"/>
      <c r="FG15" s="4190"/>
      <c r="FH15" s="4190"/>
      <c r="FI15" s="4190"/>
      <c r="FJ15" s="4190"/>
      <c r="FK15" s="4190"/>
      <c r="FL15" s="4190"/>
      <c r="FM15" s="4190"/>
      <c r="FN15" s="4190"/>
      <c r="FO15" s="4190"/>
      <c r="FP15" s="4190"/>
      <c r="FQ15" s="4190"/>
      <c r="FR15" s="4190"/>
      <c r="FS15" s="4190"/>
      <c r="FT15" s="4190"/>
      <c r="FU15" s="4190"/>
    </row>
    <row r="16" spans="2:177" s="1777" customFormat="1" ht="4.5" customHeight="1" thickBot="1" x14ac:dyDescent="0.25">
      <c r="B16" s="1806"/>
      <c r="C16" s="4190"/>
      <c r="D16" s="4190"/>
      <c r="E16" s="4190"/>
      <c r="F16" s="1849"/>
      <c r="G16" s="1850"/>
      <c r="H16" s="1851"/>
      <c r="I16" s="1852"/>
      <c r="J16" s="4190"/>
      <c r="K16" s="4190"/>
      <c r="L16" s="4190"/>
      <c r="M16" s="4219"/>
      <c r="N16" s="4190"/>
      <c r="O16" s="1842"/>
      <c r="P16" s="4190"/>
      <c r="Q16" s="1806"/>
      <c r="R16" s="1806"/>
      <c r="S16" s="1806"/>
      <c r="T16" s="1806"/>
      <c r="U16" s="1806"/>
      <c r="V16" s="1806"/>
      <c r="W16" s="1806"/>
      <c r="X16" s="1806"/>
      <c r="Y16" s="1806"/>
      <c r="Z16" s="1806"/>
      <c r="AA16" s="1806"/>
      <c r="AB16" s="4190"/>
      <c r="AC16" s="1806"/>
      <c r="AD16" s="1806"/>
      <c r="AE16" s="1806"/>
      <c r="AF16" s="1806"/>
      <c r="AG16" s="1806"/>
      <c r="AH16" s="1806"/>
      <c r="AI16" s="1806"/>
      <c r="AJ16" s="4190"/>
      <c r="AK16" s="1806"/>
      <c r="AL16" s="1806"/>
      <c r="AM16" s="1806"/>
      <c r="AN16" s="4190"/>
      <c r="AO16" s="1806"/>
      <c r="AP16" s="1806"/>
      <c r="AQ16" s="1806"/>
      <c r="AR16" s="1806"/>
      <c r="AS16" s="1806"/>
      <c r="AT16" s="1806"/>
      <c r="AU16" s="1806"/>
      <c r="AV16" s="1806"/>
      <c r="AW16" s="1806"/>
      <c r="AX16" s="1806"/>
      <c r="AY16" s="1806"/>
      <c r="AZ16" s="1806"/>
      <c r="BA16" s="1806"/>
      <c r="BB16" s="1806"/>
      <c r="BC16" s="1806"/>
      <c r="BD16" s="1806"/>
      <c r="BE16" s="1806"/>
      <c r="BF16" s="1806"/>
      <c r="BG16" s="1806"/>
      <c r="BH16" s="1806"/>
      <c r="BI16" s="1806"/>
      <c r="BJ16" s="1806"/>
      <c r="BK16" s="1806"/>
      <c r="BL16" s="1806"/>
      <c r="BM16" s="1806"/>
      <c r="BN16" s="1806"/>
      <c r="BO16" s="1806"/>
      <c r="BP16" s="1806"/>
      <c r="BQ16" s="1806"/>
      <c r="BR16" s="1806"/>
      <c r="BS16" s="1806"/>
      <c r="BU16" s="1853"/>
      <c r="BV16" s="1854"/>
      <c r="BX16" s="4190"/>
      <c r="BY16" s="4190"/>
      <c r="BZ16" s="4190"/>
      <c r="CA16" s="4190"/>
      <c r="CC16" s="1922"/>
      <c r="CD16" s="4190"/>
      <c r="CE16" s="4190"/>
      <c r="CF16" s="4190"/>
      <c r="CG16" s="4190"/>
      <c r="CH16" s="4190"/>
      <c r="CI16" s="4190"/>
      <c r="CJ16" s="4190"/>
      <c r="CK16" s="4190"/>
      <c r="CL16" s="4190"/>
      <c r="CM16" s="4190"/>
      <c r="CN16" s="4190"/>
      <c r="CO16" s="4190"/>
      <c r="CP16" s="4190"/>
      <c r="CQ16" s="4190"/>
      <c r="CR16" s="4190"/>
      <c r="CS16" s="4190"/>
      <c r="CT16" s="4190"/>
      <c r="CU16" s="4190"/>
      <c r="CV16" s="4190"/>
      <c r="CW16" s="4190"/>
      <c r="CX16" s="4190"/>
      <c r="CY16" s="4190"/>
      <c r="CZ16" s="4190"/>
      <c r="DA16" s="4190"/>
      <c r="DB16" s="4190"/>
      <c r="DC16" s="4190"/>
      <c r="DD16" s="4190"/>
      <c r="DE16" s="4190"/>
      <c r="DF16" s="4190"/>
      <c r="DG16" s="4190"/>
      <c r="DH16" s="4190"/>
      <c r="DI16" s="4190"/>
      <c r="DJ16" s="4190"/>
      <c r="DK16" s="4190"/>
      <c r="DL16" s="4190"/>
      <c r="DM16" s="4190"/>
      <c r="DN16" s="4190"/>
      <c r="DO16" s="4190"/>
      <c r="DP16" s="4190"/>
      <c r="DQ16" s="4190"/>
      <c r="DR16" s="4190"/>
      <c r="DS16" s="4190"/>
      <c r="DT16" s="4190"/>
      <c r="DU16" s="4190"/>
      <c r="DV16" s="4190"/>
      <c r="DW16" s="4190"/>
      <c r="DX16" s="4190"/>
      <c r="DY16" s="4190"/>
      <c r="DZ16" s="4190"/>
      <c r="EA16" s="4190"/>
      <c r="EB16" s="4190"/>
      <c r="EC16" s="4190"/>
      <c r="ED16" s="4190"/>
      <c r="EE16" s="4190"/>
      <c r="EF16" s="4190"/>
      <c r="EG16" s="4190"/>
      <c r="EH16" s="4190"/>
      <c r="EI16" s="4190"/>
      <c r="EJ16" s="4190"/>
      <c r="EK16" s="4190"/>
      <c r="EL16" s="4190"/>
      <c r="EM16" s="4190"/>
      <c r="EN16" s="4190"/>
      <c r="EO16" s="4190"/>
      <c r="EP16" s="4190"/>
      <c r="EQ16" s="4190"/>
      <c r="ER16" s="4190"/>
      <c r="ES16" s="4190"/>
      <c r="ET16" s="4190"/>
      <c r="EU16" s="4190"/>
      <c r="EV16" s="4190"/>
      <c r="EW16" s="4190"/>
      <c r="EX16" s="4190"/>
      <c r="EY16" s="4190"/>
      <c r="EZ16" s="4190"/>
      <c r="FA16" s="4190"/>
      <c r="FB16" s="4190"/>
      <c r="FC16" s="4190"/>
      <c r="FD16" s="4190"/>
      <c r="FE16" s="4190"/>
      <c r="FF16" s="4190"/>
      <c r="FG16" s="4190"/>
      <c r="FH16" s="4190"/>
      <c r="FI16" s="4190"/>
      <c r="FJ16" s="4190"/>
      <c r="FK16" s="4190"/>
      <c r="FL16" s="4190"/>
      <c r="FM16" s="4190"/>
      <c r="FN16" s="4190"/>
      <c r="FO16" s="4190"/>
      <c r="FP16" s="4190"/>
      <c r="FQ16" s="4190"/>
      <c r="FR16" s="4190"/>
      <c r="FS16" s="4190"/>
      <c r="FT16" s="4190"/>
      <c r="FU16" s="4190"/>
    </row>
    <row r="17" spans="1:177" s="1777" customFormat="1" ht="21" customHeight="1" thickTop="1" x14ac:dyDescent="0.2">
      <c r="B17" s="1806"/>
      <c r="C17" s="4190"/>
      <c r="D17" s="4190"/>
      <c r="E17" s="4728"/>
      <c r="F17" s="1728"/>
      <c r="G17" s="1728"/>
      <c r="H17" s="1728"/>
      <c r="I17" s="4138"/>
      <c r="J17" s="4690" t="s">
        <v>291</v>
      </c>
      <c r="K17" s="4691"/>
      <c r="L17" s="4688" t="s">
        <v>297</v>
      </c>
      <c r="M17" s="4689"/>
      <c r="N17" s="4821"/>
      <c r="O17" s="4162"/>
      <c r="P17" s="4190"/>
      <c r="Q17" s="1806"/>
      <c r="R17" s="1806"/>
      <c r="S17" s="1806"/>
      <c r="T17" s="1806"/>
      <c r="U17" s="1806"/>
      <c r="V17" s="1806"/>
      <c r="W17" s="1806"/>
      <c r="X17" s="1806"/>
      <c r="Y17" s="1806"/>
      <c r="Z17" s="1806"/>
      <c r="AA17" s="1806"/>
      <c r="AB17" s="4190"/>
      <c r="AC17" s="1806"/>
      <c r="AD17" s="1806"/>
      <c r="AE17" s="1806"/>
      <c r="AF17" s="1806"/>
      <c r="AG17" s="1806"/>
      <c r="AH17" s="1806"/>
      <c r="AI17" s="1806"/>
      <c r="AJ17" s="4190"/>
      <c r="AK17" s="1806"/>
      <c r="AL17" s="1806"/>
      <c r="AM17" s="1806"/>
      <c r="AN17" s="4190"/>
      <c r="AO17" s="1806"/>
      <c r="AP17" s="1806"/>
      <c r="AQ17" s="1806"/>
      <c r="AR17" s="1806"/>
      <c r="AS17" s="1806"/>
      <c r="AT17" s="1806"/>
      <c r="AU17" s="1806"/>
      <c r="AV17" s="1806"/>
      <c r="AW17" s="1806"/>
      <c r="AX17" s="1806"/>
      <c r="AY17" s="1806"/>
      <c r="AZ17" s="1806"/>
      <c r="BA17" s="1806"/>
      <c r="BB17" s="1806"/>
      <c r="BC17" s="1806"/>
      <c r="BD17" s="1806"/>
      <c r="BE17" s="1806"/>
      <c r="BF17" s="1806"/>
      <c r="BG17" s="1806"/>
      <c r="BH17" s="1806"/>
      <c r="BI17" s="1806"/>
      <c r="BJ17" s="1806"/>
      <c r="BK17" s="1806"/>
      <c r="BL17" s="1806"/>
      <c r="BM17" s="1806"/>
      <c r="BN17" s="1806"/>
      <c r="BO17" s="1806"/>
      <c r="BP17" s="1806"/>
      <c r="BQ17" s="1806"/>
      <c r="BR17" s="1806"/>
      <c r="BS17" s="1806"/>
      <c r="BU17" s="1853"/>
      <c r="BV17" s="1854"/>
      <c r="BX17" s="4190"/>
      <c r="BY17" s="4190"/>
      <c r="BZ17" s="4190"/>
      <c r="CA17" s="4190"/>
      <c r="CC17" s="1922"/>
      <c r="CD17" s="4190"/>
      <c r="CE17" s="4190"/>
      <c r="CF17" s="4190"/>
      <c r="CG17" s="4190"/>
      <c r="CH17" s="4190"/>
      <c r="CI17" s="4190"/>
      <c r="CJ17" s="4190"/>
      <c r="CK17" s="4190"/>
      <c r="CL17" s="4190"/>
      <c r="CM17" s="4190"/>
      <c r="CN17" s="4190"/>
      <c r="CO17" s="4190"/>
      <c r="CP17" s="4190"/>
      <c r="CQ17" s="4190"/>
      <c r="CR17" s="4190"/>
      <c r="CS17" s="4190"/>
      <c r="CT17" s="4190"/>
      <c r="CU17" s="4190"/>
      <c r="CV17" s="4190"/>
      <c r="CW17" s="4190"/>
      <c r="CX17" s="4190"/>
      <c r="CY17" s="4190"/>
      <c r="CZ17" s="4190"/>
      <c r="DA17" s="4190"/>
      <c r="DB17" s="4190"/>
      <c r="DC17" s="4190"/>
      <c r="DD17" s="4190"/>
      <c r="DE17" s="4190"/>
      <c r="DF17" s="4190"/>
      <c r="DG17" s="4190"/>
      <c r="DH17" s="4190"/>
      <c r="DI17" s="4190"/>
      <c r="DJ17" s="4190"/>
      <c r="DK17" s="4190"/>
      <c r="DL17" s="4190"/>
      <c r="DM17" s="4190"/>
      <c r="DN17" s="4190"/>
      <c r="DO17" s="4190"/>
      <c r="DP17" s="4190"/>
      <c r="DQ17" s="4190"/>
      <c r="DR17" s="4190"/>
      <c r="DS17" s="4190"/>
      <c r="DT17" s="4190"/>
      <c r="DU17" s="4190"/>
      <c r="DV17" s="4190"/>
      <c r="DW17" s="4190"/>
      <c r="DX17" s="4190"/>
      <c r="DY17" s="4190"/>
      <c r="DZ17" s="4190"/>
      <c r="EA17" s="4190"/>
      <c r="EB17" s="4190"/>
      <c r="EC17" s="4190"/>
      <c r="ED17" s="4190"/>
      <c r="EE17" s="4190"/>
      <c r="EF17" s="4190"/>
      <c r="EG17" s="4190"/>
      <c r="EH17" s="4190"/>
      <c r="EI17" s="4190"/>
      <c r="EJ17" s="4190"/>
      <c r="EK17" s="4190"/>
      <c r="EL17" s="4190"/>
      <c r="EM17" s="4190"/>
      <c r="EN17" s="4190"/>
      <c r="EO17" s="4190"/>
      <c r="EP17" s="4190"/>
      <c r="EQ17" s="4190"/>
      <c r="ER17" s="4190"/>
      <c r="ES17" s="4190"/>
      <c r="ET17" s="4190"/>
      <c r="EU17" s="4190"/>
      <c r="EV17" s="4190"/>
      <c r="EW17" s="4190"/>
      <c r="EX17" s="4190"/>
      <c r="EY17" s="4190"/>
      <c r="EZ17" s="4190"/>
      <c r="FA17" s="4190"/>
      <c r="FB17" s="4190"/>
      <c r="FC17" s="4190"/>
      <c r="FD17" s="4190"/>
      <c r="FE17" s="4190"/>
      <c r="FF17" s="4190"/>
      <c r="FG17" s="4190"/>
      <c r="FH17" s="4190"/>
      <c r="FI17" s="4190"/>
      <c r="FJ17" s="4190"/>
      <c r="FK17" s="4190"/>
      <c r="FL17" s="4190"/>
      <c r="FM17" s="4190"/>
      <c r="FN17" s="4190"/>
      <c r="FO17" s="4190"/>
      <c r="FP17" s="4190"/>
      <c r="FQ17" s="4190"/>
      <c r="FR17" s="4190"/>
      <c r="FS17" s="4190"/>
      <c r="FT17" s="4190"/>
      <c r="FU17" s="4190"/>
    </row>
    <row r="18" spans="1:177" s="1777" customFormat="1" ht="21" customHeight="1" x14ac:dyDescent="0.2">
      <c r="B18" s="1806"/>
      <c r="C18" s="4190"/>
      <c r="D18" s="4190"/>
      <c r="E18" s="4729"/>
      <c r="F18" s="1728"/>
      <c r="G18" s="1728"/>
      <c r="H18" s="1728"/>
      <c r="I18" s="4138"/>
      <c r="J18" s="4692"/>
      <c r="K18" s="4693"/>
      <c r="L18" s="4142" t="s">
        <v>296</v>
      </c>
      <c r="M18" s="4143" t="s">
        <v>292</v>
      </c>
      <c r="N18" s="4822"/>
      <c r="O18" s="4162"/>
      <c r="P18" s="4190"/>
      <c r="Q18" s="1806"/>
      <c r="R18" s="1806"/>
      <c r="S18" s="1806"/>
      <c r="T18" s="1806"/>
      <c r="U18" s="1806"/>
      <c r="V18" s="1806"/>
      <c r="W18" s="1806"/>
      <c r="X18" s="1806"/>
      <c r="Y18" s="1806"/>
      <c r="Z18" s="1806"/>
      <c r="AA18" s="1806"/>
      <c r="AB18" s="4190"/>
      <c r="AC18" s="1806"/>
      <c r="AD18" s="1806"/>
      <c r="AE18" s="1806"/>
      <c r="AF18" s="1806"/>
      <c r="AG18" s="1806"/>
      <c r="AH18" s="1806"/>
      <c r="AI18" s="1806"/>
      <c r="AJ18" s="4190"/>
      <c r="AK18" s="1806"/>
      <c r="AL18" s="1806"/>
      <c r="AM18" s="1806"/>
      <c r="AN18" s="4190"/>
      <c r="AO18" s="1806"/>
      <c r="AP18" s="1806"/>
      <c r="AQ18" s="1806"/>
      <c r="AR18" s="1806"/>
      <c r="AS18" s="1806"/>
      <c r="AT18" s="1806"/>
      <c r="AU18" s="1806"/>
      <c r="AV18" s="1806"/>
      <c r="AW18" s="1806"/>
      <c r="AX18" s="1806"/>
      <c r="AY18" s="1806"/>
      <c r="AZ18" s="1806"/>
      <c r="BA18" s="1806"/>
      <c r="BB18" s="1806"/>
      <c r="BC18" s="1806"/>
      <c r="BD18" s="1806"/>
      <c r="BE18" s="1806"/>
      <c r="BF18" s="1806"/>
      <c r="BG18" s="1806"/>
      <c r="BH18" s="1806"/>
      <c r="BI18" s="1806"/>
      <c r="BJ18" s="1806"/>
      <c r="BK18" s="1806"/>
      <c r="BL18" s="1806"/>
      <c r="BM18" s="1806"/>
      <c r="BN18" s="1806"/>
      <c r="BO18" s="1806"/>
      <c r="BP18" s="1806"/>
      <c r="BQ18" s="1806"/>
      <c r="BR18" s="1806"/>
      <c r="BS18" s="1806"/>
      <c r="BU18" s="1853"/>
      <c r="BV18" s="1854"/>
      <c r="BX18" s="4190"/>
      <c r="BY18" s="4190"/>
      <c r="BZ18" s="4190"/>
      <c r="CA18" s="4190"/>
      <c r="CC18" s="1922"/>
      <c r="CD18" s="4190"/>
      <c r="CE18" s="4190"/>
      <c r="CF18" s="4190"/>
      <c r="CG18" s="4190"/>
      <c r="CH18" s="4190"/>
      <c r="CI18" s="4190"/>
      <c r="CJ18" s="4190"/>
      <c r="CK18" s="4190"/>
      <c r="CL18" s="4190"/>
      <c r="CM18" s="4190"/>
      <c r="CN18" s="4190"/>
      <c r="CO18" s="4190"/>
      <c r="CP18" s="4190"/>
      <c r="CQ18" s="4190"/>
      <c r="CR18" s="4190"/>
      <c r="CS18" s="4190"/>
      <c r="CT18" s="4190"/>
      <c r="CU18" s="4190"/>
      <c r="CV18" s="4190"/>
      <c r="CW18" s="4190"/>
      <c r="CX18" s="4190"/>
      <c r="CY18" s="4190"/>
      <c r="CZ18" s="4190"/>
      <c r="DA18" s="4190"/>
      <c r="DB18" s="4190"/>
      <c r="DC18" s="4190"/>
      <c r="DD18" s="4190"/>
      <c r="DE18" s="4190"/>
      <c r="DF18" s="4190"/>
      <c r="DG18" s="4190"/>
      <c r="DH18" s="4190"/>
      <c r="DI18" s="4190"/>
      <c r="DJ18" s="4190"/>
      <c r="DK18" s="4190"/>
      <c r="DL18" s="4190"/>
      <c r="DM18" s="4190"/>
      <c r="DN18" s="4190"/>
      <c r="DO18" s="4190"/>
      <c r="DP18" s="4190"/>
      <c r="DQ18" s="4190"/>
      <c r="DR18" s="4190"/>
      <c r="DS18" s="4190"/>
      <c r="DT18" s="4190"/>
      <c r="DU18" s="4190"/>
      <c r="DV18" s="4190"/>
      <c r="DW18" s="4190"/>
      <c r="DX18" s="4190"/>
      <c r="DY18" s="4190"/>
      <c r="DZ18" s="4190"/>
      <c r="EA18" s="4190"/>
      <c r="EB18" s="4190"/>
      <c r="EC18" s="4190"/>
      <c r="ED18" s="4190"/>
      <c r="EE18" s="4190"/>
      <c r="EF18" s="4190"/>
      <c r="EG18" s="4190"/>
      <c r="EH18" s="4190"/>
      <c r="EI18" s="4190"/>
      <c r="EJ18" s="4190"/>
      <c r="EK18" s="4190"/>
      <c r="EL18" s="4190"/>
      <c r="EM18" s="4190"/>
      <c r="EN18" s="4190"/>
      <c r="EO18" s="4190"/>
      <c r="EP18" s="4190"/>
      <c r="EQ18" s="4190"/>
      <c r="ER18" s="4190"/>
      <c r="ES18" s="4190"/>
      <c r="ET18" s="4190"/>
      <c r="EU18" s="4190"/>
      <c r="EV18" s="4190"/>
      <c r="EW18" s="4190"/>
      <c r="EX18" s="4190"/>
      <c r="EY18" s="4190"/>
      <c r="EZ18" s="4190"/>
      <c r="FA18" s="4190"/>
      <c r="FB18" s="4190"/>
      <c r="FC18" s="4190"/>
      <c r="FD18" s="4190"/>
      <c r="FE18" s="4190"/>
      <c r="FF18" s="4190"/>
      <c r="FG18" s="4190"/>
      <c r="FH18" s="4190"/>
      <c r="FI18" s="4190"/>
      <c r="FJ18" s="4190"/>
      <c r="FK18" s="4190"/>
      <c r="FL18" s="4190"/>
      <c r="FM18" s="4190"/>
      <c r="FN18" s="4190"/>
      <c r="FO18" s="4190"/>
      <c r="FP18" s="4190"/>
      <c r="FQ18" s="4190"/>
      <c r="FR18" s="4190"/>
      <c r="FS18" s="4190"/>
      <c r="FT18" s="4190"/>
      <c r="FU18" s="4190"/>
    </row>
    <row r="19" spans="1:177" s="1810" customFormat="1" ht="21" thickBot="1" x14ac:dyDescent="0.25">
      <c r="B19" s="1963"/>
      <c r="C19" s="1964" t="s">
        <v>188</v>
      </c>
      <c r="D19" s="2578"/>
      <c r="E19" s="1728">
        <f>C45/31</f>
        <v>467.44596774193536</v>
      </c>
      <c r="F19" s="1728"/>
      <c r="G19" s="1728"/>
      <c r="H19" s="1728"/>
      <c r="I19" s="4138"/>
      <c r="J19" s="4142">
        <f>J45*100/20</f>
        <v>13322.212417874995</v>
      </c>
      <c r="K19" s="4143">
        <f>K45*100/20</f>
        <v>512.3927853028847</v>
      </c>
      <c r="L19" s="4142">
        <f>L45*100/20</f>
        <v>1168.612582125</v>
      </c>
      <c r="M19" s="4143">
        <f>L19/5</f>
        <v>233.72251642500001</v>
      </c>
      <c r="N19" s="4153">
        <f>(C45/31)*CD23</f>
        <v>6076.7975806451595</v>
      </c>
      <c r="O19" s="1924"/>
      <c r="P19" s="1966"/>
      <c r="Q19" s="4166"/>
      <c r="R19" s="4166"/>
      <c r="S19" s="4166"/>
      <c r="T19" s="4166"/>
      <c r="U19" s="4166"/>
      <c r="V19" s="4166"/>
      <c r="W19" s="4166"/>
      <c r="X19" s="4186"/>
      <c r="Y19" s="4588"/>
      <c r="Z19" s="4588"/>
      <c r="AA19" s="4588"/>
      <c r="AB19" s="4191"/>
      <c r="AC19" s="4166"/>
      <c r="AD19" s="4166"/>
      <c r="AE19" s="4166"/>
      <c r="AF19" s="4166"/>
      <c r="AG19" s="4166"/>
      <c r="AH19" s="4166"/>
      <c r="AI19" s="4166"/>
      <c r="AJ19" s="4191"/>
      <c r="AK19" s="4588"/>
      <c r="AL19" s="4588"/>
      <c r="AM19" s="4588"/>
      <c r="AN19" s="4191"/>
      <c r="AO19" s="4166"/>
      <c r="AP19" s="4166"/>
      <c r="AQ19" s="4166"/>
      <c r="AR19" s="4166"/>
      <c r="AS19" s="4166"/>
      <c r="AT19" s="4166"/>
      <c r="AU19" s="4166"/>
      <c r="AV19" s="4186"/>
      <c r="AW19" s="4588"/>
      <c r="AX19" s="4588"/>
      <c r="AY19" s="4588"/>
      <c r="AZ19" s="4186"/>
      <c r="BA19" s="4166"/>
      <c r="BB19" s="4166"/>
      <c r="BC19" s="4166"/>
      <c r="BD19" s="4166"/>
      <c r="BE19" s="4166"/>
      <c r="BF19" s="4166"/>
      <c r="BG19" s="4166"/>
      <c r="BH19" s="4186"/>
      <c r="BI19" s="4588"/>
      <c r="BJ19" s="4588"/>
      <c r="BK19" s="4588"/>
      <c r="BL19" s="4186"/>
      <c r="BM19" s="4166"/>
      <c r="BN19" s="4166"/>
      <c r="BO19" s="4166"/>
      <c r="BP19" s="4186"/>
      <c r="BQ19" s="4588"/>
      <c r="BR19" s="4588"/>
      <c r="BS19" s="4588"/>
      <c r="BU19" s="4166"/>
      <c r="BV19" s="1968"/>
      <c r="BW19" s="1817"/>
      <c r="BX19" s="4186"/>
      <c r="BY19" s="1830"/>
      <c r="BZ19" s="1830"/>
      <c r="CA19" s="1761"/>
      <c r="CC19" s="1860"/>
      <c r="CD19" s="4172"/>
      <c r="CE19" s="1860"/>
      <c r="CF19" s="1860"/>
      <c r="CG19" s="1860"/>
      <c r="CH19" s="1860"/>
      <c r="CI19" s="1860"/>
      <c r="CJ19" s="1860"/>
      <c r="CK19" s="1860"/>
    </row>
    <row r="20" spans="1:177" x14ac:dyDescent="0.2">
      <c r="A20" s="1777"/>
      <c r="B20" s="1987">
        <v>13</v>
      </c>
      <c r="C20" s="1987" t="s">
        <v>197</v>
      </c>
      <c r="D20" s="1836"/>
      <c r="E20" s="1746">
        <v>1500</v>
      </c>
      <c r="F20" s="1746">
        <v>108.33333333333333</v>
      </c>
      <c r="G20" s="1746">
        <v>72.222222222222214</v>
      </c>
      <c r="H20" s="1746">
        <v>54.166666666666664</v>
      </c>
      <c r="I20" s="4139">
        <v>43.333333333333329</v>
      </c>
      <c r="J20" s="4144">
        <f>E20-L20</f>
        <v>1379.0325</v>
      </c>
      <c r="K20" s="4148">
        <f>J20/26</f>
        <v>53.039711538461539</v>
      </c>
      <c r="L20" s="4144">
        <f>E20*8.0645%</f>
        <v>120.96750000000002</v>
      </c>
      <c r="M20" s="4158">
        <f>L20/5</f>
        <v>24.193500000000004</v>
      </c>
      <c r="N20" s="4154">
        <f t="shared" ref="N20:N43" si="34">E20/$E$45</f>
        <v>0.51756887547810437</v>
      </c>
      <c r="O20" s="1909"/>
      <c r="P20" s="1910"/>
      <c r="Q20" s="1746">
        <f>$K$20</f>
        <v>53.039711538461539</v>
      </c>
      <c r="R20" s="1746">
        <f>$K$20</f>
        <v>53.039711538461539</v>
      </c>
      <c r="S20" s="1746">
        <f>$M$20</f>
        <v>24.193500000000004</v>
      </c>
      <c r="T20" s="1746">
        <f>$K$20</f>
        <v>53.039711538461539</v>
      </c>
      <c r="U20" s="1746">
        <f>$K$20</f>
        <v>53.039711538461539</v>
      </c>
      <c r="V20" s="1746">
        <f>$K$20</f>
        <v>53.039711538461539</v>
      </c>
      <c r="W20" s="1746">
        <f>$K$20</f>
        <v>53.039711538461539</v>
      </c>
      <c r="X20" s="4171"/>
      <c r="Y20" s="1972">
        <f>SUM(Q20:W20)</f>
        <v>342.43176923076925</v>
      </c>
      <c r="Z20" s="1973">
        <f t="shared" ref="Z20:Z43" si="35">($Y$5*N20)*$Y$8</f>
        <v>635.88201499914624</v>
      </c>
      <c r="AA20" s="1974">
        <f>Z20-Y20</f>
        <v>293.45024576837699</v>
      </c>
      <c r="AB20" s="1914"/>
      <c r="AC20" s="1746">
        <f>$K$20</f>
        <v>53.039711538461539</v>
      </c>
      <c r="AD20" s="1746">
        <f>$K$20</f>
        <v>53.039711538461539</v>
      </c>
      <c r="AE20" s="1746">
        <f>$M$20</f>
        <v>24.193500000000004</v>
      </c>
      <c r="AF20" s="1746">
        <f>$K$20</f>
        <v>53.039711538461539</v>
      </c>
      <c r="AG20" s="1746">
        <f>$K$20</f>
        <v>53.039711538461539</v>
      </c>
      <c r="AH20" s="1746">
        <f>$K$20</f>
        <v>53.039711538461539</v>
      </c>
      <c r="AI20" s="1746"/>
      <c r="AJ20" s="1914"/>
      <c r="AK20" s="1972">
        <f>SUM(AC20:AI20)</f>
        <v>289.39205769230773</v>
      </c>
      <c r="AL20" s="1973">
        <f t="shared" ref="AL20:AL43" si="36">($AK$5*N20)*$AK$8</f>
        <v>546.24167361071591</v>
      </c>
      <c r="AM20" s="1974">
        <f>AL20-AK20</f>
        <v>256.84961591840818</v>
      </c>
      <c r="AN20" s="1914"/>
      <c r="AO20" s="1990"/>
      <c r="AP20" s="1990"/>
      <c r="AQ20" s="1990"/>
      <c r="AR20" s="1990"/>
      <c r="AS20" s="1990"/>
      <c r="AT20" s="1990"/>
      <c r="AU20" s="1990"/>
      <c r="AV20" s="2297"/>
      <c r="AW20" s="1972">
        <f>SUM(AO20:AU20)</f>
        <v>0</v>
      </c>
      <c r="AX20" s="1973" t="e">
        <f t="shared" ref="AX20:AX43" si="37">($AW$5*N20)*$AW$8</f>
        <v>#DIV/0!</v>
      </c>
      <c r="AY20" s="1974" t="e">
        <f>AX20-AW20</f>
        <v>#DIV/0!</v>
      </c>
      <c r="AZ20" s="2297"/>
      <c r="BA20" s="1990"/>
      <c r="BB20" s="1990"/>
      <c r="BC20" s="1990"/>
      <c r="BD20" s="1990"/>
      <c r="BE20" s="1990"/>
      <c r="BF20" s="1990"/>
      <c r="BG20" s="1990"/>
      <c r="BH20" s="2297"/>
      <c r="BI20" s="1972">
        <f>SUM(BA20:BG20)</f>
        <v>0</v>
      </c>
      <c r="BJ20" s="1973" t="e">
        <f t="shared" ref="BJ20:BJ43" si="38">($BI$5*N20)*$BI$8</f>
        <v>#DIV/0!</v>
      </c>
      <c r="BK20" s="1974" t="e">
        <f>BJ20-BI20</f>
        <v>#DIV/0!</v>
      </c>
      <c r="BL20" s="4171"/>
      <c r="BM20" s="1746"/>
      <c r="BN20" s="1746"/>
      <c r="BO20" s="1746"/>
      <c r="BP20" s="4171"/>
      <c r="BQ20" s="1972">
        <f t="shared" ref="BQ20:BQ43" si="39">SUM(BM20:BO20)</f>
        <v>0</v>
      </c>
      <c r="BR20" s="1973" t="e">
        <f t="shared" ref="BR20:BR43" si="40">($BQ$5*N20)*$BQ$8</f>
        <v>#DIV/0!</v>
      </c>
      <c r="BS20" s="1974" t="e">
        <f>BR20-BQ20</f>
        <v>#DIV/0!</v>
      </c>
      <c r="BU20" s="1747">
        <v>0</v>
      </c>
      <c r="BV20" s="1752">
        <f t="shared" ref="BV20:BV43" si="41">BU20/E20</f>
        <v>0</v>
      </c>
      <c r="BW20" s="1754"/>
      <c r="BX20" s="1975">
        <f t="shared" ref="BX20:BX43" si="42">SUM(Q20:W20)+SUM(AC20:AI20)+SUM(AO20:AU20)+SUM(BA20:BG20)+SUM(BO20:BO20)</f>
        <v>631.82382692307692</v>
      </c>
      <c r="BY20" s="1976">
        <f t="shared" ref="BY20:BY43" si="43">BX20/E20</f>
        <v>0.42121588461538462</v>
      </c>
      <c r="BZ20" s="1993"/>
      <c r="CA20" s="1977"/>
      <c r="CC20" s="1923"/>
      <c r="CD20" s="1978"/>
      <c r="CE20" s="1979"/>
      <c r="CF20" s="1980"/>
      <c r="CG20" s="1980"/>
      <c r="CH20" s="1980"/>
      <c r="CI20" s="1980"/>
      <c r="CJ20" s="1980"/>
      <c r="CK20" s="1981"/>
      <c r="CL20" s="1923"/>
    </row>
    <row r="21" spans="1:177" s="1726" customFormat="1" x14ac:dyDescent="0.2">
      <c r="B21" s="1963">
        <v>14</v>
      </c>
      <c r="C21" s="1963" t="s">
        <v>198</v>
      </c>
      <c r="D21" s="2578"/>
      <c r="E21" s="1728">
        <v>450</v>
      </c>
      <c r="F21" s="1728">
        <v>45</v>
      </c>
      <c r="G21" s="1728">
        <v>30</v>
      </c>
      <c r="H21" s="1728">
        <v>22.5</v>
      </c>
      <c r="I21" s="4138">
        <v>18</v>
      </c>
      <c r="J21" s="4142">
        <f t="shared" ref="J21:J43" si="44">E21-L21</f>
        <v>413.70974999999999</v>
      </c>
      <c r="K21" s="4143">
        <f t="shared" ref="K21:K43" si="45">J21/26</f>
        <v>15.911913461538461</v>
      </c>
      <c r="L21" s="4142">
        <f t="shared" ref="L21:L43" si="46">E21*8.0645%</f>
        <v>36.29025</v>
      </c>
      <c r="M21" s="4143">
        <f>L21/5</f>
        <v>7.2580499999999999</v>
      </c>
      <c r="N21" s="4155">
        <f t="shared" si="34"/>
        <v>0.15527066264343131</v>
      </c>
      <c r="O21" s="1876"/>
      <c r="P21" s="1877"/>
      <c r="Q21" s="1728">
        <f>$K$21</f>
        <v>15.911913461538461</v>
      </c>
      <c r="R21" s="1728">
        <f>$K$21</f>
        <v>15.911913461538461</v>
      </c>
      <c r="S21" s="1728">
        <f>$M$21</f>
        <v>7.2580499999999999</v>
      </c>
      <c r="T21" s="1728">
        <f>$K$21</f>
        <v>15.911913461538461</v>
      </c>
      <c r="U21" s="1728">
        <f>$K$21</f>
        <v>15.911913461538461</v>
      </c>
      <c r="V21" s="1728">
        <f>$K$21</f>
        <v>15.911913461538461</v>
      </c>
      <c r="W21" s="1728">
        <f>$K$21</f>
        <v>15.911913461538461</v>
      </c>
      <c r="X21" s="4173"/>
      <c r="Y21" s="1982">
        <f>SUM(Q21:W21)</f>
        <v>102.72953076923076</v>
      </c>
      <c r="Z21" s="2268">
        <f t="shared" si="35"/>
        <v>190.76460449974388</v>
      </c>
      <c r="AA21" s="1984">
        <f>Z21-Y21</f>
        <v>88.035073730513119</v>
      </c>
      <c r="AB21" s="1881"/>
      <c r="AC21" s="1728">
        <f>$K$21</f>
        <v>15.911913461538461</v>
      </c>
      <c r="AD21" s="1728">
        <f>$K$21</f>
        <v>15.911913461538461</v>
      </c>
      <c r="AE21" s="1728">
        <f>$M$21</f>
        <v>7.2580499999999999</v>
      </c>
      <c r="AF21" s="1728">
        <f>$K$21</f>
        <v>15.911913461538461</v>
      </c>
      <c r="AG21" s="1728">
        <f>$K$21</f>
        <v>15.911913461538461</v>
      </c>
      <c r="AH21" s="1728">
        <f>$K$21</f>
        <v>15.911913461538461</v>
      </c>
      <c r="AI21" s="1728"/>
      <c r="AJ21" s="1881"/>
      <c r="AK21" s="1982">
        <f>SUM(AC21:AI21)</f>
        <v>86.817617307692302</v>
      </c>
      <c r="AL21" s="2268">
        <f t="shared" si="36"/>
        <v>163.87250208321478</v>
      </c>
      <c r="AM21" s="1984">
        <f>AL21-AK21</f>
        <v>77.054884775522481</v>
      </c>
      <c r="AN21" s="1881"/>
      <c r="AO21" s="2268"/>
      <c r="AP21" s="2268"/>
      <c r="AQ21" s="2268"/>
      <c r="AR21" s="2268"/>
      <c r="AS21" s="2268"/>
      <c r="AT21" s="2268"/>
      <c r="AU21" s="2268"/>
      <c r="AV21" s="2293"/>
      <c r="AW21" s="1982">
        <f>SUM(AO21:AU21)</f>
        <v>0</v>
      </c>
      <c r="AX21" s="2268" t="e">
        <f t="shared" si="37"/>
        <v>#DIV/0!</v>
      </c>
      <c r="AY21" s="1984" t="e">
        <f>AX21-AW21</f>
        <v>#DIV/0!</v>
      </c>
      <c r="AZ21" s="2293"/>
      <c r="BA21" s="2268"/>
      <c r="BB21" s="2268"/>
      <c r="BC21" s="2268"/>
      <c r="BD21" s="2268"/>
      <c r="BE21" s="2268"/>
      <c r="BF21" s="2268"/>
      <c r="BG21" s="2268"/>
      <c r="BH21" s="2293"/>
      <c r="BI21" s="1982">
        <f>SUM(BA21:BG21)</f>
        <v>0</v>
      </c>
      <c r="BJ21" s="2268" t="e">
        <f t="shared" si="38"/>
        <v>#DIV/0!</v>
      </c>
      <c r="BK21" s="1984" t="e">
        <f>BJ21-BI21</f>
        <v>#DIV/0!</v>
      </c>
      <c r="BL21" s="4173"/>
      <c r="BM21" s="1728"/>
      <c r="BN21" s="1728"/>
      <c r="BO21" s="1728"/>
      <c r="BP21" s="4173"/>
      <c r="BQ21" s="1982">
        <f t="shared" si="39"/>
        <v>0</v>
      </c>
      <c r="BR21" s="2268" t="e">
        <f t="shared" si="40"/>
        <v>#DIV/0!</v>
      </c>
      <c r="BS21" s="1984" t="e">
        <f>BR21-BQ21</f>
        <v>#DIV/0!</v>
      </c>
      <c r="BU21" s="1732">
        <v>0</v>
      </c>
      <c r="BV21" s="1882">
        <f t="shared" si="41"/>
        <v>0</v>
      </c>
      <c r="BW21" s="1740"/>
      <c r="BX21" s="1734">
        <f t="shared" si="42"/>
        <v>189.54714807692307</v>
      </c>
      <c r="BY21" s="1918">
        <f t="shared" si="43"/>
        <v>0.42121588461538462</v>
      </c>
      <c r="BZ21" s="1997"/>
      <c r="CA21" s="4172"/>
      <c r="CC21" s="1860"/>
      <c r="CD21" s="1985">
        <v>44025</v>
      </c>
      <c r="CE21" s="1830"/>
      <c r="CF21" s="1817"/>
      <c r="CG21" s="1810"/>
      <c r="CH21" s="1810"/>
      <c r="CI21" s="1810"/>
      <c r="CJ21" s="1810"/>
      <c r="CK21" s="1986"/>
      <c r="CL21" s="1810"/>
    </row>
    <row r="22" spans="1:177" s="1947" customFormat="1" x14ac:dyDescent="0.2">
      <c r="B22" s="2000">
        <v>15</v>
      </c>
      <c r="C22" s="1987" t="s">
        <v>282</v>
      </c>
      <c r="D22" s="1836"/>
      <c r="E22" s="1746">
        <v>0</v>
      </c>
      <c r="F22" s="1746"/>
      <c r="G22" s="1746"/>
      <c r="H22" s="1746"/>
      <c r="I22" s="4139"/>
      <c r="J22" s="4144">
        <f t="shared" si="44"/>
        <v>0</v>
      </c>
      <c r="K22" s="4148">
        <f t="shared" si="45"/>
        <v>0</v>
      </c>
      <c r="L22" s="4144">
        <f t="shared" si="46"/>
        <v>0</v>
      </c>
      <c r="M22" s="4158">
        <f t="shared" ref="M22:M43" si="47">L22/5</f>
        <v>0</v>
      </c>
      <c r="N22" s="4154">
        <f t="shared" si="34"/>
        <v>0</v>
      </c>
      <c r="O22" s="2003"/>
      <c r="P22" s="1950"/>
      <c r="Q22" s="2001">
        <f>$K$22</f>
        <v>0</v>
      </c>
      <c r="R22" s="2001">
        <f>$K$22</f>
        <v>0</v>
      </c>
      <c r="S22" s="2001">
        <f>$M$22</f>
        <v>0</v>
      </c>
      <c r="T22" s="2001">
        <f>$K$22</f>
        <v>0</v>
      </c>
      <c r="U22" s="2001">
        <f>$K$22</f>
        <v>0</v>
      </c>
      <c r="V22" s="2001">
        <f>$K$22</f>
        <v>0</v>
      </c>
      <c r="W22" s="2001">
        <f>$K$22</f>
        <v>0</v>
      </c>
      <c r="X22" s="1951"/>
      <c r="Y22" s="2004">
        <f>SUM(Q22:W22)</f>
        <v>0</v>
      </c>
      <c r="Z22" s="2005">
        <f t="shared" si="35"/>
        <v>0</v>
      </c>
      <c r="AA22" s="2006">
        <f t="shared" ref="AA22:AA42" si="48">Z22-Y22</f>
        <v>0</v>
      </c>
      <c r="AB22" s="1955"/>
      <c r="AC22" s="2001">
        <f>$K$22</f>
        <v>0</v>
      </c>
      <c r="AD22" s="2001">
        <f>$K$22</f>
        <v>0</v>
      </c>
      <c r="AE22" s="2001">
        <f>$M$22</f>
        <v>0</v>
      </c>
      <c r="AF22" s="2001">
        <f>$K$22</f>
        <v>0</v>
      </c>
      <c r="AG22" s="2001">
        <f>$K$22</f>
        <v>0</v>
      </c>
      <c r="AH22" s="2001">
        <f>$K$22</f>
        <v>0</v>
      </c>
      <c r="AI22" s="2001"/>
      <c r="AJ22" s="1955"/>
      <c r="AK22" s="2004">
        <f t="shared" ref="AK22:AK43" si="49">SUM(AC22:AI22)</f>
        <v>0</v>
      </c>
      <c r="AL22" s="2005">
        <f t="shared" si="36"/>
        <v>0</v>
      </c>
      <c r="AM22" s="2006">
        <f t="shared" ref="AM22:AM43" si="50">AL22-AK22</f>
        <v>0</v>
      </c>
      <c r="AN22" s="1955"/>
      <c r="AO22" s="2005"/>
      <c r="AP22" s="2005"/>
      <c r="AQ22" s="2005"/>
      <c r="AR22" s="2005"/>
      <c r="AS22" s="2005"/>
      <c r="AT22" s="2005"/>
      <c r="AU22" s="2005"/>
      <c r="AV22" s="2299"/>
      <c r="AW22" s="2004">
        <f t="shared" ref="AW22:AW43" si="51">SUM(AO22:AU22)</f>
        <v>0</v>
      </c>
      <c r="AX22" s="2005" t="e">
        <f t="shared" si="37"/>
        <v>#DIV/0!</v>
      </c>
      <c r="AY22" s="2006" t="e">
        <f t="shared" ref="AY22:AY43" si="52">AX22-AW22</f>
        <v>#DIV/0!</v>
      </c>
      <c r="AZ22" s="2299"/>
      <c r="BA22" s="2005"/>
      <c r="BB22" s="2005"/>
      <c r="BC22" s="2005"/>
      <c r="BD22" s="2005"/>
      <c r="BE22" s="2005"/>
      <c r="BF22" s="2005"/>
      <c r="BG22" s="2005"/>
      <c r="BH22" s="2299"/>
      <c r="BI22" s="2004">
        <f t="shared" ref="BI22:BI43" si="53">SUM(BA22:BG22)</f>
        <v>0</v>
      </c>
      <c r="BJ22" s="2005" t="e">
        <f t="shared" si="38"/>
        <v>#DIV/0!</v>
      </c>
      <c r="BK22" s="2006" t="e">
        <f t="shared" ref="BK22:BK43" si="54">BJ22-BI22</f>
        <v>#DIV/0!</v>
      </c>
      <c r="BL22" s="1951"/>
      <c r="BM22" s="2001"/>
      <c r="BN22" s="2001"/>
      <c r="BO22" s="2001"/>
      <c r="BP22" s="1951"/>
      <c r="BQ22" s="2004">
        <f t="shared" si="39"/>
        <v>0</v>
      </c>
      <c r="BR22" s="2005" t="e">
        <f t="shared" si="40"/>
        <v>#DIV/0!</v>
      </c>
      <c r="BS22" s="2006" t="e">
        <f t="shared" ref="BS22" si="55">BR22-BQ22</f>
        <v>#DIV/0!</v>
      </c>
      <c r="BU22" s="4188">
        <v>0</v>
      </c>
      <c r="BV22" s="2008" t="e">
        <f t="shared" si="41"/>
        <v>#DIV/0!</v>
      </c>
      <c r="BW22" s="1959"/>
      <c r="BX22" s="1901">
        <f t="shared" si="42"/>
        <v>0</v>
      </c>
      <c r="BY22" s="1902" t="e">
        <f t="shared" si="43"/>
        <v>#DIV/0!</v>
      </c>
      <c r="BZ22" s="1962"/>
      <c r="CA22" s="1905"/>
      <c r="CC22" s="4169"/>
      <c r="CD22" s="2009">
        <v>44012</v>
      </c>
      <c r="CE22" s="2010"/>
      <c r="CF22" s="2011"/>
      <c r="CG22" s="1946"/>
      <c r="CH22" s="1946"/>
      <c r="CI22" s="1946"/>
      <c r="CJ22" s="1946"/>
      <c r="CK22" s="2012"/>
      <c r="CL22" s="1946"/>
    </row>
    <row r="23" spans="1:177" s="1756" customFormat="1" x14ac:dyDescent="0.2">
      <c r="B23" s="1963">
        <v>16</v>
      </c>
      <c r="C23" s="1963" t="s">
        <v>239</v>
      </c>
      <c r="D23" s="2578"/>
      <c r="E23" s="1728">
        <v>200</v>
      </c>
      <c r="F23" s="1728"/>
      <c r="G23" s="1728"/>
      <c r="H23" s="1728"/>
      <c r="I23" s="4138"/>
      <c r="J23" s="4142">
        <f t="shared" si="44"/>
        <v>183.87100000000001</v>
      </c>
      <c r="K23" s="4143">
        <f t="shared" si="45"/>
        <v>7.0719615384615384</v>
      </c>
      <c r="L23" s="4142">
        <f t="shared" si="46"/>
        <v>16.129000000000001</v>
      </c>
      <c r="M23" s="4143">
        <f t="shared" si="47"/>
        <v>3.2258000000000004</v>
      </c>
      <c r="N23" s="4155">
        <f t="shared" si="34"/>
        <v>6.9009183397080578E-2</v>
      </c>
      <c r="O23" s="1931"/>
      <c r="P23" s="1924"/>
      <c r="Q23" s="1728">
        <f>$K$23</f>
        <v>7.0719615384615384</v>
      </c>
      <c r="R23" s="1728">
        <f>$K$23</f>
        <v>7.0719615384615384</v>
      </c>
      <c r="S23" s="1728">
        <f>$M$23</f>
        <v>3.2258000000000004</v>
      </c>
      <c r="T23" s="1728">
        <f>$K$23</f>
        <v>7.0719615384615384</v>
      </c>
      <c r="U23" s="1728">
        <f>$K$23</f>
        <v>7.0719615384615384</v>
      </c>
      <c r="V23" s="1728">
        <f>$K$23</f>
        <v>7.0719615384615384</v>
      </c>
      <c r="W23" s="1728">
        <f>$K$23</f>
        <v>7.0719615384615384</v>
      </c>
      <c r="X23" s="4186"/>
      <c r="Y23" s="1982">
        <f t="shared" ref="Y23:Y85" si="56">SUM(Q23:W23)</f>
        <v>45.657569230769226</v>
      </c>
      <c r="Z23" s="2268">
        <f t="shared" si="35"/>
        <v>84.784268666552819</v>
      </c>
      <c r="AA23" s="1984">
        <f t="shared" si="48"/>
        <v>39.126699435783593</v>
      </c>
      <c r="AB23" s="1764"/>
      <c r="AC23" s="1728">
        <f>$K$23</f>
        <v>7.0719615384615384</v>
      </c>
      <c r="AD23" s="1728">
        <f>$K$23</f>
        <v>7.0719615384615384</v>
      </c>
      <c r="AE23" s="1728">
        <f>$M$23</f>
        <v>3.2258000000000004</v>
      </c>
      <c r="AF23" s="1728">
        <f>$K$23</f>
        <v>7.0719615384615384</v>
      </c>
      <c r="AG23" s="1728">
        <f>$K$23</f>
        <v>7.0719615384615384</v>
      </c>
      <c r="AH23" s="1728">
        <f>$K$23</f>
        <v>7.0719615384615384</v>
      </c>
      <c r="AI23" s="1728"/>
      <c r="AJ23" s="1764"/>
      <c r="AK23" s="1982">
        <f t="shared" si="49"/>
        <v>38.58560769230769</v>
      </c>
      <c r="AL23" s="2268">
        <f t="shared" si="36"/>
        <v>72.832223148095451</v>
      </c>
      <c r="AM23" s="1984">
        <f t="shared" si="50"/>
        <v>34.246615455787762</v>
      </c>
      <c r="AN23" s="1764"/>
      <c r="AO23" s="2268"/>
      <c r="AP23" s="2268"/>
      <c r="AQ23" s="2268"/>
      <c r="AR23" s="2268"/>
      <c r="AS23" s="2268"/>
      <c r="AT23" s="2268"/>
      <c r="AU23" s="2268"/>
      <c r="AV23" s="2289"/>
      <c r="AW23" s="1982">
        <f t="shared" si="51"/>
        <v>0</v>
      </c>
      <c r="AX23" s="2268" t="e">
        <f t="shared" si="37"/>
        <v>#DIV/0!</v>
      </c>
      <c r="AY23" s="1984" t="e">
        <f t="shared" si="52"/>
        <v>#DIV/0!</v>
      </c>
      <c r="AZ23" s="2289"/>
      <c r="BA23" s="2268"/>
      <c r="BB23" s="2268"/>
      <c r="BC23" s="2268"/>
      <c r="BD23" s="2268"/>
      <c r="BE23" s="2268"/>
      <c r="BF23" s="2268"/>
      <c r="BG23" s="2268"/>
      <c r="BH23" s="2289"/>
      <c r="BI23" s="1982">
        <f t="shared" si="53"/>
        <v>0</v>
      </c>
      <c r="BJ23" s="2268" t="e">
        <f t="shared" si="38"/>
        <v>#DIV/0!</v>
      </c>
      <c r="BK23" s="1984" t="e">
        <f t="shared" si="54"/>
        <v>#DIV/0!</v>
      </c>
      <c r="BL23" s="4186"/>
      <c r="BM23" s="1728"/>
      <c r="BN23" s="1728"/>
      <c r="BO23" s="1728"/>
      <c r="BP23" s="4186"/>
      <c r="BQ23" s="1982">
        <f t="shared" si="39"/>
        <v>0</v>
      </c>
      <c r="BR23" s="2268" t="e">
        <f t="shared" si="40"/>
        <v>#DIV/0!</v>
      </c>
      <c r="BS23" s="1984" t="e">
        <f>BR23-BQ23</f>
        <v>#DIV/0!</v>
      </c>
      <c r="BU23" s="1735">
        <v>0</v>
      </c>
      <c r="BV23" s="1768">
        <f t="shared" si="41"/>
        <v>0</v>
      </c>
      <c r="BW23" s="4168"/>
      <c r="BX23" s="1763">
        <f t="shared" si="42"/>
        <v>84.243176923076916</v>
      </c>
      <c r="BY23" s="1883">
        <f t="shared" si="43"/>
        <v>0.42121588461538456</v>
      </c>
      <c r="BZ23" s="1830"/>
      <c r="CA23" s="1761"/>
      <c r="CC23" s="4172"/>
      <c r="CD23" s="1996">
        <f>CD21-CD22</f>
        <v>13</v>
      </c>
      <c r="CE23" s="1997"/>
      <c r="CF23" s="1861"/>
      <c r="CG23" s="1860"/>
      <c r="CH23" s="1860"/>
      <c r="CI23" s="1860"/>
      <c r="CJ23" s="1860"/>
      <c r="CK23" s="1998"/>
      <c r="CL23" s="1860"/>
    </row>
    <row r="24" spans="1:177" s="1947" customFormat="1" x14ac:dyDescent="0.2">
      <c r="B24" s="2000">
        <v>17</v>
      </c>
      <c r="C24" s="2000" t="s">
        <v>283</v>
      </c>
      <c r="D24" s="2579"/>
      <c r="E24" s="2001">
        <v>193</v>
      </c>
      <c r="F24" s="2001">
        <v>75.3</v>
      </c>
      <c r="G24" s="2001">
        <v>50.2</v>
      </c>
      <c r="H24" s="2001">
        <v>37.65</v>
      </c>
      <c r="I24" s="4140">
        <v>30.12</v>
      </c>
      <c r="J24" s="4144">
        <f t="shared" si="44"/>
        <v>177.43551500000001</v>
      </c>
      <c r="K24" s="4148">
        <f t="shared" si="45"/>
        <v>6.8244428846153848</v>
      </c>
      <c r="L24" s="4144">
        <f t="shared" si="46"/>
        <v>15.564485000000001</v>
      </c>
      <c r="M24" s="4158">
        <f t="shared" si="47"/>
        <v>3.1128970000000002</v>
      </c>
      <c r="N24" s="4156">
        <f t="shared" si="34"/>
        <v>6.6593861978182761E-2</v>
      </c>
      <c r="O24" s="2003"/>
      <c r="P24" s="1950"/>
      <c r="Q24" s="2001">
        <f>$K$24</f>
        <v>6.8244428846153848</v>
      </c>
      <c r="R24" s="2001">
        <f>$K$24</f>
        <v>6.8244428846153848</v>
      </c>
      <c r="S24" s="2001">
        <f>$M$24</f>
        <v>3.1128970000000002</v>
      </c>
      <c r="T24" s="2001">
        <f>$K$24</f>
        <v>6.8244428846153848</v>
      </c>
      <c r="U24" s="2001">
        <f>$K$24</f>
        <v>6.8244428846153848</v>
      </c>
      <c r="V24" s="2001">
        <f>$K$24</f>
        <v>6.8244428846153848</v>
      </c>
      <c r="W24" s="2001">
        <f>$K$24</f>
        <v>6.8244428846153848</v>
      </c>
      <c r="X24" s="1951"/>
      <c r="Y24" s="2004">
        <f t="shared" si="56"/>
        <v>44.059554307692316</v>
      </c>
      <c r="Z24" s="2005">
        <f t="shared" si="35"/>
        <v>81.816819263223479</v>
      </c>
      <c r="AA24" s="2006">
        <f t="shared" si="48"/>
        <v>37.757264955531163</v>
      </c>
      <c r="AB24" s="1955"/>
      <c r="AC24" s="2001">
        <f>$K$24</f>
        <v>6.8244428846153848</v>
      </c>
      <c r="AD24" s="2001">
        <f>$K$24</f>
        <v>6.8244428846153848</v>
      </c>
      <c r="AE24" s="2001">
        <f>$M$24</f>
        <v>3.1128970000000002</v>
      </c>
      <c r="AF24" s="2001">
        <f>$K$24</f>
        <v>6.8244428846153848</v>
      </c>
      <c r="AG24" s="2001">
        <f>$K$24</f>
        <v>6.8244428846153848</v>
      </c>
      <c r="AH24" s="2001">
        <f>$K$24</f>
        <v>6.8244428846153848</v>
      </c>
      <c r="AI24" s="2001"/>
      <c r="AJ24" s="1955"/>
      <c r="AK24" s="2004">
        <f t="shared" si="49"/>
        <v>37.23511142307693</v>
      </c>
      <c r="AL24" s="2005">
        <f t="shared" si="36"/>
        <v>70.283095337912115</v>
      </c>
      <c r="AM24" s="2006">
        <f t="shared" si="50"/>
        <v>33.047983914835186</v>
      </c>
      <c r="AN24" s="1955"/>
      <c r="AO24" s="2005"/>
      <c r="AP24" s="2005"/>
      <c r="AQ24" s="2005"/>
      <c r="AR24" s="2005"/>
      <c r="AS24" s="2005"/>
      <c r="AT24" s="2005"/>
      <c r="AU24" s="2005"/>
      <c r="AV24" s="2299"/>
      <c r="AW24" s="2004">
        <f t="shared" si="51"/>
        <v>0</v>
      </c>
      <c r="AX24" s="2005" t="e">
        <f t="shared" si="37"/>
        <v>#DIV/0!</v>
      </c>
      <c r="AY24" s="2006" t="e">
        <f t="shared" si="52"/>
        <v>#DIV/0!</v>
      </c>
      <c r="AZ24" s="2299"/>
      <c r="BA24" s="2005"/>
      <c r="BB24" s="2005"/>
      <c r="BC24" s="2005"/>
      <c r="BD24" s="2005"/>
      <c r="BE24" s="2005"/>
      <c r="BF24" s="2005"/>
      <c r="BG24" s="2005"/>
      <c r="BH24" s="2299"/>
      <c r="BI24" s="2004">
        <f t="shared" si="53"/>
        <v>0</v>
      </c>
      <c r="BJ24" s="2005" t="e">
        <f t="shared" si="38"/>
        <v>#DIV/0!</v>
      </c>
      <c r="BK24" s="2006" t="e">
        <f t="shared" si="54"/>
        <v>#DIV/0!</v>
      </c>
      <c r="BL24" s="1951"/>
      <c r="BM24" s="2001"/>
      <c r="BN24" s="2001"/>
      <c r="BO24" s="2001"/>
      <c r="BP24" s="1951"/>
      <c r="BQ24" s="2004">
        <f t="shared" si="39"/>
        <v>0</v>
      </c>
      <c r="BR24" s="2005" t="e">
        <f t="shared" si="40"/>
        <v>#DIV/0!</v>
      </c>
      <c r="BS24" s="2006" t="e">
        <f>BR24-BQ24</f>
        <v>#DIV/0!</v>
      </c>
      <c r="BU24" s="4188">
        <v>0</v>
      </c>
      <c r="BV24" s="2008">
        <f t="shared" si="41"/>
        <v>0</v>
      </c>
      <c r="BW24" s="1959"/>
      <c r="BX24" s="1901">
        <f t="shared" si="42"/>
        <v>81.294665730769253</v>
      </c>
      <c r="BY24" s="1902">
        <f t="shared" si="43"/>
        <v>0.42121588461538473</v>
      </c>
      <c r="BZ24" s="1962"/>
      <c r="CA24" s="1905"/>
      <c r="CC24" s="4169"/>
      <c r="CD24" s="2009">
        <v>44025</v>
      </c>
      <c r="CE24" s="2010"/>
      <c r="CF24" s="2011"/>
      <c r="CG24" s="1946"/>
      <c r="CH24" s="1946"/>
      <c r="CI24" s="1946"/>
      <c r="CJ24" s="1946"/>
      <c r="CK24" s="2012"/>
      <c r="CL24" s="1946"/>
    </row>
    <row r="25" spans="1:177" s="1756" customFormat="1" x14ac:dyDescent="0.2">
      <c r="B25" s="1963">
        <v>18</v>
      </c>
      <c r="C25" s="1963" t="s">
        <v>268</v>
      </c>
      <c r="D25" s="2578"/>
      <c r="E25" s="1728">
        <v>0</v>
      </c>
      <c r="F25" s="1728"/>
      <c r="G25" s="1728"/>
      <c r="H25" s="1728"/>
      <c r="I25" s="4138"/>
      <c r="J25" s="4142">
        <f t="shared" si="44"/>
        <v>0</v>
      </c>
      <c r="K25" s="4143">
        <f t="shared" si="45"/>
        <v>0</v>
      </c>
      <c r="L25" s="4142">
        <f t="shared" si="46"/>
        <v>0</v>
      </c>
      <c r="M25" s="4143">
        <f t="shared" si="47"/>
        <v>0</v>
      </c>
      <c r="N25" s="4155">
        <f t="shared" si="34"/>
        <v>0</v>
      </c>
      <c r="O25" s="1931"/>
      <c r="P25" s="1924"/>
      <c r="Q25" s="1728">
        <f>$K$25</f>
        <v>0</v>
      </c>
      <c r="R25" s="1728">
        <f>$K$25</f>
        <v>0</v>
      </c>
      <c r="S25" s="1728">
        <f>$M$25</f>
        <v>0</v>
      </c>
      <c r="T25" s="1728">
        <f>$K$25</f>
        <v>0</v>
      </c>
      <c r="U25" s="1728">
        <f>$K$25</f>
        <v>0</v>
      </c>
      <c r="V25" s="1728">
        <f>$K$25</f>
        <v>0</v>
      </c>
      <c r="W25" s="1728">
        <f>$K$25</f>
        <v>0</v>
      </c>
      <c r="X25" s="4186"/>
      <c r="Y25" s="1982">
        <f t="shared" si="56"/>
        <v>0</v>
      </c>
      <c r="Z25" s="2268">
        <f t="shared" si="35"/>
        <v>0</v>
      </c>
      <c r="AA25" s="1984">
        <f t="shared" si="48"/>
        <v>0</v>
      </c>
      <c r="AB25" s="1764"/>
      <c r="AC25" s="1728">
        <f>$K$25</f>
        <v>0</v>
      </c>
      <c r="AD25" s="1728">
        <f>$K$25</f>
        <v>0</v>
      </c>
      <c r="AE25" s="1728">
        <f>$M$25</f>
        <v>0</v>
      </c>
      <c r="AF25" s="1728">
        <f>$K$25</f>
        <v>0</v>
      </c>
      <c r="AG25" s="1728">
        <f>$K$25</f>
        <v>0</v>
      </c>
      <c r="AH25" s="1728">
        <f>$K$25</f>
        <v>0</v>
      </c>
      <c r="AI25" s="1728"/>
      <c r="AJ25" s="1764"/>
      <c r="AK25" s="1982">
        <f t="shared" si="49"/>
        <v>0</v>
      </c>
      <c r="AL25" s="2268">
        <f t="shared" si="36"/>
        <v>0</v>
      </c>
      <c r="AM25" s="1984">
        <f t="shared" si="50"/>
        <v>0</v>
      </c>
      <c r="AN25" s="1764"/>
      <c r="AO25" s="2268"/>
      <c r="AP25" s="2268"/>
      <c r="AQ25" s="2268"/>
      <c r="AR25" s="2268"/>
      <c r="AS25" s="2268"/>
      <c r="AT25" s="2268"/>
      <c r="AU25" s="2268"/>
      <c r="AV25" s="2289"/>
      <c r="AW25" s="1982">
        <f t="shared" si="51"/>
        <v>0</v>
      </c>
      <c r="AX25" s="2268" t="e">
        <f t="shared" si="37"/>
        <v>#DIV/0!</v>
      </c>
      <c r="AY25" s="1984" t="e">
        <f t="shared" si="52"/>
        <v>#DIV/0!</v>
      </c>
      <c r="AZ25" s="2289"/>
      <c r="BA25" s="2268"/>
      <c r="BB25" s="2268"/>
      <c r="BC25" s="2268"/>
      <c r="BD25" s="2268"/>
      <c r="BE25" s="2268"/>
      <c r="BF25" s="2268"/>
      <c r="BG25" s="2268"/>
      <c r="BH25" s="2289"/>
      <c r="BI25" s="1982">
        <f t="shared" si="53"/>
        <v>0</v>
      </c>
      <c r="BJ25" s="2268" t="e">
        <f t="shared" si="38"/>
        <v>#DIV/0!</v>
      </c>
      <c r="BK25" s="1984" t="e">
        <f t="shared" si="54"/>
        <v>#DIV/0!</v>
      </c>
      <c r="BL25" s="4186"/>
      <c r="BM25" s="1728"/>
      <c r="BN25" s="1728"/>
      <c r="BO25" s="1728"/>
      <c r="BP25" s="4186"/>
      <c r="BQ25" s="1982">
        <f t="shared" si="39"/>
        <v>0</v>
      </c>
      <c r="BR25" s="2268" t="e">
        <f t="shared" si="40"/>
        <v>#DIV/0!</v>
      </c>
      <c r="BS25" s="1984" t="e">
        <f>BR25-BQ25</f>
        <v>#DIV/0!</v>
      </c>
      <c r="BU25" s="1735">
        <v>0</v>
      </c>
      <c r="BV25" s="1768" t="e">
        <f t="shared" si="41"/>
        <v>#DIV/0!</v>
      </c>
      <c r="BW25" s="4168"/>
      <c r="BX25" s="1763">
        <f t="shared" si="42"/>
        <v>0</v>
      </c>
      <c r="BY25" s="1883" t="e">
        <f t="shared" si="43"/>
        <v>#DIV/0!</v>
      </c>
      <c r="BZ25" s="1830"/>
      <c r="CA25" s="1761"/>
      <c r="CC25" s="4172"/>
      <c r="CD25" s="2015">
        <v>44043</v>
      </c>
      <c r="CE25" s="1997"/>
      <c r="CF25" s="1861"/>
      <c r="CG25" s="1860"/>
      <c r="CH25" s="1860"/>
      <c r="CI25" s="1860"/>
      <c r="CJ25" s="1860"/>
      <c r="CK25" s="1998"/>
      <c r="CL25" s="1860"/>
    </row>
    <row r="26" spans="1:177" s="1947" customFormat="1" x14ac:dyDescent="0.2">
      <c r="B26" s="2000">
        <v>19</v>
      </c>
      <c r="C26" s="2000" t="s">
        <v>211</v>
      </c>
      <c r="D26" s="2579"/>
      <c r="E26" s="2001">
        <v>196.61500000000001</v>
      </c>
      <c r="F26" s="2001"/>
      <c r="G26" s="2001"/>
      <c r="H26" s="2001"/>
      <c r="I26" s="4140"/>
      <c r="J26" s="4144">
        <f t="shared" si="44"/>
        <v>180.758983325</v>
      </c>
      <c r="K26" s="4148">
        <f t="shared" si="45"/>
        <v>6.9522685894230767</v>
      </c>
      <c r="L26" s="4144">
        <f t="shared" si="46"/>
        <v>15.856016675000003</v>
      </c>
      <c r="M26" s="4158">
        <f t="shared" si="47"/>
        <v>3.1712033350000004</v>
      </c>
      <c r="N26" s="4156">
        <f t="shared" si="34"/>
        <v>6.784120296808499E-2</v>
      </c>
      <c r="O26" s="2003"/>
      <c r="P26" s="1950"/>
      <c r="Q26" s="2001">
        <f>$K$26</f>
        <v>6.9522685894230767</v>
      </c>
      <c r="R26" s="2001">
        <f>$K$26</f>
        <v>6.9522685894230767</v>
      </c>
      <c r="S26" s="2001">
        <f>$M$26</f>
        <v>3.1712033350000004</v>
      </c>
      <c r="T26" s="2001">
        <f>$K$26</f>
        <v>6.9522685894230767</v>
      </c>
      <c r="U26" s="2001">
        <f>$K$26</f>
        <v>6.9522685894230767</v>
      </c>
      <c r="V26" s="2001">
        <f>$K$26</f>
        <v>6.9522685894230767</v>
      </c>
      <c r="W26" s="2001">
        <f>$K$26</f>
        <v>6.9522685894230767</v>
      </c>
      <c r="X26" s="1951"/>
      <c r="Y26" s="2004">
        <f t="shared" si="56"/>
        <v>44.88481487153846</v>
      </c>
      <c r="Z26" s="2005">
        <f t="shared" si="35"/>
        <v>83.349294919371417</v>
      </c>
      <c r="AA26" s="2006">
        <f t="shared" si="48"/>
        <v>38.464480047832957</v>
      </c>
      <c r="AB26" s="1955"/>
      <c r="AC26" s="2001">
        <f>$K$26</f>
        <v>6.9522685894230767</v>
      </c>
      <c r="AD26" s="2001">
        <f>$K$26</f>
        <v>6.9522685894230767</v>
      </c>
      <c r="AE26" s="2001">
        <f>$M$26</f>
        <v>3.1712033350000004</v>
      </c>
      <c r="AF26" s="2001">
        <f>$K$26</f>
        <v>6.9522685894230767</v>
      </c>
      <c r="AG26" s="2001">
        <f>$K$26</f>
        <v>6.9522685894230767</v>
      </c>
      <c r="AH26" s="2001">
        <f>$K$26</f>
        <v>6.9522685894230767</v>
      </c>
      <c r="AI26" s="2001"/>
      <c r="AJ26" s="1955"/>
      <c r="AK26" s="2004">
        <f t="shared" si="49"/>
        <v>37.932546282115382</v>
      </c>
      <c r="AL26" s="2005">
        <f t="shared" si="36"/>
        <v>71.599537771313948</v>
      </c>
      <c r="AM26" s="2006">
        <f t="shared" si="50"/>
        <v>33.666991489198566</v>
      </c>
      <c r="AN26" s="1955"/>
      <c r="AO26" s="2005"/>
      <c r="AP26" s="2005"/>
      <c r="AQ26" s="2005"/>
      <c r="AR26" s="2005"/>
      <c r="AS26" s="2005"/>
      <c r="AT26" s="2005"/>
      <c r="AU26" s="2005"/>
      <c r="AV26" s="2299"/>
      <c r="AW26" s="2004">
        <f t="shared" si="51"/>
        <v>0</v>
      </c>
      <c r="AX26" s="2005" t="e">
        <f t="shared" si="37"/>
        <v>#DIV/0!</v>
      </c>
      <c r="AY26" s="2006" t="e">
        <f t="shared" si="52"/>
        <v>#DIV/0!</v>
      </c>
      <c r="AZ26" s="2299"/>
      <c r="BA26" s="2005"/>
      <c r="BB26" s="2005"/>
      <c r="BC26" s="2005"/>
      <c r="BD26" s="2005"/>
      <c r="BE26" s="2005"/>
      <c r="BF26" s="2005"/>
      <c r="BG26" s="2005"/>
      <c r="BH26" s="2299"/>
      <c r="BI26" s="2004">
        <f t="shared" si="53"/>
        <v>0</v>
      </c>
      <c r="BJ26" s="2005" t="e">
        <f t="shared" si="38"/>
        <v>#DIV/0!</v>
      </c>
      <c r="BK26" s="2006" t="e">
        <f t="shared" si="54"/>
        <v>#DIV/0!</v>
      </c>
      <c r="BL26" s="1951"/>
      <c r="BM26" s="2001"/>
      <c r="BN26" s="2001"/>
      <c r="BO26" s="2001"/>
      <c r="BP26" s="1951"/>
      <c r="BQ26" s="2004">
        <f t="shared" si="39"/>
        <v>0</v>
      </c>
      <c r="BR26" s="2005" t="e">
        <f t="shared" si="40"/>
        <v>#DIV/0!</v>
      </c>
      <c r="BS26" s="2006" t="e">
        <f>BR26-BQ26</f>
        <v>#DIV/0!</v>
      </c>
      <c r="BU26" s="4188">
        <v>0</v>
      </c>
      <c r="BV26" s="2008">
        <f t="shared" si="41"/>
        <v>0</v>
      </c>
      <c r="BW26" s="1959"/>
      <c r="BX26" s="1901">
        <f t="shared" si="42"/>
        <v>82.817361153653849</v>
      </c>
      <c r="BY26" s="1902">
        <f t="shared" si="43"/>
        <v>0.42121588461538462</v>
      </c>
      <c r="BZ26" s="1962"/>
      <c r="CA26" s="1905"/>
      <c r="CC26" s="4169"/>
      <c r="CD26" s="2479">
        <f>CD25-CD24</f>
        <v>18</v>
      </c>
      <c r="CE26" s="2010"/>
      <c r="CF26" s="2011"/>
      <c r="CG26" s="1946"/>
      <c r="CH26" s="1946"/>
      <c r="CI26" s="1946"/>
      <c r="CJ26" s="1946"/>
      <c r="CK26" s="2012"/>
      <c r="CL26" s="1946"/>
    </row>
    <row r="27" spans="1:177" s="1756" customFormat="1" x14ac:dyDescent="0.2">
      <c r="B27" s="1963">
        <v>20</v>
      </c>
      <c r="C27" s="1963" t="s">
        <v>255</v>
      </c>
      <c r="D27" s="2578"/>
      <c r="E27" s="1728">
        <v>75</v>
      </c>
      <c r="F27" s="1728"/>
      <c r="G27" s="1728"/>
      <c r="H27" s="1728"/>
      <c r="I27" s="4138"/>
      <c r="J27" s="4142">
        <f t="shared" si="44"/>
        <v>68.951624999999993</v>
      </c>
      <c r="K27" s="4143">
        <f t="shared" si="45"/>
        <v>2.6519855769230767</v>
      </c>
      <c r="L27" s="4142">
        <f t="shared" si="46"/>
        <v>6.0483750000000009</v>
      </c>
      <c r="M27" s="4143">
        <f t="shared" si="47"/>
        <v>1.2096750000000003</v>
      </c>
      <c r="N27" s="4155">
        <f t="shared" si="34"/>
        <v>2.5878443773905215E-2</v>
      </c>
      <c r="O27" s="1931"/>
      <c r="P27" s="1924"/>
      <c r="Q27" s="1728">
        <f>$K$27</f>
        <v>2.6519855769230767</v>
      </c>
      <c r="R27" s="1728">
        <f>$K$27</f>
        <v>2.6519855769230767</v>
      </c>
      <c r="S27" s="1728">
        <f>$M$27</f>
        <v>1.2096750000000003</v>
      </c>
      <c r="T27" s="1728">
        <f>$K$27</f>
        <v>2.6519855769230767</v>
      </c>
      <c r="U27" s="1728">
        <f>$K$27</f>
        <v>2.6519855769230767</v>
      </c>
      <c r="V27" s="1728">
        <f>$K$27</f>
        <v>2.6519855769230767</v>
      </c>
      <c r="W27" s="1728">
        <f>$K$27</f>
        <v>2.6519855769230767</v>
      </c>
      <c r="X27" s="4186"/>
      <c r="Y27" s="1982">
        <f t="shared" si="56"/>
        <v>17.121588461538458</v>
      </c>
      <c r="Z27" s="2268">
        <f t="shared" si="35"/>
        <v>31.794100749957305</v>
      </c>
      <c r="AA27" s="1984">
        <f t="shared" si="48"/>
        <v>14.672512288418847</v>
      </c>
      <c r="AB27" s="1764"/>
      <c r="AC27" s="1728">
        <f>$K$27</f>
        <v>2.6519855769230767</v>
      </c>
      <c r="AD27" s="1728">
        <f>$K$27</f>
        <v>2.6519855769230767</v>
      </c>
      <c r="AE27" s="1728">
        <f>$M$27</f>
        <v>1.2096750000000003</v>
      </c>
      <c r="AF27" s="1728">
        <f>$K$27</f>
        <v>2.6519855769230767</v>
      </c>
      <c r="AG27" s="1728">
        <f>$K$27</f>
        <v>2.6519855769230767</v>
      </c>
      <c r="AH27" s="1728">
        <f>$K$27</f>
        <v>2.6519855769230767</v>
      </c>
      <c r="AI27" s="1728"/>
      <c r="AJ27" s="1764"/>
      <c r="AK27" s="1982">
        <f t="shared" si="49"/>
        <v>14.469602884615382</v>
      </c>
      <c r="AL27" s="2268">
        <f t="shared" si="36"/>
        <v>27.312083680535796</v>
      </c>
      <c r="AM27" s="1984">
        <f t="shared" si="50"/>
        <v>12.842480795920414</v>
      </c>
      <c r="AN27" s="1764"/>
      <c r="AO27" s="2268"/>
      <c r="AP27" s="2268"/>
      <c r="AQ27" s="2268"/>
      <c r="AR27" s="2268"/>
      <c r="AS27" s="2268"/>
      <c r="AT27" s="2268"/>
      <c r="AU27" s="2268"/>
      <c r="AV27" s="2289"/>
      <c r="AW27" s="1982">
        <f t="shared" si="51"/>
        <v>0</v>
      </c>
      <c r="AX27" s="2268" t="e">
        <f t="shared" si="37"/>
        <v>#DIV/0!</v>
      </c>
      <c r="AY27" s="1984" t="e">
        <f t="shared" si="52"/>
        <v>#DIV/0!</v>
      </c>
      <c r="AZ27" s="2289"/>
      <c r="BA27" s="2268"/>
      <c r="BB27" s="2268"/>
      <c r="BC27" s="2268"/>
      <c r="BD27" s="2268"/>
      <c r="BE27" s="2268"/>
      <c r="BF27" s="2268"/>
      <c r="BG27" s="2268"/>
      <c r="BH27" s="2289"/>
      <c r="BI27" s="1982">
        <f t="shared" si="53"/>
        <v>0</v>
      </c>
      <c r="BJ27" s="2268" t="e">
        <f t="shared" si="38"/>
        <v>#DIV/0!</v>
      </c>
      <c r="BK27" s="1984" t="e">
        <f t="shared" si="54"/>
        <v>#DIV/0!</v>
      </c>
      <c r="BL27" s="4186"/>
      <c r="BM27" s="1728"/>
      <c r="BN27" s="1728"/>
      <c r="BO27" s="1728"/>
      <c r="BP27" s="4186"/>
      <c r="BQ27" s="1982">
        <f t="shared" si="39"/>
        <v>0</v>
      </c>
      <c r="BR27" s="2268" t="e">
        <f t="shared" si="40"/>
        <v>#DIV/0!</v>
      </c>
      <c r="BS27" s="1984" t="e">
        <f t="shared" ref="BS27:BS43" si="57">BR27-BQ27</f>
        <v>#DIV/0!</v>
      </c>
      <c r="BU27" s="1735">
        <v>0</v>
      </c>
      <c r="BV27" s="1768">
        <f t="shared" si="41"/>
        <v>0</v>
      </c>
      <c r="BW27" s="4168"/>
      <c r="BX27" s="1763">
        <f t="shared" si="42"/>
        <v>31.591191346153842</v>
      </c>
      <c r="BY27" s="1883">
        <f t="shared" si="43"/>
        <v>0.42121588461538456</v>
      </c>
      <c r="BZ27" s="1830"/>
      <c r="CA27" s="1761"/>
      <c r="CC27" s="4172"/>
      <c r="CD27" s="1985"/>
      <c r="CE27" s="1997"/>
      <c r="CF27" s="1861"/>
      <c r="CG27" s="1860"/>
      <c r="CH27" s="1860"/>
      <c r="CI27" s="1860"/>
      <c r="CJ27" s="1860"/>
      <c r="CK27" s="1998"/>
      <c r="CL27" s="1860"/>
    </row>
    <row r="28" spans="1:177" s="1947" customFormat="1" x14ac:dyDescent="0.2">
      <c r="B28" s="2000">
        <v>21</v>
      </c>
      <c r="C28" s="2000" t="s">
        <v>235</v>
      </c>
      <c r="D28" s="2579"/>
      <c r="E28" s="2001">
        <v>50</v>
      </c>
      <c r="F28" s="2001">
        <v>10</v>
      </c>
      <c r="G28" s="2001">
        <v>6.666666666666667</v>
      </c>
      <c r="H28" s="2001">
        <v>5</v>
      </c>
      <c r="I28" s="4140">
        <v>4</v>
      </c>
      <c r="J28" s="4144">
        <f t="shared" si="44"/>
        <v>45.967750000000002</v>
      </c>
      <c r="K28" s="4148">
        <f t="shared" si="45"/>
        <v>1.7679903846153846</v>
      </c>
      <c r="L28" s="4144">
        <f t="shared" si="46"/>
        <v>4.0322500000000003</v>
      </c>
      <c r="M28" s="4158">
        <f t="shared" si="47"/>
        <v>0.80645000000000011</v>
      </c>
      <c r="N28" s="4156">
        <f t="shared" si="34"/>
        <v>1.7252295849270145E-2</v>
      </c>
      <c r="O28" s="2003"/>
      <c r="P28" s="1950"/>
      <c r="Q28" s="2001">
        <f>$K$28</f>
        <v>1.7679903846153846</v>
      </c>
      <c r="R28" s="2001">
        <f>$K$28</f>
        <v>1.7679903846153846</v>
      </c>
      <c r="S28" s="2001">
        <f>$M$28</f>
        <v>0.80645000000000011</v>
      </c>
      <c r="T28" s="2001">
        <f>$K$28</f>
        <v>1.7679903846153846</v>
      </c>
      <c r="U28" s="2001">
        <f>$K$28</f>
        <v>1.7679903846153846</v>
      </c>
      <c r="V28" s="2001">
        <f>$K$28</f>
        <v>1.7679903846153846</v>
      </c>
      <c r="W28" s="2001">
        <f>$K$28</f>
        <v>1.7679903846153846</v>
      </c>
      <c r="X28" s="1951"/>
      <c r="Y28" s="2004">
        <f t="shared" si="56"/>
        <v>11.414392307692307</v>
      </c>
      <c r="Z28" s="2005">
        <f t="shared" si="35"/>
        <v>21.196067166638205</v>
      </c>
      <c r="AA28" s="2006">
        <f t="shared" si="48"/>
        <v>9.7816748589458982</v>
      </c>
      <c r="AB28" s="1955"/>
      <c r="AC28" s="2001">
        <f>$K$28</f>
        <v>1.7679903846153846</v>
      </c>
      <c r="AD28" s="2001">
        <f>$K$28</f>
        <v>1.7679903846153846</v>
      </c>
      <c r="AE28" s="2001">
        <f>$M$28</f>
        <v>0.80645000000000011</v>
      </c>
      <c r="AF28" s="2001">
        <f>$K$28</f>
        <v>1.7679903846153846</v>
      </c>
      <c r="AG28" s="2001">
        <f>$K$28</f>
        <v>1.7679903846153846</v>
      </c>
      <c r="AH28" s="2001">
        <f>$K$28</f>
        <v>1.7679903846153846</v>
      </c>
      <c r="AI28" s="2001"/>
      <c r="AJ28" s="1955"/>
      <c r="AK28" s="2004">
        <f t="shared" si="49"/>
        <v>9.6464019230769225</v>
      </c>
      <c r="AL28" s="2005">
        <f t="shared" si="36"/>
        <v>18.208055787023863</v>
      </c>
      <c r="AM28" s="2006">
        <f t="shared" si="50"/>
        <v>8.5616538639469404</v>
      </c>
      <c r="AN28" s="1955"/>
      <c r="AO28" s="2005"/>
      <c r="AP28" s="2005"/>
      <c r="AQ28" s="2005"/>
      <c r="AR28" s="2005"/>
      <c r="AS28" s="2005"/>
      <c r="AT28" s="2005"/>
      <c r="AU28" s="2005"/>
      <c r="AV28" s="2299"/>
      <c r="AW28" s="2004">
        <f t="shared" si="51"/>
        <v>0</v>
      </c>
      <c r="AX28" s="2005" t="e">
        <f t="shared" si="37"/>
        <v>#DIV/0!</v>
      </c>
      <c r="AY28" s="2006" t="e">
        <f t="shared" si="52"/>
        <v>#DIV/0!</v>
      </c>
      <c r="AZ28" s="2299"/>
      <c r="BA28" s="2005"/>
      <c r="BB28" s="2005"/>
      <c r="BC28" s="2005"/>
      <c r="BD28" s="2005"/>
      <c r="BE28" s="2005"/>
      <c r="BF28" s="2005"/>
      <c r="BG28" s="2005"/>
      <c r="BH28" s="2299"/>
      <c r="BI28" s="2004">
        <f t="shared" si="53"/>
        <v>0</v>
      </c>
      <c r="BJ28" s="2005" t="e">
        <f t="shared" si="38"/>
        <v>#DIV/0!</v>
      </c>
      <c r="BK28" s="2006" t="e">
        <f t="shared" si="54"/>
        <v>#DIV/0!</v>
      </c>
      <c r="BL28" s="1951"/>
      <c r="BM28" s="2001"/>
      <c r="BN28" s="2001"/>
      <c r="BO28" s="2001"/>
      <c r="BP28" s="1951"/>
      <c r="BQ28" s="2004">
        <f t="shared" si="39"/>
        <v>0</v>
      </c>
      <c r="BR28" s="2005" t="e">
        <f t="shared" si="40"/>
        <v>#DIV/0!</v>
      </c>
      <c r="BS28" s="2006" t="e">
        <f t="shared" si="57"/>
        <v>#DIV/0!</v>
      </c>
      <c r="BU28" s="4188">
        <v>0</v>
      </c>
      <c r="BV28" s="2008">
        <f t="shared" si="41"/>
        <v>0</v>
      </c>
      <c r="BW28" s="1959"/>
      <c r="BX28" s="1901">
        <f t="shared" si="42"/>
        <v>21.060794230769229</v>
      </c>
      <c r="BY28" s="1902">
        <f t="shared" si="43"/>
        <v>0.42121588461538456</v>
      </c>
      <c r="BZ28" s="1962"/>
      <c r="CA28" s="1905"/>
      <c r="CC28" s="4169"/>
      <c r="CD28" s="2488"/>
      <c r="CE28" s="2010" t="s">
        <v>157</v>
      </c>
      <c r="CF28" s="2490">
        <f>BX1</f>
        <v>0.41935483870967744</v>
      </c>
      <c r="CG28" s="1946"/>
      <c r="CH28" s="1946"/>
      <c r="CI28" s="1946"/>
      <c r="CJ28" s="1946"/>
      <c r="CK28" s="2012"/>
      <c r="CL28" s="1946"/>
    </row>
    <row r="29" spans="1:177" s="1726" customFormat="1" x14ac:dyDescent="0.2">
      <c r="A29" s="1756"/>
      <c r="B29" s="1963">
        <v>22</v>
      </c>
      <c r="C29" s="1963" t="s">
        <v>202</v>
      </c>
      <c r="D29" s="2578"/>
      <c r="E29" s="1728">
        <v>50</v>
      </c>
      <c r="F29" s="1728"/>
      <c r="G29" s="1728"/>
      <c r="H29" s="1728"/>
      <c r="I29" s="4138"/>
      <c r="J29" s="4142">
        <f t="shared" si="44"/>
        <v>45.967750000000002</v>
      </c>
      <c r="K29" s="4143">
        <f t="shared" si="45"/>
        <v>1.7679903846153846</v>
      </c>
      <c r="L29" s="4142">
        <f t="shared" si="46"/>
        <v>4.0322500000000003</v>
      </c>
      <c r="M29" s="4143">
        <f t="shared" si="47"/>
        <v>0.80645000000000011</v>
      </c>
      <c r="N29" s="4155">
        <f t="shared" si="34"/>
        <v>1.7252295849270145E-2</v>
      </c>
      <c r="O29" s="1931"/>
      <c r="P29" s="1877"/>
      <c r="Q29" s="1728">
        <f>$K$29</f>
        <v>1.7679903846153846</v>
      </c>
      <c r="R29" s="1728">
        <f>$K$29</f>
        <v>1.7679903846153846</v>
      </c>
      <c r="S29" s="1728">
        <f>$M$29</f>
        <v>0.80645000000000011</v>
      </c>
      <c r="T29" s="1728">
        <f>$K$29</f>
        <v>1.7679903846153846</v>
      </c>
      <c r="U29" s="1728">
        <f>$K$29</f>
        <v>1.7679903846153846</v>
      </c>
      <c r="V29" s="1728">
        <f>$K$29</f>
        <v>1.7679903846153846</v>
      </c>
      <c r="W29" s="1728">
        <f>$K$29</f>
        <v>1.7679903846153846</v>
      </c>
      <c r="X29" s="4173"/>
      <c r="Y29" s="1982">
        <f t="shared" si="56"/>
        <v>11.414392307692307</v>
      </c>
      <c r="Z29" s="2268">
        <f t="shared" si="35"/>
        <v>21.196067166638205</v>
      </c>
      <c r="AA29" s="1984">
        <f t="shared" si="48"/>
        <v>9.7816748589458982</v>
      </c>
      <c r="AB29" s="1881"/>
      <c r="AC29" s="1728">
        <f>$K$29</f>
        <v>1.7679903846153846</v>
      </c>
      <c r="AD29" s="1728">
        <f>$K$29</f>
        <v>1.7679903846153846</v>
      </c>
      <c r="AE29" s="1728">
        <f>$M$29</f>
        <v>0.80645000000000011</v>
      </c>
      <c r="AF29" s="1728">
        <f>$K$29</f>
        <v>1.7679903846153846</v>
      </c>
      <c r="AG29" s="1728">
        <f>$K$29</f>
        <v>1.7679903846153846</v>
      </c>
      <c r="AH29" s="1728">
        <f>$K$29</f>
        <v>1.7679903846153846</v>
      </c>
      <c r="AI29" s="1728"/>
      <c r="AJ29" s="1881"/>
      <c r="AK29" s="1982">
        <f t="shared" si="49"/>
        <v>9.6464019230769225</v>
      </c>
      <c r="AL29" s="2268">
        <f t="shared" si="36"/>
        <v>18.208055787023863</v>
      </c>
      <c r="AM29" s="1984">
        <f t="shared" si="50"/>
        <v>8.5616538639469404</v>
      </c>
      <c r="AN29" s="1881"/>
      <c r="AO29" s="2268"/>
      <c r="AP29" s="2268"/>
      <c r="AQ29" s="2268"/>
      <c r="AR29" s="2268"/>
      <c r="AS29" s="2268"/>
      <c r="AT29" s="2268"/>
      <c r="AU29" s="2268"/>
      <c r="AV29" s="2293"/>
      <c r="AW29" s="1982">
        <f t="shared" si="51"/>
        <v>0</v>
      </c>
      <c r="AX29" s="2268" t="e">
        <f t="shared" si="37"/>
        <v>#DIV/0!</v>
      </c>
      <c r="AY29" s="1984" t="e">
        <f t="shared" si="52"/>
        <v>#DIV/0!</v>
      </c>
      <c r="AZ29" s="2293"/>
      <c r="BA29" s="2268"/>
      <c r="BB29" s="2268"/>
      <c r="BC29" s="2268"/>
      <c r="BD29" s="2268"/>
      <c r="BE29" s="2268"/>
      <c r="BF29" s="2268"/>
      <c r="BG29" s="2268"/>
      <c r="BH29" s="2293"/>
      <c r="BI29" s="1982">
        <f t="shared" si="53"/>
        <v>0</v>
      </c>
      <c r="BJ29" s="2268" t="e">
        <f t="shared" si="38"/>
        <v>#DIV/0!</v>
      </c>
      <c r="BK29" s="1984" t="e">
        <f t="shared" si="54"/>
        <v>#DIV/0!</v>
      </c>
      <c r="BL29" s="4173"/>
      <c r="BM29" s="1728"/>
      <c r="BN29" s="1728"/>
      <c r="BO29" s="1728"/>
      <c r="BP29" s="4173"/>
      <c r="BQ29" s="1982">
        <f t="shared" si="39"/>
        <v>0</v>
      </c>
      <c r="BR29" s="2268" t="e">
        <f t="shared" si="40"/>
        <v>#DIV/0!</v>
      </c>
      <c r="BS29" s="1984" t="e">
        <f t="shared" si="57"/>
        <v>#DIV/0!</v>
      </c>
      <c r="BU29" s="1732">
        <v>0</v>
      </c>
      <c r="BV29" s="1882">
        <f t="shared" si="41"/>
        <v>0</v>
      </c>
      <c r="BW29" s="1740"/>
      <c r="BX29" s="1734">
        <f t="shared" si="42"/>
        <v>21.060794230769229</v>
      </c>
      <c r="BY29" s="1918">
        <f t="shared" si="43"/>
        <v>0.42121588461538456</v>
      </c>
      <c r="BZ29" s="1997"/>
      <c r="CA29" s="4172"/>
      <c r="CC29" s="2014"/>
      <c r="CD29" s="3300"/>
      <c r="CE29" s="1830"/>
      <c r="CF29" s="3301"/>
      <c r="CG29" s="1810"/>
      <c r="CH29" s="1810"/>
      <c r="CI29" s="1810"/>
      <c r="CJ29" s="1810"/>
      <c r="CK29" s="1986"/>
      <c r="CL29" s="1810"/>
    </row>
    <row r="30" spans="1:177" s="1885" customFormat="1" x14ac:dyDescent="0.2">
      <c r="A30" s="1947"/>
      <c r="B30" s="2000">
        <v>23</v>
      </c>
      <c r="C30" s="2000" t="s">
        <v>262</v>
      </c>
      <c r="D30" s="2579"/>
      <c r="E30" s="2001">
        <v>50</v>
      </c>
      <c r="F30" s="2001">
        <v>0.5</v>
      </c>
      <c r="G30" s="2001">
        <v>0.33333333333333331</v>
      </c>
      <c r="H30" s="2001">
        <v>0.25</v>
      </c>
      <c r="I30" s="4140">
        <v>0.2</v>
      </c>
      <c r="J30" s="4144">
        <f t="shared" si="44"/>
        <v>45.967750000000002</v>
      </c>
      <c r="K30" s="4148">
        <f t="shared" si="45"/>
        <v>1.7679903846153846</v>
      </c>
      <c r="L30" s="4144">
        <f t="shared" si="46"/>
        <v>4.0322500000000003</v>
      </c>
      <c r="M30" s="4158">
        <f t="shared" si="47"/>
        <v>0.80645000000000011</v>
      </c>
      <c r="N30" s="4156">
        <f t="shared" si="34"/>
        <v>1.7252295849270145E-2</v>
      </c>
      <c r="O30" s="1891"/>
      <c r="P30" s="1950"/>
      <c r="Q30" s="2001">
        <f>$K$30</f>
        <v>1.7679903846153846</v>
      </c>
      <c r="R30" s="2001">
        <f>$K$30</f>
        <v>1.7679903846153846</v>
      </c>
      <c r="S30" s="2001">
        <f>$M$30</f>
        <v>0.80645000000000011</v>
      </c>
      <c r="T30" s="2001">
        <f>$K$30</f>
        <v>1.7679903846153846</v>
      </c>
      <c r="U30" s="2001">
        <f>$K$30</f>
        <v>1.7679903846153846</v>
      </c>
      <c r="V30" s="2001">
        <f>$K$30</f>
        <v>1.7679903846153846</v>
      </c>
      <c r="W30" s="2001">
        <f>$K$30</f>
        <v>1.7679903846153846</v>
      </c>
      <c r="X30" s="4170"/>
      <c r="Y30" s="2004">
        <f t="shared" si="56"/>
        <v>11.414392307692307</v>
      </c>
      <c r="Z30" s="2005">
        <f t="shared" si="35"/>
        <v>21.196067166638205</v>
      </c>
      <c r="AA30" s="2006">
        <f t="shared" si="48"/>
        <v>9.7816748589458982</v>
      </c>
      <c r="AB30" s="1896"/>
      <c r="AC30" s="2001">
        <f>$K$30</f>
        <v>1.7679903846153846</v>
      </c>
      <c r="AD30" s="2001">
        <f>$K$30</f>
        <v>1.7679903846153846</v>
      </c>
      <c r="AE30" s="2001">
        <f>$M$30</f>
        <v>0.80645000000000011</v>
      </c>
      <c r="AF30" s="2001">
        <f>$K$30</f>
        <v>1.7679903846153846</v>
      </c>
      <c r="AG30" s="2001">
        <f>$K$30</f>
        <v>1.7679903846153846</v>
      </c>
      <c r="AH30" s="2001">
        <f>$K$30</f>
        <v>1.7679903846153846</v>
      </c>
      <c r="AI30" s="2001"/>
      <c r="AJ30" s="1896"/>
      <c r="AK30" s="2004">
        <f t="shared" si="49"/>
        <v>9.6464019230769225</v>
      </c>
      <c r="AL30" s="2005">
        <f t="shared" si="36"/>
        <v>18.208055787023863</v>
      </c>
      <c r="AM30" s="2006">
        <f t="shared" si="50"/>
        <v>8.5616538639469404</v>
      </c>
      <c r="AN30" s="1896"/>
      <c r="AO30" s="2005"/>
      <c r="AP30" s="2005"/>
      <c r="AQ30" s="2005"/>
      <c r="AR30" s="2005"/>
      <c r="AS30" s="2005"/>
      <c r="AT30" s="2005"/>
      <c r="AU30" s="2005"/>
      <c r="AV30" s="2295"/>
      <c r="AW30" s="2004">
        <f t="shared" si="51"/>
        <v>0</v>
      </c>
      <c r="AX30" s="2005" t="e">
        <f t="shared" si="37"/>
        <v>#DIV/0!</v>
      </c>
      <c r="AY30" s="2006" t="e">
        <f t="shared" si="52"/>
        <v>#DIV/0!</v>
      </c>
      <c r="AZ30" s="2295"/>
      <c r="BA30" s="2005"/>
      <c r="BB30" s="2005"/>
      <c r="BC30" s="2005"/>
      <c r="BD30" s="2005"/>
      <c r="BE30" s="2005"/>
      <c r="BF30" s="2005"/>
      <c r="BG30" s="2005"/>
      <c r="BH30" s="2295"/>
      <c r="BI30" s="2004">
        <f t="shared" si="53"/>
        <v>0</v>
      </c>
      <c r="BJ30" s="2005" t="e">
        <f t="shared" si="38"/>
        <v>#DIV/0!</v>
      </c>
      <c r="BK30" s="2006" t="e">
        <f t="shared" si="54"/>
        <v>#DIV/0!</v>
      </c>
      <c r="BL30" s="4170"/>
      <c r="BM30" s="2001"/>
      <c r="BN30" s="2001"/>
      <c r="BO30" s="2001"/>
      <c r="BP30" s="4170"/>
      <c r="BQ30" s="2004">
        <f t="shared" si="39"/>
        <v>0</v>
      </c>
      <c r="BR30" s="2005" t="e">
        <f t="shared" si="40"/>
        <v>#DIV/0!</v>
      </c>
      <c r="BS30" s="2006" t="e">
        <f t="shared" si="57"/>
        <v>#DIV/0!</v>
      </c>
      <c r="BU30" s="1898">
        <v>0</v>
      </c>
      <c r="BV30" s="1899">
        <f t="shared" si="41"/>
        <v>0</v>
      </c>
      <c r="BW30" s="1900"/>
      <c r="BX30" s="2244">
        <f t="shared" si="42"/>
        <v>21.060794230769229</v>
      </c>
      <c r="BY30" s="2387">
        <f t="shared" si="43"/>
        <v>0.42121588461538456</v>
      </c>
      <c r="BZ30" s="2010"/>
      <c r="CA30" s="4169"/>
      <c r="CC30" s="4169"/>
      <c r="CD30" s="2488"/>
      <c r="CE30" s="2010"/>
      <c r="CF30" s="2490"/>
      <c r="CG30" s="1906"/>
      <c r="CH30" s="1906"/>
      <c r="CI30" s="1906"/>
      <c r="CJ30" s="1906"/>
      <c r="CK30" s="2386"/>
      <c r="CL30" s="1906"/>
    </row>
    <row r="31" spans="1:177" s="1726" customFormat="1" x14ac:dyDescent="0.2">
      <c r="B31" s="1963">
        <v>24</v>
      </c>
      <c r="C31" s="1963" t="s">
        <v>240</v>
      </c>
      <c r="D31" s="2578"/>
      <c r="E31" s="1728">
        <v>30</v>
      </c>
      <c r="F31" s="1728">
        <v>5</v>
      </c>
      <c r="G31" s="1728">
        <v>3.3333333333333335</v>
      </c>
      <c r="H31" s="1728">
        <v>2.5</v>
      </c>
      <c r="I31" s="4138">
        <v>2</v>
      </c>
      <c r="J31" s="4142">
        <f t="shared" si="44"/>
        <v>27.580649999999999</v>
      </c>
      <c r="K31" s="4143">
        <f t="shared" si="45"/>
        <v>1.0607942307692306</v>
      </c>
      <c r="L31" s="4142">
        <f t="shared" si="46"/>
        <v>2.4193500000000001</v>
      </c>
      <c r="M31" s="4143">
        <f t="shared" si="47"/>
        <v>0.48387000000000002</v>
      </c>
      <c r="N31" s="4155">
        <f t="shared" si="34"/>
        <v>1.0351377509562087E-2</v>
      </c>
      <c r="O31" s="1931"/>
      <c r="P31" s="1924"/>
      <c r="Q31" s="1728">
        <f>$K$31</f>
        <v>1.0607942307692306</v>
      </c>
      <c r="R31" s="1728">
        <f>$K$31</f>
        <v>1.0607942307692306</v>
      </c>
      <c r="S31" s="1728">
        <f>$M$31</f>
        <v>0.48387000000000002</v>
      </c>
      <c r="T31" s="1728">
        <f>$K$31</f>
        <v>1.0607942307692306</v>
      </c>
      <c r="U31" s="1728">
        <f>$K$31</f>
        <v>1.0607942307692306</v>
      </c>
      <c r="V31" s="1728">
        <f>$K$31</f>
        <v>1.0607942307692306</v>
      </c>
      <c r="W31" s="1728">
        <f>$K$31</f>
        <v>1.0607942307692306</v>
      </c>
      <c r="X31" s="4173"/>
      <c r="Y31" s="1982">
        <f t="shared" si="56"/>
        <v>6.8486353846153847</v>
      </c>
      <c r="Z31" s="2268">
        <f t="shared" si="35"/>
        <v>12.717640299982923</v>
      </c>
      <c r="AA31" s="1984">
        <f>Z31-Y31</f>
        <v>5.8690049153675385</v>
      </c>
      <c r="AB31" s="1881"/>
      <c r="AC31" s="1728">
        <f>$K$31</f>
        <v>1.0607942307692306</v>
      </c>
      <c r="AD31" s="1728">
        <f>$K$31</f>
        <v>1.0607942307692306</v>
      </c>
      <c r="AE31" s="1728">
        <f>$M$31</f>
        <v>0.48387000000000002</v>
      </c>
      <c r="AF31" s="1728">
        <f>$K$31</f>
        <v>1.0607942307692306</v>
      </c>
      <c r="AG31" s="1728">
        <f>$K$31</f>
        <v>1.0607942307692306</v>
      </c>
      <c r="AH31" s="1728">
        <f>$K$31</f>
        <v>1.0607942307692306</v>
      </c>
      <c r="AI31" s="1728"/>
      <c r="AJ31" s="1881"/>
      <c r="AK31" s="1982">
        <f t="shared" si="49"/>
        <v>5.7878411538461538</v>
      </c>
      <c r="AL31" s="2268">
        <f t="shared" si="36"/>
        <v>10.924833472214319</v>
      </c>
      <c r="AM31" s="1984">
        <f t="shared" si="50"/>
        <v>5.1369923183681649</v>
      </c>
      <c r="AN31" s="1881"/>
      <c r="AO31" s="2268"/>
      <c r="AP31" s="2268"/>
      <c r="AQ31" s="2268"/>
      <c r="AR31" s="2268"/>
      <c r="AS31" s="2268"/>
      <c r="AT31" s="2268"/>
      <c r="AU31" s="2268"/>
      <c r="AV31" s="2293"/>
      <c r="AW31" s="1982">
        <f t="shared" si="51"/>
        <v>0</v>
      </c>
      <c r="AX31" s="2268" t="e">
        <f t="shared" si="37"/>
        <v>#DIV/0!</v>
      </c>
      <c r="AY31" s="1984" t="e">
        <f t="shared" si="52"/>
        <v>#DIV/0!</v>
      </c>
      <c r="AZ31" s="2293"/>
      <c r="BA31" s="2268"/>
      <c r="BB31" s="2268"/>
      <c r="BC31" s="2268"/>
      <c r="BD31" s="2268"/>
      <c r="BE31" s="2268"/>
      <c r="BF31" s="2268"/>
      <c r="BG31" s="2268"/>
      <c r="BH31" s="2293"/>
      <c r="BI31" s="1982">
        <f t="shared" si="53"/>
        <v>0</v>
      </c>
      <c r="BJ31" s="2268" t="e">
        <f t="shared" si="38"/>
        <v>#DIV/0!</v>
      </c>
      <c r="BK31" s="1984" t="e">
        <f t="shared" si="54"/>
        <v>#DIV/0!</v>
      </c>
      <c r="BL31" s="4173"/>
      <c r="BM31" s="1728"/>
      <c r="BN31" s="1728"/>
      <c r="BO31" s="1728"/>
      <c r="BP31" s="4173"/>
      <c r="BQ31" s="1982">
        <f t="shared" si="39"/>
        <v>0</v>
      </c>
      <c r="BR31" s="2268" t="e">
        <f t="shared" si="40"/>
        <v>#DIV/0!</v>
      </c>
      <c r="BS31" s="1984" t="e">
        <f t="shared" si="57"/>
        <v>#DIV/0!</v>
      </c>
      <c r="BU31" s="1732">
        <v>0</v>
      </c>
      <c r="BV31" s="1882">
        <f t="shared" si="41"/>
        <v>0</v>
      </c>
      <c r="BW31" s="1740"/>
      <c r="BX31" s="1734">
        <f t="shared" si="42"/>
        <v>12.636476538461539</v>
      </c>
      <c r="BY31" s="1918">
        <f t="shared" si="43"/>
        <v>0.42121588461538462</v>
      </c>
      <c r="BZ31" s="1997"/>
      <c r="CA31" s="4172"/>
      <c r="CC31" s="4172"/>
      <c r="CD31" s="2961"/>
      <c r="CE31" s="1861"/>
      <c r="CF31" s="1861"/>
      <c r="CG31" s="1810"/>
      <c r="CH31" s="1810"/>
      <c r="CI31" s="1810"/>
      <c r="CJ31" s="1810"/>
      <c r="CK31" s="1986"/>
      <c r="CL31" s="1810"/>
    </row>
    <row r="32" spans="1:177" s="1885" customFormat="1" x14ac:dyDescent="0.2">
      <c r="B32" s="2580">
        <v>25</v>
      </c>
      <c r="C32" s="2580" t="s">
        <v>254</v>
      </c>
      <c r="D32" s="2596"/>
      <c r="E32" s="2597">
        <v>26.35</v>
      </c>
      <c r="F32" s="2597">
        <v>5</v>
      </c>
      <c r="G32" s="2597">
        <v>3.3333333333333335</v>
      </c>
      <c r="H32" s="2597">
        <v>2.5</v>
      </c>
      <c r="I32" s="4141">
        <v>2</v>
      </c>
      <c r="J32" s="4144">
        <f t="shared" si="44"/>
        <v>24.225004250000001</v>
      </c>
      <c r="K32" s="4148">
        <f t="shared" si="45"/>
        <v>0.93173093269230778</v>
      </c>
      <c r="L32" s="4144">
        <f t="shared" si="46"/>
        <v>2.1249957500000005</v>
      </c>
      <c r="M32" s="4158">
        <f t="shared" si="47"/>
        <v>0.4249991500000001</v>
      </c>
      <c r="N32" s="4157">
        <f t="shared" si="34"/>
        <v>9.0919599125653672E-3</v>
      </c>
      <c r="O32" s="2003"/>
      <c r="P32" s="1950"/>
      <c r="Q32" s="2001">
        <f>$K$32</f>
        <v>0.93173093269230778</v>
      </c>
      <c r="R32" s="2001">
        <f>$K$32</f>
        <v>0.93173093269230778</v>
      </c>
      <c r="S32" s="2001">
        <f>$M$32</f>
        <v>0.4249991500000001</v>
      </c>
      <c r="T32" s="2001">
        <f>$K$32</f>
        <v>0.93173093269230778</v>
      </c>
      <c r="U32" s="2001">
        <f>$K$32</f>
        <v>0.93173093269230778</v>
      </c>
      <c r="V32" s="2001">
        <f>$K$32</f>
        <v>0.93173093269230778</v>
      </c>
      <c r="W32" s="2001">
        <f>$K$32</f>
        <v>0.93173093269230778</v>
      </c>
      <c r="X32" s="4170"/>
      <c r="Y32" s="2481">
        <f t="shared" si="56"/>
        <v>6.0153847461538454</v>
      </c>
      <c r="Z32" s="2482">
        <f t="shared" si="35"/>
        <v>11.170327396818335</v>
      </c>
      <c r="AA32" s="2483">
        <f t="shared" si="48"/>
        <v>5.1549426506644895</v>
      </c>
      <c r="AB32" s="1896"/>
      <c r="AC32" s="2001">
        <f>$K$32</f>
        <v>0.93173093269230778</v>
      </c>
      <c r="AD32" s="2001">
        <f>$K$32</f>
        <v>0.93173093269230778</v>
      </c>
      <c r="AE32" s="2001">
        <f>$M$32</f>
        <v>0.4249991500000001</v>
      </c>
      <c r="AF32" s="2001">
        <f>$K$32</f>
        <v>0.93173093269230778</v>
      </c>
      <c r="AG32" s="2001">
        <f>$K$32</f>
        <v>0.93173093269230778</v>
      </c>
      <c r="AH32" s="2001">
        <f>$K$32</f>
        <v>0.93173093269230778</v>
      </c>
      <c r="AI32" s="2001"/>
      <c r="AJ32" s="1896"/>
      <c r="AK32" s="2481">
        <f t="shared" si="49"/>
        <v>5.0836538134615381</v>
      </c>
      <c r="AL32" s="2482">
        <f t="shared" si="36"/>
        <v>9.5956453997615778</v>
      </c>
      <c r="AM32" s="2483">
        <f t="shared" si="50"/>
        <v>4.5119915863000397</v>
      </c>
      <c r="AN32" s="1896"/>
      <c r="AO32" s="2005"/>
      <c r="AP32" s="2005"/>
      <c r="AQ32" s="2005"/>
      <c r="AR32" s="2005"/>
      <c r="AS32" s="2005"/>
      <c r="AT32" s="2005"/>
      <c r="AU32" s="2005"/>
      <c r="AV32" s="2295"/>
      <c r="AW32" s="2481">
        <f t="shared" si="51"/>
        <v>0</v>
      </c>
      <c r="AX32" s="2482" t="e">
        <f t="shared" si="37"/>
        <v>#DIV/0!</v>
      </c>
      <c r="AY32" s="2483" t="e">
        <f t="shared" si="52"/>
        <v>#DIV/0!</v>
      </c>
      <c r="AZ32" s="2295"/>
      <c r="BA32" s="2005"/>
      <c r="BB32" s="2005"/>
      <c r="BC32" s="2005"/>
      <c r="BD32" s="2005"/>
      <c r="BE32" s="2005"/>
      <c r="BF32" s="2005"/>
      <c r="BG32" s="2005"/>
      <c r="BH32" s="2295"/>
      <c r="BI32" s="2481">
        <f t="shared" si="53"/>
        <v>0</v>
      </c>
      <c r="BJ32" s="2482" t="e">
        <f t="shared" si="38"/>
        <v>#DIV/0!</v>
      </c>
      <c r="BK32" s="2483" t="e">
        <f t="shared" si="54"/>
        <v>#DIV/0!</v>
      </c>
      <c r="BL32" s="4170"/>
      <c r="BM32" s="2001"/>
      <c r="BN32" s="2001"/>
      <c r="BO32" s="2001"/>
      <c r="BP32" s="4170"/>
      <c r="BQ32" s="2481">
        <f t="shared" si="39"/>
        <v>0</v>
      </c>
      <c r="BR32" s="2482" t="e">
        <f t="shared" si="40"/>
        <v>#DIV/0!</v>
      </c>
      <c r="BS32" s="2483" t="e">
        <f t="shared" si="57"/>
        <v>#DIV/0!</v>
      </c>
      <c r="BU32" s="1898">
        <v>0</v>
      </c>
      <c r="BV32" s="1899">
        <f t="shared" si="41"/>
        <v>0</v>
      </c>
      <c r="BW32" s="1900"/>
      <c r="BX32" s="2388">
        <f t="shared" si="42"/>
        <v>11.099038559615384</v>
      </c>
      <c r="BY32" s="2389">
        <f t="shared" si="43"/>
        <v>0.42121588461538456</v>
      </c>
      <c r="BZ32" s="2010"/>
      <c r="CA32" s="4169"/>
      <c r="CC32" s="4169"/>
      <c r="CD32" s="2488"/>
      <c r="CE32" s="2404" t="s">
        <v>155</v>
      </c>
      <c r="CF32" s="2010" t="s">
        <v>156</v>
      </c>
      <c r="CG32" s="1906"/>
      <c r="CH32" s="1906"/>
      <c r="CI32" s="1906"/>
      <c r="CJ32" s="1906"/>
      <c r="CK32" s="2386"/>
      <c r="CL32" s="1906"/>
    </row>
    <row r="33" spans="2:90" s="1726" customFormat="1" x14ac:dyDescent="0.2">
      <c r="B33" s="1963">
        <v>26</v>
      </c>
      <c r="C33" s="1963" t="s">
        <v>205</v>
      </c>
      <c r="D33" s="2578"/>
      <c r="E33" s="1728">
        <v>25.5</v>
      </c>
      <c r="F33" s="1728"/>
      <c r="G33" s="1728"/>
      <c r="H33" s="1728"/>
      <c r="I33" s="4138"/>
      <c r="J33" s="4142">
        <f t="shared" si="44"/>
        <v>23.443552499999999</v>
      </c>
      <c r="K33" s="4143">
        <f t="shared" si="45"/>
        <v>0.90167509615384611</v>
      </c>
      <c r="L33" s="4142">
        <f t="shared" si="46"/>
        <v>2.0564475000000004</v>
      </c>
      <c r="M33" s="4143">
        <f t="shared" si="47"/>
        <v>0.41128950000000009</v>
      </c>
      <c r="N33" s="4155">
        <f t="shared" si="34"/>
        <v>8.7986708831277738E-3</v>
      </c>
      <c r="O33" s="1931"/>
      <c r="P33" s="1924"/>
      <c r="Q33" s="1728">
        <f>$K$33</f>
        <v>0.90167509615384611</v>
      </c>
      <c r="R33" s="1728">
        <f>$K$33</f>
        <v>0.90167509615384611</v>
      </c>
      <c r="S33" s="1728">
        <f>$M$33</f>
        <v>0.41128950000000009</v>
      </c>
      <c r="T33" s="1728">
        <f>$K$33</f>
        <v>0.90167509615384611</v>
      </c>
      <c r="U33" s="1728">
        <f>$K$33</f>
        <v>0.90167509615384611</v>
      </c>
      <c r="V33" s="1728">
        <f>$K$33</f>
        <v>0.90167509615384611</v>
      </c>
      <c r="W33" s="1728">
        <f>$K$33</f>
        <v>0.90167509615384611</v>
      </c>
      <c r="X33" s="4173"/>
      <c r="Y33" s="2016">
        <f t="shared" si="56"/>
        <v>5.8213400769230761</v>
      </c>
      <c r="Z33" s="2017">
        <f t="shared" si="35"/>
        <v>10.809994254985485</v>
      </c>
      <c r="AA33" s="2018">
        <f t="shared" si="48"/>
        <v>4.9886541780624087</v>
      </c>
      <c r="AB33" s="1881"/>
      <c r="AC33" s="1728">
        <f>$K$33</f>
        <v>0.90167509615384611</v>
      </c>
      <c r="AD33" s="1728">
        <f>$K$33</f>
        <v>0.90167509615384611</v>
      </c>
      <c r="AE33" s="1728">
        <f>$M$33</f>
        <v>0.41128950000000009</v>
      </c>
      <c r="AF33" s="1728">
        <f>$K$33</f>
        <v>0.90167509615384611</v>
      </c>
      <c r="AG33" s="1728">
        <f>$K$33</f>
        <v>0.90167509615384611</v>
      </c>
      <c r="AH33" s="1728">
        <f>$K$33</f>
        <v>0.90167509615384611</v>
      </c>
      <c r="AI33" s="1728"/>
      <c r="AJ33" s="1881"/>
      <c r="AK33" s="2016">
        <f>SUM(AC33:AI33)</f>
        <v>4.9196649807692303</v>
      </c>
      <c r="AL33" s="2017">
        <f t="shared" si="36"/>
        <v>9.2861084513821694</v>
      </c>
      <c r="AM33" s="2018">
        <f>AL33-AK33</f>
        <v>4.3664434706129391</v>
      </c>
      <c r="AN33" s="1881"/>
      <c r="AO33" s="2268"/>
      <c r="AP33" s="2268"/>
      <c r="AQ33" s="2268"/>
      <c r="AR33" s="2268"/>
      <c r="AS33" s="2268"/>
      <c r="AT33" s="2268"/>
      <c r="AU33" s="2268"/>
      <c r="AV33" s="2293"/>
      <c r="AW33" s="2016">
        <f t="shared" si="51"/>
        <v>0</v>
      </c>
      <c r="AX33" s="2017" t="e">
        <f t="shared" si="37"/>
        <v>#DIV/0!</v>
      </c>
      <c r="AY33" s="2018" t="e">
        <f t="shared" si="52"/>
        <v>#DIV/0!</v>
      </c>
      <c r="AZ33" s="2293"/>
      <c r="BA33" s="2268"/>
      <c r="BB33" s="2268"/>
      <c r="BC33" s="2268"/>
      <c r="BD33" s="2268"/>
      <c r="BE33" s="2268"/>
      <c r="BF33" s="2268"/>
      <c r="BG33" s="2268"/>
      <c r="BH33" s="2293"/>
      <c r="BI33" s="2016">
        <f t="shared" si="53"/>
        <v>0</v>
      </c>
      <c r="BJ33" s="2017" t="e">
        <f t="shared" si="38"/>
        <v>#DIV/0!</v>
      </c>
      <c r="BK33" s="2018" t="e">
        <f t="shared" si="54"/>
        <v>#DIV/0!</v>
      </c>
      <c r="BL33" s="4173"/>
      <c r="BM33" s="1728"/>
      <c r="BN33" s="1728"/>
      <c r="BO33" s="1728"/>
      <c r="BP33" s="4173"/>
      <c r="BQ33" s="2016">
        <f t="shared" si="39"/>
        <v>0</v>
      </c>
      <c r="BR33" s="2017" t="e">
        <f t="shared" si="40"/>
        <v>#DIV/0!</v>
      </c>
      <c r="BS33" s="2018" t="e">
        <f t="shared" si="57"/>
        <v>#DIV/0!</v>
      </c>
      <c r="BU33" s="1732">
        <v>0</v>
      </c>
      <c r="BV33" s="1882">
        <f t="shared" si="41"/>
        <v>0</v>
      </c>
      <c r="BW33" s="1740"/>
      <c r="BX33" s="2019">
        <f t="shared" si="42"/>
        <v>10.741005057692306</v>
      </c>
      <c r="BY33" s="2020">
        <f t="shared" si="43"/>
        <v>0.42121588461538451</v>
      </c>
      <c r="BZ33" s="1997"/>
      <c r="CA33" s="4172"/>
      <c r="CC33" s="4172"/>
      <c r="CD33" s="2036" t="s">
        <v>159</v>
      </c>
      <c r="CE33" s="2059">
        <v>0.5</v>
      </c>
      <c r="CF33" s="1997">
        <f>IF(CF28&lt;=CE33,CF28," ")</f>
        <v>0.41935483870967744</v>
      </c>
      <c r="CG33" s="1810"/>
      <c r="CH33" s="1810"/>
      <c r="CI33" s="1810"/>
      <c r="CJ33" s="1810"/>
      <c r="CK33" s="1986"/>
      <c r="CL33" s="1810"/>
    </row>
    <row r="34" spans="2:90" s="1885" customFormat="1" x14ac:dyDescent="0.2">
      <c r="B34" s="2000">
        <v>27</v>
      </c>
      <c r="C34" s="2000" t="s">
        <v>206</v>
      </c>
      <c r="D34" s="2579"/>
      <c r="E34" s="2001">
        <v>16.7</v>
      </c>
      <c r="F34" s="2001"/>
      <c r="G34" s="2001"/>
      <c r="H34" s="2001"/>
      <c r="I34" s="4140"/>
      <c r="J34" s="4144">
        <f t="shared" si="44"/>
        <v>15.3532285</v>
      </c>
      <c r="K34" s="4148">
        <f t="shared" si="45"/>
        <v>0.59050878846153843</v>
      </c>
      <c r="L34" s="4144">
        <f t="shared" si="46"/>
        <v>1.3467715</v>
      </c>
      <c r="M34" s="4158">
        <f t="shared" si="47"/>
        <v>0.26935429999999999</v>
      </c>
      <c r="N34" s="4156">
        <f t="shared" si="34"/>
        <v>5.7622668136562277E-3</v>
      </c>
      <c r="O34" s="2003"/>
      <c r="P34" s="1950"/>
      <c r="Q34" s="2001">
        <f>$K$34</f>
        <v>0.59050878846153843</v>
      </c>
      <c r="R34" s="2001">
        <f>$K$34</f>
        <v>0.59050878846153843</v>
      </c>
      <c r="S34" s="2001">
        <f>$M$34</f>
        <v>0.26935429999999999</v>
      </c>
      <c r="T34" s="2001">
        <f>$K$34</f>
        <v>0.59050878846153843</v>
      </c>
      <c r="U34" s="2001">
        <f>$K$34</f>
        <v>0.59050878846153843</v>
      </c>
      <c r="V34" s="2001">
        <f>$K$34</f>
        <v>0.59050878846153843</v>
      </c>
      <c r="W34" s="2001">
        <f>$K$34</f>
        <v>0.59050878846153843</v>
      </c>
      <c r="X34" s="4170"/>
      <c r="Y34" s="2481">
        <f t="shared" si="56"/>
        <v>3.812407030769231</v>
      </c>
      <c r="Z34" s="2482">
        <f t="shared" si="35"/>
        <v>7.0794864336571601</v>
      </c>
      <c r="AA34" s="2483">
        <f t="shared" si="48"/>
        <v>3.2670794028879291</v>
      </c>
      <c r="AB34" s="1896"/>
      <c r="AC34" s="2001">
        <f>$K$34</f>
        <v>0.59050878846153843</v>
      </c>
      <c r="AD34" s="2001">
        <f>$K$34</f>
        <v>0.59050878846153843</v>
      </c>
      <c r="AE34" s="2001">
        <f>$M$34</f>
        <v>0.26935429999999999</v>
      </c>
      <c r="AF34" s="2001">
        <f>$K$34</f>
        <v>0.59050878846153843</v>
      </c>
      <c r="AG34" s="2001">
        <f>$K$34</f>
        <v>0.59050878846153843</v>
      </c>
      <c r="AH34" s="2001">
        <f>$K$34</f>
        <v>0.59050878846153843</v>
      </c>
      <c r="AI34" s="2001"/>
      <c r="AJ34" s="1896"/>
      <c r="AK34" s="2481">
        <f t="shared" ref="AK34:AK40" si="58">SUM(AC34:AI34)</f>
        <v>3.2218982423076925</v>
      </c>
      <c r="AL34" s="2482">
        <f t="shared" si="36"/>
        <v>6.0814906328659699</v>
      </c>
      <c r="AM34" s="2483">
        <f t="shared" ref="AM34:AM40" si="59">AL34-AK34</f>
        <v>2.8595923905582774</v>
      </c>
      <c r="AN34" s="1896"/>
      <c r="AO34" s="2005"/>
      <c r="AP34" s="2005"/>
      <c r="AQ34" s="2005"/>
      <c r="AR34" s="2005"/>
      <c r="AS34" s="2005"/>
      <c r="AT34" s="2005"/>
      <c r="AU34" s="2005"/>
      <c r="AV34" s="2295"/>
      <c r="AW34" s="2481">
        <f t="shared" si="51"/>
        <v>0</v>
      </c>
      <c r="AX34" s="2482" t="e">
        <f t="shared" si="37"/>
        <v>#DIV/0!</v>
      </c>
      <c r="AY34" s="2483" t="e">
        <f t="shared" si="52"/>
        <v>#DIV/0!</v>
      </c>
      <c r="AZ34" s="2295"/>
      <c r="BA34" s="2005"/>
      <c r="BB34" s="2005"/>
      <c r="BC34" s="2005"/>
      <c r="BD34" s="2005"/>
      <c r="BE34" s="2005"/>
      <c r="BF34" s="2005"/>
      <c r="BG34" s="2005"/>
      <c r="BH34" s="2295"/>
      <c r="BI34" s="2481">
        <f t="shared" si="53"/>
        <v>0</v>
      </c>
      <c r="BJ34" s="2482" t="e">
        <f t="shared" si="38"/>
        <v>#DIV/0!</v>
      </c>
      <c r="BK34" s="2483" t="e">
        <f t="shared" si="54"/>
        <v>#DIV/0!</v>
      </c>
      <c r="BL34" s="4170"/>
      <c r="BM34" s="2001"/>
      <c r="BN34" s="2001"/>
      <c r="BO34" s="2001"/>
      <c r="BP34" s="4170"/>
      <c r="BQ34" s="2481">
        <f t="shared" si="39"/>
        <v>0</v>
      </c>
      <c r="BR34" s="2482" t="e">
        <f t="shared" si="40"/>
        <v>#DIV/0!</v>
      </c>
      <c r="BS34" s="2483" t="e">
        <f t="shared" si="57"/>
        <v>#DIV/0!</v>
      </c>
      <c r="BU34" s="1898">
        <v>0</v>
      </c>
      <c r="BV34" s="1899">
        <f t="shared" si="41"/>
        <v>0</v>
      </c>
      <c r="BW34" s="1900"/>
      <c r="BX34" s="2388">
        <f t="shared" si="42"/>
        <v>7.0343052730769235</v>
      </c>
      <c r="BY34" s="2389">
        <f t="shared" si="43"/>
        <v>0.42121588461538467</v>
      </c>
      <c r="BZ34" s="2010"/>
      <c r="CA34" s="4169"/>
      <c r="CC34" s="4169"/>
      <c r="CD34" s="2637" t="s">
        <v>160</v>
      </c>
      <c r="CE34" s="2339">
        <v>0.75</v>
      </c>
      <c r="CF34" s="1962" t="str">
        <f>IF(AND(CF28&gt;CE33,CF28&lt;=CE34),CF28," ")</f>
        <v xml:space="preserve"> </v>
      </c>
      <c r="CG34" s="1906"/>
      <c r="CH34" s="1906"/>
      <c r="CI34" s="1906"/>
      <c r="CJ34" s="1906"/>
      <c r="CK34" s="2386"/>
      <c r="CL34" s="1906"/>
    </row>
    <row r="35" spans="2:90" s="1726" customFormat="1" x14ac:dyDescent="0.2">
      <c r="B35" s="2508">
        <v>28</v>
      </c>
      <c r="C35" s="1963" t="s">
        <v>258</v>
      </c>
      <c r="D35" s="2578"/>
      <c r="E35" s="1728">
        <v>15</v>
      </c>
      <c r="F35" s="1728">
        <v>5</v>
      </c>
      <c r="G35" s="1728">
        <v>3.3333333333333335</v>
      </c>
      <c r="H35" s="1728">
        <v>2.5</v>
      </c>
      <c r="I35" s="4138">
        <v>2</v>
      </c>
      <c r="J35" s="4142">
        <f t="shared" si="44"/>
        <v>13.790324999999999</v>
      </c>
      <c r="K35" s="4143">
        <f t="shared" si="45"/>
        <v>0.53039711538461531</v>
      </c>
      <c r="L35" s="4142">
        <f t="shared" si="46"/>
        <v>1.2096750000000001</v>
      </c>
      <c r="M35" s="4143">
        <f t="shared" si="47"/>
        <v>0.24193500000000001</v>
      </c>
      <c r="N35" s="4155">
        <f t="shared" si="34"/>
        <v>5.1756887547810436E-3</v>
      </c>
      <c r="O35" s="1931"/>
      <c r="P35" s="1924"/>
      <c r="Q35" s="1728">
        <f>$K$35</f>
        <v>0.53039711538461531</v>
      </c>
      <c r="R35" s="1728">
        <f>$K$35</f>
        <v>0.53039711538461531</v>
      </c>
      <c r="S35" s="1728">
        <f>$M$35</f>
        <v>0.24193500000000001</v>
      </c>
      <c r="T35" s="1728">
        <f>$K$35</f>
        <v>0.53039711538461531</v>
      </c>
      <c r="U35" s="1728">
        <f>$K$35</f>
        <v>0.53039711538461531</v>
      </c>
      <c r="V35" s="1728">
        <f>$K$35</f>
        <v>0.53039711538461531</v>
      </c>
      <c r="W35" s="1728">
        <f>$K$35</f>
        <v>0.53039711538461531</v>
      </c>
      <c r="X35" s="4173"/>
      <c r="Y35" s="2016">
        <f t="shared" si="56"/>
        <v>3.4243176923076923</v>
      </c>
      <c r="Z35" s="2017">
        <f t="shared" si="35"/>
        <v>6.3588201499914616</v>
      </c>
      <c r="AA35" s="2018">
        <f t="shared" si="48"/>
        <v>2.9345024576837693</v>
      </c>
      <c r="AB35" s="1881"/>
      <c r="AC35" s="1728">
        <f>$K$35</f>
        <v>0.53039711538461531</v>
      </c>
      <c r="AD35" s="1728">
        <f>$K$35</f>
        <v>0.53039711538461531</v>
      </c>
      <c r="AE35" s="1728">
        <f>$M$35</f>
        <v>0.24193500000000001</v>
      </c>
      <c r="AF35" s="1728">
        <f>$K$35</f>
        <v>0.53039711538461531</v>
      </c>
      <c r="AG35" s="1728">
        <f>$K$35</f>
        <v>0.53039711538461531</v>
      </c>
      <c r="AH35" s="1728">
        <f>$K$35</f>
        <v>0.53039711538461531</v>
      </c>
      <c r="AI35" s="1728"/>
      <c r="AJ35" s="1881"/>
      <c r="AK35" s="2016">
        <f t="shared" si="58"/>
        <v>2.8939205769230769</v>
      </c>
      <c r="AL35" s="2017">
        <f t="shared" si="36"/>
        <v>5.4624167361071594</v>
      </c>
      <c r="AM35" s="2018">
        <f t="shared" si="59"/>
        <v>2.5684961591840825</v>
      </c>
      <c r="AN35" s="1881"/>
      <c r="AO35" s="2268"/>
      <c r="AP35" s="2268"/>
      <c r="AQ35" s="2268"/>
      <c r="AR35" s="2268"/>
      <c r="AS35" s="2268"/>
      <c r="AT35" s="2268"/>
      <c r="AU35" s="2268"/>
      <c r="AV35" s="2293"/>
      <c r="AW35" s="2016">
        <f t="shared" si="51"/>
        <v>0</v>
      </c>
      <c r="AX35" s="2017" t="e">
        <f t="shared" si="37"/>
        <v>#DIV/0!</v>
      </c>
      <c r="AY35" s="2018" t="e">
        <f t="shared" si="52"/>
        <v>#DIV/0!</v>
      </c>
      <c r="AZ35" s="2293"/>
      <c r="BA35" s="2268"/>
      <c r="BB35" s="2268"/>
      <c r="BC35" s="2268"/>
      <c r="BD35" s="2268"/>
      <c r="BE35" s="2268"/>
      <c r="BF35" s="2268"/>
      <c r="BG35" s="2268"/>
      <c r="BH35" s="2293"/>
      <c r="BI35" s="2016">
        <f t="shared" si="53"/>
        <v>0</v>
      </c>
      <c r="BJ35" s="2017" t="e">
        <f t="shared" si="38"/>
        <v>#DIV/0!</v>
      </c>
      <c r="BK35" s="2018" t="e">
        <f t="shared" si="54"/>
        <v>#DIV/0!</v>
      </c>
      <c r="BL35" s="4173"/>
      <c r="BM35" s="1728"/>
      <c r="BN35" s="1728"/>
      <c r="BO35" s="1728"/>
      <c r="BP35" s="4173"/>
      <c r="BQ35" s="2016">
        <f t="shared" si="39"/>
        <v>0</v>
      </c>
      <c r="BR35" s="2017" t="e">
        <f t="shared" si="40"/>
        <v>#DIV/0!</v>
      </c>
      <c r="BS35" s="2018" t="e">
        <f t="shared" si="57"/>
        <v>#DIV/0!</v>
      </c>
      <c r="BU35" s="1732">
        <v>0</v>
      </c>
      <c r="BV35" s="1882">
        <f t="shared" si="41"/>
        <v>0</v>
      </c>
      <c r="BW35" s="1740"/>
      <c r="BX35" s="2019">
        <f t="shared" si="42"/>
        <v>6.3182382692307693</v>
      </c>
      <c r="BY35" s="2020">
        <f t="shared" si="43"/>
        <v>0.42121588461538462</v>
      </c>
      <c r="BZ35" s="1997"/>
      <c r="CA35" s="4172"/>
      <c r="CC35" s="4172"/>
      <c r="CD35" s="2036" t="s">
        <v>161</v>
      </c>
      <c r="CE35" s="2059">
        <v>1</v>
      </c>
      <c r="CF35" s="2037" t="str">
        <f>IF(CF28&gt;CE34,CF28," ")</f>
        <v xml:space="preserve"> </v>
      </c>
      <c r="CG35" s="1810"/>
      <c r="CH35" s="1810"/>
      <c r="CI35" s="1810"/>
      <c r="CJ35" s="1810"/>
      <c r="CK35" s="1986"/>
      <c r="CL35" s="1810"/>
    </row>
    <row r="36" spans="2:90" s="1885" customFormat="1" x14ac:dyDescent="0.2">
      <c r="B36" s="2000">
        <v>29</v>
      </c>
      <c r="C36" s="2000" t="s">
        <v>259</v>
      </c>
      <c r="D36" s="2579"/>
      <c r="E36" s="2001">
        <v>15</v>
      </c>
      <c r="F36" s="2001">
        <v>5</v>
      </c>
      <c r="G36" s="2001">
        <v>3.3333333333333335</v>
      </c>
      <c r="H36" s="2001">
        <v>2.5</v>
      </c>
      <c r="I36" s="4140">
        <v>2</v>
      </c>
      <c r="J36" s="4144">
        <f t="shared" si="44"/>
        <v>13.790324999999999</v>
      </c>
      <c r="K36" s="4148">
        <f t="shared" si="45"/>
        <v>0.53039711538461531</v>
      </c>
      <c r="L36" s="4144">
        <f t="shared" si="46"/>
        <v>1.2096750000000001</v>
      </c>
      <c r="M36" s="4158">
        <f t="shared" si="47"/>
        <v>0.24193500000000001</v>
      </c>
      <c r="N36" s="4156">
        <f t="shared" si="34"/>
        <v>5.1756887547810436E-3</v>
      </c>
      <c r="O36" s="2003"/>
      <c r="P36" s="1950"/>
      <c r="Q36" s="2001">
        <f>$K$36</f>
        <v>0.53039711538461531</v>
      </c>
      <c r="R36" s="2001">
        <f>$K$36</f>
        <v>0.53039711538461531</v>
      </c>
      <c r="S36" s="2001">
        <f>$M$36</f>
        <v>0.24193500000000001</v>
      </c>
      <c r="T36" s="2001">
        <f>$K$36</f>
        <v>0.53039711538461531</v>
      </c>
      <c r="U36" s="2001">
        <f>$K$36</f>
        <v>0.53039711538461531</v>
      </c>
      <c r="V36" s="2001">
        <f>$K$36</f>
        <v>0.53039711538461531</v>
      </c>
      <c r="W36" s="2001">
        <f>$K$36</f>
        <v>0.53039711538461531</v>
      </c>
      <c r="X36" s="4170"/>
      <c r="Y36" s="2481">
        <f t="shared" si="56"/>
        <v>3.4243176923076923</v>
      </c>
      <c r="Z36" s="2482">
        <f t="shared" si="35"/>
        <v>6.3588201499914616</v>
      </c>
      <c r="AA36" s="2483">
        <f t="shared" si="48"/>
        <v>2.9345024576837693</v>
      </c>
      <c r="AB36" s="1896"/>
      <c r="AC36" s="2001">
        <f>$K$36</f>
        <v>0.53039711538461531</v>
      </c>
      <c r="AD36" s="2001">
        <f>$K$36</f>
        <v>0.53039711538461531</v>
      </c>
      <c r="AE36" s="2001">
        <f>$M$36</f>
        <v>0.24193500000000001</v>
      </c>
      <c r="AF36" s="2001">
        <f>$K$36</f>
        <v>0.53039711538461531</v>
      </c>
      <c r="AG36" s="2001">
        <f>$K$36</f>
        <v>0.53039711538461531</v>
      </c>
      <c r="AH36" s="2001">
        <f>$K$36</f>
        <v>0.53039711538461531</v>
      </c>
      <c r="AI36" s="2001"/>
      <c r="AJ36" s="1896"/>
      <c r="AK36" s="2481">
        <f t="shared" si="58"/>
        <v>2.8939205769230769</v>
      </c>
      <c r="AL36" s="2482">
        <f t="shared" si="36"/>
        <v>5.4624167361071594</v>
      </c>
      <c r="AM36" s="2483">
        <f t="shared" si="59"/>
        <v>2.5684961591840825</v>
      </c>
      <c r="AN36" s="1896"/>
      <c r="AO36" s="2005"/>
      <c r="AP36" s="2005"/>
      <c r="AQ36" s="2005"/>
      <c r="AR36" s="2005"/>
      <c r="AS36" s="2005"/>
      <c r="AT36" s="2005"/>
      <c r="AU36" s="2005"/>
      <c r="AV36" s="2295"/>
      <c r="AW36" s="2481">
        <f t="shared" si="51"/>
        <v>0</v>
      </c>
      <c r="AX36" s="2482" t="e">
        <f t="shared" si="37"/>
        <v>#DIV/0!</v>
      </c>
      <c r="AY36" s="2483" t="e">
        <f t="shared" si="52"/>
        <v>#DIV/0!</v>
      </c>
      <c r="AZ36" s="2295"/>
      <c r="BA36" s="2005"/>
      <c r="BB36" s="2005"/>
      <c r="BC36" s="2005"/>
      <c r="BD36" s="2005"/>
      <c r="BE36" s="2005"/>
      <c r="BF36" s="2005"/>
      <c r="BG36" s="2005"/>
      <c r="BH36" s="2295"/>
      <c r="BI36" s="2481">
        <f t="shared" si="53"/>
        <v>0</v>
      </c>
      <c r="BJ36" s="2482" t="e">
        <f t="shared" si="38"/>
        <v>#DIV/0!</v>
      </c>
      <c r="BK36" s="2483" t="e">
        <f t="shared" si="54"/>
        <v>#DIV/0!</v>
      </c>
      <c r="BL36" s="4170"/>
      <c r="BM36" s="2001"/>
      <c r="BN36" s="2001"/>
      <c r="BO36" s="2001"/>
      <c r="BP36" s="4170"/>
      <c r="BQ36" s="2481">
        <f t="shared" si="39"/>
        <v>0</v>
      </c>
      <c r="BR36" s="2482" t="e">
        <f t="shared" si="40"/>
        <v>#DIV/0!</v>
      </c>
      <c r="BS36" s="2483" t="e">
        <f t="shared" si="57"/>
        <v>#DIV/0!</v>
      </c>
      <c r="BU36" s="1898">
        <v>0</v>
      </c>
      <c r="BV36" s="1899">
        <f t="shared" si="41"/>
        <v>0</v>
      </c>
      <c r="BW36" s="1900"/>
      <c r="BX36" s="2388">
        <f t="shared" si="42"/>
        <v>6.3182382692307693</v>
      </c>
      <c r="BY36" s="2389">
        <f t="shared" si="43"/>
        <v>0.42121588461538462</v>
      </c>
      <c r="BZ36" s="2010"/>
      <c r="CA36" s="4169"/>
      <c r="CC36" s="4169"/>
      <c r="CD36" s="2488"/>
      <c r="CE36" s="2404" t="s">
        <v>158</v>
      </c>
      <c r="CF36" s="2490">
        <f>MAX(100%,CF28)-CF28</f>
        <v>0.58064516129032251</v>
      </c>
      <c r="CG36" s="1906"/>
      <c r="CH36" s="1906"/>
      <c r="CI36" s="1906"/>
      <c r="CJ36" s="1906"/>
      <c r="CK36" s="2386"/>
      <c r="CL36" s="1906"/>
    </row>
    <row r="37" spans="2:90" s="1726" customFormat="1" ht="17.25" thickBot="1" x14ac:dyDescent="0.25">
      <c r="B37" s="1963">
        <v>30</v>
      </c>
      <c r="C37" s="1963" t="s">
        <v>244</v>
      </c>
      <c r="D37" s="2578"/>
      <c r="E37" s="1728">
        <v>5</v>
      </c>
      <c r="F37" s="1728">
        <v>5</v>
      </c>
      <c r="G37" s="1728">
        <v>3.3333333333333335</v>
      </c>
      <c r="H37" s="1728">
        <v>2.5</v>
      </c>
      <c r="I37" s="4138">
        <v>2</v>
      </c>
      <c r="J37" s="4142">
        <f t="shared" si="44"/>
        <v>4.5967750000000001</v>
      </c>
      <c r="K37" s="4143">
        <f t="shared" si="45"/>
        <v>0.17679903846153847</v>
      </c>
      <c r="L37" s="4142">
        <f t="shared" si="46"/>
        <v>0.40322500000000006</v>
      </c>
      <c r="M37" s="4143">
        <f t="shared" si="47"/>
        <v>8.0645000000000008E-2</v>
      </c>
      <c r="N37" s="4155">
        <f t="shared" si="34"/>
        <v>1.7252295849270144E-3</v>
      </c>
      <c r="O37" s="1931"/>
      <c r="P37" s="1924"/>
      <c r="Q37" s="1728">
        <f>$K$37</f>
        <v>0.17679903846153847</v>
      </c>
      <c r="R37" s="1728">
        <f>$K$37</f>
        <v>0.17679903846153847</v>
      </c>
      <c r="S37" s="1728">
        <f>$M$37</f>
        <v>8.0645000000000008E-2</v>
      </c>
      <c r="T37" s="1728">
        <f>$K$37</f>
        <v>0.17679903846153847</v>
      </c>
      <c r="U37" s="1728">
        <f>$K$37</f>
        <v>0.17679903846153847</v>
      </c>
      <c r="V37" s="1728">
        <f>$K$37</f>
        <v>0.17679903846153847</v>
      </c>
      <c r="W37" s="1728">
        <f>$K$37</f>
        <v>0.17679903846153847</v>
      </c>
      <c r="X37" s="4173"/>
      <c r="Y37" s="2016">
        <f t="shared" si="56"/>
        <v>1.1414392307692307</v>
      </c>
      <c r="Z37" s="2017">
        <f t="shared" si="35"/>
        <v>2.1196067166638204</v>
      </c>
      <c r="AA37" s="2018">
        <f t="shared" si="48"/>
        <v>0.97816748589458968</v>
      </c>
      <c r="AB37" s="1881"/>
      <c r="AC37" s="1728">
        <f>$K$37</f>
        <v>0.17679903846153847</v>
      </c>
      <c r="AD37" s="1728">
        <f>$K$37</f>
        <v>0.17679903846153847</v>
      </c>
      <c r="AE37" s="1728">
        <f>$M$37</f>
        <v>8.0645000000000008E-2</v>
      </c>
      <c r="AF37" s="1728">
        <f>$K$37</f>
        <v>0.17679903846153847</v>
      </c>
      <c r="AG37" s="1728">
        <f>$K$37</f>
        <v>0.17679903846153847</v>
      </c>
      <c r="AH37" s="1728">
        <f>$K$37</f>
        <v>0.17679903846153847</v>
      </c>
      <c r="AI37" s="1728"/>
      <c r="AJ37" s="1881"/>
      <c r="AK37" s="2016">
        <f t="shared" si="58"/>
        <v>0.96464019230769227</v>
      </c>
      <c r="AL37" s="2017">
        <f t="shared" si="36"/>
        <v>1.8208055787023862</v>
      </c>
      <c r="AM37" s="2018">
        <f t="shared" si="59"/>
        <v>0.85616538639469397</v>
      </c>
      <c r="AN37" s="1881"/>
      <c r="AO37" s="2268"/>
      <c r="AP37" s="2268"/>
      <c r="AQ37" s="2268"/>
      <c r="AR37" s="2268"/>
      <c r="AS37" s="2268"/>
      <c r="AT37" s="2268"/>
      <c r="AU37" s="2268"/>
      <c r="AV37" s="2293"/>
      <c r="AW37" s="2016">
        <f t="shared" si="51"/>
        <v>0</v>
      </c>
      <c r="AX37" s="2017" t="e">
        <f t="shared" si="37"/>
        <v>#DIV/0!</v>
      </c>
      <c r="AY37" s="2018" t="e">
        <f t="shared" si="52"/>
        <v>#DIV/0!</v>
      </c>
      <c r="AZ37" s="2293"/>
      <c r="BA37" s="2268"/>
      <c r="BB37" s="2268"/>
      <c r="BC37" s="2268"/>
      <c r="BD37" s="2268"/>
      <c r="BE37" s="2268"/>
      <c r="BF37" s="2268"/>
      <c r="BG37" s="2268"/>
      <c r="BH37" s="2293"/>
      <c r="BI37" s="2016">
        <f t="shared" si="53"/>
        <v>0</v>
      </c>
      <c r="BJ37" s="2017" t="e">
        <f t="shared" si="38"/>
        <v>#DIV/0!</v>
      </c>
      <c r="BK37" s="2018" t="e">
        <f t="shared" si="54"/>
        <v>#DIV/0!</v>
      </c>
      <c r="BL37" s="4173"/>
      <c r="BM37" s="1728"/>
      <c r="BN37" s="1728"/>
      <c r="BO37" s="1728"/>
      <c r="BP37" s="4173"/>
      <c r="BQ37" s="2016">
        <f t="shared" si="39"/>
        <v>0</v>
      </c>
      <c r="BR37" s="2017" t="e">
        <f t="shared" si="40"/>
        <v>#DIV/0!</v>
      </c>
      <c r="BS37" s="2018" t="e">
        <f t="shared" si="57"/>
        <v>#DIV/0!</v>
      </c>
      <c r="BU37" s="1732">
        <v>0</v>
      </c>
      <c r="BV37" s="1882">
        <f t="shared" si="41"/>
        <v>0</v>
      </c>
      <c r="BW37" s="1740"/>
      <c r="BX37" s="2019">
        <f t="shared" si="42"/>
        <v>2.1060794230769231</v>
      </c>
      <c r="BY37" s="2020">
        <f t="shared" si="43"/>
        <v>0.42121588461538462</v>
      </c>
      <c r="BZ37" s="1997"/>
      <c r="CA37" s="4172"/>
      <c r="CC37" s="4172"/>
      <c r="CD37" s="2984"/>
      <c r="CE37" s="2985"/>
      <c r="CF37" s="2649"/>
      <c r="CG37" s="2986"/>
      <c r="CH37" s="2986"/>
      <c r="CI37" s="2986"/>
      <c r="CJ37" s="2986"/>
      <c r="CK37" s="2987"/>
      <c r="CL37" s="1810"/>
    </row>
    <row r="38" spans="2:90" s="1885" customFormat="1" x14ac:dyDescent="0.2">
      <c r="B38" s="2580">
        <v>31</v>
      </c>
      <c r="C38" s="1987" t="s">
        <v>257</v>
      </c>
      <c r="D38" s="1836"/>
      <c r="E38" s="1746">
        <v>0</v>
      </c>
      <c r="F38" s="1746">
        <v>5</v>
      </c>
      <c r="G38" s="1746">
        <v>3.3333333333333335</v>
      </c>
      <c r="H38" s="1746">
        <v>2.5</v>
      </c>
      <c r="I38" s="4139">
        <v>2</v>
      </c>
      <c r="J38" s="4144">
        <f t="shared" si="44"/>
        <v>0</v>
      </c>
      <c r="K38" s="4148">
        <f t="shared" si="45"/>
        <v>0</v>
      </c>
      <c r="L38" s="4144">
        <f t="shared" si="46"/>
        <v>0</v>
      </c>
      <c r="M38" s="4158">
        <f t="shared" si="47"/>
        <v>0</v>
      </c>
      <c r="N38" s="4154">
        <f t="shared" si="34"/>
        <v>0</v>
      </c>
      <c r="O38" s="2003"/>
      <c r="P38" s="1950"/>
      <c r="Q38" s="2001">
        <f>$K$38</f>
        <v>0</v>
      </c>
      <c r="R38" s="2001">
        <f>$K$38</f>
        <v>0</v>
      </c>
      <c r="S38" s="2001">
        <f>$M$38</f>
        <v>0</v>
      </c>
      <c r="T38" s="2001">
        <f>$K$38</f>
        <v>0</v>
      </c>
      <c r="U38" s="2001">
        <f>$K$38</f>
        <v>0</v>
      </c>
      <c r="V38" s="2001">
        <f>$K$38</f>
        <v>0</v>
      </c>
      <c r="W38" s="2001">
        <f>$K$38</f>
        <v>0</v>
      </c>
      <c r="X38" s="4170"/>
      <c r="Y38" s="2481">
        <f t="shared" si="56"/>
        <v>0</v>
      </c>
      <c r="Z38" s="2482">
        <f t="shared" si="35"/>
        <v>0</v>
      </c>
      <c r="AA38" s="2483">
        <f t="shared" si="48"/>
        <v>0</v>
      </c>
      <c r="AB38" s="1896"/>
      <c r="AC38" s="2001">
        <f>$K$38</f>
        <v>0</v>
      </c>
      <c r="AD38" s="2001">
        <f>$K$38</f>
        <v>0</v>
      </c>
      <c r="AE38" s="2001">
        <f>$M$38</f>
        <v>0</v>
      </c>
      <c r="AF38" s="2001">
        <f>$K$38</f>
        <v>0</v>
      </c>
      <c r="AG38" s="2001">
        <f>$K$38</f>
        <v>0</v>
      </c>
      <c r="AH38" s="2001">
        <f>$K$38</f>
        <v>0</v>
      </c>
      <c r="AI38" s="2001"/>
      <c r="AJ38" s="1896"/>
      <c r="AK38" s="2481">
        <f t="shared" si="58"/>
        <v>0</v>
      </c>
      <c r="AL38" s="2482">
        <f t="shared" si="36"/>
        <v>0</v>
      </c>
      <c r="AM38" s="2483">
        <f t="shared" si="59"/>
        <v>0</v>
      </c>
      <c r="AN38" s="1896"/>
      <c r="AO38" s="2005"/>
      <c r="AP38" s="2005"/>
      <c r="AQ38" s="2005"/>
      <c r="AR38" s="2005"/>
      <c r="AS38" s="2005"/>
      <c r="AT38" s="2005"/>
      <c r="AU38" s="2005"/>
      <c r="AV38" s="2295"/>
      <c r="AW38" s="2016">
        <f t="shared" si="51"/>
        <v>0</v>
      </c>
      <c r="AX38" s="2482" t="e">
        <f t="shared" si="37"/>
        <v>#DIV/0!</v>
      </c>
      <c r="AY38" s="2483" t="e">
        <f t="shared" si="52"/>
        <v>#DIV/0!</v>
      </c>
      <c r="AZ38" s="2295"/>
      <c r="BA38" s="2005"/>
      <c r="BB38" s="2005"/>
      <c r="BC38" s="2005"/>
      <c r="BD38" s="2005"/>
      <c r="BE38" s="2005"/>
      <c r="BF38" s="2005"/>
      <c r="BG38" s="2005"/>
      <c r="BH38" s="2295"/>
      <c r="BI38" s="2481">
        <f t="shared" si="53"/>
        <v>0</v>
      </c>
      <c r="BJ38" s="2482" t="e">
        <f t="shared" si="38"/>
        <v>#DIV/0!</v>
      </c>
      <c r="BK38" s="2483" t="e">
        <f t="shared" si="54"/>
        <v>#DIV/0!</v>
      </c>
      <c r="BL38" s="4170"/>
      <c r="BM38" s="2001"/>
      <c r="BN38" s="2001"/>
      <c r="BO38" s="2001"/>
      <c r="BP38" s="4170"/>
      <c r="BQ38" s="2481">
        <f t="shared" si="39"/>
        <v>0</v>
      </c>
      <c r="BR38" s="2482" t="e">
        <f t="shared" si="40"/>
        <v>#DIV/0!</v>
      </c>
      <c r="BS38" s="2483" t="e">
        <f t="shared" si="57"/>
        <v>#DIV/0!</v>
      </c>
      <c r="BU38" s="1898">
        <v>0</v>
      </c>
      <c r="BV38" s="1899" t="e">
        <f t="shared" si="41"/>
        <v>#DIV/0!</v>
      </c>
      <c r="BW38" s="1900"/>
      <c r="BX38" s="2388">
        <f t="shared" si="42"/>
        <v>0</v>
      </c>
      <c r="BY38" s="2389" t="e">
        <f t="shared" si="43"/>
        <v>#DIV/0!</v>
      </c>
      <c r="BZ38" s="2010"/>
      <c r="CA38" s="4169"/>
      <c r="CC38" s="4169"/>
      <c r="CD38" s="2988"/>
      <c r="CE38" s="2989"/>
      <c r="CF38" s="2990"/>
      <c r="CG38" s="2991"/>
      <c r="CH38" s="2991"/>
      <c r="CI38" s="2991"/>
      <c r="CJ38" s="2991"/>
      <c r="CK38" s="2991"/>
      <c r="CL38" s="1906"/>
    </row>
    <row r="39" spans="2:90" s="1726" customFormat="1" x14ac:dyDescent="0.2">
      <c r="B39" s="1963">
        <v>32</v>
      </c>
      <c r="C39" s="1963" t="s">
        <v>230</v>
      </c>
      <c r="D39" s="2578"/>
      <c r="E39" s="1728">
        <v>0</v>
      </c>
      <c r="F39" s="1728"/>
      <c r="G39" s="1728"/>
      <c r="H39" s="1728"/>
      <c r="I39" s="4138"/>
      <c r="J39" s="4142">
        <f t="shared" si="44"/>
        <v>0</v>
      </c>
      <c r="K39" s="4143">
        <f t="shared" si="45"/>
        <v>0</v>
      </c>
      <c r="L39" s="4142">
        <f t="shared" si="46"/>
        <v>0</v>
      </c>
      <c r="M39" s="4143">
        <f t="shared" si="47"/>
        <v>0</v>
      </c>
      <c r="N39" s="4155">
        <f t="shared" si="34"/>
        <v>0</v>
      </c>
      <c r="O39" s="1931"/>
      <c r="P39" s="1924"/>
      <c r="Q39" s="1728">
        <f>$K$39</f>
        <v>0</v>
      </c>
      <c r="R39" s="1728">
        <f>$K$39</f>
        <v>0</v>
      </c>
      <c r="S39" s="1728">
        <f>$M$39</f>
        <v>0</v>
      </c>
      <c r="T39" s="1728">
        <f>$K$39</f>
        <v>0</v>
      </c>
      <c r="U39" s="1728">
        <f>$K$39</f>
        <v>0</v>
      </c>
      <c r="V39" s="1728">
        <f>$K$39</f>
        <v>0</v>
      </c>
      <c r="W39" s="1728">
        <f>$K$39</f>
        <v>0</v>
      </c>
      <c r="X39" s="4173"/>
      <c r="Y39" s="2016">
        <f t="shared" si="56"/>
        <v>0</v>
      </c>
      <c r="Z39" s="2017">
        <f t="shared" si="35"/>
        <v>0</v>
      </c>
      <c r="AA39" s="2018">
        <f t="shared" si="48"/>
        <v>0</v>
      </c>
      <c r="AB39" s="1881"/>
      <c r="AC39" s="1728">
        <f>$K$39</f>
        <v>0</v>
      </c>
      <c r="AD39" s="1728">
        <f>$K$39</f>
        <v>0</v>
      </c>
      <c r="AE39" s="1728">
        <f>$M$39</f>
        <v>0</v>
      </c>
      <c r="AF39" s="1728">
        <f>$K$39</f>
        <v>0</v>
      </c>
      <c r="AG39" s="1728">
        <f>$K$39</f>
        <v>0</v>
      </c>
      <c r="AH39" s="1728">
        <f>$K$39</f>
        <v>0</v>
      </c>
      <c r="AI39" s="1728"/>
      <c r="AJ39" s="1881"/>
      <c r="AK39" s="2016">
        <f t="shared" si="58"/>
        <v>0</v>
      </c>
      <c r="AL39" s="2017">
        <f t="shared" si="36"/>
        <v>0</v>
      </c>
      <c r="AM39" s="2018">
        <f t="shared" si="59"/>
        <v>0</v>
      </c>
      <c r="AN39" s="1881"/>
      <c r="AO39" s="2268"/>
      <c r="AP39" s="2268"/>
      <c r="AQ39" s="2268"/>
      <c r="AR39" s="2268"/>
      <c r="AS39" s="2268"/>
      <c r="AT39" s="2268"/>
      <c r="AU39" s="2268"/>
      <c r="AV39" s="2293"/>
      <c r="AW39" s="2016">
        <f t="shared" si="51"/>
        <v>0</v>
      </c>
      <c r="AX39" s="2017" t="e">
        <f t="shared" si="37"/>
        <v>#DIV/0!</v>
      </c>
      <c r="AY39" s="2018" t="e">
        <f t="shared" si="52"/>
        <v>#DIV/0!</v>
      </c>
      <c r="AZ39" s="2293"/>
      <c r="BA39" s="2268"/>
      <c r="BB39" s="2268"/>
      <c r="BC39" s="2268"/>
      <c r="BD39" s="2268"/>
      <c r="BE39" s="2268"/>
      <c r="BF39" s="2268"/>
      <c r="BG39" s="2268"/>
      <c r="BH39" s="2293"/>
      <c r="BI39" s="2016">
        <f t="shared" si="53"/>
        <v>0</v>
      </c>
      <c r="BJ39" s="2017" t="e">
        <f t="shared" si="38"/>
        <v>#DIV/0!</v>
      </c>
      <c r="BK39" s="2018" t="e">
        <f t="shared" si="54"/>
        <v>#DIV/0!</v>
      </c>
      <c r="BL39" s="4173"/>
      <c r="BM39" s="1728"/>
      <c r="BN39" s="1728"/>
      <c r="BO39" s="1728"/>
      <c r="BP39" s="4173"/>
      <c r="BQ39" s="2016">
        <f t="shared" si="39"/>
        <v>0</v>
      </c>
      <c r="BR39" s="2017" t="e">
        <f t="shared" si="40"/>
        <v>#DIV/0!</v>
      </c>
      <c r="BS39" s="2018" t="e">
        <f t="shared" si="57"/>
        <v>#DIV/0!</v>
      </c>
      <c r="BU39" s="1732">
        <v>0</v>
      </c>
      <c r="BV39" s="1882" t="e">
        <f t="shared" si="41"/>
        <v>#DIV/0!</v>
      </c>
      <c r="BW39" s="1740"/>
      <c r="BX39" s="2019">
        <f t="shared" si="42"/>
        <v>0</v>
      </c>
      <c r="BY39" s="2020" t="e">
        <f t="shared" si="43"/>
        <v>#DIV/0!</v>
      </c>
      <c r="BZ39" s="1997"/>
      <c r="CA39" s="4172"/>
      <c r="CC39" s="4172"/>
      <c r="CD39" s="2992"/>
      <c r="CE39" s="1830"/>
      <c r="CF39" s="1817"/>
      <c r="CG39" s="1810"/>
      <c r="CH39" s="1810"/>
      <c r="CI39" s="1810"/>
      <c r="CJ39" s="1810"/>
      <c r="CK39" s="1810"/>
      <c r="CL39" s="1810"/>
    </row>
    <row r="40" spans="2:90" s="1885" customFormat="1" x14ac:dyDescent="0.2">
      <c r="B40" s="2000">
        <v>33</v>
      </c>
      <c r="C40" s="2000" t="s">
        <v>199</v>
      </c>
      <c r="D40" s="2579"/>
      <c r="E40" s="2001">
        <v>0</v>
      </c>
      <c r="F40" s="2001">
        <v>0</v>
      </c>
      <c r="G40" s="2001">
        <v>0</v>
      </c>
      <c r="H40" s="2001">
        <v>0</v>
      </c>
      <c r="I40" s="4140">
        <v>0</v>
      </c>
      <c r="J40" s="4144">
        <f t="shared" si="44"/>
        <v>0</v>
      </c>
      <c r="K40" s="4148">
        <f t="shared" si="45"/>
        <v>0</v>
      </c>
      <c r="L40" s="4144">
        <f t="shared" si="46"/>
        <v>0</v>
      </c>
      <c r="M40" s="4158">
        <f t="shared" si="47"/>
        <v>0</v>
      </c>
      <c r="N40" s="4156">
        <f t="shared" si="34"/>
        <v>0</v>
      </c>
      <c r="O40" s="2003"/>
      <c r="P40" s="1950"/>
      <c r="Q40" s="2001">
        <f>$K$40</f>
        <v>0</v>
      </c>
      <c r="R40" s="2001">
        <f>$K$40</f>
        <v>0</v>
      </c>
      <c r="S40" s="2001">
        <f>$M$40</f>
        <v>0</v>
      </c>
      <c r="T40" s="2001">
        <f>$K$40</f>
        <v>0</v>
      </c>
      <c r="U40" s="2001">
        <f>$K$40</f>
        <v>0</v>
      </c>
      <c r="V40" s="2001">
        <f>$K$40</f>
        <v>0</v>
      </c>
      <c r="W40" s="2001">
        <f>$K$40</f>
        <v>0</v>
      </c>
      <c r="X40" s="4170"/>
      <c r="Y40" s="2481">
        <f t="shared" si="56"/>
        <v>0</v>
      </c>
      <c r="Z40" s="2482">
        <f t="shared" si="35"/>
        <v>0</v>
      </c>
      <c r="AA40" s="2483">
        <f t="shared" si="48"/>
        <v>0</v>
      </c>
      <c r="AB40" s="1896"/>
      <c r="AC40" s="2001">
        <f>$K$40</f>
        <v>0</v>
      </c>
      <c r="AD40" s="2001">
        <f>$K$40</f>
        <v>0</v>
      </c>
      <c r="AE40" s="2001">
        <f>$M$40</f>
        <v>0</v>
      </c>
      <c r="AF40" s="2001">
        <f>$K$40</f>
        <v>0</v>
      </c>
      <c r="AG40" s="2001">
        <f>$K$40</f>
        <v>0</v>
      </c>
      <c r="AH40" s="2001">
        <f>$K$40</f>
        <v>0</v>
      </c>
      <c r="AI40" s="2001"/>
      <c r="AJ40" s="1896"/>
      <c r="AK40" s="2481">
        <f t="shared" si="58"/>
        <v>0</v>
      </c>
      <c r="AL40" s="2482">
        <f t="shared" si="36"/>
        <v>0</v>
      </c>
      <c r="AM40" s="2483">
        <f t="shared" si="59"/>
        <v>0</v>
      </c>
      <c r="AN40" s="1896"/>
      <c r="AO40" s="2005"/>
      <c r="AP40" s="2005"/>
      <c r="AQ40" s="2005"/>
      <c r="AR40" s="2005"/>
      <c r="AS40" s="2005"/>
      <c r="AT40" s="2005"/>
      <c r="AU40" s="2005"/>
      <c r="AV40" s="2295"/>
      <c r="AW40" s="2016">
        <f t="shared" si="51"/>
        <v>0</v>
      </c>
      <c r="AX40" s="2482" t="e">
        <f t="shared" si="37"/>
        <v>#DIV/0!</v>
      </c>
      <c r="AY40" s="2483" t="e">
        <f t="shared" si="52"/>
        <v>#DIV/0!</v>
      </c>
      <c r="AZ40" s="2295"/>
      <c r="BA40" s="2005"/>
      <c r="BB40" s="2005"/>
      <c r="BC40" s="2005"/>
      <c r="BD40" s="2005"/>
      <c r="BE40" s="2005"/>
      <c r="BF40" s="2005"/>
      <c r="BG40" s="2005"/>
      <c r="BH40" s="2295"/>
      <c r="BI40" s="2481">
        <f t="shared" si="53"/>
        <v>0</v>
      </c>
      <c r="BJ40" s="2482" t="e">
        <f t="shared" si="38"/>
        <v>#DIV/0!</v>
      </c>
      <c r="BK40" s="2483" t="e">
        <f t="shared" si="54"/>
        <v>#DIV/0!</v>
      </c>
      <c r="BL40" s="4170"/>
      <c r="BM40" s="2001"/>
      <c r="BN40" s="2001"/>
      <c r="BO40" s="2001"/>
      <c r="BP40" s="4170"/>
      <c r="BQ40" s="2481">
        <f t="shared" si="39"/>
        <v>0</v>
      </c>
      <c r="BR40" s="2482" t="e">
        <f t="shared" si="40"/>
        <v>#DIV/0!</v>
      </c>
      <c r="BS40" s="2483" t="e">
        <f t="shared" si="57"/>
        <v>#DIV/0!</v>
      </c>
      <c r="BU40" s="1898">
        <v>0</v>
      </c>
      <c r="BV40" s="1899" t="e">
        <f t="shared" si="41"/>
        <v>#DIV/0!</v>
      </c>
      <c r="BW40" s="1900"/>
      <c r="BX40" s="2388">
        <f t="shared" si="42"/>
        <v>0</v>
      </c>
      <c r="BY40" s="2389" t="e">
        <f t="shared" si="43"/>
        <v>#DIV/0!</v>
      </c>
      <c r="BZ40" s="2010"/>
      <c r="CA40" s="4169"/>
      <c r="CC40" s="4169"/>
      <c r="CD40" s="2993"/>
      <c r="CE40" s="1962"/>
      <c r="CF40" s="1960"/>
      <c r="CG40" s="1906"/>
      <c r="CH40" s="1906"/>
      <c r="CI40" s="1906"/>
      <c r="CJ40" s="1906"/>
      <c r="CK40" s="1906"/>
      <c r="CL40" s="1906"/>
    </row>
    <row r="41" spans="2:90" s="1726" customFormat="1" x14ac:dyDescent="0.2">
      <c r="B41" s="2508">
        <v>34</v>
      </c>
      <c r="C41" s="1963" t="s">
        <v>284</v>
      </c>
      <c r="D41" s="2578"/>
      <c r="E41" s="1728">
        <v>0</v>
      </c>
      <c r="F41" s="1728">
        <v>0</v>
      </c>
      <c r="G41" s="1728">
        <v>0</v>
      </c>
      <c r="H41" s="1728">
        <v>0</v>
      </c>
      <c r="I41" s="4138">
        <v>0</v>
      </c>
      <c r="J41" s="4142">
        <f t="shared" si="44"/>
        <v>0</v>
      </c>
      <c r="K41" s="4143">
        <f t="shared" si="45"/>
        <v>0</v>
      </c>
      <c r="L41" s="4142">
        <f t="shared" si="46"/>
        <v>0</v>
      </c>
      <c r="M41" s="4143">
        <f t="shared" si="47"/>
        <v>0</v>
      </c>
      <c r="N41" s="4155">
        <f t="shared" si="34"/>
        <v>0</v>
      </c>
      <c r="O41" s="1931"/>
      <c r="P41" s="1924"/>
      <c r="Q41" s="1728">
        <f>$K$41</f>
        <v>0</v>
      </c>
      <c r="R41" s="1728">
        <f>$K$41</f>
        <v>0</v>
      </c>
      <c r="S41" s="1728">
        <f>$M$41</f>
        <v>0</v>
      </c>
      <c r="T41" s="1728">
        <f>$K$41</f>
        <v>0</v>
      </c>
      <c r="U41" s="1728">
        <f>$K$41</f>
        <v>0</v>
      </c>
      <c r="V41" s="1728">
        <f>$K$41</f>
        <v>0</v>
      </c>
      <c r="W41" s="1728">
        <f>$K$41</f>
        <v>0</v>
      </c>
      <c r="X41" s="4173"/>
      <c r="Y41" s="2016">
        <f t="shared" si="56"/>
        <v>0</v>
      </c>
      <c r="Z41" s="2017">
        <f t="shared" si="35"/>
        <v>0</v>
      </c>
      <c r="AA41" s="2018">
        <f t="shared" si="48"/>
        <v>0</v>
      </c>
      <c r="AB41" s="1881"/>
      <c r="AC41" s="1728">
        <f>$K$41</f>
        <v>0</v>
      </c>
      <c r="AD41" s="1728">
        <f>$K$41</f>
        <v>0</v>
      </c>
      <c r="AE41" s="1728">
        <f>$M$41</f>
        <v>0</v>
      </c>
      <c r="AF41" s="1728">
        <f>$K$41</f>
        <v>0</v>
      </c>
      <c r="AG41" s="1728">
        <f>$K$41</f>
        <v>0</v>
      </c>
      <c r="AH41" s="1728">
        <f>$K$41</f>
        <v>0</v>
      </c>
      <c r="AI41" s="1728"/>
      <c r="AJ41" s="1881"/>
      <c r="AK41" s="2016">
        <f t="shared" si="49"/>
        <v>0</v>
      </c>
      <c r="AL41" s="2017">
        <f t="shared" si="36"/>
        <v>0</v>
      </c>
      <c r="AM41" s="2018">
        <f t="shared" si="50"/>
        <v>0</v>
      </c>
      <c r="AN41" s="1881"/>
      <c r="AO41" s="2268"/>
      <c r="AP41" s="2268"/>
      <c r="AQ41" s="2268"/>
      <c r="AR41" s="2268"/>
      <c r="AS41" s="2268"/>
      <c r="AT41" s="2268"/>
      <c r="AU41" s="2268"/>
      <c r="AV41" s="2293"/>
      <c r="AW41" s="2016">
        <f t="shared" si="51"/>
        <v>0</v>
      </c>
      <c r="AX41" s="2017" t="e">
        <f t="shared" si="37"/>
        <v>#DIV/0!</v>
      </c>
      <c r="AY41" s="2018" t="e">
        <f t="shared" si="52"/>
        <v>#DIV/0!</v>
      </c>
      <c r="AZ41" s="2293"/>
      <c r="BA41" s="2268"/>
      <c r="BB41" s="2268"/>
      <c r="BC41" s="2268"/>
      <c r="BD41" s="2268"/>
      <c r="BE41" s="2268"/>
      <c r="BF41" s="2268"/>
      <c r="BG41" s="2268"/>
      <c r="BH41" s="2293"/>
      <c r="BI41" s="2016">
        <f t="shared" si="53"/>
        <v>0</v>
      </c>
      <c r="BJ41" s="2017" t="e">
        <f t="shared" si="38"/>
        <v>#DIV/0!</v>
      </c>
      <c r="BK41" s="2018" t="e">
        <f t="shared" si="54"/>
        <v>#DIV/0!</v>
      </c>
      <c r="BL41" s="4173"/>
      <c r="BM41" s="1728"/>
      <c r="BN41" s="1728"/>
      <c r="BO41" s="1728"/>
      <c r="BP41" s="4173"/>
      <c r="BQ41" s="2016">
        <f t="shared" si="39"/>
        <v>0</v>
      </c>
      <c r="BR41" s="2017" t="e">
        <f t="shared" si="40"/>
        <v>#DIV/0!</v>
      </c>
      <c r="BS41" s="2018" t="e">
        <f t="shared" si="57"/>
        <v>#DIV/0!</v>
      </c>
      <c r="BU41" s="1732">
        <v>0</v>
      </c>
      <c r="BV41" s="1882" t="e">
        <f t="shared" si="41"/>
        <v>#DIV/0!</v>
      </c>
      <c r="BW41" s="1740"/>
      <c r="BX41" s="2019">
        <f t="shared" si="42"/>
        <v>0</v>
      </c>
      <c r="BY41" s="2020" t="e">
        <f t="shared" si="43"/>
        <v>#DIV/0!</v>
      </c>
      <c r="BZ41" s="1997"/>
      <c r="CA41" s="4172"/>
      <c r="CC41" s="4172"/>
      <c r="CD41" s="2992"/>
      <c r="CE41" s="1830"/>
      <c r="CF41" s="1817"/>
      <c r="CG41" s="1810"/>
      <c r="CH41" s="1810"/>
      <c r="CI41" s="1810"/>
      <c r="CJ41" s="1810"/>
      <c r="CK41" s="1810"/>
      <c r="CL41" s="1810"/>
    </row>
    <row r="42" spans="2:90" x14ac:dyDescent="0.2">
      <c r="B42" s="1987">
        <v>35</v>
      </c>
      <c r="C42" s="1987" t="s">
        <v>260</v>
      </c>
      <c r="D42" s="1836"/>
      <c r="E42" s="1746">
        <v>0</v>
      </c>
      <c r="F42" s="1746">
        <v>5</v>
      </c>
      <c r="G42" s="1746">
        <v>3.3333333333333335</v>
      </c>
      <c r="H42" s="1746">
        <v>2.5</v>
      </c>
      <c r="I42" s="4139">
        <v>2</v>
      </c>
      <c r="J42" s="4144">
        <f t="shared" si="44"/>
        <v>0</v>
      </c>
      <c r="K42" s="4148">
        <f t="shared" si="45"/>
        <v>0</v>
      </c>
      <c r="L42" s="4144">
        <f t="shared" si="46"/>
        <v>0</v>
      </c>
      <c r="M42" s="4158">
        <f t="shared" si="47"/>
        <v>0</v>
      </c>
      <c r="N42" s="4154">
        <f t="shared" si="34"/>
        <v>0</v>
      </c>
      <c r="O42" s="1866"/>
      <c r="P42" s="1867"/>
      <c r="Q42" s="1746">
        <f>$K$42</f>
        <v>0</v>
      </c>
      <c r="R42" s="1746">
        <f>$K$42</f>
        <v>0</v>
      </c>
      <c r="S42" s="1746">
        <f>$M$42</f>
        <v>0</v>
      </c>
      <c r="T42" s="1746">
        <f>$K$42</f>
        <v>0</v>
      </c>
      <c r="U42" s="1746">
        <f>$K$42</f>
        <v>0</v>
      </c>
      <c r="V42" s="1746">
        <f>$K$42</f>
        <v>0</v>
      </c>
      <c r="W42" s="1746">
        <f>$K$42</f>
        <v>0</v>
      </c>
      <c r="X42" s="4171"/>
      <c r="Y42" s="2953">
        <f t="shared" si="56"/>
        <v>0</v>
      </c>
      <c r="Z42" s="2954">
        <f t="shared" si="35"/>
        <v>0</v>
      </c>
      <c r="AA42" s="2955">
        <f t="shared" si="48"/>
        <v>0</v>
      </c>
      <c r="AB42" s="1914"/>
      <c r="AC42" s="1746">
        <f>$K$42</f>
        <v>0</v>
      </c>
      <c r="AD42" s="1746">
        <f>$K$42</f>
        <v>0</v>
      </c>
      <c r="AE42" s="1746">
        <f>$M$42</f>
        <v>0</v>
      </c>
      <c r="AF42" s="1746">
        <f>$K$42</f>
        <v>0</v>
      </c>
      <c r="AG42" s="1746">
        <f>$K$42</f>
        <v>0</v>
      </c>
      <c r="AH42" s="1746">
        <f>$K$42</f>
        <v>0</v>
      </c>
      <c r="AI42" s="1746"/>
      <c r="AJ42" s="1914"/>
      <c r="AK42" s="2953">
        <f t="shared" si="49"/>
        <v>0</v>
      </c>
      <c r="AL42" s="2954">
        <f t="shared" si="36"/>
        <v>0</v>
      </c>
      <c r="AM42" s="2955">
        <f t="shared" si="50"/>
        <v>0</v>
      </c>
      <c r="AN42" s="1914"/>
      <c r="AO42" s="1990"/>
      <c r="AP42" s="1990"/>
      <c r="AQ42" s="1990"/>
      <c r="AR42" s="1990"/>
      <c r="AS42" s="1990"/>
      <c r="AT42" s="1990"/>
      <c r="AU42" s="1990"/>
      <c r="AV42" s="2297"/>
      <c r="AW42" s="2016">
        <f t="shared" si="51"/>
        <v>0</v>
      </c>
      <c r="AX42" s="2954" t="e">
        <f t="shared" si="37"/>
        <v>#DIV/0!</v>
      </c>
      <c r="AY42" s="2955" t="e">
        <f t="shared" si="52"/>
        <v>#DIV/0!</v>
      </c>
      <c r="AZ42" s="2297"/>
      <c r="BA42" s="1990"/>
      <c r="BB42" s="1990"/>
      <c r="BC42" s="1990"/>
      <c r="BD42" s="1990"/>
      <c r="BE42" s="1990"/>
      <c r="BF42" s="1990"/>
      <c r="BG42" s="1990"/>
      <c r="BH42" s="2297"/>
      <c r="BI42" s="2953">
        <f t="shared" si="53"/>
        <v>0</v>
      </c>
      <c r="BJ42" s="2954" t="e">
        <f t="shared" si="38"/>
        <v>#DIV/0!</v>
      </c>
      <c r="BK42" s="2955" t="e">
        <f t="shared" si="54"/>
        <v>#DIV/0!</v>
      </c>
      <c r="BL42" s="4171"/>
      <c r="BM42" s="1746"/>
      <c r="BN42" s="1746"/>
      <c r="BO42" s="1746"/>
      <c r="BP42" s="4171"/>
      <c r="BQ42" s="2953">
        <f t="shared" si="39"/>
        <v>0</v>
      </c>
      <c r="BR42" s="2954" t="e">
        <f t="shared" si="40"/>
        <v>#DIV/0!</v>
      </c>
      <c r="BS42" s="2955" t="e">
        <f t="shared" si="57"/>
        <v>#DIV/0!</v>
      </c>
      <c r="BU42" s="1747">
        <v>0</v>
      </c>
      <c r="BV42" s="1752" t="e">
        <f t="shared" si="41"/>
        <v>#DIV/0!</v>
      </c>
      <c r="BW42" s="1754"/>
      <c r="BX42" s="2956">
        <f t="shared" si="42"/>
        <v>0</v>
      </c>
      <c r="BY42" s="2957" t="e">
        <f t="shared" si="43"/>
        <v>#DIV/0!</v>
      </c>
      <c r="BZ42" s="1993"/>
      <c r="CA42" s="1916"/>
      <c r="CC42" s="1916"/>
      <c r="CD42" s="2994"/>
      <c r="CE42" s="1802"/>
      <c r="CF42" s="1806"/>
      <c r="CG42" s="4190"/>
      <c r="CH42" s="4190"/>
      <c r="CI42" s="4190"/>
      <c r="CJ42" s="4190"/>
      <c r="CK42" s="4190"/>
      <c r="CL42" s="4190"/>
    </row>
    <row r="43" spans="2:90" s="1726" customFormat="1" ht="17.25" thickBot="1" x14ac:dyDescent="0.25">
      <c r="B43" s="1963">
        <v>36</v>
      </c>
      <c r="C43" s="1963" t="s">
        <v>261</v>
      </c>
      <c r="D43" s="2578"/>
      <c r="E43" s="1728">
        <v>0</v>
      </c>
      <c r="F43" s="1728">
        <v>5</v>
      </c>
      <c r="G43" s="1728">
        <v>3.3333333333333335</v>
      </c>
      <c r="H43" s="1728">
        <v>2.5</v>
      </c>
      <c r="I43" s="4138">
        <v>2</v>
      </c>
      <c r="J43" s="4142">
        <f t="shared" si="44"/>
        <v>0</v>
      </c>
      <c r="K43" s="4143">
        <f t="shared" si="45"/>
        <v>0</v>
      </c>
      <c r="L43" s="4142">
        <f t="shared" si="46"/>
        <v>0</v>
      </c>
      <c r="M43" s="4143">
        <f t="shared" si="47"/>
        <v>0</v>
      </c>
      <c r="N43" s="4155">
        <f t="shared" si="34"/>
        <v>0</v>
      </c>
      <c r="O43" s="1931"/>
      <c r="P43" s="1924"/>
      <c r="Q43" s="1728">
        <f>$K$43</f>
        <v>0</v>
      </c>
      <c r="R43" s="1728">
        <f>$K$43</f>
        <v>0</v>
      </c>
      <c r="S43" s="1728">
        <f>$M$43</f>
        <v>0</v>
      </c>
      <c r="T43" s="1728">
        <f>$K$43</f>
        <v>0</v>
      </c>
      <c r="U43" s="1728">
        <f>$K$43</f>
        <v>0</v>
      </c>
      <c r="V43" s="1728">
        <f>$K$43</f>
        <v>0</v>
      </c>
      <c r="W43" s="1728">
        <f>$K$43</f>
        <v>0</v>
      </c>
      <c r="X43" s="4173"/>
      <c r="Y43" s="2799">
        <f>SUM(Q43:W43)</f>
        <v>0</v>
      </c>
      <c r="Z43" s="2800">
        <f t="shared" si="35"/>
        <v>0</v>
      </c>
      <c r="AA43" s="2801">
        <f>Z43-Y43</f>
        <v>0</v>
      </c>
      <c r="AB43" s="1881"/>
      <c r="AC43" s="1728">
        <f>$K$43</f>
        <v>0</v>
      </c>
      <c r="AD43" s="1728">
        <f>$K$43</f>
        <v>0</v>
      </c>
      <c r="AE43" s="1728">
        <f>$M$43</f>
        <v>0</v>
      </c>
      <c r="AF43" s="1728">
        <f>$K$43</f>
        <v>0</v>
      </c>
      <c r="AG43" s="1728">
        <f>$K$43</f>
        <v>0</v>
      </c>
      <c r="AH43" s="1728">
        <f>$K$43</f>
        <v>0</v>
      </c>
      <c r="AI43" s="1728"/>
      <c r="AJ43" s="1881"/>
      <c r="AK43" s="2799">
        <f t="shared" si="49"/>
        <v>0</v>
      </c>
      <c r="AL43" s="2800">
        <f t="shared" si="36"/>
        <v>0</v>
      </c>
      <c r="AM43" s="2801">
        <f t="shared" si="50"/>
        <v>0</v>
      </c>
      <c r="AN43" s="1881"/>
      <c r="AO43" s="2268"/>
      <c r="AP43" s="2268"/>
      <c r="AQ43" s="2268"/>
      <c r="AR43" s="2268"/>
      <c r="AS43" s="2268"/>
      <c r="AT43" s="2268"/>
      <c r="AU43" s="2268"/>
      <c r="AV43" s="2293"/>
      <c r="AW43" s="2799">
        <f t="shared" si="51"/>
        <v>0</v>
      </c>
      <c r="AX43" s="2800" t="e">
        <f t="shared" si="37"/>
        <v>#DIV/0!</v>
      </c>
      <c r="AY43" s="2801" t="e">
        <f t="shared" si="52"/>
        <v>#DIV/0!</v>
      </c>
      <c r="AZ43" s="2293"/>
      <c r="BA43" s="2268"/>
      <c r="BB43" s="2268"/>
      <c r="BC43" s="2268"/>
      <c r="BD43" s="2268"/>
      <c r="BE43" s="2268"/>
      <c r="BF43" s="2268"/>
      <c r="BG43" s="2268"/>
      <c r="BH43" s="2293"/>
      <c r="BI43" s="2799">
        <f t="shared" si="53"/>
        <v>0</v>
      </c>
      <c r="BJ43" s="2800" t="e">
        <f t="shared" si="38"/>
        <v>#DIV/0!</v>
      </c>
      <c r="BK43" s="2801" t="e">
        <f t="shared" si="54"/>
        <v>#DIV/0!</v>
      </c>
      <c r="BL43" s="4173"/>
      <c r="BM43" s="1728"/>
      <c r="BN43" s="1728"/>
      <c r="BO43" s="1728"/>
      <c r="BP43" s="4173"/>
      <c r="BQ43" s="2799">
        <f t="shared" si="39"/>
        <v>0</v>
      </c>
      <c r="BR43" s="2800" t="e">
        <f t="shared" si="40"/>
        <v>#DIV/0!</v>
      </c>
      <c r="BS43" s="2801" t="e">
        <f t="shared" si="57"/>
        <v>#DIV/0!</v>
      </c>
      <c r="BU43" s="1732">
        <v>0</v>
      </c>
      <c r="BV43" s="1882" t="e">
        <f t="shared" si="41"/>
        <v>#DIV/0!</v>
      </c>
      <c r="BW43" s="1740"/>
      <c r="BX43" s="4179">
        <f t="shared" si="42"/>
        <v>0</v>
      </c>
      <c r="BY43" s="2802" t="e">
        <f t="shared" si="43"/>
        <v>#DIV/0!</v>
      </c>
      <c r="BZ43" s="1997"/>
      <c r="CA43" s="4172"/>
      <c r="CC43" s="4172"/>
      <c r="CD43" s="2992"/>
      <c r="CE43" s="1997"/>
      <c r="CF43" s="1861"/>
      <c r="CG43" s="1860"/>
      <c r="CH43" s="1860"/>
      <c r="CI43" s="1860"/>
      <c r="CJ43" s="1860"/>
      <c r="CK43" s="1860"/>
      <c r="CL43" s="1860"/>
    </row>
    <row r="44" spans="2:90" s="1923" customFormat="1" ht="4.5" customHeight="1" thickBot="1" x14ac:dyDescent="0.25">
      <c r="B44" s="3419"/>
      <c r="C44" s="2526"/>
      <c r="D44" s="4190"/>
      <c r="E44" s="2527"/>
      <c r="F44" s="2527"/>
      <c r="G44" s="2527"/>
      <c r="H44" s="2527"/>
      <c r="I44" s="2527"/>
      <c r="J44" s="4195"/>
      <c r="K44" s="4146"/>
      <c r="L44" s="4145"/>
      <c r="M44" s="4146"/>
      <c r="N44" s="2528"/>
      <c r="O44" s="1866"/>
      <c r="P44" s="1867"/>
      <c r="Q44" s="2026"/>
      <c r="R44" s="2026"/>
      <c r="S44" s="2026"/>
      <c r="T44" s="2026"/>
      <c r="U44" s="2026"/>
      <c r="V44" s="2026"/>
      <c r="W44" s="2026"/>
      <c r="X44" s="4171"/>
      <c r="Y44" s="4171"/>
      <c r="Z44" s="4171"/>
      <c r="AA44" s="4171"/>
      <c r="AB44" s="1915"/>
      <c r="AC44" s="2026"/>
      <c r="AD44" s="2026"/>
      <c r="AE44" s="2026"/>
      <c r="AF44" s="2026"/>
      <c r="AG44" s="2026"/>
      <c r="AH44" s="2026"/>
      <c r="AI44" s="2026"/>
      <c r="AJ44" s="1915"/>
      <c r="AK44" s="4171"/>
      <c r="AL44" s="4171"/>
      <c r="AM44" s="4171"/>
      <c r="AN44" s="1915"/>
      <c r="AO44" s="2026"/>
      <c r="AP44" s="2026"/>
      <c r="AQ44" s="2026"/>
      <c r="AR44" s="2026"/>
      <c r="AS44" s="2026"/>
      <c r="AT44" s="2026"/>
      <c r="AU44" s="2026"/>
      <c r="AV44" s="4171"/>
      <c r="AW44" s="4171"/>
      <c r="AX44" s="4171"/>
      <c r="AY44" s="4171"/>
      <c r="AZ44" s="4171"/>
      <c r="BA44" s="2026"/>
      <c r="BB44" s="2026"/>
      <c r="BC44" s="2026"/>
      <c r="BD44" s="2026"/>
      <c r="BE44" s="2026"/>
      <c r="BF44" s="2026"/>
      <c r="BG44" s="2026"/>
      <c r="BH44" s="4171"/>
      <c r="BI44" s="4171"/>
      <c r="BJ44" s="4171"/>
      <c r="BK44" s="4171"/>
      <c r="BL44" s="4171"/>
      <c r="BM44" s="2026"/>
      <c r="BN44" s="2026"/>
      <c r="BO44" s="2026"/>
      <c r="BP44" s="4171"/>
      <c r="BQ44" s="4171"/>
      <c r="BR44" s="4171"/>
      <c r="BS44" s="4171"/>
      <c r="BU44" s="4171"/>
      <c r="BV44" s="1993"/>
      <c r="BW44" s="1994"/>
      <c r="BX44" s="2027"/>
      <c r="BY44" s="2028"/>
      <c r="BZ44" s="1993"/>
      <c r="CA44" s="1916"/>
      <c r="CC44" s="1916"/>
      <c r="CD44" s="1993"/>
      <c r="CE44" s="2030"/>
      <c r="CF44" s="1994"/>
    </row>
    <row r="45" spans="2:90" s="1885" customFormat="1" ht="17.25" thickBot="1" x14ac:dyDescent="0.25">
      <c r="B45" s="2000"/>
      <c r="C45" s="2803">
        <f>E45*100/20</f>
        <v>14490.824999999997</v>
      </c>
      <c r="D45" s="1888"/>
      <c r="E45" s="2001">
        <f>SUM(E20:E43)</f>
        <v>2898.1649999999995</v>
      </c>
      <c r="F45" s="2001">
        <f t="shared" ref="F45:N45" si="60">SUM(F20:F43)</f>
        <v>279.13333333333333</v>
      </c>
      <c r="G45" s="2001">
        <f t="shared" si="60"/>
        <v>186.08888888888896</v>
      </c>
      <c r="H45" s="2001">
        <f t="shared" si="60"/>
        <v>139.56666666666666</v>
      </c>
      <c r="I45" s="4140">
        <f t="shared" si="60"/>
        <v>111.65333333333334</v>
      </c>
      <c r="J45" s="4147">
        <f>SUM(J20:J43)</f>
        <v>2664.4424835749992</v>
      </c>
      <c r="K45" s="4148">
        <f>SUM(K20:K43)</f>
        <v>102.47855706057693</v>
      </c>
      <c r="L45" s="4147">
        <f t="shared" ref="L45:M45" si="61">SUM(L20:L43)</f>
        <v>233.72251642500001</v>
      </c>
      <c r="M45" s="4148">
        <f t="shared" si="61"/>
        <v>46.744503285</v>
      </c>
      <c r="N45" s="4156">
        <f t="shared" si="60"/>
        <v>1.0000000000000002</v>
      </c>
      <c r="O45" s="1949"/>
      <c r="P45" s="1950"/>
      <c r="Q45" s="2001">
        <f t="shared" ref="Q45:S45" si="62">SUM(Q20:Q43)</f>
        <v>102.47855706057693</v>
      </c>
      <c r="R45" s="2001">
        <f t="shared" si="62"/>
        <v>102.47855706057693</v>
      </c>
      <c r="S45" s="2001">
        <f t="shared" si="62"/>
        <v>46.744503285</v>
      </c>
      <c r="T45" s="2001">
        <f t="shared" ref="T45:U45" si="63">SUM(T20:T43)</f>
        <v>102.47855706057693</v>
      </c>
      <c r="U45" s="2001">
        <f t="shared" si="63"/>
        <v>102.47855706057693</v>
      </c>
      <c r="V45" s="2001">
        <f t="shared" ref="V45" si="64">SUM(V20:V43)</f>
        <v>102.47855706057693</v>
      </c>
      <c r="W45" s="2001">
        <f t="shared" ref="W45" si="65">SUM(W20:W43)</f>
        <v>102.47855706057693</v>
      </c>
      <c r="X45" s="4170"/>
      <c r="Y45" s="2804">
        <f>SUM(Y20:Y43)</f>
        <v>661.61584564846146</v>
      </c>
      <c r="Z45" s="2805">
        <f>SUM(Z20:Z43)</f>
        <v>1228.5940000000005</v>
      </c>
      <c r="AA45" s="2806">
        <f t="shared" ref="AA45" si="66">SUM(AA20:AA43)</f>
        <v>566.97815435153871</v>
      </c>
      <c r="AB45" s="1896"/>
      <c r="AC45" s="2001">
        <f t="shared" ref="AC45" si="67">SUM(AC20:AC43)</f>
        <v>102.47855706057693</v>
      </c>
      <c r="AD45" s="2001">
        <f t="shared" ref="AD45:AE45" si="68">SUM(AD20:AD43)</f>
        <v>102.47855706057693</v>
      </c>
      <c r="AE45" s="2001">
        <f t="shared" si="68"/>
        <v>46.744503285</v>
      </c>
      <c r="AF45" s="2001">
        <f t="shared" ref="AF45:AG45" si="69">SUM(AF20:AF43)</f>
        <v>102.47855706057693</v>
      </c>
      <c r="AG45" s="2001">
        <f t="shared" si="69"/>
        <v>102.47855706057693</v>
      </c>
      <c r="AH45" s="2001">
        <f t="shared" ref="AH45" si="70">SUM(AH20:AH43)</f>
        <v>102.47855706057693</v>
      </c>
      <c r="AI45" s="2001"/>
      <c r="AJ45" s="1896"/>
      <c r="AK45" s="2804">
        <f>SUM(AK20:AK43)</f>
        <v>559.13728858788454</v>
      </c>
      <c r="AL45" s="2805">
        <f>SUM(AL20:AL43)</f>
        <v>1055.3990000000006</v>
      </c>
      <c r="AM45" s="2806">
        <f>SUM(AM20:AM43)</f>
        <v>496.2617114121158</v>
      </c>
      <c r="AN45" s="1896"/>
      <c r="AO45" s="2005"/>
      <c r="AP45" s="2005"/>
      <c r="AQ45" s="2005"/>
      <c r="AR45" s="2005"/>
      <c r="AS45" s="2005"/>
      <c r="AT45" s="2005"/>
      <c r="AU45" s="2005"/>
      <c r="AV45" s="2295"/>
      <c r="AW45" s="2804">
        <f>SUM(AW20:AW43)</f>
        <v>0</v>
      </c>
      <c r="AX45" s="2805" t="e">
        <f>SUM(AX20:AX43)</f>
        <v>#DIV/0!</v>
      </c>
      <c r="AY45" s="2806" t="e">
        <f>SUM(AY20:AY43)</f>
        <v>#DIV/0!</v>
      </c>
      <c r="AZ45" s="2295"/>
      <c r="BA45" s="2005"/>
      <c r="BB45" s="2005"/>
      <c r="BC45" s="2005"/>
      <c r="BD45" s="2005"/>
      <c r="BE45" s="2005"/>
      <c r="BF45" s="2005"/>
      <c r="BG45" s="2005"/>
      <c r="BH45" s="2295"/>
      <c r="BI45" s="2804">
        <f>SUM(BI20:BI43)</f>
        <v>0</v>
      </c>
      <c r="BJ45" s="2805" t="e">
        <f>SUM(BJ20:BJ43)</f>
        <v>#DIV/0!</v>
      </c>
      <c r="BK45" s="2806" t="e">
        <f>SUM(BK20:BK43)</f>
        <v>#DIV/0!</v>
      </c>
      <c r="BL45" s="4170"/>
      <c r="BM45" s="2005"/>
      <c r="BN45" s="2005"/>
      <c r="BO45" s="2005"/>
      <c r="BP45" s="4170"/>
      <c r="BQ45" s="2804">
        <f>SUM(BQ20:BQ43)</f>
        <v>0</v>
      </c>
      <c r="BR45" s="2805" t="e">
        <f>SUM(BR20:BR43)</f>
        <v>#DIV/0!</v>
      </c>
      <c r="BS45" s="2806" t="e">
        <f>SUM(BS20:BS43)</f>
        <v>#DIV/0!</v>
      </c>
      <c r="BU45" s="2397">
        <f>SUM(BU20:BU43)</f>
        <v>0</v>
      </c>
      <c r="BV45" s="2398">
        <f>BU45/E45</f>
        <v>0</v>
      </c>
      <c r="BW45" s="1900"/>
      <c r="BX45" s="2397">
        <f>SUM(BX20:BX43)</f>
        <v>1220.7531342363459</v>
      </c>
      <c r="BY45" s="2398">
        <f>BX45/E45</f>
        <v>0.42121588461538462</v>
      </c>
      <c r="BZ45" s="2010"/>
      <c r="CA45" s="4169"/>
      <c r="CC45" s="4169"/>
      <c r="CD45" s="1946"/>
      <c r="CE45" s="1946"/>
      <c r="CF45" s="1946"/>
      <c r="CG45" s="1946"/>
      <c r="CH45" s="1946"/>
      <c r="CI45" s="1946"/>
      <c r="CJ45" s="1946"/>
      <c r="CK45" s="1946"/>
      <c r="CL45" s="1946"/>
    </row>
    <row r="46" spans="2:90" s="1947" customFormat="1" ht="4.5" customHeight="1" thickBot="1" x14ac:dyDescent="0.25">
      <c r="B46" s="2634"/>
      <c r="C46" s="2392"/>
      <c r="D46" s="1906"/>
      <c r="E46" s="2392"/>
      <c r="F46" s="2392"/>
      <c r="G46" s="2392"/>
      <c r="H46" s="2392"/>
      <c r="I46" s="2392"/>
      <c r="J46" s="4149"/>
      <c r="K46" s="4150"/>
      <c r="L46" s="4149"/>
      <c r="M46" s="4150"/>
      <c r="N46" s="2636"/>
      <c r="O46" s="1949"/>
      <c r="P46" s="1950"/>
      <c r="Q46" s="2392"/>
      <c r="R46" s="2392"/>
      <c r="S46" s="2392"/>
      <c r="T46" s="2392"/>
      <c r="U46" s="2392"/>
      <c r="V46" s="2392"/>
      <c r="W46" s="2392"/>
      <c r="X46" s="1951"/>
      <c r="Y46" s="1951"/>
      <c r="Z46" s="1951"/>
      <c r="AA46" s="1951"/>
      <c r="AB46" s="1956"/>
      <c r="AC46" s="2392"/>
      <c r="AD46" s="2392"/>
      <c r="AE46" s="2392"/>
      <c r="AF46" s="2392"/>
      <c r="AG46" s="2392"/>
      <c r="AH46" s="2392"/>
      <c r="AI46" s="2392"/>
      <c r="AJ46" s="1956"/>
      <c r="AK46" s="1951"/>
      <c r="AL46" s="1951"/>
      <c r="AM46" s="1951"/>
      <c r="AN46" s="1956"/>
      <c r="AO46" s="2392"/>
      <c r="AP46" s="2392"/>
      <c r="AQ46" s="2392"/>
      <c r="AR46" s="2392"/>
      <c r="AS46" s="2392"/>
      <c r="AT46" s="2392"/>
      <c r="AU46" s="2392"/>
      <c r="AV46" s="1951"/>
      <c r="AW46" s="1951"/>
      <c r="AX46" s="1951"/>
      <c r="AY46" s="1951"/>
      <c r="AZ46" s="1951"/>
      <c r="BA46" s="2392"/>
      <c r="BB46" s="2392"/>
      <c r="BC46" s="2392"/>
      <c r="BD46" s="2392"/>
      <c r="BE46" s="2392"/>
      <c r="BF46" s="2392"/>
      <c r="BG46" s="2392"/>
      <c r="BH46" s="1951"/>
      <c r="BI46" s="1951"/>
      <c r="BJ46" s="1951"/>
      <c r="BK46" s="1951"/>
      <c r="BL46" s="1951"/>
      <c r="BM46" s="2392"/>
      <c r="BN46" s="2392"/>
      <c r="BO46" s="2392"/>
      <c r="BP46" s="1951"/>
      <c r="BQ46" s="1951"/>
      <c r="BR46" s="1951"/>
      <c r="BS46" s="1951"/>
      <c r="BU46" s="1951"/>
      <c r="BV46" s="1962"/>
      <c r="BW46" s="1959"/>
      <c r="BX46" s="1951"/>
      <c r="BY46" s="1962"/>
      <c r="BZ46" s="1962"/>
      <c r="CA46" s="1905"/>
      <c r="CC46" s="1905"/>
      <c r="CD46" s="1906"/>
      <c r="CE46" s="1906"/>
      <c r="CF46" s="1906"/>
      <c r="CG46" s="1906"/>
      <c r="CH46" s="1906"/>
      <c r="CI46" s="1906"/>
      <c r="CJ46" s="1906"/>
      <c r="CK46" s="1906"/>
      <c r="CL46" s="1906"/>
    </row>
    <row r="47" spans="2:90" s="1726" customFormat="1" ht="17.25" thickBot="1" x14ac:dyDescent="0.25">
      <c r="B47" s="1963">
        <v>37</v>
      </c>
      <c r="C47" s="1963"/>
      <c r="D47" s="1727"/>
      <c r="E47" s="1728">
        <f>E45/31</f>
        <v>93.489193548387078</v>
      </c>
      <c r="F47" s="1728"/>
      <c r="G47" s="1728"/>
      <c r="H47" s="1728"/>
      <c r="I47" s="4138"/>
      <c r="J47" s="4151"/>
      <c r="K47" s="4152">
        <f>K45-E47</f>
        <v>8.9893635121898541</v>
      </c>
      <c r="L47" s="4151"/>
      <c r="M47" s="4152">
        <f>M45-E47</f>
        <v>-46.744690263387078</v>
      </c>
      <c r="N47" s="4155"/>
      <c r="O47" s="1760"/>
      <c r="P47" s="1924"/>
      <c r="Q47" s="1728"/>
      <c r="R47" s="1728"/>
      <c r="S47" s="1728"/>
      <c r="T47" s="1728"/>
      <c r="U47" s="1728"/>
      <c r="V47" s="1728"/>
      <c r="W47" s="1728"/>
      <c r="X47" s="4173"/>
      <c r="Y47" s="2031"/>
      <c r="Z47" s="2032"/>
      <c r="AA47" s="2033"/>
      <c r="AB47" s="1881"/>
      <c r="AC47" s="1728"/>
      <c r="AD47" s="1728"/>
      <c r="AE47" s="1728"/>
      <c r="AF47" s="1728"/>
      <c r="AG47" s="1728"/>
      <c r="AH47" s="1728"/>
      <c r="AI47" s="1728"/>
      <c r="AJ47" s="1881"/>
      <c r="AK47" s="2031"/>
      <c r="AL47" s="2032"/>
      <c r="AM47" s="2033"/>
      <c r="AN47" s="1881"/>
      <c r="AO47" s="2268"/>
      <c r="AP47" s="2268"/>
      <c r="AQ47" s="2268"/>
      <c r="AR47" s="2268"/>
      <c r="AS47" s="2268"/>
      <c r="AT47" s="2268"/>
      <c r="AU47" s="2268"/>
      <c r="AV47" s="2293"/>
      <c r="AW47" s="2031"/>
      <c r="AX47" s="2032"/>
      <c r="AY47" s="2033"/>
      <c r="AZ47" s="2293"/>
      <c r="BA47" s="2268"/>
      <c r="BB47" s="2268"/>
      <c r="BC47" s="2268"/>
      <c r="BD47" s="2268"/>
      <c r="BE47" s="2268"/>
      <c r="BF47" s="2268"/>
      <c r="BG47" s="2268"/>
      <c r="BH47" s="2293"/>
      <c r="BI47" s="2031"/>
      <c r="BJ47" s="2032"/>
      <c r="BK47" s="2033"/>
      <c r="BL47" s="4173"/>
      <c r="BM47" s="2268"/>
      <c r="BN47" s="2268"/>
      <c r="BO47" s="2268"/>
      <c r="BP47" s="4173"/>
      <c r="BQ47" s="2031"/>
      <c r="BR47" s="2032"/>
      <c r="BS47" s="2033"/>
      <c r="BU47" s="2034"/>
      <c r="BV47" s="2035"/>
      <c r="BW47" s="1740"/>
      <c r="BX47" s="2034"/>
      <c r="BY47" s="2035"/>
      <c r="BZ47" s="1997"/>
      <c r="CA47" s="4172"/>
      <c r="CC47" s="4172"/>
      <c r="CD47" s="1860"/>
      <c r="CE47" s="1860"/>
      <c r="CF47" s="1860"/>
      <c r="CG47" s="1860"/>
      <c r="CH47" s="1860"/>
      <c r="CI47" s="1860"/>
      <c r="CJ47" s="1860"/>
      <c r="CK47" s="1860"/>
      <c r="CL47" s="1860"/>
    </row>
    <row r="48" spans="2:90" s="1923" customFormat="1" ht="4.5" customHeight="1" thickTop="1" thickBot="1" x14ac:dyDescent="0.25">
      <c r="B48" s="4185"/>
      <c r="C48" s="2024"/>
      <c r="D48" s="4190"/>
      <c r="E48" s="1803"/>
      <c r="F48" s="1803"/>
      <c r="G48" s="1803"/>
      <c r="H48" s="1803"/>
      <c r="I48" s="1803"/>
      <c r="J48" s="2527"/>
      <c r="K48" s="2527"/>
      <c r="L48" s="2527"/>
      <c r="M48" s="2527"/>
      <c r="N48" s="2025"/>
      <c r="O48" s="1866"/>
      <c r="P48" s="1867"/>
      <c r="Q48" s="2026"/>
      <c r="R48" s="2026"/>
      <c r="S48" s="2026"/>
      <c r="T48" s="2026"/>
      <c r="U48" s="2026"/>
      <c r="V48" s="2026"/>
      <c r="W48" s="2026"/>
      <c r="X48" s="4171"/>
      <c r="Y48" s="4171"/>
      <c r="Z48" s="4171"/>
      <c r="AA48" s="4171"/>
      <c r="AB48" s="1915"/>
      <c r="AC48" s="2026"/>
      <c r="AD48" s="2026"/>
      <c r="AE48" s="2026"/>
      <c r="AF48" s="2026"/>
      <c r="AG48" s="2026"/>
      <c r="AH48" s="2026"/>
      <c r="AI48" s="2026"/>
      <c r="AJ48" s="1915"/>
      <c r="AK48" s="4171"/>
      <c r="AL48" s="4171"/>
      <c r="AM48" s="4171"/>
      <c r="AN48" s="1915"/>
      <c r="AO48" s="2026"/>
      <c r="AP48" s="2026"/>
      <c r="AQ48" s="2026"/>
      <c r="AR48" s="2026"/>
      <c r="AS48" s="2026"/>
      <c r="AT48" s="2026"/>
      <c r="AU48" s="2026"/>
      <c r="AV48" s="4171"/>
      <c r="AW48" s="4171"/>
      <c r="AX48" s="4171"/>
      <c r="AY48" s="4171"/>
      <c r="AZ48" s="4171"/>
      <c r="BA48" s="2026"/>
      <c r="BB48" s="2026"/>
      <c r="BC48" s="2026"/>
      <c r="BD48" s="2026"/>
      <c r="BE48" s="2026"/>
      <c r="BF48" s="2026"/>
      <c r="BG48" s="2026"/>
      <c r="BH48" s="4171"/>
      <c r="BI48" s="2274"/>
      <c r="BJ48" s="2274"/>
      <c r="BK48" s="2274"/>
      <c r="BL48" s="4171"/>
      <c r="BM48" s="2026"/>
      <c r="BN48" s="2026"/>
      <c r="BO48" s="2026"/>
      <c r="BP48" s="4171"/>
      <c r="BQ48" s="2274"/>
      <c r="BR48" s="2274"/>
      <c r="BS48" s="2274"/>
      <c r="BU48" s="4171"/>
      <c r="BV48" s="1993"/>
      <c r="BW48" s="1994"/>
      <c r="BX48" s="4171"/>
      <c r="BY48" s="1993"/>
      <c r="BZ48" s="1993"/>
      <c r="CA48" s="1916"/>
      <c r="CC48" s="1916"/>
    </row>
    <row r="49" spans="1:90" s="1885" customFormat="1" ht="17.25" thickBot="1" x14ac:dyDescent="0.25">
      <c r="B49" s="2117"/>
      <c r="C49" s="2212" t="s">
        <v>150</v>
      </c>
      <c r="D49" s="2119"/>
      <c r="E49" s="2123">
        <f>E45*100/20</f>
        <v>14490.824999999997</v>
      </c>
      <c r="F49" s="2121" t="e">
        <f>#REF!*100/30</f>
        <v>#REF!</v>
      </c>
      <c r="G49" s="2121" t="e">
        <f>#REF!*100/30</f>
        <v>#REF!</v>
      </c>
      <c r="H49" s="2121" t="e">
        <f>#REF!*100/30</f>
        <v>#REF!</v>
      </c>
      <c r="I49" s="2121" t="e">
        <f>#REF!*100/30</f>
        <v>#REF!</v>
      </c>
      <c r="J49" s="2121"/>
      <c r="K49" s="2121">
        <f>K45*100/20</f>
        <v>512.3927853028847</v>
      </c>
      <c r="L49" s="4120"/>
      <c r="M49" s="4120"/>
      <c r="N49" s="2130">
        <f>E49/E92</f>
        <v>0.55217183798165814</v>
      </c>
      <c r="O49" s="1949"/>
      <c r="P49" s="2214"/>
      <c r="Q49" s="2120">
        <f>Q11</f>
        <v>28.884221469711541</v>
      </c>
      <c r="R49" s="2121">
        <f t="shared" ref="R49:U49" si="71">R11</f>
        <v>30.73522146971154</v>
      </c>
      <c r="S49" s="2121">
        <f t="shared" si="71"/>
        <v>70.855248357500002</v>
      </c>
      <c r="T49" s="2121">
        <f t="shared" si="71"/>
        <v>53.567721469711536</v>
      </c>
      <c r="U49" s="2121">
        <f t="shared" si="71"/>
        <v>33.135221469711531</v>
      </c>
      <c r="V49" s="2121">
        <f t="shared" ref="V49" si="72">V11</f>
        <v>19.670221469711528</v>
      </c>
      <c r="W49" s="2124">
        <f t="shared" ref="W49" si="73">W11</f>
        <v>46.641221469711532</v>
      </c>
      <c r="X49" s="1951"/>
      <c r="Y49" s="2120">
        <f>SUM(Q49:W49)</f>
        <v>283.48907717576918</v>
      </c>
      <c r="Z49" s="2123"/>
      <c r="AA49" s="2124"/>
      <c r="AB49" s="1956"/>
      <c r="AC49" s="2120">
        <f t="shared" ref="AC49" si="74">AC11</f>
        <v>59.114721469711533</v>
      </c>
      <c r="AD49" s="2121">
        <f t="shared" ref="AD49:AE49" si="75">AD11</f>
        <v>54.798721469711531</v>
      </c>
      <c r="AE49" s="2121">
        <f t="shared" si="75"/>
        <v>66.4797483575</v>
      </c>
      <c r="AF49" s="2121">
        <f t="shared" ref="AF49:AG49" si="76">AF11</f>
        <v>37.653221469711532</v>
      </c>
      <c r="AG49" s="2121">
        <f t="shared" si="76"/>
        <v>11.463721469711537</v>
      </c>
      <c r="AH49" s="2121">
        <f t="shared" ref="AH49" si="77">AH11</f>
        <v>18.620721469711533</v>
      </c>
      <c r="AI49" s="2121"/>
      <c r="AJ49" s="1956"/>
      <c r="AK49" s="2120">
        <f>SUM(AC49:AI49)</f>
        <v>248.13085570605767</v>
      </c>
      <c r="AL49" s="2123"/>
      <c r="AM49" s="2124"/>
      <c r="AN49" s="1955"/>
      <c r="AO49" s="2120"/>
      <c r="AP49" s="2121"/>
      <c r="AQ49" s="2121"/>
      <c r="AR49" s="2121"/>
      <c r="AS49" s="2121"/>
      <c r="AT49" s="2121"/>
      <c r="AU49" s="2121"/>
      <c r="AV49" s="2254"/>
      <c r="AW49" s="2120">
        <f>SUM(AO49:AU49)</f>
        <v>0</v>
      </c>
      <c r="AX49" s="2123"/>
      <c r="AY49" s="2124"/>
      <c r="AZ49" s="1951"/>
      <c r="BA49" s="2120"/>
      <c r="BB49" s="2121"/>
      <c r="BC49" s="2121"/>
      <c r="BD49" s="2121"/>
      <c r="BE49" s="2121"/>
      <c r="BF49" s="2121"/>
      <c r="BG49" s="2124"/>
      <c r="BH49" s="1951"/>
      <c r="BI49" s="2120">
        <f>SUM(BA49:BG49)</f>
        <v>0</v>
      </c>
      <c r="BJ49" s="2123"/>
      <c r="BK49" s="2124"/>
      <c r="BL49" s="1900"/>
      <c r="BM49" s="2120"/>
      <c r="BN49" s="4196"/>
      <c r="BO49" s="2124"/>
      <c r="BP49" s="2317"/>
      <c r="BQ49" s="2215">
        <f>SUM(BM49:BO49)</f>
        <v>0</v>
      </c>
      <c r="BR49" s="2677"/>
      <c r="BS49" s="2124"/>
      <c r="BT49" s="1897"/>
      <c r="BU49" s="2215">
        <f>SUM(Q49:W49)+SUM(AC49:AI49)+SUM(AO49:AU49)+SUM(BA49:BG49)+SUM(BO49:BO49)</f>
        <v>531.6199328818268</v>
      </c>
      <c r="BV49" s="2130"/>
      <c r="BW49" s="1900"/>
      <c r="BX49" s="2011"/>
      <c r="BY49" s="2011"/>
      <c r="BZ49" s="2011"/>
      <c r="CC49" s="4169"/>
      <c r="CD49" s="1946"/>
      <c r="CE49" s="1946"/>
      <c r="CF49" s="1946"/>
      <c r="CG49" s="1946"/>
      <c r="CH49" s="1946"/>
      <c r="CI49" s="1946"/>
      <c r="CJ49" s="1946"/>
      <c r="CK49" s="1946"/>
      <c r="CL49" s="1946"/>
    </row>
    <row r="50" spans="1:90" s="1860" customFormat="1" ht="17.25" thickBot="1" x14ac:dyDescent="0.25">
      <c r="B50" s="1861"/>
      <c r="C50" s="1861" t="s">
        <v>143</v>
      </c>
      <c r="D50" s="1861"/>
      <c r="E50" s="4173"/>
      <c r="F50" s="4173"/>
      <c r="G50" s="4173"/>
      <c r="H50" s="4173"/>
      <c r="I50" s="4173"/>
      <c r="J50" s="4173"/>
      <c r="K50" s="4173"/>
      <c r="L50" s="4173"/>
      <c r="M50" s="4213"/>
      <c r="N50" s="2059"/>
      <c r="O50" s="1931"/>
      <c r="P50" s="1877"/>
      <c r="Q50" s="4173"/>
      <c r="R50" s="4173"/>
      <c r="S50" s="4221"/>
      <c r="T50" s="4173"/>
      <c r="U50" s="4246"/>
      <c r="V50" s="4254"/>
      <c r="W50" s="4173"/>
      <c r="X50" s="4173"/>
      <c r="Y50" s="4173"/>
      <c r="Z50" s="4173"/>
      <c r="AA50" s="4173"/>
      <c r="AB50" s="1862"/>
      <c r="AC50" s="4173"/>
      <c r="AD50" s="4173"/>
      <c r="AE50" s="4173"/>
      <c r="AF50" s="4173"/>
      <c r="AG50" s="4173"/>
      <c r="AH50" s="4173"/>
      <c r="AI50" s="4173"/>
      <c r="AJ50" s="1862"/>
      <c r="AK50" s="4173"/>
      <c r="AL50" s="4173"/>
      <c r="AM50" s="4173"/>
      <c r="AN50" s="1862"/>
      <c r="AO50" s="4173"/>
      <c r="AP50" s="4173"/>
      <c r="AQ50" s="4173"/>
      <c r="AR50" s="4173"/>
      <c r="AS50" s="4173"/>
      <c r="AT50" s="4173"/>
      <c r="AU50" s="4173"/>
      <c r="AV50" s="4173"/>
      <c r="AW50" s="4173"/>
      <c r="AX50" s="4173"/>
      <c r="AY50" s="4173"/>
      <c r="AZ50" s="4173"/>
      <c r="BA50" s="4173"/>
      <c r="BB50" s="4173"/>
      <c r="BC50" s="4173"/>
      <c r="BD50" s="4173"/>
      <c r="BE50" s="4173"/>
      <c r="BF50" s="4173"/>
      <c r="BG50" s="4173"/>
      <c r="BH50" s="4173"/>
      <c r="BI50" s="4173"/>
      <c r="BJ50" s="4173"/>
      <c r="BK50" s="4173"/>
      <c r="BL50" s="4173"/>
      <c r="BM50" s="4173"/>
      <c r="BN50" s="4173"/>
      <c r="BO50" s="4173"/>
      <c r="BP50" s="4173"/>
      <c r="BQ50" s="4173"/>
      <c r="BR50" s="4173"/>
      <c r="BS50" s="4173"/>
      <c r="BT50" s="1862"/>
      <c r="BU50" s="4173"/>
      <c r="BV50" s="2639"/>
      <c r="BW50" s="1861"/>
      <c r="BX50" s="4634" t="s">
        <v>99</v>
      </c>
      <c r="BY50" s="4634"/>
      <c r="BZ50" s="4173"/>
      <c r="CA50" s="1862"/>
      <c r="CC50" s="4172"/>
    </row>
    <row r="51" spans="1:90" s="1900" customFormat="1" ht="15.75" x14ac:dyDescent="0.2">
      <c r="A51" s="2464"/>
      <c r="B51" s="2280">
        <v>38</v>
      </c>
      <c r="C51" s="2405" t="s">
        <v>245</v>
      </c>
      <c r="D51" s="2119"/>
      <c r="E51" s="2410">
        <v>106</v>
      </c>
      <c r="F51" s="2678"/>
      <c r="G51" s="2678"/>
      <c r="H51" s="2678"/>
      <c r="I51" s="2678"/>
      <c r="J51" s="2406"/>
      <c r="K51" s="2406">
        <f>E51/31</f>
        <v>3.4193548387096775</v>
      </c>
      <c r="L51" s="4121"/>
      <c r="M51" s="4121"/>
      <c r="N51" s="2407">
        <f t="shared" ref="N51:N59" si="78">E51/$E$60</f>
        <v>0.31500742942050519</v>
      </c>
      <c r="O51" s="2468"/>
      <c r="P51" s="2339"/>
      <c r="Q51" s="2410">
        <f t="shared" ref="Q51:V51" si="79">IF(Q49&gt;$K$60,$K$51,IF(Q49&lt;$K$60,(IF(Q49&lt;0,0,Q49*$N$51))))</f>
        <v>3.4193548387096775</v>
      </c>
      <c r="R51" s="2406">
        <f t="shared" si="79"/>
        <v>3.4193548387096775</v>
      </c>
      <c r="S51" s="2406">
        <f t="shared" si="79"/>
        <v>3.4193548387096775</v>
      </c>
      <c r="T51" s="2406">
        <f t="shared" si="79"/>
        <v>3.4193548387096775</v>
      </c>
      <c r="U51" s="2406">
        <f t="shared" si="79"/>
        <v>3.4193548387096775</v>
      </c>
      <c r="V51" s="2406">
        <f t="shared" si="79"/>
        <v>3.4193548387096775</v>
      </c>
      <c r="W51" s="2409">
        <f t="shared" ref="W51" si="80">IF(W49&gt;$K$60,$K$51,IF(W49&lt;$K$60,(IF(W49&lt;0,0,W49*$N$51))))</f>
        <v>3.4193548387096775</v>
      </c>
      <c r="X51" s="1951"/>
      <c r="Y51" s="2410">
        <f t="shared" si="56"/>
        <v>23.93548387096774</v>
      </c>
      <c r="Z51" s="2408">
        <f>$K$51*0</f>
        <v>0</v>
      </c>
      <c r="AA51" s="2411">
        <f>Y51-Z51</f>
        <v>23.93548387096774</v>
      </c>
      <c r="AB51" s="1951"/>
      <c r="AC51" s="2410">
        <f t="shared" ref="AC51" si="81">IF(AC49&gt;$K$60,$K$51,IF(AC49&lt;$K$60,(IF(AC49&lt;0,0,AC49*$N$51))))</f>
        <v>3.4193548387096775</v>
      </c>
      <c r="AD51" s="2408">
        <f t="shared" ref="AD51:AE51" si="82">IF(AD49&gt;$K$60,$K$51,IF(AD49&lt;$K$60,(IF(AD49&lt;0,0,AD49*$N$51))))</f>
        <v>3.4193548387096775</v>
      </c>
      <c r="AE51" s="2408">
        <f t="shared" si="82"/>
        <v>3.4193548387096775</v>
      </c>
      <c r="AF51" s="2408">
        <f t="shared" ref="AF51:AG51" si="83">IF(AF49&gt;$K$60,$K$51,IF(AF49&lt;$K$60,(IF(AF49&lt;0,0,AF49*$N$51))))</f>
        <v>3.4193548387096775</v>
      </c>
      <c r="AG51" s="2408">
        <f t="shared" si="83"/>
        <v>3.4193548387096775</v>
      </c>
      <c r="AH51" s="2408">
        <f t="shared" ref="AH51" si="84">IF(AH49&gt;$K$60,$K$51,IF(AH49&lt;$K$60,(IF(AH49&lt;0,0,AH49*$N$51))))</f>
        <v>3.4193548387096775</v>
      </c>
      <c r="AI51" s="2409"/>
      <c r="AJ51" s="1951"/>
      <c r="AK51" s="2410">
        <f>SUM(AC51:AI51)</f>
        <v>20.516129032258064</v>
      </c>
      <c r="AL51" s="2408">
        <f>$K$51*0</f>
        <v>0</v>
      </c>
      <c r="AM51" s="2411">
        <f>AK51-AL51</f>
        <v>20.516129032258064</v>
      </c>
      <c r="AN51" s="1951"/>
      <c r="AO51" s="2410"/>
      <c r="AP51" s="2406"/>
      <c r="AQ51" s="2406"/>
      <c r="AR51" s="2406"/>
      <c r="AS51" s="2406"/>
      <c r="AT51" s="2406"/>
      <c r="AU51" s="2406"/>
      <c r="AV51" s="1951"/>
      <c r="AW51" s="2410">
        <f>SUM(AO51:AU51)</f>
        <v>0</v>
      </c>
      <c r="AX51" s="2408">
        <f>$K$51*0</f>
        <v>0</v>
      </c>
      <c r="AY51" s="2411">
        <f>AW51-AX51</f>
        <v>0</v>
      </c>
      <c r="AZ51" s="1951"/>
      <c r="BA51" s="2410"/>
      <c r="BB51" s="2406"/>
      <c r="BC51" s="2406"/>
      <c r="BD51" s="2406"/>
      <c r="BE51" s="2406"/>
      <c r="BF51" s="2406"/>
      <c r="BG51" s="2409"/>
      <c r="BH51" s="1951"/>
      <c r="BI51" s="2410">
        <f>SUM(BA51:BG51)</f>
        <v>0</v>
      </c>
      <c r="BJ51" s="2408">
        <f>$K$51*0</f>
        <v>0</v>
      </c>
      <c r="BK51" s="2411">
        <f>BI51-BJ51</f>
        <v>0</v>
      </c>
      <c r="BL51" s="1951"/>
      <c r="BM51" s="2410"/>
      <c r="BN51" s="2498"/>
      <c r="BO51" s="2409"/>
      <c r="BP51" s="1951"/>
      <c r="BQ51" s="2410">
        <f t="shared" ref="BQ51:BQ59" si="85">SUM(BM51:BO51)</f>
        <v>0</v>
      </c>
      <c r="BR51" s="2408">
        <f>$K$51*0</f>
        <v>0</v>
      </c>
      <c r="BS51" s="2411">
        <f>BQ51-BR51</f>
        <v>0</v>
      </c>
      <c r="BU51" s="2410"/>
      <c r="BV51" s="2412"/>
      <c r="BX51" s="2410">
        <f t="shared" ref="BX51:BX59" si="86">SUM(Q51:W51)+SUM(AC51:AI51)+SUM(AO51:AU51)+SUM(BA51:BG51)+SUM(BO51:BO51)</f>
        <v>44.451612903225808</v>
      </c>
      <c r="BY51" s="2413">
        <f t="shared" ref="BY51:BY60" si="87">BX51/E51</f>
        <v>0.41935483870967744</v>
      </c>
      <c r="BZ51" s="2353"/>
      <c r="CA51" s="4635">
        <f>BY60-BX1</f>
        <v>0</v>
      </c>
      <c r="CC51" s="4627"/>
      <c r="CD51" s="2011"/>
      <c r="CE51" s="2011"/>
      <c r="CF51" s="2011"/>
      <c r="CG51" s="2011"/>
      <c r="CH51" s="2011"/>
      <c r="CI51" s="2011"/>
      <c r="CJ51" s="2011"/>
      <c r="CK51" s="2011"/>
      <c r="CL51" s="2011"/>
    </row>
    <row r="52" spans="1:90" s="1740" customFormat="1" ht="15.75" x14ac:dyDescent="0.2">
      <c r="A52" s="2466"/>
      <c r="B52" s="2151">
        <v>39</v>
      </c>
      <c r="C52" s="2152" t="s">
        <v>241</v>
      </c>
      <c r="D52" s="2051"/>
      <c r="E52" s="2090">
        <v>63</v>
      </c>
      <c r="F52" s="2154"/>
      <c r="G52" s="2154"/>
      <c r="H52" s="2154"/>
      <c r="I52" s="2154"/>
      <c r="J52" s="2088"/>
      <c r="K52" s="2154">
        <f>E52/31</f>
        <v>2.032258064516129</v>
      </c>
      <c r="L52" s="4122"/>
      <c r="M52" s="4122"/>
      <c r="N52" s="2155">
        <f t="shared" si="78"/>
        <v>0.18722139673105498</v>
      </c>
      <c r="O52" s="2465"/>
      <c r="P52" s="2131"/>
      <c r="Q52" s="2090">
        <f t="shared" ref="Q52:V52" si="88">IF(Q49&gt;$K$60,$K$52,IF(Q49&lt;$K$60,(IF(Q49&lt;0,0,Q49*$N$52))))</f>
        <v>2.032258064516129</v>
      </c>
      <c r="R52" s="2088">
        <f t="shared" si="88"/>
        <v>2.032258064516129</v>
      </c>
      <c r="S52" s="2088">
        <f t="shared" si="88"/>
        <v>2.032258064516129</v>
      </c>
      <c r="T52" s="2088">
        <f t="shared" si="88"/>
        <v>2.032258064516129</v>
      </c>
      <c r="U52" s="2088">
        <f t="shared" si="88"/>
        <v>2.032258064516129</v>
      </c>
      <c r="V52" s="2088">
        <f t="shared" si="88"/>
        <v>2.032258064516129</v>
      </c>
      <c r="W52" s="2091">
        <f t="shared" ref="W52" si="89">IF(W49&gt;$K$60,$K$52,IF(W49&lt;$K$60,(IF(W49&lt;0,0,W49*$N$52))))</f>
        <v>2.032258064516129</v>
      </c>
      <c r="X52" s="4186"/>
      <c r="Y52" s="2153">
        <f>SUM(Q52:W52)</f>
        <v>14.2258064516129</v>
      </c>
      <c r="Z52" s="2157">
        <f>$K$52*0</f>
        <v>0</v>
      </c>
      <c r="AA52" s="2158">
        <f>Y52-Z52</f>
        <v>14.2258064516129</v>
      </c>
      <c r="AB52" s="4186"/>
      <c r="AC52" s="2153">
        <f t="shared" ref="AC52" si="90">IF(AC49&gt;$K$60,$K$52,IF(AC49&lt;$K$60,(IF(AC49&lt;0,0,AC49*$N$52))))</f>
        <v>2.032258064516129</v>
      </c>
      <c r="AD52" s="2157">
        <f t="shared" ref="AD52:AE52" si="91">IF(AD49&gt;$K$60,$K$52,IF(AD49&lt;$K$60,(IF(AD49&lt;0,0,AD49*$N$52))))</f>
        <v>2.032258064516129</v>
      </c>
      <c r="AE52" s="2157">
        <f t="shared" si="91"/>
        <v>2.032258064516129</v>
      </c>
      <c r="AF52" s="2157">
        <f t="shared" ref="AF52:AG52" si="92">IF(AF49&gt;$K$60,$K$52,IF(AF49&lt;$K$60,(IF(AF49&lt;0,0,AF49*$N$52))))</f>
        <v>2.032258064516129</v>
      </c>
      <c r="AG52" s="2157">
        <f t="shared" si="92"/>
        <v>2.032258064516129</v>
      </c>
      <c r="AH52" s="2157">
        <f t="shared" ref="AH52" si="93">IF(AH49&gt;$K$60,$K$52,IF(AH49&lt;$K$60,(IF(AH49&lt;0,0,AH49*$N$52))))</f>
        <v>2.032258064516129</v>
      </c>
      <c r="AI52" s="2156"/>
      <c r="AJ52" s="4186"/>
      <c r="AK52" s="2153">
        <f t="shared" ref="AK52:AK72" si="94">SUM(AC52:AI52)</f>
        <v>12.193548387096772</v>
      </c>
      <c r="AL52" s="2157">
        <f>$K$52*0</f>
        <v>0</v>
      </c>
      <c r="AM52" s="2158">
        <f t="shared" ref="AM52:AM72" si="95">AK52-AL52</f>
        <v>12.193548387096772</v>
      </c>
      <c r="AN52" s="4186"/>
      <c r="AO52" s="2153"/>
      <c r="AP52" s="2154"/>
      <c r="AQ52" s="2154"/>
      <c r="AR52" s="2154"/>
      <c r="AS52" s="2154"/>
      <c r="AT52" s="2154"/>
      <c r="AU52" s="2154"/>
      <c r="AV52" s="4186"/>
      <c r="AW52" s="2153">
        <f t="shared" ref="AW52:AW59" si="96">SUM(AO52:AU52)</f>
        <v>0</v>
      </c>
      <c r="AX52" s="2157">
        <f>$K$52*0</f>
        <v>0</v>
      </c>
      <c r="AY52" s="2158">
        <f t="shared" ref="AY52:AY59" si="97">AW52-AX52</f>
        <v>0</v>
      </c>
      <c r="AZ52" s="4186"/>
      <c r="BA52" s="2153"/>
      <c r="BB52" s="2154"/>
      <c r="BC52" s="2154"/>
      <c r="BD52" s="2154"/>
      <c r="BE52" s="2088"/>
      <c r="BF52" s="2088"/>
      <c r="BG52" s="2091"/>
      <c r="BH52" s="4186"/>
      <c r="BI52" s="2153">
        <f t="shared" ref="BI52:BI59" si="98">SUM(BA52:BG52)</f>
        <v>0</v>
      </c>
      <c r="BJ52" s="2157">
        <f>$K$52*0</f>
        <v>0</v>
      </c>
      <c r="BK52" s="2158">
        <f t="shared" ref="BK52:BK59" si="99">BI52-BJ52</f>
        <v>0</v>
      </c>
      <c r="BL52" s="4186"/>
      <c r="BM52" s="2090"/>
      <c r="BN52" s="2305"/>
      <c r="BO52" s="2091"/>
      <c r="BP52" s="4186"/>
      <c r="BQ52" s="2153">
        <f t="shared" si="85"/>
        <v>0</v>
      </c>
      <c r="BR52" s="2157">
        <f>$K$52*0</f>
        <v>0</v>
      </c>
      <c r="BS52" s="2158">
        <f t="shared" ref="BS52:BS59" si="100">BQ52-BR52</f>
        <v>0</v>
      </c>
      <c r="BU52" s="2153"/>
      <c r="BV52" s="2616"/>
      <c r="BX52" s="2153">
        <f t="shared" si="86"/>
        <v>26.419354838709673</v>
      </c>
      <c r="BY52" s="2617">
        <f t="shared" si="87"/>
        <v>0.41935483870967732</v>
      </c>
      <c r="BZ52" s="2351"/>
      <c r="CA52" s="4636"/>
      <c r="CC52" s="4627"/>
      <c r="CD52" s="1861"/>
      <c r="CE52" s="1861"/>
      <c r="CF52" s="1861"/>
      <c r="CG52" s="1861"/>
      <c r="CH52" s="1861"/>
      <c r="CI52" s="1861"/>
      <c r="CJ52" s="1861"/>
      <c r="CK52" s="1861"/>
      <c r="CL52" s="1861"/>
    </row>
    <row r="53" spans="1:90" s="1900" customFormat="1" ht="15.75" x14ac:dyDescent="0.2">
      <c r="A53" s="2464"/>
      <c r="B53" s="2161">
        <v>40</v>
      </c>
      <c r="C53" s="2162" t="s">
        <v>117</v>
      </c>
      <c r="D53" s="2119"/>
      <c r="E53" s="2169">
        <v>37</v>
      </c>
      <c r="F53" s="2176">
        <f t="shared" ref="F53:F59" si="101">E53/10</f>
        <v>3.7</v>
      </c>
      <c r="G53" s="2176">
        <f t="shared" ref="G53:G59" si="102">E53/15</f>
        <v>2.4666666666666668</v>
      </c>
      <c r="H53" s="2176">
        <f t="shared" ref="H53:H59" si="103">E53/20</f>
        <v>1.85</v>
      </c>
      <c r="I53" s="2176">
        <f t="shared" ref="I53:I59" si="104">E53/25</f>
        <v>1.48</v>
      </c>
      <c r="J53" s="2176"/>
      <c r="K53" s="2176">
        <f>E53/31</f>
        <v>1.1935483870967742</v>
      </c>
      <c r="L53" s="4123"/>
      <c r="M53" s="4123"/>
      <c r="N53" s="2177">
        <f t="shared" si="78"/>
        <v>0.10995542347696879</v>
      </c>
      <c r="O53" s="2468"/>
      <c r="P53" s="2339"/>
      <c r="Q53" s="2169">
        <f t="shared" ref="Q53:V53" si="105">IF(Q49&gt;$K$60,$K$53,IF(Q49&lt;$K$60,(IF(Q49&lt;0,0,Q49*$N$53))))</f>
        <v>1.1935483870967742</v>
      </c>
      <c r="R53" s="2176">
        <f t="shared" si="105"/>
        <v>1.1935483870967742</v>
      </c>
      <c r="S53" s="2176">
        <f t="shared" si="105"/>
        <v>1.1935483870967742</v>
      </c>
      <c r="T53" s="2176">
        <f t="shared" si="105"/>
        <v>1.1935483870967742</v>
      </c>
      <c r="U53" s="2176">
        <f t="shared" si="105"/>
        <v>1.1935483870967742</v>
      </c>
      <c r="V53" s="2176">
        <f t="shared" si="105"/>
        <v>1.1935483870967742</v>
      </c>
      <c r="W53" s="2171">
        <f t="shared" ref="W53" si="106">IF(W49&gt;$K$60,$K$53,IF(W49&lt;$K$60,(IF(W49&lt;0,0,W49*$N$53))))</f>
        <v>1.1935483870967742</v>
      </c>
      <c r="X53" s="1951"/>
      <c r="Y53" s="2163">
        <f t="shared" ref="Y53" si="107">SUM(Q53:W53)</f>
        <v>8.3548387096774199</v>
      </c>
      <c r="Z53" s="2167">
        <f>$K$53*0</f>
        <v>0</v>
      </c>
      <c r="AA53" s="2168">
        <f>Y53-Z53</f>
        <v>8.3548387096774199</v>
      </c>
      <c r="AB53" s="1951"/>
      <c r="AC53" s="2163">
        <f t="shared" ref="AC53" si="108">IF(AC49&gt;$K$60,$K$53,IF(AC49&lt;$K$60,(IF(AC49&lt;0,0,AC49*$N$53))))</f>
        <v>1.1935483870967742</v>
      </c>
      <c r="AD53" s="2167">
        <f t="shared" ref="AD53:AE53" si="109">IF(AD49&gt;$K$60,$K$53,IF(AD49&lt;$K$60,(IF(AD49&lt;0,0,AD49*$N$53))))</f>
        <v>1.1935483870967742</v>
      </c>
      <c r="AE53" s="2167">
        <f t="shared" si="109"/>
        <v>1.1935483870967742</v>
      </c>
      <c r="AF53" s="2167">
        <f t="shared" ref="AF53:AG53" si="110">IF(AF49&gt;$K$60,$K$53,IF(AF49&lt;$K$60,(IF(AF49&lt;0,0,AF49*$N$53))))</f>
        <v>1.1935483870967742</v>
      </c>
      <c r="AG53" s="2167">
        <f t="shared" si="110"/>
        <v>1.1935483870967742</v>
      </c>
      <c r="AH53" s="2167">
        <f t="shared" ref="AH53" si="111">IF(AH49&gt;$K$60,$K$53,IF(AH49&lt;$K$60,(IF(AH49&lt;0,0,AH49*$N$53))))</f>
        <v>1.1935483870967742</v>
      </c>
      <c r="AI53" s="2166"/>
      <c r="AJ53" s="1951"/>
      <c r="AK53" s="2163">
        <f t="shared" si="94"/>
        <v>7.161290322580645</v>
      </c>
      <c r="AL53" s="2167">
        <f>$K$53*0</f>
        <v>0</v>
      </c>
      <c r="AM53" s="2168">
        <f t="shared" si="95"/>
        <v>7.161290322580645</v>
      </c>
      <c r="AN53" s="1951"/>
      <c r="AO53" s="2163"/>
      <c r="AP53" s="2164"/>
      <c r="AQ53" s="2164"/>
      <c r="AR53" s="2164"/>
      <c r="AS53" s="2164"/>
      <c r="AT53" s="2164"/>
      <c r="AU53" s="2164"/>
      <c r="AV53" s="1951"/>
      <c r="AW53" s="2163">
        <f t="shared" si="96"/>
        <v>0</v>
      </c>
      <c r="AX53" s="2167">
        <f>$K$53*0</f>
        <v>0</v>
      </c>
      <c r="AY53" s="2168">
        <f t="shared" si="97"/>
        <v>0</v>
      </c>
      <c r="AZ53" s="1951"/>
      <c r="BA53" s="2163"/>
      <c r="BB53" s="2164"/>
      <c r="BC53" s="2164"/>
      <c r="BD53" s="2164"/>
      <c r="BE53" s="2176"/>
      <c r="BF53" s="2176"/>
      <c r="BG53" s="2171"/>
      <c r="BH53" s="1951"/>
      <c r="BI53" s="2163">
        <f t="shared" si="98"/>
        <v>0</v>
      </c>
      <c r="BJ53" s="2167">
        <f>$K$53*0</f>
        <v>0</v>
      </c>
      <c r="BK53" s="2168">
        <f t="shared" si="99"/>
        <v>0</v>
      </c>
      <c r="BL53" s="1951"/>
      <c r="BM53" s="2169"/>
      <c r="BN53" s="2307"/>
      <c r="BO53" s="2171"/>
      <c r="BP53" s="1951"/>
      <c r="BQ53" s="2163">
        <f t="shared" si="85"/>
        <v>0</v>
      </c>
      <c r="BR53" s="2167">
        <f>$K$53*0</f>
        <v>0</v>
      </c>
      <c r="BS53" s="2168">
        <f t="shared" si="100"/>
        <v>0</v>
      </c>
      <c r="BU53" s="2163"/>
      <c r="BV53" s="2619"/>
      <c r="BX53" s="2163">
        <f t="shared" si="86"/>
        <v>15.516129032258064</v>
      </c>
      <c r="BY53" s="2620">
        <f t="shared" si="87"/>
        <v>0.41935483870967738</v>
      </c>
      <c r="BZ53" s="2353"/>
      <c r="CA53" s="4636"/>
      <c r="CC53" s="4627"/>
      <c r="CD53" s="2011"/>
      <c r="CE53" s="2011"/>
      <c r="CF53" s="2011"/>
      <c r="CG53" s="2011"/>
      <c r="CH53" s="2011"/>
      <c r="CI53" s="2011"/>
      <c r="CJ53" s="2011"/>
      <c r="CK53" s="2011"/>
      <c r="CL53" s="2011"/>
    </row>
    <row r="54" spans="1:90" s="1726" customFormat="1" x14ac:dyDescent="0.2">
      <c r="B54" s="2085">
        <v>41</v>
      </c>
      <c r="C54" s="2086" t="s">
        <v>246</v>
      </c>
      <c r="D54" s="2051"/>
      <c r="E54" s="2087">
        <v>37</v>
      </c>
      <c r="F54" s="2088">
        <f t="shared" si="101"/>
        <v>3.7</v>
      </c>
      <c r="G54" s="2088">
        <f t="shared" si="102"/>
        <v>2.4666666666666668</v>
      </c>
      <c r="H54" s="2088">
        <f t="shared" si="103"/>
        <v>1.85</v>
      </c>
      <c r="I54" s="2088">
        <f t="shared" si="104"/>
        <v>1.48</v>
      </c>
      <c r="J54" s="2088"/>
      <c r="K54" s="2088">
        <f t="shared" ref="K54" si="112">E54/31</f>
        <v>1.1935483870967742</v>
      </c>
      <c r="L54" s="4124"/>
      <c r="M54" s="4124"/>
      <c r="N54" s="2089">
        <f t="shared" si="78"/>
        <v>0.10995542347696879</v>
      </c>
      <c r="O54" s="1931"/>
      <c r="P54" s="1924"/>
      <c r="Q54" s="2090">
        <f t="shared" ref="Q54:V54" si="113">IF(Q49&gt;$K$60,$K$54,IF(Q49&lt;$K$60,(IF(Q49&lt;0,0,Q49*$N$54))))</f>
        <v>1.1935483870967742</v>
      </c>
      <c r="R54" s="2088">
        <f t="shared" si="113"/>
        <v>1.1935483870967742</v>
      </c>
      <c r="S54" s="2088">
        <f t="shared" si="113"/>
        <v>1.1935483870967742</v>
      </c>
      <c r="T54" s="2088">
        <f t="shared" si="113"/>
        <v>1.1935483870967742</v>
      </c>
      <c r="U54" s="2088">
        <f t="shared" si="113"/>
        <v>1.1935483870967742</v>
      </c>
      <c r="V54" s="2088">
        <f t="shared" si="113"/>
        <v>1.1935483870967742</v>
      </c>
      <c r="W54" s="2091">
        <f t="shared" ref="W54" si="114">IF(W49&gt;$K$60,$K$54,IF(W49&lt;$K$60,(IF(W49&lt;0,0,W49*$N$54))))</f>
        <v>1.1935483870967742</v>
      </c>
      <c r="X54" s="4186"/>
      <c r="Y54" s="2090">
        <f t="shared" si="56"/>
        <v>8.3548387096774199</v>
      </c>
      <c r="Z54" s="2087">
        <f>$K$54*0</f>
        <v>0</v>
      </c>
      <c r="AA54" s="2174">
        <f>Y54-Z54</f>
        <v>8.3548387096774199</v>
      </c>
      <c r="AB54" s="4191"/>
      <c r="AC54" s="2090">
        <f t="shared" ref="AC54" si="115">IF(AC49&gt;$K$60,$K$54,IF(AC49&lt;$K$60,(IF(AC49&lt;0,0,AC49*$N$54))))</f>
        <v>1.1935483870967742</v>
      </c>
      <c r="AD54" s="2087">
        <f t="shared" ref="AD54:AE54" si="116">IF(AD49&gt;$K$60,$K$54,IF(AD49&lt;$K$60,(IF(AD49&lt;0,0,AD49*$N$54))))</f>
        <v>1.1935483870967742</v>
      </c>
      <c r="AE54" s="2087">
        <f t="shared" si="116"/>
        <v>1.1935483870967742</v>
      </c>
      <c r="AF54" s="2087">
        <f t="shared" ref="AF54:AG54" si="117">IF(AF49&gt;$K$60,$K$54,IF(AF49&lt;$K$60,(IF(AF49&lt;0,0,AF49*$N$54))))</f>
        <v>1.1935483870967742</v>
      </c>
      <c r="AG54" s="2087">
        <f t="shared" si="117"/>
        <v>1.1935483870967742</v>
      </c>
      <c r="AH54" s="2087">
        <f t="shared" ref="AH54" si="118">IF(AH49&gt;$K$60,$K$54,IF(AH49&lt;$K$60,(IF(AH49&lt;0,0,AH49*$N$54))))</f>
        <v>1.1935483870967742</v>
      </c>
      <c r="AI54" s="2091"/>
      <c r="AJ54" s="4191"/>
      <c r="AK54" s="2090">
        <f t="shared" si="94"/>
        <v>7.161290322580645</v>
      </c>
      <c r="AL54" s="2087">
        <f>$K$54*0</f>
        <v>0</v>
      </c>
      <c r="AM54" s="2174">
        <f t="shared" si="95"/>
        <v>7.161290322580645</v>
      </c>
      <c r="AN54" s="4191"/>
      <c r="AO54" s="2090"/>
      <c r="AP54" s="2088"/>
      <c r="AQ54" s="2088"/>
      <c r="AR54" s="2088"/>
      <c r="AS54" s="2088"/>
      <c r="AT54" s="2088"/>
      <c r="AU54" s="2088"/>
      <c r="AV54" s="4186"/>
      <c r="AW54" s="2090">
        <f t="shared" si="96"/>
        <v>0</v>
      </c>
      <c r="AX54" s="2087">
        <f>$K$54*0</f>
        <v>0</v>
      </c>
      <c r="AY54" s="2174">
        <f t="shared" si="97"/>
        <v>0</v>
      </c>
      <c r="AZ54" s="4186"/>
      <c r="BA54" s="2090"/>
      <c r="BB54" s="2088"/>
      <c r="BC54" s="2088"/>
      <c r="BD54" s="2088"/>
      <c r="BE54" s="2088"/>
      <c r="BF54" s="2088"/>
      <c r="BG54" s="2091"/>
      <c r="BH54" s="4186"/>
      <c r="BI54" s="2090">
        <f t="shared" si="98"/>
        <v>0</v>
      </c>
      <c r="BJ54" s="2087">
        <f>$K$54*0</f>
        <v>0</v>
      </c>
      <c r="BK54" s="2174">
        <f t="shared" si="99"/>
        <v>0</v>
      </c>
      <c r="BL54" s="4186"/>
      <c r="BM54" s="2090"/>
      <c r="BN54" s="2305"/>
      <c r="BO54" s="2091"/>
      <c r="BP54" s="4186"/>
      <c r="BQ54" s="2090">
        <f t="shared" si="85"/>
        <v>0</v>
      </c>
      <c r="BR54" s="2087">
        <f>$K$54*0</f>
        <v>0</v>
      </c>
      <c r="BS54" s="2174">
        <f t="shared" si="100"/>
        <v>0</v>
      </c>
      <c r="BU54" s="2090"/>
      <c r="BV54" s="2159"/>
      <c r="BW54" s="1740"/>
      <c r="BX54" s="2090">
        <f t="shared" si="86"/>
        <v>15.516129032258064</v>
      </c>
      <c r="BY54" s="2160">
        <f t="shared" si="87"/>
        <v>0.41935483870967738</v>
      </c>
      <c r="BZ54" s="2351"/>
      <c r="CA54" s="4636"/>
      <c r="CC54" s="4627"/>
      <c r="CD54" s="1830"/>
      <c r="CE54" s="2131"/>
      <c r="CF54" s="1830"/>
      <c r="CG54" s="1860"/>
      <c r="CH54" s="1860"/>
      <c r="CI54" s="1860"/>
      <c r="CJ54" s="1860"/>
      <c r="CK54" s="1860"/>
      <c r="CL54" s="1860"/>
    </row>
    <row r="55" spans="1:90" s="1885" customFormat="1" x14ac:dyDescent="0.2">
      <c r="B55" s="2182">
        <v>42</v>
      </c>
      <c r="C55" s="2175" t="s">
        <v>118</v>
      </c>
      <c r="D55" s="2119"/>
      <c r="E55" s="2170">
        <v>35</v>
      </c>
      <c r="F55" s="2176">
        <f t="shared" si="101"/>
        <v>3.5</v>
      </c>
      <c r="G55" s="2176">
        <f t="shared" si="102"/>
        <v>2.3333333333333335</v>
      </c>
      <c r="H55" s="2176">
        <f t="shared" si="103"/>
        <v>1.75</v>
      </c>
      <c r="I55" s="2176">
        <f t="shared" si="104"/>
        <v>1.4</v>
      </c>
      <c r="J55" s="2176"/>
      <c r="K55" s="2176">
        <f>E55/31</f>
        <v>1.1290322580645162</v>
      </c>
      <c r="L55" s="4123"/>
      <c r="M55" s="4123"/>
      <c r="N55" s="2177">
        <f t="shared" si="78"/>
        <v>0.10401188707280833</v>
      </c>
      <c r="O55" s="2003"/>
      <c r="P55" s="1950"/>
      <c r="Q55" s="2169">
        <f t="shared" ref="Q55:V55" si="119">IF(Q49&gt;$K$60,$K$55,IF(Q49&lt;$K$60,(IF(Q49&lt;0,0,Q49*$N$55))))</f>
        <v>1.1290322580645162</v>
      </c>
      <c r="R55" s="2176">
        <f t="shared" si="119"/>
        <v>1.1290322580645162</v>
      </c>
      <c r="S55" s="2176">
        <f t="shared" si="119"/>
        <v>1.1290322580645162</v>
      </c>
      <c r="T55" s="2176">
        <f t="shared" si="119"/>
        <v>1.1290322580645162</v>
      </c>
      <c r="U55" s="2176">
        <f t="shared" si="119"/>
        <v>1.1290322580645162</v>
      </c>
      <c r="V55" s="2176">
        <f t="shared" si="119"/>
        <v>1.1290322580645162</v>
      </c>
      <c r="W55" s="2171">
        <f t="shared" ref="W55" si="120">IF(W49&gt;$K$60,$K$55,IF(W49&lt;$K$60,(IF(W49&lt;0,0,W49*$N$55))))</f>
        <v>1.1290322580645162</v>
      </c>
      <c r="X55" s="1951"/>
      <c r="Y55" s="2169">
        <f t="shared" si="56"/>
        <v>7.903225806451613</v>
      </c>
      <c r="Z55" s="2176">
        <f>$K$55*0</f>
        <v>0</v>
      </c>
      <c r="AA55" s="2171">
        <f t="shared" ref="AA55:AA72" si="121">Y55-Z55</f>
        <v>7.903225806451613</v>
      </c>
      <c r="AB55" s="1956"/>
      <c r="AC55" s="2169">
        <f t="shared" ref="AC55" si="122">IF(AC49&gt;$K$60,$K$55,IF(AC49&lt;$K$60,(IF(AC49&lt;0,0,AC49*$N$55))))</f>
        <v>1.1290322580645162</v>
      </c>
      <c r="AD55" s="2176">
        <f t="shared" ref="AD55:AE55" si="123">IF(AD49&gt;$K$60,$K$55,IF(AD49&lt;$K$60,(IF(AD49&lt;0,0,AD49*$N$55))))</f>
        <v>1.1290322580645162</v>
      </c>
      <c r="AE55" s="2176">
        <f t="shared" si="123"/>
        <v>1.1290322580645162</v>
      </c>
      <c r="AF55" s="2176">
        <f t="shared" ref="AF55:AG55" si="124">IF(AF49&gt;$K$60,$K$55,IF(AF49&lt;$K$60,(IF(AF49&lt;0,0,AF49*$N$55))))</f>
        <v>1.1290322580645162</v>
      </c>
      <c r="AG55" s="2176">
        <f t="shared" si="124"/>
        <v>1.1290322580645162</v>
      </c>
      <c r="AH55" s="2176">
        <f t="shared" ref="AH55" si="125">IF(AH49&gt;$K$60,$K$55,IF(AH49&lt;$K$60,(IF(AH49&lt;0,0,AH49*$N$55))))</f>
        <v>1.1290322580645162</v>
      </c>
      <c r="AI55" s="2171"/>
      <c r="AJ55" s="1956"/>
      <c r="AK55" s="2169">
        <f t="shared" si="94"/>
        <v>6.774193548387097</v>
      </c>
      <c r="AL55" s="2176">
        <f>$K$55*0</f>
        <v>0</v>
      </c>
      <c r="AM55" s="2171">
        <f t="shared" si="95"/>
        <v>6.774193548387097</v>
      </c>
      <c r="AN55" s="1956"/>
      <c r="AO55" s="2169"/>
      <c r="AP55" s="2176"/>
      <c r="AQ55" s="2176"/>
      <c r="AR55" s="2176"/>
      <c r="AS55" s="2176"/>
      <c r="AT55" s="2176"/>
      <c r="AU55" s="2176"/>
      <c r="AV55" s="1951"/>
      <c r="AW55" s="2169">
        <f t="shared" si="96"/>
        <v>0</v>
      </c>
      <c r="AX55" s="2176">
        <f>$K$55*0</f>
        <v>0</v>
      </c>
      <c r="AY55" s="2171">
        <f t="shared" si="97"/>
        <v>0</v>
      </c>
      <c r="AZ55" s="1951"/>
      <c r="BA55" s="2169"/>
      <c r="BB55" s="2176"/>
      <c r="BC55" s="2176"/>
      <c r="BD55" s="2176"/>
      <c r="BE55" s="2176"/>
      <c r="BF55" s="2176"/>
      <c r="BG55" s="2171"/>
      <c r="BH55" s="1951"/>
      <c r="BI55" s="2169">
        <f t="shared" si="98"/>
        <v>0</v>
      </c>
      <c r="BJ55" s="2176">
        <f>$K$55*0</f>
        <v>0</v>
      </c>
      <c r="BK55" s="2171">
        <f t="shared" si="99"/>
        <v>0</v>
      </c>
      <c r="BL55" s="1951"/>
      <c r="BM55" s="2169"/>
      <c r="BN55" s="2307"/>
      <c r="BO55" s="2171"/>
      <c r="BP55" s="1951"/>
      <c r="BQ55" s="2169">
        <f t="shared" si="85"/>
        <v>0</v>
      </c>
      <c r="BR55" s="2176">
        <f>$K$55*0</f>
        <v>0</v>
      </c>
      <c r="BS55" s="2171">
        <f t="shared" si="100"/>
        <v>0</v>
      </c>
      <c r="BU55" s="2179"/>
      <c r="BV55" s="2180"/>
      <c r="BW55" s="1900"/>
      <c r="BX55" s="2179">
        <f t="shared" si="86"/>
        <v>14.67741935483871</v>
      </c>
      <c r="BY55" s="2181">
        <f t="shared" si="87"/>
        <v>0.41935483870967744</v>
      </c>
      <c r="BZ55" s="2353"/>
      <c r="CA55" s="4636"/>
      <c r="CC55" s="4627"/>
      <c r="CD55" s="1962"/>
      <c r="CE55" s="2339"/>
      <c r="CF55" s="1962"/>
      <c r="CG55" s="1946"/>
      <c r="CH55" s="1946"/>
      <c r="CI55" s="1946"/>
      <c r="CJ55" s="1946"/>
      <c r="CK55" s="1946"/>
      <c r="CL55" s="1946"/>
    </row>
    <row r="56" spans="1:90" s="1726" customFormat="1" x14ac:dyDescent="0.2">
      <c r="A56" s="1756"/>
      <c r="B56" s="2085">
        <v>43</v>
      </c>
      <c r="C56" s="2086" t="s">
        <v>269</v>
      </c>
      <c r="D56" s="2051"/>
      <c r="E56" s="2087">
        <v>29.5</v>
      </c>
      <c r="F56" s="2088">
        <f t="shared" si="101"/>
        <v>2.95</v>
      </c>
      <c r="G56" s="2088">
        <f t="shared" si="102"/>
        <v>1.9666666666666666</v>
      </c>
      <c r="H56" s="2088">
        <f t="shared" si="103"/>
        <v>1.4750000000000001</v>
      </c>
      <c r="I56" s="2088">
        <f t="shared" si="104"/>
        <v>1.18</v>
      </c>
      <c r="J56" s="2088"/>
      <c r="K56" s="2088">
        <f t="shared" ref="K56" si="126">E56/31</f>
        <v>0.95161290322580649</v>
      </c>
      <c r="L56" s="4124"/>
      <c r="M56" s="4124"/>
      <c r="N56" s="2089">
        <f t="shared" si="78"/>
        <v>8.7667161961367007E-2</v>
      </c>
      <c r="O56" s="1931"/>
      <c r="P56" s="1924"/>
      <c r="Q56" s="2090">
        <f t="shared" ref="Q56:V56" si="127">IF(Q49&gt;$K$60,$K$56,IF(Q49&lt;$K$60,(IF(Q49&lt;0,0,Q49*$N$56))))</f>
        <v>0.95161290322580649</v>
      </c>
      <c r="R56" s="2088">
        <f t="shared" si="127"/>
        <v>0.95161290322580649</v>
      </c>
      <c r="S56" s="2088">
        <f t="shared" si="127"/>
        <v>0.95161290322580649</v>
      </c>
      <c r="T56" s="2088">
        <f t="shared" si="127"/>
        <v>0.95161290322580649</v>
      </c>
      <c r="U56" s="2088">
        <f t="shared" si="127"/>
        <v>0.95161290322580649</v>
      </c>
      <c r="V56" s="2088">
        <f t="shared" si="127"/>
        <v>0.95161290322580649</v>
      </c>
      <c r="W56" s="2091">
        <f t="shared" ref="W56" si="128">IF(W49&gt;$K$60,$K$56,IF(W49&lt;$K$60,(IF(W49&lt;0,0,W49*$N$56))))</f>
        <v>0.95161290322580649</v>
      </c>
      <c r="X56" s="4186"/>
      <c r="Y56" s="2090">
        <f t="shared" si="56"/>
        <v>6.6612903225806441</v>
      </c>
      <c r="Z56" s="2088">
        <f>$K$56*0</f>
        <v>0</v>
      </c>
      <c r="AA56" s="2091">
        <f t="shared" si="121"/>
        <v>6.6612903225806441</v>
      </c>
      <c r="AB56" s="4191"/>
      <c r="AC56" s="2090">
        <f t="shared" ref="AC56" si="129">IF(AC49&gt;$K$60,$K$56,IF(AC49&lt;$K$60,(IF(AC49&lt;0,0,AC49*$N$56))))</f>
        <v>0.95161290322580649</v>
      </c>
      <c r="AD56" s="2088">
        <f t="shared" ref="AD56:AE56" si="130">IF(AD49&gt;$K$60,$K$56,IF(AD49&lt;$K$60,(IF(AD49&lt;0,0,AD49*$N$56))))</f>
        <v>0.95161290322580649</v>
      </c>
      <c r="AE56" s="2088">
        <f t="shared" si="130"/>
        <v>0.95161290322580649</v>
      </c>
      <c r="AF56" s="2088">
        <f t="shared" ref="AF56:AG56" si="131">IF(AF49&gt;$K$60,$K$56,IF(AF49&lt;$K$60,(IF(AF49&lt;0,0,AF49*$N$56))))</f>
        <v>0.95161290322580649</v>
      </c>
      <c r="AG56" s="2088">
        <f t="shared" si="131"/>
        <v>0.95161290322580649</v>
      </c>
      <c r="AH56" s="2088">
        <f t="shared" ref="AH56" si="132">IF(AH49&gt;$K$60,$K$56,IF(AH49&lt;$K$60,(IF(AH49&lt;0,0,AH49*$N$56))))</f>
        <v>0.95161290322580649</v>
      </c>
      <c r="AI56" s="2091"/>
      <c r="AJ56" s="4191"/>
      <c r="AK56" s="2090">
        <f t="shared" si="94"/>
        <v>5.7096774193548381</v>
      </c>
      <c r="AL56" s="2088">
        <f>$K$56*0</f>
        <v>0</v>
      </c>
      <c r="AM56" s="2091">
        <f t="shared" si="95"/>
        <v>5.7096774193548381</v>
      </c>
      <c r="AN56" s="4191"/>
      <c r="AO56" s="2090"/>
      <c r="AP56" s="2088"/>
      <c r="AQ56" s="2088"/>
      <c r="AR56" s="2088"/>
      <c r="AS56" s="2088"/>
      <c r="AT56" s="2088"/>
      <c r="AU56" s="2088"/>
      <c r="AV56" s="4186"/>
      <c r="AW56" s="2090">
        <f t="shared" si="96"/>
        <v>0</v>
      </c>
      <c r="AX56" s="2088">
        <f>$K$56*0</f>
        <v>0</v>
      </c>
      <c r="AY56" s="2091">
        <f t="shared" si="97"/>
        <v>0</v>
      </c>
      <c r="AZ56" s="4186"/>
      <c r="BA56" s="2090"/>
      <c r="BB56" s="2088"/>
      <c r="BC56" s="2088"/>
      <c r="BD56" s="2088"/>
      <c r="BE56" s="2088"/>
      <c r="BF56" s="2088"/>
      <c r="BG56" s="2091"/>
      <c r="BH56" s="4186"/>
      <c r="BI56" s="2090">
        <f t="shared" si="98"/>
        <v>0</v>
      </c>
      <c r="BJ56" s="2088">
        <f>$K$56*0</f>
        <v>0</v>
      </c>
      <c r="BK56" s="2091">
        <f t="shared" si="99"/>
        <v>0</v>
      </c>
      <c r="BL56" s="4186"/>
      <c r="BM56" s="2090"/>
      <c r="BN56" s="2305"/>
      <c r="BO56" s="2091"/>
      <c r="BP56" s="4186"/>
      <c r="BQ56" s="2090">
        <f t="shared" si="85"/>
        <v>0</v>
      </c>
      <c r="BR56" s="2088">
        <f>$K$56*0</f>
        <v>0</v>
      </c>
      <c r="BS56" s="2091">
        <f t="shared" si="100"/>
        <v>0</v>
      </c>
      <c r="BU56" s="2092"/>
      <c r="BV56" s="2093"/>
      <c r="BW56" s="1740"/>
      <c r="BX56" s="2092">
        <f t="shared" si="86"/>
        <v>12.370967741935482</v>
      </c>
      <c r="BY56" s="2094">
        <f t="shared" si="87"/>
        <v>0.41935483870967738</v>
      </c>
      <c r="BZ56" s="2351"/>
      <c r="CA56" s="4636"/>
      <c r="CC56" s="4627"/>
      <c r="CD56" s="4172"/>
      <c r="CE56" s="4172"/>
      <c r="CF56" s="1860"/>
      <c r="CG56" s="1860"/>
      <c r="CH56" s="1860"/>
      <c r="CI56" s="1860"/>
      <c r="CJ56" s="1860"/>
      <c r="CK56" s="1860"/>
      <c r="CL56" s="1860"/>
    </row>
    <row r="57" spans="1:90" s="1885" customFormat="1" x14ac:dyDescent="0.2">
      <c r="B57" s="2182">
        <v>44</v>
      </c>
      <c r="C57" s="2175" t="s">
        <v>123</v>
      </c>
      <c r="D57" s="2119"/>
      <c r="E57" s="2170">
        <v>25</v>
      </c>
      <c r="F57" s="2176">
        <f t="shared" si="101"/>
        <v>2.5</v>
      </c>
      <c r="G57" s="2176">
        <f t="shared" si="102"/>
        <v>1.6666666666666667</v>
      </c>
      <c r="H57" s="2176">
        <f t="shared" si="103"/>
        <v>1.25</v>
      </c>
      <c r="I57" s="2176">
        <f t="shared" si="104"/>
        <v>1</v>
      </c>
      <c r="J57" s="2176"/>
      <c r="K57" s="2176">
        <f>E57/31</f>
        <v>0.80645161290322576</v>
      </c>
      <c r="L57" s="4123"/>
      <c r="M57" s="4123"/>
      <c r="N57" s="2177">
        <f t="shared" si="78"/>
        <v>7.4294205052005943E-2</v>
      </c>
      <c r="O57" s="2003"/>
      <c r="P57" s="1950"/>
      <c r="Q57" s="2169">
        <f t="shared" ref="Q57:V57" si="133">IF(Q49&gt;$K$60,$K$57,IF(Q49&lt;$K$60,(IF(Q49&lt;0,0,Q49*$N$57))))</f>
        <v>0.80645161290322576</v>
      </c>
      <c r="R57" s="2176">
        <f t="shared" si="133"/>
        <v>0.80645161290322576</v>
      </c>
      <c r="S57" s="2176">
        <f t="shared" si="133"/>
        <v>0.80645161290322576</v>
      </c>
      <c r="T57" s="2176">
        <f t="shared" si="133"/>
        <v>0.80645161290322576</v>
      </c>
      <c r="U57" s="2176">
        <f t="shared" si="133"/>
        <v>0.80645161290322576</v>
      </c>
      <c r="V57" s="2176">
        <f t="shared" si="133"/>
        <v>0.80645161290322576</v>
      </c>
      <c r="W57" s="2171">
        <f t="shared" ref="W57" si="134">IF(W49&gt;$K$60,$K$57,IF(W49&lt;$K$60,(IF(W49&lt;0,0,W49*$N$57))))</f>
        <v>0.80645161290322576</v>
      </c>
      <c r="X57" s="1951"/>
      <c r="Y57" s="2169">
        <f t="shared" si="56"/>
        <v>5.645161290322581</v>
      </c>
      <c r="Z57" s="2176">
        <f>$K$57*0</f>
        <v>0</v>
      </c>
      <c r="AA57" s="2171">
        <f t="shared" si="121"/>
        <v>5.645161290322581</v>
      </c>
      <c r="AB57" s="1956"/>
      <c r="AC57" s="2169">
        <f t="shared" ref="AC57" si="135">IF(AC49&gt;$K$60,$K$57,IF(AC49&lt;$K$60,(IF(AC49&lt;0,0,AC49*$N$57))))</f>
        <v>0.80645161290322576</v>
      </c>
      <c r="AD57" s="2176">
        <f t="shared" ref="AD57:AE57" si="136">IF(AD49&gt;$K$60,$K$57,IF(AD49&lt;$K$60,(IF(AD49&lt;0,0,AD49*$N$57))))</f>
        <v>0.80645161290322576</v>
      </c>
      <c r="AE57" s="2176">
        <f t="shared" si="136"/>
        <v>0.80645161290322576</v>
      </c>
      <c r="AF57" s="2176">
        <f t="shared" ref="AF57:AG57" si="137">IF(AF49&gt;$K$60,$K$57,IF(AF49&lt;$K$60,(IF(AF49&lt;0,0,AF49*$N$57))))</f>
        <v>0.80645161290322576</v>
      </c>
      <c r="AG57" s="2176">
        <f t="shared" si="137"/>
        <v>0.80645161290322576</v>
      </c>
      <c r="AH57" s="2176">
        <f t="shared" ref="AH57" si="138">IF(AH49&gt;$K$60,$K$57,IF(AH49&lt;$K$60,(IF(AH49&lt;0,0,AH49*$N$57))))</f>
        <v>0.80645161290322576</v>
      </c>
      <c r="AI57" s="2171"/>
      <c r="AJ57" s="1956"/>
      <c r="AK57" s="2169">
        <f t="shared" si="94"/>
        <v>4.838709677419355</v>
      </c>
      <c r="AL57" s="2176">
        <f>$K$57*0</f>
        <v>0</v>
      </c>
      <c r="AM57" s="2171">
        <f t="shared" si="95"/>
        <v>4.838709677419355</v>
      </c>
      <c r="AN57" s="1956"/>
      <c r="AO57" s="2169"/>
      <c r="AP57" s="2176"/>
      <c r="AQ57" s="2176"/>
      <c r="AR57" s="2176"/>
      <c r="AS57" s="2176"/>
      <c r="AT57" s="2176"/>
      <c r="AU57" s="2176"/>
      <c r="AV57" s="1951"/>
      <c r="AW57" s="2169">
        <f t="shared" si="96"/>
        <v>0</v>
      </c>
      <c r="AX57" s="2176">
        <f>$K$57*0</f>
        <v>0</v>
      </c>
      <c r="AY57" s="2171">
        <f t="shared" si="97"/>
        <v>0</v>
      </c>
      <c r="AZ57" s="1951"/>
      <c r="BA57" s="2169"/>
      <c r="BB57" s="2176"/>
      <c r="BC57" s="2176"/>
      <c r="BD57" s="2176"/>
      <c r="BE57" s="2176"/>
      <c r="BF57" s="2176"/>
      <c r="BG57" s="2171"/>
      <c r="BH57" s="1951"/>
      <c r="BI57" s="2169">
        <f t="shared" si="98"/>
        <v>0</v>
      </c>
      <c r="BJ57" s="2176">
        <f>$K$57*0</f>
        <v>0</v>
      </c>
      <c r="BK57" s="2171">
        <f t="shared" si="99"/>
        <v>0</v>
      </c>
      <c r="BL57" s="1951"/>
      <c r="BM57" s="2169"/>
      <c r="BN57" s="2307"/>
      <c r="BO57" s="2171"/>
      <c r="BP57" s="1951"/>
      <c r="BQ57" s="2169">
        <f t="shared" si="85"/>
        <v>0</v>
      </c>
      <c r="BR57" s="2176">
        <f>$K$57*0</f>
        <v>0</v>
      </c>
      <c r="BS57" s="2171">
        <f t="shared" si="100"/>
        <v>0</v>
      </c>
      <c r="BU57" s="2179"/>
      <c r="BV57" s="2180"/>
      <c r="BW57" s="1900"/>
      <c r="BX57" s="2179">
        <f t="shared" si="86"/>
        <v>10.483870967741936</v>
      </c>
      <c r="BY57" s="2181">
        <f t="shared" si="87"/>
        <v>0.41935483870967744</v>
      </c>
      <c r="BZ57" s="2353"/>
      <c r="CA57" s="4636"/>
      <c r="CC57" s="4627"/>
      <c r="CD57" s="4169"/>
      <c r="CE57" s="4169"/>
      <c r="CF57" s="1946"/>
      <c r="CG57" s="1946"/>
      <c r="CH57" s="1946"/>
      <c r="CI57" s="1946"/>
      <c r="CJ57" s="1946"/>
      <c r="CK57" s="1946"/>
      <c r="CL57" s="1946"/>
    </row>
    <row r="58" spans="1:90" s="1726" customFormat="1" x14ac:dyDescent="0.2">
      <c r="B58" s="2085">
        <v>45</v>
      </c>
      <c r="C58" s="2108" t="s">
        <v>119</v>
      </c>
      <c r="D58" s="2051"/>
      <c r="E58" s="2110">
        <v>4</v>
      </c>
      <c r="F58" s="2111">
        <f t="shared" si="101"/>
        <v>0.4</v>
      </c>
      <c r="G58" s="2111">
        <f t="shared" si="102"/>
        <v>0.26666666666666666</v>
      </c>
      <c r="H58" s="2111">
        <f t="shared" si="103"/>
        <v>0.2</v>
      </c>
      <c r="I58" s="2111">
        <f t="shared" si="104"/>
        <v>0.16</v>
      </c>
      <c r="J58" s="2111"/>
      <c r="K58" s="2111">
        <f t="shared" ref="K58" si="139">E58/31</f>
        <v>0.12903225806451613</v>
      </c>
      <c r="L58" s="4125"/>
      <c r="M58" s="4125"/>
      <c r="N58" s="2112">
        <f t="shared" si="78"/>
        <v>1.188707280832095E-2</v>
      </c>
      <c r="O58" s="1931"/>
      <c r="P58" s="1924"/>
      <c r="Q58" s="2090">
        <f t="shared" ref="Q58:V58" si="140">IF(Q49&gt;$K$60,$K$58,IF(Q49&lt;$K$60,(IF(Q49&lt;0,0,Q49*$N$58))))</f>
        <v>0.12903225806451613</v>
      </c>
      <c r="R58" s="2088">
        <f t="shared" si="140"/>
        <v>0.12903225806451613</v>
      </c>
      <c r="S58" s="2088">
        <f t="shared" si="140"/>
        <v>0.12903225806451613</v>
      </c>
      <c r="T58" s="2088">
        <f t="shared" si="140"/>
        <v>0.12903225806451613</v>
      </c>
      <c r="U58" s="2088">
        <f t="shared" si="140"/>
        <v>0.12903225806451613</v>
      </c>
      <c r="V58" s="2088">
        <f t="shared" si="140"/>
        <v>0.12903225806451613</v>
      </c>
      <c r="W58" s="2091">
        <f t="shared" ref="W58" si="141">IF(W49&gt;$K$60,$K$58,IF(W49&lt;$K$60,(IF(W49&lt;0,0,W49*$N$58))))</f>
        <v>0.12903225806451613</v>
      </c>
      <c r="X58" s="4186"/>
      <c r="Y58" s="2090">
        <f>SUM(Q58:W58)</f>
        <v>0.90322580645161288</v>
      </c>
      <c r="Z58" s="2087">
        <f>$K$58*0</f>
        <v>0</v>
      </c>
      <c r="AA58" s="2174">
        <f t="shared" si="121"/>
        <v>0.90322580645161288</v>
      </c>
      <c r="AB58" s="4191"/>
      <c r="AC58" s="2090">
        <f t="shared" ref="AC58" si="142">IF(AC49&gt;$K$60,$K$58,IF(AC49&lt;$K$60,(IF(AC49&lt;0,0,AC49*$N$58))))</f>
        <v>0.12903225806451613</v>
      </c>
      <c r="AD58" s="2087">
        <f t="shared" ref="AD58:AE58" si="143">IF(AD49&gt;$K$60,$K$58,IF(AD49&lt;$K$60,(IF(AD49&lt;0,0,AD49*$N$58))))</f>
        <v>0.12903225806451613</v>
      </c>
      <c r="AE58" s="2087">
        <f t="shared" si="143"/>
        <v>0.12903225806451613</v>
      </c>
      <c r="AF58" s="2087">
        <f t="shared" ref="AF58:AG58" si="144">IF(AF49&gt;$K$60,$K$58,IF(AF49&lt;$K$60,(IF(AF49&lt;0,0,AF49*$N$58))))</f>
        <v>0.12903225806451613</v>
      </c>
      <c r="AG58" s="2087">
        <f t="shared" si="144"/>
        <v>0.12903225806451613</v>
      </c>
      <c r="AH58" s="2087">
        <f t="shared" ref="AH58" si="145">IF(AH49&gt;$K$60,$K$58,IF(AH49&lt;$K$60,(IF(AH49&lt;0,0,AH49*$N$58))))</f>
        <v>0.12903225806451613</v>
      </c>
      <c r="AI58" s="2091"/>
      <c r="AJ58" s="4191"/>
      <c r="AK58" s="2090">
        <f t="shared" si="94"/>
        <v>0.77419354838709675</v>
      </c>
      <c r="AL58" s="2087">
        <f>$K$58*0</f>
        <v>0</v>
      </c>
      <c r="AM58" s="2174">
        <f t="shared" si="95"/>
        <v>0.77419354838709675</v>
      </c>
      <c r="AN58" s="4191"/>
      <c r="AO58" s="2090"/>
      <c r="AP58" s="2088"/>
      <c r="AQ58" s="2088"/>
      <c r="AR58" s="2088"/>
      <c r="AS58" s="2088"/>
      <c r="AT58" s="2088"/>
      <c r="AU58" s="2088"/>
      <c r="AV58" s="4186"/>
      <c r="AW58" s="2090">
        <f t="shared" si="96"/>
        <v>0</v>
      </c>
      <c r="AX58" s="2087">
        <f>$K$58*0</f>
        <v>0</v>
      </c>
      <c r="AY58" s="2174">
        <f t="shared" si="97"/>
        <v>0</v>
      </c>
      <c r="AZ58" s="4186"/>
      <c r="BA58" s="2090"/>
      <c r="BB58" s="2088"/>
      <c r="BC58" s="2088"/>
      <c r="BD58" s="2088"/>
      <c r="BE58" s="2088"/>
      <c r="BF58" s="2088"/>
      <c r="BG58" s="2091"/>
      <c r="BH58" s="4186"/>
      <c r="BI58" s="2090">
        <f t="shared" si="98"/>
        <v>0</v>
      </c>
      <c r="BJ58" s="2087">
        <f>$K$58*0</f>
        <v>0</v>
      </c>
      <c r="BK58" s="2174">
        <f t="shared" si="99"/>
        <v>0</v>
      </c>
      <c r="BL58" s="4186"/>
      <c r="BM58" s="2090"/>
      <c r="BN58" s="2305"/>
      <c r="BO58" s="2091"/>
      <c r="BP58" s="4186"/>
      <c r="BQ58" s="2090">
        <f t="shared" si="85"/>
        <v>0</v>
      </c>
      <c r="BR58" s="2087">
        <f>$K$58*0</f>
        <v>0</v>
      </c>
      <c r="BS58" s="2174">
        <f t="shared" si="100"/>
        <v>0</v>
      </c>
      <c r="BU58" s="2092"/>
      <c r="BV58" s="2093"/>
      <c r="BW58" s="1740"/>
      <c r="BX58" s="2092">
        <f t="shared" si="86"/>
        <v>1.6774193548387095</v>
      </c>
      <c r="BY58" s="2094">
        <f t="shared" si="87"/>
        <v>0.41935483870967738</v>
      </c>
      <c r="BZ58" s="2351"/>
      <c r="CA58" s="4636"/>
      <c r="CC58" s="4627"/>
      <c r="CD58" s="4172"/>
      <c r="CE58" s="1860"/>
      <c r="CF58" s="1860"/>
      <c r="CG58" s="1860"/>
      <c r="CH58" s="1860"/>
      <c r="CI58" s="1860"/>
      <c r="CJ58" s="1860"/>
      <c r="CK58" s="1860"/>
      <c r="CL58" s="1860"/>
    </row>
    <row r="59" spans="1:90" s="1885" customFormat="1" ht="17.25" thickBot="1" x14ac:dyDescent="0.25">
      <c r="B59" s="2420">
        <v>46</v>
      </c>
      <c r="C59" s="2417" t="s">
        <v>237</v>
      </c>
      <c r="D59" s="2680"/>
      <c r="E59" s="2681">
        <v>0</v>
      </c>
      <c r="F59" s="2418">
        <f t="shared" si="101"/>
        <v>0</v>
      </c>
      <c r="G59" s="2418">
        <f t="shared" si="102"/>
        <v>0</v>
      </c>
      <c r="H59" s="2418">
        <f t="shared" si="103"/>
        <v>0</v>
      </c>
      <c r="I59" s="2418">
        <f t="shared" si="104"/>
        <v>0</v>
      </c>
      <c r="J59" s="2418"/>
      <c r="K59" s="2418">
        <f>E59/31</f>
        <v>0</v>
      </c>
      <c r="L59" s="4126"/>
      <c r="M59" s="4126"/>
      <c r="N59" s="2419">
        <f t="shared" si="78"/>
        <v>0</v>
      </c>
      <c r="O59" s="2003"/>
      <c r="P59" s="1950"/>
      <c r="Q59" s="2179">
        <f t="shared" ref="Q59:V59" si="146">IF(Q49&gt;$K$60,$K$59,IF(Q49&lt;$K$60,(IF(Q49&lt;0,0,Q49*$N$59))))</f>
        <v>0</v>
      </c>
      <c r="R59" s="2418">
        <f t="shared" si="146"/>
        <v>0</v>
      </c>
      <c r="S59" s="2418">
        <f t="shared" si="146"/>
        <v>0</v>
      </c>
      <c r="T59" s="2418">
        <f t="shared" si="146"/>
        <v>0</v>
      </c>
      <c r="U59" s="2418">
        <f t="shared" si="146"/>
        <v>0</v>
      </c>
      <c r="V59" s="2418">
        <f t="shared" si="146"/>
        <v>0</v>
      </c>
      <c r="W59" s="2683">
        <f t="shared" ref="W59" si="147">IF(W49&gt;$K$60,$K$59,IF(W49&lt;$K$60,(IF(W49&lt;0,0,W49*$N$59))))</f>
        <v>0</v>
      </c>
      <c r="X59" s="1951"/>
      <c r="Y59" s="2179">
        <f t="shared" ref="Y59:Y71" si="148">SUM(Q59:W59)</f>
        <v>0</v>
      </c>
      <c r="Z59" s="2681">
        <f>$K$59*0</f>
        <v>0</v>
      </c>
      <c r="AA59" s="2684">
        <f t="shared" si="121"/>
        <v>0</v>
      </c>
      <c r="AB59" s="1956"/>
      <c r="AC59" s="2179">
        <f t="shared" ref="AC59" si="149">IF(AC49&gt;$K$60,$K$59,IF(AC49&lt;$K$60,(IF(AC49&lt;0,0,AC49*$N$59))))</f>
        <v>0</v>
      </c>
      <c r="AD59" s="2681">
        <f t="shared" ref="AD59:AE59" si="150">IF(AD49&gt;$K$60,$K$59,IF(AD49&lt;$K$60,(IF(AD49&lt;0,0,AD49*$N$59))))</f>
        <v>0</v>
      </c>
      <c r="AE59" s="2681">
        <f t="shared" si="150"/>
        <v>0</v>
      </c>
      <c r="AF59" s="2681">
        <f t="shared" ref="AF59:AG59" si="151">IF(AF49&gt;$K$60,$K$59,IF(AF49&lt;$K$60,(IF(AF49&lt;0,0,AF49*$N$59))))</f>
        <v>0</v>
      </c>
      <c r="AG59" s="2681">
        <f t="shared" si="151"/>
        <v>0</v>
      </c>
      <c r="AH59" s="2681">
        <f t="shared" ref="AH59" si="152">IF(AH49&gt;$K$60,$K$59,IF(AH49&lt;$K$60,(IF(AH49&lt;0,0,AH49*$N$59))))</f>
        <v>0</v>
      </c>
      <c r="AI59" s="2683"/>
      <c r="AJ59" s="1956"/>
      <c r="AK59" s="2179">
        <f t="shared" si="94"/>
        <v>0</v>
      </c>
      <c r="AL59" s="2681">
        <f>$K$59*0</f>
        <v>0</v>
      </c>
      <c r="AM59" s="2684">
        <f t="shared" si="95"/>
        <v>0</v>
      </c>
      <c r="AN59" s="1956"/>
      <c r="AO59" s="2179"/>
      <c r="AP59" s="2418"/>
      <c r="AQ59" s="2418"/>
      <c r="AR59" s="2418"/>
      <c r="AS59" s="2418"/>
      <c r="AT59" s="2418"/>
      <c r="AU59" s="2418"/>
      <c r="AV59" s="1951"/>
      <c r="AW59" s="2169">
        <f t="shared" si="96"/>
        <v>0</v>
      </c>
      <c r="AX59" s="2170">
        <f>$K$59*0</f>
        <v>0</v>
      </c>
      <c r="AY59" s="2178">
        <f t="shared" si="97"/>
        <v>0</v>
      </c>
      <c r="AZ59" s="1951"/>
      <c r="BA59" s="2179"/>
      <c r="BB59" s="2418"/>
      <c r="BC59" s="2418"/>
      <c r="BD59" s="2418"/>
      <c r="BE59" s="2308"/>
      <c r="BF59" s="2308"/>
      <c r="BG59" s="2309"/>
      <c r="BH59" s="1951"/>
      <c r="BI59" s="2169">
        <f t="shared" si="98"/>
        <v>0</v>
      </c>
      <c r="BJ59" s="2170">
        <f>$K$59*0</f>
        <v>0</v>
      </c>
      <c r="BK59" s="2178">
        <f t="shared" si="99"/>
        <v>0</v>
      </c>
      <c r="BL59" s="1951"/>
      <c r="BM59" s="2187"/>
      <c r="BN59" s="2700"/>
      <c r="BO59" s="2309"/>
      <c r="BP59" s="1951"/>
      <c r="BQ59" s="2179">
        <f t="shared" si="85"/>
        <v>0</v>
      </c>
      <c r="BR59" s="2681">
        <f>$K$59*0</f>
        <v>0</v>
      </c>
      <c r="BS59" s="2684">
        <f t="shared" si="100"/>
        <v>0</v>
      </c>
      <c r="BU59" s="2179"/>
      <c r="BV59" s="2180"/>
      <c r="BW59" s="1900"/>
      <c r="BX59" s="2179">
        <f t="shared" si="86"/>
        <v>0</v>
      </c>
      <c r="BY59" s="2181" t="e">
        <f t="shared" si="87"/>
        <v>#DIV/0!</v>
      </c>
      <c r="BZ59" s="2353"/>
      <c r="CA59" s="4636"/>
      <c r="CC59" s="4627"/>
      <c r="CD59" s="4169"/>
      <c r="CE59" s="1946"/>
      <c r="CF59" s="1946"/>
      <c r="CG59" s="1946"/>
      <c r="CH59" s="1946"/>
      <c r="CI59" s="1946"/>
      <c r="CJ59" s="1946"/>
      <c r="CK59" s="1946"/>
      <c r="CL59" s="1946"/>
    </row>
    <row r="60" spans="1:90" s="1726" customFormat="1" ht="17.25" thickBot="1" x14ac:dyDescent="0.25">
      <c r="B60" s="2049"/>
      <c r="C60" s="2190" t="s">
        <v>192</v>
      </c>
      <c r="D60" s="2051"/>
      <c r="E60" s="2056">
        <f>SUM(E51:E59)</f>
        <v>336.5</v>
      </c>
      <c r="F60" s="2053"/>
      <c r="G60" s="2053"/>
      <c r="H60" s="2053"/>
      <c r="I60" s="2053"/>
      <c r="J60" s="2053"/>
      <c r="K60" s="2053">
        <f t="shared" ref="K60:N60" si="153">SUM(K51:K59)</f>
        <v>10.854838709677418</v>
      </c>
      <c r="L60" s="4127"/>
      <c r="M60" s="4127"/>
      <c r="N60" s="2191">
        <f t="shared" si="153"/>
        <v>1</v>
      </c>
      <c r="O60" s="1931"/>
      <c r="P60" s="1924"/>
      <c r="Q60" s="3532">
        <f t="shared" ref="Q60:R60" si="154">SUM(Q51:Q59)</f>
        <v>10.854838709677418</v>
      </c>
      <c r="R60" s="3533">
        <f t="shared" si="154"/>
        <v>10.854838709677418</v>
      </c>
      <c r="S60" s="3533">
        <f t="shared" ref="S60:T60" si="155">SUM(S51:S59)</f>
        <v>10.854838709677418</v>
      </c>
      <c r="T60" s="3533">
        <f t="shared" si="155"/>
        <v>10.854838709677418</v>
      </c>
      <c r="U60" s="3533">
        <f t="shared" ref="U60:V60" si="156">SUM(U51:U59)</f>
        <v>10.854838709677418</v>
      </c>
      <c r="V60" s="3533">
        <f t="shared" si="156"/>
        <v>10.854838709677418</v>
      </c>
      <c r="W60" s="3534">
        <f t="shared" ref="W60" si="157">SUM(W51:W59)</f>
        <v>10.854838709677418</v>
      </c>
      <c r="X60" s="4186"/>
      <c r="Y60" s="2056">
        <f>SUM(Y51:Y59)</f>
        <v>75.983870967741936</v>
      </c>
      <c r="Z60" s="2052">
        <f t="shared" ref="Z60" si="158">SUM(Z51:Z59)</f>
        <v>0</v>
      </c>
      <c r="AA60" s="2192">
        <f>SUM(AA51:AA59)</f>
        <v>75.983870967741936</v>
      </c>
      <c r="AB60" s="4191"/>
      <c r="AC60" s="2056">
        <f t="shared" ref="AC60" si="159">SUM(AC51:AC59)</f>
        <v>10.854838709677418</v>
      </c>
      <c r="AD60" s="2052">
        <f t="shared" ref="AD60:AE60" si="160">SUM(AD51:AD59)</f>
        <v>10.854838709677418</v>
      </c>
      <c r="AE60" s="2052">
        <f t="shared" si="160"/>
        <v>10.854838709677418</v>
      </c>
      <c r="AF60" s="2052">
        <f t="shared" ref="AF60:AG60" si="161">SUM(AF51:AF59)</f>
        <v>10.854838709677418</v>
      </c>
      <c r="AG60" s="2052">
        <f t="shared" si="161"/>
        <v>10.854838709677418</v>
      </c>
      <c r="AH60" s="2052">
        <f t="shared" ref="AH60" si="162">SUM(AH51:AH59)</f>
        <v>10.854838709677418</v>
      </c>
      <c r="AI60" s="2057"/>
      <c r="AJ60" s="4191"/>
      <c r="AK60" s="2056">
        <f>SUM(AK51:AK59)</f>
        <v>65.129032258064527</v>
      </c>
      <c r="AL60" s="2052">
        <f>SUM(AL51:AL59)</f>
        <v>0</v>
      </c>
      <c r="AM60" s="2192">
        <f>SUM(AM51:AM59)</f>
        <v>65.129032258064527</v>
      </c>
      <c r="AN60" s="4191"/>
      <c r="AO60" s="2056"/>
      <c r="AP60" s="2053"/>
      <c r="AQ60" s="2053"/>
      <c r="AR60" s="2053"/>
      <c r="AS60" s="2053"/>
      <c r="AT60" s="2053"/>
      <c r="AU60" s="2053"/>
      <c r="AV60" s="4186"/>
      <c r="AW60" s="2056">
        <f>SUM(AW51:AW59)</f>
        <v>0</v>
      </c>
      <c r="AX60" s="2052">
        <f>SUM(AX51:AX59)</f>
        <v>0</v>
      </c>
      <c r="AY60" s="2192">
        <f>SUM(AY51:AY59)</f>
        <v>0</v>
      </c>
      <c r="AZ60" s="4186"/>
      <c r="BA60" s="2056"/>
      <c r="BB60" s="2053"/>
      <c r="BC60" s="2053"/>
      <c r="BD60" s="2053"/>
      <c r="BE60" s="2053"/>
      <c r="BF60" s="2053"/>
      <c r="BG60" s="2057"/>
      <c r="BH60" s="4186"/>
      <c r="BI60" s="2056">
        <f>SUM(BI51:BI59)</f>
        <v>0</v>
      </c>
      <c r="BJ60" s="2052">
        <f>SUM(BJ51:BJ59)</f>
        <v>0</v>
      </c>
      <c r="BK60" s="2192">
        <f>SUM(BK51:BK59)</f>
        <v>0</v>
      </c>
      <c r="BL60" s="4186"/>
      <c r="BM60" s="2056"/>
      <c r="BN60" s="2963"/>
      <c r="BO60" s="2057"/>
      <c r="BP60" s="4186"/>
      <c r="BQ60" s="2056">
        <f>SUM(BQ51:BQ59)</f>
        <v>0</v>
      </c>
      <c r="BR60" s="2052">
        <f>SUM(BR51:BR59)</f>
        <v>0</v>
      </c>
      <c r="BS60" s="2192">
        <f>SUM(BS51:BS59)</f>
        <v>0</v>
      </c>
      <c r="BU60" s="2056">
        <f>AA60+AM60+AY60</f>
        <v>141.11290322580646</v>
      </c>
      <c r="BV60" s="2253"/>
      <c r="BW60" s="1740"/>
      <c r="BX60" s="2056">
        <f>SUM(BX51:BX59)</f>
        <v>141.11290322580646</v>
      </c>
      <c r="BY60" s="2054">
        <f t="shared" si="87"/>
        <v>0.41935483870967744</v>
      </c>
      <c r="BZ60" s="2351"/>
      <c r="CA60" s="4637"/>
      <c r="CC60" s="4627"/>
      <c r="CD60" s="4172"/>
      <c r="CE60" s="1860"/>
      <c r="CF60" s="1860"/>
      <c r="CG60" s="1860"/>
      <c r="CH60" s="1860"/>
      <c r="CI60" s="1860"/>
      <c r="CJ60" s="1860"/>
      <c r="CK60" s="1860"/>
      <c r="CL60" s="1860"/>
    </row>
    <row r="61" spans="1:90" s="1810" customFormat="1" ht="4.5" customHeight="1" thickBot="1" x14ac:dyDescent="0.25">
      <c r="B61" s="1817"/>
      <c r="C61" s="1817"/>
      <c r="D61" s="1817"/>
      <c r="E61" s="4186"/>
      <c r="F61" s="4186"/>
      <c r="G61" s="4186"/>
      <c r="H61" s="4186"/>
      <c r="I61" s="4186"/>
      <c r="J61" s="4186"/>
      <c r="K61" s="4186"/>
      <c r="L61" s="4186"/>
      <c r="M61" s="4217"/>
      <c r="N61" s="2131"/>
      <c r="O61" s="1924"/>
      <c r="P61" s="1924"/>
      <c r="Q61" s="4186"/>
      <c r="R61" s="4186"/>
      <c r="S61" s="4222"/>
      <c r="T61" s="4186"/>
      <c r="U61" s="4247"/>
      <c r="V61" s="4255"/>
      <c r="W61" s="4186"/>
      <c r="X61" s="4186"/>
      <c r="Y61" s="4186"/>
      <c r="Z61" s="4186"/>
      <c r="AA61" s="4186"/>
      <c r="AB61" s="4191"/>
      <c r="AC61" s="4166"/>
      <c r="AD61" s="4166"/>
      <c r="AE61" s="4166"/>
      <c r="AF61" s="4166"/>
      <c r="AG61" s="4166"/>
      <c r="AH61" s="4166"/>
      <c r="AI61" s="4166"/>
      <c r="AJ61" s="4191"/>
      <c r="AK61" s="4186"/>
      <c r="AL61" s="4186"/>
      <c r="AM61" s="4186"/>
      <c r="AN61" s="4191"/>
      <c r="AO61" s="4166"/>
      <c r="AP61" s="4166"/>
      <c r="AQ61" s="4166"/>
      <c r="AR61" s="4166"/>
      <c r="AS61" s="4166"/>
      <c r="AT61" s="4166"/>
      <c r="AU61" s="4166"/>
      <c r="AV61" s="4186"/>
      <c r="AW61" s="2137"/>
      <c r="AX61" s="2137"/>
      <c r="AY61" s="2137"/>
      <c r="AZ61" s="4186"/>
      <c r="BA61" s="4166"/>
      <c r="BB61" s="4166"/>
      <c r="BC61" s="4166"/>
      <c r="BD61" s="4166"/>
      <c r="BE61" s="4174"/>
      <c r="BF61" s="4174"/>
      <c r="BG61" s="4174"/>
      <c r="BH61" s="4186"/>
      <c r="BI61" s="2137"/>
      <c r="BJ61" s="2137"/>
      <c r="BK61" s="2137"/>
      <c r="BL61" s="4186"/>
      <c r="BM61" s="4166"/>
      <c r="BN61" s="4166"/>
      <c r="BO61" s="4166"/>
      <c r="BP61" s="4186"/>
      <c r="BQ61" s="4186"/>
      <c r="BR61" s="4186"/>
      <c r="BS61" s="4186"/>
      <c r="BU61" s="4186"/>
      <c r="BV61" s="2132"/>
      <c r="BW61" s="1817"/>
      <c r="BX61" s="4186"/>
      <c r="BY61" s="1830"/>
      <c r="BZ61" s="1830"/>
      <c r="CA61" s="2115"/>
      <c r="CD61" s="1761"/>
    </row>
    <row r="62" spans="1:90" s="1906" customFormat="1" ht="17.25" thickBot="1" x14ac:dyDescent="0.25">
      <c r="B62" s="1960"/>
      <c r="C62" s="1960" t="s">
        <v>143</v>
      </c>
      <c r="D62" s="1960"/>
      <c r="E62" s="2687"/>
      <c r="F62" s="1951"/>
      <c r="G62" s="1951"/>
      <c r="H62" s="1951"/>
      <c r="I62" s="1951"/>
      <c r="J62" s="1951"/>
      <c r="K62" s="1951"/>
      <c r="L62" s="1951"/>
      <c r="M62" s="1951"/>
      <c r="N62" s="2339"/>
      <c r="O62" s="2003"/>
      <c r="P62" s="1950"/>
      <c r="Q62" s="3535">
        <f t="shared" ref="Q62:V62" si="163">Q49-Q60</f>
        <v>18.029382760034125</v>
      </c>
      <c r="R62" s="3536">
        <f t="shared" si="163"/>
        <v>19.880382760034124</v>
      </c>
      <c r="S62" s="3536">
        <f t="shared" si="163"/>
        <v>60.000409647822586</v>
      </c>
      <c r="T62" s="3536">
        <f t="shared" si="163"/>
        <v>42.71288276003412</v>
      </c>
      <c r="U62" s="3536">
        <f t="shared" si="163"/>
        <v>22.280382760034115</v>
      </c>
      <c r="V62" s="3536">
        <f t="shared" si="163"/>
        <v>8.8153827600341099</v>
      </c>
      <c r="W62" s="3537">
        <f t="shared" ref="W62" si="164">W49-W60</f>
        <v>35.786382760034115</v>
      </c>
      <c r="X62" s="1951"/>
      <c r="Y62" s="1951"/>
      <c r="Z62" s="1951"/>
      <c r="AA62" s="1951"/>
      <c r="AB62" s="1956"/>
      <c r="AC62" s="2120">
        <f t="shared" ref="AC62" si="165">AC49-AC60</f>
        <v>48.259882760034117</v>
      </c>
      <c r="AD62" s="2123">
        <f t="shared" ref="AD62:AE62" si="166">AD49-AD60</f>
        <v>43.943882760034114</v>
      </c>
      <c r="AE62" s="2123">
        <f t="shared" si="166"/>
        <v>55.624909647822584</v>
      </c>
      <c r="AF62" s="2123">
        <f t="shared" ref="AF62:AG62" si="167">AF49-AF60</f>
        <v>26.798382760034116</v>
      </c>
      <c r="AG62" s="2123">
        <f t="shared" si="167"/>
        <v>0.60888276003411868</v>
      </c>
      <c r="AH62" s="2123">
        <f t="shared" ref="AH62" si="168">AH49-AH60</f>
        <v>7.7658827600341152</v>
      </c>
      <c r="AI62" s="2124"/>
      <c r="AJ62" s="1956"/>
      <c r="AK62" s="1951"/>
      <c r="AL62" s="1951"/>
      <c r="AM62" s="1951"/>
      <c r="AN62" s="1956"/>
      <c r="AO62" s="2120"/>
      <c r="AP62" s="2123"/>
      <c r="AQ62" s="2123"/>
      <c r="AR62" s="2123"/>
      <c r="AS62" s="2123"/>
      <c r="AT62" s="2123"/>
      <c r="AU62" s="2123"/>
      <c r="AV62" s="1951"/>
      <c r="AW62" s="1951"/>
      <c r="AX62" s="1951"/>
      <c r="AY62" s="1951"/>
      <c r="AZ62" s="1951"/>
      <c r="BA62" s="2120"/>
      <c r="BB62" s="2123"/>
      <c r="BC62" s="2123"/>
      <c r="BD62" s="2123"/>
      <c r="BE62" s="2121"/>
      <c r="BF62" s="2121"/>
      <c r="BG62" s="2124"/>
      <c r="BH62" s="1951"/>
      <c r="BI62" s="1951"/>
      <c r="BJ62" s="1951"/>
      <c r="BK62" s="1951"/>
      <c r="BL62" s="1951"/>
      <c r="BM62" s="2120"/>
      <c r="BN62" s="4196"/>
      <c r="BO62" s="2124"/>
      <c r="BP62" s="1951"/>
      <c r="BQ62" s="1951"/>
      <c r="BR62" s="1951"/>
      <c r="BS62" s="1951"/>
      <c r="BU62" s="4188"/>
      <c r="BV62" s="2688"/>
      <c r="BW62" s="1960"/>
      <c r="BX62" s="4188"/>
      <c r="BY62" s="2008"/>
      <c r="BZ62" s="1962"/>
      <c r="CA62" s="4169"/>
      <c r="CD62" s="1905"/>
    </row>
    <row r="63" spans="1:90" s="1810" customFormat="1" ht="4.5" customHeight="1" thickBot="1" x14ac:dyDescent="0.25">
      <c r="B63" s="1817"/>
      <c r="C63" s="1817"/>
      <c r="D63" s="1817"/>
      <c r="E63" s="4186"/>
      <c r="F63" s="4186"/>
      <c r="G63" s="4186"/>
      <c r="H63" s="4186"/>
      <c r="I63" s="4186"/>
      <c r="J63" s="4186"/>
      <c r="K63" s="4186"/>
      <c r="L63" s="4186"/>
      <c r="M63" s="4217"/>
      <c r="N63" s="2131"/>
      <c r="O63" s="1924"/>
      <c r="P63" s="1924"/>
      <c r="Q63" s="4186"/>
      <c r="R63" s="4186"/>
      <c r="S63" s="4222"/>
      <c r="T63" s="4186"/>
      <c r="U63" s="4247"/>
      <c r="V63" s="4255"/>
      <c r="W63" s="4186"/>
      <c r="X63" s="4186"/>
      <c r="Y63" s="4186"/>
      <c r="Z63" s="4186"/>
      <c r="AA63" s="4186"/>
      <c r="AB63" s="4191"/>
      <c r="AC63" s="4174"/>
      <c r="AD63" s="4174"/>
      <c r="AE63" s="4174"/>
      <c r="AF63" s="4174"/>
      <c r="AG63" s="4174"/>
      <c r="AH63" s="4174"/>
      <c r="AI63" s="4174"/>
      <c r="AJ63" s="4191"/>
      <c r="AK63" s="4186"/>
      <c r="AL63" s="4186"/>
      <c r="AM63" s="4186"/>
      <c r="AN63" s="4191"/>
      <c r="AO63" s="2137"/>
      <c r="AP63" s="2137"/>
      <c r="AQ63" s="2137"/>
      <c r="AR63" s="2137"/>
      <c r="AS63" s="2137"/>
      <c r="AT63" s="2137"/>
      <c r="AU63" s="2137"/>
      <c r="AV63" s="4186"/>
      <c r="AW63" s="4186"/>
      <c r="AX63" s="4186"/>
      <c r="AY63" s="4186"/>
      <c r="AZ63" s="4186"/>
      <c r="BA63" s="2137"/>
      <c r="BB63" s="2137"/>
      <c r="BC63" s="2137"/>
      <c r="BD63" s="2137"/>
      <c r="BE63" s="2137"/>
      <c r="BF63" s="2137"/>
      <c r="BG63" s="2137"/>
      <c r="BH63" s="4186"/>
      <c r="BI63" s="4186"/>
      <c r="BJ63" s="4186"/>
      <c r="BK63" s="4186"/>
      <c r="BL63" s="4186"/>
      <c r="BM63" s="2137"/>
      <c r="BN63" s="2137"/>
      <c r="BO63" s="2137"/>
      <c r="BP63" s="4186"/>
      <c r="BQ63" s="4186"/>
      <c r="BR63" s="4186"/>
      <c r="BS63" s="4186"/>
      <c r="BU63" s="2137"/>
      <c r="BV63" s="2138"/>
      <c r="BW63" s="1817"/>
      <c r="BX63" s="2137"/>
      <c r="BY63" s="2139"/>
      <c r="BZ63" s="1830"/>
      <c r="CA63" s="2640"/>
      <c r="CD63" s="1761"/>
    </row>
    <row r="64" spans="1:90" s="1740" customFormat="1" ht="15.75" x14ac:dyDescent="0.2">
      <c r="A64" s="2466"/>
      <c r="B64" s="2444">
        <v>47</v>
      </c>
      <c r="C64" s="2281" t="s">
        <v>132</v>
      </c>
      <c r="D64" s="1817"/>
      <c r="E64" s="2067">
        <v>465</v>
      </c>
      <c r="F64" s="2065">
        <f>E64/10</f>
        <v>46.5</v>
      </c>
      <c r="G64" s="2065">
        <f>E64/15</f>
        <v>31</v>
      </c>
      <c r="H64" s="2065">
        <f>E64/20</f>
        <v>23.25</v>
      </c>
      <c r="I64" s="2065">
        <f>E64/25</f>
        <v>18.600000000000001</v>
      </c>
      <c r="J64" s="2065"/>
      <c r="K64" s="2065">
        <f t="shared" ref="K64:K72" si="169">E64/31</f>
        <v>15</v>
      </c>
      <c r="L64" s="4128"/>
      <c r="M64" s="4128"/>
      <c r="N64" s="2066">
        <f t="shared" ref="N64:N72" si="170">E64/$E$73</f>
        <v>0.27944711538461536</v>
      </c>
      <c r="O64" s="2465"/>
      <c r="P64" s="2131"/>
      <c r="Q64" s="2067">
        <f t="shared" ref="Q64:V64" si="171">IF(Q62&gt;$K$73,$K$64,IF(Q62&lt;$K$73,(IF(Q62&lt;0,0,Q62*$N$64))))</f>
        <v>5.0382590044566511</v>
      </c>
      <c r="R64" s="2065">
        <f t="shared" si="171"/>
        <v>5.5555156150335741</v>
      </c>
      <c r="S64" s="2065">
        <f t="shared" si="171"/>
        <v>15</v>
      </c>
      <c r="T64" s="2065">
        <f t="shared" si="171"/>
        <v>11.935991877052803</v>
      </c>
      <c r="U64" s="2065">
        <f t="shared" si="171"/>
        <v>6.226188691956648</v>
      </c>
      <c r="V64" s="2065">
        <f t="shared" si="171"/>
        <v>2.463433283302801</v>
      </c>
      <c r="W64" s="2069">
        <f t="shared" ref="W64" si="172">IF(W62&gt;$K$73,$K$64,IF(W62&lt;$K$73,(IF(W62&lt;0,0,W62*$N$64))))</f>
        <v>10.000401432341263</v>
      </c>
      <c r="X64" s="4186"/>
      <c r="Y64" s="2067">
        <f t="shared" si="148"/>
        <v>56.219789904143745</v>
      </c>
      <c r="Z64" s="2068">
        <f>$K$64*0</f>
        <v>0</v>
      </c>
      <c r="AA64" s="2070">
        <f t="shared" si="121"/>
        <v>56.219789904143745</v>
      </c>
      <c r="AB64" s="4186"/>
      <c r="AC64" s="2090">
        <f t="shared" ref="AC64" si="173">IF(AC62&gt;$K$73,$K$64,IF(AC62&lt;$K$73,(IF(AC62&lt;0,0,AC62*$N$64))))</f>
        <v>13.486085026091263</v>
      </c>
      <c r="AD64" s="2087">
        <f t="shared" ref="AD64:AE64" si="174">IF(AD62&gt;$K$73,$K$64,IF(AD62&lt;$K$73,(IF(AD62&lt;0,0,AD62*$N$64))))</f>
        <v>12.279991276091263</v>
      </c>
      <c r="AE64" s="2087">
        <f t="shared" si="174"/>
        <v>15</v>
      </c>
      <c r="AF64" s="2087">
        <f t="shared" ref="AF64:AG64" si="175">IF(AF62&gt;$K$73,$K$64,IF(AF62&lt;$K$73,(IF(AF62&lt;0,0,AF62*$N$64))))</f>
        <v>7.4887307592643406</v>
      </c>
      <c r="AG64" s="2087">
        <f t="shared" si="175"/>
        <v>0.17015053089895743</v>
      </c>
      <c r="AH64" s="2087">
        <f t="shared" ref="AH64" si="176">IF(AH62&gt;$K$73,$K$64,IF(AH62&lt;$K$73,(IF(AH62&lt;0,0,AH62*$N$64))))</f>
        <v>2.1701535357066488</v>
      </c>
      <c r="AI64" s="2091"/>
      <c r="AJ64" s="4186"/>
      <c r="AK64" s="2067">
        <f t="shared" si="94"/>
        <v>50.595111128052473</v>
      </c>
      <c r="AL64" s="2068">
        <f>$K$64*0</f>
        <v>0</v>
      </c>
      <c r="AM64" s="2070">
        <f>AK64-AL64</f>
        <v>50.595111128052473</v>
      </c>
      <c r="AN64" s="4186"/>
      <c r="AO64" s="2067"/>
      <c r="AP64" s="2065"/>
      <c r="AQ64" s="2065"/>
      <c r="AR64" s="2065"/>
      <c r="AS64" s="2065"/>
      <c r="AT64" s="2065"/>
      <c r="AU64" s="2065"/>
      <c r="AV64" s="4186"/>
      <c r="AW64" s="2067">
        <f>SUM(AO64:AU64)</f>
        <v>0</v>
      </c>
      <c r="AX64" s="2068">
        <f>$K$64*0</f>
        <v>0</v>
      </c>
      <c r="AY64" s="2070">
        <f>AW64-AX64</f>
        <v>0</v>
      </c>
      <c r="AZ64" s="4186"/>
      <c r="BA64" s="2067"/>
      <c r="BB64" s="2065"/>
      <c r="BC64" s="2065"/>
      <c r="BD64" s="2065"/>
      <c r="BE64" s="2065"/>
      <c r="BF64" s="2065"/>
      <c r="BG64" s="2069"/>
      <c r="BH64" s="4186"/>
      <c r="BI64" s="2067">
        <f t="shared" ref="BI64:BI72" si="177">SUM(BA64:BG64)</f>
        <v>0</v>
      </c>
      <c r="BJ64" s="2068">
        <f>$K$64*0</f>
        <v>0</v>
      </c>
      <c r="BK64" s="2070">
        <f t="shared" ref="BK64:BK72" si="178">BI64-BJ64</f>
        <v>0</v>
      </c>
      <c r="BL64" s="4186"/>
      <c r="BM64" s="2067"/>
      <c r="BN64" s="2645"/>
      <c r="BO64" s="2069"/>
      <c r="BP64" s="4186"/>
      <c r="BQ64" s="2067">
        <f t="shared" ref="BQ64:BQ73" si="179">SUM(BM64:BO64)</f>
        <v>0</v>
      </c>
      <c r="BR64" s="2068">
        <f>$K$64*0</f>
        <v>0</v>
      </c>
      <c r="BS64" s="2070">
        <f t="shared" ref="BS64:BS72" si="180">BQ64-BR64</f>
        <v>0</v>
      </c>
      <c r="BU64" s="2067"/>
      <c r="BV64" s="2071"/>
      <c r="BX64" s="2067">
        <f t="shared" ref="BX64:BX72" si="181">SUM(Q64:W64)+SUM(AC64:AI64)+SUM(AO64:AU64)+SUM(BA64:BG64)+SUM(BO64:BO64)</f>
        <v>106.81490103219622</v>
      </c>
      <c r="BY64" s="2072">
        <f t="shared" ref="BY64:BY73" si="182">BX64/E64</f>
        <v>0.2297094645853682</v>
      </c>
      <c r="BZ64" s="2351"/>
      <c r="CA64" s="4635">
        <f>BY73-BX1</f>
        <v>-0.18964537412430921</v>
      </c>
      <c r="CD64" s="1997"/>
      <c r="CE64" s="1861"/>
      <c r="CF64" s="1861"/>
      <c r="CG64" s="1861"/>
      <c r="CH64" s="1861"/>
      <c r="CI64" s="1861"/>
      <c r="CJ64" s="1861"/>
      <c r="CK64" s="1861"/>
      <c r="CL64" s="1861"/>
    </row>
    <row r="65" spans="1:90" s="1900" customFormat="1" ht="15.75" x14ac:dyDescent="0.2">
      <c r="A65" s="2464"/>
      <c r="B65" s="2161">
        <v>48</v>
      </c>
      <c r="C65" s="2162" t="s">
        <v>232</v>
      </c>
      <c r="D65" s="1960"/>
      <c r="E65" s="2163">
        <v>345</v>
      </c>
      <c r="F65" s="2164">
        <f>E65/10</f>
        <v>34.5</v>
      </c>
      <c r="G65" s="2164">
        <f>E65/15</f>
        <v>23</v>
      </c>
      <c r="H65" s="2164">
        <f>E65/20</f>
        <v>17.25</v>
      </c>
      <c r="I65" s="2164">
        <f>E65/25</f>
        <v>13.8</v>
      </c>
      <c r="J65" s="2164"/>
      <c r="K65" s="2164">
        <f t="shared" si="169"/>
        <v>11.129032258064516</v>
      </c>
      <c r="L65" s="4129"/>
      <c r="M65" s="4129"/>
      <c r="N65" s="2165">
        <f t="shared" si="170"/>
        <v>0.20733173076923078</v>
      </c>
      <c r="O65" s="2468"/>
      <c r="P65" s="2339"/>
      <c r="Q65" s="2169">
        <f t="shared" ref="Q65:V65" si="183">IF(Q62&gt;$K$73,$K$65,IF(Q62&lt;$K$73,(IF(Q62&lt;0,0,Q62*$N$65))))</f>
        <v>3.738063132338806</v>
      </c>
      <c r="R65" s="2176">
        <f t="shared" si="183"/>
        <v>4.1218341659926523</v>
      </c>
      <c r="S65" s="2176">
        <f t="shared" si="183"/>
        <v>11.129032258064516</v>
      </c>
      <c r="T65" s="2176">
        <f t="shared" si="183"/>
        <v>8.8557359087811136</v>
      </c>
      <c r="U65" s="2176">
        <f t="shared" si="183"/>
        <v>4.6194303198388038</v>
      </c>
      <c r="V65" s="2176">
        <f t="shared" si="183"/>
        <v>1.8277085650311107</v>
      </c>
      <c r="W65" s="2171">
        <f t="shared" ref="W65" si="184">IF(W62&gt;$K$73,$K$65,IF(W62&lt;$K$73,(IF(W62&lt;0,0,W62*$N$65))))</f>
        <v>7.4196526756080354</v>
      </c>
      <c r="X65" s="1951"/>
      <c r="Y65" s="2163">
        <f t="shared" si="148"/>
        <v>41.711457025655037</v>
      </c>
      <c r="Z65" s="2167">
        <f>$K$65*0</f>
        <v>0</v>
      </c>
      <c r="AA65" s="2168">
        <f t="shared" si="121"/>
        <v>41.711457025655037</v>
      </c>
      <c r="AB65" s="1951"/>
      <c r="AC65" s="2169">
        <f t="shared" ref="AC65" si="185">IF(AC62&gt;$K$73,$K$65,IF(AC62&lt;$K$73,(IF(AC62&lt;0,0,AC62*$N$65))))</f>
        <v>10.005805019358036</v>
      </c>
      <c r="AD65" s="2170">
        <f t="shared" ref="AD65:AE65" si="186">IF(AD62&gt;$K$73,$K$65,IF(AD62&lt;$K$73,(IF(AD62&lt;0,0,AD62*$N$65))))</f>
        <v>9.1109612693580342</v>
      </c>
      <c r="AE65" s="2170">
        <f t="shared" si="186"/>
        <v>11.129032258064516</v>
      </c>
      <c r="AF65" s="2170">
        <f t="shared" ref="AF65:AG65" si="187">IF(AF62&gt;$K$73,$K$65,IF(AF62&lt;$K$73,(IF(AF62&lt;0,0,AF62*$N$65))))</f>
        <v>5.5561550794541894</v>
      </c>
      <c r="AG65" s="2170">
        <f t="shared" si="187"/>
        <v>0.12624071647342006</v>
      </c>
      <c r="AH65" s="2170">
        <f t="shared" ref="AH65" si="188">IF(AH62&gt;$K$73,$K$65,IF(AH62&lt;$K$73,(IF(AH62&lt;0,0,AH62*$N$65))))</f>
        <v>1.6101139135888041</v>
      </c>
      <c r="AI65" s="2171"/>
      <c r="AJ65" s="1951"/>
      <c r="AK65" s="2163">
        <f>SUM(AC65:AI65)</f>
        <v>37.538308256297</v>
      </c>
      <c r="AL65" s="2167">
        <f>$K$65*0</f>
        <v>0</v>
      </c>
      <c r="AM65" s="2168">
        <f t="shared" ref="AM65:AM66" si="189">AK65-AL65</f>
        <v>37.538308256297</v>
      </c>
      <c r="AN65" s="1951"/>
      <c r="AO65" s="2163"/>
      <c r="AP65" s="2164"/>
      <c r="AQ65" s="2164"/>
      <c r="AR65" s="2164"/>
      <c r="AS65" s="2164"/>
      <c r="AT65" s="2164"/>
      <c r="AU65" s="2164"/>
      <c r="AV65" s="1951"/>
      <c r="AW65" s="2163">
        <f t="shared" ref="AW65:AW72" si="190">SUM(AO65:AU65)</f>
        <v>0</v>
      </c>
      <c r="AX65" s="2167">
        <f>$K$65*0</f>
        <v>0</v>
      </c>
      <c r="AY65" s="2168">
        <f t="shared" ref="AY65:AY72" si="191">AW65-AX65</f>
        <v>0</v>
      </c>
      <c r="AZ65" s="1951"/>
      <c r="BA65" s="2163"/>
      <c r="BB65" s="2164"/>
      <c r="BC65" s="2164"/>
      <c r="BD65" s="2164"/>
      <c r="BE65" s="2176"/>
      <c r="BF65" s="2176"/>
      <c r="BG65" s="2171"/>
      <c r="BH65" s="1951"/>
      <c r="BI65" s="2163">
        <f t="shared" si="177"/>
        <v>0</v>
      </c>
      <c r="BJ65" s="2167">
        <f>$K$65*0</f>
        <v>0</v>
      </c>
      <c r="BK65" s="2168">
        <f t="shared" si="178"/>
        <v>0</v>
      </c>
      <c r="BL65" s="1951"/>
      <c r="BM65" s="2169"/>
      <c r="BN65" s="2307"/>
      <c r="BO65" s="2171"/>
      <c r="BP65" s="1951"/>
      <c r="BQ65" s="2169">
        <f t="shared" si="179"/>
        <v>0</v>
      </c>
      <c r="BR65" s="2170">
        <f>$K$65*0</f>
        <v>0</v>
      </c>
      <c r="BS65" s="2178">
        <f t="shared" si="180"/>
        <v>0</v>
      </c>
      <c r="BU65" s="2169"/>
      <c r="BV65" s="2172"/>
      <c r="BX65" s="2169">
        <f t="shared" si="181"/>
        <v>79.249765281952037</v>
      </c>
      <c r="BY65" s="2173">
        <f t="shared" si="182"/>
        <v>0.22970946458536823</v>
      </c>
      <c r="BZ65" s="2353"/>
      <c r="CA65" s="4636"/>
      <c r="CD65" s="2010"/>
      <c r="CE65" s="2011"/>
      <c r="CF65" s="2011"/>
      <c r="CG65" s="2011"/>
      <c r="CH65" s="2011"/>
      <c r="CI65" s="2011"/>
      <c r="CJ65" s="2011"/>
      <c r="CK65" s="2011"/>
      <c r="CL65" s="2011"/>
    </row>
    <row r="66" spans="1:90" s="1726" customFormat="1" x14ac:dyDescent="0.2">
      <c r="A66" s="1756"/>
      <c r="B66" s="2151">
        <v>49</v>
      </c>
      <c r="C66" s="2152" t="s">
        <v>4</v>
      </c>
      <c r="D66" s="1817"/>
      <c r="E66" s="2153">
        <v>300</v>
      </c>
      <c r="F66" s="2154"/>
      <c r="G66" s="2154"/>
      <c r="H66" s="2154"/>
      <c r="I66" s="2154"/>
      <c r="J66" s="2154"/>
      <c r="K66" s="2154">
        <f t="shared" si="169"/>
        <v>9.67741935483871</v>
      </c>
      <c r="L66" s="4122"/>
      <c r="M66" s="4122"/>
      <c r="N66" s="2155">
        <f t="shared" si="170"/>
        <v>0.18028846153846154</v>
      </c>
      <c r="O66" s="1931"/>
      <c r="P66" s="1924"/>
      <c r="Q66" s="2090">
        <f t="shared" ref="Q66:V66" si="192">IF(Q62&gt;$K$73,$K$66,IF(Q62&lt;$K$73,(IF(Q62&lt;0,0,Q62*$N$66))))</f>
        <v>3.2504896802946139</v>
      </c>
      <c r="R66" s="2088">
        <f t="shared" si="192"/>
        <v>3.5842036226023057</v>
      </c>
      <c r="S66" s="2088">
        <f t="shared" si="192"/>
        <v>9.67741935483871</v>
      </c>
      <c r="T66" s="2088">
        <f t="shared" si="192"/>
        <v>7.7006399206792286</v>
      </c>
      <c r="U66" s="2088">
        <f t="shared" si="192"/>
        <v>4.0168959302946119</v>
      </c>
      <c r="V66" s="2088">
        <f t="shared" si="192"/>
        <v>1.5893117956792264</v>
      </c>
      <c r="W66" s="2091">
        <f t="shared" ref="W66" si="193">IF(W62&gt;$K$73,$K$66,IF(W62&lt;$K$73,(IF(W62&lt;0,0,W62*$N$66))))</f>
        <v>6.4518718918330737</v>
      </c>
      <c r="X66" s="4186"/>
      <c r="Y66" s="2153">
        <f t="shared" si="148"/>
        <v>36.270832196221768</v>
      </c>
      <c r="Z66" s="2157">
        <f>$K$66*0</f>
        <v>0</v>
      </c>
      <c r="AA66" s="2158">
        <f t="shared" si="121"/>
        <v>36.270832196221768</v>
      </c>
      <c r="AB66" s="4191"/>
      <c r="AC66" s="2090">
        <f t="shared" ref="AC66" si="194">IF(AC62&gt;$K$73,$K$66,IF(AC62&lt;$K$73,(IF(AC62&lt;0,0,AC62*$N$66))))</f>
        <v>8.700700016833073</v>
      </c>
      <c r="AD66" s="2087">
        <f t="shared" ref="AD66:AE66" si="195">IF(AD62&gt;$K$73,$K$66,IF(AD62&lt;$K$73,(IF(AD62&lt;0,0,AD62*$N$66))))</f>
        <v>7.9225750168330737</v>
      </c>
      <c r="AE66" s="2087">
        <f t="shared" si="195"/>
        <v>9.67741935483871</v>
      </c>
      <c r="AF66" s="2087">
        <f t="shared" ref="AF66:AG66" si="196">IF(AF62&gt;$K$73,$K$66,IF(AF62&lt;$K$73,(IF(AF62&lt;0,0,AF62*$N$66))))</f>
        <v>4.8314391995253816</v>
      </c>
      <c r="AG66" s="2087">
        <f t="shared" si="196"/>
        <v>0.10977453606384351</v>
      </c>
      <c r="AH66" s="2087">
        <f t="shared" ref="AH66" si="197">IF(AH62&gt;$K$73,$K$66,IF(AH62&lt;$K$73,(IF(AH62&lt;0,0,AH62*$N$66))))</f>
        <v>1.400099055294612</v>
      </c>
      <c r="AI66" s="2091"/>
      <c r="AJ66" s="4191"/>
      <c r="AK66" s="2153">
        <f t="shared" ref="AK66" si="198">SUM(AC66:AI66)</f>
        <v>32.642007179388692</v>
      </c>
      <c r="AL66" s="2157">
        <f>$K$66*0</f>
        <v>0</v>
      </c>
      <c r="AM66" s="2158">
        <f t="shared" si="189"/>
        <v>32.642007179388692</v>
      </c>
      <c r="AN66" s="4191"/>
      <c r="AO66" s="2153"/>
      <c r="AP66" s="2154"/>
      <c r="AQ66" s="2154"/>
      <c r="AR66" s="2154"/>
      <c r="AS66" s="2154"/>
      <c r="AT66" s="2154"/>
      <c r="AU66" s="2154"/>
      <c r="AV66" s="4186"/>
      <c r="AW66" s="2153">
        <f t="shared" si="190"/>
        <v>0</v>
      </c>
      <c r="AX66" s="2157">
        <f>$K$66*0</f>
        <v>0</v>
      </c>
      <c r="AY66" s="2158">
        <f t="shared" si="191"/>
        <v>0</v>
      </c>
      <c r="AZ66" s="4186"/>
      <c r="BA66" s="2153"/>
      <c r="BB66" s="2154"/>
      <c r="BC66" s="2154"/>
      <c r="BD66" s="2154"/>
      <c r="BE66" s="2088"/>
      <c r="BF66" s="2088"/>
      <c r="BG66" s="2091"/>
      <c r="BH66" s="4186"/>
      <c r="BI66" s="2153">
        <f t="shared" si="177"/>
        <v>0</v>
      </c>
      <c r="BJ66" s="2157">
        <f>$K$66*0</f>
        <v>0</v>
      </c>
      <c r="BK66" s="2158">
        <f t="shared" si="178"/>
        <v>0</v>
      </c>
      <c r="BL66" s="4186"/>
      <c r="BM66" s="2090"/>
      <c r="BN66" s="2305"/>
      <c r="BO66" s="2091"/>
      <c r="BP66" s="4186"/>
      <c r="BQ66" s="2090">
        <f t="shared" si="179"/>
        <v>0</v>
      </c>
      <c r="BR66" s="2087">
        <f>$K$66*0</f>
        <v>0</v>
      </c>
      <c r="BS66" s="2174">
        <f t="shared" si="180"/>
        <v>0</v>
      </c>
      <c r="BU66" s="2090"/>
      <c r="BV66" s="2159"/>
      <c r="BW66" s="1740"/>
      <c r="BX66" s="2090">
        <f t="shared" si="181"/>
        <v>68.91283937561046</v>
      </c>
      <c r="BY66" s="2160">
        <f t="shared" si="182"/>
        <v>0.2297094645853682</v>
      </c>
      <c r="BZ66" s="2351"/>
      <c r="CA66" s="4636"/>
      <c r="CD66" s="4172"/>
      <c r="CE66" s="1860"/>
      <c r="CF66" s="1860"/>
      <c r="CG66" s="1860"/>
      <c r="CH66" s="1860"/>
      <c r="CI66" s="1860"/>
      <c r="CJ66" s="1860"/>
      <c r="CK66" s="1860"/>
      <c r="CL66" s="1860"/>
    </row>
    <row r="67" spans="1:90" s="1900" customFormat="1" ht="15.75" x14ac:dyDescent="0.2">
      <c r="A67" s="2464"/>
      <c r="B67" s="2161">
        <v>50</v>
      </c>
      <c r="C67" s="2175" t="s">
        <v>121</v>
      </c>
      <c r="D67" s="1960"/>
      <c r="E67" s="2169">
        <v>270</v>
      </c>
      <c r="F67" s="2176">
        <f>E67/10</f>
        <v>27</v>
      </c>
      <c r="G67" s="2176">
        <f>E67/15</f>
        <v>18</v>
      </c>
      <c r="H67" s="2176">
        <f>E67/20</f>
        <v>13.5</v>
      </c>
      <c r="I67" s="2176">
        <f>E67/25</f>
        <v>10.8</v>
      </c>
      <c r="J67" s="2176"/>
      <c r="K67" s="2176">
        <f t="shared" si="169"/>
        <v>8.7096774193548381</v>
      </c>
      <c r="L67" s="4123"/>
      <c r="M67" s="4123"/>
      <c r="N67" s="2177">
        <f t="shared" si="170"/>
        <v>0.16225961538461539</v>
      </c>
      <c r="O67" s="2468"/>
      <c r="P67" s="2339"/>
      <c r="Q67" s="2169">
        <f t="shared" ref="Q67:V67" si="199">IF(Q62&gt;$K$73,$K$67,IF(Q62&lt;$K$73,(IF(Q62&lt;0,0,Q62*$N$67))))</f>
        <v>2.9254407122651527</v>
      </c>
      <c r="R67" s="2176">
        <f t="shared" si="199"/>
        <v>3.2257832603420753</v>
      </c>
      <c r="S67" s="2176">
        <f t="shared" si="199"/>
        <v>8.7096774193548381</v>
      </c>
      <c r="T67" s="2176">
        <f t="shared" si="199"/>
        <v>6.9305759286113053</v>
      </c>
      <c r="U67" s="2176">
        <f t="shared" si="199"/>
        <v>3.6152063372651511</v>
      </c>
      <c r="V67" s="2176">
        <f t="shared" si="199"/>
        <v>1.430380616111304</v>
      </c>
      <c r="W67" s="2171">
        <f t="shared" ref="W67" si="200">IF(W62&gt;$K$73,$K$67,IF(W62&lt;$K$73,(IF(W62&lt;0,0,W62*$N$67))))</f>
        <v>5.8066847026497665</v>
      </c>
      <c r="X67" s="1951"/>
      <c r="Y67" s="2169">
        <f t="shared" si="148"/>
        <v>32.643748976599589</v>
      </c>
      <c r="Z67" s="2170">
        <f>$K$67*0</f>
        <v>0</v>
      </c>
      <c r="AA67" s="2178">
        <f t="shared" si="121"/>
        <v>32.643748976599589</v>
      </c>
      <c r="AB67" s="1951"/>
      <c r="AC67" s="2169">
        <f t="shared" ref="AC67" si="201">IF(AC62&gt;$K$73,$K$67,IF(AC62&lt;$K$73,(IF(AC62&lt;0,0,AC62*$N$67))))</f>
        <v>7.830630015149767</v>
      </c>
      <c r="AD67" s="2170">
        <f t="shared" ref="AD67:AE67" si="202">IF(AD62&gt;$K$73,$K$67,IF(AD62&lt;$K$73,(IF(AD62&lt;0,0,AD62*$N$67))))</f>
        <v>7.1303175151497662</v>
      </c>
      <c r="AE67" s="2170">
        <f t="shared" si="202"/>
        <v>8.7096774193548381</v>
      </c>
      <c r="AF67" s="2170">
        <f t="shared" ref="AF67:AG67" si="203">IF(AF62&gt;$K$73,$K$67,IF(AF62&lt;$K$73,(IF(AF62&lt;0,0,AF62*$N$67))))</f>
        <v>4.3482952795728433</v>
      </c>
      <c r="AG67" s="2170">
        <f t="shared" si="203"/>
        <v>9.8797082457459162E-2</v>
      </c>
      <c r="AH67" s="2170">
        <f t="shared" ref="AH67" si="204">IF(AH62&gt;$K$73,$K$67,IF(AH62&lt;$K$73,(IF(AH62&lt;0,0,AH62*$N$67))))</f>
        <v>1.260089149765151</v>
      </c>
      <c r="AI67" s="2171"/>
      <c r="AJ67" s="1951"/>
      <c r="AK67" s="2169">
        <f t="shared" si="94"/>
        <v>29.377806461449822</v>
      </c>
      <c r="AL67" s="2170">
        <f>$K$67*0</f>
        <v>0</v>
      </c>
      <c r="AM67" s="2178">
        <f t="shared" si="95"/>
        <v>29.377806461449822</v>
      </c>
      <c r="AN67" s="1951"/>
      <c r="AO67" s="2169"/>
      <c r="AP67" s="2176"/>
      <c r="AQ67" s="2176"/>
      <c r="AR67" s="2176"/>
      <c r="AS67" s="2176"/>
      <c r="AT67" s="2176"/>
      <c r="AU67" s="2176"/>
      <c r="AV67" s="1951"/>
      <c r="AW67" s="2169">
        <f t="shared" si="190"/>
        <v>0</v>
      </c>
      <c r="AX67" s="2170">
        <f>$K$67*0</f>
        <v>0</v>
      </c>
      <c r="AY67" s="2178">
        <f t="shared" si="191"/>
        <v>0</v>
      </c>
      <c r="AZ67" s="1951"/>
      <c r="BA67" s="2169"/>
      <c r="BB67" s="2176"/>
      <c r="BC67" s="2176"/>
      <c r="BD67" s="2176"/>
      <c r="BE67" s="2176"/>
      <c r="BF67" s="2176"/>
      <c r="BG67" s="2171"/>
      <c r="BH67" s="1951"/>
      <c r="BI67" s="2169">
        <f t="shared" si="177"/>
        <v>0</v>
      </c>
      <c r="BJ67" s="2170">
        <f>$K$67*0</f>
        <v>0</v>
      </c>
      <c r="BK67" s="2178">
        <f t="shared" si="178"/>
        <v>0</v>
      </c>
      <c r="BL67" s="1951"/>
      <c r="BM67" s="2169"/>
      <c r="BN67" s="2307"/>
      <c r="BO67" s="2171"/>
      <c r="BP67" s="1951"/>
      <c r="BQ67" s="2169">
        <f t="shared" si="179"/>
        <v>0</v>
      </c>
      <c r="BR67" s="2170">
        <f>$K$67*0</f>
        <v>0</v>
      </c>
      <c r="BS67" s="2178">
        <f t="shared" si="180"/>
        <v>0</v>
      </c>
      <c r="BU67" s="2179"/>
      <c r="BV67" s="2180"/>
      <c r="BX67" s="2179">
        <f t="shared" si="181"/>
        <v>62.021555438049411</v>
      </c>
      <c r="BY67" s="2181">
        <f t="shared" si="182"/>
        <v>0.2297094645853682</v>
      </c>
      <c r="BZ67" s="2353"/>
      <c r="CA67" s="4636"/>
      <c r="CD67" s="2010"/>
      <c r="CE67" s="2011"/>
      <c r="CF67" s="2011"/>
      <c r="CG67" s="2011"/>
      <c r="CH67" s="2011"/>
      <c r="CI67" s="2011"/>
      <c r="CJ67" s="2011"/>
      <c r="CK67" s="2011"/>
      <c r="CL67" s="2011"/>
    </row>
    <row r="68" spans="1:90" s="1740" customFormat="1" ht="15.75" x14ac:dyDescent="0.2">
      <c r="A68" s="2466"/>
      <c r="B68" s="2151">
        <v>51</v>
      </c>
      <c r="C68" s="2086" t="s">
        <v>229</v>
      </c>
      <c r="D68" s="1817"/>
      <c r="E68" s="2090">
        <v>209</v>
      </c>
      <c r="F68" s="2088">
        <f>E68/10</f>
        <v>20.9</v>
      </c>
      <c r="G68" s="2088">
        <f>E68/15</f>
        <v>13.933333333333334</v>
      </c>
      <c r="H68" s="2088">
        <f>E68/20</f>
        <v>10.45</v>
      </c>
      <c r="I68" s="2088">
        <f>E68/25</f>
        <v>8.36</v>
      </c>
      <c r="J68" s="2088"/>
      <c r="K68" s="2088">
        <f t="shared" si="169"/>
        <v>6.741935483870968</v>
      </c>
      <c r="L68" s="4124"/>
      <c r="M68" s="4124"/>
      <c r="N68" s="2089">
        <f t="shared" si="170"/>
        <v>0.12560096153846154</v>
      </c>
      <c r="O68" s="2465"/>
      <c r="P68" s="2131"/>
      <c r="Q68" s="2090">
        <f t="shared" ref="Q68:V68" si="205">IF(Q62&gt;$K$73,$K$68,IF(Q62&lt;$K$73,(IF(Q62&lt;0,0,Q62*$N$68))))</f>
        <v>2.2645078106052474</v>
      </c>
      <c r="R68" s="2088">
        <f t="shared" si="205"/>
        <v>2.4969951904129397</v>
      </c>
      <c r="S68" s="2088">
        <f t="shared" si="205"/>
        <v>6.741935483870968</v>
      </c>
      <c r="T68" s="2088">
        <f t="shared" si="205"/>
        <v>5.3647791447398623</v>
      </c>
      <c r="U68" s="2088">
        <f t="shared" si="205"/>
        <v>2.7984374981052462</v>
      </c>
      <c r="V68" s="2088">
        <f t="shared" si="205"/>
        <v>1.1072205509898612</v>
      </c>
      <c r="W68" s="2091">
        <f t="shared" ref="W68" si="206">IF(W62&gt;$K$73,$K$68,IF(W62&lt;$K$73,(IF(W62&lt;0,0,W62*$N$68))))</f>
        <v>4.4948040846437083</v>
      </c>
      <c r="X68" s="4186"/>
      <c r="Y68" s="2090">
        <f t="shared" si="148"/>
        <v>25.268679763367835</v>
      </c>
      <c r="Z68" s="2087">
        <f>$K$68*0</f>
        <v>0</v>
      </c>
      <c r="AA68" s="2174">
        <f t="shared" si="121"/>
        <v>25.268679763367835</v>
      </c>
      <c r="AB68" s="4186"/>
      <c r="AC68" s="2090">
        <f t="shared" ref="AC68" si="207">IF(AC62&gt;$K$73,$K$68,IF(AC62&lt;$K$73,(IF(AC62&lt;0,0,AC62*$N$68))))</f>
        <v>6.0614876783937079</v>
      </c>
      <c r="AD68" s="2087">
        <f t="shared" ref="AD68:AE68" si="208">IF(AD62&gt;$K$73,$K$68,IF(AD62&lt;$K$73,(IF(AD62&lt;0,0,AD62*$N$68))))</f>
        <v>5.5193939283937077</v>
      </c>
      <c r="AE68" s="2087">
        <f t="shared" si="208"/>
        <v>6.741935483870968</v>
      </c>
      <c r="AF68" s="2087">
        <f t="shared" ref="AF68:AG68" si="209">IF(AF62&gt;$K$73,$K$68,IF(AF62&lt;$K$73,(IF(AF62&lt;0,0,AF62*$N$68))))</f>
        <v>3.3659026423360157</v>
      </c>
      <c r="AG68" s="2087">
        <f t="shared" si="209"/>
        <v>7.6476260124477641E-2</v>
      </c>
      <c r="AH68" s="2087">
        <f t="shared" ref="AH68" si="210">IF(AH62&gt;$K$73,$K$68,IF(AH62&lt;$K$73,(IF(AH62&lt;0,0,AH62*$N$68))))</f>
        <v>0.97540234185524644</v>
      </c>
      <c r="AI68" s="2091"/>
      <c r="AJ68" s="4186"/>
      <c r="AK68" s="2090">
        <f t="shared" si="94"/>
        <v>22.740598334974123</v>
      </c>
      <c r="AL68" s="2087">
        <f>$K$68*0</f>
        <v>0</v>
      </c>
      <c r="AM68" s="2174">
        <f t="shared" si="95"/>
        <v>22.740598334974123</v>
      </c>
      <c r="AN68" s="4186"/>
      <c r="AO68" s="2090"/>
      <c r="AP68" s="2088"/>
      <c r="AQ68" s="2088"/>
      <c r="AR68" s="2088"/>
      <c r="AS68" s="2088"/>
      <c r="AT68" s="2088"/>
      <c r="AU68" s="2088"/>
      <c r="AV68" s="4186"/>
      <c r="AW68" s="2090">
        <f t="shared" si="190"/>
        <v>0</v>
      </c>
      <c r="AX68" s="2087">
        <f>$K$68*0</f>
        <v>0</v>
      </c>
      <c r="AY68" s="2174">
        <f t="shared" si="191"/>
        <v>0</v>
      </c>
      <c r="AZ68" s="4186"/>
      <c r="BA68" s="2090"/>
      <c r="BB68" s="2088"/>
      <c r="BC68" s="2088"/>
      <c r="BD68" s="2088"/>
      <c r="BE68" s="2088"/>
      <c r="BF68" s="2088"/>
      <c r="BG68" s="2091"/>
      <c r="BH68" s="4186"/>
      <c r="BI68" s="2090">
        <f t="shared" si="177"/>
        <v>0</v>
      </c>
      <c r="BJ68" s="2087">
        <f>$K$68*0</f>
        <v>0</v>
      </c>
      <c r="BK68" s="2174">
        <f t="shared" si="178"/>
        <v>0</v>
      </c>
      <c r="BL68" s="4186"/>
      <c r="BM68" s="2090"/>
      <c r="BN68" s="2305"/>
      <c r="BO68" s="2091"/>
      <c r="BP68" s="4186"/>
      <c r="BQ68" s="2090">
        <f t="shared" si="179"/>
        <v>0</v>
      </c>
      <c r="BR68" s="2087">
        <f>$K$68*0</f>
        <v>0</v>
      </c>
      <c r="BS68" s="2174">
        <f t="shared" si="180"/>
        <v>0</v>
      </c>
      <c r="BU68" s="2092"/>
      <c r="BV68" s="2093"/>
      <c r="BX68" s="2092">
        <f t="shared" si="181"/>
        <v>48.009278098341959</v>
      </c>
      <c r="BY68" s="2094">
        <f t="shared" si="182"/>
        <v>0.22970946458536823</v>
      </c>
      <c r="BZ68" s="2351"/>
      <c r="CA68" s="4636"/>
      <c r="CD68" s="1997"/>
      <c r="CE68" s="1861"/>
      <c r="CF68" s="1861"/>
      <c r="CG68" s="1861"/>
      <c r="CH68" s="1861"/>
      <c r="CI68" s="1861"/>
      <c r="CJ68" s="1861"/>
      <c r="CK68" s="1861"/>
      <c r="CL68" s="1861"/>
    </row>
    <row r="69" spans="1:90" s="1885" customFormat="1" x14ac:dyDescent="0.2">
      <c r="A69" s="1947"/>
      <c r="B69" s="2690">
        <v>52</v>
      </c>
      <c r="C69" s="2417" t="s">
        <v>122</v>
      </c>
      <c r="D69" s="1960"/>
      <c r="E69" s="2179">
        <v>75</v>
      </c>
      <c r="F69" s="2418">
        <f>E69/10</f>
        <v>7.5</v>
      </c>
      <c r="G69" s="2418">
        <f>E69/15</f>
        <v>5</v>
      </c>
      <c r="H69" s="2418">
        <f>E69/20</f>
        <v>3.75</v>
      </c>
      <c r="I69" s="2418">
        <f>E69/25</f>
        <v>3</v>
      </c>
      <c r="J69" s="2418"/>
      <c r="K69" s="2418">
        <f t="shared" si="169"/>
        <v>2.4193548387096775</v>
      </c>
      <c r="L69" s="4126"/>
      <c r="M69" s="4126"/>
      <c r="N69" s="2419">
        <f t="shared" si="170"/>
        <v>4.5072115384615384E-2</v>
      </c>
      <c r="O69" s="2003"/>
      <c r="P69" s="1950"/>
      <c r="Q69" s="2169">
        <f t="shared" ref="Q69:V69" si="211">IF(Q62&gt;$K$73,$K$69,IF(Q62&lt;$K$73,(IF(Q62&lt;0,0,Q62*$N$69))))</f>
        <v>0.81262242007365348</v>
      </c>
      <c r="R69" s="2176">
        <f t="shared" si="211"/>
        <v>0.89605090565057643</v>
      </c>
      <c r="S69" s="2176">
        <f t="shared" si="211"/>
        <v>2.4193548387096775</v>
      </c>
      <c r="T69" s="2176">
        <f t="shared" si="211"/>
        <v>1.9251599801698072</v>
      </c>
      <c r="U69" s="2176">
        <f t="shared" si="211"/>
        <v>1.004223982573653</v>
      </c>
      <c r="V69" s="2176">
        <f t="shared" si="211"/>
        <v>0.39732794891980661</v>
      </c>
      <c r="W69" s="2171">
        <f t="shared" ref="W69" si="212">IF(W62&gt;$K$73,$K$69,IF(W62&lt;$K$73,(IF(W62&lt;0,0,W62*$N$69))))</f>
        <v>1.6129679729582684</v>
      </c>
      <c r="X69" s="1951"/>
      <c r="Y69" s="2169">
        <f t="shared" si="148"/>
        <v>9.067708049055442</v>
      </c>
      <c r="Z69" s="2170">
        <f>$K$69*0</f>
        <v>0</v>
      </c>
      <c r="AA69" s="2178">
        <f t="shared" si="121"/>
        <v>9.067708049055442</v>
      </c>
      <c r="AB69" s="1956"/>
      <c r="AC69" s="2169">
        <f t="shared" ref="AC69" si="213">IF(AC62&gt;$K$73,$K$69,IF(AC62&lt;$K$73,(IF(AC62&lt;0,0,AC62*$N$69))))</f>
        <v>2.1751750042082683</v>
      </c>
      <c r="AD69" s="2170">
        <f t="shared" ref="AD69:AE69" si="214">IF(AD62&gt;$K$73,$K$69,IF(AD62&lt;$K$73,(IF(AD62&lt;0,0,AD62*$N$69))))</f>
        <v>1.9806437542082684</v>
      </c>
      <c r="AE69" s="2170">
        <f t="shared" si="214"/>
        <v>2.4193548387096775</v>
      </c>
      <c r="AF69" s="2170">
        <f t="shared" ref="AF69:AG69" si="215">IF(AF62&gt;$K$73,$K$69,IF(AF62&lt;$K$73,(IF(AF62&lt;0,0,AF62*$N$69))))</f>
        <v>1.2078597998813454</v>
      </c>
      <c r="AG69" s="2170">
        <f t="shared" si="215"/>
        <v>2.7443634015960876E-2</v>
      </c>
      <c r="AH69" s="2170">
        <f t="shared" ref="AH69" si="216">IF(AH62&gt;$K$73,$K$69,IF(AH62&lt;$K$73,(IF(AH62&lt;0,0,AH62*$N$69))))</f>
        <v>0.350024763823653</v>
      </c>
      <c r="AI69" s="2171"/>
      <c r="AJ69" s="1956"/>
      <c r="AK69" s="2169">
        <f t="shared" si="94"/>
        <v>8.160501794847173</v>
      </c>
      <c r="AL69" s="2170">
        <f>$K$69*0</f>
        <v>0</v>
      </c>
      <c r="AM69" s="2178">
        <f t="shared" si="95"/>
        <v>8.160501794847173</v>
      </c>
      <c r="AN69" s="1956"/>
      <c r="AO69" s="2169"/>
      <c r="AP69" s="2176"/>
      <c r="AQ69" s="2176"/>
      <c r="AR69" s="2176"/>
      <c r="AS69" s="2176"/>
      <c r="AT69" s="2176"/>
      <c r="AU69" s="2176"/>
      <c r="AV69" s="1951"/>
      <c r="AW69" s="2169">
        <f t="shared" si="190"/>
        <v>0</v>
      </c>
      <c r="AX69" s="2170">
        <f>$K$69*0</f>
        <v>0</v>
      </c>
      <c r="AY69" s="2178">
        <f t="shared" si="191"/>
        <v>0</v>
      </c>
      <c r="AZ69" s="1951"/>
      <c r="BA69" s="2169"/>
      <c r="BB69" s="2176"/>
      <c r="BC69" s="2176"/>
      <c r="BD69" s="2176"/>
      <c r="BE69" s="2176"/>
      <c r="BF69" s="2176"/>
      <c r="BG69" s="2171"/>
      <c r="BH69" s="1951"/>
      <c r="BI69" s="2169">
        <f t="shared" si="177"/>
        <v>0</v>
      </c>
      <c r="BJ69" s="2170">
        <f>$K$69*0</f>
        <v>0</v>
      </c>
      <c r="BK69" s="2178">
        <f t="shared" si="178"/>
        <v>0</v>
      </c>
      <c r="BL69" s="1951"/>
      <c r="BM69" s="2169"/>
      <c r="BN69" s="2307"/>
      <c r="BO69" s="2171"/>
      <c r="BP69" s="1951"/>
      <c r="BQ69" s="2169">
        <f t="shared" si="179"/>
        <v>0</v>
      </c>
      <c r="BR69" s="2170">
        <f>$K$69*0</f>
        <v>0</v>
      </c>
      <c r="BS69" s="2178">
        <f t="shared" si="180"/>
        <v>0</v>
      </c>
      <c r="BU69" s="2179"/>
      <c r="BV69" s="2180"/>
      <c r="BW69" s="1900"/>
      <c r="BX69" s="2179">
        <f t="shared" si="181"/>
        <v>17.228209843902615</v>
      </c>
      <c r="BY69" s="2181">
        <f t="shared" si="182"/>
        <v>0.2297094645853682</v>
      </c>
      <c r="BZ69" s="2353"/>
      <c r="CA69" s="4636"/>
      <c r="CD69" s="4169"/>
      <c r="CE69" s="1946"/>
      <c r="CF69" s="1946"/>
      <c r="CG69" s="1946"/>
      <c r="CH69" s="1946"/>
      <c r="CI69" s="1946"/>
      <c r="CJ69" s="1946"/>
      <c r="CK69" s="1946"/>
      <c r="CL69" s="1946"/>
    </row>
    <row r="70" spans="1:90" s="1726" customFormat="1" ht="17.25" thickBot="1" x14ac:dyDescent="0.25">
      <c r="A70" s="1756"/>
      <c r="B70" s="2107">
        <v>53</v>
      </c>
      <c r="C70" s="2108" t="s">
        <v>242</v>
      </c>
      <c r="D70" s="2646"/>
      <c r="E70" s="2092">
        <v>0</v>
      </c>
      <c r="F70" s="2111">
        <f>E70/10</f>
        <v>0</v>
      </c>
      <c r="G70" s="2111">
        <f>E70/15</f>
        <v>0</v>
      </c>
      <c r="H70" s="2111">
        <f>E70/20</f>
        <v>0</v>
      </c>
      <c r="I70" s="2111">
        <f>E70/25</f>
        <v>0</v>
      </c>
      <c r="J70" s="2111"/>
      <c r="K70" s="2111">
        <f t="shared" si="169"/>
        <v>0</v>
      </c>
      <c r="L70" s="4125"/>
      <c r="M70" s="4125"/>
      <c r="N70" s="2112">
        <f t="shared" si="170"/>
        <v>0</v>
      </c>
      <c r="O70" s="1931"/>
      <c r="P70" s="1924"/>
      <c r="Q70" s="2090">
        <f t="shared" ref="Q70:V70" si="217">IF(Q62&gt;$K$73,$K$70,IF(Q62&lt;$K$73,(IF(Q62&lt;0,0,Q62*$N$70))))</f>
        <v>0</v>
      </c>
      <c r="R70" s="2088">
        <f t="shared" si="217"/>
        <v>0</v>
      </c>
      <c r="S70" s="2088">
        <f t="shared" si="217"/>
        <v>0</v>
      </c>
      <c r="T70" s="2088">
        <f t="shared" si="217"/>
        <v>0</v>
      </c>
      <c r="U70" s="2088">
        <f t="shared" si="217"/>
        <v>0</v>
      </c>
      <c r="V70" s="2088">
        <f t="shared" si="217"/>
        <v>0</v>
      </c>
      <c r="W70" s="2091">
        <f t="shared" ref="W70" si="218">IF(W62&gt;$K$73,$K$70,IF(W62&lt;$K$73,(IF(W62&lt;0,0,W62*$N$70))))</f>
        <v>0</v>
      </c>
      <c r="X70" s="4186"/>
      <c r="Y70" s="2090">
        <f t="shared" si="148"/>
        <v>0</v>
      </c>
      <c r="Z70" s="2087">
        <f>$K$70*0</f>
        <v>0</v>
      </c>
      <c r="AA70" s="2174">
        <f t="shared" si="121"/>
        <v>0</v>
      </c>
      <c r="AB70" s="4191"/>
      <c r="AC70" s="2090">
        <f t="shared" ref="AC70" si="219">IF(AC62&gt;$K$73,$K$70,IF(AC62&lt;$K$73,(IF(AC62&lt;0,0,AC62*$N$70))))</f>
        <v>0</v>
      </c>
      <c r="AD70" s="2087">
        <f t="shared" ref="AD70:AE70" si="220">IF(AD62&gt;$K$73,$K$70,IF(AD62&lt;$K$73,(IF(AD62&lt;0,0,AD62*$N$70))))</f>
        <v>0</v>
      </c>
      <c r="AE70" s="2087">
        <f t="shared" si="220"/>
        <v>0</v>
      </c>
      <c r="AF70" s="2087">
        <f t="shared" ref="AF70:AG70" si="221">IF(AF62&gt;$K$73,$K$70,IF(AF62&lt;$K$73,(IF(AF62&lt;0,0,AF62*$N$70))))</f>
        <v>0</v>
      </c>
      <c r="AG70" s="2087">
        <f t="shared" si="221"/>
        <v>0</v>
      </c>
      <c r="AH70" s="2087">
        <f t="shared" ref="AH70" si="222">IF(AH62&gt;$K$73,$K$70,IF(AH62&lt;$K$73,(IF(AH62&lt;0,0,AH62*$N$70))))</f>
        <v>0</v>
      </c>
      <c r="AI70" s="2091"/>
      <c r="AJ70" s="4191"/>
      <c r="AK70" s="2090">
        <f t="shared" si="94"/>
        <v>0</v>
      </c>
      <c r="AL70" s="2087">
        <f>$K$70*0</f>
        <v>0</v>
      </c>
      <c r="AM70" s="2174">
        <f t="shared" si="95"/>
        <v>0</v>
      </c>
      <c r="AN70" s="4191"/>
      <c r="AO70" s="2090"/>
      <c r="AP70" s="2088"/>
      <c r="AQ70" s="2088"/>
      <c r="AR70" s="2088"/>
      <c r="AS70" s="2088"/>
      <c r="AT70" s="2088"/>
      <c r="AU70" s="2088"/>
      <c r="AV70" s="4186"/>
      <c r="AW70" s="2090">
        <f t="shared" si="190"/>
        <v>0</v>
      </c>
      <c r="AX70" s="2087">
        <f>$K$70*0</f>
        <v>0</v>
      </c>
      <c r="AY70" s="2174">
        <f t="shared" si="191"/>
        <v>0</v>
      </c>
      <c r="AZ70" s="4186"/>
      <c r="BA70" s="2090"/>
      <c r="BB70" s="2088"/>
      <c r="BC70" s="2088"/>
      <c r="BD70" s="2088"/>
      <c r="BE70" s="2088"/>
      <c r="BF70" s="2088"/>
      <c r="BG70" s="2091"/>
      <c r="BH70" s="4186"/>
      <c r="BI70" s="2090">
        <f t="shared" si="177"/>
        <v>0</v>
      </c>
      <c r="BJ70" s="2087">
        <f>$K$70*0</f>
        <v>0</v>
      </c>
      <c r="BK70" s="2174">
        <f t="shared" si="178"/>
        <v>0</v>
      </c>
      <c r="BL70" s="4186"/>
      <c r="BM70" s="2090"/>
      <c r="BN70" s="2305"/>
      <c r="BO70" s="2091"/>
      <c r="BP70" s="4186"/>
      <c r="BQ70" s="2090">
        <f t="shared" si="179"/>
        <v>0</v>
      </c>
      <c r="BR70" s="2087">
        <f>$K$70*0</f>
        <v>0</v>
      </c>
      <c r="BS70" s="2174">
        <f t="shared" si="180"/>
        <v>0</v>
      </c>
      <c r="BU70" s="2092"/>
      <c r="BV70" s="2093"/>
      <c r="BW70" s="1740"/>
      <c r="BX70" s="2092">
        <f t="shared" si="181"/>
        <v>0</v>
      </c>
      <c r="BY70" s="2094" t="e">
        <f t="shared" si="182"/>
        <v>#DIV/0!</v>
      </c>
      <c r="BZ70" s="2351"/>
      <c r="CA70" s="4636"/>
      <c r="CD70" s="4172"/>
      <c r="CE70" s="1860"/>
      <c r="CF70" s="1860"/>
      <c r="CG70" s="1860"/>
      <c r="CH70" s="1860"/>
      <c r="CI70" s="1860"/>
      <c r="CJ70" s="1860"/>
      <c r="CK70" s="1860"/>
      <c r="CL70" s="1860"/>
    </row>
    <row r="71" spans="1:90" s="1885" customFormat="1" x14ac:dyDescent="0.2">
      <c r="B71" s="2691">
        <v>54</v>
      </c>
      <c r="C71" s="2692" t="s">
        <v>227</v>
      </c>
      <c r="D71" s="2693"/>
      <c r="E71" s="2694">
        <v>0</v>
      </c>
      <c r="F71" s="2695"/>
      <c r="G71" s="2695"/>
      <c r="H71" s="2695"/>
      <c r="I71" s="2695"/>
      <c r="J71" s="2695"/>
      <c r="K71" s="2695">
        <f t="shared" si="169"/>
        <v>0</v>
      </c>
      <c r="L71" s="4130"/>
      <c r="M71" s="4130"/>
      <c r="N71" s="2696">
        <f t="shared" si="170"/>
        <v>0</v>
      </c>
      <c r="O71" s="2003"/>
      <c r="P71" s="1950"/>
      <c r="Q71" s="2169">
        <f t="shared" ref="Q71:V71" si="223">IF(Q62&gt;$K$73,$K$71,IF(Q62&lt;$K$73,(IF(Q62&lt;0,0,Q62*$N$71))))</f>
        <v>0</v>
      </c>
      <c r="R71" s="2176">
        <f t="shared" si="223"/>
        <v>0</v>
      </c>
      <c r="S71" s="2176">
        <f t="shared" si="223"/>
        <v>0</v>
      </c>
      <c r="T71" s="2176">
        <f t="shared" si="223"/>
        <v>0</v>
      </c>
      <c r="U71" s="2176">
        <f t="shared" si="223"/>
        <v>0</v>
      </c>
      <c r="V71" s="2176">
        <f t="shared" si="223"/>
        <v>0</v>
      </c>
      <c r="W71" s="2171">
        <f t="shared" ref="W71" si="224">IF(W62&gt;$K$73,$K$71,IF(W62&lt;$K$73,(IF(W62&lt;0,0,W62*$N$71))))</f>
        <v>0</v>
      </c>
      <c r="X71" s="1951"/>
      <c r="Y71" s="2169">
        <f t="shared" si="148"/>
        <v>0</v>
      </c>
      <c r="Z71" s="2170">
        <f>$K$71*0</f>
        <v>0</v>
      </c>
      <c r="AA71" s="2178">
        <f t="shared" si="121"/>
        <v>0</v>
      </c>
      <c r="AB71" s="1956"/>
      <c r="AC71" s="2169">
        <f t="shared" ref="AC71" si="225">IF(AC62&gt;$K$73,$K$71,IF(AC62&lt;$K$73,(IF(AC62&lt;0,0,AC62*$N$71))))</f>
        <v>0</v>
      </c>
      <c r="AD71" s="2170">
        <f t="shared" ref="AD71:AE71" si="226">IF(AD62&gt;$K$73,$K$71,IF(AD62&lt;$K$73,(IF(AD62&lt;0,0,AD62*$N$71))))</f>
        <v>0</v>
      </c>
      <c r="AE71" s="2170">
        <f t="shared" si="226"/>
        <v>0</v>
      </c>
      <c r="AF71" s="2170">
        <f t="shared" ref="AF71:AG71" si="227">IF(AF62&gt;$K$73,$K$71,IF(AF62&lt;$K$73,(IF(AF62&lt;0,0,AF62*$N$71))))</f>
        <v>0</v>
      </c>
      <c r="AG71" s="2170">
        <f t="shared" si="227"/>
        <v>0</v>
      </c>
      <c r="AH71" s="2170">
        <f t="shared" ref="AH71" si="228">IF(AH62&gt;$K$73,$K$71,IF(AH62&lt;$K$73,(IF(AH62&lt;0,0,AH62*$N$71))))</f>
        <v>0</v>
      </c>
      <c r="AI71" s="2171"/>
      <c r="AJ71" s="1956"/>
      <c r="AK71" s="2169">
        <f t="shared" si="94"/>
        <v>0</v>
      </c>
      <c r="AL71" s="2170">
        <f>$K$71*0</f>
        <v>0</v>
      </c>
      <c r="AM71" s="2178">
        <f t="shared" si="95"/>
        <v>0</v>
      </c>
      <c r="AN71" s="1956"/>
      <c r="AO71" s="2169"/>
      <c r="AP71" s="2176"/>
      <c r="AQ71" s="2176"/>
      <c r="AR71" s="2176"/>
      <c r="AS71" s="2176"/>
      <c r="AT71" s="2176"/>
      <c r="AU71" s="2176"/>
      <c r="AV71" s="1951"/>
      <c r="AW71" s="2169">
        <f t="shared" si="190"/>
        <v>0</v>
      </c>
      <c r="AX71" s="2170">
        <f>$K$71*0</f>
        <v>0</v>
      </c>
      <c r="AY71" s="2178">
        <f t="shared" si="191"/>
        <v>0</v>
      </c>
      <c r="AZ71" s="1951"/>
      <c r="BA71" s="2169"/>
      <c r="BB71" s="2176"/>
      <c r="BC71" s="2176"/>
      <c r="BD71" s="2176"/>
      <c r="BE71" s="2176"/>
      <c r="BF71" s="2176"/>
      <c r="BG71" s="2171"/>
      <c r="BH71" s="1951"/>
      <c r="BI71" s="2169">
        <f t="shared" si="177"/>
        <v>0</v>
      </c>
      <c r="BJ71" s="2170">
        <f>$K$71*0</f>
        <v>0</v>
      </c>
      <c r="BK71" s="2178">
        <f t="shared" si="178"/>
        <v>0</v>
      </c>
      <c r="BL71" s="1951"/>
      <c r="BM71" s="2169"/>
      <c r="BN71" s="2307"/>
      <c r="BO71" s="2171"/>
      <c r="BP71" s="1951"/>
      <c r="BQ71" s="2169">
        <f t="shared" si="179"/>
        <v>0</v>
      </c>
      <c r="BR71" s="2170">
        <f>$K$71*0</f>
        <v>0</v>
      </c>
      <c r="BS71" s="2178">
        <f t="shared" si="180"/>
        <v>0</v>
      </c>
      <c r="BU71" s="2179"/>
      <c r="BV71" s="2180"/>
      <c r="BW71" s="1900"/>
      <c r="BX71" s="2179">
        <f t="shared" si="181"/>
        <v>0</v>
      </c>
      <c r="BY71" s="2181" t="e">
        <f t="shared" si="182"/>
        <v>#DIV/0!</v>
      </c>
      <c r="BZ71" s="2353"/>
      <c r="CA71" s="4636"/>
      <c r="CD71" s="4169"/>
      <c r="CE71" s="1946"/>
      <c r="CF71" s="1946"/>
      <c r="CG71" s="1946"/>
      <c r="CH71" s="1946"/>
      <c r="CI71" s="1946"/>
      <c r="CJ71" s="1946"/>
      <c r="CK71" s="1946"/>
      <c r="CL71" s="1946"/>
    </row>
    <row r="72" spans="1:90" s="1726" customFormat="1" ht="17.25" thickBot="1" x14ac:dyDescent="0.25">
      <c r="B72" s="2647">
        <v>55</v>
      </c>
      <c r="C72" s="2648" t="s">
        <v>228</v>
      </c>
      <c r="D72" s="2649"/>
      <c r="E72" s="2193">
        <v>0</v>
      </c>
      <c r="F72" s="2313">
        <f>E72/10</f>
        <v>0</v>
      </c>
      <c r="G72" s="2313">
        <f>E72/15</f>
        <v>0</v>
      </c>
      <c r="H72" s="2313">
        <f>E72/20</f>
        <v>0</v>
      </c>
      <c r="I72" s="2313">
        <f>E72/25</f>
        <v>0</v>
      </c>
      <c r="J72" s="2313"/>
      <c r="K72" s="2313">
        <f t="shared" si="169"/>
        <v>0</v>
      </c>
      <c r="L72" s="4131"/>
      <c r="M72" s="4131"/>
      <c r="N72" s="2194">
        <f t="shared" si="170"/>
        <v>0</v>
      </c>
      <c r="O72" s="1931"/>
      <c r="P72" s="1924"/>
      <c r="Q72" s="2092">
        <f t="shared" ref="Q72:V72" si="229">IF(Q62&gt;$K$73,$K$72,IF(Q62&lt;$K$73,(IF(Q62&lt;0,0,Q62*$N$72))))</f>
        <v>0</v>
      </c>
      <c r="R72" s="2111">
        <f t="shared" si="229"/>
        <v>0</v>
      </c>
      <c r="S72" s="2111">
        <f t="shared" si="229"/>
        <v>0</v>
      </c>
      <c r="T72" s="2111">
        <f t="shared" si="229"/>
        <v>0</v>
      </c>
      <c r="U72" s="2111">
        <f t="shared" si="229"/>
        <v>0</v>
      </c>
      <c r="V72" s="2111">
        <f t="shared" si="229"/>
        <v>0</v>
      </c>
      <c r="W72" s="2113">
        <f t="shared" ref="W72" si="230">IF(W62&gt;$K$73,$K$72,IF(W62&lt;$K$73,(IF(W62&lt;0,0,W62*$N$72))))</f>
        <v>0</v>
      </c>
      <c r="X72" s="4186"/>
      <c r="Y72" s="2445">
        <f t="shared" si="56"/>
        <v>0</v>
      </c>
      <c r="Z72" s="2650">
        <f>$K$72*0</f>
        <v>0</v>
      </c>
      <c r="AA72" s="2651">
        <f t="shared" si="121"/>
        <v>0</v>
      </c>
      <c r="AB72" s="4191"/>
      <c r="AC72" s="2445">
        <f t="shared" ref="AC72" si="231">IF(AC62&gt;$K$73,$K$72,IF(AC62&lt;$K$73,(IF(AC62&lt;0,0,AC62*$N$72))))</f>
        <v>0</v>
      </c>
      <c r="AD72" s="2650">
        <f t="shared" ref="AD72:AE72" si="232">IF(AD62&gt;$K$73,$K$72,IF(AD62&lt;$K$73,(IF(AD62&lt;0,0,AD62*$N$72))))</f>
        <v>0</v>
      </c>
      <c r="AE72" s="2650">
        <f t="shared" si="232"/>
        <v>0</v>
      </c>
      <c r="AF72" s="2650">
        <f t="shared" ref="AF72:AG72" si="233">IF(AF62&gt;$K$73,$K$72,IF(AF62&lt;$K$73,(IF(AF62&lt;0,0,AF62*$N$72))))</f>
        <v>0</v>
      </c>
      <c r="AG72" s="2650">
        <f t="shared" si="233"/>
        <v>0</v>
      </c>
      <c r="AH72" s="2650">
        <f t="shared" ref="AH72" si="234">IF(AH62&gt;$K$73,$K$72,IF(AH62&lt;$K$73,(IF(AH62&lt;0,0,AH62*$N$72))))</f>
        <v>0</v>
      </c>
      <c r="AI72" s="2652"/>
      <c r="AJ72" s="4191"/>
      <c r="AK72" s="2445">
        <f t="shared" si="94"/>
        <v>0</v>
      </c>
      <c r="AL72" s="2650">
        <f>$K$72*0</f>
        <v>0</v>
      </c>
      <c r="AM72" s="2651">
        <f t="shared" si="95"/>
        <v>0</v>
      </c>
      <c r="AN72" s="4191"/>
      <c r="AO72" s="2193"/>
      <c r="AP72" s="2313"/>
      <c r="AQ72" s="2313"/>
      <c r="AR72" s="2313"/>
      <c r="AS72" s="2313"/>
      <c r="AT72" s="2313"/>
      <c r="AU72" s="2313"/>
      <c r="AV72" s="4186"/>
      <c r="AW72" s="2445">
        <f t="shared" si="190"/>
        <v>0</v>
      </c>
      <c r="AX72" s="2650">
        <f>$K$72*0</f>
        <v>0</v>
      </c>
      <c r="AY72" s="2651">
        <f t="shared" si="191"/>
        <v>0</v>
      </c>
      <c r="AZ72" s="4186"/>
      <c r="BA72" s="2193"/>
      <c r="BB72" s="2313"/>
      <c r="BC72" s="2313"/>
      <c r="BD72" s="2313"/>
      <c r="BE72" s="2313"/>
      <c r="BF72" s="2313"/>
      <c r="BG72" s="2314"/>
      <c r="BH72" s="4186"/>
      <c r="BI72" s="2445">
        <f t="shared" si="177"/>
        <v>0</v>
      </c>
      <c r="BJ72" s="2650">
        <f>$K$72*0</f>
        <v>0</v>
      </c>
      <c r="BK72" s="2651">
        <f t="shared" si="178"/>
        <v>0</v>
      </c>
      <c r="BL72" s="4186"/>
      <c r="BM72" s="2193"/>
      <c r="BN72" s="2312"/>
      <c r="BO72" s="2314"/>
      <c r="BP72" s="4186"/>
      <c r="BQ72" s="2445">
        <f t="shared" si="179"/>
        <v>0</v>
      </c>
      <c r="BR72" s="2650">
        <f>$K$72*0</f>
        <v>0</v>
      </c>
      <c r="BS72" s="2651">
        <f t="shared" si="180"/>
        <v>0</v>
      </c>
      <c r="BU72" s="2193"/>
      <c r="BV72" s="2654"/>
      <c r="BW72" s="1740"/>
      <c r="BX72" s="2193">
        <f t="shared" si="181"/>
        <v>0</v>
      </c>
      <c r="BY72" s="2195" t="e">
        <f t="shared" si="182"/>
        <v>#DIV/0!</v>
      </c>
      <c r="BZ72" s="2351"/>
      <c r="CA72" s="4636"/>
      <c r="CD72" s="4172"/>
      <c r="CE72" s="4172"/>
      <c r="CF72" s="1860"/>
      <c r="CG72" s="1860"/>
      <c r="CH72" s="1860"/>
      <c r="CI72" s="1860"/>
      <c r="CJ72" s="1860"/>
      <c r="CK72" s="1860"/>
      <c r="CL72" s="1860"/>
    </row>
    <row r="73" spans="1:90" s="1885" customFormat="1" ht="17.25" thickBot="1" x14ac:dyDescent="0.25">
      <c r="B73" s="2697"/>
      <c r="C73" s="2698" t="s">
        <v>194</v>
      </c>
      <c r="D73" s="2119"/>
      <c r="E73" s="2183">
        <f>SUM(E64:E72)</f>
        <v>1664</v>
      </c>
      <c r="F73" s="2311">
        <f>SUM(F51:F72)</f>
        <v>153.15</v>
      </c>
      <c r="G73" s="2311">
        <f>SUM(G51:G72)</f>
        <v>102.10000000000001</v>
      </c>
      <c r="H73" s="2311">
        <f>SUM(H51:H72)</f>
        <v>76.575000000000003</v>
      </c>
      <c r="I73" s="2311">
        <f>SUM(I51:I72)</f>
        <v>61.260000000000005</v>
      </c>
      <c r="J73" s="2311"/>
      <c r="K73" s="2311">
        <f>SUM(K64:K72)</f>
        <v>53.677419354838712</v>
      </c>
      <c r="L73" s="4132"/>
      <c r="M73" s="4132"/>
      <c r="N73" s="2699">
        <f>SUM(N64:N72)</f>
        <v>1</v>
      </c>
      <c r="O73" s="2003"/>
      <c r="P73" s="1950"/>
      <c r="Q73" s="2120">
        <f t="shared" ref="Q73:R73" si="235">SUM(Q64:Q72)</f>
        <v>18.029382760034128</v>
      </c>
      <c r="R73" s="2121">
        <f t="shared" si="235"/>
        <v>19.880382760034124</v>
      </c>
      <c r="S73" s="2121">
        <f t="shared" ref="S73:T73" si="236">SUM(S64:S72)</f>
        <v>53.677419354838712</v>
      </c>
      <c r="T73" s="2121">
        <f t="shared" si="236"/>
        <v>42.712882760034127</v>
      </c>
      <c r="U73" s="2121">
        <f t="shared" ref="U73:V73" si="237">SUM(U64:U72)</f>
        <v>22.280382760034115</v>
      </c>
      <c r="V73" s="2121">
        <f t="shared" si="237"/>
        <v>8.8153827600341099</v>
      </c>
      <c r="W73" s="2124">
        <f t="shared" ref="W73" si="238">SUM(W64:W72)</f>
        <v>35.786382760034115</v>
      </c>
      <c r="X73" s="1951"/>
      <c r="Y73" s="2120">
        <f>SUM(Y64:Y72)</f>
        <v>201.18221591504343</v>
      </c>
      <c r="Z73" s="2123">
        <f>SUM(Z64:Z72)</f>
        <v>0</v>
      </c>
      <c r="AA73" s="2125">
        <f>SUM(AA64:AA72)</f>
        <v>201.18221591504343</v>
      </c>
      <c r="AB73" s="1956"/>
      <c r="AC73" s="2120">
        <f t="shared" ref="AC73" si="239">SUM(AC64:AC72)</f>
        <v>48.259882760034117</v>
      </c>
      <c r="AD73" s="2123">
        <f t="shared" ref="AD73:AE73" si="240">SUM(AD64:AD72)</f>
        <v>43.943882760034107</v>
      </c>
      <c r="AE73" s="2123">
        <f t="shared" si="240"/>
        <v>53.677419354838712</v>
      </c>
      <c r="AF73" s="2123">
        <f t="shared" ref="AF73:AG73" si="241">SUM(AF64:AF72)</f>
        <v>26.798382760034119</v>
      </c>
      <c r="AG73" s="2123">
        <f t="shared" si="241"/>
        <v>0.60888276003411868</v>
      </c>
      <c r="AH73" s="2123">
        <f t="shared" ref="AH73" si="242">SUM(AH64:AH72)</f>
        <v>7.7658827600341152</v>
      </c>
      <c r="AI73" s="2124"/>
      <c r="AJ73" s="1956"/>
      <c r="AK73" s="2120">
        <f>SUM(AC73:AI73)</f>
        <v>181.05433315500929</v>
      </c>
      <c r="AL73" s="2123">
        <f>SUM(AL64:AL72)</f>
        <v>0</v>
      </c>
      <c r="AM73" s="2125">
        <f>SUM(AM51:AM72)</f>
        <v>311.31239767113834</v>
      </c>
      <c r="AN73" s="1956"/>
      <c r="AO73" s="2120"/>
      <c r="AP73" s="2121"/>
      <c r="AQ73" s="2121"/>
      <c r="AR73" s="2121"/>
      <c r="AS73" s="2121"/>
      <c r="AT73" s="2121"/>
      <c r="AU73" s="2121"/>
      <c r="AV73" s="1951"/>
      <c r="AW73" s="2120">
        <f>SUM(AO73:AU73)</f>
        <v>0</v>
      </c>
      <c r="AX73" s="2123">
        <f>SUM(AX64:AX72)</f>
        <v>0</v>
      </c>
      <c r="AY73" s="2125">
        <f>SUM(AY51:AY72)</f>
        <v>0</v>
      </c>
      <c r="AZ73" s="1951"/>
      <c r="BA73" s="2120"/>
      <c r="BB73" s="2121"/>
      <c r="BC73" s="2121"/>
      <c r="BD73" s="2121"/>
      <c r="BE73" s="2121"/>
      <c r="BF73" s="2121"/>
      <c r="BG73" s="2124"/>
      <c r="BH73" s="1951"/>
      <c r="BI73" s="2187">
        <f>SUM(BA73:BG73)</f>
        <v>0</v>
      </c>
      <c r="BJ73" s="2701">
        <f>SUM(BJ64:BJ72)</f>
        <v>0</v>
      </c>
      <c r="BK73" s="2702">
        <f>SUM(BK51:BK72)</f>
        <v>0</v>
      </c>
      <c r="BL73" s="1951"/>
      <c r="BM73" s="2120"/>
      <c r="BN73" s="4196"/>
      <c r="BO73" s="2124"/>
      <c r="BP73" s="1951"/>
      <c r="BQ73" s="2187">
        <f t="shared" si="179"/>
        <v>0</v>
      </c>
      <c r="BR73" s="2701">
        <f>SUM(BR51:BR72)</f>
        <v>0</v>
      </c>
      <c r="BS73" s="2702">
        <f>SUM(BS51:BS72)</f>
        <v>0</v>
      </c>
      <c r="BU73" s="2187">
        <f>AA73+AM73+AY73</f>
        <v>512.4946135861818</v>
      </c>
      <c r="BV73" s="2427"/>
      <c r="BW73" s="1900"/>
      <c r="BX73" s="2187">
        <f>SUM(BX64:BX72)</f>
        <v>382.23654907005272</v>
      </c>
      <c r="BY73" s="2189">
        <f t="shared" si="182"/>
        <v>0.22970946458536823</v>
      </c>
      <c r="BZ73" s="2353"/>
      <c r="CA73" s="4637"/>
      <c r="CD73" s="4169"/>
      <c r="CE73" s="1946"/>
      <c r="CF73" s="1946"/>
      <c r="CG73" s="1946"/>
      <c r="CH73" s="1946"/>
      <c r="CI73" s="1946"/>
      <c r="CJ73" s="1946"/>
      <c r="CK73" s="1946"/>
      <c r="CL73" s="1946"/>
    </row>
    <row r="74" spans="1:90" s="1860" customFormat="1" ht="4.5" customHeight="1" x14ac:dyDescent="0.2">
      <c r="B74" s="2196"/>
      <c r="C74" s="2196"/>
      <c r="D74" s="1861"/>
      <c r="E74" s="2197"/>
      <c r="F74" s="2197"/>
      <c r="G74" s="2197"/>
      <c r="H74" s="2197"/>
      <c r="I74" s="2197"/>
      <c r="J74" s="2197"/>
      <c r="K74" s="2197"/>
      <c r="L74" s="2197"/>
      <c r="M74" s="2197"/>
      <c r="N74" s="2198"/>
      <c r="O74" s="1760"/>
      <c r="P74" s="4172"/>
      <c r="Q74" s="2197"/>
      <c r="R74" s="2197"/>
      <c r="S74" s="2197"/>
      <c r="T74" s="2197"/>
      <c r="U74" s="2197"/>
      <c r="V74" s="2197"/>
      <c r="W74" s="2197"/>
      <c r="X74" s="4173"/>
      <c r="Y74" s="4173"/>
      <c r="Z74" s="4173"/>
      <c r="AA74" s="4173"/>
      <c r="AB74" s="1862"/>
      <c r="AC74" s="2199"/>
      <c r="AD74" s="2199"/>
      <c r="AE74" s="2199"/>
      <c r="AF74" s="2199"/>
      <c r="AG74" s="2199"/>
      <c r="AH74" s="2199"/>
      <c r="AI74" s="2199"/>
      <c r="AJ74" s="1862"/>
      <c r="AK74" s="4173"/>
      <c r="AL74" s="4173"/>
      <c r="AM74" s="4173"/>
      <c r="AN74" s="1862"/>
      <c r="AO74" s="2197"/>
      <c r="AP74" s="2197"/>
      <c r="AQ74" s="2197"/>
      <c r="AR74" s="2197"/>
      <c r="AS74" s="2197"/>
      <c r="AT74" s="2197"/>
      <c r="AU74" s="2197"/>
      <c r="AV74" s="4173"/>
      <c r="AW74" s="4173"/>
      <c r="AX74" s="4173"/>
      <c r="AY74" s="4173"/>
      <c r="AZ74" s="4173"/>
      <c r="BA74" s="2197"/>
      <c r="BB74" s="2197"/>
      <c r="BC74" s="2197"/>
      <c r="BD74" s="2197"/>
      <c r="BE74" s="2197"/>
      <c r="BF74" s="2197"/>
      <c r="BG74" s="2197"/>
      <c r="BH74" s="4173"/>
      <c r="BI74" s="4173"/>
      <c r="BJ74" s="4173"/>
      <c r="BK74" s="4173"/>
      <c r="BL74" s="4173"/>
      <c r="BM74" s="2197"/>
      <c r="BN74" s="2197"/>
      <c r="BO74" s="2197"/>
      <c r="BP74" s="4173"/>
      <c r="BQ74" s="4173"/>
      <c r="BR74" s="4173"/>
      <c r="BS74" s="4173"/>
      <c r="BU74" s="2197"/>
      <c r="BV74" s="2200"/>
      <c r="BW74" s="1861"/>
      <c r="BX74" s="2197"/>
      <c r="BY74" s="2198"/>
      <c r="BZ74" s="1997"/>
      <c r="CA74" s="4172"/>
    </row>
    <row r="75" spans="1:90" s="1860" customFormat="1" ht="15.75" customHeight="1" x14ac:dyDescent="0.2">
      <c r="B75" s="2196"/>
      <c r="C75" s="2197"/>
      <c r="D75" s="1861"/>
      <c r="E75" s="1732">
        <f>E60+E73</f>
        <v>2000.5</v>
      </c>
      <c r="F75" s="1732">
        <f t="shared" ref="F75:I75" si="243">F60+F73</f>
        <v>153.15</v>
      </c>
      <c r="G75" s="1732">
        <f t="shared" si="243"/>
        <v>102.10000000000001</v>
      </c>
      <c r="H75" s="1732">
        <f t="shared" si="243"/>
        <v>76.575000000000003</v>
      </c>
      <c r="I75" s="1732">
        <f t="shared" si="243"/>
        <v>61.260000000000005</v>
      </c>
      <c r="J75" s="1732"/>
      <c r="K75" s="1732">
        <f>K60+K73</f>
        <v>64.532258064516128</v>
      </c>
      <c r="L75" s="1732"/>
      <c r="M75" s="1732"/>
      <c r="N75" s="1882">
        <f>E75/E94</f>
        <v>0.38114453865887804</v>
      </c>
      <c r="O75" s="1760"/>
      <c r="P75" s="4172"/>
      <c r="Q75" s="1732">
        <f t="shared" ref="Q75:R75" si="244">Q62-Q73</f>
        <v>0</v>
      </c>
      <c r="R75" s="1732">
        <f t="shared" si="244"/>
        <v>0</v>
      </c>
      <c r="S75" s="1732">
        <f t="shared" ref="S75:T75" si="245">S62-S73</f>
        <v>6.3229902929838744</v>
      </c>
      <c r="T75" s="1732">
        <f t="shared" si="245"/>
        <v>0</v>
      </c>
      <c r="U75" s="1732">
        <f t="shared" ref="U75:V75" si="246">U62-U73</f>
        <v>0</v>
      </c>
      <c r="V75" s="1732">
        <f t="shared" si="246"/>
        <v>0</v>
      </c>
      <c r="W75" s="1732">
        <f t="shared" ref="W75" si="247">W62-W73</f>
        <v>0</v>
      </c>
      <c r="X75" s="4173"/>
      <c r="Y75" s="4173"/>
      <c r="Z75" s="4173"/>
      <c r="AA75" s="4173"/>
      <c r="AB75" s="1862"/>
      <c r="AC75" s="1732">
        <f t="shared" ref="AC75" si="248">AC62-AC73</f>
        <v>0</v>
      </c>
      <c r="AD75" s="1732">
        <f t="shared" ref="AD75:AE75" si="249">AD62-AD73</f>
        <v>0</v>
      </c>
      <c r="AE75" s="1732">
        <f t="shared" si="249"/>
        <v>1.947490292983872</v>
      </c>
      <c r="AF75" s="1732">
        <f t="shared" ref="AF75:AG75" si="250">AF62-AF73</f>
        <v>0</v>
      </c>
      <c r="AG75" s="1732">
        <f t="shared" si="250"/>
        <v>0</v>
      </c>
      <c r="AH75" s="1732">
        <f t="shared" ref="AH75" si="251">AH62-AH73</f>
        <v>0</v>
      </c>
      <c r="AI75" s="1732"/>
      <c r="AJ75" s="1862"/>
      <c r="AK75" s="4173"/>
      <c r="AL75" s="4173"/>
      <c r="AM75" s="4173"/>
      <c r="AN75" s="1862"/>
      <c r="AO75" s="1732"/>
      <c r="AP75" s="1732"/>
      <c r="AQ75" s="1732"/>
      <c r="AR75" s="1732"/>
      <c r="AS75" s="1732"/>
      <c r="AT75" s="1732"/>
      <c r="AU75" s="1732"/>
      <c r="AV75" s="4173"/>
      <c r="AW75" s="4173"/>
      <c r="AX75" s="4173"/>
      <c r="AY75" s="4173"/>
      <c r="AZ75" s="4173"/>
      <c r="BA75" s="1732"/>
      <c r="BB75" s="1732"/>
      <c r="BC75" s="1732"/>
      <c r="BD75" s="1732"/>
      <c r="BE75" s="1732"/>
      <c r="BF75" s="1732"/>
      <c r="BG75" s="1732"/>
      <c r="BH75" s="4173"/>
      <c r="BI75" s="4173"/>
      <c r="BJ75" s="4173"/>
      <c r="BK75" s="4173"/>
      <c r="BL75" s="4173"/>
      <c r="BM75" s="1732"/>
      <c r="BN75" s="1732"/>
      <c r="BO75" s="1732"/>
      <c r="BP75" s="4173"/>
      <c r="BQ75" s="4173"/>
      <c r="BR75" s="4173"/>
      <c r="BS75" s="4173"/>
      <c r="BU75" s="1732"/>
      <c r="BV75" s="2211"/>
      <c r="BW75" s="1861"/>
      <c r="BX75" s="1732"/>
      <c r="BY75" s="1882"/>
      <c r="BZ75" s="1997"/>
      <c r="CA75" s="4172"/>
    </row>
    <row r="76" spans="1:90" s="1860" customFormat="1" ht="4.5" customHeight="1" thickBot="1" x14ac:dyDescent="0.25">
      <c r="B76" s="2196"/>
      <c r="C76" s="2196"/>
      <c r="D76" s="1861"/>
      <c r="E76" s="2197"/>
      <c r="F76" s="2197"/>
      <c r="G76" s="2197"/>
      <c r="H76" s="2197"/>
      <c r="I76" s="2197"/>
      <c r="J76" s="2197"/>
      <c r="K76" s="2197"/>
      <c r="L76" s="2197"/>
      <c r="M76" s="2197"/>
      <c r="N76" s="2198"/>
      <c r="O76" s="1760"/>
      <c r="P76" s="4172"/>
      <c r="Q76" s="4173"/>
      <c r="R76" s="4173"/>
      <c r="S76" s="4221"/>
      <c r="T76" s="4173"/>
      <c r="U76" s="4246"/>
      <c r="V76" s="4254"/>
      <c r="W76" s="4173"/>
      <c r="X76" s="4173"/>
      <c r="Y76" s="4173"/>
      <c r="Z76" s="4173"/>
      <c r="AA76" s="4173"/>
      <c r="AB76" s="1862"/>
      <c r="AC76" s="2232"/>
      <c r="AD76" s="2232"/>
      <c r="AE76" s="2232"/>
      <c r="AF76" s="2232"/>
      <c r="AG76" s="2232"/>
      <c r="AH76" s="2232"/>
      <c r="AI76" s="2232"/>
      <c r="AJ76" s="1862"/>
      <c r="AK76" s="4173"/>
      <c r="AL76" s="4173"/>
      <c r="AM76" s="4173"/>
      <c r="AN76" s="1862"/>
      <c r="AO76" s="2232"/>
      <c r="AP76" s="2232"/>
      <c r="AQ76" s="2232"/>
      <c r="AR76" s="2232"/>
      <c r="AS76" s="2232"/>
      <c r="AT76" s="2232"/>
      <c r="AU76" s="2232"/>
      <c r="AV76" s="4173"/>
      <c r="AW76" s="4173"/>
      <c r="AX76" s="4173"/>
      <c r="AY76" s="4173"/>
      <c r="AZ76" s="4173"/>
      <c r="BA76" s="2232"/>
      <c r="BB76" s="2232"/>
      <c r="BC76" s="2232"/>
      <c r="BD76" s="2232"/>
      <c r="BE76" s="2232"/>
      <c r="BF76" s="2232"/>
      <c r="BG76" s="2232"/>
      <c r="BH76" s="4173"/>
      <c r="BI76" s="4173"/>
      <c r="BJ76" s="4173"/>
      <c r="BK76" s="4173"/>
      <c r="BL76" s="4173"/>
      <c r="BM76" s="2199"/>
      <c r="BN76" s="2199"/>
      <c r="BO76" s="2199"/>
      <c r="BP76" s="4173"/>
      <c r="BQ76" s="4173"/>
      <c r="BR76" s="4173"/>
      <c r="BS76" s="4173"/>
      <c r="BU76" s="2199"/>
      <c r="BV76" s="2203"/>
      <c r="BW76" s="1861"/>
      <c r="BX76" s="2199"/>
      <c r="BY76" s="2204"/>
      <c r="BZ76" s="1997"/>
      <c r="CA76" s="4172"/>
    </row>
    <row r="77" spans="1:90" s="1885" customFormat="1" ht="17.25" thickBot="1" x14ac:dyDescent="0.25">
      <c r="B77" s="2401"/>
      <c r="C77" s="2401" t="s">
        <v>151</v>
      </c>
      <c r="D77" s="2402"/>
      <c r="E77" s="1898">
        <f>(E73+E60)*100/20</f>
        <v>10002.5</v>
      </c>
      <c r="F77" s="1898" t="e">
        <f>#REF!+F73</f>
        <v>#REF!</v>
      </c>
      <c r="G77" s="1898" t="e">
        <f>#REF!+G73</f>
        <v>#REF!</v>
      </c>
      <c r="H77" s="1898" t="e">
        <f>#REF!+H73</f>
        <v>#REF!</v>
      </c>
      <c r="I77" s="1898" t="e">
        <f>#REF!+I73</f>
        <v>#REF!</v>
      </c>
      <c r="J77" s="1898"/>
      <c r="K77" s="1898">
        <f>(K73+K60)*100/20</f>
        <v>322.66129032258061</v>
      </c>
      <c r="L77" s="1898"/>
      <c r="M77" s="1898"/>
      <c r="N77" s="1899">
        <f>E77/E92</f>
        <v>0.38114453865887804</v>
      </c>
      <c r="O77" s="1949"/>
      <c r="P77" s="4169"/>
      <c r="Q77" s="4167"/>
      <c r="R77" s="4167"/>
      <c r="S77" s="4220"/>
      <c r="T77" s="4167"/>
      <c r="U77" s="4245"/>
      <c r="V77" s="4253"/>
      <c r="W77" s="4167"/>
      <c r="X77" s="4170"/>
      <c r="Y77" s="2319"/>
      <c r="Z77" s="2321"/>
      <c r="AA77" s="2433"/>
      <c r="AB77" s="1897"/>
      <c r="AC77" s="4167"/>
      <c r="AD77" s="4167"/>
      <c r="AE77" s="4167"/>
      <c r="AF77" s="4167"/>
      <c r="AG77" s="4167"/>
      <c r="AH77" s="4167"/>
      <c r="AI77" s="4167"/>
      <c r="AJ77" s="1896"/>
      <c r="AK77" s="2319"/>
      <c r="AL77" s="2321"/>
      <c r="AM77" s="2433"/>
      <c r="AN77" s="1897"/>
      <c r="AO77" s="4167"/>
      <c r="AP77" s="4167"/>
      <c r="AQ77" s="4167"/>
      <c r="AR77" s="4167"/>
      <c r="AS77" s="4167"/>
      <c r="AT77" s="4167"/>
      <c r="AU77" s="4167"/>
      <c r="AV77" s="2295"/>
      <c r="AW77" s="2319"/>
      <c r="AX77" s="2321"/>
      <c r="AY77" s="2433"/>
      <c r="AZ77" s="4170"/>
      <c r="BA77" s="4167"/>
      <c r="BB77" s="4167"/>
      <c r="BC77" s="4167"/>
      <c r="BD77" s="4167"/>
      <c r="BE77" s="4167"/>
      <c r="BF77" s="4167"/>
      <c r="BG77" s="4167"/>
      <c r="BH77" s="2295"/>
      <c r="BI77" s="2319">
        <f t="shared" ref="BI77:BI78" si="252">SUM(BA77:BG77)</f>
        <v>0</v>
      </c>
      <c r="BJ77" s="2321"/>
      <c r="BK77" s="2433"/>
      <c r="BL77" s="4170"/>
      <c r="BM77" s="1898"/>
      <c r="BN77" s="1898"/>
      <c r="BO77" s="1898"/>
      <c r="BP77" s="4170"/>
      <c r="BQ77" s="2319">
        <f>SUM(BM77:BO77)</f>
        <v>0</v>
      </c>
      <c r="BR77" s="2321"/>
      <c r="BS77" s="2433"/>
      <c r="BU77" s="1898"/>
      <c r="BV77" s="2202"/>
      <c r="BW77" s="1900"/>
      <c r="BX77" s="1898"/>
      <c r="BY77" s="1899"/>
      <c r="BZ77" s="2010"/>
      <c r="CA77" s="4169"/>
    </row>
    <row r="78" spans="1:90" s="1726" customFormat="1" ht="17.25" thickBot="1" x14ac:dyDescent="0.25">
      <c r="B78" s="2049"/>
      <c r="C78" s="2050" t="s">
        <v>149</v>
      </c>
      <c r="D78" s="2051"/>
      <c r="E78" s="2052"/>
      <c r="F78" s="2053"/>
      <c r="G78" s="2053"/>
      <c r="H78" s="2053"/>
      <c r="I78" s="2053"/>
      <c r="J78" s="2053"/>
      <c r="K78" s="2053"/>
      <c r="L78" s="4127"/>
      <c r="M78" s="4127"/>
      <c r="N78" s="2253"/>
      <c r="O78" s="2216"/>
      <c r="P78" s="2055"/>
      <c r="Q78" s="2053">
        <f t="shared" ref="Q78:V78" si="253">IF(Q75&gt;$K$75,Q75,IF(Q75&lt;$K$75,(IF(Q75&lt;0,-64.532,(Q62+Q60)-$K$75))))</f>
        <v>-35.648036594804587</v>
      </c>
      <c r="R78" s="2053">
        <f t="shared" si="253"/>
        <v>-33.797036594804588</v>
      </c>
      <c r="S78" s="2053">
        <f t="shared" si="253"/>
        <v>6.3229902929838744</v>
      </c>
      <c r="T78" s="2053">
        <f t="shared" si="253"/>
        <v>-10.964536594804592</v>
      </c>
      <c r="U78" s="2053">
        <f t="shared" si="253"/>
        <v>-31.397036594804597</v>
      </c>
      <c r="V78" s="2053">
        <f t="shared" si="253"/>
        <v>-44.8620365948046</v>
      </c>
      <c r="W78" s="2057">
        <f t="shared" ref="W78" si="254">IF(W75&gt;$K$75,W75,IF(W75&lt;$K$75,(IF(W75&lt;0,-64.532,(W62+W60)-$K$75))))</f>
        <v>-17.891036594804596</v>
      </c>
      <c r="X78" s="4186"/>
      <c r="Y78" s="2056">
        <f>SUM(Q78:W78)</f>
        <v>-168.23672927584371</v>
      </c>
      <c r="Z78" s="2052"/>
      <c r="AA78" s="2057"/>
      <c r="AB78" s="4191"/>
      <c r="AC78" s="2056">
        <f t="shared" ref="AC78" si="255">IF(AC75&gt;$K$75,AC75,IF(AC75&lt;$K$75,(IF(AC75&lt;0,-64.532,(AC62+AC60)-$K$75))))</f>
        <v>-5.417536594804595</v>
      </c>
      <c r="AD78" s="2053">
        <f t="shared" ref="AD78:AE78" si="256">IF(AD75&gt;$K$75,AD75,IF(AD75&lt;$K$75,(IF(AD75&lt;0,-64.532,(AD62+AD60)-$K$75))))</f>
        <v>-9.7335365948045975</v>
      </c>
      <c r="AE78" s="2053">
        <f t="shared" si="256"/>
        <v>1.947490292983872</v>
      </c>
      <c r="AF78" s="2053">
        <f t="shared" ref="AF78:AG78" si="257">IF(AF75&gt;$K$75,AF75,IF(AF75&lt;$K$75,(IF(AF75&lt;0,-64.532,(AF62+AF60)-$K$75))))</f>
        <v>-26.879036594804596</v>
      </c>
      <c r="AG78" s="2053">
        <f t="shared" si="257"/>
        <v>-53.068536594804591</v>
      </c>
      <c r="AH78" s="2053">
        <f t="shared" ref="AH78" si="258">IF(AH75&gt;$K$75,AH75,IF(AH75&lt;$K$75,(IF(AH75&lt;0,-64.532,(AH62+AH60)-$K$75))))</f>
        <v>-45.911536594804595</v>
      </c>
      <c r="AI78" s="2053"/>
      <c r="AJ78" s="4191"/>
      <c r="AK78" s="2056">
        <f>SUM(AC78:AI78)</f>
        <v>-139.0626926810391</v>
      </c>
      <c r="AL78" s="2052"/>
      <c r="AM78" s="2057"/>
      <c r="AN78" s="1764"/>
      <c r="AO78" s="2056"/>
      <c r="AP78" s="2053"/>
      <c r="AQ78" s="2053"/>
      <c r="AR78" s="2053"/>
      <c r="AS78" s="2053"/>
      <c r="AT78" s="2053"/>
      <c r="AU78" s="2053"/>
      <c r="AV78" s="2300"/>
      <c r="AW78" s="2056">
        <f t="shared" ref="AW78" si="259">SUM(AO78:AU78)</f>
        <v>0</v>
      </c>
      <c r="AX78" s="2052"/>
      <c r="AY78" s="2057"/>
      <c r="AZ78" s="4186"/>
      <c r="BA78" s="2056"/>
      <c r="BB78" s="2053"/>
      <c r="BC78" s="2053"/>
      <c r="BD78" s="2053"/>
      <c r="BE78" s="2053"/>
      <c r="BF78" s="2053"/>
      <c r="BG78" s="2057"/>
      <c r="BH78" s="4186"/>
      <c r="BI78" s="2056">
        <f t="shared" si="252"/>
        <v>0</v>
      </c>
      <c r="BJ78" s="2052"/>
      <c r="BK78" s="2057"/>
      <c r="BL78" s="1740"/>
      <c r="BM78" s="2056"/>
      <c r="BN78" s="2963"/>
      <c r="BO78" s="2057"/>
      <c r="BP78" s="2301"/>
      <c r="BQ78" s="2058">
        <f>SUM(BM78:BO78)</f>
        <v>0</v>
      </c>
      <c r="BR78" s="2324"/>
      <c r="BS78" s="2190"/>
      <c r="BT78" s="1862"/>
      <c r="BU78" s="2058">
        <f>SUM(Q78:W78)+SUM(AC78:AI78)+SUM(AO78:AU78)+SUM(BA78:BG78)+SUM(BO78:BO78)</f>
        <v>-307.29942195688284</v>
      </c>
      <c r="BV78" s="2054"/>
      <c r="BW78" s="1740"/>
      <c r="BX78" s="1740"/>
      <c r="BY78" s="1740"/>
      <c r="BZ78" s="1861"/>
    </row>
    <row r="79" spans="1:90" s="1756" customFormat="1" ht="17.25" thickBot="1" x14ac:dyDescent="0.25">
      <c r="B79" s="1817"/>
      <c r="C79" s="1817"/>
      <c r="D79" s="1817"/>
      <c r="E79" s="4186"/>
      <c r="F79" s="4186"/>
      <c r="G79" s="4186"/>
      <c r="H79" s="4186"/>
      <c r="I79" s="4186"/>
      <c r="J79" s="4186"/>
      <c r="K79" s="4186"/>
      <c r="L79" s="4186"/>
      <c r="M79" s="4217"/>
      <c r="N79" s="1818"/>
      <c r="O79" s="2216"/>
      <c r="P79" s="2055"/>
      <c r="Q79" s="4186"/>
      <c r="R79" s="4186"/>
      <c r="S79" s="4222"/>
      <c r="T79" s="4186"/>
      <c r="U79" s="4247"/>
      <c r="V79" s="4255"/>
      <c r="W79" s="4186"/>
      <c r="X79" s="4186"/>
      <c r="Y79" s="4186"/>
      <c r="Z79" s="4186"/>
      <c r="AA79" s="4186"/>
      <c r="AB79" s="4191"/>
      <c r="AC79" s="4186"/>
      <c r="AD79" s="4186"/>
      <c r="AE79" s="4186"/>
      <c r="AF79" s="4186"/>
      <c r="AG79" s="4186"/>
      <c r="AH79" s="4186"/>
      <c r="AI79" s="4186"/>
      <c r="AJ79" s="4191"/>
      <c r="AK79" s="4186"/>
      <c r="AL79" s="4186"/>
      <c r="AM79" s="4186"/>
      <c r="AN79" s="4191"/>
      <c r="AO79" s="4186"/>
      <c r="AP79" s="4186"/>
      <c r="AQ79" s="4186"/>
      <c r="AR79" s="4186"/>
      <c r="AS79" s="4186"/>
      <c r="AT79" s="4186"/>
      <c r="AU79" s="4186"/>
      <c r="AV79" s="4186"/>
      <c r="AW79" s="4186"/>
      <c r="AX79" s="4186"/>
      <c r="AY79" s="4186"/>
      <c r="AZ79" s="4186"/>
      <c r="BA79" s="4186"/>
      <c r="BB79" s="4186"/>
      <c r="BC79" s="4186"/>
      <c r="BD79" s="4186"/>
      <c r="BE79" s="4186"/>
      <c r="BF79" s="4186"/>
      <c r="BG79" s="4186"/>
      <c r="BH79" s="4186"/>
      <c r="BI79" s="4186"/>
      <c r="BJ79" s="4186"/>
      <c r="BK79" s="4186"/>
      <c r="BL79" s="4186"/>
      <c r="BM79" s="4186"/>
      <c r="BN79" s="4186"/>
      <c r="BO79" s="4186"/>
      <c r="BP79" s="4186"/>
      <c r="BQ79" s="4186"/>
      <c r="BR79" s="4186"/>
      <c r="BS79" s="4186"/>
      <c r="BT79" s="4191"/>
      <c r="BU79" s="4186"/>
      <c r="BV79" s="1830"/>
      <c r="BW79" s="4168"/>
      <c r="BX79" s="4168"/>
      <c r="BY79" s="4168"/>
      <c r="BZ79" s="1817"/>
    </row>
    <row r="80" spans="1:90" s="1947" customFormat="1" x14ac:dyDescent="0.2">
      <c r="A80" s="2217"/>
      <c r="B80" s="2218">
        <v>56</v>
      </c>
      <c r="C80" s="2218" t="s">
        <v>74</v>
      </c>
      <c r="D80" s="2219"/>
      <c r="E80" s="4188">
        <v>350</v>
      </c>
      <c r="F80" s="4188">
        <f t="shared" ref="F80:F89" si="260">E80/10</f>
        <v>35</v>
      </c>
      <c r="G80" s="4188">
        <f t="shared" ref="G80:G81" si="261">E80/15</f>
        <v>23.333333333333332</v>
      </c>
      <c r="H80" s="4188">
        <f t="shared" ref="H80:H81" si="262">E80/20</f>
        <v>17.5</v>
      </c>
      <c r="I80" s="4188">
        <f t="shared" ref="I80:I81" si="263">E80/25</f>
        <v>14</v>
      </c>
      <c r="J80" s="4188"/>
      <c r="K80" s="4188">
        <f>E80/31</f>
        <v>11.290322580645162</v>
      </c>
      <c r="L80" s="4188"/>
      <c r="M80" s="4218"/>
      <c r="N80" s="2008">
        <f>E80/E94</f>
        <v>6.6683623359463789E-2</v>
      </c>
      <c r="O80" s="1949"/>
      <c r="P80" s="1905"/>
      <c r="Q80" s="4188">
        <f t="shared" ref="Q80:W80" si="264">$E$80/31</f>
        <v>11.290322580645162</v>
      </c>
      <c r="R80" s="4188">
        <f t="shared" si="264"/>
        <v>11.290322580645162</v>
      </c>
      <c r="S80" s="4223">
        <f t="shared" si="264"/>
        <v>11.290322580645162</v>
      </c>
      <c r="T80" s="4188">
        <f t="shared" si="264"/>
        <v>11.290322580645162</v>
      </c>
      <c r="U80" s="4248">
        <f t="shared" si="264"/>
        <v>11.290322580645162</v>
      </c>
      <c r="V80" s="4256">
        <f t="shared" si="264"/>
        <v>11.290322580645162</v>
      </c>
      <c r="W80" s="4188">
        <f t="shared" si="264"/>
        <v>11.290322580645162</v>
      </c>
      <c r="X80" s="1951"/>
      <c r="Y80" s="2220">
        <f t="shared" si="56"/>
        <v>79.032258064516142</v>
      </c>
      <c r="Z80" s="2221"/>
      <c r="AA80" s="2222"/>
      <c r="AB80" s="1955"/>
      <c r="AC80" s="2223">
        <f t="shared" ref="AC80:AH80" si="265">$E$80/31</f>
        <v>11.290322580645162</v>
      </c>
      <c r="AD80" s="2223">
        <f t="shared" si="265"/>
        <v>11.290322580645162</v>
      </c>
      <c r="AE80" s="2223">
        <f t="shared" si="265"/>
        <v>11.290322580645162</v>
      </c>
      <c r="AF80" s="2223">
        <f t="shared" si="265"/>
        <v>11.290322580645162</v>
      </c>
      <c r="AG80" s="2223">
        <f t="shared" si="265"/>
        <v>11.290322580645162</v>
      </c>
      <c r="AH80" s="2223">
        <f t="shared" si="265"/>
        <v>11.290322580645162</v>
      </c>
      <c r="AI80" s="2223"/>
      <c r="AJ80" s="1955"/>
      <c r="AK80" s="2220">
        <f t="shared" ref="AK80:AK81" si="266">SUM(AC80:AI80)</f>
        <v>67.741935483870975</v>
      </c>
      <c r="AL80" s="2221"/>
      <c r="AM80" s="2222"/>
      <c r="AN80" s="1955"/>
      <c r="AO80" s="2223"/>
      <c r="AP80" s="2223"/>
      <c r="AQ80" s="2223"/>
      <c r="AR80" s="2223"/>
      <c r="AS80" s="2223"/>
      <c r="AT80" s="2223"/>
      <c r="AU80" s="2223"/>
      <c r="AV80" s="2299"/>
      <c r="AW80" s="2220">
        <f t="shared" ref="AW80:AW83" si="267">SUM(AO80:AU80)</f>
        <v>0</v>
      </c>
      <c r="AX80" s="2221"/>
      <c r="AY80" s="2222"/>
      <c r="AZ80" s="2299"/>
      <c r="BA80" s="2223"/>
      <c r="BB80" s="2223"/>
      <c r="BC80" s="2223"/>
      <c r="BD80" s="2223"/>
      <c r="BE80" s="2223"/>
      <c r="BF80" s="2223"/>
      <c r="BG80" s="2223"/>
      <c r="BH80" s="2299"/>
      <c r="BI80" s="2220">
        <f t="shared" ref="BI80:BI81" si="268">SUM(BA80:BG80)</f>
        <v>0</v>
      </c>
      <c r="BJ80" s="2221"/>
      <c r="BK80" s="2222"/>
      <c r="BL80" s="1951"/>
      <c r="BM80" s="4188"/>
      <c r="BN80" s="4188"/>
      <c r="BO80" s="4188"/>
      <c r="BP80" s="1951"/>
      <c r="BQ80" s="2220">
        <f>SUM(BM80:BO80)</f>
        <v>0</v>
      </c>
      <c r="BR80" s="2221"/>
      <c r="BS80" s="2222"/>
      <c r="BU80" s="4188">
        <f>SUM(Q80:W80)+SUM(AC80:AI80)+SUM(AO80:AU80)+SUM(BA80:BG80)+SUM(BO80:BO80)</f>
        <v>146.77419354838713</v>
      </c>
      <c r="BV80" s="2008">
        <f>BU80/E80</f>
        <v>0.41935483870967755</v>
      </c>
      <c r="BW80" s="1959"/>
      <c r="BX80" s="2224"/>
      <c r="BY80" s="2225"/>
      <c r="BZ80" s="2339"/>
      <c r="CA80" s="1950"/>
    </row>
    <row r="81" spans="2:80" s="1860" customFormat="1" ht="17.25" thickBot="1" x14ac:dyDescent="0.25">
      <c r="B81" s="1739"/>
      <c r="C81" s="1739" t="s">
        <v>153</v>
      </c>
      <c r="D81" s="2205"/>
      <c r="E81" s="1732">
        <f>E80*100/20</f>
        <v>1750</v>
      </c>
      <c r="F81" s="1732">
        <f t="shared" si="260"/>
        <v>175</v>
      </c>
      <c r="G81" s="1732">
        <f t="shared" si="261"/>
        <v>116.66666666666667</v>
      </c>
      <c r="H81" s="1732">
        <f t="shared" si="262"/>
        <v>87.5</v>
      </c>
      <c r="I81" s="1732">
        <f t="shared" si="263"/>
        <v>70</v>
      </c>
      <c r="J81" s="1732"/>
      <c r="K81" s="1732">
        <f>K80*100/20</f>
        <v>56.451612903225808</v>
      </c>
      <c r="L81" s="1732"/>
      <c r="M81" s="1732"/>
      <c r="N81" s="1882">
        <f>E81/E92</f>
        <v>6.6683623359463789E-2</v>
      </c>
      <c r="O81" s="1760"/>
      <c r="P81" s="4172"/>
      <c r="Q81" s="1732">
        <f t="shared" ref="Q81:R81" si="269">Q80*100/20</f>
        <v>56.451612903225808</v>
      </c>
      <c r="R81" s="1732">
        <f t="shared" si="269"/>
        <v>56.451612903225808</v>
      </c>
      <c r="S81" s="1732">
        <f t="shared" ref="S81:T81" si="270">S80*100/20</f>
        <v>56.451612903225808</v>
      </c>
      <c r="T81" s="1732">
        <f t="shared" si="270"/>
        <v>56.451612903225808</v>
      </c>
      <c r="U81" s="1732">
        <f t="shared" ref="U81:V81" si="271">U80*100/20</f>
        <v>56.451612903225808</v>
      </c>
      <c r="V81" s="1732">
        <f t="shared" si="271"/>
        <v>56.451612903225808</v>
      </c>
      <c r="W81" s="1732">
        <f t="shared" ref="W81" si="272">W80*100/20</f>
        <v>56.451612903225808</v>
      </c>
      <c r="X81" s="4173"/>
      <c r="Y81" s="4179">
        <f t="shared" si="56"/>
        <v>395.16129032258061</v>
      </c>
      <c r="Z81" s="2227"/>
      <c r="AA81" s="2228"/>
      <c r="AB81" s="1881"/>
      <c r="AC81" s="2210">
        <f t="shared" ref="AC81" si="273">AC80*100/20</f>
        <v>56.451612903225808</v>
      </c>
      <c r="AD81" s="2210">
        <f t="shared" ref="AD81:AE81" si="274">AD80*100/20</f>
        <v>56.451612903225808</v>
      </c>
      <c r="AE81" s="2210">
        <f t="shared" si="274"/>
        <v>56.451612903225808</v>
      </c>
      <c r="AF81" s="2210">
        <f t="shared" ref="AF81:AG81" si="275">AF80*100/20</f>
        <v>56.451612903225808</v>
      </c>
      <c r="AG81" s="2210">
        <f t="shared" si="275"/>
        <v>56.451612903225808</v>
      </c>
      <c r="AH81" s="2210">
        <f t="shared" ref="AH81" si="276">AH80*100/20</f>
        <v>56.451612903225808</v>
      </c>
      <c r="AI81" s="2210"/>
      <c r="AJ81" s="1881"/>
      <c r="AK81" s="4179">
        <f t="shared" si="266"/>
        <v>338.70967741935482</v>
      </c>
      <c r="AL81" s="2227"/>
      <c r="AM81" s="2228"/>
      <c r="AN81" s="1881"/>
      <c r="AO81" s="2210"/>
      <c r="AP81" s="2210"/>
      <c r="AQ81" s="2210"/>
      <c r="AR81" s="2210"/>
      <c r="AS81" s="2210"/>
      <c r="AT81" s="2210"/>
      <c r="AU81" s="2210"/>
      <c r="AV81" s="2293"/>
      <c r="AW81" s="4179">
        <f t="shared" si="267"/>
        <v>0</v>
      </c>
      <c r="AX81" s="2227"/>
      <c r="AY81" s="2228"/>
      <c r="AZ81" s="2293"/>
      <c r="BA81" s="2210"/>
      <c r="BB81" s="2210"/>
      <c r="BC81" s="2210"/>
      <c r="BD81" s="2210"/>
      <c r="BE81" s="2210"/>
      <c r="BF81" s="2210"/>
      <c r="BG81" s="2210"/>
      <c r="BH81" s="2293"/>
      <c r="BI81" s="4179">
        <f t="shared" si="268"/>
        <v>0</v>
      </c>
      <c r="BJ81" s="2227"/>
      <c r="BK81" s="2228"/>
      <c r="BL81" s="4173"/>
      <c r="BM81" s="1732"/>
      <c r="BN81" s="1732"/>
      <c r="BO81" s="1732"/>
      <c r="BP81" s="4173"/>
      <c r="BQ81" s="4179">
        <f>SUM(BM81:BO81)</f>
        <v>0</v>
      </c>
      <c r="BR81" s="2227"/>
      <c r="BS81" s="2228"/>
      <c r="BT81" s="1726"/>
      <c r="BU81" s="1732">
        <f>SUM(Q81:W81)+SUM(AC81:AI81)+SUM(AO81:AU81)+SUM(BA81:BG81)+SUM(BO81:BO81)</f>
        <v>733.87096774193537</v>
      </c>
      <c r="BV81" s="1882">
        <f>BU81/E81</f>
        <v>0.41935483870967738</v>
      </c>
      <c r="BW81" s="1740"/>
      <c r="BX81" s="2229"/>
      <c r="BY81" s="2230"/>
      <c r="BZ81" s="2059"/>
      <c r="CA81" s="1877"/>
      <c r="CB81" s="1726"/>
    </row>
    <row r="82" spans="2:80" s="1860" customFormat="1" ht="4.5" customHeight="1" thickBot="1" x14ac:dyDescent="0.25">
      <c r="B82" s="2231"/>
      <c r="C82" s="2231"/>
      <c r="D82" s="1861"/>
      <c r="E82" s="2232"/>
      <c r="F82" s="2232"/>
      <c r="G82" s="2232"/>
      <c r="H82" s="2232"/>
      <c r="I82" s="2232"/>
      <c r="J82" s="2232"/>
      <c r="K82" s="2232"/>
      <c r="L82" s="2232"/>
      <c r="M82" s="2232"/>
      <c r="N82" s="2233"/>
      <c r="O82" s="1760"/>
      <c r="P82" s="4172"/>
      <c r="Q82" s="2232"/>
      <c r="R82" s="2232"/>
      <c r="S82" s="2232"/>
      <c r="T82" s="2232"/>
      <c r="U82" s="2232"/>
      <c r="V82" s="2232"/>
      <c r="W82" s="2232"/>
      <c r="X82" s="4173"/>
      <c r="Y82" s="4173"/>
      <c r="Z82" s="4173"/>
      <c r="AA82" s="4173"/>
      <c r="AB82" s="1862"/>
      <c r="AC82" s="2232"/>
      <c r="AD82" s="2232"/>
      <c r="AE82" s="2232"/>
      <c r="AF82" s="2232"/>
      <c r="AG82" s="2232"/>
      <c r="AH82" s="2232"/>
      <c r="AI82" s="2232"/>
      <c r="AJ82" s="1862"/>
      <c r="AK82" s="4173"/>
      <c r="AL82" s="4173"/>
      <c r="AM82" s="4173"/>
      <c r="AN82" s="1862"/>
      <c r="AO82" s="2232"/>
      <c r="AP82" s="2232"/>
      <c r="AQ82" s="2232"/>
      <c r="AR82" s="2232"/>
      <c r="AS82" s="2232"/>
      <c r="AT82" s="2232"/>
      <c r="AU82" s="2232"/>
      <c r="AV82" s="4173"/>
      <c r="AW82" s="4173"/>
      <c r="AX82" s="4173"/>
      <c r="AY82" s="4173"/>
      <c r="AZ82" s="4173"/>
      <c r="BA82" s="2232"/>
      <c r="BB82" s="2232"/>
      <c r="BC82" s="2232"/>
      <c r="BD82" s="2232"/>
      <c r="BE82" s="2232"/>
      <c r="BF82" s="2232"/>
      <c r="BG82" s="2232"/>
      <c r="BH82" s="4173"/>
      <c r="BI82" s="4173"/>
      <c r="BJ82" s="4173"/>
      <c r="BK82" s="4173"/>
      <c r="BL82" s="4173"/>
      <c r="BM82" s="2232"/>
      <c r="BN82" s="2232"/>
      <c r="BO82" s="2232"/>
      <c r="BP82" s="4173"/>
      <c r="BQ82" s="4173"/>
      <c r="BR82" s="4173"/>
      <c r="BS82" s="4173"/>
      <c r="BT82" s="1726"/>
      <c r="BU82" s="2232"/>
      <c r="BV82" s="2233"/>
      <c r="BW82" s="1740"/>
      <c r="BX82" s="4173"/>
      <c r="BY82" s="2059"/>
      <c r="BZ82" s="2059"/>
      <c r="CA82" s="1877"/>
      <c r="CB82" s="1726"/>
    </row>
    <row r="83" spans="2:80" s="1885" customFormat="1" ht="17.25" thickBot="1" x14ac:dyDescent="0.25">
      <c r="B83" s="2117"/>
      <c r="C83" s="2212" t="s">
        <v>154</v>
      </c>
      <c r="D83" s="2119"/>
      <c r="E83" s="2123"/>
      <c r="F83" s="2121"/>
      <c r="G83" s="2121"/>
      <c r="H83" s="2121"/>
      <c r="I83" s="2121"/>
      <c r="J83" s="2121"/>
      <c r="K83" s="2121"/>
      <c r="L83" s="4120"/>
      <c r="M83" s="4120"/>
      <c r="N83" s="2129"/>
      <c r="O83" s="2213"/>
      <c r="P83" s="2214"/>
      <c r="Q83" s="2120">
        <f t="shared" ref="Q83:V83" si="277">IF(Q78&gt;$K$80,Q78-Q80,IF(Q78&lt;$K$80,(IF(Q78&lt;0,-11.29,Q78-Q80))))</f>
        <v>-11.29</v>
      </c>
      <c r="R83" s="2121">
        <f t="shared" si="277"/>
        <v>-11.29</v>
      </c>
      <c r="S83" s="2121">
        <f t="shared" si="277"/>
        <v>-4.9673322876612875</v>
      </c>
      <c r="T83" s="2121">
        <f t="shared" si="277"/>
        <v>-11.29</v>
      </c>
      <c r="U83" s="2121">
        <f t="shared" si="277"/>
        <v>-11.29</v>
      </c>
      <c r="V83" s="2121">
        <f t="shared" si="277"/>
        <v>-11.29</v>
      </c>
      <c r="W83" s="2124">
        <f t="shared" ref="W83" si="278">IF(W78&gt;$K$80,W78-W80,IF(W78&lt;$K$80,(IF(W78&lt;0,-11.29,W78-W80))))</f>
        <v>-11.29</v>
      </c>
      <c r="X83" s="1951"/>
      <c r="Y83" s="2120">
        <f>SUM(Q83:W83)</f>
        <v>-72.707332287661274</v>
      </c>
      <c r="Z83" s="2123"/>
      <c r="AA83" s="2124"/>
      <c r="AB83" s="1956"/>
      <c r="AC83" s="2120">
        <f t="shared" ref="AC83" si="279">IF(AC78&gt;$K$80,AC78-AC80,IF(AC78&lt;$K$80,(IF(AC78&lt;0,-11.29,AC78-AC80))))</f>
        <v>-11.29</v>
      </c>
      <c r="AD83" s="2121">
        <f t="shared" ref="AD83:AE83" si="280">IF(AD78&gt;$K$80,AD78-AD80,IF(AD78&lt;$K$80,(IF(AD78&lt;0,-11.29,AD78-AD80))))</f>
        <v>-11.29</v>
      </c>
      <c r="AE83" s="2121">
        <f t="shared" si="280"/>
        <v>-9.3428322876612899</v>
      </c>
      <c r="AF83" s="2121">
        <f t="shared" ref="AF83:AG83" si="281">IF(AF78&gt;$K$80,AF78-AF80,IF(AF78&lt;$K$80,(IF(AF78&lt;0,-11.29,AF78-AF80))))</f>
        <v>-11.29</v>
      </c>
      <c r="AG83" s="2121">
        <f t="shared" si="281"/>
        <v>-11.29</v>
      </c>
      <c r="AH83" s="2121">
        <f t="shared" ref="AH83" si="282">IF(AH78&gt;$K$80,AH78-AH80,IF(AH78&lt;$K$80,(IF(AH78&lt;0,-11.29,AH78-AH80))))</f>
        <v>-11.29</v>
      </c>
      <c r="AI83" s="2121"/>
      <c r="AJ83" s="1956"/>
      <c r="AK83" s="2120">
        <f>SUM(AC83:AI83)</f>
        <v>-65.792832287661284</v>
      </c>
      <c r="AL83" s="2123"/>
      <c r="AM83" s="2124"/>
      <c r="AN83" s="1955"/>
      <c r="AO83" s="2120"/>
      <c r="AP83" s="2121"/>
      <c r="AQ83" s="2121"/>
      <c r="AR83" s="2121"/>
      <c r="AS83" s="2121"/>
      <c r="AT83" s="2121"/>
      <c r="AU83" s="2121"/>
      <c r="AV83" s="2254"/>
      <c r="AW83" s="2120">
        <f t="shared" si="267"/>
        <v>0</v>
      </c>
      <c r="AX83" s="2123"/>
      <c r="AY83" s="2124"/>
      <c r="AZ83" s="1951"/>
      <c r="BA83" s="2120"/>
      <c r="BB83" s="2121"/>
      <c r="BC83" s="2121"/>
      <c r="BD83" s="2121"/>
      <c r="BE83" s="2121"/>
      <c r="BF83" s="2121"/>
      <c r="BG83" s="2124"/>
      <c r="BH83" s="1951"/>
      <c r="BI83" s="2120">
        <f t="shared" ref="BI83" si="283">SUM(BA83:BG83)</f>
        <v>0</v>
      </c>
      <c r="BJ83" s="2123"/>
      <c r="BK83" s="2124"/>
      <c r="BL83" s="1900"/>
      <c r="BM83" s="2120"/>
      <c r="BN83" s="4196"/>
      <c r="BO83" s="2124"/>
      <c r="BP83" s="2317"/>
      <c r="BQ83" s="2215">
        <f>SUM(BM83:BO83)</f>
        <v>0</v>
      </c>
      <c r="BR83" s="2318"/>
      <c r="BS83" s="2118"/>
      <c r="BT83" s="1897"/>
      <c r="BU83" s="2215">
        <f>SUM(Q83:W83)+SUM(AC83:AI83)+SUM(AO83:AU83)+SUM(BA83:BG83)+SUM(BO83:BO83)</f>
        <v>-138.50016457532257</v>
      </c>
      <c r="BV83" s="2130">
        <f>BU83/E80</f>
        <v>-0.39571475592949307</v>
      </c>
      <c r="BW83" s="1900"/>
      <c r="BX83" s="1900"/>
      <c r="BY83" s="1900"/>
      <c r="BZ83" s="2011"/>
    </row>
    <row r="84" spans="2:80" s="1756" customFormat="1" ht="17.25" thickBot="1" x14ac:dyDescent="0.25">
      <c r="B84" s="1817"/>
      <c r="C84" s="1817"/>
      <c r="D84" s="1817"/>
      <c r="E84" s="4186"/>
      <c r="F84" s="4186"/>
      <c r="G84" s="4186"/>
      <c r="H84" s="4186"/>
      <c r="I84" s="4186"/>
      <c r="J84" s="4186"/>
      <c r="K84" s="4186"/>
      <c r="L84" s="4186"/>
      <c r="M84" s="4217"/>
      <c r="N84" s="1818"/>
      <c r="O84" s="2216"/>
      <c r="P84" s="2055"/>
      <c r="Q84" s="4186"/>
      <c r="R84" s="4186"/>
      <c r="S84" s="4186"/>
      <c r="T84" s="4186"/>
      <c r="U84" s="4186"/>
      <c r="V84" s="4186"/>
      <c r="W84" s="4186"/>
      <c r="X84" s="4186"/>
      <c r="Y84" s="4186"/>
      <c r="Z84" s="4186"/>
      <c r="AA84" s="4186"/>
      <c r="AB84" s="4191"/>
      <c r="AC84" s="4186"/>
      <c r="AD84" s="4186"/>
      <c r="AE84" s="4186"/>
      <c r="AF84" s="4186"/>
      <c r="AG84" s="4186"/>
      <c r="AH84" s="4186"/>
      <c r="AI84" s="4186"/>
      <c r="AJ84" s="4191"/>
      <c r="AK84" s="4186"/>
      <c r="AL84" s="4186"/>
      <c r="AM84" s="4186"/>
      <c r="AN84" s="4191"/>
      <c r="AO84" s="4186"/>
      <c r="AP84" s="4186"/>
      <c r="AQ84" s="4186"/>
      <c r="AR84" s="4186"/>
      <c r="AS84" s="4186"/>
      <c r="AT84" s="4186"/>
      <c r="AU84" s="4186"/>
      <c r="AV84" s="4186"/>
      <c r="AW84" s="4186"/>
      <c r="AX84" s="4186"/>
      <c r="AY84" s="4186"/>
      <c r="AZ84" s="4186"/>
      <c r="BA84" s="4186"/>
      <c r="BB84" s="4186"/>
      <c r="BC84" s="4186"/>
      <c r="BD84" s="4186"/>
      <c r="BE84" s="4186"/>
      <c r="BF84" s="4186"/>
      <c r="BG84" s="4186"/>
      <c r="BH84" s="4186"/>
      <c r="BI84" s="4186"/>
      <c r="BJ84" s="4186"/>
      <c r="BK84" s="4186"/>
      <c r="BL84" s="4186"/>
      <c r="BM84" s="4186"/>
      <c r="BN84" s="4186"/>
      <c r="BO84" s="4186"/>
      <c r="BP84" s="4186"/>
      <c r="BQ84" s="4186"/>
      <c r="BR84" s="4186"/>
      <c r="BS84" s="4186"/>
      <c r="BT84" s="4191"/>
      <c r="BU84" s="4186"/>
      <c r="BV84" s="1830"/>
      <c r="BW84" s="4168"/>
      <c r="BX84" s="4168"/>
      <c r="BY84" s="4168"/>
      <c r="BZ84" s="1817"/>
    </row>
    <row r="85" spans="2:80" s="1860" customFormat="1" x14ac:dyDescent="0.2">
      <c r="B85" s="4649"/>
      <c r="C85" s="4647" t="s">
        <v>213</v>
      </c>
      <c r="D85" s="1861"/>
      <c r="E85" s="4645">
        <f>C45</f>
        <v>14490.824999999997</v>
      </c>
      <c r="F85" s="2657"/>
      <c r="G85" s="2658"/>
      <c r="H85" s="2659"/>
      <c r="I85" s="2660"/>
      <c r="J85" s="4161"/>
      <c r="K85" s="4643">
        <f>E85/31</f>
        <v>467.44596774193536</v>
      </c>
      <c r="L85" s="4133"/>
      <c r="M85" s="4133"/>
      <c r="N85" s="4641">
        <f>K85*20%</f>
        <v>93.489193548387078</v>
      </c>
      <c r="O85" s="2216"/>
      <c r="P85" s="2055"/>
      <c r="Q85" s="4628" t="str">
        <f>IF(Q49&gt;0,"0.000",Q49)</f>
        <v>0.000</v>
      </c>
      <c r="R85" s="4630" t="str">
        <f t="shared" ref="R85:W85" si="284">IF(R49&gt;0,"0.000",R49)</f>
        <v>0.000</v>
      </c>
      <c r="S85" s="4630" t="str">
        <f t="shared" si="284"/>
        <v>0.000</v>
      </c>
      <c r="T85" s="4630" t="str">
        <f t="shared" si="284"/>
        <v>0.000</v>
      </c>
      <c r="U85" s="4630" t="str">
        <f t="shared" si="284"/>
        <v>0.000</v>
      </c>
      <c r="V85" s="4630" t="str">
        <f t="shared" si="284"/>
        <v>0.000</v>
      </c>
      <c r="W85" s="4632" t="str">
        <f t="shared" si="284"/>
        <v>0.000</v>
      </c>
      <c r="X85" s="4173"/>
      <c r="Y85" s="4628">
        <f t="shared" si="56"/>
        <v>0</v>
      </c>
      <c r="Z85" s="4630"/>
      <c r="AA85" s="4632"/>
      <c r="AB85" s="1862"/>
      <c r="AC85" s="4628" t="str">
        <f t="shared" ref="AC85:AI85" si="285">IF(AC49&gt;0,"0.000",AC49)</f>
        <v>0.000</v>
      </c>
      <c r="AD85" s="4630" t="str">
        <f t="shared" si="285"/>
        <v>0.000</v>
      </c>
      <c r="AE85" s="4630" t="str">
        <f t="shared" si="285"/>
        <v>0.000</v>
      </c>
      <c r="AF85" s="4630" t="str">
        <f t="shared" si="285"/>
        <v>0.000</v>
      </c>
      <c r="AG85" s="4630" t="str">
        <f t="shared" si="285"/>
        <v>0.000</v>
      </c>
      <c r="AH85" s="4630" t="str">
        <f t="shared" si="285"/>
        <v>0.000</v>
      </c>
      <c r="AI85" s="4632">
        <f t="shared" si="285"/>
        <v>0</v>
      </c>
      <c r="AJ85" s="1862"/>
      <c r="AK85" s="4628">
        <f t="shared" ref="AK85:AK90" si="286">SUM(AC85:AI85)</f>
        <v>0</v>
      </c>
      <c r="AL85" s="4630"/>
      <c r="AM85" s="4632"/>
      <c r="AN85" s="1862"/>
      <c r="AO85" s="4628">
        <f t="shared" ref="AO85:AU85" si="287">IF(AO49&gt;0,"0.000",AO49)</f>
        <v>0</v>
      </c>
      <c r="AP85" s="4630">
        <f t="shared" si="287"/>
        <v>0</v>
      </c>
      <c r="AQ85" s="4630">
        <f t="shared" si="287"/>
        <v>0</v>
      </c>
      <c r="AR85" s="4630">
        <f t="shared" si="287"/>
        <v>0</v>
      </c>
      <c r="AS85" s="4630">
        <f t="shared" si="287"/>
        <v>0</v>
      </c>
      <c r="AT85" s="4630">
        <f t="shared" si="287"/>
        <v>0</v>
      </c>
      <c r="AU85" s="4632">
        <f t="shared" si="287"/>
        <v>0</v>
      </c>
      <c r="AV85" s="4173"/>
      <c r="AW85" s="4628">
        <f t="shared" ref="AW85:AW90" si="288">SUM(AO85:AU85)</f>
        <v>0</v>
      </c>
      <c r="AX85" s="4630"/>
      <c r="AY85" s="4632"/>
      <c r="AZ85" s="4173"/>
      <c r="BA85" s="4628">
        <f t="shared" ref="BA85:BG85" si="289">IF(BA49&gt;0,"0.000",BA49)</f>
        <v>0</v>
      </c>
      <c r="BB85" s="4630">
        <f t="shared" si="289"/>
        <v>0</v>
      </c>
      <c r="BC85" s="4630">
        <f t="shared" si="289"/>
        <v>0</v>
      </c>
      <c r="BD85" s="4630">
        <f t="shared" si="289"/>
        <v>0</v>
      </c>
      <c r="BE85" s="4630">
        <f t="shared" si="289"/>
        <v>0</v>
      </c>
      <c r="BF85" s="4630">
        <f t="shared" si="289"/>
        <v>0</v>
      </c>
      <c r="BG85" s="4632">
        <f t="shared" si="289"/>
        <v>0</v>
      </c>
      <c r="BH85" s="4173"/>
      <c r="BI85" s="4628">
        <f t="shared" ref="BI85:BI90" si="290">SUM(BA85:BG85)</f>
        <v>0</v>
      </c>
      <c r="BJ85" s="4630"/>
      <c r="BK85" s="4632"/>
      <c r="BL85" s="4173"/>
      <c r="BM85" s="4670">
        <f t="shared" ref="BM85" si="291">IF(BM49&gt;0,"0.000",BM49)</f>
        <v>0</v>
      </c>
      <c r="BN85" s="2964"/>
      <c r="BO85" s="4674">
        <f>IF(BO49&gt;0,"0.000",BO49)</f>
        <v>0</v>
      </c>
      <c r="BP85" s="4173"/>
      <c r="BQ85" s="4628">
        <f>SUM(BM85:BO85)</f>
        <v>0</v>
      </c>
      <c r="BR85" s="4630"/>
      <c r="BS85" s="4632"/>
      <c r="BT85" s="1726"/>
      <c r="BU85" s="4628">
        <f>SUM(Q85:W85)+SUM(AC85:AI85)+SUM(AO85:AU85)+SUM(BA85:BG85)+SUM(BO85:BO85)</f>
        <v>0</v>
      </c>
      <c r="BV85" s="4632"/>
      <c r="BW85" s="1740"/>
      <c r="BX85" s="4173"/>
      <c r="BY85" s="1997"/>
      <c r="BZ85" s="1997"/>
      <c r="CA85" s="4172"/>
    </row>
    <row r="86" spans="2:80" s="1946" customFormat="1" ht="17.25" thickBot="1" x14ac:dyDescent="0.25">
      <c r="B86" s="4650"/>
      <c r="C86" s="4648"/>
      <c r="D86" s="2011"/>
      <c r="E86" s="4646"/>
      <c r="F86" s="2375"/>
      <c r="G86" s="2376"/>
      <c r="H86" s="2377"/>
      <c r="I86" s="2378"/>
      <c r="J86" s="4159"/>
      <c r="K86" s="4644">
        <f>E86/29</f>
        <v>0</v>
      </c>
      <c r="L86" s="4134"/>
      <c r="M86" s="4134"/>
      <c r="N86" s="4642"/>
      <c r="O86" s="2213"/>
      <c r="P86" s="2214"/>
      <c r="Q86" s="4629"/>
      <c r="R86" s="4631"/>
      <c r="S86" s="4631"/>
      <c r="T86" s="4631"/>
      <c r="U86" s="4631"/>
      <c r="V86" s="4631"/>
      <c r="W86" s="4633"/>
      <c r="X86" s="4170"/>
      <c r="Y86" s="4629"/>
      <c r="Z86" s="4631"/>
      <c r="AA86" s="4633"/>
      <c r="AB86" s="1897"/>
      <c r="AC86" s="4629"/>
      <c r="AD86" s="4631"/>
      <c r="AE86" s="4631"/>
      <c r="AF86" s="4631"/>
      <c r="AG86" s="4631"/>
      <c r="AH86" s="4631"/>
      <c r="AI86" s="4633"/>
      <c r="AJ86" s="1897"/>
      <c r="AK86" s="4629"/>
      <c r="AL86" s="4631"/>
      <c r="AM86" s="4633"/>
      <c r="AN86" s="1897"/>
      <c r="AO86" s="4629"/>
      <c r="AP86" s="4631"/>
      <c r="AQ86" s="4631"/>
      <c r="AR86" s="4631"/>
      <c r="AS86" s="4631"/>
      <c r="AT86" s="4631"/>
      <c r="AU86" s="4633"/>
      <c r="AV86" s="4170"/>
      <c r="AW86" s="4629"/>
      <c r="AX86" s="4631"/>
      <c r="AY86" s="4633"/>
      <c r="AZ86" s="4170"/>
      <c r="BA86" s="4629"/>
      <c r="BB86" s="4631"/>
      <c r="BC86" s="4631"/>
      <c r="BD86" s="4631"/>
      <c r="BE86" s="4631"/>
      <c r="BF86" s="4631"/>
      <c r="BG86" s="4633"/>
      <c r="BH86" s="4170"/>
      <c r="BI86" s="4629"/>
      <c r="BJ86" s="4631"/>
      <c r="BK86" s="4633"/>
      <c r="BL86" s="4170"/>
      <c r="BM86" s="4671"/>
      <c r="BN86" s="2965"/>
      <c r="BO86" s="4675"/>
      <c r="BP86" s="4170"/>
      <c r="BQ86" s="4629"/>
      <c r="BR86" s="4631"/>
      <c r="BS86" s="4633"/>
      <c r="BT86" s="1885"/>
      <c r="BU86" s="4629"/>
      <c r="BV86" s="4633"/>
      <c r="BW86" s="1900"/>
      <c r="BX86" s="4170"/>
      <c r="BY86" s="2010"/>
      <c r="BZ86" s="2010"/>
      <c r="CA86" s="4169"/>
    </row>
    <row r="87" spans="2:80" s="1860" customFormat="1" ht="5.25" customHeight="1" thickBot="1" x14ac:dyDescent="0.25">
      <c r="B87" s="1861"/>
      <c r="C87" s="1861"/>
      <c r="D87" s="1861"/>
      <c r="E87" s="4186"/>
      <c r="F87" s="2367"/>
      <c r="G87" s="2368"/>
      <c r="H87" s="2369"/>
      <c r="I87" s="2370"/>
      <c r="J87" s="4186"/>
      <c r="K87" s="4186"/>
      <c r="L87" s="4186"/>
      <c r="M87" s="4217"/>
      <c r="N87" s="1818"/>
      <c r="O87" s="2055"/>
      <c r="P87" s="2055"/>
      <c r="Q87" s="4173"/>
      <c r="R87" s="4173"/>
      <c r="S87" s="4173"/>
      <c r="T87" s="4173"/>
      <c r="U87" s="4173"/>
      <c r="V87" s="4173"/>
      <c r="W87" s="4173"/>
      <c r="X87" s="4173"/>
      <c r="Y87" s="4173"/>
      <c r="Z87" s="4173"/>
      <c r="AA87" s="4173"/>
      <c r="AB87" s="1862"/>
      <c r="AC87" s="4173"/>
      <c r="AD87" s="4173"/>
      <c r="AE87" s="4173"/>
      <c r="AF87" s="4173"/>
      <c r="AG87" s="4173"/>
      <c r="AH87" s="4173"/>
      <c r="AI87" s="4173"/>
      <c r="AJ87" s="1862"/>
      <c r="AK87" s="4173"/>
      <c r="AL87" s="4173"/>
      <c r="AM87" s="4173"/>
      <c r="AN87" s="1862"/>
      <c r="AO87" s="4173"/>
      <c r="AP87" s="4173"/>
      <c r="AQ87" s="4173"/>
      <c r="AR87" s="4173"/>
      <c r="AS87" s="4173"/>
      <c r="AT87" s="4173"/>
      <c r="AU87" s="4173"/>
      <c r="AV87" s="4173"/>
      <c r="AW87" s="4173"/>
      <c r="AX87" s="4173"/>
      <c r="AY87" s="4173"/>
      <c r="AZ87" s="4173"/>
      <c r="BA87" s="4173"/>
      <c r="BB87" s="4173"/>
      <c r="BC87" s="4173"/>
      <c r="BD87" s="4173"/>
      <c r="BE87" s="4173"/>
      <c r="BF87" s="4173"/>
      <c r="BG87" s="4173"/>
      <c r="BH87" s="4173"/>
      <c r="BI87" s="4173"/>
      <c r="BJ87" s="4173"/>
      <c r="BK87" s="4173"/>
      <c r="BL87" s="4173"/>
      <c r="BM87" s="4173"/>
      <c r="BN87" s="4173"/>
      <c r="BO87" s="4173"/>
      <c r="BP87" s="4173"/>
      <c r="BQ87" s="4173"/>
      <c r="BR87" s="4173"/>
      <c r="BS87" s="4173"/>
      <c r="BU87" s="4173"/>
      <c r="BV87" s="4173"/>
      <c r="BW87" s="1861"/>
      <c r="BX87" s="4173"/>
      <c r="BY87" s="1997"/>
      <c r="BZ87" s="1997"/>
      <c r="CA87" s="4172"/>
    </row>
    <row r="88" spans="2:80" s="1726" customFormat="1" x14ac:dyDescent="0.2">
      <c r="B88" s="2655"/>
      <c r="C88" s="2656" t="s">
        <v>143</v>
      </c>
      <c r="D88" s="1861"/>
      <c r="E88" s="1771">
        <f>E77</f>
        <v>10002.5</v>
      </c>
      <c r="F88" s="2657">
        <f t="shared" si="260"/>
        <v>1000.25</v>
      </c>
      <c r="G88" s="2658">
        <f t="shared" ref="G88:G89" si="292">E88/15</f>
        <v>666.83333333333337</v>
      </c>
      <c r="H88" s="2659">
        <f t="shared" ref="H88:H89" si="293">E88/20</f>
        <v>500.125</v>
      </c>
      <c r="I88" s="2660">
        <f t="shared" ref="I88:I89" si="294">E88/25</f>
        <v>400.1</v>
      </c>
      <c r="J88" s="2275"/>
      <c r="K88" s="2661">
        <f>E88/31</f>
        <v>322.66129032258067</v>
      </c>
      <c r="L88" s="4135"/>
      <c r="M88" s="4135"/>
      <c r="N88" s="1773">
        <f>K88*20%</f>
        <v>64.532258064516142</v>
      </c>
      <c r="O88" s="2216"/>
      <c r="P88" s="2055"/>
      <c r="Q88" s="4178">
        <f>IF(Q78&gt;0,"0.000",Q78)</f>
        <v>-35.648036594804587</v>
      </c>
      <c r="R88" s="4180">
        <f>IF(R78&gt;0,"0.000",R78)</f>
        <v>-33.797036594804588</v>
      </c>
      <c r="S88" s="4180" t="str">
        <f t="shared" ref="S88:W88" si="295">IF(S78&gt;0,"0.000",S78)</f>
        <v>0.000</v>
      </c>
      <c r="T88" s="4180">
        <f t="shared" si="295"/>
        <v>-10.964536594804592</v>
      </c>
      <c r="U88" s="4180">
        <f t="shared" si="295"/>
        <v>-31.397036594804597</v>
      </c>
      <c r="V88" s="4180">
        <f t="shared" si="295"/>
        <v>-44.8620365948046</v>
      </c>
      <c r="W88" s="4182">
        <f t="shared" si="295"/>
        <v>-17.891036594804596</v>
      </c>
      <c r="X88" s="4173"/>
      <c r="Y88" s="4178">
        <f t="shared" ref="Y88:Y90" si="296">SUM(Q88:W88)</f>
        <v>-174.55971956882757</v>
      </c>
      <c r="Z88" s="4180"/>
      <c r="AA88" s="4182"/>
      <c r="AB88" s="1862"/>
      <c r="AC88" s="4178">
        <f t="shared" ref="AC88:AI88" si="297">IF(AC78&gt;0,"0.000",AC78)</f>
        <v>-5.417536594804595</v>
      </c>
      <c r="AD88" s="4180">
        <f t="shared" si="297"/>
        <v>-9.7335365948045975</v>
      </c>
      <c r="AE88" s="4180" t="str">
        <f t="shared" si="297"/>
        <v>0.000</v>
      </c>
      <c r="AF88" s="4180">
        <f t="shared" si="297"/>
        <v>-26.879036594804596</v>
      </c>
      <c r="AG88" s="4180">
        <f t="shared" si="297"/>
        <v>-53.068536594804591</v>
      </c>
      <c r="AH88" s="4180">
        <f t="shared" si="297"/>
        <v>-45.911536594804595</v>
      </c>
      <c r="AI88" s="4182">
        <f t="shared" si="297"/>
        <v>0</v>
      </c>
      <c r="AJ88" s="1862"/>
      <c r="AK88" s="4178">
        <f>SUM(AC88:AI88)</f>
        <v>-141.01018297402297</v>
      </c>
      <c r="AL88" s="4180"/>
      <c r="AM88" s="4182"/>
      <c r="AN88" s="1862"/>
      <c r="AO88" s="4178">
        <f t="shared" ref="AO88:AU88" si="298">IF(AO78&gt;0,"0.000",AO78)</f>
        <v>0</v>
      </c>
      <c r="AP88" s="4180">
        <f t="shared" si="298"/>
        <v>0</v>
      </c>
      <c r="AQ88" s="4180">
        <f t="shared" si="298"/>
        <v>0</v>
      </c>
      <c r="AR88" s="4180">
        <f t="shared" si="298"/>
        <v>0</v>
      </c>
      <c r="AS88" s="4180">
        <f t="shared" si="298"/>
        <v>0</v>
      </c>
      <c r="AT88" s="4180">
        <f t="shared" si="298"/>
        <v>0</v>
      </c>
      <c r="AU88" s="4182">
        <f t="shared" si="298"/>
        <v>0</v>
      </c>
      <c r="AV88" s="4173"/>
      <c r="AW88" s="4178">
        <f t="shared" si="288"/>
        <v>0</v>
      </c>
      <c r="AX88" s="4180"/>
      <c r="AY88" s="4182"/>
      <c r="AZ88" s="4173"/>
      <c r="BA88" s="4178">
        <f t="shared" ref="BA88:BG88" si="299">IF(BA78&gt;0,"0.000",BA78)</f>
        <v>0</v>
      </c>
      <c r="BB88" s="4180">
        <f t="shared" si="299"/>
        <v>0</v>
      </c>
      <c r="BC88" s="4180">
        <f t="shared" si="299"/>
        <v>0</v>
      </c>
      <c r="BD88" s="4180">
        <f t="shared" si="299"/>
        <v>0</v>
      </c>
      <c r="BE88" s="4180">
        <f t="shared" si="299"/>
        <v>0</v>
      </c>
      <c r="BF88" s="4180">
        <f t="shared" si="299"/>
        <v>0</v>
      </c>
      <c r="BG88" s="4182">
        <f t="shared" si="299"/>
        <v>0</v>
      </c>
      <c r="BH88" s="4173"/>
      <c r="BI88" s="4178">
        <f t="shared" si="290"/>
        <v>0</v>
      </c>
      <c r="BJ88" s="4180"/>
      <c r="BK88" s="4182"/>
      <c r="BL88" s="4173"/>
      <c r="BM88" s="4178">
        <f t="shared" ref="BM88" si="300">IF(BM78&gt;0,"0.000",BM78)</f>
        <v>0</v>
      </c>
      <c r="BN88" s="2964"/>
      <c r="BO88" s="4182">
        <f>IF(BO78&gt;0,"0.000",BO78)</f>
        <v>0</v>
      </c>
      <c r="BP88" s="4173"/>
      <c r="BQ88" s="4178">
        <f>SUM(BM88:BO88)</f>
        <v>0</v>
      </c>
      <c r="BR88" s="4180"/>
      <c r="BS88" s="4182"/>
      <c r="BU88" s="2663">
        <f>SUM(Q88:W88)+SUM(AC88:AI88)+SUM(AO88:AU88)+SUM(BA88:BG88)+SUM(BO88:BO88)</f>
        <v>-315.56990254285051</v>
      </c>
      <c r="BV88" s="4182"/>
      <c r="BW88" s="1740"/>
      <c r="BX88" s="4173"/>
      <c r="BY88" s="2246"/>
      <c r="BZ88" s="2246"/>
      <c r="CA88" s="2247"/>
    </row>
    <row r="89" spans="2:80" s="1885" customFormat="1" ht="17.25" thickBot="1" x14ac:dyDescent="0.25">
      <c r="B89" s="2703"/>
      <c r="C89" s="2704" t="s">
        <v>178</v>
      </c>
      <c r="D89" s="2011"/>
      <c r="E89" s="2705">
        <f>E81</f>
        <v>1750</v>
      </c>
      <c r="F89" s="2706">
        <f t="shared" si="260"/>
        <v>175</v>
      </c>
      <c r="G89" s="2707">
        <f t="shared" si="292"/>
        <v>116.66666666666667</v>
      </c>
      <c r="H89" s="2708">
        <f t="shared" si="293"/>
        <v>87.5</v>
      </c>
      <c r="I89" s="2709">
        <f t="shared" si="294"/>
        <v>70</v>
      </c>
      <c r="J89" s="2884"/>
      <c r="K89" s="4187">
        <f>E89/31</f>
        <v>56.451612903225808</v>
      </c>
      <c r="L89" s="4136"/>
      <c r="M89" s="4136"/>
      <c r="N89" s="2711">
        <f>K89*20%</f>
        <v>11.290322580645162</v>
      </c>
      <c r="O89" s="2213"/>
      <c r="P89" s="2214"/>
      <c r="Q89" s="2244">
        <f>IF(Q83&gt;0,"0.000",Q83)</f>
        <v>-11.29</v>
      </c>
      <c r="R89" s="1898">
        <f t="shared" ref="R89:W89" si="301">IF(R83&gt;0,"0.000",R83)</f>
        <v>-11.29</v>
      </c>
      <c r="S89" s="1898">
        <f t="shared" si="301"/>
        <v>-4.9673322876612875</v>
      </c>
      <c r="T89" s="1898">
        <f t="shared" si="301"/>
        <v>-11.29</v>
      </c>
      <c r="U89" s="1898">
        <f t="shared" si="301"/>
        <v>-11.29</v>
      </c>
      <c r="V89" s="1898">
        <f t="shared" si="301"/>
        <v>-11.29</v>
      </c>
      <c r="W89" s="2245">
        <f t="shared" si="301"/>
        <v>-11.29</v>
      </c>
      <c r="X89" s="4170"/>
      <c r="Y89" s="2244">
        <f t="shared" si="296"/>
        <v>-72.707332287661274</v>
      </c>
      <c r="Z89" s="1898"/>
      <c r="AA89" s="2245"/>
      <c r="AB89" s="1897"/>
      <c r="AC89" s="2244">
        <f t="shared" ref="AC89:AI89" si="302">IF(AC83&gt;0,"0.000",AC83)</f>
        <v>-11.29</v>
      </c>
      <c r="AD89" s="1898">
        <f t="shared" si="302"/>
        <v>-11.29</v>
      </c>
      <c r="AE89" s="1898">
        <f t="shared" si="302"/>
        <v>-9.3428322876612899</v>
      </c>
      <c r="AF89" s="1898">
        <f t="shared" si="302"/>
        <v>-11.29</v>
      </c>
      <c r="AG89" s="1898">
        <f t="shared" si="302"/>
        <v>-11.29</v>
      </c>
      <c r="AH89" s="1898">
        <f t="shared" si="302"/>
        <v>-11.29</v>
      </c>
      <c r="AI89" s="2245">
        <f t="shared" si="302"/>
        <v>0</v>
      </c>
      <c r="AJ89" s="1897"/>
      <c r="AK89" s="2244">
        <f t="shared" si="286"/>
        <v>-65.792832287661284</v>
      </c>
      <c r="AL89" s="1898"/>
      <c r="AM89" s="2245"/>
      <c r="AN89" s="1897"/>
      <c r="AO89" s="2244">
        <f t="shared" ref="AO89:AU89" si="303">IF(AO83&gt;0,"0.000",AO83)</f>
        <v>0</v>
      </c>
      <c r="AP89" s="1898">
        <f t="shared" si="303"/>
        <v>0</v>
      </c>
      <c r="AQ89" s="1898">
        <f t="shared" si="303"/>
        <v>0</v>
      </c>
      <c r="AR89" s="1898">
        <f t="shared" si="303"/>
        <v>0</v>
      </c>
      <c r="AS89" s="1898">
        <f t="shared" si="303"/>
        <v>0</v>
      </c>
      <c r="AT89" s="1898">
        <f t="shared" si="303"/>
        <v>0</v>
      </c>
      <c r="AU89" s="2245">
        <f t="shared" si="303"/>
        <v>0</v>
      </c>
      <c r="AV89" s="4170"/>
      <c r="AW89" s="2244">
        <f t="shared" si="288"/>
        <v>0</v>
      </c>
      <c r="AX89" s="1898"/>
      <c r="AY89" s="2245"/>
      <c r="AZ89" s="4170"/>
      <c r="BA89" s="2244">
        <f t="shared" ref="BA89:BG89" si="304">IF(BA83&gt;0,"0.000",BA83)</f>
        <v>0</v>
      </c>
      <c r="BB89" s="1898">
        <f t="shared" si="304"/>
        <v>0</v>
      </c>
      <c r="BC89" s="1898">
        <f t="shared" si="304"/>
        <v>0</v>
      </c>
      <c r="BD89" s="1898">
        <f t="shared" si="304"/>
        <v>0</v>
      </c>
      <c r="BE89" s="1898">
        <f t="shared" si="304"/>
        <v>0</v>
      </c>
      <c r="BF89" s="1898">
        <f t="shared" si="304"/>
        <v>0</v>
      </c>
      <c r="BG89" s="2245">
        <f t="shared" si="304"/>
        <v>0</v>
      </c>
      <c r="BH89" s="4170"/>
      <c r="BI89" s="2244">
        <f t="shared" si="290"/>
        <v>0</v>
      </c>
      <c r="BJ89" s="1898"/>
      <c r="BK89" s="2245"/>
      <c r="BL89" s="4170"/>
      <c r="BM89" s="3025">
        <f t="shared" ref="BM89" si="305">IF(BM83&gt;0,"0.000",BM83)</f>
        <v>0</v>
      </c>
      <c r="BN89" s="2394"/>
      <c r="BO89" s="2245">
        <f>IF(BO83&gt;0,"0.000",BO83)</f>
        <v>0</v>
      </c>
      <c r="BP89" s="4170"/>
      <c r="BQ89" s="2244">
        <f>SUM(BM89:BO89)</f>
        <v>0</v>
      </c>
      <c r="BR89" s="1898"/>
      <c r="BS89" s="2245"/>
      <c r="BU89" s="2244">
        <f>SUM(Q89:W89)+SUM(AC89:AI89)+SUM(AO89:AU89)+SUM(BA89:BG89)+SUM(BO89:BO89)</f>
        <v>-138.50016457532257</v>
      </c>
      <c r="BV89" s="2245"/>
      <c r="BW89" s="1900"/>
      <c r="BX89" s="4170"/>
      <c r="BY89" s="2251"/>
      <c r="BZ89" s="2251"/>
      <c r="CA89" s="2252"/>
    </row>
    <row r="90" spans="2:80" s="1726" customFormat="1" ht="17.25" thickBot="1" x14ac:dyDescent="0.25">
      <c r="B90" s="2355"/>
      <c r="C90" s="2356" t="s">
        <v>272</v>
      </c>
      <c r="D90" s="1861"/>
      <c r="E90" s="2664">
        <f>E88+E89</f>
        <v>11752.5</v>
      </c>
      <c r="F90" s="2665"/>
      <c r="G90" s="2666"/>
      <c r="H90" s="2667"/>
      <c r="I90" s="2668"/>
      <c r="J90" s="4160"/>
      <c r="K90" s="2669">
        <f>K88+K89</f>
        <v>379.11290322580646</v>
      </c>
      <c r="L90" s="4137"/>
      <c r="M90" s="4137"/>
      <c r="N90" s="2670">
        <f>N88+N89</f>
        <v>75.82258064516131</v>
      </c>
      <c r="O90" s="2216"/>
      <c r="P90" s="2055"/>
      <c r="Q90" s="4179" t="str">
        <f>IF(Q83&lt;0,"0.000",Q83)</f>
        <v>0.000</v>
      </c>
      <c r="R90" s="4181" t="str">
        <f t="shared" ref="R90:W90" si="306">IF(R83&lt;0,"0.000",R83)</f>
        <v>0.000</v>
      </c>
      <c r="S90" s="4181" t="str">
        <f t="shared" si="306"/>
        <v>0.000</v>
      </c>
      <c r="T90" s="4181" t="str">
        <f t="shared" si="306"/>
        <v>0.000</v>
      </c>
      <c r="U90" s="4181" t="str">
        <f t="shared" si="306"/>
        <v>0.000</v>
      </c>
      <c r="V90" s="4181" t="str">
        <f t="shared" si="306"/>
        <v>0.000</v>
      </c>
      <c r="W90" s="4183" t="str">
        <f t="shared" si="306"/>
        <v>0.000</v>
      </c>
      <c r="X90" s="4173"/>
      <c r="Y90" s="4179">
        <f t="shared" si="296"/>
        <v>0</v>
      </c>
      <c r="Z90" s="4181"/>
      <c r="AA90" s="4183"/>
      <c r="AB90" s="1862"/>
      <c r="AC90" s="4179" t="str">
        <f t="shared" ref="AC90:AI90" si="307">IF(AC83&lt;0,"0.000",AC83)</f>
        <v>0.000</v>
      </c>
      <c r="AD90" s="4181" t="str">
        <f t="shared" si="307"/>
        <v>0.000</v>
      </c>
      <c r="AE90" s="4181" t="str">
        <f t="shared" si="307"/>
        <v>0.000</v>
      </c>
      <c r="AF90" s="4181" t="str">
        <f t="shared" si="307"/>
        <v>0.000</v>
      </c>
      <c r="AG90" s="4181" t="str">
        <f t="shared" si="307"/>
        <v>0.000</v>
      </c>
      <c r="AH90" s="4181" t="str">
        <f t="shared" si="307"/>
        <v>0.000</v>
      </c>
      <c r="AI90" s="4183">
        <f t="shared" si="307"/>
        <v>0</v>
      </c>
      <c r="AJ90" s="1862"/>
      <c r="AK90" s="4179">
        <f t="shared" si="286"/>
        <v>0</v>
      </c>
      <c r="AL90" s="4181"/>
      <c r="AM90" s="4183"/>
      <c r="AN90" s="1862"/>
      <c r="AO90" s="4179">
        <f t="shared" ref="AO90:AU90" si="308">IF(AO83&lt;0,"0.000",AO83)</f>
        <v>0</v>
      </c>
      <c r="AP90" s="4181">
        <f t="shared" si="308"/>
        <v>0</v>
      </c>
      <c r="AQ90" s="4181">
        <f t="shared" si="308"/>
        <v>0</v>
      </c>
      <c r="AR90" s="4181">
        <f t="shared" si="308"/>
        <v>0</v>
      </c>
      <c r="AS90" s="4181">
        <f t="shared" si="308"/>
        <v>0</v>
      </c>
      <c r="AT90" s="4181">
        <f t="shared" si="308"/>
        <v>0</v>
      </c>
      <c r="AU90" s="4183">
        <f t="shared" si="308"/>
        <v>0</v>
      </c>
      <c r="AV90" s="4173"/>
      <c r="AW90" s="4179">
        <f t="shared" si="288"/>
        <v>0</v>
      </c>
      <c r="AX90" s="4181"/>
      <c r="AY90" s="4183"/>
      <c r="AZ90" s="4173"/>
      <c r="BA90" s="4179">
        <f t="shared" ref="BA90:BG90" si="309">IF(BA83&lt;0,"0.000",BA83)</f>
        <v>0</v>
      </c>
      <c r="BB90" s="4181">
        <f t="shared" si="309"/>
        <v>0</v>
      </c>
      <c r="BC90" s="4181">
        <f t="shared" si="309"/>
        <v>0</v>
      </c>
      <c r="BD90" s="4181">
        <f t="shared" si="309"/>
        <v>0</v>
      </c>
      <c r="BE90" s="4181">
        <f t="shared" si="309"/>
        <v>0</v>
      </c>
      <c r="BF90" s="4181">
        <f t="shared" si="309"/>
        <v>0</v>
      </c>
      <c r="BG90" s="4183">
        <f t="shared" si="309"/>
        <v>0</v>
      </c>
      <c r="BH90" s="4173"/>
      <c r="BI90" s="4179">
        <f t="shared" si="290"/>
        <v>0</v>
      </c>
      <c r="BJ90" s="4181"/>
      <c r="BK90" s="4183"/>
      <c r="BL90" s="4173"/>
      <c r="BM90" s="4179">
        <f t="shared" ref="BM90" si="310">IF(BM83&lt;0,"0.000",BM83)</f>
        <v>0</v>
      </c>
      <c r="BN90" s="2965"/>
      <c r="BO90" s="4183">
        <f>IF(BO83&lt;0,"0.000",BO83)</f>
        <v>0</v>
      </c>
      <c r="BP90" s="4173"/>
      <c r="BQ90" s="4179">
        <f>SUM(BM90:BO90)</f>
        <v>0</v>
      </c>
      <c r="BR90" s="4181"/>
      <c r="BS90" s="4183"/>
      <c r="BU90" s="4179">
        <f>SUM(Q90:W90)+SUM(AC90:AI90)+SUM(AO90:AU90)+SUM(BA90:BG90)+SUM(BO90:BO90)</f>
        <v>0</v>
      </c>
      <c r="BV90" s="4183"/>
      <c r="BW90" s="1740"/>
      <c r="BX90" s="4173"/>
      <c r="BY90" s="2246"/>
      <c r="BZ90" s="2246"/>
      <c r="CA90" s="2247"/>
    </row>
    <row r="91" spans="2:80" s="1726" customFormat="1" ht="4.5" customHeight="1" thickBot="1" x14ac:dyDescent="0.25">
      <c r="B91" s="1740"/>
      <c r="C91" s="1740"/>
      <c r="D91" s="1861"/>
      <c r="E91" s="1740"/>
      <c r="F91" s="1740"/>
      <c r="G91" s="1740"/>
      <c r="H91" s="1740"/>
      <c r="I91" s="1740"/>
      <c r="J91" s="1740"/>
      <c r="K91" s="1740"/>
      <c r="L91" s="1740"/>
      <c r="M91" s="1740"/>
      <c r="N91" s="1997"/>
      <c r="O91" s="1760"/>
      <c r="P91" s="4172"/>
      <c r="Q91" s="1740"/>
      <c r="R91" s="1740"/>
      <c r="S91" s="1740"/>
      <c r="T91" s="1740"/>
      <c r="U91" s="1740"/>
      <c r="V91" s="1740"/>
      <c r="W91" s="1740"/>
      <c r="X91" s="1861"/>
      <c r="Y91" s="1740"/>
      <c r="Z91" s="1740"/>
      <c r="AA91" s="1740"/>
      <c r="AB91" s="1860"/>
      <c r="AC91" s="1740"/>
      <c r="AD91" s="1740"/>
      <c r="AE91" s="1740"/>
      <c r="AF91" s="1740"/>
      <c r="AG91" s="1740"/>
      <c r="AH91" s="1740"/>
      <c r="AI91" s="1740"/>
      <c r="AJ91" s="1860"/>
      <c r="AK91" s="1740"/>
      <c r="AL91" s="1740"/>
      <c r="AM91" s="1740"/>
      <c r="AN91" s="1860"/>
      <c r="AO91" s="1740"/>
      <c r="AP91" s="1740"/>
      <c r="AQ91" s="1740"/>
      <c r="AR91" s="1740"/>
      <c r="AS91" s="1740"/>
      <c r="AT91" s="1740"/>
      <c r="AU91" s="1740"/>
      <c r="AV91" s="1861"/>
      <c r="AW91" s="1740"/>
      <c r="AX91" s="1740"/>
      <c r="AY91" s="1740"/>
      <c r="AZ91" s="1861"/>
      <c r="BA91" s="1740"/>
      <c r="BB91" s="1740"/>
      <c r="BC91" s="1740"/>
      <c r="BD91" s="1740"/>
      <c r="BE91" s="1740"/>
      <c r="BF91" s="1740"/>
      <c r="BG91" s="1740"/>
      <c r="BH91" s="1861"/>
      <c r="BI91" s="1740"/>
      <c r="BJ91" s="1740"/>
      <c r="BK91" s="1740"/>
      <c r="BL91" s="1740"/>
      <c r="BM91" s="1740"/>
      <c r="BN91" s="1740"/>
      <c r="BO91" s="1740"/>
      <c r="BP91" s="1740"/>
      <c r="BQ91" s="1740"/>
      <c r="BR91" s="1740"/>
      <c r="BS91" s="1740"/>
      <c r="BU91" s="1740"/>
      <c r="BV91" s="1740"/>
      <c r="BW91" s="1740"/>
      <c r="BX91" s="1740"/>
      <c r="BY91" s="1740"/>
      <c r="BZ91" s="1861"/>
    </row>
    <row r="92" spans="2:80" s="1885" customFormat="1" ht="17.25" thickBot="1" x14ac:dyDescent="0.25">
      <c r="B92" s="2117"/>
      <c r="C92" s="2212"/>
      <c r="D92" s="2119"/>
      <c r="E92" s="2123">
        <f>SUM(E85:E89)</f>
        <v>26243.324999999997</v>
      </c>
      <c r="F92" s="2121"/>
      <c r="G92" s="2121"/>
      <c r="H92" s="2121"/>
      <c r="I92" s="2121"/>
      <c r="J92" s="2121"/>
      <c r="K92" s="2121">
        <f>E92/31</f>
        <v>846.55887096774188</v>
      </c>
      <c r="L92" s="4120"/>
      <c r="M92" s="4120"/>
      <c r="N92" s="2129">
        <f>K92*20%</f>
        <v>169.31177419354839</v>
      </c>
      <c r="O92" s="2213"/>
      <c r="P92" s="2214"/>
      <c r="Q92" s="2120">
        <f>SUM(Q85:Q90)</f>
        <v>-46.938036594804586</v>
      </c>
      <c r="R92" s="2123">
        <f t="shared" ref="R92:W92" si="311">SUM(R85:R90)</f>
        <v>-45.087036594804587</v>
      </c>
      <c r="S92" s="2123">
        <f t="shared" si="311"/>
        <v>-4.9673322876612875</v>
      </c>
      <c r="T92" s="2123">
        <f t="shared" si="311"/>
        <v>-22.254536594804591</v>
      </c>
      <c r="U92" s="2123">
        <f t="shared" si="311"/>
        <v>-42.687036594804596</v>
      </c>
      <c r="V92" s="2123">
        <f t="shared" si="311"/>
        <v>-56.152036594804599</v>
      </c>
      <c r="W92" s="2124">
        <f t="shared" si="311"/>
        <v>-29.181036594804596</v>
      </c>
      <c r="X92" s="1951"/>
      <c r="Y92" s="2120">
        <f>SUM(Q92:W92)</f>
        <v>-247.26705185648885</v>
      </c>
      <c r="Z92" s="2123"/>
      <c r="AA92" s="2124"/>
      <c r="AB92" s="1956"/>
      <c r="AC92" s="2120">
        <f t="shared" ref="AC92:AI92" si="312">SUM(AC85:AC90)</f>
        <v>-16.707536594804594</v>
      </c>
      <c r="AD92" s="2123">
        <f t="shared" si="312"/>
        <v>-21.023536594804597</v>
      </c>
      <c r="AE92" s="2123">
        <f t="shared" si="312"/>
        <v>-9.3428322876612899</v>
      </c>
      <c r="AF92" s="2123">
        <f t="shared" si="312"/>
        <v>-38.169036594804595</v>
      </c>
      <c r="AG92" s="2123">
        <f t="shared" si="312"/>
        <v>-64.35853659480459</v>
      </c>
      <c r="AH92" s="2123">
        <f t="shared" si="312"/>
        <v>-57.201536594804594</v>
      </c>
      <c r="AI92" s="2124">
        <f t="shared" si="312"/>
        <v>0</v>
      </c>
      <c r="AJ92" s="1956"/>
      <c r="AK92" s="2120">
        <f>SUM(AC92:AI92)</f>
        <v>-206.80301526168424</v>
      </c>
      <c r="AL92" s="2123"/>
      <c r="AM92" s="2124"/>
      <c r="AN92" s="1955"/>
      <c r="AO92" s="2120">
        <f t="shared" ref="AO92:AU92" si="313">SUM(AO85:AO90)</f>
        <v>0</v>
      </c>
      <c r="AP92" s="2121">
        <f t="shared" si="313"/>
        <v>0</v>
      </c>
      <c r="AQ92" s="2121">
        <f t="shared" si="313"/>
        <v>0</v>
      </c>
      <c r="AR92" s="2121">
        <f t="shared" si="313"/>
        <v>0</v>
      </c>
      <c r="AS92" s="2121">
        <f t="shared" si="313"/>
        <v>0</v>
      </c>
      <c r="AT92" s="2121">
        <f t="shared" si="313"/>
        <v>0</v>
      </c>
      <c r="AU92" s="2124">
        <f t="shared" si="313"/>
        <v>0</v>
      </c>
      <c r="AV92" s="2254"/>
      <c r="AW92" s="2120">
        <f>SUM(AO92:AU92)</f>
        <v>0</v>
      </c>
      <c r="AX92" s="2123"/>
      <c r="AY92" s="2124"/>
      <c r="AZ92" s="1951"/>
      <c r="BA92" s="2120">
        <f t="shared" ref="BA92:BG92" si="314">SUM(BA85:BA90)</f>
        <v>0</v>
      </c>
      <c r="BB92" s="2121">
        <f t="shared" si="314"/>
        <v>0</v>
      </c>
      <c r="BC92" s="2121">
        <f t="shared" si="314"/>
        <v>0</v>
      </c>
      <c r="BD92" s="2121">
        <f t="shared" si="314"/>
        <v>0</v>
      </c>
      <c r="BE92" s="2121">
        <f t="shared" si="314"/>
        <v>0</v>
      </c>
      <c r="BF92" s="2121">
        <f t="shared" si="314"/>
        <v>0</v>
      </c>
      <c r="BG92" s="2124">
        <f t="shared" si="314"/>
        <v>0</v>
      </c>
      <c r="BH92" s="1951"/>
      <c r="BI92" s="2120">
        <f>SUM(BA92:BG92)</f>
        <v>0</v>
      </c>
      <c r="BJ92" s="2123"/>
      <c r="BK92" s="2124"/>
      <c r="BL92" s="1900"/>
      <c r="BM92" s="2120">
        <f t="shared" ref="BM92:BO92" si="315">SUM(BM85:BM90)</f>
        <v>0</v>
      </c>
      <c r="BN92" s="4196"/>
      <c r="BO92" s="2124">
        <f t="shared" si="315"/>
        <v>0</v>
      </c>
      <c r="BP92" s="2317"/>
      <c r="BQ92" s="2215">
        <f>SUM(BM92:BO92)</f>
        <v>0</v>
      </c>
      <c r="BR92" s="2318"/>
      <c r="BS92" s="2118"/>
      <c r="BT92" s="1897"/>
      <c r="BU92" s="2215">
        <f>SUM(Q92:W92)+SUM(AC92:AI92)+SUM(AO92:AU92)+SUM(BA92:BG92)+SUM(BO92:BO92)</f>
        <v>-454.07006711817309</v>
      </c>
      <c r="BV92" s="2130"/>
      <c r="BW92" s="1900"/>
      <c r="BX92" s="1900"/>
      <c r="BY92" s="1900"/>
      <c r="BZ92" s="2011"/>
    </row>
    <row r="93" spans="2:80" s="1726" customFormat="1" ht="4.5" customHeight="1" thickBot="1" x14ac:dyDescent="0.25">
      <c r="B93" s="1740"/>
      <c r="C93" s="1740"/>
      <c r="D93" s="1861"/>
      <c r="E93" s="1740"/>
      <c r="F93" s="1740"/>
      <c r="G93" s="1740"/>
      <c r="H93" s="1740"/>
      <c r="I93" s="1740"/>
      <c r="J93" s="1740"/>
      <c r="K93" s="1740"/>
      <c r="L93" s="1740"/>
      <c r="M93" s="1740"/>
      <c r="N93" s="1861"/>
      <c r="O93" s="1827"/>
      <c r="P93" s="1810"/>
      <c r="Q93" s="1740"/>
      <c r="R93" s="1740"/>
      <c r="S93" s="1740"/>
      <c r="T93" s="1740"/>
      <c r="U93" s="1740"/>
      <c r="V93" s="1740"/>
      <c r="W93" s="1740"/>
      <c r="X93" s="1861"/>
      <c r="Y93" s="1740"/>
      <c r="Z93" s="1740"/>
      <c r="AA93" s="1740"/>
      <c r="AB93" s="1860"/>
      <c r="AJ93" s="1860"/>
      <c r="AK93" s="1740"/>
      <c r="AL93" s="1740"/>
      <c r="AM93" s="1740"/>
      <c r="AN93" s="1860"/>
      <c r="AO93" s="1740"/>
      <c r="AP93" s="1740"/>
      <c r="AQ93" s="1740"/>
      <c r="AR93" s="1740"/>
      <c r="AS93" s="1740"/>
      <c r="AT93" s="1740"/>
      <c r="AU93" s="1740"/>
      <c r="AV93" s="1861"/>
      <c r="AW93" s="1740"/>
      <c r="AX93" s="1740"/>
      <c r="AY93" s="1740"/>
      <c r="AZ93" s="1861"/>
      <c r="BA93" s="1740"/>
      <c r="BB93" s="1740"/>
      <c r="BC93" s="1740"/>
      <c r="BD93" s="1740"/>
      <c r="BE93" s="1740"/>
      <c r="BF93" s="1740"/>
      <c r="BG93" s="1740"/>
      <c r="BH93" s="1861"/>
      <c r="BI93" s="1740"/>
      <c r="BJ93" s="1740"/>
      <c r="BK93" s="1740"/>
      <c r="BL93" s="1740"/>
      <c r="BM93" s="1740"/>
      <c r="BN93" s="1740"/>
      <c r="BO93" s="1740"/>
      <c r="BP93" s="1740"/>
      <c r="BQ93" s="1740"/>
      <c r="BR93" s="1740"/>
      <c r="BS93" s="1740"/>
      <c r="BU93" s="1740"/>
      <c r="BV93" s="1740"/>
      <c r="BW93" s="1740"/>
      <c r="BX93" s="1740"/>
      <c r="BY93" s="1740"/>
      <c r="BZ93" s="1861"/>
    </row>
    <row r="94" spans="2:80" s="1726" customFormat="1" ht="17.25" thickBot="1" x14ac:dyDescent="0.25">
      <c r="B94" s="2049"/>
      <c r="C94" s="2050"/>
      <c r="D94" s="2051"/>
      <c r="E94" s="2052">
        <f>E92*20%</f>
        <v>5248.665</v>
      </c>
      <c r="F94" s="2053"/>
      <c r="G94" s="2053"/>
      <c r="H94" s="2053"/>
      <c r="I94" s="2053"/>
      <c r="J94" s="2053"/>
      <c r="K94" s="2053"/>
      <c r="L94" s="4127"/>
      <c r="M94" s="4127"/>
      <c r="N94" s="2253"/>
      <c r="O94" s="2216"/>
      <c r="P94" s="2055"/>
      <c r="Q94" s="2056">
        <f>Q92*100/20</f>
        <v>-234.69018297402295</v>
      </c>
      <c r="R94" s="2052">
        <f>R92*100/20</f>
        <v>-225.43518297402292</v>
      </c>
      <c r="S94" s="2052">
        <f t="shared" ref="S94:W94" si="316">S92*100/20</f>
        <v>-24.836661438306439</v>
      </c>
      <c r="T94" s="2052">
        <f t="shared" si="316"/>
        <v>-111.27268297402296</v>
      </c>
      <c r="U94" s="2052">
        <f t="shared" si="316"/>
        <v>-213.43518297402298</v>
      </c>
      <c r="V94" s="2052">
        <f t="shared" si="316"/>
        <v>-280.760182974023</v>
      </c>
      <c r="W94" s="2192">
        <f t="shared" si="316"/>
        <v>-145.90518297402298</v>
      </c>
      <c r="X94" s="2300"/>
      <c r="Y94" s="2056">
        <f>SUM(Q94:W94)</f>
        <v>-1236.335259282444</v>
      </c>
      <c r="Z94" s="2052"/>
      <c r="AA94" s="2057"/>
      <c r="AB94" s="4191"/>
      <c r="AC94" s="2673">
        <f t="shared" ref="AC94:AI94" si="317">AC92*100/20</f>
        <v>-83.537682974022971</v>
      </c>
      <c r="AD94" s="2674">
        <f t="shared" si="317"/>
        <v>-105.11768297402298</v>
      </c>
      <c r="AE94" s="2674">
        <f t="shared" si="317"/>
        <v>-46.714161438306448</v>
      </c>
      <c r="AF94" s="2052">
        <f t="shared" si="317"/>
        <v>-190.84518297402298</v>
      </c>
      <c r="AG94" s="2674">
        <f t="shared" si="317"/>
        <v>-321.79268297402297</v>
      </c>
      <c r="AH94" s="2674">
        <f t="shared" si="317"/>
        <v>-286.00768297402294</v>
      </c>
      <c r="AI94" s="2675">
        <f t="shared" si="317"/>
        <v>0</v>
      </c>
      <c r="AJ94" s="4191"/>
      <c r="AK94" s="2056">
        <f>SUM(AC94:AI94)</f>
        <v>-1034.0150763084212</v>
      </c>
      <c r="AL94" s="2052"/>
      <c r="AM94" s="2057"/>
      <c r="AN94" s="1764"/>
      <c r="AO94" s="2056">
        <f>AO92*100/20</f>
        <v>0</v>
      </c>
      <c r="AP94" s="2053">
        <f>AP92*100/20</f>
        <v>0</v>
      </c>
      <c r="AQ94" s="2053">
        <f t="shared" ref="AQ94:AR94" si="318">AQ92*100/30</f>
        <v>0</v>
      </c>
      <c r="AR94" s="2053">
        <f t="shared" si="318"/>
        <v>0</v>
      </c>
      <c r="AS94" s="2053">
        <f t="shared" ref="AS94:AU94" si="319">AS92*100/20</f>
        <v>0</v>
      </c>
      <c r="AT94" s="2053">
        <f t="shared" si="319"/>
        <v>0</v>
      </c>
      <c r="AU94" s="2057">
        <f t="shared" si="319"/>
        <v>0</v>
      </c>
      <c r="AV94" s="2300"/>
      <c r="AW94" s="2056">
        <f>SUM(AO94:AU94)</f>
        <v>0</v>
      </c>
      <c r="AX94" s="2052"/>
      <c r="AY94" s="2057"/>
      <c r="AZ94" s="4186"/>
      <c r="BA94" s="2056">
        <f t="shared" ref="BA94:BG94" si="320">BA92*100/30</f>
        <v>0</v>
      </c>
      <c r="BB94" s="2053">
        <f t="shared" si="320"/>
        <v>0</v>
      </c>
      <c r="BC94" s="2053">
        <f t="shared" si="320"/>
        <v>0</v>
      </c>
      <c r="BD94" s="2053">
        <f t="shared" si="320"/>
        <v>0</v>
      </c>
      <c r="BE94" s="2053">
        <f t="shared" si="320"/>
        <v>0</v>
      </c>
      <c r="BF94" s="2053">
        <f t="shared" si="320"/>
        <v>0</v>
      </c>
      <c r="BG94" s="2057">
        <f t="shared" si="320"/>
        <v>0</v>
      </c>
      <c r="BH94" s="4186"/>
      <c r="BI94" s="2056">
        <f>SUM(BA94:BG94)</f>
        <v>0</v>
      </c>
      <c r="BJ94" s="2052"/>
      <c r="BK94" s="2057"/>
      <c r="BL94" s="1740"/>
      <c r="BM94" s="2056">
        <f t="shared" ref="BM94:BO94" si="321">BM92*100/30</f>
        <v>0</v>
      </c>
      <c r="BN94" s="2963"/>
      <c r="BO94" s="2057">
        <f t="shared" si="321"/>
        <v>0</v>
      </c>
      <c r="BP94" s="2301"/>
      <c r="BQ94" s="2058">
        <f>SUM(BM94:BO94)</f>
        <v>0</v>
      </c>
      <c r="BR94" s="2324"/>
      <c r="BS94" s="2190"/>
      <c r="BT94" s="1862"/>
      <c r="BU94" s="2058">
        <f>SUM(Q94:W94)+SUM(AC94:AI94)+SUM(AO94:AU94)+SUM(BA94:BG94)+SUM(BO94:BO94)</f>
        <v>-2270.3503355908651</v>
      </c>
      <c r="BV94" s="2676">
        <f>BU94/CD23</f>
        <v>-174.64233350698962</v>
      </c>
      <c r="BW94" s="1740"/>
      <c r="BX94" s="1740"/>
      <c r="BY94" s="1740"/>
      <c r="BZ94" s="1861"/>
    </row>
    <row r="96" spans="2:80" ht="20.25" x14ac:dyDescent="0.2">
      <c r="C96" s="2449"/>
      <c r="D96" s="2450"/>
      <c r="E96" s="2449"/>
      <c r="F96" s="2449"/>
      <c r="G96" s="2449"/>
      <c r="H96" s="2449"/>
      <c r="I96" s="2449"/>
      <c r="J96" s="2449"/>
      <c r="K96" s="2983">
        <f>K97/31</f>
        <v>245.16129032258064</v>
      </c>
      <c r="L96" s="2449">
        <f>K96/2</f>
        <v>122.58064516129032</v>
      </c>
      <c r="M96" s="2449"/>
      <c r="N96" s="2449"/>
    </row>
    <row r="97" spans="3:42" ht="18" x14ac:dyDescent="0.2">
      <c r="C97" s="2449">
        <f>E97*20%</f>
        <v>9000</v>
      </c>
      <c r="D97" s="2450"/>
      <c r="E97" s="2449">
        <v>45000</v>
      </c>
      <c r="F97" s="2449"/>
      <c r="G97" s="2449"/>
      <c r="H97" s="2449"/>
      <c r="I97" s="2449"/>
      <c r="J97" s="2449">
        <v>38000</v>
      </c>
      <c r="K97" s="2449">
        <f>J97*20%</f>
        <v>7600</v>
      </c>
      <c r="L97" s="2449"/>
      <c r="M97" s="2449"/>
      <c r="N97" s="2449"/>
      <c r="S97" s="2255"/>
      <c r="T97" s="2256"/>
      <c r="U97" s="2256"/>
      <c r="V97" s="2257"/>
      <c r="W97" s="2257"/>
      <c r="X97" s="1915"/>
    </row>
    <row r="98" spans="3:42" ht="18" x14ac:dyDescent="0.2">
      <c r="C98" s="3179">
        <f>C97-E45</f>
        <v>6101.8350000000009</v>
      </c>
      <c r="D98" s="4175"/>
      <c r="E98" s="2771"/>
      <c r="F98" s="2771"/>
      <c r="G98" s="2771"/>
      <c r="H98" s="2771"/>
      <c r="I98" s="2771"/>
      <c r="J98" s="2449">
        <f>J97/31</f>
        <v>1225.8064516129032</v>
      </c>
      <c r="K98" s="2449">
        <f>K97-E45</f>
        <v>4701.8350000000009</v>
      </c>
      <c r="L98" s="2771"/>
      <c r="M98" s="2449"/>
      <c r="N98" s="2449"/>
      <c r="AP98" s="2257"/>
    </row>
    <row r="99" spans="3:42" ht="18" x14ac:dyDescent="0.2">
      <c r="C99" s="2771">
        <f>C98/2</f>
        <v>3050.9175000000005</v>
      </c>
      <c r="D99" s="4175"/>
      <c r="E99" s="2771"/>
      <c r="F99" s="2771"/>
      <c r="G99" s="2771"/>
      <c r="H99" s="2771"/>
      <c r="I99" s="2771"/>
      <c r="J99" s="2449">
        <f>J98/2</f>
        <v>612.90322580645159</v>
      </c>
      <c r="K99" s="2771">
        <f>K98/2</f>
        <v>2350.9175000000005</v>
      </c>
      <c r="L99" s="2450"/>
      <c r="M99" s="2450"/>
      <c r="N99" s="2450"/>
    </row>
    <row r="100" spans="3:42" ht="18" x14ac:dyDescent="0.2">
      <c r="N100" s="2449"/>
    </row>
  </sheetData>
  <mergeCells count="92">
    <mergeCell ref="E17:E18"/>
    <mergeCell ref="CC11:CD11"/>
    <mergeCell ref="BV1:BV14"/>
    <mergeCell ref="BX1:CA2"/>
    <mergeCell ref="C1:N2"/>
    <mergeCell ref="Q1:W2"/>
    <mergeCell ref="Y1:AA2"/>
    <mergeCell ref="J17:K18"/>
    <mergeCell ref="L17:M17"/>
    <mergeCell ref="CD13:CD14"/>
    <mergeCell ref="AL3:AM4"/>
    <mergeCell ref="CE13:CE14"/>
    <mergeCell ref="AW1:AY2"/>
    <mergeCell ref="BA1:BG2"/>
    <mergeCell ref="BI1:BK2"/>
    <mergeCell ref="BM1:BO2"/>
    <mergeCell ref="BQ1:BS2"/>
    <mergeCell ref="BU1:BU14"/>
    <mergeCell ref="CL1:CL2"/>
    <mergeCell ref="CM1:CM2"/>
    <mergeCell ref="C3:C9"/>
    <mergeCell ref="CH1:CH2"/>
    <mergeCell ref="CI1:CI2"/>
    <mergeCell ref="CK1:CK2"/>
    <mergeCell ref="AC1:AI2"/>
    <mergeCell ref="AK1:AM2"/>
    <mergeCell ref="AO1:AU2"/>
    <mergeCell ref="Z3:AA4"/>
    <mergeCell ref="CG1:CG2"/>
    <mergeCell ref="BY3:CA4"/>
    <mergeCell ref="Y19:AA19"/>
    <mergeCell ref="AK19:AM19"/>
    <mergeCell ref="AW19:AY19"/>
    <mergeCell ref="N17:N18"/>
    <mergeCell ref="B85:B86"/>
    <mergeCell ref="C85:C86"/>
    <mergeCell ref="E85:E86"/>
    <mergeCell ref="K85:K86"/>
    <mergeCell ref="N85:N86"/>
    <mergeCell ref="V85:V86"/>
    <mergeCell ref="Q85:Q86"/>
    <mergeCell ref="R85:R86"/>
    <mergeCell ref="S85:S86"/>
    <mergeCell ref="T85:T86"/>
    <mergeCell ref="U85:U86"/>
    <mergeCell ref="AO85:AO86"/>
    <mergeCell ref="BQ19:BS19"/>
    <mergeCell ref="BX50:BY50"/>
    <mergeCell ref="CA51:CA60"/>
    <mergeCell ref="CC51:CC60"/>
    <mergeCell ref="CA64:CA73"/>
    <mergeCell ref="BI19:BK19"/>
    <mergeCell ref="AK85:AK86"/>
    <mergeCell ref="W85:W86"/>
    <mergeCell ref="Y85:Y86"/>
    <mergeCell ref="Z85:Z86"/>
    <mergeCell ref="AA85:AA86"/>
    <mergeCell ref="AC85:AC86"/>
    <mergeCell ref="AD85:AD86"/>
    <mergeCell ref="AE85:AE86"/>
    <mergeCell ref="AF85:AF86"/>
    <mergeCell ref="AG85:AG86"/>
    <mergeCell ref="AH85:AH86"/>
    <mergeCell ref="AI85:AI86"/>
    <mergeCell ref="AY85:AY86"/>
    <mergeCell ref="AL85:AL86"/>
    <mergeCell ref="AM85:AM86"/>
    <mergeCell ref="AP85:AP86"/>
    <mergeCell ref="AQ85:AQ86"/>
    <mergeCell ref="AR85:AR86"/>
    <mergeCell ref="AS85:AS86"/>
    <mergeCell ref="AT85:AT86"/>
    <mergeCell ref="AU85:AU86"/>
    <mergeCell ref="AW85:AW86"/>
    <mergeCell ref="AX85:AX86"/>
    <mergeCell ref="BO85:BO86"/>
    <mergeCell ref="BA85:BA86"/>
    <mergeCell ref="BB85:BB86"/>
    <mergeCell ref="BC85:BC86"/>
    <mergeCell ref="BD85:BD86"/>
    <mergeCell ref="BE85:BE86"/>
    <mergeCell ref="BF85:BF86"/>
    <mergeCell ref="BG85:BG86"/>
    <mergeCell ref="BI85:BI86"/>
    <mergeCell ref="BJ85:BJ86"/>
    <mergeCell ref="BK85:BK86"/>
    <mergeCell ref="BM85:BM86"/>
    <mergeCell ref="BQ85:BQ86"/>
    <mergeCell ref="BR85:BR86"/>
    <mergeCell ref="BS85:BS86"/>
    <mergeCell ref="BU85:BU86"/>
    <mergeCell ref="BV85:BV86"/>
  </mergeCells>
  <conditionalFormatting sqref="BV88">
    <cfRule type="cellIs" dxfId="89" priority="59" operator="greaterThan">
      <formula>0</formula>
    </cfRule>
    <cfRule type="cellIs" dxfId="88" priority="60" operator="lessThan">
      <formula>0</formula>
    </cfRule>
  </conditionalFormatting>
  <conditionalFormatting sqref="CA8">
    <cfRule type="cellIs" dxfId="87" priority="58" operator="lessThan">
      <formula>-10</formula>
    </cfRule>
  </conditionalFormatting>
  <conditionalFormatting sqref="AO5:AU5 BA5:BG5">
    <cfRule type="cellIs" dxfId="86" priority="61" operator="lessThan">
      <formula>$K$85</formula>
    </cfRule>
    <cfRule type="cellIs" dxfId="85" priority="62" operator="between">
      <formula>$K$85</formula>
      <formula>$K$92</formula>
    </cfRule>
    <cfRule type="cellIs" dxfId="84" priority="63" operator="greaterThan">
      <formula>$J$98</formula>
    </cfRule>
  </conditionalFormatting>
  <conditionalFormatting sqref="BM5:BO6 AO5:AU5 BA5:BG5 AC5:AI5">
    <cfRule type="cellIs" dxfId="83" priority="64" operator="between">
      <formula>$K$19</formula>
      <formula>$J$98</formula>
    </cfRule>
    <cfRule type="cellIs" dxfId="82" priority="65" operator="lessThan">
      <formula>$K$19</formula>
    </cfRule>
    <cfRule type="cellIs" dxfId="81" priority="66" operator="greaterThan">
      <formula>$J$98</formula>
    </cfRule>
  </conditionalFormatting>
  <conditionalFormatting sqref="BA5:BG5">
    <cfRule type="cellIs" dxfId="80" priority="67" operator="between">
      <formula>$J$98</formula>
      <formula>635</formula>
    </cfRule>
    <cfRule type="cellIs" dxfId="79" priority="68" operator="lessThan">
      <formula>$K$19</formula>
    </cfRule>
    <cfRule type="cellIs" dxfId="78" priority="69" operator="greaterThan">
      <formula>$J$98</formula>
    </cfRule>
    <cfRule type="cellIs" dxfId="77" priority="70" operator="lessThan">
      <formula>$K$19</formula>
    </cfRule>
    <cfRule type="cellIs" dxfId="76" priority="71" operator="greaterThan">
      <formula>$J$98</formula>
    </cfRule>
  </conditionalFormatting>
  <conditionalFormatting sqref="BM7:BO7 AO7:AU7 BA7:BG7">
    <cfRule type="cellIs" dxfId="75" priority="72" operator="between">
      <formula>$K$45</formula>
      <formula>$K$96</formula>
    </cfRule>
    <cfRule type="cellIs" dxfId="74" priority="73" operator="lessThan">
      <formula>$K$45</formula>
    </cfRule>
    <cfRule type="cellIs" dxfId="73" priority="74" operator="greaterThan">
      <formula>$K$96</formula>
    </cfRule>
  </conditionalFormatting>
  <conditionalFormatting sqref="AC7:AI7">
    <cfRule type="cellIs" dxfId="72" priority="75" operator="between">
      <formula>$K$45</formula>
      <formula>$K$96</formula>
    </cfRule>
    <cfRule type="cellIs" dxfId="71" priority="76" operator="lessThan">
      <formula>$K$45</formula>
    </cfRule>
    <cfRule type="cellIs" dxfId="70" priority="77" operator="greaterThan">
      <formula>$K$96</formula>
    </cfRule>
    <cfRule type="cellIs" dxfId="69" priority="78" operator="greaterThan">
      <formula>$K$96</formula>
    </cfRule>
  </conditionalFormatting>
  <conditionalFormatting sqref="AO7:AU7 BA7:BG7">
    <cfRule type="cellIs" dxfId="68" priority="79" operator="lessThan">
      <formula>$N$85</formula>
    </cfRule>
    <cfRule type="cellIs" dxfId="67" priority="80" operator="between">
      <formula>$N$85</formula>
      <formula>$N$92</formula>
    </cfRule>
    <cfRule type="cellIs" dxfId="66" priority="81" operator="greaterThan">
      <formula>$K$96</formula>
    </cfRule>
    <cfRule type="cellIs" dxfId="65" priority="82" operator="greaterThan">
      <formula>$J$98</formula>
    </cfRule>
  </conditionalFormatting>
  <conditionalFormatting sqref="Q3:W3">
    <cfRule type="cellIs" dxfId="64" priority="19" operator="greaterThan">
      <formula>0</formula>
    </cfRule>
    <cfRule type="cellIs" dxfId="63" priority="20" operator="lessThan">
      <formula>0</formula>
    </cfRule>
  </conditionalFormatting>
  <conditionalFormatting sqref="Q4:W4">
    <cfRule type="cellIs" dxfId="62" priority="17" operator="greaterThan">
      <formula>0</formula>
    </cfRule>
    <cfRule type="cellIs" dxfId="61" priority="18" operator="lessThan">
      <formula>0</formula>
    </cfRule>
  </conditionalFormatting>
  <conditionalFormatting sqref="Y3 Z3:AA4">
    <cfRule type="cellIs" dxfId="60" priority="15" operator="greaterThan">
      <formula>0</formula>
    </cfRule>
    <cfRule type="cellIs" dxfId="59" priority="16" operator="lessThan">
      <formula>0</formula>
    </cfRule>
  </conditionalFormatting>
  <conditionalFormatting sqref="Y4">
    <cfRule type="cellIs" dxfId="58" priority="13" operator="greaterThan">
      <formula>0</formula>
    </cfRule>
    <cfRule type="cellIs" dxfId="57" priority="14" operator="lessThan">
      <formula>0</formula>
    </cfRule>
  </conditionalFormatting>
  <conditionalFormatting sqref="Q5:R5 T5:W5">
    <cfRule type="cellIs" dxfId="56" priority="10" operator="greaterThan">
      <formula>$J$98</formula>
    </cfRule>
    <cfRule type="cellIs" dxfId="55" priority="11" operator="between">
      <formula>$K$19</formula>
      <formula>$J$98</formula>
    </cfRule>
    <cfRule type="cellIs" dxfId="54" priority="12" operator="lessThan">
      <formula>$K$19</formula>
    </cfRule>
  </conditionalFormatting>
  <conditionalFormatting sqref="S5">
    <cfRule type="cellIs" dxfId="53" priority="7" operator="greaterThan">
      <formula>$J$99</formula>
    </cfRule>
    <cfRule type="cellIs" dxfId="52" priority="8" operator="between">
      <formula>$M$19</formula>
      <formula>$J$99</formula>
    </cfRule>
    <cfRule type="cellIs" dxfId="51" priority="9" operator="lessThan">
      <formula>$M$19</formula>
    </cfRule>
  </conditionalFormatting>
  <conditionalFormatting sqref="Q7:R7 T7:W7">
    <cfRule type="cellIs" dxfId="50" priority="4" operator="greaterThan">
      <formula>$K$96</formula>
    </cfRule>
    <cfRule type="cellIs" dxfId="49" priority="5" operator="between">
      <formula>$K$45</formula>
      <formula>$K$96</formula>
    </cfRule>
    <cfRule type="cellIs" dxfId="48" priority="6" operator="lessThan">
      <formula>$K$45</formula>
    </cfRule>
  </conditionalFormatting>
  <conditionalFormatting sqref="S7">
    <cfRule type="cellIs" dxfId="47" priority="1" operator="greaterThan">
      <formula>$L$96</formula>
    </cfRule>
    <cfRule type="cellIs" dxfId="46" priority="2" operator="between">
      <formula>$M$45</formula>
      <formula>$L$96</formula>
    </cfRule>
    <cfRule type="cellIs" dxfId="45" priority="3" operator="lessThan">
      <formula>$M$45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56E4-EE75-4270-84CB-F3D0EABC735C}">
  <dimension ref="A1:GQ111"/>
  <sheetViews>
    <sheetView tabSelected="1" topLeftCell="E1" zoomScale="70" zoomScaleNormal="70" zoomScaleSheetLayoutView="80" workbookViewId="0">
      <selection activeCell="AP36" sqref="AP36"/>
    </sheetView>
  </sheetViews>
  <sheetFormatPr defaultColWidth="9.125" defaultRowHeight="16.5" x14ac:dyDescent="0.2"/>
  <cols>
    <col min="1" max="1" width="9.125" style="1719"/>
    <col min="2" max="3" width="8.125" style="1719" bestFit="1" customWidth="1"/>
    <col min="4" max="4" width="4.5" style="1719" customWidth="1"/>
    <col min="5" max="5" width="13.375" style="1719" bestFit="1" customWidth="1"/>
    <col min="6" max="6" width="11.375" style="1719" customWidth="1"/>
    <col min="7" max="7" width="10.5" style="1719" customWidth="1"/>
    <col min="8" max="8" width="59.375" style="1719" customWidth="1"/>
    <col min="9" max="9" width="1.75" style="1719" customWidth="1"/>
    <col min="10" max="10" width="3.375" style="1719" bestFit="1" customWidth="1"/>
    <col min="11" max="11" width="3.375" style="1719" customWidth="1"/>
    <col min="12" max="12" width="47.375" style="1719" bestFit="1" customWidth="1"/>
    <col min="13" max="13" width="12" style="1719" customWidth="1"/>
    <col min="14" max="14" width="0.875" style="1923" customWidth="1"/>
    <col min="15" max="15" width="10.625" style="1719" bestFit="1" customWidth="1"/>
    <col min="16" max="16" width="0.75" style="4287" customWidth="1"/>
    <col min="17" max="18" width="9.5" style="4287" hidden="1" customWidth="1"/>
    <col min="19" max="19" width="0.75" style="4287" hidden="1" customWidth="1"/>
    <col min="20" max="21" width="9.5" style="1719" hidden="1" customWidth="1"/>
    <col min="22" max="22" width="0.75" style="4287" hidden="1" customWidth="1"/>
    <col min="23" max="24" width="9.5" style="1719" hidden="1" customWidth="1"/>
    <col min="25" max="25" width="0.75" style="4287" hidden="1" customWidth="1"/>
    <col min="26" max="27" width="9.5" style="1719" hidden="1" customWidth="1"/>
    <col min="28" max="28" width="0.75" style="4287" hidden="1" customWidth="1"/>
    <col min="29" max="30" width="9.5" style="1719" hidden="1" customWidth="1"/>
    <col min="31" max="31" width="0.75" style="4287" customWidth="1"/>
    <col min="32" max="32" width="10.625" style="1719" hidden="1" customWidth="1"/>
    <col min="33" max="33" width="11.25" style="1719" hidden="1" customWidth="1"/>
    <col min="34" max="34" width="8.375" style="1719" hidden="1" customWidth="1"/>
    <col min="35" max="35" width="8" style="1719" hidden="1" customWidth="1"/>
    <col min="36" max="36" width="8.625" style="1719" hidden="1" customWidth="1"/>
    <col min="37" max="38" width="0.875" style="1923" customWidth="1"/>
    <col min="39" max="39" width="10.125" style="1719" bestFit="1" customWidth="1"/>
    <col min="40" max="45" width="10.875" style="1719" customWidth="1"/>
    <col min="46" max="46" width="0.875" style="1923" customWidth="1"/>
    <col min="47" max="47" width="8.75" style="1719" bestFit="1" customWidth="1"/>
    <col min="48" max="49" width="8.125" style="1719" bestFit="1" customWidth="1"/>
    <col min="50" max="50" width="0.875" style="1923" customWidth="1"/>
    <col min="51" max="57" width="9.5" style="1719" hidden="1" customWidth="1"/>
    <col min="58" max="58" width="0.875" style="1923" hidden="1" customWidth="1"/>
    <col min="59" max="59" width="8.75" style="1719" hidden="1" customWidth="1"/>
    <col min="60" max="61" width="8.125" style="1719" hidden="1" customWidth="1"/>
    <col min="62" max="62" width="0.875" style="1923" hidden="1" customWidth="1"/>
    <col min="63" max="63" width="9.5" style="1719" hidden="1" customWidth="1"/>
    <col min="64" max="69" width="10.875" style="1719" hidden="1" customWidth="1"/>
    <col min="70" max="70" width="0.875" style="1923" hidden="1" customWidth="1"/>
    <col min="71" max="71" width="10" style="1719" hidden="1" customWidth="1"/>
    <col min="72" max="72" width="9.25" style="1719" hidden="1" customWidth="1"/>
    <col min="73" max="73" width="10" style="1719" hidden="1" customWidth="1"/>
    <col min="74" max="74" width="0.875" style="1923" hidden="1" customWidth="1"/>
    <col min="75" max="75" width="12.375" style="1719" hidden="1" customWidth="1"/>
    <col min="76" max="81" width="10.875" style="1719" hidden="1" customWidth="1"/>
    <col min="82" max="82" width="0.875" style="1923" hidden="1" customWidth="1"/>
    <col min="83" max="85" width="10" style="1719" hidden="1" customWidth="1"/>
    <col min="86" max="86" width="0.875" style="1719" hidden="1" customWidth="1"/>
    <col min="87" max="88" width="11.125" style="1719" hidden="1" customWidth="1"/>
    <col min="89" max="89" width="10.875" style="1719" hidden="1" customWidth="1"/>
    <col min="90" max="90" width="0.875" style="1719" hidden="1" customWidth="1"/>
    <col min="91" max="91" width="10.625" style="1719" hidden="1" customWidth="1"/>
    <col min="92" max="92" width="9.25" style="1719" hidden="1" customWidth="1"/>
    <col min="93" max="93" width="10" style="1719" hidden="1" customWidth="1"/>
    <col min="94" max="94" width="0.875" style="1719" customWidth="1"/>
    <col min="95" max="95" width="7.75" style="1719" bestFit="1" customWidth="1"/>
    <col min="96" max="96" width="8.75" style="1719" bestFit="1" customWidth="1"/>
    <col min="97" max="97" width="0.875" style="1719" customWidth="1"/>
    <col min="98" max="99" width="8.125" style="1719" bestFit="1" customWidth="1"/>
    <col min="100" max="100" width="0.875" style="1923" customWidth="1"/>
    <col min="101" max="101" width="9" style="1719" bestFit="1" customWidth="1"/>
    <col min="102" max="102" width="1.875" style="1719" customWidth="1"/>
    <col min="103" max="103" width="10.75" style="1719" bestFit="1" customWidth="1"/>
    <col min="104" max="104" width="13.25" style="1719" bestFit="1" customWidth="1"/>
    <col min="105" max="105" width="11.375" style="1719" bestFit="1" customWidth="1"/>
    <col min="106" max="106" width="14.25" style="1719" bestFit="1" customWidth="1"/>
    <col min="107" max="107" width="9.875" style="1719" bestFit="1" customWidth="1"/>
    <col min="108" max="108" width="12" style="1719" customWidth="1"/>
    <col min="109" max="109" width="10.875" style="1719" customWidth="1"/>
    <col min="110" max="110" width="10" style="1719" bestFit="1" customWidth="1"/>
    <col min="111" max="111" width="13" style="1719" bestFit="1" customWidth="1"/>
    <col min="112" max="112" width="12" style="1719" bestFit="1" customWidth="1"/>
    <col min="113" max="113" width="12.125" style="1719" bestFit="1" customWidth="1"/>
    <col min="114" max="114" width="11" style="1719" bestFit="1" customWidth="1"/>
    <col min="115" max="116" width="9.125" style="1719" customWidth="1"/>
    <col min="117" max="16384" width="9.125" style="1719"/>
  </cols>
  <sheetData>
    <row r="1" spans="1:199" s="1726" customFormat="1" ht="18" x14ac:dyDescent="0.2">
      <c r="L1" s="4834" t="s">
        <v>295</v>
      </c>
      <c r="M1" s="4835"/>
      <c r="N1" s="4835"/>
      <c r="O1" s="4835"/>
      <c r="P1" s="4835"/>
      <c r="Q1" s="4835"/>
      <c r="R1" s="4835"/>
      <c r="S1" s="4835"/>
      <c r="T1" s="4835"/>
      <c r="U1" s="4835"/>
      <c r="V1" s="4835"/>
      <c r="W1" s="4835"/>
      <c r="X1" s="4835"/>
      <c r="Y1" s="4835"/>
      <c r="Z1" s="4835"/>
      <c r="AA1" s="4835"/>
      <c r="AB1" s="4835"/>
      <c r="AC1" s="4835"/>
      <c r="AD1" s="4835"/>
      <c r="AE1" s="4835"/>
      <c r="AF1" s="4835"/>
      <c r="AG1" s="4835"/>
      <c r="AH1" s="4835"/>
      <c r="AI1" s="4835"/>
      <c r="AJ1" s="4836"/>
      <c r="AK1" s="1860"/>
      <c r="AL1" s="2453"/>
      <c r="AM1" s="4572" t="s">
        <v>135</v>
      </c>
      <c r="AN1" s="4573"/>
      <c r="AO1" s="4573"/>
      <c r="AP1" s="4573"/>
      <c r="AQ1" s="4573"/>
      <c r="AR1" s="4573"/>
      <c r="AS1" s="4574"/>
      <c r="AT1" s="1860"/>
      <c r="AU1" s="4541" t="s">
        <v>139</v>
      </c>
      <c r="AV1" s="4542"/>
      <c r="AW1" s="4543"/>
      <c r="AX1" s="1860"/>
      <c r="AY1" s="4572" t="s">
        <v>136</v>
      </c>
      <c r="AZ1" s="4573"/>
      <c r="BA1" s="4573"/>
      <c r="BB1" s="4573"/>
      <c r="BC1" s="4573"/>
      <c r="BD1" s="4573"/>
      <c r="BE1" s="4574"/>
      <c r="BF1" s="1860"/>
      <c r="BG1" s="4541" t="s">
        <v>140</v>
      </c>
      <c r="BH1" s="4542"/>
      <c r="BI1" s="4543"/>
      <c r="BJ1" s="1860"/>
      <c r="BK1" s="4572" t="s">
        <v>137</v>
      </c>
      <c r="BL1" s="4573"/>
      <c r="BM1" s="4573"/>
      <c r="BN1" s="4573"/>
      <c r="BO1" s="4573"/>
      <c r="BP1" s="4573"/>
      <c r="BQ1" s="4574"/>
      <c r="BR1" s="1860"/>
      <c r="BS1" s="4541" t="s">
        <v>141</v>
      </c>
      <c r="BT1" s="4542"/>
      <c r="BU1" s="4543"/>
      <c r="BV1" s="1860"/>
      <c r="BW1" s="4572" t="s">
        <v>138</v>
      </c>
      <c r="BX1" s="4573"/>
      <c r="BY1" s="4573"/>
      <c r="BZ1" s="4573"/>
      <c r="CA1" s="4573"/>
      <c r="CB1" s="4573"/>
      <c r="CC1" s="4574"/>
      <c r="CD1" s="1860"/>
      <c r="CE1" s="4541" t="s">
        <v>142</v>
      </c>
      <c r="CF1" s="4542"/>
      <c r="CG1" s="4543"/>
      <c r="CI1" s="4664" t="s">
        <v>145</v>
      </c>
      <c r="CJ1" s="4678"/>
      <c r="CK1" s="4679"/>
      <c r="CM1" s="4541" t="s">
        <v>146</v>
      </c>
      <c r="CN1" s="4542"/>
      <c r="CO1" s="4543"/>
      <c r="CQ1" s="4613" t="s">
        <v>54</v>
      </c>
      <c r="CR1" s="4579" t="s">
        <v>61</v>
      </c>
      <c r="CT1" s="4582">
        <f>CZ23/31</f>
        <v>0.22580645161290322</v>
      </c>
      <c r="CU1" s="4583"/>
      <c r="CV1" s="4583"/>
      <c r="CW1" s="4584"/>
      <c r="CY1" s="2333">
        <f>CT5/CZ23*31</f>
        <v>26694.148714285715</v>
      </c>
      <c r="CZ1" s="3164">
        <f>CY1*CT8</f>
        <v>5440.9162857142856</v>
      </c>
      <c r="DA1" s="2329">
        <f>CZ1-O56</f>
        <v>1992.751285714286</v>
      </c>
      <c r="DB1" s="2762">
        <f>DA1/2</f>
        <v>996.37564285714302</v>
      </c>
      <c r="DC1" s="4676"/>
      <c r="DD1" s="4676"/>
      <c r="DE1" s="4676"/>
      <c r="DG1" s="4676"/>
      <c r="DH1" s="4676"/>
      <c r="DI1" s="4676"/>
    </row>
    <row r="2" spans="1:199" ht="24" thickBot="1" x14ac:dyDescent="0.25">
      <c r="E2" s="4422">
        <v>210</v>
      </c>
      <c r="L2" s="4837"/>
      <c r="M2" s="4838"/>
      <c r="N2" s="4838"/>
      <c r="O2" s="4839"/>
      <c r="P2" s="4839"/>
      <c r="Q2" s="4839"/>
      <c r="R2" s="4839"/>
      <c r="S2" s="4839"/>
      <c r="T2" s="4839"/>
      <c r="U2" s="4839"/>
      <c r="V2" s="4839"/>
      <c r="W2" s="4839"/>
      <c r="X2" s="4839"/>
      <c r="Y2" s="4839"/>
      <c r="Z2" s="4839"/>
      <c r="AA2" s="4839"/>
      <c r="AB2" s="4839"/>
      <c r="AC2" s="4839"/>
      <c r="AD2" s="4839"/>
      <c r="AE2" s="4839"/>
      <c r="AF2" s="4839"/>
      <c r="AG2" s="4839"/>
      <c r="AH2" s="4839"/>
      <c r="AI2" s="4839"/>
      <c r="AJ2" s="4840"/>
      <c r="AK2" s="1720"/>
      <c r="AL2" s="4268"/>
      <c r="AM2" s="4575"/>
      <c r="AN2" s="4576"/>
      <c r="AO2" s="4576"/>
      <c r="AP2" s="4576"/>
      <c r="AQ2" s="4576"/>
      <c r="AR2" s="4576"/>
      <c r="AS2" s="4577"/>
      <c r="AT2" s="4269"/>
      <c r="AU2" s="4544"/>
      <c r="AV2" s="4545"/>
      <c r="AW2" s="4546"/>
      <c r="AX2" s="4269"/>
      <c r="AY2" s="4575"/>
      <c r="AZ2" s="4576"/>
      <c r="BA2" s="4576"/>
      <c r="BB2" s="4576"/>
      <c r="BC2" s="4576"/>
      <c r="BD2" s="4576"/>
      <c r="BE2" s="4577"/>
      <c r="BF2" s="4269"/>
      <c r="BG2" s="4544"/>
      <c r="BH2" s="4545"/>
      <c r="BI2" s="4546"/>
      <c r="BJ2" s="4269"/>
      <c r="BK2" s="4575"/>
      <c r="BL2" s="4576"/>
      <c r="BM2" s="4576"/>
      <c r="BN2" s="4576"/>
      <c r="BO2" s="4576"/>
      <c r="BP2" s="4576"/>
      <c r="BQ2" s="4577"/>
      <c r="BR2" s="4269"/>
      <c r="BS2" s="4544"/>
      <c r="BT2" s="4545"/>
      <c r="BU2" s="4546"/>
      <c r="BV2" s="4269"/>
      <c r="BW2" s="4575"/>
      <c r="BX2" s="4576"/>
      <c r="BY2" s="4576"/>
      <c r="BZ2" s="4576"/>
      <c r="CA2" s="4576"/>
      <c r="CB2" s="4576"/>
      <c r="CC2" s="4577"/>
      <c r="CD2" s="4269"/>
      <c r="CE2" s="4544"/>
      <c r="CF2" s="4545"/>
      <c r="CG2" s="4546"/>
      <c r="CH2" s="1724"/>
      <c r="CI2" s="4665"/>
      <c r="CJ2" s="4680"/>
      <c r="CK2" s="4681"/>
      <c r="CL2" s="1724"/>
      <c r="CM2" s="4544"/>
      <c r="CN2" s="4545"/>
      <c r="CO2" s="4546"/>
      <c r="CQ2" s="4614"/>
      <c r="CR2" s="4580"/>
      <c r="CT2" s="4585"/>
      <c r="CU2" s="4586"/>
      <c r="CV2" s="4586"/>
      <c r="CW2" s="4587"/>
      <c r="CY2" s="3518">
        <f>(AJ5*31)-CY1</f>
        <v>0</v>
      </c>
      <c r="CZ2" s="3166">
        <f>CZ1/CY1</f>
        <v>0.20382430411809721</v>
      </c>
      <c r="DA2" s="3167"/>
      <c r="DB2" s="3168"/>
      <c r="DC2" s="4676"/>
      <c r="DD2" s="4676"/>
      <c r="DE2" s="4676"/>
      <c r="DF2" s="3169"/>
      <c r="DG2" s="4676"/>
      <c r="DH2" s="4676"/>
      <c r="DI2" s="4676"/>
      <c r="DJ2" s="3169"/>
    </row>
    <row r="3" spans="1:199" ht="20.25" customHeight="1" x14ac:dyDescent="0.2">
      <c r="L3" s="4823" t="s">
        <v>189</v>
      </c>
      <c r="M3" s="4347"/>
      <c r="N3" s="4268"/>
      <c r="O3" s="4212"/>
      <c r="P3" s="4359"/>
      <c r="Q3" s="4212"/>
      <c r="R3" s="4212"/>
      <c r="S3" s="4359"/>
      <c r="T3" s="4212"/>
      <c r="U3" s="4212"/>
      <c r="V3" s="4359"/>
      <c r="W3" s="4212"/>
      <c r="X3" s="4212"/>
      <c r="Y3" s="4359"/>
      <c r="Z3" s="4212"/>
      <c r="AA3" s="4212"/>
      <c r="AB3" s="4359"/>
      <c r="AC3" s="4212"/>
      <c r="AD3" s="4212"/>
      <c r="AE3" s="4359"/>
      <c r="AF3" s="4212"/>
      <c r="AG3" s="4212"/>
      <c r="AH3" s="4212"/>
      <c r="AI3" s="4271"/>
      <c r="AJ3" s="4212"/>
      <c r="AK3" s="1720"/>
      <c r="AL3" s="4268"/>
      <c r="AM3" s="1871">
        <f t="shared" ref="AM3:AS3" si="0">AM4/AM5</f>
        <v>-0.33668813361177702</v>
      </c>
      <c r="AN3" s="1871">
        <f t="shared" si="0"/>
        <v>-0.23864888332535988</v>
      </c>
      <c r="AO3" s="1871">
        <f t="shared" si="0"/>
        <v>1</v>
      </c>
      <c r="AP3" s="1871">
        <f t="shared" si="0"/>
        <v>-0.27421478752445361</v>
      </c>
      <c r="AQ3" s="1871">
        <f t="shared" si="0"/>
        <v>-0.26709254265628873</v>
      </c>
      <c r="AR3" s="1871">
        <f t="shared" si="0"/>
        <v>-0.16829209589586741</v>
      </c>
      <c r="AS3" s="1871">
        <f t="shared" si="0"/>
        <v>-5.103921897588027E-2</v>
      </c>
      <c r="AT3" s="4269"/>
      <c r="AU3" s="3039">
        <f>SUM(AM3:AS3)</f>
        <v>-0.33597566198962692</v>
      </c>
      <c r="AV3" s="4826">
        <f>AU4/AU5</f>
        <v>-3.9768329968042589E-2</v>
      </c>
      <c r="AW3" s="4827"/>
      <c r="AX3" s="4269"/>
      <c r="AY3" s="4100"/>
      <c r="AZ3" s="4100"/>
      <c r="BA3" s="4100"/>
      <c r="BB3" s="4100"/>
      <c r="BC3" s="4100"/>
      <c r="BD3" s="4100"/>
      <c r="BE3" s="4100"/>
      <c r="BF3" s="4269"/>
      <c r="BG3" s="3087"/>
      <c r="BH3" s="3071"/>
      <c r="BI3" s="3072"/>
      <c r="BJ3" s="4269"/>
      <c r="BK3" s="4095"/>
      <c r="BL3" s="4095"/>
      <c r="BM3" s="4095"/>
      <c r="BN3" s="4095"/>
      <c r="BO3" s="4095"/>
      <c r="BP3" s="4095"/>
      <c r="BQ3" s="4095"/>
      <c r="BR3" s="4269"/>
      <c r="BS3" s="3099"/>
      <c r="BT3" s="3100"/>
      <c r="BU3" s="3101"/>
      <c r="BV3" s="4269"/>
      <c r="BW3" s="4095"/>
      <c r="BX3" s="4095"/>
      <c r="BY3" s="4095"/>
      <c r="BZ3" s="4095"/>
      <c r="CA3" s="4095"/>
      <c r="CB3" s="4095"/>
      <c r="CC3" s="4095"/>
      <c r="CD3" s="4269"/>
      <c r="CE3" s="3099"/>
      <c r="CF3" s="3036"/>
      <c r="CG3" s="3037"/>
      <c r="CH3" s="1724"/>
      <c r="CI3" s="4192"/>
      <c r="CJ3" s="4192"/>
      <c r="CK3" s="3125"/>
      <c r="CL3" s="1724"/>
      <c r="CM3" s="3099" t="e">
        <f>(CM5-CM4)/CM4</f>
        <v>#DIV/0!</v>
      </c>
      <c r="CN3" s="3036"/>
      <c r="CO3" s="3037"/>
      <c r="CQ3" s="4614"/>
      <c r="CR3" s="4580"/>
      <c r="CT3" s="4243"/>
      <c r="CU3" s="4830"/>
      <c r="CV3" s="4830"/>
      <c r="CW3" s="4831"/>
      <c r="CY3" s="4208">
        <f>CY1+CY2</f>
        <v>26694.148714285715</v>
      </c>
      <c r="CZ3" s="3171">
        <f>CU8</f>
        <v>1228.5260000000001</v>
      </c>
      <c r="DA3" s="3172">
        <f>CZ3-O56</f>
        <v>-2219.6389999999992</v>
      </c>
      <c r="DB3" s="4106">
        <f>DA3/2</f>
        <v>-1109.8194999999996</v>
      </c>
      <c r="DC3" s="4209">
        <f>CY3*CZ2</f>
        <v>5440.9162857142856</v>
      </c>
      <c r="DD3" s="4278"/>
      <c r="DE3" s="4278"/>
      <c r="DF3" s="3169"/>
      <c r="DG3" s="4278"/>
      <c r="DH3" s="4278"/>
      <c r="DI3" s="4278"/>
      <c r="DJ3" s="3169"/>
    </row>
    <row r="4" spans="1:199" ht="20.25" customHeight="1" thickBot="1" x14ac:dyDescent="0.25">
      <c r="B4" s="4409" t="s">
        <v>316</v>
      </c>
      <c r="C4" s="4409" t="s">
        <v>2</v>
      </c>
      <c r="E4" s="4409" t="s">
        <v>316</v>
      </c>
      <c r="F4" s="4409" t="s">
        <v>317</v>
      </c>
      <c r="G4" s="4409" t="s">
        <v>318</v>
      </c>
      <c r="L4" s="4824"/>
      <c r="M4" s="4347"/>
      <c r="N4" s="4268"/>
      <c r="O4" s="4212"/>
      <c r="P4" s="4359"/>
      <c r="Q4" s="4212"/>
      <c r="R4" s="4212"/>
      <c r="S4" s="4359"/>
      <c r="T4" s="4212"/>
      <c r="U4" s="4212"/>
      <c r="V4" s="4359"/>
      <c r="W4" s="4212"/>
      <c r="X4" s="4212"/>
      <c r="Y4" s="4359"/>
      <c r="Z4" s="4212"/>
      <c r="AA4" s="4212"/>
      <c r="AB4" s="4359"/>
      <c r="AC4" s="4212"/>
      <c r="AD4" s="4212"/>
      <c r="AE4" s="4359"/>
      <c r="AF4" s="4212"/>
      <c r="AG4" s="4212"/>
      <c r="AH4" s="4212"/>
      <c r="AI4" s="4271"/>
      <c r="AJ4" s="4212"/>
      <c r="AK4" s="1720"/>
      <c r="AL4" s="4268"/>
      <c r="AM4" s="1747">
        <f>AM5-'RAWABI INCOME 6-2020'!S5</f>
        <v>-261.505</v>
      </c>
      <c r="AN4" s="1747">
        <f>AN5-'RAWABI INCOME 6-2020'!T5</f>
        <v>-186.06999999999994</v>
      </c>
      <c r="AO4" s="1747">
        <f>AO5-'RAWABI INCOME 6-2020'!U5</f>
        <v>887.22299999999996</v>
      </c>
      <c r="AP4" s="1747">
        <f>AP5-'RAWABI INCOME 6-2020'!V5</f>
        <v>-282.16399999999999</v>
      </c>
      <c r="AQ4" s="1747">
        <f>AQ5-'RAWABI INCOME 6-2020'!W5</f>
        <v>-226.82300000000009</v>
      </c>
      <c r="AR4" s="1747">
        <f>AR5-'RAWABI INCOME 6-2020'!Q5</f>
        <v>-119.56799999999998</v>
      </c>
      <c r="AS4" s="1747">
        <f>AS5-'RAWABI INCOME 6-2020'!R5</f>
        <v>-50.80499999999995</v>
      </c>
      <c r="AT4" s="4269"/>
      <c r="AU4" s="2021">
        <f>SUM(AM4:AS4)</f>
        <v>-239.71199999999999</v>
      </c>
      <c r="AV4" s="4828"/>
      <c r="AW4" s="4829"/>
      <c r="AX4" s="4269"/>
      <c r="AY4" s="1747"/>
      <c r="AZ4" s="1747"/>
      <c r="BA4" s="1747"/>
      <c r="BB4" s="1747"/>
      <c r="BC4" s="1747"/>
      <c r="BD4" s="1747"/>
      <c r="BE4" s="1747"/>
      <c r="BF4" s="4269"/>
      <c r="BG4" s="2956"/>
      <c r="BH4" s="3073"/>
      <c r="BI4" s="3074"/>
      <c r="BJ4" s="4269"/>
      <c r="BK4" s="1747"/>
      <c r="BL4" s="1747"/>
      <c r="BM4" s="1747"/>
      <c r="BN4" s="1747"/>
      <c r="BO4" s="1747"/>
      <c r="BP4" s="1747"/>
      <c r="BQ4" s="1747"/>
      <c r="BR4" s="4269"/>
      <c r="BS4" s="3102"/>
      <c r="BT4" s="3103"/>
      <c r="BU4" s="3104"/>
      <c r="BV4" s="4269"/>
      <c r="BW4" s="1747"/>
      <c r="BX4" s="1747"/>
      <c r="BY4" s="1747"/>
      <c r="BZ4" s="1747"/>
      <c r="CA4" s="1747"/>
      <c r="CB4" s="1747"/>
      <c r="CC4" s="1747"/>
      <c r="CD4" s="4269"/>
      <c r="CE4" s="2021"/>
      <c r="CF4" s="3058"/>
      <c r="CG4" s="3038"/>
      <c r="CH4" s="1724"/>
      <c r="CI4" s="3201"/>
      <c r="CJ4" s="3201"/>
      <c r="CK4" s="3201"/>
      <c r="CL4" s="1724"/>
      <c r="CM4" s="2021">
        <f>SUM(CI4:CK4)</f>
        <v>0</v>
      </c>
      <c r="CN4" s="3058">
        <f>CM5-CM4</f>
        <v>0</v>
      </c>
      <c r="CO4" s="3038"/>
      <c r="CQ4" s="4614"/>
      <c r="CR4" s="4580"/>
      <c r="CT4" s="4244"/>
      <c r="CU4" s="4832"/>
      <c r="CV4" s="4832"/>
      <c r="CW4" s="4833"/>
      <c r="CY4" s="3165"/>
      <c r="CZ4" s="3166">
        <f>CZ3/CT5</f>
        <v>0.20381302288712913</v>
      </c>
      <c r="DA4" s="3167">
        <f>DA3/O7</f>
        <v>-12.646548005280827</v>
      </c>
      <c r="DB4" s="3519"/>
      <c r="DC4" s="4210">
        <f>DC3-O56</f>
        <v>1992.751285714286</v>
      </c>
      <c r="DD4" s="4278"/>
      <c r="DE4" s="4278"/>
      <c r="DF4" s="3169"/>
      <c r="DG4" s="4278"/>
      <c r="DH4" s="4278"/>
      <c r="DI4" s="4278"/>
      <c r="DJ4" s="3169"/>
    </row>
    <row r="5" spans="1:199" s="1726" customFormat="1" ht="27.75" thickBot="1" x14ac:dyDescent="0.25">
      <c r="B5" s="4410">
        <v>0</v>
      </c>
      <c r="C5" s="4410">
        <v>0</v>
      </c>
      <c r="E5" s="4410">
        <v>0.55000000000000004</v>
      </c>
      <c r="F5" s="4410">
        <f t="shared" ref="F5:F10" si="1">IF(E5&gt;1,1+(E5-1)*2,IF(E5&gt;95%,E5,LOOKUP(E5,$B$5:$B$9,$C$5:$C$9)))</f>
        <v>0</v>
      </c>
      <c r="G5" s="4416">
        <f>F5*$E$2</f>
        <v>0</v>
      </c>
      <c r="H5" s="1726" t="str">
        <f ca="1">_xlfn.FORMULATEXT(F5)</f>
        <v>=IF(E5&gt;1,1+(E5-1)*2,IF(E5&gt;95%,E5,LOOKUP(E5,$B$5:$B$9,$C$5:$C$9)))</v>
      </c>
      <c r="L5" s="4824"/>
      <c r="M5" s="4348"/>
      <c r="N5" s="3055"/>
      <c r="O5" s="2260"/>
      <c r="P5" s="1765"/>
      <c r="Q5" s="2260"/>
      <c r="R5" s="2260"/>
      <c r="S5" s="1765"/>
      <c r="T5" s="2260"/>
      <c r="U5" s="2260"/>
      <c r="V5" s="1765"/>
      <c r="W5" s="2260"/>
      <c r="X5" s="2260"/>
      <c r="Y5" s="1765"/>
      <c r="Z5" s="2260"/>
      <c r="AA5" s="2260"/>
      <c r="AB5" s="1765"/>
      <c r="AC5" s="2260"/>
      <c r="AD5" s="3048"/>
      <c r="AE5" s="4391"/>
      <c r="AF5" s="3048"/>
      <c r="AG5" s="1728">
        <f>CT5</f>
        <v>6027.7110000000002</v>
      </c>
      <c r="AH5" s="1728"/>
      <c r="AI5" s="1728"/>
      <c r="AJ5" s="2383">
        <f>CT5/CZ23</f>
        <v>861.10157142857145</v>
      </c>
      <c r="AK5" s="1730"/>
      <c r="AL5" s="1731"/>
      <c r="AM5" s="1732">
        <v>776.69799999999998</v>
      </c>
      <c r="AN5" s="1732">
        <v>779.68100000000004</v>
      </c>
      <c r="AO5" s="1732">
        <v>887.22299999999996</v>
      </c>
      <c r="AP5" s="1732">
        <v>1028.989</v>
      </c>
      <c r="AQ5" s="1732">
        <v>849.23</v>
      </c>
      <c r="AR5" s="1732">
        <v>710.47900000000004</v>
      </c>
      <c r="AS5" s="1732">
        <v>995.41099999999994</v>
      </c>
      <c r="AT5" s="1733"/>
      <c r="AU5" s="4272">
        <f>SUM(AM5:AS5)</f>
        <v>6027.7110000000002</v>
      </c>
      <c r="AV5" s="2275">
        <f>($AG$56*100/20)*7</f>
        <v>4267.4257951971149</v>
      </c>
      <c r="AW5" s="4276">
        <f>AU5-AV5</f>
        <v>1760.2852048028853</v>
      </c>
      <c r="AX5" s="1737"/>
      <c r="AY5" s="1732"/>
      <c r="AZ5" s="1732"/>
      <c r="BA5" s="1732"/>
      <c r="BB5" s="1732"/>
      <c r="BC5" s="1732"/>
      <c r="BD5" s="1732"/>
      <c r="BE5" s="1732"/>
      <c r="BF5" s="1738"/>
      <c r="BG5" s="4272">
        <f>SUM(AY5:BE5)</f>
        <v>0</v>
      </c>
      <c r="BH5" s="2275">
        <f>($AG$56*100/20)*0</f>
        <v>0</v>
      </c>
      <c r="BI5" s="4276">
        <f>BG5-BH5</f>
        <v>0</v>
      </c>
      <c r="BJ5" s="1738"/>
      <c r="BK5" s="1732"/>
      <c r="BL5" s="1732"/>
      <c r="BM5" s="1732"/>
      <c r="BN5" s="1732"/>
      <c r="BO5" s="1732"/>
      <c r="BP5" s="1732"/>
      <c r="BQ5" s="1732"/>
      <c r="BR5" s="3008">
        <v>417.84800000000001</v>
      </c>
      <c r="BS5" s="4272">
        <f>SUM(BK5:BQ5)</f>
        <v>0</v>
      </c>
      <c r="BT5" s="2275">
        <f>($AG$56*100/24)*0</f>
        <v>0</v>
      </c>
      <c r="BU5" s="4276">
        <f>BS5-BT5</f>
        <v>0</v>
      </c>
      <c r="BV5" s="2205"/>
      <c r="BW5" s="1732"/>
      <c r="BX5" s="1732"/>
      <c r="BY5" s="1732"/>
      <c r="BZ5" s="1732"/>
      <c r="CA5" s="1732"/>
      <c r="CB5" s="1732"/>
      <c r="CC5" s="1732"/>
      <c r="CD5" s="2205"/>
      <c r="CE5" s="4272">
        <f>SUM(BW5:CC5)</f>
        <v>0</v>
      </c>
      <c r="CF5" s="2275">
        <f>($AG$56*100/24)*0</f>
        <v>0</v>
      </c>
      <c r="CG5" s="4276">
        <f>CE5-CF5</f>
        <v>0</v>
      </c>
      <c r="CH5" s="1861"/>
      <c r="CI5" s="4284"/>
      <c r="CJ5" s="4284"/>
      <c r="CK5" s="4284"/>
      <c r="CL5" s="1861"/>
      <c r="CM5" s="4272">
        <f>SUM(CI5:CK5)</f>
        <v>0</v>
      </c>
      <c r="CN5" s="2275">
        <f>($AG$56*100/24)*0</f>
        <v>0</v>
      </c>
      <c r="CO5" s="4276">
        <f>CM5-CN5</f>
        <v>0</v>
      </c>
      <c r="CQ5" s="4614"/>
      <c r="CR5" s="4580"/>
      <c r="CT5" s="2345">
        <f>SUM(AM5:AS5)+SUM(AY5:BE5)+SUM(BK5:BQ5)+SUM(BW5:CC5)+SUM(CI5:CK5)</f>
        <v>6027.7110000000002</v>
      </c>
      <c r="CU5" s="2346">
        <f>CT5/CY5</f>
        <v>0.34961847823407532</v>
      </c>
      <c r="CV5" s="1997"/>
      <c r="CW5" s="2347">
        <f>CT5/CZ23*29</f>
        <v>24971.945571428572</v>
      </c>
      <c r="CX5" s="1740"/>
      <c r="CY5" s="2747">
        <f>L56</f>
        <v>17240.824999999997</v>
      </c>
      <c r="CZ5" s="2748">
        <f>CY5-CT5</f>
        <v>11213.113999999998</v>
      </c>
      <c r="DA5" s="2749">
        <f>CZ5/CZ26</f>
        <v>467.21308333333326</v>
      </c>
      <c r="DB5" s="3506">
        <f>CY1/'RAWABI INCOME 6-2020'!CB1-1</f>
        <v>3.0709787822839063E-2</v>
      </c>
      <c r="DC5" s="4211">
        <f>DC4/2</f>
        <v>996.37564285714302</v>
      </c>
      <c r="DD5" s="3108">
        <f>DC5-DB1</f>
        <v>0</v>
      </c>
      <c r="DE5" s="3108"/>
      <c r="DF5" s="3174"/>
      <c r="DG5" s="3108"/>
      <c r="DH5" s="3108"/>
      <c r="DI5" s="3108"/>
      <c r="DJ5" s="3174"/>
    </row>
    <row r="6" spans="1:199" ht="27" x14ac:dyDescent="0.2">
      <c r="B6" s="4411">
        <v>0.85</v>
      </c>
      <c r="C6" s="4411">
        <v>0.5</v>
      </c>
      <c r="E6" s="4411">
        <v>0.85</v>
      </c>
      <c r="F6" s="4411">
        <f t="shared" si="1"/>
        <v>0.5</v>
      </c>
      <c r="G6" s="4417">
        <f>F6*$E$2</f>
        <v>105</v>
      </c>
      <c r="H6" s="1719" t="str">
        <f t="shared" ref="H6:H17" ca="1" si="2">_xlfn.FORMULATEXT(F6)</f>
        <v>=IF(E6&gt;1,1+(E6-1)*2,IF(E6&gt;95%,E6,LOOKUP(E6,$B$5:$B$9,$C$5:$C$9)))</v>
      </c>
      <c r="L6" s="4824"/>
      <c r="M6" s="4348"/>
      <c r="N6" s="1847"/>
      <c r="O6" s="4224"/>
      <c r="P6" s="1789"/>
      <c r="Q6" s="4224"/>
      <c r="R6" s="4224"/>
      <c r="S6" s="1789"/>
      <c r="T6" s="4224"/>
      <c r="U6" s="4224"/>
      <c r="V6" s="1789"/>
      <c r="W6" s="4224"/>
      <c r="X6" s="4224"/>
      <c r="Y6" s="1789"/>
      <c r="Z6" s="4224"/>
      <c r="AA6" s="4224"/>
      <c r="AB6" s="1789"/>
      <c r="AC6" s="4224"/>
      <c r="AD6" s="4225"/>
      <c r="AE6" s="4392"/>
      <c r="AF6" s="4225"/>
      <c r="AG6" s="1746"/>
      <c r="AH6" s="1746"/>
      <c r="AI6" s="1746"/>
      <c r="AJ6" s="2382"/>
      <c r="AK6" s="1720"/>
      <c r="AL6" s="4268"/>
      <c r="AM6" s="4226">
        <v>616.46100000000001</v>
      </c>
      <c r="AN6" s="4226">
        <v>615.73800000000006</v>
      </c>
      <c r="AO6" s="4226">
        <v>698.77499999999998</v>
      </c>
      <c r="AP6" s="4226">
        <v>819.38300000000004</v>
      </c>
      <c r="AQ6" s="4226">
        <v>680.49199999999996</v>
      </c>
      <c r="AR6" s="4226">
        <v>568.66200000000003</v>
      </c>
      <c r="AS6" s="4226">
        <v>799.65599999999995</v>
      </c>
      <c r="AT6" s="1748"/>
      <c r="AU6" s="4227">
        <f>SUM(AM6:AS6)</f>
        <v>4799.1670000000004</v>
      </c>
      <c r="AV6" s="4228">
        <v>4799.2389999999996</v>
      </c>
      <c r="AW6" s="4229">
        <f>AV6-AU6</f>
        <v>7.1999999999206921E-2</v>
      </c>
      <c r="AX6" s="4270"/>
      <c r="AY6" s="4230"/>
      <c r="AZ6" s="4230"/>
      <c r="BA6" s="4230"/>
      <c r="BB6" s="4230"/>
      <c r="BC6" s="4230"/>
      <c r="BD6" s="4230"/>
      <c r="BE6" s="4230"/>
      <c r="BF6" s="1723"/>
      <c r="BG6" s="4231">
        <f>SUM(AY6:BE6)</f>
        <v>0</v>
      </c>
      <c r="BH6" s="4232"/>
      <c r="BI6" s="4233">
        <f>BH6-BG6</f>
        <v>0</v>
      </c>
      <c r="BJ6" s="1723"/>
      <c r="BK6" s="4230"/>
      <c r="BL6" s="4230"/>
      <c r="BM6" s="4230"/>
      <c r="BN6" s="4230"/>
      <c r="BO6" s="4230"/>
      <c r="BP6" s="4230"/>
      <c r="BQ6" s="4230"/>
      <c r="BR6" s="4234"/>
      <c r="BS6" s="4231">
        <f>SUM(BK6:BQ6)</f>
        <v>0</v>
      </c>
      <c r="BT6" s="4232"/>
      <c r="BU6" s="4233">
        <f>BT6-BS6</f>
        <v>0</v>
      </c>
      <c r="BV6" s="2039"/>
      <c r="BW6" s="4230"/>
      <c r="BX6" s="4230"/>
      <c r="BY6" s="4230"/>
      <c r="BZ6" s="4230"/>
      <c r="CA6" s="4230"/>
      <c r="CB6" s="4230"/>
      <c r="CC6" s="4230"/>
      <c r="CD6" s="2039"/>
      <c r="CE6" s="4231">
        <f>SUM(BW6:CC6)</f>
        <v>0</v>
      </c>
      <c r="CF6" s="4232"/>
      <c r="CG6" s="4233">
        <f>CF6-CE6</f>
        <v>0</v>
      </c>
      <c r="CH6" s="1994"/>
      <c r="CI6" s="3071"/>
      <c r="CJ6" s="3071"/>
      <c r="CK6" s="3071"/>
      <c r="CL6" s="1994"/>
      <c r="CM6" s="4231">
        <f>SUM(CI6:CK6)</f>
        <v>0</v>
      </c>
      <c r="CN6" s="4232"/>
      <c r="CO6" s="4233">
        <f>CN6-CM6</f>
        <v>0</v>
      </c>
      <c r="CQ6" s="4614"/>
      <c r="CR6" s="4580"/>
      <c r="CT6" s="4235">
        <f>AU6+BG6+BS6+CE6+CM6</f>
        <v>4799.1670000000004</v>
      </c>
      <c r="CU6" s="4236">
        <v>4799.2389999999996</v>
      </c>
      <c r="CV6" s="1993"/>
      <c r="CW6" s="4237">
        <f>CU6-CT6</f>
        <v>7.1999999999206921E-2</v>
      </c>
      <c r="CX6" s="1754"/>
      <c r="CY6" s="4238"/>
      <c r="CZ6" s="4239"/>
      <c r="DA6" s="4240"/>
      <c r="DB6" s="4241"/>
      <c r="DC6" s="4242"/>
      <c r="DD6" s="2271"/>
      <c r="DE6" s="2271"/>
      <c r="DF6" s="3169"/>
      <c r="DG6" s="2271"/>
      <c r="DH6" s="2271"/>
      <c r="DI6" s="2271"/>
      <c r="DJ6" s="3169"/>
    </row>
    <row r="7" spans="1:199" s="2713" customFormat="1" ht="27.75" thickBot="1" x14ac:dyDescent="0.25">
      <c r="B7" s="4412">
        <v>0.90000999999999998</v>
      </c>
      <c r="C7" s="4412">
        <v>0.8</v>
      </c>
      <c r="E7" s="4412">
        <v>0.87</v>
      </c>
      <c r="F7" s="4412">
        <f t="shared" si="1"/>
        <v>0.5</v>
      </c>
      <c r="G7" s="4418">
        <f t="shared" ref="G7:G17" si="3">F7*$E$2</f>
        <v>105</v>
      </c>
      <c r="H7" s="2713" t="str">
        <f t="shared" ca="1" si="2"/>
        <v>=IF(E7&gt;1,1+(E7-1)*2,IF(E7&gt;95%,E7,LOOKUP(E7,$B$5:$B$9,$C$5:$C$9)))</v>
      </c>
      <c r="L7" s="4824"/>
      <c r="M7" s="4348"/>
      <c r="N7" s="3056"/>
      <c r="O7" s="2716">
        <f>AG7/CZ23</f>
        <v>175.51342857142859</v>
      </c>
      <c r="P7" s="3325"/>
      <c r="Q7" s="2716"/>
      <c r="R7" s="2716"/>
      <c r="S7" s="3325"/>
      <c r="T7" s="2716"/>
      <c r="U7" s="2716"/>
      <c r="V7" s="3325"/>
      <c r="W7" s="2716"/>
      <c r="X7" s="2716"/>
      <c r="Y7" s="3325"/>
      <c r="Z7" s="2716"/>
      <c r="AA7" s="2716"/>
      <c r="AB7" s="3325"/>
      <c r="AC7" s="2716"/>
      <c r="AD7" s="3049"/>
      <c r="AE7" s="4393"/>
      <c r="AF7" s="3049"/>
      <c r="AG7" s="3052">
        <f>CT7</f>
        <v>1228.5940000000001</v>
      </c>
      <c r="AH7" s="3052"/>
      <c r="AI7" s="3052"/>
      <c r="AJ7" s="3053">
        <f>L56/AJ5</f>
        <v>20.021825034411897</v>
      </c>
      <c r="AK7" s="2719"/>
      <c r="AL7" s="2720"/>
      <c r="AM7" s="2782">
        <v>160.24700000000001</v>
      </c>
      <c r="AN7" s="2782">
        <v>163.94900000000001</v>
      </c>
      <c r="AO7" s="2782">
        <v>188.45500000000001</v>
      </c>
      <c r="AP7" s="2782">
        <v>209.614</v>
      </c>
      <c r="AQ7" s="2782">
        <v>168.749</v>
      </c>
      <c r="AR7" s="2782">
        <v>141.81899999999999</v>
      </c>
      <c r="AS7" s="2782">
        <v>195.761</v>
      </c>
      <c r="AT7" s="2722"/>
      <c r="AU7" s="2781">
        <f>SUM(AM7:AS7)</f>
        <v>1228.5940000000001</v>
      </c>
      <c r="AV7" s="2782">
        <f>AV5*AU8</f>
        <v>869.80509308166972</v>
      </c>
      <c r="AW7" s="2783">
        <f>AW5*AU8</f>
        <v>358.78890691833038</v>
      </c>
      <c r="AX7" s="2723"/>
      <c r="AY7" s="2721"/>
      <c r="AZ7" s="2721"/>
      <c r="BA7" s="2721"/>
      <c r="BB7" s="2721"/>
      <c r="BC7" s="2721"/>
      <c r="BD7" s="2721"/>
      <c r="BE7" s="2721"/>
      <c r="BF7" s="2724"/>
      <c r="BG7" s="2781">
        <f>SUM(AY7:BE7)</f>
        <v>0</v>
      </c>
      <c r="BH7" s="2782" t="e">
        <f>BH5*BG8</f>
        <v>#DIV/0!</v>
      </c>
      <c r="BI7" s="2783">
        <f>BI5*25%</f>
        <v>0</v>
      </c>
      <c r="BJ7" s="2724"/>
      <c r="BK7" s="2721"/>
      <c r="BL7" s="2721"/>
      <c r="BM7" s="2721"/>
      <c r="BN7" s="2721"/>
      <c r="BO7" s="2721"/>
      <c r="BP7" s="2721"/>
      <c r="BQ7" s="2721"/>
      <c r="BR7" s="3009">
        <v>85.138999999999996</v>
      </c>
      <c r="BS7" s="2781">
        <f>SUM(BK7:BQ7)</f>
        <v>0</v>
      </c>
      <c r="BT7" s="2782" t="e">
        <f>BT5*BS8</f>
        <v>#DIV/0!</v>
      </c>
      <c r="BU7" s="2783">
        <f>BU5*25%</f>
        <v>0</v>
      </c>
      <c r="BV7" s="2725"/>
      <c r="BW7" s="2721"/>
      <c r="BX7" s="2721"/>
      <c r="BY7" s="2721"/>
      <c r="BZ7" s="2721"/>
      <c r="CA7" s="2721"/>
      <c r="CB7" s="2721"/>
      <c r="CC7" s="2721"/>
      <c r="CD7" s="2725"/>
      <c r="CE7" s="2781">
        <f>SUM(BW7:CC7)</f>
        <v>0</v>
      </c>
      <c r="CF7" s="2782" t="e">
        <f>CF5*CE8</f>
        <v>#DIV/0!</v>
      </c>
      <c r="CG7" s="2783">
        <f>CG5*25%</f>
        <v>0</v>
      </c>
      <c r="CH7" s="2726"/>
      <c r="CI7" s="2721"/>
      <c r="CJ7" s="2721"/>
      <c r="CK7" s="2721"/>
      <c r="CL7" s="2726"/>
      <c r="CM7" s="2781">
        <f>SUM(CI7:CK7)</f>
        <v>0</v>
      </c>
      <c r="CN7" s="2782" t="e">
        <f>CN5*CM8</f>
        <v>#DIV/0!</v>
      </c>
      <c r="CO7" s="2783">
        <f>CO5*25%</f>
        <v>0</v>
      </c>
      <c r="CQ7" s="4614"/>
      <c r="CR7" s="4580"/>
      <c r="CT7" s="2727">
        <f>SUM(AM7:AS7)+SUM(AY7:BE7)+SUM(BK7:BQ7)+SUM(BW7:CC7)+SUM(CI7:CK7)</f>
        <v>1228.5940000000001</v>
      </c>
      <c r="CU7" s="2728">
        <f>CT7/O56</f>
        <v>0.35630371516444259</v>
      </c>
      <c r="CV7" s="2729"/>
      <c r="CW7" s="2798"/>
      <c r="CX7" s="2730"/>
      <c r="CY7" s="3161"/>
      <c r="CZ7" s="3162">
        <f>CZ5/AJ5</f>
        <v>13.021825034411899</v>
      </c>
      <c r="DA7" s="3163" t="s">
        <v>251</v>
      </c>
      <c r="DB7" s="3112" t="s">
        <v>253</v>
      </c>
      <c r="DC7" s="3109"/>
      <c r="DD7" s="3109"/>
      <c r="DE7" s="3109"/>
      <c r="DF7" s="3175"/>
      <c r="DG7" s="3109"/>
      <c r="DH7" s="3109"/>
      <c r="DI7" s="3109"/>
      <c r="DJ7" s="3175"/>
    </row>
    <row r="8" spans="1:199" s="1885" customFormat="1" ht="27" x14ac:dyDescent="0.2">
      <c r="B8" s="4413">
        <v>0.95001000000000002</v>
      </c>
      <c r="C8" s="4413">
        <f>B8</f>
        <v>0.95001000000000002</v>
      </c>
      <c r="E8" s="4413">
        <v>0.9</v>
      </c>
      <c r="F8" s="4413">
        <f t="shared" si="1"/>
        <v>0.5</v>
      </c>
      <c r="G8" s="4419">
        <f t="shared" si="3"/>
        <v>105</v>
      </c>
      <c r="H8" s="1885" t="str">
        <f t="shared" ca="1" si="2"/>
        <v>=IF(E8&gt;1,1+(E8-1)*2,IF(E8&gt;95%,E8,LOOKUP(E8,$B$5:$B$9,$C$5:$C$9)))</v>
      </c>
      <c r="L8" s="4824"/>
      <c r="M8" s="4348"/>
      <c r="N8" s="3057"/>
      <c r="O8" s="2813">
        <f>AG8/2</f>
        <v>-1109.7854999999997</v>
      </c>
      <c r="P8" s="3326"/>
      <c r="Q8" s="2813"/>
      <c r="R8" s="2813"/>
      <c r="S8" s="3326"/>
      <c r="T8" s="2813"/>
      <c r="U8" s="2813"/>
      <c r="V8" s="3326"/>
      <c r="W8" s="2813"/>
      <c r="X8" s="2813"/>
      <c r="Y8" s="3326"/>
      <c r="Z8" s="2813"/>
      <c r="AA8" s="2813"/>
      <c r="AB8" s="3326"/>
      <c r="AC8" s="2813"/>
      <c r="AD8" s="3050"/>
      <c r="AE8" s="4394"/>
      <c r="AF8" s="3050"/>
      <c r="AG8" s="2001">
        <f>AG7-O56</f>
        <v>-2219.5709999999995</v>
      </c>
      <c r="AH8" s="2001"/>
      <c r="AI8" s="2001"/>
      <c r="AJ8" s="3054">
        <f>AG8-DA3</f>
        <v>6.7999999999756255E-2</v>
      </c>
      <c r="AK8" s="2816"/>
      <c r="AL8" s="2817"/>
      <c r="AM8" s="4199">
        <f>AM7/AM5</f>
        <v>0.20631828587172879</v>
      </c>
      <c r="AN8" s="4199">
        <f t="shared" ref="AN8" si="4">AN7/AN5</f>
        <v>0.21027702355193983</v>
      </c>
      <c r="AO8" s="4199">
        <f>AO7/AO5</f>
        <v>0.21240995781218477</v>
      </c>
      <c r="AP8" s="4199">
        <f t="shared" ref="AP8:AS8" si="5">AP7/AP5</f>
        <v>0.20370868881980272</v>
      </c>
      <c r="AQ8" s="4199">
        <f>AQ7/AQ5</f>
        <v>0.19870824158355216</v>
      </c>
      <c r="AR8" s="4199">
        <f t="shared" si="5"/>
        <v>0.19961040368540095</v>
      </c>
      <c r="AS8" s="4199">
        <f t="shared" si="5"/>
        <v>0.19666348874987316</v>
      </c>
      <c r="AT8" s="2819"/>
      <c r="AU8" s="2820">
        <f>AU7/AU5</f>
        <v>0.20382430411809724</v>
      </c>
      <c r="AV8" s="4204">
        <v>1228.5260000000001</v>
      </c>
      <c r="AW8" s="4205">
        <f>AV8-AU7</f>
        <v>-6.7999999999983629E-2</v>
      </c>
      <c r="AX8" s="2822"/>
      <c r="AY8" s="2818" t="e">
        <f t="shared" ref="AY8:BE8" si="6">AY7/AY5</f>
        <v>#DIV/0!</v>
      </c>
      <c r="AZ8" s="2818" t="e">
        <f t="shared" si="6"/>
        <v>#DIV/0!</v>
      </c>
      <c r="BA8" s="2818" t="e">
        <f t="shared" si="6"/>
        <v>#DIV/0!</v>
      </c>
      <c r="BB8" s="2818" t="e">
        <f t="shared" si="6"/>
        <v>#DIV/0!</v>
      </c>
      <c r="BC8" s="2818" t="e">
        <f t="shared" si="6"/>
        <v>#DIV/0!</v>
      </c>
      <c r="BD8" s="2818" t="e">
        <f t="shared" si="6"/>
        <v>#DIV/0!</v>
      </c>
      <c r="BE8" s="2818" t="e">
        <f t="shared" si="6"/>
        <v>#DIV/0!</v>
      </c>
      <c r="BF8" s="2823"/>
      <c r="BG8" s="2820" t="e">
        <f>BG7/BG5</f>
        <v>#DIV/0!</v>
      </c>
      <c r="BH8" s="2821"/>
      <c r="BI8" s="3042">
        <f>BH8-BG7</f>
        <v>0</v>
      </c>
      <c r="BJ8" s="2823"/>
      <c r="BK8" s="2818" t="e">
        <f t="shared" ref="BK8:BR8" si="7">BK7/BK5</f>
        <v>#DIV/0!</v>
      </c>
      <c r="BL8" s="2818" t="e">
        <f t="shared" si="7"/>
        <v>#DIV/0!</v>
      </c>
      <c r="BM8" s="2818" t="e">
        <f t="shared" si="7"/>
        <v>#DIV/0!</v>
      </c>
      <c r="BN8" s="2818" t="e">
        <f t="shared" si="7"/>
        <v>#DIV/0!</v>
      </c>
      <c r="BO8" s="2818" t="e">
        <f t="shared" si="7"/>
        <v>#DIV/0!</v>
      </c>
      <c r="BP8" s="2818" t="e">
        <f t="shared" si="7"/>
        <v>#DIV/0!</v>
      </c>
      <c r="BQ8" s="2818" t="e">
        <f t="shared" si="7"/>
        <v>#DIV/0!</v>
      </c>
      <c r="BR8" s="3010">
        <f t="shared" si="7"/>
        <v>0.20375591124045106</v>
      </c>
      <c r="BS8" s="2820" t="e">
        <f>BS7/BS5</f>
        <v>#DIV/0!</v>
      </c>
      <c r="BT8" s="2821"/>
      <c r="BU8" s="3042">
        <f>BT8-BS7</f>
        <v>0</v>
      </c>
      <c r="BV8" s="2402"/>
      <c r="BW8" s="2818"/>
      <c r="BX8" s="2818"/>
      <c r="BY8" s="2818"/>
      <c r="BZ8" s="2818"/>
      <c r="CA8" s="2818"/>
      <c r="CB8" s="2818"/>
      <c r="CC8" s="2818"/>
      <c r="CD8" s="2823"/>
      <c r="CE8" s="2820" t="e">
        <f>CE7/CE5</f>
        <v>#DIV/0!</v>
      </c>
      <c r="CF8" s="2821"/>
      <c r="CG8" s="3042">
        <f>CF8-CE7</f>
        <v>0</v>
      </c>
      <c r="CH8" s="2011"/>
      <c r="CI8" s="2818" t="e">
        <f t="shared" ref="CI8:CK8" si="8">CI7/CI5</f>
        <v>#DIV/0!</v>
      </c>
      <c r="CJ8" s="2818" t="e">
        <f t="shared" si="8"/>
        <v>#DIV/0!</v>
      </c>
      <c r="CK8" s="2818" t="e">
        <f t="shared" si="8"/>
        <v>#DIV/0!</v>
      </c>
      <c r="CL8" s="2823"/>
      <c r="CM8" s="2820" t="e">
        <f>CM7/CM5</f>
        <v>#DIV/0!</v>
      </c>
      <c r="CN8" s="2821"/>
      <c r="CO8" s="3042">
        <f>CN8-CM7</f>
        <v>0</v>
      </c>
      <c r="CQ8" s="4614"/>
      <c r="CR8" s="4580"/>
      <c r="CT8" s="2820">
        <f>CT7/CT5</f>
        <v>0.20382430411809724</v>
      </c>
      <c r="CU8" s="4205">
        <v>1228.5260000000001</v>
      </c>
      <c r="CV8" s="2010"/>
      <c r="CW8" s="4207">
        <f>CU8-CT7</f>
        <v>-6.7999999999983629E-2</v>
      </c>
      <c r="CX8" s="1900"/>
      <c r="CY8" s="3158">
        <f>O56-CT7</f>
        <v>2219.5709999999995</v>
      </c>
      <c r="CZ8" s="3159">
        <f>CY8/O7</f>
        <v>12.646160570538351</v>
      </c>
      <c r="DA8" s="3160"/>
      <c r="DB8" s="2828"/>
      <c r="DC8" s="3110"/>
      <c r="DD8" s="3110"/>
      <c r="DE8" s="3110"/>
      <c r="DF8" s="3176"/>
      <c r="DG8" s="3110"/>
      <c r="DH8" s="3110"/>
      <c r="DI8" s="3110"/>
      <c r="DJ8" s="3176"/>
    </row>
    <row r="9" spans="1:199" ht="27.75" thickBot="1" x14ac:dyDescent="0.25">
      <c r="B9" s="4411">
        <v>1</v>
      </c>
      <c r="C9" s="4411">
        <v>1</v>
      </c>
      <c r="E9" s="4411">
        <v>0.93</v>
      </c>
      <c r="F9" s="4411">
        <f t="shared" si="1"/>
        <v>0.8</v>
      </c>
      <c r="G9" s="4417">
        <f t="shared" si="3"/>
        <v>168</v>
      </c>
      <c r="H9" s="1719" t="str">
        <f t="shared" ca="1" si="2"/>
        <v>=IF(E9&gt;1,1+(E9-1)*2,IF(E9&gt;95%,E9,LOOKUP(E9,$B$5:$B$9,$C$5:$C$9)))</v>
      </c>
      <c r="L9" s="4825"/>
      <c r="M9" s="4348"/>
      <c r="N9" s="1847"/>
      <c r="O9" s="4163"/>
      <c r="P9" s="4360"/>
      <c r="Q9" s="4163"/>
      <c r="R9" s="4163"/>
      <c r="S9" s="4360"/>
      <c r="T9" s="4163"/>
      <c r="U9" s="4163"/>
      <c r="V9" s="4360"/>
      <c r="W9" s="4163"/>
      <c r="X9" s="4163"/>
      <c r="Y9" s="4360"/>
      <c r="Z9" s="4163"/>
      <c r="AA9" s="4163"/>
      <c r="AB9" s="4360"/>
      <c r="AC9" s="4163"/>
      <c r="AD9" s="4163"/>
      <c r="AE9" s="4360"/>
      <c r="AF9" s="4163"/>
      <c r="AG9" s="4163"/>
      <c r="AH9" s="4163"/>
      <c r="AI9" s="1745"/>
      <c r="AJ9" s="4163"/>
      <c r="AK9" s="1720"/>
      <c r="AL9" s="4268"/>
      <c r="AM9" s="4200">
        <f t="shared" ref="AM9:AQ9" si="9">AM7/AM6</f>
        <v>0.25994669573582108</v>
      </c>
      <c r="AN9" s="4200">
        <f t="shared" si="9"/>
        <v>0.26626422277007428</v>
      </c>
      <c r="AO9" s="4200">
        <f t="shared" si="9"/>
        <v>0.26969339200744163</v>
      </c>
      <c r="AP9" s="4200">
        <f t="shared" si="9"/>
        <v>0.25581931770612765</v>
      </c>
      <c r="AQ9" s="4200">
        <f t="shared" si="9"/>
        <v>0.24798087266272051</v>
      </c>
      <c r="AR9" s="4200">
        <f>AR7/AR6</f>
        <v>0.24939067495278386</v>
      </c>
      <c r="AS9" s="4200">
        <f>AS7/AS6</f>
        <v>0.24480651680222495</v>
      </c>
      <c r="AT9" s="1748"/>
      <c r="AU9" s="4201">
        <f>AU7/AU6</f>
        <v>0.25600151026209339</v>
      </c>
      <c r="AV9" s="4202">
        <f>AV8/AU6</f>
        <v>0.25598734113649307</v>
      </c>
      <c r="AW9" s="4203">
        <f>AW8/AU7</f>
        <v>-5.534782035398482E-5</v>
      </c>
      <c r="AX9" s="4270"/>
      <c r="AY9" s="3674" t="e">
        <f t="shared" ref="AY9:BE9" si="10">AY7/AY6</f>
        <v>#DIV/0!</v>
      </c>
      <c r="AZ9" s="3674" t="e">
        <f t="shared" si="10"/>
        <v>#DIV/0!</v>
      </c>
      <c r="BA9" s="3674" t="e">
        <f t="shared" si="10"/>
        <v>#DIV/0!</v>
      </c>
      <c r="BB9" s="3674" t="e">
        <f t="shared" si="10"/>
        <v>#DIV/0!</v>
      </c>
      <c r="BC9" s="3674" t="e">
        <f t="shared" si="10"/>
        <v>#DIV/0!</v>
      </c>
      <c r="BD9" s="3674" t="e">
        <f t="shared" si="10"/>
        <v>#DIV/0!</v>
      </c>
      <c r="BE9" s="3674" t="e">
        <f t="shared" si="10"/>
        <v>#DIV/0!</v>
      </c>
      <c r="BF9" s="1723"/>
      <c r="BG9" s="3874" t="e">
        <f>BG7/BG6</f>
        <v>#DIV/0!</v>
      </c>
      <c r="BH9" s="4098" t="e">
        <f>BH8/BG6</f>
        <v>#DIV/0!</v>
      </c>
      <c r="BI9" s="4099" t="e">
        <f>BI8/BG7</f>
        <v>#DIV/0!</v>
      </c>
      <c r="BJ9" s="1723"/>
      <c r="BK9" s="3674" t="e">
        <f t="shared" ref="BK9:BQ9" si="11">BK7/BK6</f>
        <v>#DIV/0!</v>
      </c>
      <c r="BL9" s="3674" t="e">
        <f t="shared" si="11"/>
        <v>#DIV/0!</v>
      </c>
      <c r="BM9" s="3674" t="e">
        <f t="shared" si="11"/>
        <v>#DIV/0!</v>
      </c>
      <c r="BN9" s="3674" t="e">
        <f t="shared" si="11"/>
        <v>#DIV/0!</v>
      </c>
      <c r="BO9" s="3674" t="e">
        <f t="shared" si="11"/>
        <v>#DIV/0!</v>
      </c>
      <c r="BP9" s="3674" t="e">
        <f t="shared" si="11"/>
        <v>#DIV/0!</v>
      </c>
      <c r="BQ9" s="3674" t="e">
        <f t="shared" si="11"/>
        <v>#DIV/0!</v>
      </c>
      <c r="BR9" s="3011"/>
      <c r="BS9" s="3874" t="e">
        <f>BS7/BS6</f>
        <v>#DIV/0!</v>
      </c>
      <c r="BT9" s="4101" t="e">
        <f>BT8/BS6</f>
        <v>#DIV/0!</v>
      </c>
      <c r="BU9" s="4099" t="e">
        <f>BU8/BS7</f>
        <v>#DIV/0!</v>
      </c>
      <c r="BV9" s="2039"/>
      <c r="BW9" s="3674"/>
      <c r="BX9" s="3674"/>
      <c r="BY9" s="3674"/>
      <c r="BZ9" s="3674"/>
      <c r="CA9" s="3674"/>
      <c r="CB9" s="3674"/>
      <c r="CC9" s="3674"/>
      <c r="CD9" s="2039"/>
      <c r="CE9" s="3874" t="e">
        <f>CE7/CE6</f>
        <v>#DIV/0!</v>
      </c>
      <c r="CF9" s="4101" t="e">
        <f>CF8/CE6</f>
        <v>#DIV/0!</v>
      </c>
      <c r="CG9" s="4099" t="e">
        <f>CG8/CE7</f>
        <v>#DIV/0!</v>
      </c>
      <c r="CH9" s="1994"/>
      <c r="CI9" s="1752" t="e">
        <f t="shared" ref="CI9:CK9" si="12">CI7/CI6</f>
        <v>#DIV/0!</v>
      </c>
      <c r="CJ9" s="1752" t="e">
        <f t="shared" si="12"/>
        <v>#DIV/0!</v>
      </c>
      <c r="CK9" s="1752" t="e">
        <f t="shared" si="12"/>
        <v>#DIV/0!</v>
      </c>
      <c r="CL9" s="1994"/>
      <c r="CM9" s="3874" t="e">
        <f>CM7/CM6</f>
        <v>#DIV/0!</v>
      </c>
      <c r="CN9" s="4101" t="e">
        <f>CN8/CM6</f>
        <v>#DIV/0!</v>
      </c>
      <c r="CO9" s="4099" t="e">
        <f>CO8/CM7</f>
        <v>#DIV/0!</v>
      </c>
      <c r="CQ9" s="4614"/>
      <c r="CR9" s="4580"/>
      <c r="CT9" s="4201">
        <f>CT7/CT6</f>
        <v>0.25600151026209339</v>
      </c>
      <c r="CU9" s="4203">
        <f>CU8/CT6</f>
        <v>0.25598734113649307</v>
      </c>
      <c r="CV9" s="1993"/>
      <c r="CW9" s="4206">
        <f>CW8/CT7</f>
        <v>-5.534782035398482E-5</v>
      </c>
      <c r="CX9" s="1754"/>
      <c r="CY9" s="2753"/>
      <c r="CZ9" s="2754"/>
      <c r="DA9" s="2755"/>
      <c r="DB9" s="3177"/>
      <c r="DC9" s="2271"/>
      <c r="DD9" s="2271"/>
      <c r="DE9" s="2271"/>
      <c r="DF9" s="3169"/>
      <c r="DG9" s="2271"/>
      <c r="DH9" s="2271"/>
      <c r="DI9" s="2271"/>
      <c r="DJ9" s="3169"/>
    </row>
    <row r="10" spans="1:199" s="1923" customFormat="1" ht="5.25" customHeight="1" thickBot="1" x14ac:dyDescent="0.25">
      <c r="E10" s="4411">
        <v>0.95</v>
      </c>
      <c r="F10" s="4411">
        <f t="shared" si="1"/>
        <v>0.8</v>
      </c>
      <c r="G10" s="4417">
        <f t="shared" si="3"/>
        <v>168</v>
      </c>
      <c r="H10" s="1923" t="str">
        <f t="shared" ca="1" si="2"/>
        <v>=IF(E10&gt;1,1+(E10-1)*2,IF(E10&gt;95%,E10,LOOKUP(E10,$B$5:$B$9,$C$5:$C$9)))</v>
      </c>
      <c r="L10" s="4249"/>
      <c r="M10" s="3324"/>
      <c r="N10" s="4287"/>
      <c r="O10" s="4250"/>
      <c r="P10" s="1791"/>
      <c r="Q10" s="4250"/>
      <c r="R10" s="4250"/>
      <c r="S10" s="1791"/>
      <c r="T10" s="4250"/>
      <c r="U10" s="4250"/>
      <c r="V10" s="1791"/>
      <c r="W10" s="4250"/>
      <c r="X10" s="4250"/>
      <c r="Y10" s="1791"/>
      <c r="Z10" s="4250"/>
      <c r="AA10" s="4250"/>
      <c r="AB10" s="1791"/>
      <c r="AC10" s="4250"/>
      <c r="AD10" s="4250"/>
      <c r="AE10" s="1791"/>
      <c r="AF10" s="4250"/>
      <c r="AG10" s="3335"/>
      <c r="AH10" s="3335"/>
      <c r="AI10" s="3335"/>
      <c r="AJ10" s="4251"/>
      <c r="AK10" s="4268"/>
      <c r="AL10" s="4268"/>
      <c r="AM10" s="2026"/>
      <c r="AN10" s="2026"/>
      <c r="AO10" s="2026"/>
      <c r="AP10" s="2026"/>
      <c r="AQ10" s="2026"/>
      <c r="AR10" s="2026"/>
      <c r="AS10" s="2026"/>
      <c r="AT10" s="1994"/>
      <c r="AU10" s="4264"/>
      <c r="AV10" s="1801"/>
      <c r="AW10" s="4264"/>
      <c r="AX10" s="4269"/>
      <c r="AY10" s="2026"/>
      <c r="AZ10" s="2026"/>
      <c r="BA10" s="2026"/>
      <c r="BB10" s="2026"/>
      <c r="BC10" s="2026"/>
      <c r="BD10" s="2026"/>
      <c r="BE10" s="2026"/>
      <c r="BF10" s="4269"/>
      <c r="BG10" s="4264"/>
      <c r="BH10" s="1801"/>
      <c r="BI10" s="4264"/>
      <c r="BJ10" s="4269"/>
      <c r="BK10" s="2026"/>
      <c r="BL10" s="2026"/>
      <c r="BM10" s="2026"/>
      <c r="BN10" s="2026"/>
      <c r="BO10" s="2026"/>
      <c r="BP10" s="2026"/>
      <c r="BQ10" s="2026"/>
      <c r="BR10" s="1994"/>
      <c r="BS10" s="4264"/>
      <c r="BT10" s="1801"/>
      <c r="BU10" s="4264"/>
      <c r="BV10" s="1994"/>
      <c r="BW10" s="2026"/>
      <c r="BX10" s="2026"/>
      <c r="BY10" s="2026"/>
      <c r="BZ10" s="2026"/>
      <c r="CA10" s="2026"/>
      <c r="CB10" s="2026"/>
      <c r="CC10" s="2026"/>
      <c r="CD10" s="1994"/>
      <c r="CE10" s="4264"/>
      <c r="CF10" s="1801"/>
      <c r="CG10" s="4264"/>
      <c r="CH10" s="1994"/>
      <c r="CI10" s="4279"/>
      <c r="CJ10" s="4279"/>
      <c r="CK10" s="4279"/>
      <c r="CL10" s="1994"/>
      <c r="CM10" s="4264"/>
      <c r="CN10" s="1801"/>
      <c r="CO10" s="4264"/>
      <c r="CQ10" s="4614"/>
      <c r="CR10" s="4580"/>
      <c r="CT10" s="1805"/>
      <c r="CU10" s="1993"/>
      <c r="CV10" s="1993"/>
      <c r="CW10" s="2325"/>
      <c r="CX10" s="1994"/>
      <c r="CY10" s="2270"/>
      <c r="CZ10" s="2270"/>
      <c r="DA10" s="2270"/>
      <c r="DB10" s="3177"/>
      <c r="DC10" s="2271"/>
      <c r="DD10" s="2271"/>
      <c r="DE10" s="2271"/>
      <c r="DF10" s="3169"/>
      <c r="DG10" s="2271"/>
      <c r="DH10" s="2271"/>
      <c r="DI10" s="2271"/>
      <c r="DJ10" s="3169"/>
    </row>
    <row r="11" spans="1:199" s="1810" customFormat="1" ht="17.25" customHeight="1" x14ac:dyDescent="0.2">
      <c r="E11" s="4414">
        <v>0.97</v>
      </c>
      <c r="F11" s="4414">
        <f t="shared" ref="F11:F16" si="13">IF(E11&gt;1,1+(E11-1)*2,IF(E11&gt;95%,E11,LOOKUP(E11,$B$5:$B$9,$C$5:$C$9)))</f>
        <v>0.97</v>
      </c>
      <c r="G11" s="4420">
        <f t="shared" si="3"/>
        <v>203.7</v>
      </c>
      <c r="H11" s="1810" t="str">
        <f t="shared" ca="1" si="2"/>
        <v>=IF(E11&gt;1,1+(E11-1)*2,IF(E11&gt;95%,E11,LOOKUP(E11,$B$5:$B$9,$C$5:$C$9)))</v>
      </c>
      <c r="L11" s="1811" t="s">
        <v>190</v>
      </c>
      <c r="M11" s="1811"/>
      <c r="N11" s="2578"/>
      <c r="O11" s="1812"/>
      <c r="P11" s="1765"/>
      <c r="Q11" s="1812"/>
      <c r="R11" s="1812"/>
      <c r="S11" s="1765"/>
      <c r="T11" s="1812"/>
      <c r="U11" s="1812"/>
      <c r="V11" s="1765"/>
      <c r="W11" s="1812"/>
      <c r="X11" s="1812"/>
      <c r="Y11" s="1765"/>
      <c r="Z11" s="1812"/>
      <c r="AA11" s="1812"/>
      <c r="AB11" s="1765"/>
      <c r="AC11" s="1812"/>
      <c r="AD11" s="1812"/>
      <c r="AE11" s="1765"/>
      <c r="AF11" s="1812"/>
      <c r="AG11" s="1813" t="e">
        <f>CT11</f>
        <v>#VALUE!</v>
      </c>
      <c r="AH11" s="1813"/>
      <c r="AI11" s="1813"/>
      <c r="AJ11" s="4252" t="e">
        <f>DB1-AG11</f>
        <v>#VALUE!</v>
      </c>
      <c r="AK11" s="1760"/>
      <c r="AL11" s="1761"/>
      <c r="AM11" s="1735" t="e">
        <f t="shared" ref="AM11:AS11" si="14">(AM7-AM56)/2</f>
        <v>#VALUE!</v>
      </c>
      <c r="AN11" s="1735">
        <f t="shared" si="14"/>
        <v>31.619216662019234</v>
      </c>
      <c r="AO11" s="1735">
        <f t="shared" si="14"/>
        <v>71.258473357500009</v>
      </c>
      <c r="AP11" s="1735">
        <f t="shared" si="14"/>
        <v>54.45171666201923</v>
      </c>
      <c r="AQ11" s="1735">
        <f t="shared" si="14"/>
        <v>34.019216662019225</v>
      </c>
      <c r="AR11" s="1735">
        <f t="shared" si="14"/>
        <v>20.554216662019222</v>
      </c>
      <c r="AS11" s="1735">
        <f t="shared" si="14"/>
        <v>47.525216662019226</v>
      </c>
      <c r="AT11" s="4280"/>
      <c r="AU11" s="1771" t="e">
        <f>SUM(AM11:AS11)</f>
        <v>#VALUE!</v>
      </c>
      <c r="AV11" s="1815"/>
      <c r="AW11" s="1816"/>
      <c r="AX11" s="1764"/>
      <c r="AY11" s="1735">
        <f t="shared" ref="AY11:BE11" si="15">(AY7-AY56)/2</f>
        <v>0</v>
      </c>
      <c r="AZ11" s="1735">
        <f t="shared" si="15"/>
        <v>0</v>
      </c>
      <c r="BA11" s="1735">
        <f t="shared" si="15"/>
        <v>0</v>
      </c>
      <c r="BB11" s="1735">
        <f t="shared" si="15"/>
        <v>0</v>
      </c>
      <c r="BC11" s="1735">
        <f t="shared" si="15"/>
        <v>0</v>
      </c>
      <c r="BD11" s="1735">
        <f t="shared" si="15"/>
        <v>0</v>
      </c>
      <c r="BE11" s="1735">
        <f t="shared" si="15"/>
        <v>0</v>
      </c>
      <c r="BF11" s="1764"/>
      <c r="BG11" s="1771">
        <f>SUM(AY11:BE11)</f>
        <v>0</v>
      </c>
      <c r="BH11" s="1815"/>
      <c r="BI11" s="1816"/>
      <c r="BJ11" s="1764"/>
      <c r="BK11" s="1735">
        <f t="shared" ref="BK11:BQ11" si="16">(BK7-BK56)/2</f>
        <v>0</v>
      </c>
      <c r="BL11" s="1735">
        <f t="shared" si="16"/>
        <v>0</v>
      </c>
      <c r="BM11" s="1735">
        <f t="shared" si="16"/>
        <v>0</v>
      </c>
      <c r="BN11" s="1735">
        <f t="shared" si="16"/>
        <v>0</v>
      </c>
      <c r="BO11" s="1735">
        <f t="shared" si="16"/>
        <v>0</v>
      </c>
      <c r="BP11" s="1735">
        <f t="shared" si="16"/>
        <v>0</v>
      </c>
      <c r="BQ11" s="1735">
        <f t="shared" si="16"/>
        <v>0</v>
      </c>
      <c r="BR11" s="2289"/>
      <c r="BS11" s="1771">
        <f>SUM(BK11:BQ11)</f>
        <v>0</v>
      </c>
      <c r="BT11" s="1815"/>
      <c r="BU11" s="1816"/>
      <c r="BV11" s="2289"/>
      <c r="BW11" s="1735">
        <f t="shared" ref="BW11:CC11" si="17">(BW7-BW56)/2</f>
        <v>0</v>
      </c>
      <c r="BX11" s="1735">
        <f t="shared" si="17"/>
        <v>0</v>
      </c>
      <c r="BY11" s="1735">
        <f t="shared" si="17"/>
        <v>0</v>
      </c>
      <c r="BZ11" s="1735">
        <f t="shared" si="17"/>
        <v>0</v>
      </c>
      <c r="CA11" s="1735">
        <f t="shared" si="17"/>
        <v>0</v>
      </c>
      <c r="CB11" s="1735">
        <f t="shared" si="17"/>
        <v>0</v>
      </c>
      <c r="CC11" s="1735">
        <f t="shared" si="17"/>
        <v>0</v>
      </c>
      <c r="CD11" s="2289"/>
      <c r="CE11" s="1771">
        <f>SUM(BW11:CC11)</f>
        <v>0</v>
      </c>
      <c r="CF11" s="1815"/>
      <c r="CG11" s="1816"/>
      <c r="CH11" s="4280"/>
      <c r="CI11" s="1735">
        <f>(CI7-CI56)/2</f>
        <v>0</v>
      </c>
      <c r="CJ11" s="1735">
        <f>(CJ7-CJ56)/2</f>
        <v>0</v>
      </c>
      <c r="CK11" s="1735">
        <f>(CK7-CK56)/2</f>
        <v>0</v>
      </c>
      <c r="CL11" s="4280"/>
      <c r="CM11" s="1771">
        <f>SUM(CI11:CK11)</f>
        <v>0</v>
      </c>
      <c r="CN11" s="1815"/>
      <c r="CO11" s="1816"/>
      <c r="CP11" s="4288"/>
      <c r="CQ11" s="4614"/>
      <c r="CR11" s="4580"/>
      <c r="CS11" s="4288"/>
      <c r="CT11" s="1771" t="e">
        <f>SUM(AM11:AS11)+SUM(AY11:BE11)+SUM(BK11:BQ11)+SUM(BW11:CC11)+SUM(CK11:CK11)</f>
        <v>#VALUE!</v>
      </c>
      <c r="CU11" s="2340"/>
      <c r="CV11" s="1830"/>
      <c r="CW11" s="2348">
        <v>0</v>
      </c>
      <c r="CX11" s="1817"/>
      <c r="CY11" s="4687" t="s">
        <v>226</v>
      </c>
      <c r="CZ11" s="4687"/>
      <c r="DA11" s="1818"/>
      <c r="DB11" s="1774"/>
      <c r="DC11" s="4288"/>
      <c r="DD11" s="4288"/>
      <c r="DE11" s="1819"/>
      <c r="DF11" s="1820"/>
      <c r="DG11" s="4288"/>
      <c r="DH11" s="4288"/>
      <c r="DI11" s="1819"/>
      <c r="DJ11" s="1820"/>
      <c r="DK11" s="1821"/>
      <c r="DL11" s="1821"/>
      <c r="DM11" s="1821"/>
      <c r="DN11" s="1821"/>
      <c r="DO11" s="1821"/>
      <c r="DP11" s="1821"/>
      <c r="DQ11" s="1821"/>
      <c r="DR11" s="1821"/>
      <c r="DS11" s="1821"/>
      <c r="DT11" s="1821"/>
      <c r="DU11" s="1821"/>
      <c r="DV11" s="1821"/>
      <c r="DW11" s="1821"/>
      <c r="DX11" s="1821"/>
      <c r="DY11" s="1821"/>
      <c r="DZ11" s="1821"/>
      <c r="EA11" s="1821"/>
      <c r="EB11" s="1821"/>
      <c r="EC11" s="1821"/>
      <c r="ED11" s="1821"/>
      <c r="EE11" s="1821"/>
      <c r="EF11" s="1821"/>
      <c r="EG11" s="1821"/>
      <c r="EH11" s="1821"/>
      <c r="EI11" s="1821"/>
      <c r="EJ11" s="1821"/>
      <c r="EK11" s="1821"/>
      <c r="EL11" s="1821"/>
      <c r="EM11" s="1821"/>
      <c r="EN11" s="1821"/>
      <c r="EO11" s="1821"/>
      <c r="EP11" s="1821"/>
      <c r="EQ11" s="1821"/>
      <c r="ER11" s="1821"/>
      <c r="ES11" s="1821"/>
      <c r="ET11" s="1821"/>
      <c r="EU11" s="1821"/>
      <c r="EV11" s="1821"/>
      <c r="EW11" s="1821"/>
      <c r="EX11" s="1821"/>
      <c r="EY11" s="1821"/>
      <c r="EZ11" s="1821"/>
      <c r="FA11" s="1821"/>
      <c r="FB11" s="1821"/>
      <c r="FC11" s="1821"/>
      <c r="FD11" s="1821"/>
      <c r="FE11" s="1821"/>
      <c r="FF11" s="1821"/>
      <c r="FG11" s="1821"/>
      <c r="FH11" s="1821"/>
      <c r="FI11" s="1821"/>
      <c r="FJ11" s="1821"/>
      <c r="FK11" s="1821"/>
      <c r="FL11" s="1821"/>
      <c r="FM11" s="1821"/>
      <c r="FN11" s="1821"/>
      <c r="FO11" s="1821"/>
      <c r="FP11" s="1821"/>
      <c r="FQ11" s="1821"/>
      <c r="FR11" s="1821"/>
      <c r="FS11" s="1821"/>
      <c r="FT11" s="1821"/>
      <c r="FU11" s="1821"/>
      <c r="FV11" s="1821"/>
      <c r="FW11" s="1821"/>
      <c r="FX11" s="1821"/>
      <c r="FY11" s="1821"/>
      <c r="FZ11" s="1821"/>
      <c r="GA11" s="1821"/>
      <c r="GB11" s="1821"/>
      <c r="GC11" s="1821"/>
      <c r="GD11" s="1821"/>
      <c r="GE11" s="1821"/>
      <c r="GF11" s="1821"/>
      <c r="GG11" s="1821"/>
      <c r="GH11" s="1821"/>
      <c r="GI11" s="1821"/>
      <c r="GJ11" s="1821"/>
      <c r="GK11" s="1821"/>
      <c r="GL11" s="1821"/>
      <c r="GM11" s="1821"/>
      <c r="GN11" s="1821"/>
      <c r="GO11" s="1821"/>
      <c r="GP11" s="1821"/>
      <c r="GQ11" s="1821"/>
    </row>
    <row r="12" spans="1:199" s="4287" customFormat="1" ht="4.5" customHeight="1" thickBot="1" x14ac:dyDescent="0.25">
      <c r="A12" s="4408"/>
      <c r="B12" s="4408"/>
      <c r="C12" s="4408"/>
      <c r="D12" s="4408"/>
      <c r="E12" s="4415">
        <v>0.99</v>
      </c>
      <c r="F12" s="4415">
        <f t="shared" si="13"/>
        <v>0.99</v>
      </c>
      <c r="G12" s="4421">
        <f t="shared" si="3"/>
        <v>207.9</v>
      </c>
      <c r="H12" s="4408" t="str">
        <f t="shared" ca="1" si="2"/>
        <v>=IF(E12&gt;1,1+(E12-1)*2,IF(E12&gt;95%,E12,LOOKUP(E12,$B$5:$B$9,$C$5:$C$9)))</v>
      </c>
      <c r="O12" s="1791"/>
      <c r="P12" s="1791"/>
      <c r="Q12" s="1791"/>
      <c r="R12" s="1791"/>
      <c r="S12" s="1791"/>
      <c r="T12" s="1791"/>
      <c r="U12" s="1791"/>
      <c r="V12" s="1791"/>
      <c r="W12" s="1791"/>
      <c r="X12" s="1791"/>
      <c r="Y12" s="1791"/>
      <c r="Z12" s="1791"/>
      <c r="AA12" s="1791"/>
      <c r="AB12" s="1791"/>
      <c r="AC12" s="1791"/>
      <c r="AD12" s="1791"/>
      <c r="AE12" s="1791"/>
      <c r="AF12" s="1791"/>
      <c r="AG12" s="1791"/>
      <c r="AH12" s="1791"/>
      <c r="AI12" s="1791"/>
      <c r="AJ12" s="1783"/>
      <c r="AK12" s="1782"/>
      <c r="AL12" s="1783"/>
      <c r="AM12" s="1803"/>
      <c r="AN12" s="1803"/>
      <c r="AO12" s="1803"/>
      <c r="AP12" s="1803"/>
      <c r="AQ12" s="1803"/>
      <c r="AR12" s="1803"/>
      <c r="AS12" s="1803"/>
      <c r="AT12" s="1801"/>
      <c r="AU12" s="1801"/>
      <c r="AV12" s="1801"/>
      <c r="AW12" s="1801"/>
      <c r="AX12" s="1791"/>
      <c r="AY12" s="1803"/>
      <c r="AZ12" s="1803"/>
      <c r="BA12" s="1803"/>
      <c r="BB12" s="1803"/>
      <c r="BC12" s="1803"/>
      <c r="BD12" s="1803"/>
      <c r="BE12" s="1803"/>
      <c r="BF12" s="1791"/>
      <c r="BG12" s="1801"/>
      <c r="BH12" s="1801"/>
      <c r="BI12" s="1801"/>
      <c r="BJ12" s="1791"/>
      <c r="BK12" s="1803"/>
      <c r="BL12" s="1803"/>
      <c r="BM12" s="1803"/>
      <c r="BN12" s="1803"/>
      <c r="BO12" s="1803"/>
      <c r="BP12" s="1803"/>
      <c r="BQ12" s="1803"/>
      <c r="BR12" s="1801"/>
      <c r="BS12" s="1801"/>
      <c r="BT12" s="1801"/>
      <c r="BU12" s="1801"/>
      <c r="BV12" s="1801"/>
      <c r="BW12" s="1803"/>
      <c r="BX12" s="1803"/>
      <c r="BY12" s="1803"/>
      <c r="BZ12" s="1803"/>
      <c r="CA12" s="1803"/>
      <c r="CB12" s="1803"/>
      <c r="CC12" s="1803"/>
      <c r="CD12" s="1801"/>
      <c r="CE12" s="1801"/>
      <c r="CF12" s="1801"/>
      <c r="CG12" s="1801"/>
      <c r="CH12" s="1801"/>
      <c r="CI12" s="1803"/>
      <c r="CJ12" s="1803"/>
      <c r="CK12" s="1803"/>
      <c r="CL12" s="1801"/>
      <c r="CM12" s="1801"/>
      <c r="CN12" s="1801"/>
      <c r="CO12" s="1801"/>
      <c r="CP12" s="1791"/>
      <c r="CQ12" s="4614"/>
      <c r="CR12" s="4580"/>
      <c r="CS12" s="1791"/>
      <c r="CT12" s="1801"/>
      <c r="CU12" s="1802"/>
      <c r="CV12" s="1802"/>
      <c r="CW12" s="1805"/>
      <c r="CX12" s="1806"/>
      <c r="CY12" s="1801"/>
      <c r="CZ12" s="1805"/>
      <c r="DA12" s="1805"/>
      <c r="DB12" s="1797"/>
      <c r="DC12" s="1791"/>
      <c r="DD12" s="1791"/>
      <c r="DE12" s="1807"/>
      <c r="DF12" s="1808"/>
      <c r="DG12" s="1791"/>
      <c r="DH12" s="1791"/>
      <c r="DI12" s="1807"/>
      <c r="DJ12" s="1808"/>
      <c r="DK12" s="1809"/>
      <c r="DL12" s="1809"/>
      <c r="DM12" s="1809"/>
      <c r="DN12" s="1809"/>
      <c r="DO12" s="1809"/>
      <c r="DP12" s="1809"/>
      <c r="DQ12" s="1809"/>
      <c r="DR12" s="1809"/>
      <c r="DS12" s="1809"/>
      <c r="DT12" s="1809"/>
      <c r="DU12" s="1809"/>
      <c r="DV12" s="1809"/>
      <c r="DW12" s="1809"/>
      <c r="DX12" s="1809"/>
      <c r="DY12" s="1809"/>
      <c r="DZ12" s="1809"/>
      <c r="EA12" s="1809"/>
      <c r="EB12" s="1809"/>
      <c r="EC12" s="1809"/>
      <c r="ED12" s="1809"/>
      <c r="EE12" s="1809"/>
      <c r="EF12" s="1809"/>
      <c r="EG12" s="1809"/>
      <c r="EH12" s="1809"/>
      <c r="EI12" s="1809"/>
      <c r="EJ12" s="1809"/>
      <c r="EK12" s="1809"/>
      <c r="EL12" s="1809"/>
      <c r="EM12" s="1809"/>
      <c r="EN12" s="1809"/>
      <c r="EO12" s="1809"/>
      <c r="EP12" s="1809"/>
      <c r="EQ12" s="1809"/>
      <c r="ER12" s="1809"/>
      <c r="ES12" s="1809"/>
      <c r="ET12" s="1809"/>
      <c r="EU12" s="1809"/>
      <c r="EV12" s="1809"/>
      <c r="EW12" s="1809"/>
      <c r="EX12" s="1809"/>
      <c r="EY12" s="1809"/>
      <c r="EZ12" s="1809"/>
      <c r="FA12" s="1809"/>
      <c r="FB12" s="1809"/>
      <c r="FC12" s="1809"/>
      <c r="FD12" s="1809"/>
      <c r="FE12" s="1809"/>
      <c r="FF12" s="1809"/>
      <c r="FG12" s="1809"/>
      <c r="FH12" s="1809"/>
      <c r="FI12" s="1809"/>
      <c r="FJ12" s="1809"/>
      <c r="FK12" s="1809"/>
      <c r="FL12" s="1809"/>
      <c r="FM12" s="1809"/>
      <c r="FN12" s="1809"/>
      <c r="FO12" s="1809"/>
      <c r="FP12" s="1809"/>
      <c r="FQ12" s="1809"/>
      <c r="FR12" s="1809"/>
      <c r="FS12" s="1809"/>
      <c r="FT12" s="1809"/>
      <c r="FU12" s="1809"/>
      <c r="FV12" s="1809"/>
      <c r="FW12" s="1809"/>
      <c r="FX12" s="1809"/>
      <c r="FY12" s="1809"/>
      <c r="FZ12" s="1809"/>
      <c r="GA12" s="1809"/>
      <c r="GB12" s="1809"/>
      <c r="GC12" s="1809"/>
      <c r="GD12" s="1809"/>
      <c r="GE12" s="1809"/>
      <c r="GF12" s="1809"/>
      <c r="GG12" s="1809"/>
      <c r="GH12" s="1809"/>
      <c r="GI12" s="1809"/>
      <c r="GJ12" s="1809"/>
      <c r="GK12" s="1809"/>
      <c r="GL12" s="1809"/>
      <c r="GM12" s="1809"/>
      <c r="GN12" s="1809"/>
      <c r="GO12" s="1809"/>
      <c r="GP12" s="1809"/>
      <c r="GQ12" s="1809"/>
    </row>
    <row r="13" spans="1:199" s="1756" customFormat="1" ht="15" customHeight="1" x14ac:dyDescent="0.2">
      <c r="E13" s="4414">
        <v>1</v>
      </c>
      <c r="F13" s="4414">
        <f t="shared" si="13"/>
        <v>1</v>
      </c>
      <c r="G13" s="4420">
        <f t="shared" si="3"/>
        <v>210</v>
      </c>
      <c r="H13" s="1756" t="str">
        <f t="shared" ca="1" si="2"/>
        <v>=IF(E13&gt;1,1+(E13-1)*2,IF(E13&gt;95%,E13,LOOKUP(E13,$B$5:$B$9,$C$5:$C$9)))</v>
      </c>
      <c r="L13" s="1810"/>
      <c r="M13" s="1810"/>
      <c r="N13" s="1810"/>
      <c r="P13" s="1810"/>
      <c r="S13" s="1810"/>
      <c r="V13" s="1810"/>
      <c r="Y13" s="1810"/>
      <c r="AB13" s="1810"/>
      <c r="AE13" s="1810"/>
      <c r="AJ13" s="1810"/>
      <c r="AK13" s="1827"/>
      <c r="AL13" s="1810"/>
      <c r="AM13" s="1735" t="str">
        <f>TEXT(AM14,"DDDD")</f>
        <v>الأربعاء</v>
      </c>
      <c r="AN13" s="1735" t="str">
        <f t="shared" ref="AN13:AS13" si="18">TEXT(AN14,"DDDD")</f>
        <v>الخميس</v>
      </c>
      <c r="AO13" s="1728" t="str">
        <f t="shared" si="18"/>
        <v>الجمعة</v>
      </c>
      <c r="AP13" s="1735" t="str">
        <f t="shared" si="18"/>
        <v>السبت</v>
      </c>
      <c r="AQ13" s="1735" t="str">
        <f t="shared" si="18"/>
        <v>الأحد</v>
      </c>
      <c r="AR13" s="1735" t="str">
        <f t="shared" si="18"/>
        <v>الإثنين</v>
      </c>
      <c r="AS13" s="1735" t="str">
        <f t="shared" si="18"/>
        <v>الثلاثاء</v>
      </c>
      <c r="AT13" s="4280"/>
      <c r="AU13" s="1771"/>
      <c r="AV13" s="1815"/>
      <c r="AW13" s="1816"/>
      <c r="AX13" s="1764"/>
      <c r="AY13" s="1735" t="str">
        <f>TEXT(AY14,"DDDD")</f>
        <v>الأربعاء</v>
      </c>
      <c r="AZ13" s="1735" t="str">
        <f t="shared" ref="AZ13:BE13" si="19">TEXT(AZ14,"DDDD")</f>
        <v>الخميس</v>
      </c>
      <c r="BA13" s="1728" t="str">
        <f t="shared" si="19"/>
        <v>الجمعة</v>
      </c>
      <c r="BB13" s="1735" t="str">
        <f t="shared" si="19"/>
        <v>السبت</v>
      </c>
      <c r="BC13" s="1735" t="str">
        <f t="shared" si="19"/>
        <v>الأحد</v>
      </c>
      <c r="BD13" s="1735" t="str">
        <f t="shared" si="19"/>
        <v>الإثنين</v>
      </c>
      <c r="BE13" s="1735" t="str">
        <f t="shared" si="19"/>
        <v>الثلاثاء</v>
      </c>
      <c r="BF13" s="1764"/>
      <c r="BG13" s="1771"/>
      <c r="BH13" s="1815"/>
      <c r="BI13" s="1829"/>
      <c r="BJ13" s="1764"/>
      <c r="BK13" s="1735" t="str">
        <f>TEXT(BK14,"DDDD")</f>
        <v>الأربعاء</v>
      </c>
      <c r="BL13" s="1735" t="str">
        <f t="shared" ref="BL13:BQ13" si="20">TEXT(BL14,"DDDD")</f>
        <v>الخميس</v>
      </c>
      <c r="BM13" s="1728" t="str">
        <f t="shared" si="20"/>
        <v>الجمعة</v>
      </c>
      <c r="BN13" s="1735" t="str">
        <f t="shared" si="20"/>
        <v>السبت</v>
      </c>
      <c r="BO13" s="1735" t="str">
        <f t="shared" si="20"/>
        <v>الأحد</v>
      </c>
      <c r="BP13" s="1735" t="str">
        <f t="shared" si="20"/>
        <v>الإثنين</v>
      </c>
      <c r="BQ13" s="1735" t="str">
        <f t="shared" si="20"/>
        <v>الثلاثاء</v>
      </c>
      <c r="BR13" s="2289"/>
      <c r="BS13" s="1771"/>
      <c r="BT13" s="1815"/>
      <c r="BU13" s="1816"/>
      <c r="BV13" s="2289"/>
      <c r="BW13" s="1735" t="str">
        <f>TEXT(BW14,"DDDD")</f>
        <v>الأربعاء</v>
      </c>
      <c r="BX13" s="1735" t="str">
        <f t="shared" ref="BX13:CC13" si="21">TEXT(BX14,"DDDD")</f>
        <v>الخميس</v>
      </c>
      <c r="BY13" s="1728" t="str">
        <f t="shared" si="21"/>
        <v>الجمعة</v>
      </c>
      <c r="BZ13" s="1735" t="str">
        <f t="shared" si="21"/>
        <v>السبت</v>
      </c>
      <c r="CA13" s="1735" t="str">
        <f t="shared" si="21"/>
        <v>الأحد</v>
      </c>
      <c r="CB13" s="1735" t="str">
        <f t="shared" si="21"/>
        <v>الإثنين</v>
      </c>
      <c r="CC13" s="1735" t="str">
        <f t="shared" si="21"/>
        <v>الثلاثاء</v>
      </c>
      <c r="CD13" s="2289"/>
      <c r="CE13" s="1771"/>
      <c r="CF13" s="1815"/>
      <c r="CG13" s="1816"/>
      <c r="CH13" s="4280"/>
      <c r="CI13" s="1735" t="str">
        <f>TEXT(CI14,"DDDD")</f>
        <v>الأربعاء</v>
      </c>
      <c r="CJ13" s="1735" t="str">
        <f t="shared" ref="CJ13:CK13" si="22">TEXT(CJ14,"DDDD")</f>
        <v>الخميس</v>
      </c>
      <c r="CK13" s="1728" t="str">
        <f t="shared" si="22"/>
        <v>الجمعة</v>
      </c>
      <c r="CL13" s="4280"/>
      <c r="CM13" s="1771"/>
      <c r="CN13" s="1815"/>
      <c r="CO13" s="1816"/>
      <c r="CQ13" s="4614"/>
      <c r="CR13" s="4580"/>
      <c r="CT13" s="4280"/>
      <c r="CU13" s="1830"/>
      <c r="CV13" s="1830"/>
      <c r="CW13" s="1818"/>
      <c r="CX13" s="4261"/>
      <c r="CY13" s="2742">
        <f>CU5-CT1</f>
        <v>0.12381202662117211</v>
      </c>
      <c r="CZ13" s="4607"/>
      <c r="DA13" s="4608" t="s">
        <v>101</v>
      </c>
      <c r="DB13" s="1831"/>
      <c r="DC13" s="1832"/>
      <c r="DD13" s="1832" t="s">
        <v>252</v>
      </c>
      <c r="DE13" s="1833"/>
      <c r="DF13" s="1776"/>
      <c r="DG13" s="1776"/>
      <c r="DH13" s="1776"/>
      <c r="DI13" s="1834"/>
      <c r="DJ13" s="1776"/>
      <c r="DK13" s="1776"/>
      <c r="DL13" s="1776"/>
      <c r="DM13" s="1776"/>
      <c r="DN13" s="1776"/>
      <c r="DO13" s="1776"/>
      <c r="DP13" s="1776"/>
      <c r="DQ13" s="1776"/>
      <c r="DR13" s="1776"/>
      <c r="DS13" s="1776"/>
      <c r="DT13" s="1776"/>
      <c r="DU13" s="1776"/>
      <c r="DV13" s="1776"/>
      <c r="DW13" s="1776"/>
      <c r="DX13" s="1776"/>
      <c r="DY13" s="1776"/>
      <c r="DZ13" s="1776"/>
      <c r="EA13" s="1776"/>
      <c r="EB13" s="1776"/>
      <c r="EC13" s="1776"/>
      <c r="ED13" s="1776"/>
      <c r="EE13" s="1776"/>
      <c r="EF13" s="1776"/>
      <c r="EG13" s="1776"/>
      <c r="EH13" s="1776"/>
      <c r="EI13" s="1776"/>
      <c r="EJ13" s="1776"/>
      <c r="EK13" s="1776"/>
      <c r="EL13" s="1776"/>
      <c r="EM13" s="1776"/>
      <c r="EN13" s="1776"/>
      <c r="EO13" s="1776"/>
      <c r="EP13" s="1776"/>
      <c r="EQ13" s="1776"/>
      <c r="ER13" s="1776"/>
      <c r="ES13" s="1776"/>
      <c r="ET13" s="1776"/>
      <c r="EU13" s="1776"/>
      <c r="EV13" s="1776"/>
      <c r="EW13" s="1776"/>
      <c r="EX13" s="1776"/>
      <c r="EY13" s="1776"/>
      <c r="EZ13" s="1776"/>
      <c r="FA13" s="1776"/>
      <c r="FB13" s="1776"/>
      <c r="FC13" s="1776"/>
      <c r="FD13" s="1776"/>
      <c r="FE13" s="1776"/>
      <c r="FF13" s="1776"/>
      <c r="FG13" s="1776"/>
      <c r="FH13" s="1776"/>
      <c r="FI13" s="1776"/>
      <c r="FJ13" s="1776"/>
      <c r="FK13" s="1776"/>
      <c r="FL13" s="1776"/>
      <c r="FM13" s="1776"/>
      <c r="FN13" s="1776"/>
      <c r="FO13" s="1776"/>
      <c r="FP13" s="1776"/>
      <c r="FQ13" s="1776"/>
      <c r="FR13" s="1776"/>
      <c r="FS13" s="1776"/>
      <c r="FT13" s="1776"/>
      <c r="FU13" s="1776"/>
      <c r="FV13" s="1776"/>
      <c r="FW13" s="1776"/>
      <c r="FX13" s="1776"/>
      <c r="FY13" s="1776"/>
      <c r="FZ13" s="1776"/>
      <c r="GA13" s="1776"/>
      <c r="GB13" s="1776"/>
      <c r="GC13" s="1776"/>
      <c r="GD13" s="1776"/>
      <c r="GE13" s="1776"/>
      <c r="GF13" s="1776"/>
      <c r="GG13" s="1776"/>
      <c r="GH13" s="1776"/>
      <c r="GI13" s="1776"/>
      <c r="GJ13" s="1776"/>
      <c r="GK13" s="1776"/>
      <c r="GL13" s="1776"/>
      <c r="GM13" s="1776"/>
      <c r="GN13" s="1776"/>
      <c r="GO13" s="1776"/>
      <c r="GP13" s="1776"/>
      <c r="GQ13" s="1776"/>
    </row>
    <row r="14" spans="1:199" s="1777" customFormat="1" ht="18.75" thickBot="1" x14ac:dyDescent="0.25">
      <c r="E14" s="4415">
        <v>1.01</v>
      </c>
      <c r="F14" s="4415">
        <f>IF(E14&gt;1,1+(E14-1)*2,IF(E14&gt;95%,E14,LOOKUP(E14,$B$5:$B$9,$C$5:$C$9)))</f>
        <v>1.02</v>
      </c>
      <c r="G14" s="4421">
        <f t="shared" si="3"/>
        <v>214.20000000000002</v>
      </c>
      <c r="H14" s="1777" t="str">
        <f t="shared" ca="1" si="2"/>
        <v>=IF(E14&gt;1,1+(E14-1)*2,IF(E14&gt;95%,E14,LOOKUP(E14,$B$5:$B$9,$C$5:$C$9)))</v>
      </c>
      <c r="J14" s="1835" t="s">
        <v>0</v>
      </c>
      <c r="K14" s="1835"/>
      <c r="L14" s="1836" t="s">
        <v>1</v>
      </c>
      <c r="M14" s="1744"/>
      <c r="N14" s="1744"/>
      <c r="O14" s="1836" t="s">
        <v>24</v>
      </c>
      <c r="P14" s="1744"/>
      <c r="Q14" s="1836"/>
      <c r="R14" s="1836"/>
      <c r="S14" s="1744"/>
      <c r="T14" s="1836"/>
      <c r="U14" s="1836"/>
      <c r="V14" s="1744"/>
      <c r="W14" s="1836"/>
      <c r="X14" s="1836"/>
      <c r="Y14" s="1744"/>
      <c r="Z14" s="1836"/>
      <c r="AA14" s="1836"/>
      <c r="AB14" s="1744"/>
      <c r="AC14" s="1836"/>
      <c r="AD14" s="1836"/>
      <c r="AE14" s="1744"/>
      <c r="AF14" s="1836"/>
      <c r="AG14" s="1841" t="s">
        <v>107</v>
      </c>
      <c r="AH14" s="1841"/>
      <c r="AI14" s="1841"/>
      <c r="AJ14" s="1836" t="s">
        <v>2</v>
      </c>
      <c r="AK14" s="1842"/>
      <c r="AL14" s="4287"/>
      <c r="AM14" s="3130">
        <v>44013</v>
      </c>
      <c r="AN14" s="3130">
        <v>44014</v>
      </c>
      <c r="AO14" s="3548">
        <v>44015</v>
      </c>
      <c r="AP14" s="3130">
        <v>44016</v>
      </c>
      <c r="AQ14" s="3130">
        <v>44017</v>
      </c>
      <c r="AR14" s="3130">
        <v>44018</v>
      </c>
      <c r="AS14" s="3130">
        <v>44019</v>
      </c>
      <c r="AT14" s="1843"/>
      <c r="AU14" s="1844"/>
      <c r="AV14" s="1845"/>
      <c r="AW14" s="1846"/>
      <c r="AX14" s="1847"/>
      <c r="AY14" s="3130">
        <v>44020</v>
      </c>
      <c r="AZ14" s="3130">
        <v>44021</v>
      </c>
      <c r="BA14" s="3548">
        <v>44022</v>
      </c>
      <c r="BB14" s="3130">
        <v>44023</v>
      </c>
      <c r="BC14" s="3130">
        <v>44024</v>
      </c>
      <c r="BD14" s="3130">
        <v>44025</v>
      </c>
      <c r="BE14" s="3130">
        <v>44026</v>
      </c>
      <c r="BF14" s="1744"/>
      <c r="BG14" s="1844"/>
      <c r="BH14" s="1845"/>
      <c r="BI14" s="1846"/>
      <c r="BJ14" s="1744"/>
      <c r="BK14" s="3130">
        <v>44027</v>
      </c>
      <c r="BL14" s="3130">
        <v>44028</v>
      </c>
      <c r="BM14" s="3548">
        <v>44029</v>
      </c>
      <c r="BN14" s="3130">
        <v>44030</v>
      </c>
      <c r="BO14" s="3130">
        <v>44031</v>
      </c>
      <c r="BP14" s="3130">
        <v>44032</v>
      </c>
      <c r="BQ14" s="3130">
        <v>44033</v>
      </c>
      <c r="BR14" s="2291"/>
      <c r="BS14" s="1844"/>
      <c r="BT14" s="1845"/>
      <c r="BU14" s="1846"/>
      <c r="BV14" s="2291"/>
      <c r="BW14" s="3130">
        <v>44034</v>
      </c>
      <c r="BX14" s="3130">
        <v>44035</v>
      </c>
      <c r="BY14" s="3548">
        <v>44036</v>
      </c>
      <c r="BZ14" s="3130">
        <v>44037</v>
      </c>
      <c r="CA14" s="3130">
        <v>44038</v>
      </c>
      <c r="CB14" s="3130">
        <v>44039</v>
      </c>
      <c r="CC14" s="3130">
        <v>44040</v>
      </c>
      <c r="CD14" s="2291"/>
      <c r="CE14" s="1844"/>
      <c r="CF14" s="1845"/>
      <c r="CG14" s="1846"/>
      <c r="CH14" s="1806"/>
      <c r="CI14" s="3130">
        <v>44041</v>
      </c>
      <c r="CJ14" s="3130">
        <v>44042</v>
      </c>
      <c r="CK14" s="3548">
        <v>44043</v>
      </c>
      <c r="CL14" s="1806"/>
      <c r="CM14" s="1844"/>
      <c r="CN14" s="1845"/>
      <c r="CO14" s="1846"/>
      <c r="CQ14" s="4615"/>
      <c r="CR14" s="4581"/>
      <c r="CT14" s="1835" t="s">
        <v>7</v>
      </c>
      <c r="CU14" s="1835" t="s">
        <v>2</v>
      </c>
      <c r="CV14" s="1806"/>
      <c r="CW14" s="1806"/>
      <c r="CX14" s="1795"/>
      <c r="CY14" s="2743">
        <f>CU7-CT1</f>
        <v>0.13049726355153937</v>
      </c>
      <c r="CZ14" s="4607"/>
      <c r="DA14" s="4608"/>
      <c r="DB14" s="3178"/>
      <c r="DC14" s="1799"/>
      <c r="DD14" s="1799"/>
      <c r="DE14" s="1799"/>
      <c r="DF14" s="1799"/>
      <c r="DG14" s="1799"/>
      <c r="DH14" s="1799"/>
      <c r="DI14" s="1799"/>
      <c r="DJ14" s="1799"/>
      <c r="DK14" s="1799"/>
      <c r="DL14" s="1799"/>
      <c r="DM14" s="1799"/>
      <c r="DN14" s="1799"/>
      <c r="DO14" s="1799"/>
      <c r="DP14" s="1799"/>
      <c r="DQ14" s="1799"/>
      <c r="DR14" s="1799"/>
      <c r="DS14" s="1799"/>
      <c r="DT14" s="1799"/>
      <c r="DU14" s="1799"/>
      <c r="DV14" s="1799"/>
      <c r="DW14" s="1799"/>
      <c r="DX14" s="1799"/>
      <c r="DY14" s="1799"/>
      <c r="DZ14" s="1799"/>
      <c r="EA14" s="1799"/>
      <c r="EB14" s="1799"/>
      <c r="EC14" s="1799"/>
      <c r="ED14" s="1799"/>
      <c r="EE14" s="1799"/>
      <c r="EF14" s="1799"/>
      <c r="EG14" s="1799"/>
      <c r="EH14" s="1799"/>
      <c r="EI14" s="1799"/>
      <c r="EJ14" s="1799"/>
      <c r="EK14" s="1799"/>
      <c r="EL14" s="1799"/>
      <c r="EM14" s="1799"/>
      <c r="EN14" s="1799"/>
      <c r="EO14" s="1799"/>
      <c r="EP14" s="1799"/>
      <c r="EQ14" s="1799"/>
      <c r="ER14" s="1799"/>
      <c r="ES14" s="1799"/>
      <c r="ET14" s="1799"/>
      <c r="EU14" s="1799"/>
      <c r="EV14" s="1799"/>
      <c r="EW14" s="1799"/>
      <c r="EX14" s="1799"/>
      <c r="EY14" s="1799"/>
      <c r="EZ14" s="1799"/>
      <c r="FA14" s="1799"/>
      <c r="FB14" s="1799"/>
      <c r="FC14" s="1799"/>
      <c r="FD14" s="1799"/>
      <c r="FE14" s="1799"/>
      <c r="FF14" s="1799"/>
      <c r="FG14" s="1799"/>
      <c r="FH14" s="1799"/>
      <c r="FI14" s="1799"/>
      <c r="FJ14" s="1799"/>
      <c r="FK14" s="1799"/>
      <c r="FL14" s="1799"/>
      <c r="FM14" s="1799"/>
      <c r="FN14" s="1799"/>
      <c r="FO14" s="1799"/>
      <c r="FP14" s="1799"/>
      <c r="FQ14" s="1799"/>
      <c r="FR14" s="1799"/>
      <c r="FS14" s="1799"/>
      <c r="FT14" s="1799"/>
      <c r="FU14" s="1799"/>
      <c r="FV14" s="1799"/>
      <c r="FW14" s="1799"/>
      <c r="FX14" s="1799"/>
      <c r="FY14" s="1799"/>
      <c r="FZ14" s="1799"/>
      <c r="GA14" s="1799"/>
      <c r="GB14" s="1799"/>
      <c r="GC14" s="1799"/>
      <c r="GD14" s="1799"/>
      <c r="GE14" s="1799"/>
      <c r="GF14" s="1799"/>
      <c r="GG14" s="1799"/>
      <c r="GH14" s="1799"/>
      <c r="GI14" s="1799"/>
      <c r="GJ14" s="1799"/>
      <c r="GK14" s="1799"/>
      <c r="GL14" s="1799"/>
      <c r="GM14" s="1799"/>
      <c r="GN14" s="1799"/>
      <c r="GO14" s="1799"/>
      <c r="GP14" s="1799"/>
      <c r="GQ14" s="1799"/>
    </row>
    <row r="15" spans="1:199" s="1777" customFormat="1" ht="23.25" x14ac:dyDescent="0.2">
      <c r="E15" s="4415">
        <v>1.02</v>
      </c>
      <c r="F15" s="4415">
        <f t="shared" si="13"/>
        <v>1.04</v>
      </c>
      <c r="G15" s="4421">
        <f t="shared" si="3"/>
        <v>218.4</v>
      </c>
      <c r="H15" s="1777" t="str">
        <f t="shared" ca="1" si="2"/>
        <v>=IF(E15&gt;1,1+(E15-1)*2,IF(E15&gt;95%,E15,LOOKUP(E15,$B$5:$B$9,$C$5:$C$9)))</v>
      </c>
      <c r="J15" s="1806"/>
      <c r="K15" s="1806"/>
      <c r="L15" s="4287"/>
      <c r="M15" s="4287"/>
      <c r="N15" s="4287"/>
      <c r="O15" s="4287"/>
      <c r="P15" s="4287"/>
      <c r="Q15" s="4287"/>
      <c r="R15" s="4287"/>
      <c r="S15" s="4287"/>
      <c r="T15" s="4876" t="s">
        <v>308</v>
      </c>
      <c r="U15" s="4876"/>
      <c r="V15" s="4876"/>
      <c r="W15" s="4876"/>
      <c r="X15" s="4876"/>
      <c r="Y15" s="4876"/>
      <c r="Z15" s="4876"/>
      <c r="AA15" s="4876"/>
      <c r="AB15" s="4876"/>
      <c r="AC15" s="4876"/>
      <c r="AD15" s="4876"/>
      <c r="AE15" s="4287"/>
      <c r="AF15" s="4287"/>
      <c r="AG15" s="4287"/>
      <c r="AH15" s="4287"/>
      <c r="AI15" s="4287"/>
      <c r="AJ15" s="4287"/>
      <c r="AK15" s="1842"/>
      <c r="AL15" s="4287"/>
      <c r="AM15" s="3131">
        <f>WEEKDAY(AM14,16)</f>
        <v>5</v>
      </c>
      <c r="AN15" s="3131">
        <f t="shared" ref="AN15:AS15" si="23">WEEKDAY(AN14,16)</f>
        <v>6</v>
      </c>
      <c r="AO15" s="4194">
        <f t="shared" si="23"/>
        <v>7</v>
      </c>
      <c r="AP15" s="3131">
        <f t="shared" si="23"/>
        <v>1</v>
      </c>
      <c r="AQ15" s="3131">
        <f t="shared" si="23"/>
        <v>2</v>
      </c>
      <c r="AR15" s="3131">
        <f t="shared" si="23"/>
        <v>3</v>
      </c>
      <c r="AS15" s="3131">
        <f t="shared" si="23"/>
        <v>4</v>
      </c>
      <c r="AT15" s="1806"/>
      <c r="AU15" s="1806"/>
      <c r="AV15" s="1806"/>
      <c r="AW15" s="1806"/>
      <c r="AX15" s="4287"/>
      <c r="AY15" s="1835">
        <f>WEEKDAY(AY14,16)</f>
        <v>5</v>
      </c>
      <c r="AZ15" s="1835">
        <f>WEEKDAY(AZ14,16)</f>
        <v>6</v>
      </c>
      <c r="BA15" s="1987">
        <f>WEEKDAY(BA14,16)</f>
        <v>7</v>
      </c>
      <c r="BB15" s="1835">
        <f>WEEKDAY(BB14,16)</f>
        <v>1</v>
      </c>
      <c r="BC15" s="1835">
        <f t="shared" ref="BC15:BE15" si="24">WEEKDAY(BC14,16)</f>
        <v>2</v>
      </c>
      <c r="BD15" s="1835">
        <f t="shared" si="24"/>
        <v>3</v>
      </c>
      <c r="BE15" s="1835">
        <f t="shared" si="24"/>
        <v>4</v>
      </c>
      <c r="BF15" s="4287"/>
      <c r="BG15" s="1806"/>
      <c r="BH15" s="1806"/>
      <c r="BI15" s="1806"/>
      <c r="BJ15" s="4287"/>
      <c r="BK15" s="1835">
        <f>WEEKDAY(BK14,16)</f>
        <v>5</v>
      </c>
      <c r="BL15" s="1835">
        <f t="shared" ref="BL15:BQ15" si="25">WEEKDAY(BL14,16)</f>
        <v>6</v>
      </c>
      <c r="BM15" s="1987">
        <f t="shared" si="25"/>
        <v>7</v>
      </c>
      <c r="BN15" s="1835">
        <f t="shared" si="25"/>
        <v>1</v>
      </c>
      <c r="BO15" s="1835">
        <f t="shared" si="25"/>
        <v>2</v>
      </c>
      <c r="BP15" s="1835">
        <f t="shared" si="25"/>
        <v>3</v>
      </c>
      <c r="BQ15" s="1835">
        <f t="shared" si="25"/>
        <v>4</v>
      </c>
      <c r="BR15" s="1806"/>
      <c r="BS15" s="1806"/>
      <c r="BT15" s="1806"/>
      <c r="BU15" s="1806"/>
      <c r="BV15" s="1806"/>
      <c r="BW15" s="1835">
        <f>WEEKDAY(BW14,16)</f>
        <v>5</v>
      </c>
      <c r="BX15" s="1835">
        <f t="shared" ref="BX15:CC15" si="26">WEEKDAY(BX14,16)</f>
        <v>6</v>
      </c>
      <c r="BY15" s="1987">
        <f t="shared" si="26"/>
        <v>7</v>
      </c>
      <c r="BZ15" s="1835">
        <f t="shared" si="26"/>
        <v>1</v>
      </c>
      <c r="CA15" s="1835">
        <f t="shared" si="26"/>
        <v>2</v>
      </c>
      <c r="CB15" s="1835">
        <f t="shared" si="26"/>
        <v>3</v>
      </c>
      <c r="CC15" s="1835">
        <f t="shared" si="26"/>
        <v>4</v>
      </c>
      <c r="CD15" s="1806"/>
      <c r="CE15" s="1806"/>
      <c r="CF15" s="1806"/>
      <c r="CG15" s="1806"/>
      <c r="CH15" s="1806"/>
      <c r="CI15" s="1835">
        <f>WEEKDAY(CI14,16)</f>
        <v>5</v>
      </c>
      <c r="CJ15" s="1835">
        <f t="shared" ref="CJ15:CK15" si="27">WEEKDAY(CJ14,16)</f>
        <v>6</v>
      </c>
      <c r="CK15" s="1987">
        <f t="shared" si="27"/>
        <v>7</v>
      </c>
      <c r="CL15" s="1806"/>
      <c r="CM15" s="1806"/>
      <c r="CN15" s="1806"/>
      <c r="CO15" s="1806"/>
      <c r="CQ15" s="1853"/>
      <c r="CR15" s="1854"/>
      <c r="CT15" s="1806"/>
      <c r="CU15" s="1806"/>
      <c r="CV15" s="1806"/>
      <c r="CW15" s="1806"/>
      <c r="CX15" s="1795"/>
      <c r="CY15" s="3132"/>
      <c r="CZ15" s="4261"/>
      <c r="DA15" s="1806"/>
      <c r="DB15" s="1806"/>
      <c r="DC15" s="4287"/>
      <c r="DD15" s="4287"/>
      <c r="DE15" s="4287"/>
      <c r="DF15" s="4287"/>
      <c r="DG15" s="4287"/>
      <c r="DH15" s="4287"/>
      <c r="DI15" s="4287"/>
      <c r="DJ15" s="4287"/>
      <c r="DK15" s="4287"/>
      <c r="DL15" s="4287"/>
      <c r="DM15" s="4287"/>
      <c r="DN15" s="4287"/>
      <c r="DO15" s="4287"/>
      <c r="DP15" s="4287"/>
      <c r="DQ15" s="4287"/>
      <c r="DR15" s="4287"/>
      <c r="DS15" s="4287"/>
      <c r="DT15" s="4287"/>
      <c r="DU15" s="4287"/>
      <c r="DV15" s="4287"/>
      <c r="DW15" s="4287"/>
      <c r="DX15" s="4287"/>
      <c r="DY15" s="4287"/>
      <c r="DZ15" s="4287"/>
      <c r="EA15" s="4287"/>
      <c r="EB15" s="4287"/>
      <c r="EC15" s="4287"/>
      <c r="ED15" s="4287"/>
      <c r="EE15" s="4287"/>
      <c r="EF15" s="4287"/>
      <c r="EG15" s="4287"/>
      <c r="EH15" s="4287"/>
      <c r="EI15" s="4287"/>
      <c r="EJ15" s="4287"/>
      <c r="EK15" s="4287"/>
      <c r="EL15" s="4287"/>
      <c r="EM15" s="4287"/>
      <c r="EN15" s="4287"/>
      <c r="EO15" s="4287"/>
      <c r="EP15" s="4287"/>
      <c r="EQ15" s="4287"/>
      <c r="ER15" s="4287"/>
      <c r="ES15" s="4287"/>
      <c r="ET15" s="4287"/>
      <c r="EU15" s="4287"/>
      <c r="EV15" s="4287"/>
      <c r="EW15" s="4287"/>
      <c r="EX15" s="4287"/>
      <c r="EY15" s="4287"/>
      <c r="EZ15" s="4287"/>
      <c r="FA15" s="4287"/>
      <c r="FB15" s="4287"/>
      <c r="FC15" s="4287"/>
      <c r="FD15" s="4287"/>
      <c r="FE15" s="4287"/>
      <c r="FF15" s="4287"/>
      <c r="FG15" s="4287"/>
      <c r="FH15" s="4287"/>
      <c r="FI15" s="4287"/>
      <c r="FJ15" s="4287"/>
      <c r="FK15" s="4287"/>
      <c r="FL15" s="4287"/>
      <c r="FM15" s="4287"/>
      <c r="FN15" s="4287"/>
      <c r="FO15" s="4287"/>
      <c r="FP15" s="4287"/>
      <c r="FQ15" s="4287"/>
      <c r="FR15" s="4287"/>
      <c r="FS15" s="4287"/>
      <c r="FT15" s="4287"/>
      <c r="FU15" s="4287"/>
      <c r="FV15" s="4287"/>
      <c r="FW15" s="4287"/>
      <c r="FX15" s="4287"/>
      <c r="FY15" s="4287"/>
      <c r="FZ15" s="4287"/>
      <c r="GA15" s="4287"/>
      <c r="GB15" s="4287"/>
      <c r="GC15" s="4287"/>
      <c r="GD15" s="4287"/>
      <c r="GE15" s="4287"/>
      <c r="GF15" s="4287"/>
      <c r="GG15" s="4287"/>
      <c r="GH15" s="4287"/>
      <c r="GI15" s="4287"/>
      <c r="GJ15" s="4287"/>
      <c r="GK15" s="4287"/>
      <c r="GL15" s="4287"/>
      <c r="GM15" s="4287"/>
      <c r="GN15" s="4287"/>
      <c r="GO15" s="4287"/>
      <c r="GP15" s="4287"/>
      <c r="GQ15" s="4287"/>
    </row>
    <row r="16" spans="1:199" s="1777" customFormat="1" ht="4.5" customHeight="1" thickBot="1" x14ac:dyDescent="0.25">
      <c r="E16" s="4415">
        <v>1.03</v>
      </c>
      <c r="F16" s="4415">
        <f t="shared" si="13"/>
        <v>1.06</v>
      </c>
      <c r="G16" s="4421">
        <f t="shared" si="3"/>
        <v>222.60000000000002</v>
      </c>
      <c r="H16" s="1777" t="str">
        <f t="shared" ca="1" si="2"/>
        <v>=IF(E16&gt;1,1+(E16-1)*2,IF(E16&gt;95%,E16,LOOKUP(E16,$B$5:$B$9,$C$5:$C$9)))</v>
      </c>
      <c r="J16" s="1806"/>
      <c r="K16" s="1806"/>
      <c r="L16" s="4287"/>
      <c r="M16" s="4287"/>
      <c r="N16" s="4287"/>
      <c r="O16" s="4287"/>
      <c r="P16" s="4287"/>
      <c r="Q16" s="4287"/>
      <c r="R16" s="4287"/>
      <c r="S16" s="4287"/>
      <c r="T16" s="4287"/>
      <c r="U16" s="4287"/>
      <c r="V16" s="4287"/>
      <c r="W16" s="4287"/>
      <c r="X16" s="4287"/>
      <c r="Y16" s="4287"/>
      <c r="Z16" s="4287"/>
      <c r="AA16" s="4287"/>
      <c r="AB16" s="4287"/>
      <c r="AC16" s="4287"/>
      <c r="AD16" s="4287"/>
      <c r="AE16" s="4287"/>
      <c r="AF16" s="4287"/>
      <c r="AG16" s="4287"/>
      <c r="AH16" s="4287"/>
      <c r="AI16" s="4287"/>
      <c r="AJ16" s="4287"/>
      <c r="AK16" s="1842"/>
      <c r="AL16" s="4287"/>
      <c r="AM16" s="1806"/>
      <c r="AN16" s="1806"/>
      <c r="AO16" s="1806"/>
      <c r="AP16" s="1806"/>
      <c r="AQ16" s="1806"/>
      <c r="AR16" s="1806"/>
      <c r="AS16" s="1806"/>
      <c r="AT16" s="1806"/>
      <c r="AU16" s="1806"/>
      <c r="AV16" s="1806"/>
      <c r="AW16" s="1806"/>
      <c r="AX16" s="4287"/>
      <c r="AY16" s="1806"/>
      <c r="AZ16" s="1806"/>
      <c r="BA16" s="1806"/>
      <c r="BB16" s="1806"/>
      <c r="BC16" s="1806"/>
      <c r="BD16" s="1806"/>
      <c r="BE16" s="1806"/>
      <c r="BF16" s="4287"/>
      <c r="BG16" s="1806"/>
      <c r="BH16" s="1806"/>
      <c r="BI16" s="1806"/>
      <c r="BJ16" s="4287"/>
      <c r="BK16" s="1806"/>
      <c r="BL16" s="1806"/>
      <c r="BM16" s="1806"/>
      <c r="BN16" s="1806"/>
      <c r="BO16" s="1806"/>
      <c r="BP16" s="1806"/>
      <c r="BQ16" s="1806"/>
      <c r="BR16" s="1806"/>
      <c r="BS16" s="1806"/>
      <c r="BT16" s="1806"/>
      <c r="BU16" s="1806"/>
      <c r="BV16" s="1806"/>
      <c r="BW16" s="1806"/>
      <c r="BX16" s="1806"/>
      <c r="BY16" s="1806"/>
      <c r="BZ16" s="1806"/>
      <c r="CA16" s="1806"/>
      <c r="CB16" s="1806"/>
      <c r="CC16" s="1806"/>
      <c r="CD16" s="1806"/>
      <c r="CE16" s="1806"/>
      <c r="CF16" s="1806"/>
      <c r="CG16" s="1806"/>
      <c r="CH16" s="1806"/>
      <c r="CI16" s="1806"/>
      <c r="CJ16" s="1806"/>
      <c r="CK16" s="1806"/>
      <c r="CL16" s="1806"/>
      <c r="CM16" s="1806"/>
      <c r="CN16" s="1806"/>
      <c r="CO16" s="1806"/>
      <c r="CQ16" s="1853"/>
      <c r="CR16" s="1854"/>
      <c r="CT16" s="4287"/>
      <c r="CU16" s="4287"/>
      <c r="CV16" s="4287"/>
      <c r="CW16" s="4287"/>
      <c r="CY16" s="1922"/>
      <c r="CZ16" s="4287"/>
      <c r="DA16" s="4287"/>
      <c r="DB16" s="4287"/>
      <c r="DC16" s="4287"/>
      <c r="DD16" s="4287"/>
      <c r="DE16" s="4287"/>
      <c r="DF16" s="4287"/>
      <c r="DG16" s="4287"/>
      <c r="DH16" s="4287"/>
      <c r="DI16" s="4287"/>
      <c r="DJ16" s="4287"/>
      <c r="DK16" s="4287"/>
      <c r="DL16" s="4287"/>
      <c r="DM16" s="4287"/>
      <c r="DN16" s="4287"/>
      <c r="DO16" s="4287"/>
      <c r="DP16" s="4287"/>
      <c r="DQ16" s="4287"/>
      <c r="DR16" s="4287"/>
      <c r="DS16" s="4287"/>
      <c r="DT16" s="4287"/>
      <c r="DU16" s="4287"/>
      <c r="DV16" s="4287"/>
      <c r="DW16" s="4287"/>
      <c r="DX16" s="4287"/>
      <c r="DY16" s="4287"/>
      <c r="DZ16" s="4287"/>
      <c r="EA16" s="4287"/>
      <c r="EB16" s="4287"/>
      <c r="EC16" s="4287"/>
      <c r="ED16" s="4287"/>
      <c r="EE16" s="4287"/>
      <c r="EF16" s="4287"/>
      <c r="EG16" s="4287"/>
      <c r="EH16" s="4287"/>
      <c r="EI16" s="4287"/>
      <c r="EJ16" s="4287"/>
      <c r="EK16" s="4287"/>
      <c r="EL16" s="4287"/>
      <c r="EM16" s="4287"/>
      <c r="EN16" s="4287"/>
      <c r="EO16" s="4287"/>
      <c r="EP16" s="4287"/>
      <c r="EQ16" s="4287"/>
      <c r="ER16" s="4287"/>
      <c r="ES16" s="4287"/>
      <c r="ET16" s="4287"/>
      <c r="EU16" s="4287"/>
      <c r="EV16" s="4287"/>
      <c r="EW16" s="4287"/>
      <c r="EX16" s="4287"/>
      <c r="EY16" s="4287"/>
      <c r="EZ16" s="4287"/>
      <c r="FA16" s="4287"/>
      <c r="FB16" s="4287"/>
      <c r="FC16" s="4287"/>
      <c r="FD16" s="4287"/>
      <c r="FE16" s="4287"/>
      <c r="FF16" s="4287"/>
      <c r="FG16" s="4287"/>
      <c r="FH16" s="4287"/>
      <c r="FI16" s="4287"/>
      <c r="FJ16" s="4287"/>
      <c r="FK16" s="4287"/>
      <c r="FL16" s="4287"/>
      <c r="FM16" s="4287"/>
      <c r="FN16" s="4287"/>
      <c r="FO16" s="4287"/>
      <c r="FP16" s="4287"/>
      <c r="FQ16" s="4287"/>
      <c r="FR16" s="4287"/>
      <c r="FS16" s="4287"/>
      <c r="FT16" s="4287"/>
      <c r="FU16" s="4287"/>
      <c r="FV16" s="4287"/>
      <c r="FW16" s="4287"/>
      <c r="FX16" s="4287"/>
      <c r="FY16" s="4287"/>
      <c r="FZ16" s="4287"/>
      <c r="GA16" s="4287"/>
      <c r="GB16" s="4287"/>
      <c r="GC16" s="4287"/>
      <c r="GD16" s="4287"/>
      <c r="GE16" s="4287"/>
      <c r="GF16" s="4287"/>
      <c r="GG16" s="4287"/>
      <c r="GH16" s="4287"/>
      <c r="GI16" s="4287"/>
      <c r="GJ16" s="4287"/>
      <c r="GK16" s="4287"/>
      <c r="GL16" s="4287"/>
      <c r="GM16" s="4287"/>
      <c r="GN16" s="4287"/>
      <c r="GO16" s="4287"/>
      <c r="GP16" s="4287"/>
      <c r="GQ16" s="4287"/>
    </row>
    <row r="17" spans="5:199" s="1777" customFormat="1" ht="21" customHeight="1" thickTop="1" x14ac:dyDescent="0.2">
      <c r="E17" s="4415">
        <v>1.04</v>
      </c>
      <c r="F17" s="4415">
        <f>IF(E17&gt;1,1+(E17-1)*2,IF(E17&gt;95%,E17,LOOKUP(E17,$B$5:$B$9,$C$5:$C$9)))</f>
        <v>1.08</v>
      </c>
      <c r="G17" s="4421">
        <f t="shared" si="3"/>
        <v>226.8</v>
      </c>
      <c r="H17" s="1777" t="str">
        <f t="shared" ca="1" si="2"/>
        <v>=IF(E17&gt;1,1+(E17-1)*2,IF(E17&gt;95%,E17,LOOKUP(E17,$B$5:$B$9,$C$5:$C$9)))</v>
      </c>
      <c r="J17" s="1806"/>
      <c r="K17" s="1806"/>
      <c r="L17" s="4287"/>
      <c r="M17" s="4287"/>
      <c r="N17" s="4287"/>
      <c r="O17" s="4728"/>
      <c r="P17" s="2287"/>
      <c r="Q17" s="1728"/>
      <c r="R17" s="1728"/>
      <c r="S17" s="2287"/>
      <c r="T17" s="1728"/>
      <c r="U17" s="1728"/>
      <c r="V17" s="2287"/>
      <c r="W17" s="1728"/>
      <c r="X17" s="1728"/>
      <c r="Y17" s="2287"/>
      <c r="Z17" s="1728"/>
      <c r="AA17" s="1728"/>
      <c r="AB17" s="2287"/>
      <c r="AC17" s="1728"/>
      <c r="AD17" s="4138"/>
      <c r="AE17" s="4280"/>
      <c r="AF17" s="4690" t="s">
        <v>291</v>
      </c>
      <c r="AG17" s="4691"/>
      <c r="AH17" s="4688" t="s">
        <v>297</v>
      </c>
      <c r="AI17" s="4689"/>
      <c r="AJ17" s="4821"/>
      <c r="AK17" s="4162"/>
      <c r="AL17" s="4287"/>
      <c r="AM17" s="1806"/>
      <c r="AN17" s="1806"/>
      <c r="AO17" s="1806"/>
      <c r="AP17" s="1806"/>
      <c r="AQ17" s="1806"/>
      <c r="AR17" s="1806"/>
      <c r="AS17" s="1806"/>
      <c r="AT17" s="1806"/>
      <c r="AU17" s="1806"/>
      <c r="AV17" s="1806"/>
      <c r="AW17" s="1806"/>
      <c r="AX17" s="4287"/>
      <c r="AY17" s="1806"/>
      <c r="AZ17" s="1806"/>
      <c r="BA17" s="1806"/>
      <c r="BB17" s="1806"/>
      <c r="BC17" s="1806"/>
      <c r="BD17" s="1806"/>
      <c r="BE17" s="1806"/>
      <c r="BF17" s="4287"/>
      <c r="BG17" s="1806"/>
      <c r="BH17" s="1806"/>
      <c r="BI17" s="1806"/>
      <c r="BJ17" s="4287"/>
      <c r="BK17" s="1806"/>
      <c r="BL17" s="1806"/>
      <c r="BM17" s="1806"/>
      <c r="BN17" s="1806"/>
      <c r="BO17" s="1806"/>
      <c r="BP17" s="1806"/>
      <c r="BQ17" s="1806"/>
      <c r="BR17" s="1806"/>
      <c r="BS17" s="1806"/>
      <c r="BT17" s="1806"/>
      <c r="BU17" s="1806"/>
      <c r="BV17" s="1806"/>
      <c r="BW17" s="1806"/>
      <c r="BX17" s="1806"/>
      <c r="BY17" s="1806"/>
      <c r="BZ17" s="1806"/>
      <c r="CA17" s="1806"/>
      <c r="CB17" s="1806"/>
      <c r="CC17" s="1806"/>
      <c r="CD17" s="1806"/>
      <c r="CE17" s="1806"/>
      <c r="CF17" s="1806"/>
      <c r="CG17" s="1806"/>
      <c r="CH17" s="1806"/>
      <c r="CI17" s="1806"/>
      <c r="CJ17" s="1806"/>
      <c r="CK17" s="1806"/>
      <c r="CL17" s="1806"/>
      <c r="CM17" s="1806"/>
      <c r="CN17" s="1806"/>
      <c r="CO17" s="1806"/>
      <c r="CQ17" s="1853"/>
      <c r="CR17" s="1854"/>
      <c r="CT17" s="4287"/>
      <c r="CU17" s="4287"/>
      <c r="CV17" s="4287"/>
      <c r="CW17" s="4287"/>
      <c r="CY17" s="1922"/>
      <c r="CZ17" s="4287"/>
      <c r="DA17" s="4287"/>
      <c r="DB17" s="4287"/>
      <c r="DC17" s="4287"/>
      <c r="DD17" s="4287"/>
      <c r="DE17" s="4287"/>
      <c r="DF17" s="4287"/>
      <c r="DG17" s="4287"/>
      <c r="DH17" s="4287"/>
      <c r="DI17" s="4287"/>
      <c r="DJ17" s="4287"/>
      <c r="DK17" s="4287"/>
      <c r="DL17" s="4287"/>
      <c r="DM17" s="4287"/>
      <c r="DN17" s="4287"/>
      <c r="DO17" s="4287"/>
      <c r="DP17" s="4287"/>
      <c r="DQ17" s="4287"/>
      <c r="DR17" s="4287"/>
      <c r="DS17" s="4287"/>
      <c r="DT17" s="4287"/>
      <c r="DU17" s="4287"/>
      <c r="DV17" s="4287"/>
      <c r="DW17" s="4287"/>
      <c r="DX17" s="4287"/>
      <c r="DY17" s="4287"/>
      <c r="DZ17" s="4287"/>
      <c r="EA17" s="4287"/>
      <c r="EB17" s="4287"/>
      <c r="EC17" s="4287"/>
      <c r="ED17" s="4287"/>
      <c r="EE17" s="4287"/>
      <c r="EF17" s="4287"/>
      <c r="EG17" s="4287"/>
      <c r="EH17" s="4287"/>
      <c r="EI17" s="4287"/>
      <c r="EJ17" s="4287"/>
      <c r="EK17" s="4287"/>
      <c r="EL17" s="4287"/>
      <c r="EM17" s="4287"/>
      <c r="EN17" s="4287"/>
      <c r="EO17" s="4287"/>
      <c r="EP17" s="4287"/>
      <c r="EQ17" s="4287"/>
      <c r="ER17" s="4287"/>
      <c r="ES17" s="4287"/>
      <c r="ET17" s="4287"/>
      <c r="EU17" s="4287"/>
      <c r="EV17" s="4287"/>
      <c r="EW17" s="4287"/>
      <c r="EX17" s="4287"/>
      <c r="EY17" s="4287"/>
      <c r="EZ17" s="4287"/>
      <c r="FA17" s="4287"/>
      <c r="FB17" s="4287"/>
      <c r="FC17" s="4287"/>
      <c r="FD17" s="4287"/>
      <c r="FE17" s="4287"/>
      <c r="FF17" s="4287"/>
      <c r="FG17" s="4287"/>
      <c r="FH17" s="4287"/>
      <c r="FI17" s="4287"/>
      <c r="FJ17" s="4287"/>
      <c r="FK17" s="4287"/>
      <c r="FL17" s="4287"/>
      <c r="FM17" s="4287"/>
      <c r="FN17" s="4287"/>
      <c r="FO17" s="4287"/>
      <c r="FP17" s="4287"/>
      <c r="FQ17" s="4287"/>
      <c r="FR17" s="4287"/>
      <c r="FS17" s="4287"/>
      <c r="FT17" s="4287"/>
      <c r="FU17" s="4287"/>
      <c r="FV17" s="4287"/>
      <c r="FW17" s="4287"/>
      <c r="FX17" s="4287"/>
      <c r="FY17" s="4287"/>
      <c r="FZ17" s="4287"/>
      <c r="GA17" s="4287"/>
      <c r="GB17" s="4287"/>
      <c r="GC17" s="4287"/>
      <c r="GD17" s="4287"/>
      <c r="GE17" s="4287"/>
      <c r="GF17" s="4287"/>
      <c r="GG17" s="4287"/>
      <c r="GH17" s="4287"/>
      <c r="GI17" s="4287"/>
      <c r="GJ17" s="4287"/>
      <c r="GK17" s="4287"/>
      <c r="GL17" s="4287"/>
      <c r="GM17" s="4287"/>
      <c r="GN17" s="4287"/>
      <c r="GO17" s="4287"/>
      <c r="GP17" s="4287"/>
      <c r="GQ17" s="4287"/>
    </row>
    <row r="18" spans="5:199" s="1777" customFormat="1" ht="21" customHeight="1" x14ac:dyDescent="0.2">
      <c r="E18" s="4415">
        <v>1.05</v>
      </c>
      <c r="F18" s="4415">
        <f t="shared" ref="F18:F38" si="28">IF(E18&gt;1,1+(E18-1)*2,IF(E18&gt;95%,E18,LOOKUP(E18,$B$5:$B$9,$C$5:$C$9)))</f>
        <v>1.1000000000000001</v>
      </c>
      <c r="G18" s="4421">
        <f t="shared" ref="G18:G19" si="29">F18*$E$2</f>
        <v>231.00000000000003</v>
      </c>
      <c r="H18" s="1777" t="str">
        <f t="shared" ref="H18:H19" ca="1" si="30">_xlfn.FORMULATEXT(F18)</f>
        <v>=IF(E18&gt;1,1+(E18-1)*2,IF(E18&gt;95%,E18,LOOKUP(E18,$B$5:$B$9,$C$5:$C$9)))</v>
      </c>
      <c r="J18" s="1806"/>
      <c r="K18" s="1806"/>
      <c r="L18" s="4287"/>
      <c r="M18" s="4287"/>
      <c r="N18" s="4287"/>
      <c r="O18" s="4729"/>
      <c r="P18" s="2287"/>
      <c r="Q18" s="1728"/>
      <c r="R18" s="1728"/>
      <c r="S18" s="2287"/>
      <c r="T18" s="1728"/>
      <c r="U18" s="1728"/>
      <c r="V18" s="2287"/>
      <c r="W18" s="1728"/>
      <c r="X18" s="1728"/>
      <c r="Y18" s="2287"/>
      <c r="Z18" s="1728"/>
      <c r="AA18" s="1728"/>
      <c r="AB18" s="2287"/>
      <c r="AC18" s="1728"/>
      <c r="AD18" s="4138"/>
      <c r="AE18" s="4280"/>
      <c r="AF18" s="4692"/>
      <c r="AG18" s="4693"/>
      <c r="AH18" s="4142" t="s">
        <v>296</v>
      </c>
      <c r="AI18" s="4143" t="s">
        <v>292</v>
      </c>
      <c r="AJ18" s="4822"/>
      <c r="AK18" s="4162"/>
      <c r="AL18" s="4287"/>
      <c r="AM18" s="1806"/>
      <c r="AN18" s="1806"/>
      <c r="AO18" s="1806"/>
      <c r="AP18" s="1806"/>
      <c r="AQ18" s="1806"/>
      <c r="AR18" s="1806"/>
      <c r="AS18" s="1806"/>
      <c r="AT18" s="1806"/>
      <c r="AU18" s="1806"/>
      <c r="AV18" s="1806"/>
      <c r="AW18" s="1806"/>
      <c r="AX18" s="4287"/>
      <c r="AY18" s="1806"/>
      <c r="AZ18" s="1806"/>
      <c r="BA18" s="1806"/>
      <c r="BB18" s="1806"/>
      <c r="BC18" s="1806"/>
      <c r="BD18" s="1806"/>
      <c r="BE18" s="1806"/>
      <c r="BF18" s="4287"/>
      <c r="BG18" s="1806"/>
      <c r="BH18" s="1806"/>
      <c r="BI18" s="1806"/>
      <c r="BJ18" s="4287"/>
      <c r="BK18" s="1806"/>
      <c r="BL18" s="1806"/>
      <c r="BM18" s="1806"/>
      <c r="BN18" s="1806"/>
      <c r="BO18" s="1806"/>
      <c r="BP18" s="1806"/>
      <c r="BQ18" s="1806"/>
      <c r="BR18" s="1806"/>
      <c r="BS18" s="1806"/>
      <c r="BT18" s="1806"/>
      <c r="BU18" s="1806"/>
      <c r="BV18" s="1806"/>
      <c r="BW18" s="1806"/>
      <c r="BX18" s="1806"/>
      <c r="BY18" s="1806"/>
      <c r="BZ18" s="1806"/>
      <c r="CA18" s="1806"/>
      <c r="CB18" s="1806"/>
      <c r="CC18" s="1806"/>
      <c r="CD18" s="1806"/>
      <c r="CE18" s="1806"/>
      <c r="CF18" s="1806"/>
      <c r="CG18" s="1806"/>
      <c r="CH18" s="1806"/>
      <c r="CI18" s="1806"/>
      <c r="CJ18" s="1806"/>
      <c r="CK18" s="1806"/>
      <c r="CL18" s="1806"/>
      <c r="CM18" s="1806"/>
      <c r="CN18" s="1806"/>
      <c r="CO18" s="1806"/>
      <c r="CQ18" s="1853"/>
      <c r="CR18" s="1854"/>
      <c r="CT18" s="4287"/>
      <c r="CU18" s="4287"/>
      <c r="CV18" s="4287"/>
      <c r="CW18" s="4287"/>
      <c r="CY18" s="1922"/>
      <c r="CZ18" s="4287"/>
      <c r="DA18" s="4287"/>
      <c r="DB18" s="4287"/>
      <c r="DC18" s="4287"/>
      <c r="DD18" s="4287"/>
      <c r="DE18" s="4287"/>
      <c r="DF18" s="4287"/>
      <c r="DG18" s="4287"/>
      <c r="DH18" s="4287"/>
      <c r="DI18" s="4287"/>
      <c r="DJ18" s="4287"/>
      <c r="DK18" s="4287"/>
      <c r="DL18" s="4287"/>
      <c r="DM18" s="4287"/>
      <c r="DN18" s="4287"/>
      <c r="DO18" s="4287"/>
      <c r="DP18" s="4287"/>
      <c r="DQ18" s="4287"/>
      <c r="DR18" s="4287"/>
      <c r="DS18" s="4287"/>
      <c r="DT18" s="4287"/>
      <c r="DU18" s="4287"/>
      <c r="DV18" s="4287"/>
      <c r="DW18" s="4287"/>
      <c r="DX18" s="4287"/>
      <c r="DY18" s="4287"/>
      <c r="DZ18" s="4287"/>
      <c r="EA18" s="4287"/>
      <c r="EB18" s="4287"/>
      <c r="EC18" s="4287"/>
      <c r="ED18" s="4287"/>
      <c r="EE18" s="4287"/>
      <c r="EF18" s="4287"/>
      <c r="EG18" s="4287"/>
      <c r="EH18" s="4287"/>
      <c r="EI18" s="4287"/>
      <c r="EJ18" s="4287"/>
      <c r="EK18" s="4287"/>
      <c r="EL18" s="4287"/>
      <c r="EM18" s="4287"/>
      <c r="EN18" s="4287"/>
      <c r="EO18" s="4287"/>
      <c r="EP18" s="4287"/>
      <c r="EQ18" s="4287"/>
      <c r="ER18" s="4287"/>
      <c r="ES18" s="4287"/>
      <c r="ET18" s="4287"/>
      <c r="EU18" s="4287"/>
      <c r="EV18" s="4287"/>
      <c r="EW18" s="4287"/>
      <c r="EX18" s="4287"/>
      <c r="EY18" s="4287"/>
      <c r="EZ18" s="4287"/>
      <c r="FA18" s="4287"/>
      <c r="FB18" s="4287"/>
      <c r="FC18" s="4287"/>
      <c r="FD18" s="4287"/>
      <c r="FE18" s="4287"/>
      <c r="FF18" s="4287"/>
      <c r="FG18" s="4287"/>
      <c r="FH18" s="4287"/>
      <c r="FI18" s="4287"/>
      <c r="FJ18" s="4287"/>
      <c r="FK18" s="4287"/>
      <c r="FL18" s="4287"/>
      <c r="FM18" s="4287"/>
      <c r="FN18" s="4287"/>
      <c r="FO18" s="4287"/>
      <c r="FP18" s="4287"/>
      <c r="FQ18" s="4287"/>
      <c r="FR18" s="4287"/>
      <c r="FS18" s="4287"/>
      <c r="FT18" s="4287"/>
      <c r="FU18" s="4287"/>
      <c r="FV18" s="4287"/>
      <c r="FW18" s="4287"/>
      <c r="FX18" s="4287"/>
      <c r="FY18" s="4287"/>
      <c r="FZ18" s="4287"/>
      <c r="GA18" s="4287"/>
      <c r="GB18" s="4287"/>
      <c r="GC18" s="4287"/>
      <c r="GD18" s="4287"/>
      <c r="GE18" s="4287"/>
      <c r="GF18" s="4287"/>
      <c r="GG18" s="4287"/>
      <c r="GH18" s="4287"/>
      <c r="GI18" s="4287"/>
      <c r="GJ18" s="4287"/>
      <c r="GK18" s="4287"/>
      <c r="GL18" s="4287"/>
      <c r="GM18" s="4287"/>
      <c r="GN18" s="4287"/>
      <c r="GO18" s="4287"/>
      <c r="GP18" s="4287"/>
      <c r="GQ18" s="4287"/>
    </row>
    <row r="19" spans="5:199" s="1810" customFormat="1" ht="21" thickBot="1" x14ac:dyDescent="0.25">
      <c r="E19" s="4415">
        <v>1.06</v>
      </c>
      <c r="F19" s="4415">
        <f t="shared" si="28"/>
        <v>1.1200000000000001</v>
      </c>
      <c r="G19" s="4421">
        <f t="shared" si="29"/>
        <v>235.20000000000002</v>
      </c>
      <c r="H19" s="1777" t="str">
        <f t="shared" ca="1" si="30"/>
        <v>=IF(E19&gt;1,1+(E19-1)*2,IF(E19&gt;95%,E19,LOOKUP(E19,$B$5:$B$9,$C$5:$C$9)))</v>
      </c>
      <c r="J19" s="1963"/>
      <c r="K19" s="4307"/>
      <c r="L19" s="4316" t="s">
        <v>188</v>
      </c>
      <c r="M19" s="4349"/>
      <c r="N19" s="1727"/>
      <c r="O19" s="1728">
        <f>L56/31</f>
        <v>556.15564516129018</v>
      </c>
      <c r="P19" s="2287"/>
      <c r="Q19" s="1728"/>
      <c r="R19" s="1728"/>
      <c r="S19" s="2287"/>
      <c r="T19" s="1728"/>
      <c r="U19" s="1728"/>
      <c r="V19" s="2287"/>
      <c r="W19" s="1728"/>
      <c r="X19" s="1728"/>
      <c r="Y19" s="2287"/>
      <c r="Z19" s="1728"/>
      <c r="AA19" s="1728"/>
      <c r="AB19" s="2287"/>
      <c r="AC19" s="1728"/>
      <c r="AD19" s="4138"/>
      <c r="AE19" s="4280"/>
      <c r="AF19" s="4142">
        <f>AF56*100/20</f>
        <v>15850.438667874996</v>
      </c>
      <c r="AG19" s="4143">
        <f>AG56*100/20</f>
        <v>609.63225645673072</v>
      </c>
      <c r="AH19" s="4142">
        <f>AH56*100/20</f>
        <v>1390.3863321250001</v>
      </c>
      <c r="AI19" s="4143">
        <f>AH19/5</f>
        <v>278.077266425</v>
      </c>
      <c r="AJ19" s="4153">
        <f>(L56/31)*CZ23</f>
        <v>3893.0895161290314</v>
      </c>
      <c r="AK19" s="1924"/>
      <c r="AL19" s="1966"/>
      <c r="AM19" s="4259"/>
      <c r="AN19" s="4259"/>
      <c r="AO19" s="4259"/>
      <c r="AP19" s="4259"/>
      <c r="AQ19" s="4259"/>
      <c r="AR19" s="4259"/>
      <c r="AS19" s="4259"/>
      <c r="AT19" s="4280"/>
      <c r="AU19" s="4588"/>
      <c r="AV19" s="4588"/>
      <c r="AW19" s="4588"/>
      <c r="AX19" s="4288"/>
      <c r="AY19" s="4259"/>
      <c r="AZ19" s="4259"/>
      <c r="BA19" s="4259"/>
      <c r="BB19" s="4259"/>
      <c r="BC19" s="4259"/>
      <c r="BD19" s="4259"/>
      <c r="BE19" s="4259"/>
      <c r="BF19" s="4288"/>
      <c r="BG19" s="4588"/>
      <c r="BH19" s="4588"/>
      <c r="BI19" s="4588"/>
      <c r="BJ19" s="4288"/>
      <c r="BK19" s="4259"/>
      <c r="BL19" s="4259"/>
      <c r="BM19" s="4259"/>
      <c r="BN19" s="4259"/>
      <c r="BO19" s="4259"/>
      <c r="BP19" s="4259"/>
      <c r="BQ19" s="4259"/>
      <c r="BR19" s="4280"/>
      <c r="BS19" s="4588"/>
      <c r="BT19" s="4588"/>
      <c r="BU19" s="4588"/>
      <c r="BV19" s="4280"/>
      <c r="BW19" s="4259"/>
      <c r="BX19" s="4259"/>
      <c r="BY19" s="4259"/>
      <c r="BZ19" s="4259"/>
      <c r="CA19" s="4259"/>
      <c r="CB19" s="4259"/>
      <c r="CC19" s="4259"/>
      <c r="CD19" s="4280"/>
      <c r="CE19" s="4588"/>
      <c r="CF19" s="4588"/>
      <c r="CG19" s="4588"/>
      <c r="CH19" s="4280"/>
      <c r="CI19" s="4259"/>
      <c r="CJ19" s="4259"/>
      <c r="CK19" s="4259"/>
      <c r="CL19" s="4280"/>
      <c r="CM19" s="4588"/>
      <c r="CN19" s="4588"/>
      <c r="CO19" s="4588"/>
      <c r="CQ19" s="4259"/>
      <c r="CR19" s="1968"/>
      <c r="CS19" s="1817"/>
      <c r="CT19" s="4280"/>
      <c r="CU19" s="1830"/>
      <c r="CV19" s="1830"/>
      <c r="CW19" s="1761"/>
      <c r="CY19" s="1860"/>
      <c r="CZ19" s="4265"/>
      <c r="DA19" s="1860"/>
      <c r="DB19" s="1860"/>
      <c r="DC19" s="1860"/>
      <c r="DD19" s="1860"/>
      <c r="DE19" s="1860"/>
      <c r="DF19" s="1860"/>
      <c r="DG19" s="1860"/>
    </row>
    <row r="20" spans="5:199" x14ac:dyDescent="0.2">
      <c r="E20" s="4415">
        <v>1.07</v>
      </c>
      <c r="F20" s="4415">
        <f t="shared" si="28"/>
        <v>1.1400000000000001</v>
      </c>
      <c r="G20" s="4421">
        <f t="shared" ref="G20:G29" si="31">F20*$E$2</f>
        <v>239.40000000000003</v>
      </c>
      <c r="H20" s="1777" t="str">
        <f t="shared" ref="H20:H29" ca="1" si="32">_xlfn.FORMULATEXT(F20)</f>
        <v>=IF(E20&gt;1,1+(E20-1)*2,IF(E20&gt;95%,E20,LOOKUP(E20,$B$5:$B$9,$C$5:$C$9)))</v>
      </c>
      <c r="I20" s="1777"/>
      <c r="J20" s="1987">
        <v>13</v>
      </c>
      <c r="K20" s="4315"/>
      <c r="L20" s="4314" t="s">
        <v>197</v>
      </c>
      <c r="M20" s="4350"/>
      <c r="N20" s="1744"/>
      <c r="O20" s="1746">
        <v>1500</v>
      </c>
      <c r="P20" s="2288"/>
      <c r="Q20" s="1746"/>
      <c r="R20" s="1746"/>
      <c r="S20" s="2288"/>
      <c r="T20" s="1746"/>
      <c r="U20" s="1746"/>
      <c r="V20" s="2288"/>
      <c r="W20" s="1746"/>
      <c r="X20" s="1746"/>
      <c r="Y20" s="2288"/>
      <c r="Z20" s="1746"/>
      <c r="AA20" s="1746"/>
      <c r="AB20" s="2288"/>
      <c r="AC20" s="1746"/>
      <c r="AD20" s="4139"/>
      <c r="AE20" s="1801"/>
      <c r="AF20" s="4144">
        <f>O20-AH20</f>
        <v>1379.0325</v>
      </c>
      <c r="AG20" s="4148">
        <f>AF20/26</f>
        <v>53.039711538461539</v>
      </c>
      <c r="AH20" s="4144">
        <f>O20*8.0645%</f>
        <v>120.96750000000002</v>
      </c>
      <c r="AI20" s="4158">
        <f>AH20/5</f>
        <v>24.193500000000004</v>
      </c>
      <c r="AJ20" s="4154">
        <f t="shared" ref="AJ20:AJ29" si="33">O20/$O$56</f>
        <v>0.43501398569964028</v>
      </c>
      <c r="AK20" s="1909"/>
      <c r="AL20" s="1910"/>
      <c r="AM20" s="1746">
        <f>$AG$20</f>
        <v>53.039711538461539</v>
      </c>
      <c r="AN20" s="1746">
        <f>$AG$20</f>
        <v>53.039711538461539</v>
      </c>
      <c r="AO20" s="1746">
        <f>$AI$20</f>
        <v>24.193500000000004</v>
      </c>
      <c r="AP20" s="1746">
        <f>$AG$20</f>
        <v>53.039711538461539</v>
      </c>
      <c r="AQ20" s="1746">
        <f>$AG$20</f>
        <v>53.039711538461539</v>
      </c>
      <c r="AR20" s="1746">
        <f>$AG$20</f>
        <v>53.039711538461539</v>
      </c>
      <c r="AS20" s="1746">
        <f>$AG$20</f>
        <v>53.039711538461539</v>
      </c>
      <c r="AT20" s="4264"/>
      <c r="AU20" s="1972">
        <f>SUM(AM20:AS20)</f>
        <v>342.43176923076925</v>
      </c>
      <c r="AV20" s="1973">
        <f t="shared" ref="AV20:AV54" si="34">($AU$5*AJ20)*$AU$8</f>
        <v>534.45557274666385</v>
      </c>
      <c r="AW20" s="1974">
        <f>AV20-AU20</f>
        <v>192.0238035158946</v>
      </c>
      <c r="AX20" s="1914"/>
      <c r="AY20" s="1746"/>
      <c r="AZ20" s="1746"/>
      <c r="BA20" s="1746"/>
      <c r="BB20" s="1746"/>
      <c r="BC20" s="1746"/>
      <c r="BD20" s="1746"/>
      <c r="BE20" s="1746"/>
      <c r="BF20" s="1914"/>
      <c r="BG20" s="1972">
        <f>SUM(AY20:BE20)</f>
        <v>0</v>
      </c>
      <c r="BH20" s="1973" t="e">
        <f t="shared" ref="BH20:BH54" si="35">($BG$5*AJ20)*$BG$8</f>
        <v>#DIV/0!</v>
      </c>
      <c r="BI20" s="1974" t="e">
        <f>BH20-BG20</f>
        <v>#DIV/0!</v>
      </c>
      <c r="BJ20" s="1914"/>
      <c r="BK20" s="1990"/>
      <c r="BL20" s="1990"/>
      <c r="BM20" s="1990"/>
      <c r="BN20" s="1990"/>
      <c r="BO20" s="1990"/>
      <c r="BP20" s="1990"/>
      <c r="BQ20" s="1990"/>
      <c r="BR20" s="2297"/>
      <c r="BS20" s="1972">
        <f>SUM(BK20:BQ20)</f>
        <v>0</v>
      </c>
      <c r="BT20" s="1973" t="e">
        <f t="shared" ref="BT20:BT54" si="36">($BS$5*AJ20)*$BS$8</f>
        <v>#DIV/0!</v>
      </c>
      <c r="BU20" s="1974" t="e">
        <f>BT20-BS20</f>
        <v>#DIV/0!</v>
      </c>
      <c r="BV20" s="2297"/>
      <c r="BW20" s="1990"/>
      <c r="BX20" s="1990"/>
      <c r="BY20" s="1990"/>
      <c r="BZ20" s="1990"/>
      <c r="CA20" s="1990"/>
      <c r="CB20" s="1990"/>
      <c r="CC20" s="1990"/>
      <c r="CD20" s="2297"/>
      <c r="CE20" s="1972">
        <f>SUM(BW20:CC20)</f>
        <v>0</v>
      </c>
      <c r="CF20" s="1973" t="e">
        <f t="shared" ref="CF20:CF54" si="37">($CE$5*AJ20)*$CE$8</f>
        <v>#DIV/0!</v>
      </c>
      <c r="CG20" s="1974" t="e">
        <f>CF20-CE20</f>
        <v>#DIV/0!</v>
      </c>
      <c r="CH20" s="4264"/>
      <c r="CI20" s="1746"/>
      <c r="CJ20" s="1746"/>
      <c r="CK20" s="1746"/>
      <c r="CL20" s="4264"/>
      <c r="CM20" s="1972">
        <f t="shared" ref="CM20:CM54" si="38">SUM(CI20:CK20)</f>
        <v>0</v>
      </c>
      <c r="CN20" s="1973" t="e">
        <f t="shared" ref="CN20:CN54" si="39">($CM$5*AJ20)*$CM$8</f>
        <v>#DIV/0!</v>
      </c>
      <c r="CO20" s="1974" t="e">
        <f>CN20-CM20</f>
        <v>#DIV/0!</v>
      </c>
      <c r="CQ20" s="1747">
        <v>0</v>
      </c>
      <c r="CR20" s="1752">
        <f t="shared" ref="CR20:CR54" si="40">CQ20/O20</f>
        <v>0</v>
      </c>
      <c r="CS20" s="1754"/>
      <c r="CT20" s="1975">
        <f t="shared" ref="CT20:CT54" si="41">SUM(AM20:AS20)+SUM(AY20:BE20)+SUM(BK20:BQ20)+SUM(BW20:CC20)+SUM(CK20:CK20)</f>
        <v>342.43176923076925</v>
      </c>
      <c r="CU20" s="1976">
        <f t="shared" ref="CU20:CU54" si="42">CT20/O20</f>
        <v>0.22828784615384617</v>
      </c>
      <c r="CV20" s="1993"/>
      <c r="CW20" s="1977"/>
      <c r="CY20" s="1923"/>
      <c r="CZ20" s="1978"/>
      <c r="DA20" s="1979"/>
      <c r="DB20" s="1980"/>
      <c r="DC20" s="1980"/>
      <c r="DD20" s="1980"/>
      <c r="DE20" s="1980"/>
      <c r="DF20" s="1980"/>
      <c r="DG20" s="1981"/>
      <c r="DH20" s="1923"/>
    </row>
    <row r="21" spans="5:199" s="1726" customFormat="1" x14ac:dyDescent="0.2">
      <c r="E21" s="4415">
        <v>1.08</v>
      </c>
      <c r="F21" s="4415">
        <f t="shared" si="28"/>
        <v>1.1600000000000001</v>
      </c>
      <c r="G21" s="4421">
        <f t="shared" si="31"/>
        <v>243.60000000000002</v>
      </c>
      <c r="H21" s="1777" t="str">
        <f t="shared" ca="1" si="32"/>
        <v>=IF(E21&gt;1,1+(E21-1)*2,IF(E21&gt;95%,E21,LOOKUP(E21,$B$5:$B$9,$C$5:$C$9)))</v>
      </c>
      <c r="J21" s="1963">
        <v>14</v>
      </c>
      <c r="K21" s="4307"/>
      <c r="L21" s="4308" t="s">
        <v>198</v>
      </c>
      <c r="M21" s="4336"/>
      <c r="N21" s="1727"/>
      <c r="O21" s="1728">
        <v>450</v>
      </c>
      <c r="P21" s="2287"/>
      <c r="Q21" s="1728"/>
      <c r="R21" s="1728"/>
      <c r="S21" s="2287"/>
      <c r="T21" s="1728"/>
      <c r="U21" s="1728"/>
      <c r="V21" s="2287"/>
      <c r="W21" s="1728"/>
      <c r="X21" s="1728"/>
      <c r="Y21" s="2287"/>
      <c r="Z21" s="1728"/>
      <c r="AA21" s="1728"/>
      <c r="AB21" s="2287"/>
      <c r="AC21" s="1728"/>
      <c r="AD21" s="4138"/>
      <c r="AE21" s="4280"/>
      <c r="AF21" s="4142">
        <f t="shared" ref="AF21:AF54" si="43">O21-AH21</f>
        <v>413.70974999999999</v>
      </c>
      <c r="AG21" s="4143">
        <f t="shared" ref="AG21:AG54" si="44">AF21/26</f>
        <v>15.911913461538461</v>
      </c>
      <c r="AH21" s="4142">
        <f t="shared" ref="AH21:AH54" si="45">O21*8.0645%</f>
        <v>36.29025</v>
      </c>
      <c r="AI21" s="4143">
        <f>AH21/5</f>
        <v>7.2580499999999999</v>
      </c>
      <c r="AJ21" s="4155">
        <f t="shared" si="33"/>
        <v>0.13050419570989208</v>
      </c>
      <c r="AK21" s="1876"/>
      <c r="AL21" s="1877"/>
      <c r="AM21" s="1728">
        <f>$AG$21</f>
        <v>15.911913461538461</v>
      </c>
      <c r="AN21" s="1728">
        <f>$AG$21</f>
        <v>15.911913461538461</v>
      </c>
      <c r="AO21" s="1728">
        <f>$AI$21</f>
        <v>7.2580499999999999</v>
      </c>
      <c r="AP21" s="1728">
        <f>$AG$21</f>
        <v>15.911913461538461</v>
      </c>
      <c r="AQ21" s="1728">
        <f>$AG$21</f>
        <v>15.911913461538461</v>
      </c>
      <c r="AR21" s="1728">
        <f>$AG$21</f>
        <v>15.911913461538461</v>
      </c>
      <c r="AS21" s="1728">
        <f>$AG$21</f>
        <v>15.911913461538461</v>
      </c>
      <c r="AT21" s="4266"/>
      <c r="AU21" s="1982">
        <f>SUM(AM21:AS21)</f>
        <v>102.72953076923076</v>
      </c>
      <c r="AV21" s="2268">
        <f t="shared" si="34"/>
        <v>160.33667182399915</v>
      </c>
      <c r="AW21" s="1984">
        <f>AV21-AU21</f>
        <v>57.607141054768391</v>
      </c>
      <c r="AX21" s="1881"/>
      <c r="AY21" s="1728"/>
      <c r="AZ21" s="1728"/>
      <c r="BA21" s="1728"/>
      <c r="BB21" s="1728"/>
      <c r="BC21" s="1728"/>
      <c r="BD21" s="1728"/>
      <c r="BE21" s="1728"/>
      <c r="BF21" s="1881"/>
      <c r="BG21" s="1982">
        <f>SUM(AY21:BE21)</f>
        <v>0</v>
      </c>
      <c r="BH21" s="2268" t="e">
        <f t="shared" si="35"/>
        <v>#DIV/0!</v>
      </c>
      <c r="BI21" s="1984" t="e">
        <f>BH21-BG21</f>
        <v>#DIV/0!</v>
      </c>
      <c r="BJ21" s="1881"/>
      <c r="BK21" s="2268"/>
      <c r="BL21" s="2268"/>
      <c r="BM21" s="2268"/>
      <c r="BN21" s="2268"/>
      <c r="BO21" s="2268"/>
      <c r="BP21" s="2268"/>
      <c r="BQ21" s="2268"/>
      <c r="BR21" s="2293"/>
      <c r="BS21" s="1982">
        <f>SUM(BK21:BQ21)</f>
        <v>0</v>
      </c>
      <c r="BT21" s="2268" t="e">
        <f t="shared" si="36"/>
        <v>#DIV/0!</v>
      </c>
      <c r="BU21" s="1984" t="e">
        <f>BT21-BS21</f>
        <v>#DIV/0!</v>
      </c>
      <c r="BV21" s="2293"/>
      <c r="BW21" s="2268"/>
      <c r="BX21" s="2268"/>
      <c r="BY21" s="2268"/>
      <c r="BZ21" s="2268"/>
      <c r="CA21" s="2268"/>
      <c r="CB21" s="2268"/>
      <c r="CC21" s="2268"/>
      <c r="CD21" s="2293"/>
      <c r="CE21" s="1982">
        <f>SUM(BW21:CC21)</f>
        <v>0</v>
      </c>
      <c r="CF21" s="2268" t="e">
        <f t="shared" si="37"/>
        <v>#DIV/0!</v>
      </c>
      <c r="CG21" s="1984" t="e">
        <f>CF21-CE21</f>
        <v>#DIV/0!</v>
      </c>
      <c r="CH21" s="4266"/>
      <c r="CI21" s="1728"/>
      <c r="CJ21" s="1728"/>
      <c r="CK21" s="1728"/>
      <c r="CL21" s="4266"/>
      <c r="CM21" s="1982">
        <f t="shared" si="38"/>
        <v>0</v>
      </c>
      <c r="CN21" s="2268" t="e">
        <f t="shared" si="39"/>
        <v>#DIV/0!</v>
      </c>
      <c r="CO21" s="1984" t="e">
        <f>CN21-CM21</f>
        <v>#DIV/0!</v>
      </c>
      <c r="CQ21" s="1732">
        <v>0</v>
      </c>
      <c r="CR21" s="1882">
        <f t="shared" si="40"/>
        <v>0</v>
      </c>
      <c r="CS21" s="1740"/>
      <c r="CT21" s="1734">
        <f t="shared" si="41"/>
        <v>102.72953076923076</v>
      </c>
      <c r="CU21" s="1918">
        <f t="shared" si="42"/>
        <v>0.22828784615384615</v>
      </c>
      <c r="CV21" s="1997"/>
      <c r="CW21" s="4265"/>
      <c r="CY21" s="1860"/>
      <c r="CZ21" s="1985">
        <v>44019</v>
      </c>
      <c r="DA21" s="1830"/>
      <c r="DB21" s="1817"/>
      <c r="DC21" s="1810"/>
      <c r="DD21" s="1810"/>
      <c r="DE21" s="1810"/>
      <c r="DF21" s="1810"/>
      <c r="DG21" s="1986"/>
      <c r="DH21" s="1810"/>
    </row>
    <row r="22" spans="5:199" s="1947" customFormat="1" x14ac:dyDescent="0.2">
      <c r="E22" s="4415">
        <v>1.0900000000000001</v>
      </c>
      <c r="F22" s="4415">
        <f t="shared" si="28"/>
        <v>1.1800000000000002</v>
      </c>
      <c r="G22" s="4421">
        <f t="shared" si="31"/>
        <v>247.80000000000004</v>
      </c>
      <c r="H22" s="1777" t="str">
        <f t="shared" ca="1" si="32"/>
        <v>=IF(E22&gt;1,1+(E22-1)*2,IF(E22&gt;95%,E22,LOOKUP(E22,$B$5:$B$9,$C$5:$C$9)))</v>
      </c>
      <c r="J22" s="2000">
        <v>15</v>
      </c>
      <c r="K22" s="4309"/>
      <c r="L22" s="4314" t="s">
        <v>282</v>
      </c>
      <c r="M22" s="4350"/>
      <c r="N22" s="1744"/>
      <c r="O22" s="1746">
        <v>0</v>
      </c>
      <c r="P22" s="2288"/>
      <c r="Q22" s="1746"/>
      <c r="R22" s="1746"/>
      <c r="S22" s="2288"/>
      <c r="T22" s="1746"/>
      <c r="U22" s="1746"/>
      <c r="V22" s="2288"/>
      <c r="W22" s="1746"/>
      <c r="X22" s="1746"/>
      <c r="Y22" s="2288"/>
      <c r="Z22" s="1746"/>
      <c r="AA22" s="1746"/>
      <c r="AB22" s="2288"/>
      <c r="AC22" s="1746"/>
      <c r="AD22" s="4139"/>
      <c r="AE22" s="1801"/>
      <c r="AF22" s="4144">
        <f t="shared" si="43"/>
        <v>0</v>
      </c>
      <c r="AG22" s="4148">
        <f t="shared" si="44"/>
        <v>0</v>
      </c>
      <c r="AH22" s="4144">
        <f t="shared" si="45"/>
        <v>0</v>
      </c>
      <c r="AI22" s="4158">
        <f t="shared" ref="AI22:AI54" si="46">AH22/5</f>
        <v>0</v>
      </c>
      <c r="AJ22" s="4154">
        <f t="shared" si="33"/>
        <v>0</v>
      </c>
      <c r="AK22" s="2003"/>
      <c r="AL22" s="1950"/>
      <c r="AM22" s="2001">
        <f>$AG$22</f>
        <v>0</v>
      </c>
      <c r="AN22" s="2001">
        <f>$AG$22</f>
        <v>0</v>
      </c>
      <c r="AO22" s="2001">
        <f>$AI$22</f>
        <v>0</v>
      </c>
      <c r="AP22" s="2001">
        <f>$AG$22</f>
        <v>0</v>
      </c>
      <c r="AQ22" s="2001">
        <f>$AG$22</f>
        <v>0</v>
      </c>
      <c r="AR22" s="2001">
        <f>$AG$22</f>
        <v>0</v>
      </c>
      <c r="AS22" s="2001">
        <f>$AG$22</f>
        <v>0</v>
      </c>
      <c r="AT22" s="1951"/>
      <c r="AU22" s="2004">
        <f>SUM(AM22:AS22)</f>
        <v>0</v>
      </c>
      <c r="AV22" s="2005">
        <f t="shared" si="34"/>
        <v>0</v>
      </c>
      <c r="AW22" s="2006">
        <f t="shared" ref="AW22:AW53" si="47">AV22-AU22</f>
        <v>0</v>
      </c>
      <c r="AX22" s="1955"/>
      <c r="AY22" s="2001"/>
      <c r="AZ22" s="2001"/>
      <c r="BA22" s="2001"/>
      <c r="BB22" s="2001"/>
      <c r="BC22" s="2001"/>
      <c r="BD22" s="2001"/>
      <c r="BE22" s="2001"/>
      <c r="BF22" s="1955"/>
      <c r="BG22" s="2004">
        <f t="shared" ref="BG22:BG54" si="48">SUM(AY22:BE22)</f>
        <v>0</v>
      </c>
      <c r="BH22" s="2005" t="e">
        <f t="shared" si="35"/>
        <v>#DIV/0!</v>
      </c>
      <c r="BI22" s="2006" t="e">
        <f t="shared" ref="BI22:BI54" si="49">BH22-BG22</f>
        <v>#DIV/0!</v>
      </c>
      <c r="BJ22" s="1955"/>
      <c r="BK22" s="2005"/>
      <c r="BL22" s="2005"/>
      <c r="BM22" s="2005"/>
      <c r="BN22" s="2005"/>
      <c r="BO22" s="2005"/>
      <c r="BP22" s="2005"/>
      <c r="BQ22" s="2005"/>
      <c r="BR22" s="2299"/>
      <c r="BS22" s="2004">
        <f t="shared" ref="BS22:BS54" si="50">SUM(BK22:BQ22)</f>
        <v>0</v>
      </c>
      <c r="BT22" s="2005" t="e">
        <f t="shared" si="36"/>
        <v>#DIV/0!</v>
      </c>
      <c r="BU22" s="2006" t="e">
        <f t="shared" ref="BU22:BU54" si="51">BT22-BS22</f>
        <v>#DIV/0!</v>
      </c>
      <c r="BV22" s="2299"/>
      <c r="BW22" s="2005"/>
      <c r="BX22" s="2005"/>
      <c r="BY22" s="2005"/>
      <c r="BZ22" s="2005"/>
      <c r="CA22" s="2005"/>
      <c r="CB22" s="2005"/>
      <c r="CC22" s="2005"/>
      <c r="CD22" s="2299"/>
      <c r="CE22" s="2004">
        <f t="shared" ref="CE22:CE54" si="52">SUM(BW22:CC22)</f>
        <v>0</v>
      </c>
      <c r="CF22" s="2005" t="e">
        <f t="shared" si="37"/>
        <v>#DIV/0!</v>
      </c>
      <c r="CG22" s="2006" t="e">
        <f t="shared" ref="CG22:CG54" si="53">CF22-CE22</f>
        <v>#DIV/0!</v>
      </c>
      <c r="CH22" s="1951"/>
      <c r="CI22" s="2001"/>
      <c r="CJ22" s="2001"/>
      <c r="CK22" s="2001"/>
      <c r="CL22" s="1951"/>
      <c r="CM22" s="2004">
        <f t="shared" si="38"/>
        <v>0</v>
      </c>
      <c r="CN22" s="2005" t="e">
        <f t="shared" si="39"/>
        <v>#DIV/0!</v>
      </c>
      <c r="CO22" s="2006" t="e">
        <f t="shared" ref="CO22" si="54">CN22-CM22</f>
        <v>#DIV/0!</v>
      </c>
      <c r="CQ22" s="4282">
        <v>0</v>
      </c>
      <c r="CR22" s="2008" t="e">
        <f t="shared" si="40"/>
        <v>#DIV/0!</v>
      </c>
      <c r="CS22" s="1959"/>
      <c r="CT22" s="1901">
        <f t="shared" si="41"/>
        <v>0</v>
      </c>
      <c r="CU22" s="1902" t="e">
        <f t="shared" si="42"/>
        <v>#DIV/0!</v>
      </c>
      <c r="CV22" s="1962"/>
      <c r="CW22" s="1905"/>
      <c r="CY22" s="4262"/>
      <c r="CZ22" s="2009">
        <v>44012</v>
      </c>
      <c r="DA22" s="2010"/>
      <c r="DB22" s="2011"/>
      <c r="DC22" s="1946"/>
      <c r="DD22" s="1946"/>
      <c r="DE22" s="1946"/>
      <c r="DF22" s="1946"/>
      <c r="DG22" s="2012"/>
      <c r="DH22" s="1946"/>
    </row>
    <row r="23" spans="5:199" s="1756" customFormat="1" x14ac:dyDescent="0.2">
      <c r="E23" s="4415">
        <v>1.1000000000000001</v>
      </c>
      <c r="F23" s="4415">
        <f t="shared" si="28"/>
        <v>1.2000000000000002</v>
      </c>
      <c r="G23" s="4421">
        <f t="shared" si="31"/>
        <v>252.00000000000003</v>
      </c>
      <c r="H23" s="1777" t="str">
        <f t="shared" ca="1" si="32"/>
        <v>=IF(E23&gt;1,1+(E23-1)*2,IF(E23&gt;95%,E23,LOOKUP(E23,$B$5:$B$9,$C$5:$C$9)))</v>
      </c>
      <c r="J23" s="1963">
        <v>16</v>
      </c>
      <c r="K23" s="4307"/>
      <c r="L23" s="4308" t="s">
        <v>239</v>
      </c>
      <c r="M23" s="4336"/>
      <c r="N23" s="1727"/>
      <c r="O23" s="1728">
        <v>200</v>
      </c>
      <c r="P23" s="2287"/>
      <c r="Q23" s="1728"/>
      <c r="R23" s="1728"/>
      <c r="S23" s="2287"/>
      <c r="T23" s="1728"/>
      <c r="U23" s="1728"/>
      <c r="V23" s="2287"/>
      <c r="W23" s="1728"/>
      <c r="X23" s="1728"/>
      <c r="Y23" s="2287"/>
      <c r="Z23" s="1728"/>
      <c r="AA23" s="1728"/>
      <c r="AB23" s="2287"/>
      <c r="AC23" s="1728"/>
      <c r="AD23" s="4138"/>
      <c r="AE23" s="4280"/>
      <c r="AF23" s="4142">
        <f t="shared" si="43"/>
        <v>183.87100000000001</v>
      </c>
      <c r="AG23" s="4143">
        <f t="shared" si="44"/>
        <v>7.0719615384615384</v>
      </c>
      <c r="AH23" s="4142">
        <f t="shared" si="45"/>
        <v>16.129000000000001</v>
      </c>
      <c r="AI23" s="4143">
        <f t="shared" si="46"/>
        <v>3.2258000000000004</v>
      </c>
      <c r="AJ23" s="4155">
        <f t="shared" si="33"/>
        <v>5.8001864759952039E-2</v>
      </c>
      <c r="AK23" s="1931"/>
      <c r="AL23" s="1924"/>
      <c r="AM23" s="1728">
        <f>$AG$23</f>
        <v>7.0719615384615384</v>
      </c>
      <c r="AN23" s="1728">
        <f>$AG$23</f>
        <v>7.0719615384615384</v>
      </c>
      <c r="AO23" s="1728">
        <f>$AI$23</f>
        <v>3.2258000000000004</v>
      </c>
      <c r="AP23" s="1728">
        <f>$AG$23</f>
        <v>7.0719615384615384</v>
      </c>
      <c r="AQ23" s="1728">
        <f>$AG$23</f>
        <v>7.0719615384615384</v>
      </c>
      <c r="AR23" s="1728">
        <f>$AG$23</f>
        <v>7.0719615384615384</v>
      </c>
      <c r="AS23" s="1728">
        <f>$AG$23</f>
        <v>7.0719615384615384</v>
      </c>
      <c r="AT23" s="4280"/>
      <c r="AU23" s="1982">
        <f t="shared" ref="AU23:AU96" si="55">SUM(AM23:AS23)</f>
        <v>45.657569230769226</v>
      </c>
      <c r="AV23" s="2268">
        <f t="shared" si="34"/>
        <v>71.260743032888513</v>
      </c>
      <c r="AW23" s="1984">
        <f t="shared" si="47"/>
        <v>25.603173802119287</v>
      </c>
      <c r="AX23" s="1764"/>
      <c r="AY23" s="1728"/>
      <c r="AZ23" s="1728"/>
      <c r="BA23" s="1728"/>
      <c r="BB23" s="1728"/>
      <c r="BC23" s="1728"/>
      <c r="BD23" s="1728"/>
      <c r="BE23" s="1728"/>
      <c r="BF23" s="1764"/>
      <c r="BG23" s="1982">
        <f t="shared" si="48"/>
        <v>0</v>
      </c>
      <c r="BH23" s="2268" t="e">
        <f t="shared" si="35"/>
        <v>#DIV/0!</v>
      </c>
      <c r="BI23" s="1984" t="e">
        <f t="shared" si="49"/>
        <v>#DIV/0!</v>
      </c>
      <c r="BJ23" s="1764"/>
      <c r="BK23" s="2268"/>
      <c r="BL23" s="2268"/>
      <c r="BM23" s="2268"/>
      <c r="BN23" s="2268"/>
      <c r="BO23" s="2268"/>
      <c r="BP23" s="2268"/>
      <c r="BQ23" s="2268"/>
      <c r="BR23" s="2289"/>
      <c r="BS23" s="1982">
        <f t="shared" si="50"/>
        <v>0</v>
      </c>
      <c r="BT23" s="2268" t="e">
        <f t="shared" si="36"/>
        <v>#DIV/0!</v>
      </c>
      <c r="BU23" s="1984" t="e">
        <f t="shared" si="51"/>
        <v>#DIV/0!</v>
      </c>
      <c r="BV23" s="2289"/>
      <c r="BW23" s="2268"/>
      <c r="BX23" s="2268"/>
      <c r="BY23" s="2268"/>
      <c r="BZ23" s="2268"/>
      <c r="CA23" s="2268"/>
      <c r="CB23" s="2268"/>
      <c r="CC23" s="2268"/>
      <c r="CD23" s="2289"/>
      <c r="CE23" s="1982">
        <f t="shared" si="52"/>
        <v>0</v>
      </c>
      <c r="CF23" s="2268" t="e">
        <f t="shared" si="37"/>
        <v>#DIV/0!</v>
      </c>
      <c r="CG23" s="1984" t="e">
        <f t="shared" si="53"/>
        <v>#DIV/0!</v>
      </c>
      <c r="CH23" s="4280"/>
      <c r="CI23" s="1728"/>
      <c r="CJ23" s="1728"/>
      <c r="CK23" s="1728"/>
      <c r="CL23" s="4280"/>
      <c r="CM23" s="1982">
        <f t="shared" si="38"/>
        <v>0</v>
      </c>
      <c r="CN23" s="2268" t="e">
        <f t="shared" si="39"/>
        <v>#DIV/0!</v>
      </c>
      <c r="CO23" s="1984" t="e">
        <f>CN23-CM23</f>
        <v>#DIV/0!</v>
      </c>
      <c r="CQ23" s="1735">
        <v>0</v>
      </c>
      <c r="CR23" s="1768">
        <f t="shared" si="40"/>
        <v>0</v>
      </c>
      <c r="CS23" s="4261"/>
      <c r="CT23" s="1763">
        <f t="shared" si="41"/>
        <v>45.657569230769226</v>
      </c>
      <c r="CU23" s="1883">
        <f t="shared" si="42"/>
        <v>0.22828784615384612</v>
      </c>
      <c r="CV23" s="1830"/>
      <c r="CW23" s="1761"/>
      <c r="CY23" s="4265"/>
      <c r="CZ23" s="1996">
        <f>CZ21-CZ22</f>
        <v>7</v>
      </c>
      <c r="DA23" s="1997"/>
      <c r="DB23" s="1861"/>
      <c r="DC23" s="1860"/>
      <c r="DD23" s="1860"/>
      <c r="DE23" s="1860"/>
      <c r="DF23" s="1860"/>
      <c r="DG23" s="1998"/>
      <c r="DH23" s="1860"/>
    </row>
    <row r="24" spans="5:199" s="1947" customFormat="1" x14ac:dyDescent="0.2">
      <c r="E24" s="4415">
        <v>1.1100000000000001</v>
      </c>
      <c r="F24" s="4415">
        <f t="shared" si="28"/>
        <v>1.2200000000000002</v>
      </c>
      <c r="G24" s="4421">
        <f t="shared" si="31"/>
        <v>256.20000000000005</v>
      </c>
      <c r="H24" s="1777" t="str">
        <f t="shared" ca="1" si="32"/>
        <v>=IF(E24&gt;1,1+(E24-1)*2,IF(E24&gt;95%,E24,LOOKUP(E24,$B$5:$B$9,$C$5:$C$9)))</v>
      </c>
      <c r="J24" s="2000">
        <v>17</v>
      </c>
      <c r="K24" s="4309"/>
      <c r="L24" s="4310" t="s">
        <v>283</v>
      </c>
      <c r="M24" s="4335"/>
      <c r="N24" s="1888"/>
      <c r="O24" s="2001">
        <v>193</v>
      </c>
      <c r="P24" s="3323"/>
      <c r="Q24" s="2001"/>
      <c r="R24" s="2001"/>
      <c r="S24" s="3323"/>
      <c r="T24" s="2001"/>
      <c r="U24" s="2001"/>
      <c r="V24" s="3323"/>
      <c r="W24" s="2001"/>
      <c r="X24" s="2001"/>
      <c r="Y24" s="3323"/>
      <c r="Z24" s="2001"/>
      <c r="AA24" s="2001"/>
      <c r="AB24" s="3323"/>
      <c r="AC24" s="2001"/>
      <c r="AD24" s="4140"/>
      <c r="AE24" s="1951"/>
      <c r="AF24" s="4144">
        <f t="shared" si="43"/>
        <v>177.43551500000001</v>
      </c>
      <c r="AG24" s="4148">
        <f t="shared" si="44"/>
        <v>6.8244428846153848</v>
      </c>
      <c r="AH24" s="4144">
        <f t="shared" si="45"/>
        <v>15.564485000000001</v>
      </c>
      <c r="AI24" s="4158">
        <f t="shared" si="46"/>
        <v>3.1128970000000002</v>
      </c>
      <c r="AJ24" s="4156">
        <f t="shared" si="33"/>
        <v>5.5971799493353722E-2</v>
      </c>
      <c r="AK24" s="2003"/>
      <c r="AL24" s="1950"/>
      <c r="AM24" s="2001">
        <f>$AG$24</f>
        <v>6.8244428846153848</v>
      </c>
      <c r="AN24" s="2001">
        <f>$AG$24</f>
        <v>6.8244428846153848</v>
      </c>
      <c r="AO24" s="2001">
        <f>$AI$24</f>
        <v>3.1128970000000002</v>
      </c>
      <c r="AP24" s="2001">
        <f>$AG$24</f>
        <v>6.8244428846153848</v>
      </c>
      <c r="AQ24" s="2001">
        <f>$AG$24</f>
        <v>6.8244428846153848</v>
      </c>
      <c r="AR24" s="2001">
        <f>$AG$24</f>
        <v>6.8244428846153848</v>
      </c>
      <c r="AS24" s="2001">
        <f>$AG$24</f>
        <v>6.8244428846153848</v>
      </c>
      <c r="AT24" s="1951"/>
      <c r="AU24" s="2004">
        <f t="shared" si="55"/>
        <v>44.059554307692316</v>
      </c>
      <c r="AV24" s="2005">
        <f t="shared" si="34"/>
        <v>68.766617026737435</v>
      </c>
      <c r="AW24" s="2006">
        <f t="shared" si="47"/>
        <v>24.707062719045119</v>
      </c>
      <c r="AX24" s="1955"/>
      <c r="AY24" s="2001"/>
      <c r="AZ24" s="2001"/>
      <c r="BA24" s="2001"/>
      <c r="BB24" s="2001"/>
      <c r="BC24" s="2001"/>
      <c r="BD24" s="2001"/>
      <c r="BE24" s="2001"/>
      <c r="BF24" s="1955"/>
      <c r="BG24" s="2004">
        <f t="shared" si="48"/>
        <v>0</v>
      </c>
      <c r="BH24" s="2005" t="e">
        <f t="shared" si="35"/>
        <v>#DIV/0!</v>
      </c>
      <c r="BI24" s="2006" t="e">
        <f t="shared" si="49"/>
        <v>#DIV/0!</v>
      </c>
      <c r="BJ24" s="1955"/>
      <c r="BK24" s="2005"/>
      <c r="BL24" s="2005"/>
      <c r="BM24" s="2005"/>
      <c r="BN24" s="2005"/>
      <c r="BO24" s="2005"/>
      <c r="BP24" s="2005"/>
      <c r="BQ24" s="2005"/>
      <c r="BR24" s="2299"/>
      <c r="BS24" s="2004">
        <f t="shared" si="50"/>
        <v>0</v>
      </c>
      <c r="BT24" s="2005" t="e">
        <f t="shared" si="36"/>
        <v>#DIV/0!</v>
      </c>
      <c r="BU24" s="2006" t="e">
        <f t="shared" si="51"/>
        <v>#DIV/0!</v>
      </c>
      <c r="BV24" s="2299"/>
      <c r="BW24" s="2005"/>
      <c r="BX24" s="2005"/>
      <c r="BY24" s="2005"/>
      <c r="BZ24" s="2005"/>
      <c r="CA24" s="2005"/>
      <c r="CB24" s="2005"/>
      <c r="CC24" s="2005"/>
      <c r="CD24" s="2299"/>
      <c r="CE24" s="2004">
        <f t="shared" si="52"/>
        <v>0</v>
      </c>
      <c r="CF24" s="2005" t="e">
        <f t="shared" si="37"/>
        <v>#DIV/0!</v>
      </c>
      <c r="CG24" s="2006" t="e">
        <f t="shared" si="53"/>
        <v>#DIV/0!</v>
      </c>
      <c r="CH24" s="1951"/>
      <c r="CI24" s="2001"/>
      <c r="CJ24" s="2001"/>
      <c r="CK24" s="2001"/>
      <c r="CL24" s="1951"/>
      <c r="CM24" s="2004">
        <f t="shared" si="38"/>
        <v>0</v>
      </c>
      <c r="CN24" s="2005" t="e">
        <f t="shared" si="39"/>
        <v>#DIV/0!</v>
      </c>
      <c r="CO24" s="2006" t="e">
        <f>CN24-CM24</f>
        <v>#DIV/0!</v>
      </c>
      <c r="CQ24" s="4282">
        <v>0</v>
      </c>
      <c r="CR24" s="2008">
        <f t="shared" si="40"/>
        <v>0</v>
      </c>
      <c r="CS24" s="1959"/>
      <c r="CT24" s="1901">
        <f t="shared" si="41"/>
        <v>44.059554307692316</v>
      </c>
      <c r="CU24" s="1902">
        <f t="shared" si="42"/>
        <v>0.2282878461538462</v>
      </c>
      <c r="CV24" s="1962"/>
      <c r="CW24" s="1905"/>
      <c r="CY24" s="4262"/>
      <c r="CZ24" s="2009">
        <v>44019</v>
      </c>
      <c r="DA24" s="2010"/>
      <c r="DB24" s="2011"/>
      <c r="DC24" s="1946"/>
      <c r="DD24" s="1946"/>
      <c r="DE24" s="1946"/>
      <c r="DF24" s="1946"/>
      <c r="DG24" s="2012"/>
      <c r="DH24" s="1946"/>
    </row>
    <row r="25" spans="5:199" s="1756" customFormat="1" x14ac:dyDescent="0.2">
      <c r="E25" s="4415">
        <v>1.1200000000000001</v>
      </c>
      <c r="F25" s="4415">
        <f t="shared" si="28"/>
        <v>1.2400000000000002</v>
      </c>
      <c r="G25" s="4421">
        <f t="shared" si="31"/>
        <v>260.40000000000003</v>
      </c>
      <c r="H25" s="1777" t="str">
        <f t="shared" ca="1" si="32"/>
        <v>=IF(E25&gt;1,1+(E25-1)*2,IF(E25&gt;95%,E25,LOOKUP(E25,$B$5:$B$9,$C$5:$C$9)))</v>
      </c>
      <c r="J25" s="1963">
        <v>18</v>
      </c>
      <c r="K25" s="4307"/>
      <c r="L25" s="4308" t="s">
        <v>268</v>
      </c>
      <c r="M25" s="4336"/>
      <c r="N25" s="1727"/>
      <c r="O25" s="1728">
        <v>0</v>
      </c>
      <c r="P25" s="2287"/>
      <c r="Q25" s="1728"/>
      <c r="R25" s="1728"/>
      <c r="S25" s="2287"/>
      <c r="T25" s="1728"/>
      <c r="U25" s="1728"/>
      <c r="V25" s="2287"/>
      <c r="W25" s="1728"/>
      <c r="X25" s="1728"/>
      <c r="Y25" s="2287"/>
      <c r="Z25" s="1728"/>
      <c r="AA25" s="1728"/>
      <c r="AB25" s="2287"/>
      <c r="AC25" s="1728"/>
      <c r="AD25" s="4138"/>
      <c r="AE25" s="4280"/>
      <c r="AF25" s="4142">
        <f t="shared" si="43"/>
        <v>0</v>
      </c>
      <c r="AG25" s="4143">
        <f t="shared" si="44"/>
        <v>0</v>
      </c>
      <c r="AH25" s="4142">
        <f t="shared" si="45"/>
        <v>0</v>
      </c>
      <c r="AI25" s="4143">
        <f t="shared" si="46"/>
        <v>0</v>
      </c>
      <c r="AJ25" s="4155">
        <f t="shared" si="33"/>
        <v>0</v>
      </c>
      <c r="AK25" s="1931"/>
      <c r="AL25" s="1924"/>
      <c r="AM25" s="1728">
        <f>$AG$25</f>
        <v>0</v>
      </c>
      <c r="AN25" s="1728">
        <f>$AG$25</f>
        <v>0</v>
      </c>
      <c r="AO25" s="1728">
        <f>$AI$25</f>
        <v>0</v>
      </c>
      <c r="AP25" s="1728">
        <f>$AG$25</f>
        <v>0</v>
      </c>
      <c r="AQ25" s="1728">
        <f>$AG$25</f>
        <v>0</v>
      </c>
      <c r="AR25" s="1728">
        <f>$AG$25</f>
        <v>0</v>
      </c>
      <c r="AS25" s="1728">
        <f>$AG$25</f>
        <v>0</v>
      </c>
      <c r="AT25" s="4280"/>
      <c r="AU25" s="1982">
        <f t="shared" si="55"/>
        <v>0</v>
      </c>
      <c r="AV25" s="2268">
        <f t="shared" si="34"/>
        <v>0</v>
      </c>
      <c r="AW25" s="1984">
        <f t="shared" si="47"/>
        <v>0</v>
      </c>
      <c r="AX25" s="1764"/>
      <c r="AY25" s="1728"/>
      <c r="AZ25" s="1728"/>
      <c r="BA25" s="1728"/>
      <c r="BB25" s="1728"/>
      <c r="BC25" s="1728"/>
      <c r="BD25" s="1728"/>
      <c r="BE25" s="1728"/>
      <c r="BF25" s="1764"/>
      <c r="BG25" s="1982">
        <f t="shared" si="48"/>
        <v>0</v>
      </c>
      <c r="BH25" s="2268" t="e">
        <f t="shared" si="35"/>
        <v>#DIV/0!</v>
      </c>
      <c r="BI25" s="1984" t="e">
        <f t="shared" si="49"/>
        <v>#DIV/0!</v>
      </c>
      <c r="BJ25" s="1764"/>
      <c r="BK25" s="2268"/>
      <c r="BL25" s="2268"/>
      <c r="BM25" s="2268"/>
      <c r="BN25" s="2268"/>
      <c r="BO25" s="2268"/>
      <c r="BP25" s="2268"/>
      <c r="BQ25" s="2268"/>
      <c r="BR25" s="2289"/>
      <c r="BS25" s="1982">
        <f t="shared" si="50"/>
        <v>0</v>
      </c>
      <c r="BT25" s="2268" t="e">
        <f t="shared" si="36"/>
        <v>#DIV/0!</v>
      </c>
      <c r="BU25" s="1984" t="e">
        <f t="shared" si="51"/>
        <v>#DIV/0!</v>
      </c>
      <c r="BV25" s="2289"/>
      <c r="BW25" s="2268"/>
      <c r="BX25" s="2268"/>
      <c r="BY25" s="2268"/>
      <c r="BZ25" s="2268"/>
      <c r="CA25" s="2268"/>
      <c r="CB25" s="2268"/>
      <c r="CC25" s="2268"/>
      <c r="CD25" s="2289"/>
      <c r="CE25" s="1982">
        <f t="shared" si="52"/>
        <v>0</v>
      </c>
      <c r="CF25" s="2268" t="e">
        <f t="shared" si="37"/>
        <v>#DIV/0!</v>
      </c>
      <c r="CG25" s="1984" t="e">
        <f t="shared" si="53"/>
        <v>#DIV/0!</v>
      </c>
      <c r="CH25" s="4280"/>
      <c r="CI25" s="1728"/>
      <c r="CJ25" s="1728"/>
      <c r="CK25" s="1728"/>
      <c r="CL25" s="4280"/>
      <c r="CM25" s="1982">
        <f t="shared" si="38"/>
        <v>0</v>
      </c>
      <c r="CN25" s="2268" t="e">
        <f t="shared" si="39"/>
        <v>#DIV/0!</v>
      </c>
      <c r="CO25" s="1984" t="e">
        <f>CN25-CM25</f>
        <v>#DIV/0!</v>
      </c>
      <c r="CQ25" s="1735">
        <v>0</v>
      </c>
      <c r="CR25" s="1768" t="e">
        <f t="shared" si="40"/>
        <v>#DIV/0!</v>
      </c>
      <c r="CS25" s="4261"/>
      <c r="CT25" s="1763">
        <f t="shared" si="41"/>
        <v>0</v>
      </c>
      <c r="CU25" s="1883" t="e">
        <f t="shared" si="42"/>
        <v>#DIV/0!</v>
      </c>
      <c r="CV25" s="1830"/>
      <c r="CW25" s="1761"/>
      <c r="CY25" s="4265"/>
      <c r="CZ25" s="2015">
        <v>44043</v>
      </c>
      <c r="DA25" s="1997"/>
      <c r="DB25" s="1861"/>
      <c r="DC25" s="1860"/>
      <c r="DD25" s="1860"/>
      <c r="DE25" s="1860"/>
      <c r="DF25" s="1860"/>
      <c r="DG25" s="1998"/>
      <c r="DH25" s="1860"/>
    </row>
    <row r="26" spans="5:199" s="1947" customFormat="1" x14ac:dyDescent="0.2">
      <c r="E26" s="4415">
        <v>1.1299999999999999</v>
      </c>
      <c r="F26" s="4415">
        <f t="shared" si="28"/>
        <v>1.2599999999999998</v>
      </c>
      <c r="G26" s="4421">
        <f t="shared" si="31"/>
        <v>264.59999999999997</v>
      </c>
      <c r="H26" s="1777" t="str">
        <f t="shared" ca="1" si="32"/>
        <v>=IF(E26&gt;1,1+(E26-1)*2,IF(E26&gt;95%,E26,LOOKUP(E26,$B$5:$B$9,$C$5:$C$9)))</v>
      </c>
      <c r="J26" s="2000">
        <v>19</v>
      </c>
      <c r="K26" s="4309"/>
      <c r="L26" s="4310" t="s">
        <v>211</v>
      </c>
      <c r="M26" s="4335"/>
      <c r="N26" s="1888"/>
      <c r="O26" s="2001">
        <v>196.61500000000001</v>
      </c>
      <c r="P26" s="3323"/>
      <c r="Q26" s="2001"/>
      <c r="R26" s="2001"/>
      <c r="S26" s="3323"/>
      <c r="T26" s="2001"/>
      <c r="U26" s="2001"/>
      <c r="V26" s="3323"/>
      <c r="W26" s="2001"/>
      <c r="X26" s="2001"/>
      <c r="Y26" s="3323"/>
      <c r="Z26" s="2001"/>
      <c r="AA26" s="2001"/>
      <c r="AB26" s="3323"/>
      <c r="AC26" s="2001"/>
      <c r="AD26" s="4140"/>
      <c r="AE26" s="1951"/>
      <c r="AF26" s="4144">
        <f t="shared" si="43"/>
        <v>180.758983325</v>
      </c>
      <c r="AG26" s="4148">
        <f t="shared" si="44"/>
        <v>6.9522685894230767</v>
      </c>
      <c r="AH26" s="4144">
        <f t="shared" si="45"/>
        <v>15.856016675000003</v>
      </c>
      <c r="AI26" s="4158">
        <f t="shared" si="46"/>
        <v>3.1712033350000004</v>
      </c>
      <c r="AJ26" s="4156">
        <f t="shared" si="33"/>
        <v>5.7020183198889858E-2</v>
      </c>
      <c r="AK26" s="2003"/>
      <c r="AL26" s="1950"/>
      <c r="AM26" s="2001">
        <f>$AG$26</f>
        <v>6.9522685894230767</v>
      </c>
      <c r="AN26" s="2001">
        <f>$AG$26</f>
        <v>6.9522685894230767</v>
      </c>
      <c r="AO26" s="2001">
        <f>$AI$26</f>
        <v>3.1712033350000004</v>
      </c>
      <c r="AP26" s="2001">
        <f>$AG$26</f>
        <v>6.9522685894230767</v>
      </c>
      <c r="AQ26" s="2001">
        <f>$AG$26</f>
        <v>6.9522685894230767</v>
      </c>
      <c r="AR26" s="2001">
        <f>$AG$26</f>
        <v>6.9522685894230767</v>
      </c>
      <c r="AS26" s="2001">
        <f>$AG$26</f>
        <v>6.9522685894230767</v>
      </c>
      <c r="AT26" s="1951"/>
      <c r="AU26" s="2004">
        <f t="shared" si="55"/>
        <v>44.88481487153846</v>
      </c>
      <c r="AV26" s="2005">
        <f t="shared" si="34"/>
        <v>70.054654957056897</v>
      </c>
      <c r="AW26" s="2006">
        <f t="shared" si="47"/>
        <v>25.169840085518437</v>
      </c>
      <c r="AX26" s="1955"/>
      <c r="AY26" s="2001"/>
      <c r="AZ26" s="2001"/>
      <c r="BA26" s="2001"/>
      <c r="BB26" s="2001"/>
      <c r="BC26" s="2001"/>
      <c r="BD26" s="2001"/>
      <c r="BE26" s="2001"/>
      <c r="BF26" s="1955"/>
      <c r="BG26" s="2004">
        <f t="shared" si="48"/>
        <v>0</v>
      </c>
      <c r="BH26" s="2005" t="e">
        <f t="shared" si="35"/>
        <v>#DIV/0!</v>
      </c>
      <c r="BI26" s="2006" t="e">
        <f t="shared" si="49"/>
        <v>#DIV/0!</v>
      </c>
      <c r="BJ26" s="1955"/>
      <c r="BK26" s="2005"/>
      <c r="BL26" s="2005"/>
      <c r="BM26" s="2005"/>
      <c r="BN26" s="2005"/>
      <c r="BO26" s="2005"/>
      <c r="BP26" s="2005"/>
      <c r="BQ26" s="2005"/>
      <c r="BR26" s="2299"/>
      <c r="BS26" s="2004">
        <f t="shared" si="50"/>
        <v>0</v>
      </c>
      <c r="BT26" s="2005" t="e">
        <f t="shared" si="36"/>
        <v>#DIV/0!</v>
      </c>
      <c r="BU26" s="2006" t="e">
        <f t="shared" si="51"/>
        <v>#DIV/0!</v>
      </c>
      <c r="BV26" s="2299"/>
      <c r="BW26" s="2005"/>
      <c r="BX26" s="2005"/>
      <c r="BY26" s="2005"/>
      <c r="BZ26" s="2005"/>
      <c r="CA26" s="2005"/>
      <c r="CB26" s="2005"/>
      <c r="CC26" s="2005"/>
      <c r="CD26" s="2299"/>
      <c r="CE26" s="2004">
        <f t="shared" si="52"/>
        <v>0</v>
      </c>
      <c r="CF26" s="2005" t="e">
        <f t="shared" si="37"/>
        <v>#DIV/0!</v>
      </c>
      <c r="CG26" s="2006" t="e">
        <f t="shared" si="53"/>
        <v>#DIV/0!</v>
      </c>
      <c r="CH26" s="1951"/>
      <c r="CI26" s="2001"/>
      <c r="CJ26" s="2001"/>
      <c r="CK26" s="2001"/>
      <c r="CL26" s="1951"/>
      <c r="CM26" s="2004">
        <f t="shared" si="38"/>
        <v>0</v>
      </c>
      <c r="CN26" s="2005" t="e">
        <f t="shared" si="39"/>
        <v>#DIV/0!</v>
      </c>
      <c r="CO26" s="2006" t="e">
        <f>CN26-CM26</f>
        <v>#DIV/0!</v>
      </c>
      <c r="CQ26" s="4282">
        <v>0</v>
      </c>
      <c r="CR26" s="2008">
        <f t="shared" si="40"/>
        <v>0</v>
      </c>
      <c r="CS26" s="1959"/>
      <c r="CT26" s="1901">
        <f t="shared" si="41"/>
        <v>44.88481487153846</v>
      </c>
      <c r="CU26" s="1902">
        <f t="shared" si="42"/>
        <v>0.22828784615384615</v>
      </c>
      <c r="CV26" s="1962"/>
      <c r="CW26" s="1905"/>
      <c r="CY26" s="4262"/>
      <c r="CZ26" s="2479">
        <f>CZ25-CZ24</f>
        <v>24</v>
      </c>
      <c r="DA26" s="2010"/>
      <c r="DB26" s="2011"/>
      <c r="DC26" s="1946"/>
      <c r="DD26" s="1946"/>
      <c r="DE26" s="1946"/>
      <c r="DF26" s="1946"/>
      <c r="DG26" s="2012"/>
      <c r="DH26" s="1946"/>
    </row>
    <row r="27" spans="5:199" s="1756" customFormat="1" x14ac:dyDescent="0.2">
      <c r="E27" s="4415">
        <v>1.1399999999999999</v>
      </c>
      <c r="F27" s="4415">
        <f t="shared" si="28"/>
        <v>1.2799999999999998</v>
      </c>
      <c r="G27" s="4421">
        <f t="shared" si="31"/>
        <v>268.79999999999995</v>
      </c>
      <c r="H27" s="1777" t="str">
        <f t="shared" ca="1" si="32"/>
        <v>=IF(E27&gt;1,1+(E27-1)*2,IF(E27&gt;95%,E27,LOOKUP(E27,$B$5:$B$9,$C$5:$C$9)))</v>
      </c>
      <c r="J27" s="1963">
        <v>20</v>
      </c>
      <c r="K27" s="4307"/>
      <c r="L27" s="4308" t="s">
        <v>255</v>
      </c>
      <c r="M27" s="4336"/>
      <c r="N27" s="1727"/>
      <c r="O27" s="1728">
        <v>75</v>
      </c>
      <c r="P27" s="2287"/>
      <c r="Q27" s="1728"/>
      <c r="R27" s="1728"/>
      <c r="S27" s="2287"/>
      <c r="T27" s="1728"/>
      <c r="U27" s="1728"/>
      <c r="V27" s="2287"/>
      <c r="W27" s="1728"/>
      <c r="X27" s="1728"/>
      <c r="Y27" s="2287"/>
      <c r="Z27" s="1728"/>
      <c r="AA27" s="1728"/>
      <c r="AB27" s="2287"/>
      <c r="AC27" s="1728"/>
      <c r="AD27" s="4138"/>
      <c r="AE27" s="4280"/>
      <c r="AF27" s="4142">
        <f t="shared" si="43"/>
        <v>68.951624999999993</v>
      </c>
      <c r="AG27" s="4143">
        <f t="shared" si="44"/>
        <v>2.6519855769230767</v>
      </c>
      <c r="AH27" s="4142">
        <f t="shared" si="45"/>
        <v>6.0483750000000009</v>
      </c>
      <c r="AI27" s="4143">
        <f t="shared" si="46"/>
        <v>1.2096750000000003</v>
      </c>
      <c r="AJ27" s="4155">
        <f t="shared" si="33"/>
        <v>2.1750699284982015E-2</v>
      </c>
      <c r="AK27" s="1931"/>
      <c r="AL27" s="1924"/>
      <c r="AM27" s="1728">
        <f>$AG$27</f>
        <v>2.6519855769230767</v>
      </c>
      <c r="AN27" s="1728">
        <f>$AG$27</f>
        <v>2.6519855769230767</v>
      </c>
      <c r="AO27" s="1728">
        <f>$AI$27</f>
        <v>1.2096750000000003</v>
      </c>
      <c r="AP27" s="1728">
        <f>$AG$27</f>
        <v>2.6519855769230767</v>
      </c>
      <c r="AQ27" s="1728">
        <f>$AG$27</f>
        <v>2.6519855769230767</v>
      </c>
      <c r="AR27" s="1728">
        <f>$AG$27</f>
        <v>2.6519855769230767</v>
      </c>
      <c r="AS27" s="1728">
        <f>$AG$27</f>
        <v>2.6519855769230767</v>
      </c>
      <c r="AT27" s="4280"/>
      <c r="AU27" s="1982">
        <f t="shared" si="55"/>
        <v>17.121588461538458</v>
      </c>
      <c r="AV27" s="2268">
        <f t="shared" si="34"/>
        <v>26.722778637333196</v>
      </c>
      <c r="AW27" s="1984">
        <f t="shared" si="47"/>
        <v>9.6011901757947378</v>
      </c>
      <c r="AX27" s="1764"/>
      <c r="AY27" s="1728"/>
      <c r="AZ27" s="1728"/>
      <c r="BA27" s="1728"/>
      <c r="BB27" s="1728"/>
      <c r="BC27" s="1728"/>
      <c r="BD27" s="1728"/>
      <c r="BE27" s="1728"/>
      <c r="BF27" s="1764"/>
      <c r="BG27" s="1982">
        <f t="shared" si="48"/>
        <v>0</v>
      </c>
      <c r="BH27" s="2268" t="e">
        <f t="shared" si="35"/>
        <v>#DIV/0!</v>
      </c>
      <c r="BI27" s="1984" t="e">
        <f t="shared" si="49"/>
        <v>#DIV/0!</v>
      </c>
      <c r="BJ27" s="1764"/>
      <c r="BK27" s="2268"/>
      <c r="BL27" s="2268"/>
      <c r="BM27" s="2268"/>
      <c r="BN27" s="2268"/>
      <c r="BO27" s="2268"/>
      <c r="BP27" s="2268"/>
      <c r="BQ27" s="2268"/>
      <c r="BR27" s="2289"/>
      <c r="BS27" s="1982">
        <f t="shared" si="50"/>
        <v>0</v>
      </c>
      <c r="BT27" s="2268" t="e">
        <f t="shared" si="36"/>
        <v>#DIV/0!</v>
      </c>
      <c r="BU27" s="1984" t="e">
        <f t="shared" si="51"/>
        <v>#DIV/0!</v>
      </c>
      <c r="BV27" s="2289"/>
      <c r="BW27" s="2268"/>
      <c r="BX27" s="2268"/>
      <c r="BY27" s="2268"/>
      <c r="BZ27" s="2268"/>
      <c r="CA27" s="2268"/>
      <c r="CB27" s="2268"/>
      <c r="CC27" s="2268"/>
      <c r="CD27" s="2289"/>
      <c r="CE27" s="1982">
        <f t="shared" si="52"/>
        <v>0</v>
      </c>
      <c r="CF27" s="2268" t="e">
        <f t="shared" si="37"/>
        <v>#DIV/0!</v>
      </c>
      <c r="CG27" s="1984" t="e">
        <f t="shared" si="53"/>
        <v>#DIV/0!</v>
      </c>
      <c r="CH27" s="4280"/>
      <c r="CI27" s="1728"/>
      <c r="CJ27" s="1728"/>
      <c r="CK27" s="1728"/>
      <c r="CL27" s="4280"/>
      <c r="CM27" s="1982">
        <f t="shared" si="38"/>
        <v>0</v>
      </c>
      <c r="CN27" s="2268" t="e">
        <f t="shared" si="39"/>
        <v>#DIV/0!</v>
      </c>
      <c r="CO27" s="1984" t="e">
        <f t="shared" ref="CO27:CO54" si="56">CN27-CM27</f>
        <v>#DIV/0!</v>
      </c>
      <c r="CQ27" s="1735">
        <v>0</v>
      </c>
      <c r="CR27" s="1768">
        <f t="shared" si="40"/>
        <v>0</v>
      </c>
      <c r="CS27" s="4261"/>
      <c r="CT27" s="1763">
        <f t="shared" si="41"/>
        <v>17.121588461538458</v>
      </c>
      <c r="CU27" s="1883">
        <f t="shared" si="42"/>
        <v>0.22828784615384612</v>
      </c>
      <c r="CV27" s="1830"/>
      <c r="CW27" s="1761"/>
      <c r="CY27" s="4265"/>
      <c r="CZ27" s="1985"/>
      <c r="DA27" s="1997"/>
      <c r="DB27" s="1861"/>
      <c r="DC27" s="1860"/>
      <c r="DD27" s="1860"/>
      <c r="DE27" s="1860"/>
      <c r="DF27" s="1860"/>
      <c r="DG27" s="1998"/>
      <c r="DH27" s="1860"/>
    </row>
    <row r="28" spans="5:199" s="1947" customFormat="1" x14ac:dyDescent="0.2">
      <c r="E28" s="4415">
        <v>1.1499999999999999</v>
      </c>
      <c r="F28" s="4415">
        <f t="shared" si="28"/>
        <v>1.2999999999999998</v>
      </c>
      <c r="G28" s="4421">
        <f t="shared" si="31"/>
        <v>272.99999999999994</v>
      </c>
      <c r="H28" s="1777" t="str">
        <f t="shared" ca="1" si="32"/>
        <v>=IF(E28&gt;1,1+(E28-1)*2,IF(E28&gt;95%,E28,LOOKUP(E28,$B$5:$B$9,$C$5:$C$9)))</v>
      </c>
      <c r="J28" s="2000">
        <v>21</v>
      </c>
      <c r="K28" s="4309"/>
      <c r="L28" s="4310" t="s">
        <v>235</v>
      </c>
      <c r="M28" s="4335"/>
      <c r="N28" s="1888"/>
      <c r="O28" s="2001">
        <v>50</v>
      </c>
      <c r="P28" s="3323"/>
      <c r="Q28" s="2001"/>
      <c r="R28" s="2001"/>
      <c r="S28" s="3323"/>
      <c r="T28" s="2001"/>
      <c r="U28" s="2001"/>
      <c r="V28" s="3323"/>
      <c r="W28" s="2001"/>
      <c r="X28" s="2001"/>
      <c r="Y28" s="3323"/>
      <c r="Z28" s="2001"/>
      <c r="AA28" s="2001"/>
      <c r="AB28" s="3323"/>
      <c r="AC28" s="2001"/>
      <c r="AD28" s="4140"/>
      <c r="AE28" s="1951"/>
      <c r="AF28" s="4144">
        <f t="shared" si="43"/>
        <v>45.967750000000002</v>
      </c>
      <c r="AG28" s="4148">
        <f t="shared" si="44"/>
        <v>1.7679903846153846</v>
      </c>
      <c r="AH28" s="4144">
        <f t="shared" si="45"/>
        <v>4.0322500000000003</v>
      </c>
      <c r="AI28" s="4158">
        <f t="shared" si="46"/>
        <v>0.80645000000000011</v>
      </c>
      <c r="AJ28" s="4156">
        <f t="shared" si="33"/>
        <v>1.450046618998801E-2</v>
      </c>
      <c r="AK28" s="2003"/>
      <c r="AL28" s="1950"/>
      <c r="AM28" s="2001">
        <f>$AG$28</f>
        <v>1.7679903846153846</v>
      </c>
      <c r="AN28" s="2001">
        <f>$AG$28</f>
        <v>1.7679903846153846</v>
      </c>
      <c r="AO28" s="2001">
        <f>$AI$28</f>
        <v>0.80645000000000011</v>
      </c>
      <c r="AP28" s="2001">
        <f>$AG$28</f>
        <v>1.7679903846153846</v>
      </c>
      <c r="AQ28" s="2001">
        <f>$AG$28</f>
        <v>1.7679903846153846</v>
      </c>
      <c r="AR28" s="2001">
        <f>$AG$28</f>
        <v>1.7679903846153846</v>
      </c>
      <c r="AS28" s="2001">
        <f>$AG$28</f>
        <v>1.7679903846153846</v>
      </c>
      <c r="AT28" s="1951"/>
      <c r="AU28" s="2004">
        <f t="shared" si="55"/>
        <v>11.414392307692307</v>
      </c>
      <c r="AV28" s="2005">
        <f t="shared" si="34"/>
        <v>17.815185758222128</v>
      </c>
      <c r="AW28" s="2006">
        <f t="shared" si="47"/>
        <v>6.4007934505298216</v>
      </c>
      <c r="AX28" s="1955"/>
      <c r="AY28" s="2001"/>
      <c r="AZ28" s="2001"/>
      <c r="BA28" s="2001"/>
      <c r="BB28" s="2001"/>
      <c r="BC28" s="2001"/>
      <c r="BD28" s="2001"/>
      <c r="BE28" s="2001"/>
      <c r="BF28" s="1955"/>
      <c r="BG28" s="2004">
        <f t="shared" si="48"/>
        <v>0</v>
      </c>
      <c r="BH28" s="2005" t="e">
        <f t="shared" si="35"/>
        <v>#DIV/0!</v>
      </c>
      <c r="BI28" s="2006" t="e">
        <f t="shared" si="49"/>
        <v>#DIV/0!</v>
      </c>
      <c r="BJ28" s="1955"/>
      <c r="BK28" s="2005"/>
      <c r="BL28" s="2005"/>
      <c r="BM28" s="2005"/>
      <c r="BN28" s="2005"/>
      <c r="BO28" s="2005"/>
      <c r="BP28" s="2005"/>
      <c r="BQ28" s="2005"/>
      <c r="BR28" s="2299"/>
      <c r="BS28" s="2004">
        <f t="shared" si="50"/>
        <v>0</v>
      </c>
      <c r="BT28" s="2005" t="e">
        <f t="shared" si="36"/>
        <v>#DIV/0!</v>
      </c>
      <c r="BU28" s="2006" t="e">
        <f t="shared" si="51"/>
        <v>#DIV/0!</v>
      </c>
      <c r="BV28" s="2299"/>
      <c r="BW28" s="2005"/>
      <c r="BX28" s="2005"/>
      <c r="BY28" s="2005"/>
      <c r="BZ28" s="2005"/>
      <c r="CA28" s="2005"/>
      <c r="CB28" s="2005"/>
      <c r="CC28" s="2005"/>
      <c r="CD28" s="2299"/>
      <c r="CE28" s="2004">
        <f t="shared" si="52"/>
        <v>0</v>
      </c>
      <c r="CF28" s="2005" t="e">
        <f t="shared" si="37"/>
        <v>#DIV/0!</v>
      </c>
      <c r="CG28" s="2006" t="e">
        <f t="shared" si="53"/>
        <v>#DIV/0!</v>
      </c>
      <c r="CH28" s="1951"/>
      <c r="CI28" s="2001"/>
      <c r="CJ28" s="2001"/>
      <c r="CK28" s="2001"/>
      <c r="CL28" s="1951"/>
      <c r="CM28" s="2004">
        <f t="shared" si="38"/>
        <v>0</v>
      </c>
      <c r="CN28" s="2005" t="e">
        <f t="shared" si="39"/>
        <v>#DIV/0!</v>
      </c>
      <c r="CO28" s="2006" t="e">
        <f t="shared" si="56"/>
        <v>#DIV/0!</v>
      </c>
      <c r="CQ28" s="4282">
        <v>0</v>
      </c>
      <c r="CR28" s="2008">
        <f t="shared" si="40"/>
        <v>0</v>
      </c>
      <c r="CS28" s="1959"/>
      <c r="CT28" s="1901">
        <f t="shared" si="41"/>
        <v>11.414392307692307</v>
      </c>
      <c r="CU28" s="1902">
        <f t="shared" si="42"/>
        <v>0.22828784615384612</v>
      </c>
      <c r="CV28" s="1962"/>
      <c r="CW28" s="1905"/>
      <c r="CY28" s="4262"/>
      <c r="CZ28" s="2488"/>
      <c r="DA28" s="2010" t="s">
        <v>157</v>
      </c>
      <c r="DB28" s="2490">
        <f>CT1</f>
        <v>0.22580645161290322</v>
      </c>
      <c r="DC28" s="1946"/>
      <c r="DD28" s="1946"/>
      <c r="DE28" s="1946"/>
      <c r="DF28" s="1946"/>
      <c r="DG28" s="2012"/>
      <c r="DH28" s="1946"/>
    </row>
    <row r="29" spans="5:199" s="1726" customFormat="1" ht="17.25" thickBot="1" x14ac:dyDescent="0.25">
      <c r="E29" s="4415">
        <v>1.1599999999999999</v>
      </c>
      <c r="F29" s="4415">
        <f t="shared" si="28"/>
        <v>1.3199999999999998</v>
      </c>
      <c r="G29" s="4421">
        <f t="shared" si="31"/>
        <v>277.2</v>
      </c>
      <c r="H29" s="1777" t="str">
        <f t="shared" ca="1" si="32"/>
        <v>=IF(E29&gt;1,1+(E29-1)*2,IF(E29&gt;95%,E29,LOOKUP(E29,$B$5:$B$9,$C$5:$C$9)))</v>
      </c>
      <c r="I29" s="1756"/>
      <c r="J29" s="2508">
        <v>22</v>
      </c>
      <c r="K29" s="4313"/>
      <c r="L29" s="4317" t="s">
        <v>202</v>
      </c>
      <c r="M29" s="4336"/>
      <c r="N29" s="1727"/>
      <c r="O29" s="4285">
        <v>50</v>
      </c>
      <c r="P29" s="2287"/>
      <c r="Q29" s="4285"/>
      <c r="R29" s="4285"/>
      <c r="S29" s="2287"/>
      <c r="T29" s="4285"/>
      <c r="U29" s="4285"/>
      <c r="V29" s="2287"/>
      <c r="W29" s="4285"/>
      <c r="X29" s="4285"/>
      <c r="Y29" s="2287"/>
      <c r="Z29" s="4285"/>
      <c r="AA29" s="4285"/>
      <c r="AB29" s="2287"/>
      <c r="AC29" s="4285"/>
      <c r="AD29" s="4318"/>
      <c r="AE29" s="4280"/>
      <c r="AF29" s="4319">
        <f t="shared" si="43"/>
        <v>45.967750000000002</v>
      </c>
      <c r="AG29" s="4320">
        <f t="shared" si="44"/>
        <v>1.7679903846153846</v>
      </c>
      <c r="AH29" s="4319">
        <f t="shared" si="45"/>
        <v>4.0322500000000003</v>
      </c>
      <c r="AI29" s="4320">
        <f t="shared" si="46"/>
        <v>0.80645000000000011</v>
      </c>
      <c r="AJ29" s="4321">
        <f t="shared" si="33"/>
        <v>1.450046618998801E-2</v>
      </c>
      <c r="AK29" s="1931"/>
      <c r="AL29" s="1877"/>
      <c r="AM29" s="4285">
        <f>$AG$29</f>
        <v>1.7679903846153846</v>
      </c>
      <c r="AN29" s="4285">
        <f>$AG$29</f>
        <v>1.7679903846153846</v>
      </c>
      <c r="AO29" s="4285">
        <f>$AI$29</f>
        <v>0.80645000000000011</v>
      </c>
      <c r="AP29" s="4285">
        <f>$AG$29</f>
        <v>1.7679903846153846</v>
      </c>
      <c r="AQ29" s="4285">
        <f>$AG$29</f>
        <v>1.7679903846153846</v>
      </c>
      <c r="AR29" s="4285">
        <f>$AG$29</f>
        <v>1.7679903846153846</v>
      </c>
      <c r="AS29" s="4285">
        <f>$AG$29</f>
        <v>1.7679903846153846</v>
      </c>
      <c r="AT29" s="4266"/>
      <c r="AU29" s="2016">
        <f t="shared" si="55"/>
        <v>11.414392307692307</v>
      </c>
      <c r="AV29" s="2017">
        <f t="shared" si="34"/>
        <v>17.815185758222128</v>
      </c>
      <c r="AW29" s="2018">
        <f t="shared" si="47"/>
        <v>6.4007934505298216</v>
      </c>
      <c r="AX29" s="1881"/>
      <c r="AY29" s="4285"/>
      <c r="AZ29" s="4285"/>
      <c r="BA29" s="4285"/>
      <c r="BB29" s="4285"/>
      <c r="BC29" s="4285"/>
      <c r="BD29" s="4285"/>
      <c r="BE29" s="4285"/>
      <c r="BF29" s="1881"/>
      <c r="BG29" s="2016">
        <f t="shared" si="48"/>
        <v>0</v>
      </c>
      <c r="BH29" s="2017" t="e">
        <f t="shared" si="35"/>
        <v>#DIV/0!</v>
      </c>
      <c r="BI29" s="2018" t="e">
        <f t="shared" si="49"/>
        <v>#DIV/0!</v>
      </c>
      <c r="BJ29" s="1881"/>
      <c r="BK29" s="2017"/>
      <c r="BL29" s="2017"/>
      <c r="BM29" s="2017"/>
      <c r="BN29" s="2017"/>
      <c r="BO29" s="2017"/>
      <c r="BP29" s="2017"/>
      <c r="BQ29" s="2017"/>
      <c r="BR29" s="2293"/>
      <c r="BS29" s="2016">
        <f t="shared" si="50"/>
        <v>0</v>
      </c>
      <c r="BT29" s="2017" t="e">
        <f t="shared" si="36"/>
        <v>#DIV/0!</v>
      </c>
      <c r="BU29" s="2018" t="e">
        <f t="shared" si="51"/>
        <v>#DIV/0!</v>
      </c>
      <c r="BV29" s="2293"/>
      <c r="BW29" s="2017"/>
      <c r="BX29" s="2017"/>
      <c r="BY29" s="2017"/>
      <c r="BZ29" s="2017"/>
      <c r="CA29" s="2017"/>
      <c r="CB29" s="2017"/>
      <c r="CC29" s="2017"/>
      <c r="CD29" s="2293"/>
      <c r="CE29" s="2016">
        <f t="shared" si="52"/>
        <v>0</v>
      </c>
      <c r="CF29" s="2017" t="e">
        <f t="shared" si="37"/>
        <v>#DIV/0!</v>
      </c>
      <c r="CG29" s="2018" t="e">
        <f t="shared" si="53"/>
        <v>#DIV/0!</v>
      </c>
      <c r="CH29" s="4266"/>
      <c r="CI29" s="4285"/>
      <c r="CJ29" s="4285"/>
      <c r="CK29" s="4285"/>
      <c r="CL29" s="4266"/>
      <c r="CM29" s="2016">
        <f t="shared" si="38"/>
        <v>0</v>
      </c>
      <c r="CN29" s="2017" t="e">
        <f t="shared" si="39"/>
        <v>#DIV/0!</v>
      </c>
      <c r="CO29" s="2018" t="e">
        <f t="shared" si="56"/>
        <v>#DIV/0!</v>
      </c>
      <c r="CQ29" s="4283">
        <v>0</v>
      </c>
      <c r="CR29" s="4322">
        <f t="shared" si="40"/>
        <v>0</v>
      </c>
      <c r="CS29" s="1740"/>
      <c r="CT29" s="2019">
        <f t="shared" si="41"/>
        <v>11.414392307692307</v>
      </c>
      <c r="CU29" s="2020">
        <f t="shared" si="42"/>
        <v>0.22828784615384612</v>
      </c>
      <c r="CV29" s="1997"/>
      <c r="CW29" s="4265"/>
      <c r="CY29" s="2014"/>
      <c r="CZ29" s="3300"/>
      <c r="DA29" s="1830"/>
      <c r="DB29" s="3301"/>
      <c r="DC29" s="1810"/>
      <c r="DD29" s="1810"/>
      <c r="DE29" s="1810"/>
      <c r="DF29" s="1810"/>
      <c r="DG29" s="1986"/>
      <c r="DH29" s="1810"/>
    </row>
    <row r="30" spans="5:199" s="1810" customFormat="1" ht="5.25" customHeight="1" thickBot="1" x14ac:dyDescent="0.25">
      <c r="E30" s="4415">
        <v>1.17</v>
      </c>
      <c r="F30" s="4415">
        <f t="shared" si="28"/>
        <v>1.3399999999999999</v>
      </c>
      <c r="G30" s="4421">
        <f t="shared" ref="G30:G38" si="57">F30*$E$2</f>
        <v>281.39999999999998</v>
      </c>
      <c r="H30" s="1777" t="str">
        <f t="shared" ref="H30:H38" ca="1" si="58">_xlfn.FORMULATEXT(F30)</f>
        <v>=IF(E30&gt;1,1+(E30-1)*2,IF(E30&gt;95%,E30,LOOKUP(E30,$B$5:$B$9,$C$5:$C$9)))</v>
      </c>
      <c r="J30" s="4404"/>
      <c r="K30" s="4380"/>
      <c r="L30" s="4380"/>
      <c r="M30" s="4380"/>
      <c r="N30" s="4377"/>
      <c r="O30" s="4378"/>
      <c r="P30" s="4378"/>
      <c r="Q30" s="4378"/>
      <c r="R30" s="4378"/>
      <c r="S30" s="4378"/>
      <c r="T30" s="4378"/>
      <c r="U30" s="4378"/>
      <c r="V30" s="4378"/>
      <c r="W30" s="4378"/>
      <c r="X30" s="4378"/>
      <c r="Y30" s="4378"/>
      <c r="Z30" s="4378"/>
      <c r="AA30" s="4378"/>
      <c r="AB30" s="4378"/>
      <c r="AC30" s="4378"/>
      <c r="AD30" s="4378"/>
      <c r="AE30" s="4378"/>
      <c r="AF30" s="4378"/>
      <c r="AG30" s="4378"/>
      <c r="AH30" s="4378"/>
      <c r="AI30" s="4378"/>
      <c r="AJ30" s="4381"/>
      <c r="AK30" s="4379"/>
      <c r="AL30" s="4379"/>
      <c r="AM30" s="4378"/>
      <c r="AN30" s="4378"/>
      <c r="AO30" s="4378"/>
      <c r="AP30" s="4378"/>
      <c r="AQ30" s="4378"/>
      <c r="AR30" s="4378"/>
      <c r="AS30" s="4378"/>
      <c r="AT30" s="4378"/>
      <c r="AU30" s="4378"/>
      <c r="AV30" s="4378"/>
      <c r="AW30" s="4378"/>
      <c r="AX30" s="4382"/>
      <c r="AY30" s="4378"/>
      <c r="AZ30" s="4378"/>
      <c r="BA30" s="4378"/>
      <c r="BB30" s="4378"/>
      <c r="BC30" s="4378"/>
      <c r="BD30" s="4378"/>
      <c r="BE30" s="4378"/>
      <c r="BF30" s="4382"/>
      <c r="BG30" s="4378"/>
      <c r="BH30" s="4378"/>
      <c r="BI30" s="4378"/>
      <c r="BJ30" s="4382"/>
      <c r="BK30" s="4378"/>
      <c r="BL30" s="4378"/>
      <c r="BM30" s="4378"/>
      <c r="BN30" s="4378"/>
      <c r="BO30" s="4378"/>
      <c r="BP30" s="4378"/>
      <c r="BQ30" s="4378"/>
      <c r="BR30" s="4378"/>
      <c r="BS30" s="4378"/>
      <c r="BT30" s="4378"/>
      <c r="BU30" s="4378"/>
      <c r="BV30" s="4378"/>
      <c r="BW30" s="4378"/>
      <c r="BX30" s="4378"/>
      <c r="BY30" s="4378"/>
      <c r="BZ30" s="4378"/>
      <c r="CA30" s="4378"/>
      <c r="CB30" s="4378"/>
      <c r="CC30" s="4378"/>
      <c r="CD30" s="4378"/>
      <c r="CE30" s="4378"/>
      <c r="CF30" s="4378"/>
      <c r="CG30" s="4378"/>
      <c r="CH30" s="4378"/>
      <c r="CI30" s="4378"/>
      <c r="CJ30" s="4378"/>
      <c r="CK30" s="4378"/>
      <c r="CL30" s="4378"/>
      <c r="CM30" s="4378"/>
      <c r="CN30" s="4378"/>
      <c r="CO30" s="4378"/>
      <c r="CP30" s="4377"/>
      <c r="CQ30" s="4378"/>
      <c r="CR30" s="4381"/>
      <c r="CS30" s="4380"/>
      <c r="CT30" s="4378"/>
      <c r="CU30" s="4381"/>
      <c r="CV30" s="1830"/>
      <c r="CW30" s="1761"/>
      <c r="CY30" s="4383"/>
      <c r="CZ30" s="1830"/>
      <c r="DA30" s="1830"/>
      <c r="DB30" s="3301"/>
    </row>
    <row r="31" spans="5:199" s="1885" customFormat="1" x14ac:dyDescent="0.2">
      <c r="E31" s="4415">
        <v>1.18</v>
      </c>
      <c r="F31" s="4415">
        <f t="shared" si="28"/>
        <v>1.3599999999999999</v>
      </c>
      <c r="G31" s="4421">
        <f t="shared" si="57"/>
        <v>285.59999999999997</v>
      </c>
      <c r="H31" s="1777" t="str">
        <f t="shared" ca="1" si="58"/>
        <v>=IF(E31&gt;1,1+(E31-1)*2,IF(E31&gt;95%,E31,LOOKUP(E31,$B$5:$B$9,$C$5:$C$9)))</v>
      </c>
      <c r="I31" s="1947"/>
      <c r="J31" s="4861">
        <v>23</v>
      </c>
      <c r="K31" s="4864" t="s">
        <v>301</v>
      </c>
      <c r="L31" s="4865"/>
      <c r="M31" s="4859">
        <v>30000</v>
      </c>
      <c r="N31" s="2596"/>
      <c r="O31" s="4859">
        <v>300</v>
      </c>
      <c r="P31" s="4395"/>
      <c r="Q31" s="4853" t="s">
        <v>311</v>
      </c>
      <c r="R31" s="4854"/>
      <c r="S31" s="1951"/>
      <c r="T31" s="4853" t="s">
        <v>312</v>
      </c>
      <c r="U31" s="4854"/>
      <c r="V31" s="2421"/>
      <c r="W31" s="4853" t="s">
        <v>313</v>
      </c>
      <c r="X31" s="4854"/>
      <c r="Y31" s="1951"/>
      <c r="Z31" s="4853" t="s">
        <v>314</v>
      </c>
      <c r="AA31" s="4854"/>
      <c r="AB31" s="1951"/>
      <c r="AC31" s="4853" t="s">
        <v>315</v>
      </c>
      <c r="AD31" s="4854"/>
      <c r="AE31" s="1951"/>
      <c r="AF31" s="4144">
        <f t="shared" si="43"/>
        <v>275.80649999999997</v>
      </c>
      <c r="AG31" s="4148">
        <f t="shared" si="44"/>
        <v>10.607942307692307</v>
      </c>
      <c r="AH31" s="4144">
        <f t="shared" si="45"/>
        <v>24.193500000000004</v>
      </c>
      <c r="AI31" s="4158">
        <f t="shared" si="46"/>
        <v>4.8387000000000011</v>
      </c>
      <c r="AJ31" s="4156">
        <f>O31/$O$56</f>
        <v>8.7002797139928062E-2</v>
      </c>
      <c r="AK31" s="1891"/>
      <c r="AL31" s="1950"/>
      <c r="AM31" s="4845" t="e">
        <f>AM34+AM36+AM38+AM40</f>
        <v>#VALUE!</v>
      </c>
      <c r="AN31" s="4845"/>
      <c r="AO31" s="4845"/>
      <c r="AP31" s="4845"/>
      <c r="AQ31" s="4845"/>
      <c r="AR31" s="4845"/>
      <c r="AS31" s="4845"/>
      <c r="AT31" s="2430"/>
      <c r="AU31" s="2004"/>
      <c r="AV31" s="2005"/>
      <c r="AW31" s="2006"/>
      <c r="AX31" s="4363"/>
      <c r="AY31" s="2001"/>
      <c r="AZ31" s="2001"/>
      <c r="BA31" s="2001"/>
      <c r="BB31" s="2001"/>
      <c r="BC31" s="2001"/>
      <c r="BD31" s="2001"/>
      <c r="BE31" s="2001"/>
      <c r="BF31" s="4363"/>
      <c r="BG31" s="2004">
        <f t="shared" si="48"/>
        <v>0</v>
      </c>
      <c r="BH31" s="2005" t="e">
        <f t="shared" si="35"/>
        <v>#DIV/0!</v>
      </c>
      <c r="BI31" s="2006" t="e">
        <f t="shared" si="49"/>
        <v>#DIV/0!</v>
      </c>
      <c r="BJ31" s="4363"/>
      <c r="BK31" s="2005"/>
      <c r="BL31" s="2005"/>
      <c r="BM31" s="2005"/>
      <c r="BN31" s="2005"/>
      <c r="BO31" s="2005"/>
      <c r="BP31" s="2005"/>
      <c r="BQ31" s="2005"/>
      <c r="BR31" s="4364"/>
      <c r="BS31" s="2004">
        <f t="shared" si="50"/>
        <v>0</v>
      </c>
      <c r="BT31" s="2005" t="e">
        <f t="shared" si="36"/>
        <v>#DIV/0!</v>
      </c>
      <c r="BU31" s="2006" t="e">
        <f t="shared" si="51"/>
        <v>#DIV/0!</v>
      </c>
      <c r="BV31" s="4364"/>
      <c r="BW31" s="2005"/>
      <c r="BX31" s="2005"/>
      <c r="BY31" s="2005"/>
      <c r="BZ31" s="2005"/>
      <c r="CA31" s="2005"/>
      <c r="CB31" s="2005"/>
      <c r="CC31" s="2005"/>
      <c r="CD31" s="4364"/>
      <c r="CE31" s="2004">
        <f t="shared" si="52"/>
        <v>0</v>
      </c>
      <c r="CF31" s="2005" t="e">
        <f t="shared" si="37"/>
        <v>#DIV/0!</v>
      </c>
      <c r="CG31" s="2006" t="e">
        <f t="shared" si="53"/>
        <v>#DIV/0!</v>
      </c>
      <c r="CH31" s="2430"/>
      <c r="CI31" s="2001"/>
      <c r="CJ31" s="2001"/>
      <c r="CK31" s="2001"/>
      <c r="CL31" s="2430"/>
      <c r="CM31" s="2004">
        <f t="shared" si="38"/>
        <v>0</v>
      </c>
      <c r="CN31" s="2005" t="e">
        <f t="shared" si="39"/>
        <v>#DIV/0!</v>
      </c>
      <c r="CO31" s="2006" t="e">
        <f t="shared" si="56"/>
        <v>#DIV/0!</v>
      </c>
      <c r="CP31" s="4365"/>
      <c r="CQ31" s="1898">
        <v>0</v>
      </c>
      <c r="CR31" s="1899">
        <f t="shared" si="40"/>
        <v>0</v>
      </c>
      <c r="CS31" s="2435"/>
      <c r="CT31" s="2244" t="e">
        <f t="shared" si="41"/>
        <v>#VALUE!</v>
      </c>
      <c r="CU31" s="4370" t="e">
        <f t="shared" si="42"/>
        <v>#VALUE!</v>
      </c>
      <c r="CV31" s="2010"/>
      <c r="CW31" s="4262"/>
      <c r="CY31" s="4262"/>
      <c r="CZ31" s="2488"/>
      <c r="DA31" s="2010"/>
      <c r="DB31" s="2490"/>
      <c r="DC31" s="1906"/>
      <c r="DD31" s="1906"/>
      <c r="DE31" s="1906"/>
      <c r="DF31" s="1906"/>
      <c r="DG31" s="2386"/>
      <c r="DH31" s="1906"/>
    </row>
    <row r="32" spans="5:199" s="1885" customFormat="1" x14ac:dyDescent="0.2">
      <c r="E32" s="4415">
        <v>1.19</v>
      </c>
      <c r="F32" s="4415">
        <f t="shared" si="28"/>
        <v>1.38</v>
      </c>
      <c r="G32" s="4421">
        <f t="shared" si="57"/>
        <v>289.79999999999995</v>
      </c>
      <c r="H32" s="1777" t="str">
        <f t="shared" ca="1" si="58"/>
        <v>=IF(E32&gt;1,1+(E32-1)*2,IF(E32&gt;95%,E32,LOOKUP(E32,$B$5:$B$9,$C$5:$C$9)))</v>
      </c>
      <c r="I32" s="1947"/>
      <c r="J32" s="4862"/>
      <c r="K32" s="4866"/>
      <c r="L32" s="4867"/>
      <c r="M32" s="4860"/>
      <c r="N32" s="1888"/>
      <c r="O32" s="4860"/>
      <c r="P32" s="3328"/>
      <c r="Q32" s="4855"/>
      <c r="R32" s="4856"/>
      <c r="S32" s="1951"/>
      <c r="T32" s="4855"/>
      <c r="U32" s="4856"/>
      <c r="V32" s="1951"/>
      <c r="W32" s="4855"/>
      <c r="X32" s="4856"/>
      <c r="Y32" s="1951"/>
      <c r="Z32" s="4855"/>
      <c r="AA32" s="4856"/>
      <c r="AB32" s="1951"/>
      <c r="AC32" s="4855"/>
      <c r="AD32" s="4856"/>
      <c r="AE32" s="1951"/>
      <c r="AF32" s="4338"/>
      <c r="AG32" s="4339"/>
      <c r="AH32" s="4338"/>
      <c r="AI32" s="4340"/>
      <c r="AJ32" s="4341"/>
      <c r="AK32" s="1891"/>
      <c r="AL32" s="1950"/>
      <c r="AM32" s="4846"/>
      <c r="AN32" s="4846"/>
      <c r="AO32" s="4846"/>
      <c r="AP32" s="4846"/>
      <c r="AQ32" s="4846"/>
      <c r="AR32" s="4846"/>
      <c r="AS32" s="4846"/>
      <c r="AT32" s="4263"/>
      <c r="AU32" s="4342"/>
      <c r="AV32" s="4343"/>
      <c r="AW32" s="4344"/>
      <c r="AX32" s="1896"/>
      <c r="AY32" s="2814"/>
      <c r="AZ32" s="2814"/>
      <c r="BA32" s="2814"/>
      <c r="BB32" s="2814"/>
      <c r="BC32" s="2814"/>
      <c r="BD32" s="2814"/>
      <c r="BE32" s="2814"/>
      <c r="BF32" s="1896"/>
      <c r="BG32" s="4342"/>
      <c r="BH32" s="4343"/>
      <c r="BI32" s="4344"/>
      <c r="BJ32" s="1896"/>
      <c r="BK32" s="4343"/>
      <c r="BL32" s="4343"/>
      <c r="BM32" s="4343"/>
      <c r="BN32" s="4343"/>
      <c r="BO32" s="4343"/>
      <c r="BP32" s="4343"/>
      <c r="BQ32" s="4343"/>
      <c r="BR32" s="2295"/>
      <c r="BS32" s="4342"/>
      <c r="BT32" s="4343"/>
      <c r="BU32" s="4344"/>
      <c r="BV32" s="2295"/>
      <c r="BW32" s="4343"/>
      <c r="BX32" s="4343"/>
      <c r="BY32" s="4343"/>
      <c r="BZ32" s="4343"/>
      <c r="CA32" s="4343"/>
      <c r="CB32" s="4343"/>
      <c r="CC32" s="4343"/>
      <c r="CD32" s="2295"/>
      <c r="CE32" s="4342"/>
      <c r="CF32" s="4343"/>
      <c r="CG32" s="4344"/>
      <c r="CH32" s="4263"/>
      <c r="CI32" s="2814"/>
      <c r="CJ32" s="2814"/>
      <c r="CK32" s="2814"/>
      <c r="CL32" s="4263"/>
      <c r="CM32" s="4342"/>
      <c r="CN32" s="4343"/>
      <c r="CO32" s="4344"/>
      <c r="CP32" s="1946"/>
      <c r="CQ32" s="4258"/>
      <c r="CR32" s="4345"/>
      <c r="CS32" s="2011"/>
      <c r="CT32" s="4257"/>
      <c r="CU32" s="4371"/>
      <c r="CV32" s="2010"/>
      <c r="CW32" s="4262"/>
      <c r="CY32" s="4262"/>
      <c r="CZ32" s="2488"/>
      <c r="DA32" s="2010"/>
      <c r="DB32" s="2490"/>
      <c r="DC32" s="1906"/>
      <c r="DD32" s="1906"/>
      <c r="DE32" s="1906"/>
      <c r="DF32" s="1906"/>
      <c r="DG32" s="2386"/>
      <c r="DH32" s="1906"/>
    </row>
    <row r="33" spans="5:112" s="1726" customFormat="1" x14ac:dyDescent="0.2">
      <c r="E33" s="4415">
        <v>1.2</v>
      </c>
      <c r="F33" s="4415">
        <f t="shared" si="28"/>
        <v>1.4</v>
      </c>
      <c r="G33" s="4421">
        <f t="shared" si="57"/>
        <v>294</v>
      </c>
      <c r="H33" s="1777" t="str">
        <f t="shared" ca="1" si="58"/>
        <v>=IF(E33&gt;1,1+(E33-1)*2,IF(E33&gt;95%,E33,LOOKUP(E33,$B$5:$B$9,$C$5:$C$9)))</v>
      </c>
      <c r="I33" s="1756"/>
      <c r="J33" s="4862"/>
      <c r="K33" s="4870" t="s">
        <v>63</v>
      </c>
      <c r="L33" s="4870" t="s">
        <v>302</v>
      </c>
      <c r="M33" s="2001">
        <f>M31/31*7</f>
        <v>6774.1935483870966</v>
      </c>
      <c r="N33" s="1727"/>
      <c r="O33" s="4728">
        <f>O31*70%</f>
        <v>210</v>
      </c>
      <c r="P33" s="1762"/>
      <c r="Q33" s="4396" t="s">
        <v>310</v>
      </c>
      <c r="R33" s="4396">
        <v>0.84999000000000002</v>
      </c>
      <c r="S33" s="4280"/>
      <c r="T33" s="4396">
        <v>0.85</v>
      </c>
      <c r="U33" s="4397">
        <v>0.9</v>
      </c>
      <c r="V33" s="1830"/>
      <c r="W33" s="4396">
        <v>0.90000999999999998</v>
      </c>
      <c r="X33" s="4397">
        <v>0.95</v>
      </c>
      <c r="Y33" s="1830"/>
      <c r="Z33" s="4396">
        <v>0.95001000000000002</v>
      </c>
      <c r="AA33" s="4397">
        <v>1</v>
      </c>
      <c r="AB33" s="1830"/>
      <c r="AC33" s="4396">
        <v>1.0000100000000001</v>
      </c>
      <c r="AD33" s="4397">
        <v>1.25</v>
      </c>
      <c r="AE33" s="1830"/>
      <c r="AF33" s="4142">
        <f t="shared" si="43"/>
        <v>193.06455</v>
      </c>
      <c r="AG33" s="4143">
        <f t="shared" si="44"/>
        <v>7.4255596153846151</v>
      </c>
      <c r="AH33" s="4142">
        <f t="shared" si="45"/>
        <v>16.935450000000003</v>
      </c>
      <c r="AI33" s="4143">
        <f t="shared" si="46"/>
        <v>3.3870900000000006</v>
      </c>
      <c r="AJ33" s="4155">
        <f>O33/$O$56</f>
        <v>6.0901957997949646E-2</v>
      </c>
      <c r="AK33" s="1876"/>
      <c r="AL33" s="1924"/>
      <c r="AM33" s="4877" t="s">
        <v>319</v>
      </c>
      <c r="AN33" s="1729"/>
      <c r="AO33" s="1728"/>
      <c r="AP33" s="1728"/>
      <c r="AQ33" s="1728"/>
      <c r="AR33" s="1728"/>
      <c r="AS33" s="1728"/>
      <c r="AT33" s="4266"/>
      <c r="AU33" s="1982"/>
      <c r="AV33" s="2268"/>
      <c r="AW33" s="1984"/>
      <c r="AX33" s="1881"/>
      <c r="AY33" s="1728"/>
      <c r="AZ33" s="1728"/>
      <c r="BA33" s="1728"/>
      <c r="BB33" s="1728"/>
      <c r="BC33" s="1728"/>
      <c r="BD33" s="1728"/>
      <c r="BE33" s="1728"/>
      <c r="BF33" s="1881"/>
      <c r="BG33" s="1982"/>
      <c r="BH33" s="2268" t="e">
        <f t="shared" si="35"/>
        <v>#DIV/0!</v>
      </c>
      <c r="BI33" s="1984"/>
      <c r="BJ33" s="1881"/>
      <c r="BK33" s="2268"/>
      <c r="BL33" s="2268"/>
      <c r="BM33" s="2268"/>
      <c r="BN33" s="2268"/>
      <c r="BO33" s="2268"/>
      <c r="BP33" s="2268"/>
      <c r="BQ33" s="2268"/>
      <c r="BR33" s="2293"/>
      <c r="BS33" s="1982"/>
      <c r="BT33" s="2268" t="e">
        <f t="shared" si="36"/>
        <v>#DIV/0!</v>
      </c>
      <c r="BU33" s="1984"/>
      <c r="BV33" s="2293"/>
      <c r="BW33" s="2268"/>
      <c r="BX33" s="2268"/>
      <c r="BY33" s="2268"/>
      <c r="BZ33" s="2268"/>
      <c r="CA33" s="2268"/>
      <c r="CB33" s="2268"/>
      <c r="CC33" s="2268"/>
      <c r="CD33" s="2293"/>
      <c r="CE33" s="1982"/>
      <c r="CF33" s="2268" t="e">
        <f t="shared" si="37"/>
        <v>#DIV/0!</v>
      </c>
      <c r="CG33" s="1984"/>
      <c r="CH33" s="4266"/>
      <c r="CI33" s="1728"/>
      <c r="CJ33" s="1728"/>
      <c r="CK33" s="1728"/>
      <c r="CL33" s="4266"/>
      <c r="CM33" s="1982"/>
      <c r="CN33" s="2268" t="e">
        <f t="shared" si="39"/>
        <v>#DIV/0!</v>
      </c>
      <c r="CO33" s="1984"/>
      <c r="CP33" s="1860"/>
      <c r="CQ33" s="1732"/>
      <c r="CR33" s="1882"/>
      <c r="CS33" s="1861"/>
      <c r="CT33" s="1734"/>
      <c r="CU33" s="4372"/>
      <c r="CV33" s="1997"/>
      <c r="CW33" s="4265"/>
      <c r="CY33" s="4265"/>
      <c r="CZ33" s="2036"/>
      <c r="DA33" s="1997"/>
      <c r="DB33" s="2037"/>
      <c r="DC33" s="1810"/>
      <c r="DD33" s="1810"/>
      <c r="DE33" s="1810"/>
      <c r="DF33" s="1810"/>
      <c r="DG33" s="1986"/>
      <c r="DH33" s="1810"/>
    </row>
    <row r="34" spans="5:112" s="1726" customFormat="1" x14ac:dyDescent="0.2">
      <c r="E34" s="4415">
        <v>1.21</v>
      </c>
      <c r="F34" s="4415">
        <f t="shared" si="28"/>
        <v>1.42</v>
      </c>
      <c r="G34" s="4421">
        <f t="shared" si="57"/>
        <v>298.2</v>
      </c>
      <c r="H34" s="1777" t="str">
        <f t="shared" ca="1" si="58"/>
        <v>=IF(E34&gt;1,1+(E34-1)*2,IF(E34&gt;95%,E34,LOOKUP(E34,$B$5:$B$9,$C$5:$C$9)))</v>
      </c>
      <c r="I34" s="1756"/>
      <c r="J34" s="4862"/>
      <c r="K34" s="4871"/>
      <c r="L34" s="4871"/>
      <c r="M34" s="2001">
        <f>M33/7</f>
        <v>967.74193548387098</v>
      </c>
      <c r="N34" s="1727"/>
      <c r="O34" s="4729"/>
      <c r="P34" s="1762"/>
      <c r="Q34" s="4868">
        <v>0</v>
      </c>
      <c r="R34" s="4869"/>
      <c r="S34" s="4280"/>
      <c r="T34" s="4868">
        <v>0.5</v>
      </c>
      <c r="U34" s="4869"/>
      <c r="V34" s="1830"/>
      <c r="W34" s="4868">
        <v>0.8</v>
      </c>
      <c r="X34" s="4869"/>
      <c r="Y34" s="1830"/>
      <c r="Z34" s="4872" t="s">
        <v>305</v>
      </c>
      <c r="AA34" s="4873"/>
      <c r="AB34" s="4390"/>
      <c r="AC34" s="4874" t="s">
        <v>306</v>
      </c>
      <c r="AD34" s="4875"/>
      <c r="AE34" s="1761"/>
      <c r="AF34" s="4142"/>
      <c r="AG34" s="4143"/>
      <c r="AH34" s="4142"/>
      <c r="AI34" s="4143"/>
      <c r="AJ34" s="4155"/>
      <c r="AK34" s="1876"/>
      <c r="AL34" s="1924"/>
      <c r="AM34" s="2371" t="s">
        <v>320</v>
      </c>
      <c r="AN34" s="1728"/>
      <c r="AO34" s="1728"/>
      <c r="AP34" s="1728"/>
      <c r="AQ34" s="1728"/>
      <c r="AR34" s="1728"/>
      <c r="AS34" s="1728"/>
      <c r="AT34" s="4266"/>
      <c r="AU34" s="1982"/>
      <c r="AV34" s="2268"/>
      <c r="AW34" s="1984"/>
      <c r="AX34" s="1881"/>
      <c r="AY34" s="1728"/>
      <c r="AZ34" s="1728"/>
      <c r="BA34" s="1728"/>
      <c r="BB34" s="1728"/>
      <c r="BC34" s="1728"/>
      <c r="BD34" s="1728"/>
      <c r="BE34" s="1728"/>
      <c r="BF34" s="1881"/>
      <c r="BG34" s="1982"/>
      <c r="BH34" s="2268"/>
      <c r="BI34" s="1984"/>
      <c r="BJ34" s="1881"/>
      <c r="BK34" s="2268"/>
      <c r="BL34" s="2268"/>
      <c r="BM34" s="2268"/>
      <c r="BN34" s="2268"/>
      <c r="BO34" s="2268"/>
      <c r="BP34" s="2268"/>
      <c r="BQ34" s="2268"/>
      <c r="BR34" s="2293"/>
      <c r="BS34" s="1982"/>
      <c r="BT34" s="2268"/>
      <c r="BU34" s="1984"/>
      <c r="BV34" s="2293"/>
      <c r="BW34" s="2268"/>
      <c r="BX34" s="2268"/>
      <c r="BY34" s="2268"/>
      <c r="BZ34" s="2268"/>
      <c r="CA34" s="2268"/>
      <c r="CB34" s="2268"/>
      <c r="CC34" s="2268"/>
      <c r="CD34" s="2293"/>
      <c r="CE34" s="1982"/>
      <c r="CF34" s="2268"/>
      <c r="CG34" s="1984"/>
      <c r="CH34" s="4266"/>
      <c r="CI34" s="1728"/>
      <c r="CJ34" s="1728"/>
      <c r="CK34" s="1728"/>
      <c r="CL34" s="4266"/>
      <c r="CM34" s="1982"/>
      <c r="CN34" s="2268"/>
      <c r="CO34" s="1984"/>
      <c r="CP34" s="1860"/>
      <c r="CQ34" s="1732"/>
      <c r="CR34" s="1882"/>
      <c r="CS34" s="1861"/>
      <c r="CT34" s="1734"/>
      <c r="CU34" s="4372"/>
      <c r="CV34" s="1997"/>
      <c r="CW34" s="4265"/>
      <c r="CY34" s="4265"/>
      <c r="CZ34" s="2036"/>
      <c r="DA34" s="1997"/>
      <c r="DB34" s="2037"/>
      <c r="DC34" s="1810"/>
      <c r="DD34" s="1810"/>
      <c r="DE34" s="1810"/>
      <c r="DF34" s="1810"/>
      <c r="DG34" s="1986"/>
      <c r="DH34" s="1810"/>
    </row>
    <row r="35" spans="5:112" s="1885" customFormat="1" x14ac:dyDescent="0.2">
      <c r="E35" s="4415">
        <v>1.22</v>
      </c>
      <c r="F35" s="4415">
        <f t="shared" si="28"/>
        <v>1.44</v>
      </c>
      <c r="G35" s="4421">
        <f t="shared" si="57"/>
        <v>302.39999999999998</v>
      </c>
      <c r="H35" s="1777" t="str">
        <f t="shared" ca="1" si="58"/>
        <v>=IF(E35&gt;1,1+(E35-1)*2,IF(E35&gt;95%,E35,LOOKUP(E35,$B$5:$B$9,$C$5:$C$9)))</v>
      </c>
      <c r="I35" s="1947"/>
      <c r="J35" s="4862"/>
      <c r="K35" s="4857" t="s">
        <v>298</v>
      </c>
      <c r="L35" s="4857" t="s">
        <v>303</v>
      </c>
      <c r="M35" s="4346"/>
      <c r="N35" s="1888"/>
      <c r="O35" s="4845">
        <f>O31*15%</f>
        <v>45</v>
      </c>
      <c r="P35" s="3328"/>
      <c r="Q35" s="4398"/>
      <c r="R35" s="4399"/>
      <c r="S35" s="1951"/>
      <c r="T35" s="4398">
        <v>0</v>
      </c>
      <c r="U35" s="4399">
        <v>0.25</v>
      </c>
      <c r="V35" s="1951"/>
      <c r="W35" s="4398">
        <v>0.251</v>
      </c>
      <c r="X35" s="4399">
        <v>0.5</v>
      </c>
      <c r="Y35" s="1951"/>
      <c r="Z35" s="4398">
        <v>0.75</v>
      </c>
      <c r="AA35" s="4399">
        <v>1</v>
      </c>
      <c r="AB35" s="1951"/>
      <c r="AC35" s="4398">
        <v>1.0009999999999999</v>
      </c>
      <c r="AD35" s="4399" t="s">
        <v>307</v>
      </c>
      <c r="AE35" s="1951"/>
      <c r="AF35" s="4144">
        <f t="shared" si="43"/>
        <v>41.370975000000001</v>
      </c>
      <c r="AG35" s="4148">
        <f t="shared" si="44"/>
        <v>1.5911913461538463</v>
      </c>
      <c r="AH35" s="4144">
        <f t="shared" si="45"/>
        <v>3.6290250000000004</v>
      </c>
      <c r="AI35" s="4158">
        <f t="shared" si="46"/>
        <v>0.72580500000000003</v>
      </c>
      <c r="AJ35" s="4156">
        <f>O35/$O$56</f>
        <v>1.305041957098921E-2</v>
      </c>
      <c r="AK35" s="1891"/>
      <c r="AL35" s="1950"/>
      <c r="AM35" s="2001"/>
      <c r="AN35" s="2001"/>
      <c r="AO35" s="2001"/>
      <c r="AP35" s="2001"/>
      <c r="AQ35" s="2001"/>
      <c r="AR35" s="2001"/>
      <c r="AS35" s="2001"/>
      <c r="AT35" s="4263"/>
      <c r="AU35" s="2004"/>
      <c r="AV35" s="2005"/>
      <c r="AW35" s="2006"/>
      <c r="AX35" s="1896"/>
      <c r="AY35" s="2001"/>
      <c r="AZ35" s="2001"/>
      <c r="BA35" s="2001"/>
      <c r="BB35" s="2001"/>
      <c r="BC35" s="2001"/>
      <c r="BD35" s="2001"/>
      <c r="BE35" s="2001"/>
      <c r="BF35" s="1896"/>
      <c r="BG35" s="2004"/>
      <c r="BH35" s="2005" t="e">
        <f t="shared" si="35"/>
        <v>#DIV/0!</v>
      </c>
      <c r="BI35" s="2006"/>
      <c r="BJ35" s="1896"/>
      <c r="BK35" s="2005"/>
      <c r="BL35" s="2005"/>
      <c r="BM35" s="2005"/>
      <c r="BN35" s="2005"/>
      <c r="BO35" s="2005"/>
      <c r="BP35" s="2005"/>
      <c r="BQ35" s="2005"/>
      <c r="BR35" s="2295"/>
      <c r="BS35" s="2004"/>
      <c r="BT35" s="2005" t="e">
        <f t="shared" si="36"/>
        <v>#DIV/0!</v>
      </c>
      <c r="BU35" s="2006"/>
      <c r="BV35" s="2295"/>
      <c r="BW35" s="2005"/>
      <c r="BX35" s="2005"/>
      <c r="BY35" s="2005"/>
      <c r="BZ35" s="2005"/>
      <c r="CA35" s="2005"/>
      <c r="CB35" s="2005"/>
      <c r="CC35" s="2005"/>
      <c r="CD35" s="2295"/>
      <c r="CE35" s="2004"/>
      <c r="CF35" s="2005" t="e">
        <f t="shared" si="37"/>
        <v>#DIV/0!</v>
      </c>
      <c r="CG35" s="2006"/>
      <c r="CH35" s="4263"/>
      <c r="CI35" s="2001"/>
      <c r="CJ35" s="2001"/>
      <c r="CK35" s="2001"/>
      <c r="CL35" s="4263"/>
      <c r="CM35" s="2004"/>
      <c r="CN35" s="2005" t="e">
        <f t="shared" si="39"/>
        <v>#DIV/0!</v>
      </c>
      <c r="CO35" s="2006"/>
      <c r="CP35" s="1946"/>
      <c r="CQ35" s="1898"/>
      <c r="CR35" s="1899"/>
      <c r="CS35" s="2011"/>
      <c r="CT35" s="2244"/>
      <c r="CU35" s="4370"/>
      <c r="CV35" s="2010"/>
      <c r="CW35" s="4262"/>
      <c r="CY35" s="4262"/>
      <c r="CZ35" s="2488"/>
      <c r="DA35" s="2010"/>
      <c r="DB35" s="2490"/>
      <c r="DC35" s="1906"/>
      <c r="DD35" s="1906"/>
      <c r="DE35" s="1906"/>
      <c r="DF35" s="1906"/>
      <c r="DG35" s="2386"/>
      <c r="DH35" s="1906"/>
    </row>
    <row r="36" spans="5:112" s="1885" customFormat="1" x14ac:dyDescent="0.2">
      <c r="E36" s="4415">
        <v>1.23</v>
      </c>
      <c r="F36" s="4415">
        <f t="shared" si="28"/>
        <v>1.46</v>
      </c>
      <c r="G36" s="4421">
        <f t="shared" si="57"/>
        <v>306.59999999999997</v>
      </c>
      <c r="H36" s="1777" t="str">
        <f t="shared" ca="1" si="58"/>
        <v>=IF(E36&gt;1,1+(E36-1)*2,IF(E36&gt;95%,E36,LOOKUP(E36,$B$5:$B$9,$C$5:$C$9)))</v>
      </c>
      <c r="I36" s="1947"/>
      <c r="J36" s="4862"/>
      <c r="K36" s="4858"/>
      <c r="L36" s="4858"/>
      <c r="M36" s="4346"/>
      <c r="N36" s="1888"/>
      <c r="O36" s="4846"/>
      <c r="P36" s="3328"/>
      <c r="Q36" s="4847"/>
      <c r="R36" s="4848"/>
      <c r="S36" s="1951"/>
      <c r="T36" s="4847">
        <v>1</v>
      </c>
      <c r="U36" s="4848"/>
      <c r="V36" s="1962"/>
      <c r="W36" s="4847">
        <v>0.75</v>
      </c>
      <c r="X36" s="4848"/>
      <c r="Y36" s="1962"/>
      <c r="Z36" s="4847">
        <v>0.5</v>
      </c>
      <c r="AA36" s="4848"/>
      <c r="AB36" s="1962"/>
      <c r="AC36" s="4847">
        <v>0</v>
      </c>
      <c r="AD36" s="4848"/>
      <c r="AE36" s="1962"/>
      <c r="AF36" s="4144"/>
      <c r="AG36" s="4148"/>
      <c r="AH36" s="4144"/>
      <c r="AI36" s="4158"/>
      <c r="AJ36" s="4156"/>
      <c r="AK36" s="1891"/>
      <c r="AL36" s="1950"/>
      <c r="AM36" s="2001"/>
      <c r="AN36" s="2001"/>
      <c r="AO36" s="2001"/>
      <c r="AP36" s="2001"/>
      <c r="AQ36" s="2001"/>
      <c r="AR36" s="2001"/>
      <c r="AS36" s="2001"/>
      <c r="AT36" s="4263"/>
      <c r="AU36" s="2004"/>
      <c r="AV36" s="2005"/>
      <c r="AW36" s="2006"/>
      <c r="AX36" s="1896"/>
      <c r="AY36" s="2001"/>
      <c r="AZ36" s="2001"/>
      <c r="BA36" s="2001"/>
      <c r="BB36" s="2001"/>
      <c r="BC36" s="2001"/>
      <c r="BD36" s="2001"/>
      <c r="BE36" s="2001"/>
      <c r="BF36" s="1896"/>
      <c r="BG36" s="2004"/>
      <c r="BH36" s="2005"/>
      <c r="BI36" s="2006"/>
      <c r="BJ36" s="1896"/>
      <c r="BK36" s="2005"/>
      <c r="BL36" s="2005"/>
      <c r="BM36" s="2005"/>
      <c r="BN36" s="2005"/>
      <c r="BO36" s="2005"/>
      <c r="BP36" s="2005"/>
      <c r="BQ36" s="2005"/>
      <c r="BR36" s="2295"/>
      <c r="BS36" s="2004"/>
      <c r="BT36" s="2005"/>
      <c r="BU36" s="2006"/>
      <c r="BV36" s="2295"/>
      <c r="BW36" s="2005"/>
      <c r="BX36" s="2005"/>
      <c r="BY36" s="2005"/>
      <c r="BZ36" s="2005"/>
      <c r="CA36" s="2005"/>
      <c r="CB36" s="2005"/>
      <c r="CC36" s="2005"/>
      <c r="CD36" s="2295"/>
      <c r="CE36" s="2004"/>
      <c r="CF36" s="2005"/>
      <c r="CG36" s="2006"/>
      <c r="CH36" s="4263"/>
      <c r="CI36" s="2001"/>
      <c r="CJ36" s="2001"/>
      <c r="CK36" s="2001"/>
      <c r="CL36" s="4263"/>
      <c r="CM36" s="2004"/>
      <c r="CN36" s="2005"/>
      <c r="CO36" s="2006"/>
      <c r="CP36" s="1946"/>
      <c r="CQ36" s="1898"/>
      <c r="CR36" s="1899"/>
      <c r="CS36" s="2011"/>
      <c r="CT36" s="2244"/>
      <c r="CU36" s="4370"/>
      <c r="CV36" s="2010"/>
      <c r="CW36" s="4262"/>
      <c r="CY36" s="4262"/>
      <c r="CZ36" s="2488"/>
      <c r="DA36" s="2010"/>
      <c r="DB36" s="2490"/>
      <c r="DC36" s="1906"/>
      <c r="DD36" s="1906"/>
      <c r="DE36" s="1906"/>
      <c r="DF36" s="1906"/>
      <c r="DG36" s="2386"/>
      <c r="DH36" s="1906"/>
    </row>
    <row r="37" spans="5:112" s="1726" customFormat="1" x14ac:dyDescent="0.2">
      <c r="E37" s="4415">
        <v>1.24</v>
      </c>
      <c r="F37" s="4415">
        <f t="shared" si="28"/>
        <v>1.48</v>
      </c>
      <c r="G37" s="4421">
        <f t="shared" si="57"/>
        <v>310.8</v>
      </c>
      <c r="H37" s="1777" t="str">
        <f t="shared" ca="1" si="58"/>
        <v>=IF(E37&gt;1,1+(E37-1)*2,IF(E37&gt;95%,E37,LOOKUP(E37,$B$5:$B$9,$C$5:$C$9)))</v>
      </c>
      <c r="I37" s="1756"/>
      <c r="J37" s="4862"/>
      <c r="K37" s="4870" t="s">
        <v>299</v>
      </c>
      <c r="L37" s="4870" t="s">
        <v>309</v>
      </c>
      <c r="M37" s="4352"/>
      <c r="N37" s="1727"/>
      <c r="O37" s="4728">
        <f>O31*7.5%</f>
        <v>22.5</v>
      </c>
      <c r="P37" s="1762"/>
      <c r="Q37" s="4400"/>
      <c r="R37" s="4401"/>
      <c r="S37" s="4280"/>
      <c r="T37" s="4400"/>
      <c r="U37" s="4401"/>
      <c r="V37" s="4280"/>
      <c r="W37" s="4400"/>
      <c r="X37" s="4401"/>
      <c r="Y37" s="4280"/>
      <c r="Z37" s="4400"/>
      <c r="AA37" s="4401"/>
      <c r="AB37" s="4280"/>
      <c r="AC37" s="4400"/>
      <c r="AD37" s="4401"/>
      <c r="AE37" s="4280"/>
      <c r="AF37" s="4142">
        <f t="shared" si="43"/>
        <v>20.685487500000001</v>
      </c>
      <c r="AG37" s="4143">
        <f t="shared" si="44"/>
        <v>0.79559567307692314</v>
      </c>
      <c r="AH37" s="4142">
        <f t="shared" si="45"/>
        <v>1.8145125000000002</v>
      </c>
      <c r="AI37" s="4143">
        <f t="shared" si="46"/>
        <v>0.36290250000000002</v>
      </c>
      <c r="AJ37" s="4155">
        <f>O37/$O$56</f>
        <v>6.5252097854946048E-3</v>
      </c>
      <c r="AK37" s="1876"/>
      <c r="AL37" s="1924"/>
      <c r="AM37" s="1728"/>
      <c r="AN37" s="1728"/>
      <c r="AO37" s="1728"/>
      <c r="AP37" s="1728"/>
      <c r="AQ37" s="1728"/>
      <c r="AR37" s="1728"/>
      <c r="AS37" s="1728"/>
      <c r="AT37" s="4266"/>
      <c r="AU37" s="1982"/>
      <c r="AV37" s="2268"/>
      <c r="AW37" s="1984"/>
      <c r="AX37" s="1881"/>
      <c r="AY37" s="1728"/>
      <c r="AZ37" s="1728"/>
      <c r="BA37" s="1728"/>
      <c r="BB37" s="1728"/>
      <c r="BC37" s="1728"/>
      <c r="BD37" s="1728"/>
      <c r="BE37" s="1728"/>
      <c r="BF37" s="1881"/>
      <c r="BG37" s="1982"/>
      <c r="BH37" s="2268" t="e">
        <f t="shared" si="35"/>
        <v>#DIV/0!</v>
      </c>
      <c r="BI37" s="1984"/>
      <c r="BJ37" s="1881"/>
      <c r="BK37" s="2268"/>
      <c r="BL37" s="2268"/>
      <c r="BM37" s="2268"/>
      <c r="BN37" s="2268"/>
      <c r="BO37" s="2268"/>
      <c r="BP37" s="2268"/>
      <c r="BQ37" s="2268"/>
      <c r="BR37" s="2293"/>
      <c r="BS37" s="1982"/>
      <c r="BT37" s="2268" t="e">
        <f t="shared" si="36"/>
        <v>#DIV/0!</v>
      </c>
      <c r="BU37" s="1984"/>
      <c r="BV37" s="2293"/>
      <c r="BW37" s="2268"/>
      <c r="BX37" s="2268"/>
      <c r="BY37" s="2268"/>
      <c r="BZ37" s="2268"/>
      <c r="CA37" s="2268"/>
      <c r="CB37" s="2268"/>
      <c r="CC37" s="2268"/>
      <c r="CD37" s="2293"/>
      <c r="CE37" s="1982"/>
      <c r="CF37" s="2268" t="e">
        <f t="shared" si="37"/>
        <v>#DIV/0!</v>
      </c>
      <c r="CG37" s="1984"/>
      <c r="CH37" s="4266"/>
      <c r="CI37" s="1728"/>
      <c r="CJ37" s="1728"/>
      <c r="CK37" s="1728"/>
      <c r="CL37" s="4266"/>
      <c r="CM37" s="1982"/>
      <c r="CN37" s="2268" t="e">
        <f t="shared" si="39"/>
        <v>#DIV/0!</v>
      </c>
      <c r="CO37" s="1984"/>
      <c r="CP37" s="1860"/>
      <c r="CQ37" s="1732"/>
      <c r="CR37" s="1882"/>
      <c r="CS37" s="1861"/>
      <c r="CT37" s="1734"/>
      <c r="CU37" s="4372"/>
      <c r="CV37" s="1997"/>
      <c r="CW37" s="4265"/>
      <c r="CY37" s="4265"/>
      <c r="CZ37" s="2036"/>
      <c r="DA37" s="1997"/>
      <c r="DB37" s="2037"/>
      <c r="DC37" s="1810"/>
      <c r="DD37" s="1810"/>
      <c r="DE37" s="1810"/>
      <c r="DF37" s="1810"/>
      <c r="DG37" s="1986"/>
      <c r="DH37" s="1810"/>
    </row>
    <row r="38" spans="5:112" s="1726" customFormat="1" x14ac:dyDescent="0.2">
      <c r="E38" s="4415">
        <v>1.25</v>
      </c>
      <c r="F38" s="4415">
        <f t="shared" si="28"/>
        <v>1.5</v>
      </c>
      <c r="G38" s="4421">
        <f t="shared" si="57"/>
        <v>315</v>
      </c>
      <c r="H38" s="1777" t="str">
        <f t="shared" ca="1" si="58"/>
        <v>=IF(E38&gt;1,1+(E38-1)*2,IF(E38&gt;95%,E38,LOOKUP(E38,$B$5:$B$9,$C$5:$C$9)))</v>
      </c>
      <c r="I38" s="1756"/>
      <c r="J38" s="4862"/>
      <c r="K38" s="4871"/>
      <c r="L38" s="4871"/>
      <c r="M38" s="4352"/>
      <c r="N38" s="1727"/>
      <c r="O38" s="4729"/>
      <c r="P38" s="1762"/>
      <c r="Q38" s="4851"/>
      <c r="R38" s="4852"/>
      <c r="S38" s="4280"/>
      <c r="T38" s="4851"/>
      <c r="U38" s="4852"/>
      <c r="V38" s="4280"/>
      <c r="W38" s="4851"/>
      <c r="X38" s="4852"/>
      <c r="Y38" s="4280"/>
      <c r="Z38" s="4851"/>
      <c r="AA38" s="4852"/>
      <c r="AB38" s="4280"/>
      <c r="AC38" s="4851"/>
      <c r="AD38" s="4852"/>
      <c r="AE38" s="4280"/>
      <c r="AF38" s="4319"/>
      <c r="AG38" s="4320"/>
      <c r="AH38" s="4319"/>
      <c r="AI38" s="4320"/>
      <c r="AJ38" s="4321"/>
      <c r="AK38" s="1876"/>
      <c r="AL38" s="1924"/>
      <c r="AM38" s="4285"/>
      <c r="AN38" s="4285"/>
      <c r="AO38" s="4285"/>
      <c r="AP38" s="4285"/>
      <c r="AQ38" s="4285"/>
      <c r="AR38" s="4285"/>
      <c r="AS38" s="4285"/>
      <c r="AT38" s="4266"/>
      <c r="AU38" s="2016"/>
      <c r="AV38" s="2017"/>
      <c r="AW38" s="2018"/>
      <c r="AX38" s="1881"/>
      <c r="AY38" s="4285"/>
      <c r="AZ38" s="4285"/>
      <c r="BA38" s="4285"/>
      <c r="BB38" s="4285"/>
      <c r="BC38" s="4285"/>
      <c r="BD38" s="4285"/>
      <c r="BE38" s="4285"/>
      <c r="BF38" s="1881"/>
      <c r="BG38" s="2016"/>
      <c r="BH38" s="2017"/>
      <c r="BI38" s="2018"/>
      <c r="BJ38" s="1881"/>
      <c r="BK38" s="2017"/>
      <c r="BL38" s="2017"/>
      <c r="BM38" s="2017"/>
      <c r="BN38" s="2017"/>
      <c r="BO38" s="2017"/>
      <c r="BP38" s="2017"/>
      <c r="BQ38" s="2017"/>
      <c r="BR38" s="2293"/>
      <c r="BS38" s="2016"/>
      <c r="BT38" s="2017"/>
      <c r="BU38" s="2018"/>
      <c r="BV38" s="2293"/>
      <c r="BW38" s="2017"/>
      <c r="BX38" s="2017"/>
      <c r="BY38" s="2017"/>
      <c r="BZ38" s="2017"/>
      <c r="CA38" s="2017"/>
      <c r="CB38" s="2017"/>
      <c r="CC38" s="2017"/>
      <c r="CD38" s="2293"/>
      <c r="CE38" s="2016"/>
      <c r="CF38" s="2017"/>
      <c r="CG38" s="2018"/>
      <c r="CH38" s="4266"/>
      <c r="CI38" s="4285"/>
      <c r="CJ38" s="4285"/>
      <c r="CK38" s="4285"/>
      <c r="CL38" s="4266"/>
      <c r="CM38" s="2016"/>
      <c r="CN38" s="2017"/>
      <c r="CO38" s="2018"/>
      <c r="CP38" s="1860"/>
      <c r="CQ38" s="4283"/>
      <c r="CR38" s="4322"/>
      <c r="CS38" s="1861"/>
      <c r="CT38" s="2019"/>
      <c r="CU38" s="4373"/>
      <c r="CV38" s="1997"/>
      <c r="CW38" s="4265"/>
      <c r="CY38" s="4265"/>
      <c r="CZ38" s="2036"/>
      <c r="DA38" s="1997"/>
      <c r="DB38" s="2037"/>
      <c r="DC38" s="1810"/>
      <c r="DD38" s="1810"/>
      <c r="DE38" s="1810"/>
      <c r="DF38" s="1810"/>
      <c r="DG38" s="1986"/>
      <c r="DH38" s="1810"/>
    </row>
    <row r="39" spans="5:112" s="1885" customFormat="1" x14ac:dyDescent="0.2">
      <c r="I39" s="1947"/>
      <c r="J39" s="4862"/>
      <c r="K39" s="4857" t="s">
        <v>300</v>
      </c>
      <c r="L39" s="4857" t="s">
        <v>304</v>
      </c>
      <c r="M39" s="4346"/>
      <c r="N39" s="1888"/>
      <c r="O39" s="4845">
        <v>22.5</v>
      </c>
      <c r="P39" s="3328"/>
      <c r="Q39" s="4402"/>
      <c r="R39" s="4403"/>
      <c r="S39" s="1951"/>
      <c r="T39" s="4402"/>
      <c r="U39" s="4403"/>
      <c r="V39" s="1951"/>
      <c r="W39" s="4402"/>
      <c r="X39" s="4403"/>
      <c r="Y39" s="1951"/>
      <c r="Z39" s="4402"/>
      <c r="AA39" s="4403"/>
      <c r="AB39" s="1951"/>
      <c r="AC39" s="4402"/>
      <c r="AD39" s="4403"/>
      <c r="AE39" s="1951"/>
      <c r="AF39" s="4144">
        <f t="shared" ref="AF39" si="59">O39-AH39</f>
        <v>20.685487500000001</v>
      </c>
      <c r="AG39" s="4148">
        <f t="shared" ref="AG39" si="60">AF39/26</f>
        <v>0.79559567307692314</v>
      </c>
      <c r="AH39" s="4144">
        <f t="shared" ref="AH39" si="61">O39*8.0645%</f>
        <v>1.8145125000000002</v>
      </c>
      <c r="AI39" s="4158">
        <f t="shared" ref="AI39" si="62">AH39/5</f>
        <v>0.36290250000000002</v>
      </c>
      <c r="AJ39" s="4156">
        <f>O39/$O$56</f>
        <v>6.5252097854946048E-3</v>
      </c>
      <c r="AK39" s="1891"/>
      <c r="AL39" s="1950"/>
      <c r="AM39" s="2597"/>
      <c r="AN39" s="2597"/>
      <c r="AO39" s="2597"/>
      <c r="AP39" s="2597"/>
      <c r="AQ39" s="2597"/>
      <c r="AR39" s="2597"/>
      <c r="AS39" s="2597"/>
      <c r="AT39" s="4263"/>
      <c r="AU39" s="2481"/>
      <c r="AV39" s="2482"/>
      <c r="AW39" s="2483"/>
      <c r="AX39" s="1896"/>
      <c r="AY39" s="2597"/>
      <c r="AZ39" s="2597"/>
      <c r="BA39" s="2597"/>
      <c r="BB39" s="2597"/>
      <c r="BC39" s="2597"/>
      <c r="BD39" s="2597"/>
      <c r="BE39" s="2597"/>
      <c r="BF39" s="1896"/>
      <c r="BG39" s="2481"/>
      <c r="BH39" s="2482"/>
      <c r="BI39" s="2483"/>
      <c r="BJ39" s="1896"/>
      <c r="BK39" s="2482"/>
      <c r="BL39" s="2482"/>
      <c r="BM39" s="2482"/>
      <c r="BN39" s="2482"/>
      <c r="BO39" s="2482"/>
      <c r="BP39" s="2482"/>
      <c r="BQ39" s="2482"/>
      <c r="BR39" s="2295"/>
      <c r="BS39" s="2481"/>
      <c r="BT39" s="2482"/>
      <c r="BU39" s="2483"/>
      <c r="BV39" s="2295"/>
      <c r="BW39" s="2482"/>
      <c r="BX39" s="2482"/>
      <c r="BY39" s="2482"/>
      <c r="BZ39" s="2482"/>
      <c r="CA39" s="2482"/>
      <c r="CB39" s="2482"/>
      <c r="CC39" s="2482"/>
      <c r="CD39" s="2295"/>
      <c r="CE39" s="2481"/>
      <c r="CF39" s="2482"/>
      <c r="CG39" s="2483"/>
      <c r="CH39" s="4263"/>
      <c r="CI39" s="2597"/>
      <c r="CJ39" s="2597"/>
      <c r="CK39" s="2597"/>
      <c r="CL39" s="4263"/>
      <c r="CM39" s="2481"/>
      <c r="CN39" s="2482"/>
      <c r="CO39" s="2483"/>
      <c r="CP39" s="1946"/>
      <c r="CQ39" s="4333"/>
      <c r="CR39" s="4334"/>
      <c r="CS39" s="2011"/>
      <c r="CT39" s="2388"/>
      <c r="CU39" s="4374"/>
      <c r="CV39" s="2010"/>
      <c r="CW39" s="4262"/>
      <c r="CY39" s="4262"/>
      <c r="CZ39" s="2488"/>
      <c r="DA39" s="2010"/>
      <c r="DB39" s="2490"/>
      <c r="DC39" s="1906"/>
      <c r="DD39" s="1906"/>
      <c r="DE39" s="1906"/>
      <c r="DF39" s="1906"/>
      <c r="DG39" s="2386"/>
      <c r="DH39" s="1906"/>
    </row>
    <row r="40" spans="5:112" s="1885" customFormat="1" ht="17.25" thickBot="1" x14ac:dyDescent="0.25">
      <c r="I40" s="1947"/>
      <c r="J40" s="4863"/>
      <c r="K40" s="4858"/>
      <c r="L40" s="4858"/>
      <c r="M40" s="1999"/>
      <c r="N40" s="4337"/>
      <c r="O40" s="4846"/>
      <c r="P40" s="4366"/>
      <c r="Q40" s="4849"/>
      <c r="R40" s="4850"/>
      <c r="S40" s="1951"/>
      <c r="T40" s="4849"/>
      <c r="U40" s="4850"/>
      <c r="V40" s="2478"/>
      <c r="W40" s="4849"/>
      <c r="X40" s="4850"/>
      <c r="Y40" s="1951"/>
      <c r="Z40" s="4849"/>
      <c r="AA40" s="4850"/>
      <c r="AB40" s="1951"/>
      <c r="AC40" s="4849"/>
      <c r="AD40" s="4850"/>
      <c r="AE40" s="1951"/>
      <c r="AF40" s="4144"/>
      <c r="AG40" s="4148"/>
      <c r="AH40" s="4144"/>
      <c r="AI40" s="4158"/>
      <c r="AJ40" s="4156"/>
      <c r="AK40" s="1891"/>
      <c r="AL40" s="1950"/>
      <c r="AM40" s="2001"/>
      <c r="AN40" s="2001"/>
      <c r="AO40" s="2001"/>
      <c r="AP40" s="2001"/>
      <c r="AQ40" s="2001"/>
      <c r="AR40" s="2001"/>
      <c r="AS40" s="2001"/>
      <c r="AT40" s="2354"/>
      <c r="AU40" s="2004"/>
      <c r="AV40" s="2005"/>
      <c r="AW40" s="2006"/>
      <c r="AX40" s="4367"/>
      <c r="AY40" s="2001"/>
      <c r="AZ40" s="2001"/>
      <c r="BA40" s="2001"/>
      <c r="BB40" s="2001"/>
      <c r="BC40" s="2001"/>
      <c r="BD40" s="2001"/>
      <c r="BE40" s="2001"/>
      <c r="BF40" s="4367"/>
      <c r="BG40" s="2004"/>
      <c r="BH40" s="2005"/>
      <c r="BI40" s="2006"/>
      <c r="BJ40" s="4367"/>
      <c r="BK40" s="2005"/>
      <c r="BL40" s="2005"/>
      <c r="BM40" s="2005"/>
      <c r="BN40" s="2005"/>
      <c r="BO40" s="2005"/>
      <c r="BP40" s="2005"/>
      <c r="BQ40" s="2005"/>
      <c r="BR40" s="4368"/>
      <c r="BS40" s="2004"/>
      <c r="BT40" s="2005"/>
      <c r="BU40" s="2006"/>
      <c r="BV40" s="4368"/>
      <c r="BW40" s="2005"/>
      <c r="BX40" s="2005"/>
      <c r="BY40" s="2005"/>
      <c r="BZ40" s="2005"/>
      <c r="CA40" s="2005"/>
      <c r="CB40" s="2005"/>
      <c r="CC40" s="2005"/>
      <c r="CD40" s="4368"/>
      <c r="CE40" s="2004"/>
      <c r="CF40" s="2005"/>
      <c r="CG40" s="2006"/>
      <c r="CH40" s="2354"/>
      <c r="CI40" s="2001"/>
      <c r="CJ40" s="2001"/>
      <c r="CK40" s="2001"/>
      <c r="CL40" s="2354"/>
      <c r="CM40" s="2004"/>
      <c r="CN40" s="2005"/>
      <c r="CO40" s="2006"/>
      <c r="CP40" s="4369"/>
      <c r="CQ40" s="1898"/>
      <c r="CR40" s="1899"/>
      <c r="CS40" s="2201"/>
      <c r="CT40" s="2244"/>
      <c r="CU40" s="4370"/>
      <c r="CV40" s="2010"/>
      <c r="CW40" s="4262"/>
      <c r="CY40" s="4262"/>
      <c r="CZ40" s="2488"/>
      <c r="DA40" s="2010"/>
      <c r="DB40" s="2490"/>
      <c r="DC40" s="1906"/>
      <c r="DD40" s="1906"/>
      <c r="DE40" s="1906"/>
      <c r="DF40" s="1906"/>
      <c r="DG40" s="2386"/>
      <c r="DH40" s="1906"/>
    </row>
    <row r="41" spans="5:112" s="1906" customFormat="1" ht="5.25" customHeight="1" thickBot="1" x14ac:dyDescent="0.25">
      <c r="J41" s="4405"/>
      <c r="K41" s="4385"/>
      <c r="L41" s="4385"/>
      <c r="M41" s="4385"/>
      <c r="N41" s="4384"/>
      <c r="O41" s="4375"/>
      <c r="P41" s="4375"/>
      <c r="Q41" s="4375"/>
      <c r="R41" s="4375"/>
      <c r="S41" s="4375"/>
      <c r="T41" s="4375"/>
      <c r="U41" s="4375"/>
      <c r="V41" s="4375"/>
      <c r="W41" s="4375"/>
      <c r="X41" s="4375"/>
      <c r="Y41" s="4389"/>
      <c r="Z41" s="4375"/>
      <c r="AA41" s="4375"/>
      <c r="AB41" s="4375"/>
      <c r="AC41" s="4375"/>
      <c r="AD41" s="4375"/>
      <c r="AE41" s="4375"/>
      <c r="AF41" s="4386"/>
      <c r="AG41" s="4375"/>
      <c r="AH41" s="4386"/>
      <c r="AI41" s="4386"/>
      <c r="AJ41" s="4387"/>
      <c r="AK41" s="4376"/>
      <c r="AL41" s="4376"/>
      <c r="AM41" s="4375"/>
      <c r="AN41" s="4375"/>
      <c r="AO41" s="4375"/>
      <c r="AP41" s="4375"/>
      <c r="AQ41" s="4375"/>
      <c r="AR41" s="4375"/>
      <c r="AS41" s="4375"/>
      <c r="AT41" s="4375"/>
      <c r="AU41" s="4375"/>
      <c r="AV41" s="4375"/>
      <c r="AW41" s="4375"/>
      <c r="AX41" s="4388"/>
      <c r="AY41" s="4375"/>
      <c r="AZ41" s="4375"/>
      <c r="BA41" s="4375"/>
      <c r="BB41" s="4375"/>
      <c r="BC41" s="4375"/>
      <c r="BD41" s="4375"/>
      <c r="BE41" s="4375"/>
      <c r="BF41" s="4388"/>
      <c r="BG41" s="4375"/>
      <c r="BH41" s="4375"/>
      <c r="BI41" s="4375"/>
      <c r="BJ41" s="4388"/>
      <c r="BK41" s="4375"/>
      <c r="BL41" s="4375"/>
      <c r="BM41" s="4375"/>
      <c r="BN41" s="4375"/>
      <c r="BO41" s="4375"/>
      <c r="BP41" s="4375"/>
      <c r="BQ41" s="4375"/>
      <c r="BR41" s="4375"/>
      <c r="BS41" s="4375"/>
      <c r="BT41" s="4375"/>
      <c r="BU41" s="4375"/>
      <c r="BV41" s="4375"/>
      <c r="BW41" s="4375"/>
      <c r="BX41" s="4375"/>
      <c r="BY41" s="4375"/>
      <c r="BZ41" s="4375"/>
      <c r="CA41" s="4375"/>
      <c r="CB41" s="4375"/>
      <c r="CC41" s="4375"/>
      <c r="CD41" s="4375"/>
      <c r="CE41" s="4375"/>
      <c r="CF41" s="4375"/>
      <c r="CG41" s="4375"/>
      <c r="CH41" s="4375"/>
      <c r="CI41" s="4375"/>
      <c r="CJ41" s="4375"/>
      <c r="CK41" s="4375"/>
      <c r="CL41" s="4375"/>
      <c r="CM41" s="4375"/>
      <c r="CN41" s="4375"/>
      <c r="CO41" s="4375"/>
      <c r="CP41" s="4384"/>
      <c r="CQ41" s="4375"/>
      <c r="CR41" s="4387"/>
      <c r="CS41" s="4385"/>
      <c r="CT41" s="4375"/>
      <c r="CU41" s="4387"/>
      <c r="CV41" s="1962"/>
      <c r="CW41" s="1905"/>
      <c r="CY41" s="1905"/>
      <c r="CZ41" s="1962"/>
      <c r="DA41" s="1962"/>
      <c r="DB41" s="2638"/>
    </row>
    <row r="42" spans="5:112" s="1726" customFormat="1" x14ac:dyDescent="0.2">
      <c r="J42" s="3547">
        <v>24</v>
      </c>
      <c r="K42" s="4323"/>
      <c r="L42" s="4324" t="s">
        <v>240</v>
      </c>
      <c r="M42" s="4336"/>
      <c r="N42" s="1727"/>
      <c r="O42" s="4286">
        <v>30</v>
      </c>
      <c r="P42" s="2287"/>
      <c r="Q42" s="4286"/>
      <c r="R42" s="4286"/>
      <c r="S42" s="2287"/>
      <c r="T42" s="4286"/>
      <c r="U42" s="4286"/>
      <c r="V42" s="2287"/>
      <c r="W42" s="4286"/>
      <c r="X42" s="4286"/>
      <c r="Y42" s="2287"/>
      <c r="Z42" s="4286"/>
      <c r="AA42" s="4286"/>
      <c r="AB42" s="2287"/>
      <c r="AC42" s="4286"/>
      <c r="AD42" s="4325"/>
      <c r="AE42" s="4280"/>
      <c r="AF42" s="4326">
        <f t="shared" si="43"/>
        <v>27.580649999999999</v>
      </c>
      <c r="AG42" s="4327">
        <f t="shared" si="44"/>
        <v>1.0607942307692306</v>
      </c>
      <c r="AH42" s="4326">
        <f t="shared" si="45"/>
        <v>2.4193500000000001</v>
      </c>
      <c r="AI42" s="4327">
        <f t="shared" si="46"/>
        <v>0.48387000000000002</v>
      </c>
      <c r="AJ42" s="4328">
        <f t="shared" ref="AJ42:AJ54" si="63">O42/$O$56</f>
        <v>8.7002797139928058E-3</v>
      </c>
      <c r="AK42" s="1931"/>
      <c r="AL42" s="1924"/>
      <c r="AM42" s="4286">
        <f>$AG$42</f>
        <v>1.0607942307692306</v>
      </c>
      <c r="AN42" s="4286">
        <f>$AG$42</f>
        <v>1.0607942307692306</v>
      </c>
      <c r="AO42" s="4286">
        <f>$AI$42</f>
        <v>0.48387000000000002</v>
      </c>
      <c r="AP42" s="4286">
        <f>$AG$42</f>
        <v>1.0607942307692306</v>
      </c>
      <c r="AQ42" s="4286">
        <f>$AG$42</f>
        <v>1.0607942307692306</v>
      </c>
      <c r="AR42" s="4286">
        <f>$AG$42</f>
        <v>1.0607942307692306</v>
      </c>
      <c r="AS42" s="4286">
        <f>$AG$42</f>
        <v>1.0607942307692306</v>
      </c>
      <c r="AT42" s="4266"/>
      <c r="AU42" s="4329">
        <f t="shared" si="55"/>
        <v>6.8486353846153847</v>
      </c>
      <c r="AV42" s="4330">
        <f t="shared" si="34"/>
        <v>10.689111454933279</v>
      </c>
      <c r="AW42" s="4331">
        <f>AV42-AU42</f>
        <v>3.8404760703178944</v>
      </c>
      <c r="AX42" s="1881"/>
      <c r="AY42" s="4286"/>
      <c r="AZ42" s="4286"/>
      <c r="BA42" s="4286"/>
      <c r="BB42" s="4286"/>
      <c r="BC42" s="4286"/>
      <c r="BD42" s="4286"/>
      <c r="BE42" s="4286"/>
      <c r="BF42" s="1881"/>
      <c r="BG42" s="4329">
        <f t="shared" si="48"/>
        <v>0</v>
      </c>
      <c r="BH42" s="4330" t="e">
        <f t="shared" si="35"/>
        <v>#DIV/0!</v>
      </c>
      <c r="BI42" s="4331" t="e">
        <f t="shared" si="49"/>
        <v>#DIV/0!</v>
      </c>
      <c r="BJ42" s="1881"/>
      <c r="BK42" s="4330"/>
      <c r="BL42" s="4330"/>
      <c r="BM42" s="4330"/>
      <c r="BN42" s="4330"/>
      <c r="BO42" s="4330"/>
      <c r="BP42" s="4330"/>
      <c r="BQ42" s="4330"/>
      <c r="BR42" s="2293"/>
      <c r="BS42" s="4329">
        <f t="shared" si="50"/>
        <v>0</v>
      </c>
      <c r="BT42" s="4330" t="e">
        <f t="shared" si="36"/>
        <v>#DIV/0!</v>
      </c>
      <c r="BU42" s="4331" t="e">
        <f t="shared" si="51"/>
        <v>#DIV/0!</v>
      </c>
      <c r="BV42" s="2293"/>
      <c r="BW42" s="4330"/>
      <c r="BX42" s="4330"/>
      <c r="BY42" s="4330"/>
      <c r="BZ42" s="4330"/>
      <c r="CA42" s="4330"/>
      <c r="CB42" s="4330"/>
      <c r="CC42" s="4330"/>
      <c r="CD42" s="2293"/>
      <c r="CE42" s="4329">
        <f t="shared" si="52"/>
        <v>0</v>
      </c>
      <c r="CF42" s="4330" t="e">
        <f t="shared" si="37"/>
        <v>#DIV/0!</v>
      </c>
      <c r="CG42" s="4331" t="e">
        <f t="shared" si="53"/>
        <v>#DIV/0!</v>
      </c>
      <c r="CH42" s="4266"/>
      <c r="CI42" s="4286"/>
      <c r="CJ42" s="4286"/>
      <c r="CK42" s="4286"/>
      <c r="CL42" s="4266"/>
      <c r="CM42" s="4329">
        <f t="shared" si="38"/>
        <v>0</v>
      </c>
      <c r="CN42" s="4330" t="e">
        <f t="shared" si="39"/>
        <v>#DIV/0!</v>
      </c>
      <c r="CO42" s="4331" t="e">
        <f t="shared" si="56"/>
        <v>#DIV/0!</v>
      </c>
      <c r="CQ42" s="4284">
        <v>0</v>
      </c>
      <c r="CR42" s="4332">
        <f t="shared" si="40"/>
        <v>0</v>
      </c>
      <c r="CS42" s="1740"/>
      <c r="CT42" s="3539">
        <f t="shared" si="41"/>
        <v>6.8486353846153847</v>
      </c>
      <c r="CU42" s="2346">
        <f t="shared" si="42"/>
        <v>0.22828784615384615</v>
      </c>
      <c r="CV42" s="1997"/>
      <c r="CW42" s="4265"/>
      <c r="CY42" s="4265"/>
      <c r="CZ42" s="2961"/>
      <c r="DA42" s="1861"/>
      <c r="DB42" s="1861"/>
      <c r="DC42" s="1810"/>
      <c r="DD42" s="1810"/>
      <c r="DE42" s="1810"/>
      <c r="DF42" s="1810"/>
      <c r="DG42" s="1986"/>
      <c r="DH42" s="1810"/>
    </row>
    <row r="43" spans="5:112" s="1885" customFormat="1" x14ac:dyDescent="0.2">
      <c r="J43" s="2580">
        <v>25</v>
      </c>
      <c r="K43" s="4311"/>
      <c r="L43" s="4312" t="s">
        <v>254</v>
      </c>
      <c r="M43" s="4335"/>
      <c r="N43" s="1888"/>
      <c r="O43" s="2597">
        <v>26.35</v>
      </c>
      <c r="P43" s="3323"/>
      <c r="Q43" s="2597"/>
      <c r="R43" s="2597"/>
      <c r="S43" s="3323"/>
      <c r="T43" s="2597"/>
      <c r="U43" s="2597"/>
      <c r="V43" s="3323"/>
      <c r="W43" s="2597"/>
      <c r="X43" s="2597"/>
      <c r="Y43" s="3323"/>
      <c r="Z43" s="2597"/>
      <c r="AA43" s="2597"/>
      <c r="AB43" s="3323"/>
      <c r="AC43" s="2597"/>
      <c r="AD43" s="4141"/>
      <c r="AE43" s="1951"/>
      <c r="AF43" s="4144">
        <f t="shared" si="43"/>
        <v>24.225004250000001</v>
      </c>
      <c r="AG43" s="4148">
        <f t="shared" si="44"/>
        <v>0.93173093269230778</v>
      </c>
      <c r="AH43" s="4144">
        <f t="shared" si="45"/>
        <v>2.1249957500000005</v>
      </c>
      <c r="AI43" s="4158">
        <f t="shared" si="46"/>
        <v>0.4249991500000001</v>
      </c>
      <c r="AJ43" s="4157">
        <f t="shared" si="63"/>
        <v>7.6417456821236815E-3</v>
      </c>
      <c r="AK43" s="2003"/>
      <c r="AL43" s="1950"/>
      <c r="AM43" s="2001">
        <f>$AG$43</f>
        <v>0.93173093269230778</v>
      </c>
      <c r="AN43" s="2001">
        <f>$AG$43</f>
        <v>0.93173093269230778</v>
      </c>
      <c r="AO43" s="2001">
        <f>$AI$43</f>
        <v>0.4249991500000001</v>
      </c>
      <c r="AP43" s="2001">
        <f>$AG$43</f>
        <v>0.93173093269230778</v>
      </c>
      <c r="AQ43" s="2001">
        <f>$AG$43</f>
        <v>0.93173093269230778</v>
      </c>
      <c r="AR43" s="2001">
        <f>$AG$43</f>
        <v>0.93173093269230778</v>
      </c>
      <c r="AS43" s="2001">
        <f>$AG$43</f>
        <v>0.93173093269230778</v>
      </c>
      <c r="AT43" s="4263"/>
      <c r="AU43" s="2481">
        <f t="shared" si="55"/>
        <v>6.0153847461538454</v>
      </c>
      <c r="AV43" s="2482">
        <f t="shared" si="34"/>
        <v>9.3886028945830624</v>
      </c>
      <c r="AW43" s="2483">
        <f t="shared" si="47"/>
        <v>3.373218148429217</v>
      </c>
      <c r="AX43" s="1896"/>
      <c r="AY43" s="2001"/>
      <c r="AZ43" s="2001"/>
      <c r="BA43" s="2001"/>
      <c r="BB43" s="2001"/>
      <c r="BC43" s="2001"/>
      <c r="BD43" s="2001"/>
      <c r="BE43" s="2001"/>
      <c r="BF43" s="1896"/>
      <c r="BG43" s="2481">
        <f t="shared" si="48"/>
        <v>0</v>
      </c>
      <c r="BH43" s="2482" t="e">
        <f t="shared" si="35"/>
        <v>#DIV/0!</v>
      </c>
      <c r="BI43" s="2483" t="e">
        <f t="shared" si="49"/>
        <v>#DIV/0!</v>
      </c>
      <c r="BJ43" s="1896"/>
      <c r="BK43" s="2005"/>
      <c r="BL43" s="2005"/>
      <c r="BM43" s="2005"/>
      <c r="BN43" s="2005"/>
      <c r="BO43" s="2005"/>
      <c r="BP43" s="2005"/>
      <c r="BQ43" s="2005"/>
      <c r="BR43" s="2295"/>
      <c r="BS43" s="2481">
        <f t="shared" si="50"/>
        <v>0</v>
      </c>
      <c r="BT43" s="2482" t="e">
        <f t="shared" si="36"/>
        <v>#DIV/0!</v>
      </c>
      <c r="BU43" s="2483" t="e">
        <f t="shared" si="51"/>
        <v>#DIV/0!</v>
      </c>
      <c r="BV43" s="2295"/>
      <c r="BW43" s="2005"/>
      <c r="BX43" s="2005"/>
      <c r="BY43" s="2005"/>
      <c r="BZ43" s="2005"/>
      <c r="CA43" s="2005"/>
      <c r="CB43" s="2005"/>
      <c r="CC43" s="2005"/>
      <c r="CD43" s="2295"/>
      <c r="CE43" s="2481">
        <f t="shared" si="52"/>
        <v>0</v>
      </c>
      <c r="CF43" s="2482" t="e">
        <f t="shared" si="37"/>
        <v>#DIV/0!</v>
      </c>
      <c r="CG43" s="2483" t="e">
        <f t="shared" si="53"/>
        <v>#DIV/0!</v>
      </c>
      <c r="CH43" s="4263"/>
      <c r="CI43" s="2001"/>
      <c r="CJ43" s="2001"/>
      <c r="CK43" s="2001"/>
      <c r="CL43" s="4263"/>
      <c r="CM43" s="2481">
        <f t="shared" si="38"/>
        <v>0</v>
      </c>
      <c r="CN43" s="2482" t="e">
        <f t="shared" si="39"/>
        <v>#DIV/0!</v>
      </c>
      <c r="CO43" s="2483" t="e">
        <f t="shared" si="56"/>
        <v>#DIV/0!</v>
      </c>
      <c r="CQ43" s="1898">
        <v>0</v>
      </c>
      <c r="CR43" s="1899">
        <f t="shared" si="40"/>
        <v>0</v>
      </c>
      <c r="CS43" s="1900"/>
      <c r="CT43" s="2388">
        <f t="shared" si="41"/>
        <v>6.0153847461538454</v>
      </c>
      <c r="CU43" s="2389">
        <f t="shared" si="42"/>
        <v>0.22828784615384612</v>
      </c>
      <c r="CV43" s="2010"/>
      <c r="CW43" s="4262"/>
      <c r="CY43" s="4262"/>
      <c r="CZ43" s="2488"/>
      <c r="DA43" s="2404" t="s">
        <v>155</v>
      </c>
      <c r="DB43" s="2010" t="s">
        <v>156</v>
      </c>
      <c r="DC43" s="1906"/>
      <c r="DD43" s="1906"/>
      <c r="DE43" s="1906"/>
      <c r="DF43" s="1906"/>
      <c r="DG43" s="2386"/>
      <c r="DH43" s="1906"/>
    </row>
    <row r="44" spans="5:112" s="1726" customFormat="1" x14ac:dyDescent="0.2">
      <c r="J44" s="1963">
        <v>26</v>
      </c>
      <c r="K44" s="4307"/>
      <c r="L44" s="4308" t="s">
        <v>205</v>
      </c>
      <c r="M44" s="4336"/>
      <c r="N44" s="1727"/>
      <c r="O44" s="1728">
        <v>25.5</v>
      </c>
      <c r="P44" s="2287"/>
      <c r="Q44" s="1728"/>
      <c r="R44" s="1728"/>
      <c r="S44" s="2287"/>
      <c r="T44" s="1728"/>
      <c r="U44" s="1728"/>
      <c r="V44" s="2287"/>
      <c r="W44" s="1728"/>
      <c r="X44" s="1728"/>
      <c r="Y44" s="2287"/>
      <c r="Z44" s="1728"/>
      <c r="AA44" s="1728"/>
      <c r="AB44" s="2287"/>
      <c r="AC44" s="1728"/>
      <c r="AD44" s="4138"/>
      <c r="AE44" s="4280"/>
      <c r="AF44" s="4142">
        <f t="shared" si="43"/>
        <v>23.443552499999999</v>
      </c>
      <c r="AG44" s="4143">
        <f t="shared" si="44"/>
        <v>0.90167509615384611</v>
      </c>
      <c r="AH44" s="4142">
        <f t="shared" si="45"/>
        <v>2.0564475000000004</v>
      </c>
      <c r="AI44" s="4143">
        <f t="shared" si="46"/>
        <v>0.41128950000000009</v>
      </c>
      <c r="AJ44" s="4155">
        <f t="shared" si="63"/>
        <v>7.3952377568938851E-3</v>
      </c>
      <c r="AK44" s="1931"/>
      <c r="AL44" s="1924"/>
      <c r="AM44" s="1728">
        <f>$AG$44</f>
        <v>0.90167509615384611</v>
      </c>
      <c r="AN44" s="1728">
        <f>$AG$44</f>
        <v>0.90167509615384611</v>
      </c>
      <c r="AO44" s="1728">
        <f>$AI$44</f>
        <v>0.41128950000000009</v>
      </c>
      <c r="AP44" s="1728">
        <f>$AG$44</f>
        <v>0.90167509615384611</v>
      </c>
      <c r="AQ44" s="1728">
        <f>$AG$44</f>
        <v>0.90167509615384611</v>
      </c>
      <c r="AR44" s="1728">
        <f>$AG$44</f>
        <v>0.90167509615384611</v>
      </c>
      <c r="AS44" s="1728">
        <f>$AG$44</f>
        <v>0.90167509615384611</v>
      </c>
      <c r="AT44" s="4266"/>
      <c r="AU44" s="2016">
        <f t="shared" si="55"/>
        <v>5.8213400769230761</v>
      </c>
      <c r="AV44" s="2017">
        <f t="shared" si="34"/>
        <v>9.085744736693286</v>
      </c>
      <c r="AW44" s="2018">
        <f t="shared" si="47"/>
        <v>3.2644046597702099</v>
      </c>
      <c r="AX44" s="1881"/>
      <c r="AY44" s="1728"/>
      <c r="AZ44" s="1728"/>
      <c r="BA44" s="1728"/>
      <c r="BB44" s="1728"/>
      <c r="BC44" s="1728"/>
      <c r="BD44" s="1728"/>
      <c r="BE44" s="1728"/>
      <c r="BF44" s="1881"/>
      <c r="BG44" s="2016">
        <f>SUM(AY44:BE44)</f>
        <v>0</v>
      </c>
      <c r="BH44" s="2017" t="e">
        <f t="shared" si="35"/>
        <v>#DIV/0!</v>
      </c>
      <c r="BI44" s="2018" t="e">
        <f>BH44-BG44</f>
        <v>#DIV/0!</v>
      </c>
      <c r="BJ44" s="1881"/>
      <c r="BK44" s="2268"/>
      <c r="BL44" s="2268"/>
      <c r="BM44" s="2268"/>
      <c r="BN44" s="2268"/>
      <c r="BO44" s="2268"/>
      <c r="BP44" s="2268"/>
      <c r="BQ44" s="2268"/>
      <c r="BR44" s="2293"/>
      <c r="BS44" s="2016">
        <f t="shared" si="50"/>
        <v>0</v>
      </c>
      <c r="BT44" s="2017" t="e">
        <f t="shared" si="36"/>
        <v>#DIV/0!</v>
      </c>
      <c r="BU44" s="2018" t="e">
        <f t="shared" si="51"/>
        <v>#DIV/0!</v>
      </c>
      <c r="BV44" s="2293"/>
      <c r="BW44" s="2268"/>
      <c r="BX44" s="2268"/>
      <c r="BY44" s="2268"/>
      <c r="BZ44" s="2268"/>
      <c r="CA44" s="2268"/>
      <c r="CB44" s="2268"/>
      <c r="CC44" s="2268"/>
      <c r="CD44" s="2293"/>
      <c r="CE44" s="2016">
        <f t="shared" si="52"/>
        <v>0</v>
      </c>
      <c r="CF44" s="2017" t="e">
        <f t="shared" si="37"/>
        <v>#DIV/0!</v>
      </c>
      <c r="CG44" s="2018" t="e">
        <f t="shared" si="53"/>
        <v>#DIV/0!</v>
      </c>
      <c r="CH44" s="4266"/>
      <c r="CI44" s="1728"/>
      <c r="CJ44" s="1728"/>
      <c r="CK44" s="1728"/>
      <c r="CL44" s="4266"/>
      <c r="CM44" s="2016">
        <f t="shared" si="38"/>
        <v>0</v>
      </c>
      <c r="CN44" s="2017" t="e">
        <f t="shared" si="39"/>
        <v>#DIV/0!</v>
      </c>
      <c r="CO44" s="2018" t="e">
        <f t="shared" si="56"/>
        <v>#DIV/0!</v>
      </c>
      <c r="CQ44" s="1732">
        <v>0</v>
      </c>
      <c r="CR44" s="1882">
        <f t="shared" si="40"/>
        <v>0</v>
      </c>
      <c r="CS44" s="1740"/>
      <c r="CT44" s="2019">
        <f t="shared" si="41"/>
        <v>5.8213400769230761</v>
      </c>
      <c r="CU44" s="2020">
        <f t="shared" si="42"/>
        <v>0.22828784615384612</v>
      </c>
      <c r="CV44" s="1997"/>
      <c r="CW44" s="4265"/>
      <c r="CY44" s="4265"/>
      <c r="CZ44" s="2036" t="s">
        <v>159</v>
      </c>
      <c r="DA44" s="2059">
        <v>0.5</v>
      </c>
      <c r="DB44" s="1997">
        <f>IF(DB28&lt;=DA44,DB28," ")</f>
        <v>0.22580645161290322</v>
      </c>
      <c r="DC44" s="1810"/>
      <c r="DD44" s="1810"/>
      <c r="DE44" s="1810"/>
      <c r="DF44" s="1810"/>
      <c r="DG44" s="1986"/>
      <c r="DH44" s="1810"/>
    </row>
    <row r="45" spans="5:112" s="1885" customFormat="1" x14ac:dyDescent="0.2">
      <c r="J45" s="2000">
        <v>27</v>
      </c>
      <c r="K45" s="4309"/>
      <c r="L45" s="4310" t="s">
        <v>206</v>
      </c>
      <c r="M45" s="4335"/>
      <c r="N45" s="1888"/>
      <c r="O45" s="2001">
        <v>16.7</v>
      </c>
      <c r="P45" s="3323"/>
      <c r="Q45" s="2001"/>
      <c r="R45" s="2001"/>
      <c r="S45" s="3323"/>
      <c r="T45" s="2001"/>
      <c r="U45" s="2001"/>
      <c r="V45" s="3323"/>
      <c r="W45" s="2001"/>
      <c r="X45" s="2001"/>
      <c r="Y45" s="3323"/>
      <c r="Z45" s="2001"/>
      <c r="AA45" s="2001"/>
      <c r="AB45" s="3323"/>
      <c r="AC45" s="2001"/>
      <c r="AD45" s="4140"/>
      <c r="AE45" s="1951"/>
      <c r="AF45" s="4144">
        <f t="shared" si="43"/>
        <v>15.3532285</v>
      </c>
      <c r="AG45" s="4148">
        <f t="shared" si="44"/>
        <v>0.59050878846153843</v>
      </c>
      <c r="AH45" s="4144">
        <f t="shared" si="45"/>
        <v>1.3467715</v>
      </c>
      <c r="AI45" s="4158">
        <f t="shared" si="46"/>
        <v>0.26935429999999999</v>
      </c>
      <c r="AJ45" s="4156">
        <f t="shared" si="63"/>
        <v>4.8431557074559949E-3</v>
      </c>
      <c r="AK45" s="2003"/>
      <c r="AL45" s="1950"/>
      <c r="AM45" s="2001">
        <f>$AG$45</f>
        <v>0.59050878846153843</v>
      </c>
      <c r="AN45" s="2001">
        <f>$AG$45</f>
        <v>0.59050878846153843</v>
      </c>
      <c r="AO45" s="2001">
        <f>$AI$45</f>
        <v>0.26935429999999999</v>
      </c>
      <c r="AP45" s="2001">
        <f>$AG$45</f>
        <v>0.59050878846153843</v>
      </c>
      <c r="AQ45" s="2001">
        <f>$AG$45</f>
        <v>0.59050878846153843</v>
      </c>
      <c r="AR45" s="2001">
        <f>$AG$45</f>
        <v>0.59050878846153843</v>
      </c>
      <c r="AS45" s="2001">
        <f>$AG$45</f>
        <v>0.59050878846153843</v>
      </c>
      <c r="AT45" s="4263"/>
      <c r="AU45" s="2481">
        <f t="shared" si="55"/>
        <v>3.812407030769231</v>
      </c>
      <c r="AV45" s="2482">
        <f t="shared" si="34"/>
        <v>5.9502720432461906</v>
      </c>
      <c r="AW45" s="2483">
        <f t="shared" si="47"/>
        <v>2.1378650124769596</v>
      </c>
      <c r="AX45" s="1896"/>
      <c r="AY45" s="2001"/>
      <c r="AZ45" s="2001"/>
      <c r="BA45" s="2001"/>
      <c r="BB45" s="2001"/>
      <c r="BC45" s="2001"/>
      <c r="BD45" s="2001"/>
      <c r="BE45" s="2001"/>
      <c r="BF45" s="1896"/>
      <c r="BG45" s="2481">
        <f t="shared" ref="BG45:BG51" si="64">SUM(AY45:BE45)</f>
        <v>0</v>
      </c>
      <c r="BH45" s="2482" t="e">
        <f t="shared" si="35"/>
        <v>#DIV/0!</v>
      </c>
      <c r="BI45" s="2483" t="e">
        <f t="shared" ref="BI45:BI51" si="65">BH45-BG45</f>
        <v>#DIV/0!</v>
      </c>
      <c r="BJ45" s="1896"/>
      <c r="BK45" s="2005"/>
      <c r="BL45" s="2005"/>
      <c r="BM45" s="2005"/>
      <c r="BN45" s="2005"/>
      <c r="BO45" s="2005"/>
      <c r="BP45" s="2005"/>
      <c r="BQ45" s="2005"/>
      <c r="BR45" s="2295"/>
      <c r="BS45" s="2481">
        <f t="shared" si="50"/>
        <v>0</v>
      </c>
      <c r="BT45" s="2482" t="e">
        <f t="shared" si="36"/>
        <v>#DIV/0!</v>
      </c>
      <c r="BU45" s="2483" t="e">
        <f t="shared" si="51"/>
        <v>#DIV/0!</v>
      </c>
      <c r="BV45" s="2295"/>
      <c r="BW45" s="2005"/>
      <c r="BX45" s="2005"/>
      <c r="BY45" s="2005"/>
      <c r="BZ45" s="2005"/>
      <c r="CA45" s="2005"/>
      <c r="CB45" s="2005"/>
      <c r="CC45" s="2005"/>
      <c r="CD45" s="2295"/>
      <c r="CE45" s="2481">
        <f t="shared" si="52"/>
        <v>0</v>
      </c>
      <c r="CF45" s="2482" t="e">
        <f t="shared" si="37"/>
        <v>#DIV/0!</v>
      </c>
      <c r="CG45" s="2483" t="e">
        <f t="shared" si="53"/>
        <v>#DIV/0!</v>
      </c>
      <c r="CH45" s="4263"/>
      <c r="CI45" s="2001"/>
      <c r="CJ45" s="2001"/>
      <c r="CK45" s="2001"/>
      <c r="CL45" s="4263"/>
      <c r="CM45" s="2481">
        <f t="shared" si="38"/>
        <v>0</v>
      </c>
      <c r="CN45" s="2482" t="e">
        <f t="shared" si="39"/>
        <v>#DIV/0!</v>
      </c>
      <c r="CO45" s="2483" t="e">
        <f t="shared" si="56"/>
        <v>#DIV/0!</v>
      </c>
      <c r="CQ45" s="1898">
        <v>0</v>
      </c>
      <c r="CR45" s="1899">
        <f t="shared" si="40"/>
        <v>0</v>
      </c>
      <c r="CS45" s="1900"/>
      <c r="CT45" s="2388">
        <f t="shared" si="41"/>
        <v>3.812407030769231</v>
      </c>
      <c r="CU45" s="2389">
        <f t="shared" si="42"/>
        <v>0.22828784615384617</v>
      </c>
      <c r="CV45" s="2010"/>
      <c r="CW45" s="4262"/>
      <c r="CY45" s="4262"/>
      <c r="CZ45" s="2637" t="s">
        <v>160</v>
      </c>
      <c r="DA45" s="2339">
        <v>0.75</v>
      </c>
      <c r="DB45" s="1962" t="str">
        <f>IF(AND(DB28&gt;DA44,DB28&lt;=DA45),DB28," ")</f>
        <v xml:space="preserve"> </v>
      </c>
      <c r="DC45" s="1906"/>
      <c r="DD45" s="1906"/>
      <c r="DE45" s="1906"/>
      <c r="DF45" s="1906"/>
      <c r="DG45" s="2386"/>
      <c r="DH45" s="1906"/>
    </row>
    <row r="46" spans="5:112" s="1726" customFormat="1" x14ac:dyDescent="0.2">
      <c r="J46" s="2508">
        <v>28</v>
      </c>
      <c r="K46" s="4313"/>
      <c r="L46" s="4308" t="s">
        <v>258</v>
      </c>
      <c r="M46" s="4336"/>
      <c r="N46" s="1727"/>
      <c r="O46" s="1728">
        <v>15</v>
      </c>
      <c r="P46" s="2287"/>
      <c r="Q46" s="1728"/>
      <c r="R46" s="1728"/>
      <c r="S46" s="2287"/>
      <c r="T46" s="1728"/>
      <c r="U46" s="1728"/>
      <c r="V46" s="2287"/>
      <c r="W46" s="1728"/>
      <c r="X46" s="1728"/>
      <c r="Y46" s="2287"/>
      <c r="Z46" s="1728"/>
      <c r="AA46" s="1728"/>
      <c r="AB46" s="2287"/>
      <c r="AC46" s="1728"/>
      <c r="AD46" s="4138"/>
      <c r="AE46" s="4280"/>
      <c r="AF46" s="4142">
        <f t="shared" si="43"/>
        <v>13.790324999999999</v>
      </c>
      <c r="AG46" s="4143">
        <f t="shared" si="44"/>
        <v>0.53039711538461531</v>
      </c>
      <c r="AH46" s="4142">
        <f t="shared" si="45"/>
        <v>1.2096750000000001</v>
      </c>
      <c r="AI46" s="4143">
        <f t="shared" si="46"/>
        <v>0.24193500000000001</v>
      </c>
      <c r="AJ46" s="4155">
        <f t="shared" si="63"/>
        <v>4.3501398569964029E-3</v>
      </c>
      <c r="AK46" s="1931"/>
      <c r="AL46" s="1924"/>
      <c r="AM46" s="1728">
        <f>$AG$46</f>
        <v>0.53039711538461531</v>
      </c>
      <c r="AN46" s="1728">
        <f>$AG$46</f>
        <v>0.53039711538461531</v>
      </c>
      <c r="AO46" s="1728">
        <f>$AI$46</f>
        <v>0.24193500000000001</v>
      </c>
      <c r="AP46" s="1728">
        <f>$AG$46</f>
        <v>0.53039711538461531</v>
      </c>
      <c r="AQ46" s="1728">
        <f>$AG$46</f>
        <v>0.53039711538461531</v>
      </c>
      <c r="AR46" s="1728">
        <f>$AG$46</f>
        <v>0.53039711538461531</v>
      </c>
      <c r="AS46" s="1728">
        <f>$AG$46</f>
        <v>0.53039711538461531</v>
      </c>
      <c r="AT46" s="4266"/>
      <c r="AU46" s="2016">
        <f t="shared" si="55"/>
        <v>3.4243176923076923</v>
      </c>
      <c r="AV46" s="2017">
        <f t="shared" si="34"/>
        <v>5.3445557274666395</v>
      </c>
      <c r="AW46" s="2018">
        <f t="shared" si="47"/>
        <v>1.9202380351589472</v>
      </c>
      <c r="AX46" s="1881"/>
      <c r="AY46" s="1728"/>
      <c r="AZ46" s="1728"/>
      <c r="BA46" s="1728"/>
      <c r="BB46" s="1728"/>
      <c r="BC46" s="1728"/>
      <c r="BD46" s="1728"/>
      <c r="BE46" s="1728"/>
      <c r="BF46" s="1881"/>
      <c r="BG46" s="2016">
        <f t="shared" si="64"/>
        <v>0</v>
      </c>
      <c r="BH46" s="2017" t="e">
        <f t="shared" si="35"/>
        <v>#DIV/0!</v>
      </c>
      <c r="BI46" s="2018" t="e">
        <f t="shared" si="65"/>
        <v>#DIV/0!</v>
      </c>
      <c r="BJ46" s="1881"/>
      <c r="BK46" s="2268"/>
      <c r="BL46" s="2268"/>
      <c r="BM46" s="2268"/>
      <c r="BN46" s="2268"/>
      <c r="BO46" s="2268"/>
      <c r="BP46" s="2268"/>
      <c r="BQ46" s="2268"/>
      <c r="BR46" s="2293"/>
      <c r="BS46" s="2016">
        <f t="shared" si="50"/>
        <v>0</v>
      </c>
      <c r="BT46" s="2017" t="e">
        <f t="shared" si="36"/>
        <v>#DIV/0!</v>
      </c>
      <c r="BU46" s="2018" t="e">
        <f t="shared" si="51"/>
        <v>#DIV/0!</v>
      </c>
      <c r="BV46" s="2293"/>
      <c r="BW46" s="2268"/>
      <c r="BX46" s="2268"/>
      <c r="BY46" s="2268"/>
      <c r="BZ46" s="2268"/>
      <c r="CA46" s="2268"/>
      <c r="CB46" s="2268"/>
      <c r="CC46" s="2268"/>
      <c r="CD46" s="2293"/>
      <c r="CE46" s="2016">
        <f t="shared" si="52"/>
        <v>0</v>
      </c>
      <c r="CF46" s="2017" t="e">
        <f t="shared" si="37"/>
        <v>#DIV/0!</v>
      </c>
      <c r="CG46" s="2018" t="e">
        <f t="shared" si="53"/>
        <v>#DIV/0!</v>
      </c>
      <c r="CH46" s="4266"/>
      <c r="CI46" s="1728"/>
      <c r="CJ46" s="1728"/>
      <c r="CK46" s="1728"/>
      <c r="CL46" s="4266"/>
      <c r="CM46" s="2016">
        <f t="shared" si="38"/>
        <v>0</v>
      </c>
      <c r="CN46" s="2017" t="e">
        <f t="shared" si="39"/>
        <v>#DIV/0!</v>
      </c>
      <c r="CO46" s="2018" t="e">
        <f t="shared" si="56"/>
        <v>#DIV/0!</v>
      </c>
      <c r="CQ46" s="1732">
        <v>0</v>
      </c>
      <c r="CR46" s="1882">
        <f t="shared" si="40"/>
        <v>0</v>
      </c>
      <c r="CS46" s="1740"/>
      <c r="CT46" s="2019">
        <f t="shared" si="41"/>
        <v>3.4243176923076923</v>
      </c>
      <c r="CU46" s="2020">
        <f t="shared" si="42"/>
        <v>0.22828784615384615</v>
      </c>
      <c r="CV46" s="1997"/>
      <c r="CW46" s="4265"/>
      <c r="CY46" s="4265"/>
      <c r="CZ46" s="2036" t="s">
        <v>161</v>
      </c>
      <c r="DA46" s="2059">
        <v>1</v>
      </c>
      <c r="DB46" s="2037" t="str">
        <f>IF(DB28&gt;DA45,DB28," ")</f>
        <v xml:space="preserve"> </v>
      </c>
      <c r="DC46" s="1810"/>
      <c r="DD46" s="1810"/>
      <c r="DE46" s="1810"/>
      <c r="DF46" s="1810"/>
      <c r="DG46" s="1986"/>
      <c r="DH46" s="1810"/>
    </row>
    <row r="47" spans="5:112" s="1885" customFormat="1" x14ac:dyDescent="0.2">
      <c r="J47" s="2000">
        <v>29</v>
      </c>
      <c r="K47" s="4309"/>
      <c r="L47" s="4310" t="s">
        <v>259</v>
      </c>
      <c r="M47" s="4335"/>
      <c r="N47" s="1888"/>
      <c r="O47" s="2001">
        <v>15</v>
      </c>
      <c r="P47" s="3323"/>
      <c r="Q47" s="2001"/>
      <c r="R47" s="2001"/>
      <c r="S47" s="3323"/>
      <c r="T47" s="2001"/>
      <c r="U47" s="2001"/>
      <c r="V47" s="3323"/>
      <c r="W47" s="2001"/>
      <c r="X47" s="2001"/>
      <c r="Y47" s="3323"/>
      <c r="Z47" s="2001"/>
      <c r="AA47" s="2001"/>
      <c r="AB47" s="3323"/>
      <c r="AC47" s="2001"/>
      <c r="AD47" s="4140"/>
      <c r="AE47" s="1951"/>
      <c r="AF47" s="4144">
        <f t="shared" si="43"/>
        <v>13.790324999999999</v>
      </c>
      <c r="AG47" s="4148">
        <f t="shared" si="44"/>
        <v>0.53039711538461531</v>
      </c>
      <c r="AH47" s="4144">
        <f t="shared" si="45"/>
        <v>1.2096750000000001</v>
      </c>
      <c r="AI47" s="4158">
        <f t="shared" si="46"/>
        <v>0.24193500000000001</v>
      </c>
      <c r="AJ47" s="4156">
        <f t="shared" si="63"/>
        <v>4.3501398569964029E-3</v>
      </c>
      <c r="AK47" s="2003"/>
      <c r="AL47" s="1950"/>
      <c r="AM47" s="2001">
        <f>$AG$47</f>
        <v>0.53039711538461531</v>
      </c>
      <c r="AN47" s="2001">
        <f>$AG$47</f>
        <v>0.53039711538461531</v>
      </c>
      <c r="AO47" s="2001">
        <f>$AI$47</f>
        <v>0.24193500000000001</v>
      </c>
      <c r="AP47" s="2001">
        <f>$AG$47</f>
        <v>0.53039711538461531</v>
      </c>
      <c r="AQ47" s="2001">
        <f>$AG$47</f>
        <v>0.53039711538461531</v>
      </c>
      <c r="AR47" s="2001">
        <f>$AG$47</f>
        <v>0.53039711538461531</v>
      </c>
      <c r="AS47" s="2001">
        <f>$AG$47</f>
        <v>0.53039711538461531</v>
      </c>
      <c r="AT47" s="4263"/>
      <c r="AU47" s="2481">
        <f t="shared" si="55"/>
        <v>3.4243176923076923</v>
      </c>
      <c r="AV47" s="2482">
        <f t="shared" si="34"/>
        <v>5.3445557274666395</v>
      </c>
      <c r="AW47" s="2483">
        <f t="shared" si="47"/>
        <v>1.9202380351589472</v>
      </c>
      <c r="AX47" s="1896"/>
      <c r="AY47" s="2001"/>
      <c r="AZ47" s="2001"/>
      <c r="BA47" s="2001"/>
      <c r="BB47" s="2001"/>
      <c r="BC47" s="2001"/>
      <c r="BD47" s="2001"/>
      <c r="BE47" s="2001"/>
      <c r="BF47" s="1896"/>
      <c r="BG47" s="2481">
        <f t="shared" si="64"/>
        <v>0</v>
      </c>
      <c r="BH47" s="2482" t="e">
        <f t="shared" si="35"/>
        <v>#DIV/0!</v>
      </c>
      <c r="BI47" s="2483" t="e">
        <f t="shared" si="65"/>
        <v>#DIV/0!</v>
      </c>
      <c r="BJ47" s="1896"/>
      <c r="BK47" s="2005"/>
      <c r="BL47" s="2005"/>
      <c r="BM47" s="2005"/>
      <c r="BN47" s="2005"/>
      <c r="BO47" s="2005"/>
      <c r="BP47" s="2005"/>
      <c r="BQ47" s="2005"/>
      <c r="BR47" s="2295"/>
      <c r="BS47" s="2481">
        <f t="shared" si="50"/>
        <v>0</v>
      </c>
      <c r="BT47" s="2482" t="e">
        <f t="shared" si="36"/>
        <v>#DIV/0!</v>
      </c>
      <c r="BU47" s="2483" t="e">
        <f t="shared" si="51"/>
        <v>#DIV/0!</v>
      </c>
      <c r="BV47" s="2295"/>
      <c r="BW47" s="2005"/>
      <c r="BX47" s="2005"/>
      <c r="BY47" s="2005"/>
      <c r="BZ47" s="2005"/>
      <c r="CA47" s="2005"/>
      <c r="CB47" s="2005"/>
      <c r="CC47" s="2005"/>
      <c r="CD47" s="2295"/>
      <c r="CE47" s="2481">
        <f t="shared" si="52"/>
        <v>0</v>
      </c>
      <c r="CF47" s="2482" t="e">
        <f t="shared" si="37"/>
        <v>#DIV/0!</v>
      </c>
      <c r="CG47" s="2483" t="e">
        <f t="shared" si="53"/>
        <v>#DIV/0!</v>
      </c>
      <c r="CH47" s="4263"/>
      <c r="CI47" s="2001"/>
      <c r="CJ47" s="2001"/>
      <c r="CK47" s="2001"/>
      <c r="CL47" s="4263"/>
      <c r="CM47" s="2481">
        <f t="shared" si="38"/>
        <v>0</v>
      </c>
      <c r="CN47" s="2482" t="e">
        <f t="shared" si="39"/>
        <v>#DIV/0!</v>
      </c>
      <c r="CO47" s="2483" t="e">
        <f t="shared" si="56"/>
        <v>#DIV/0!</v>
      </c>
      <c r="CQ47" s="1898">
        <v>0</v>
      </c>
      <c r="CR47" s="1899">
        <f t="shared" si="40"/>
        <v>0</v>
      </c>
      <c r="CS47" s="1900"/>
      <c r="CT47" s="2388">
        <f t="shared" si="41"/>
        <v>3.4243176923076923</v>
      </c>
      <c r="CU47" s="2389">
        <f t="shared" si="42"/>
        <v>0.22828784615384615</v>
      </c>
      <c r="CV47" s="2010"/>
      <c r="CW47" s="4262"/>
      <c r="CY47" s="4262"/>
      <c r="CZ47" s="2488"/>
      <c r="DA47" s="2404" t="s">
        <v>158</v>
      </c>
      <c r="DB47" s="2490">
        <f>MAX(100%,DB28)-DB28</f>
        <v>0.77419354838709675</v>
      </c>
      <c r="DC47" s="1906"/>
      <c r="DD47" s="1906"/>
      <c r="DE47" s="1906"/>
      <c r="DF47" s="1906"/>
      <c r="DG47" s="2386"/>
      <c r="DH47" s="1906"/>
    </row>
    <row r="48" spans="5:112" s="1726" customFormat="1" ht="17.25" thickBot="1" x14ac:dyDescent="0.25">
      <c r="J48" s="1963">
        <v>30</v>
      </c>
      <c r="K48" s="4307"/>
      <c r="L48" s="4308" t="s">
        <v>244</v>
      </c>
      <c r="M48" s="4336"/>
      <c r="N48" s="1727"/>
      <c r="O48" s="1728">
        <v>5</v>
      </c>
      <c r="P48" s="2287"/>
      <c r="Q48" s="1728"/>
      <c r="R48" s="1728"/>
      <c r="S48" s="2287"/>
      <c r="T48" s="1728"/>
      <c r="U48" s="1728"/>
      <c r="V48" s="2287"/>
      <c r="W48" s="1728"/>
      <c r="X48" s="1728"/>
      <c r="Y48" s="2287"/>
      <c r="Z48" s="1728"/>
      <c r="AA48" s="1728"/>
      <c r="AB48" s="2287"/>
      <c r="AC48" s="1728"/>
      <c r="AD48" s="4138"/>
      <c r="AE48" s="4280"/>
      <c r="AF48" s="4142">
        <f t="shared" si="43"/>
        <v>4.5967750000000001</v>
      </c>
      <c r="AG48" s="4143">
        <f t="shared" si="44"/>
        <v>0.17679903846153847</v>
      </c>
      <c r="AH48" s="4142">
        <f t="shared" si="45"/>
        <v>0.40322500000000006</v>
      </c>
      <c r="AI48" s="4143">
        <f t="shared" si="46"/>
        <v>8.0645000000000008E-2</v>
      </c>
      <c r="AJ48" s="4155">
        <f t="shared" si="63"/>
        <v>1.450046618998801E-3</v>
      </c>
      <c r="AK48" s="1931"/>
      <c r="AL48" s="1924"/>
      <c r="AM48" s="1728">
        <f>$AG$48</f>
        <v>0.17679903846153847</v>
      </c>
      <c r="AN48" s="1728">
        <f>$AG$48</f>
        <v>0.17679903846153847</v>
      </c>
      <c r="AO48" s="1728">
        <f>$AI$48</f>
        <v>8.0645000000000008E-2</v>
      </c>
      <c r="AP48" s="1728">
        <f>$AG$48</f>
        <v>0.17679903846153847</v>
      </c>
      <c r="AQ48" s="1728">
        <f>$AG$48</f>
        <v>0.17679903846153847</v>
      </c>
      <c r="AR48" s="1728">
        <f>$AG$48</f>
        <v>0.17679903846153847</v>
      </c>
      <c r="AS48" s="1728">
        <f>$AG$48</f>
        <v>0.17679903846153847</v>
      </c>
      <c r="AT48" s="4266"/>
      <c r="AU48" s="2016">
        <f t="shared" si="55"/>
        <v>1.1414392307692307</v>
      </c>
      <c r="AV48" s="2017">
        <f t="shared" si="34"/>
        <v>1.7815185758222132</v>
      </c>
      <c r="AW48" s="2018">
        <f t="shared" si="47"/>
        <v>0.64007934505298247</v>
      </c>
      <c r="AX48" s="1881"/>
      <c r="AY48" s="1728"/>
      <c r="AZ48" s="1728"/>
      <c r="BA48" s="1728"/>
      <c r="BB48" s="1728"/>
      <c r="BC48" s="1728"/>
      <c r="BD48" s="1728"/>
      <c r="BE48" s="1728"/>
      <c r="BF48" s="1881"/>
      <c r="BG48" s="2016">
        <f t="shared" si="64"/>
        <v>0</v>
      </c>
      <c r="BH48" s="2017" t="e">
        <f t="shared" si="35"/>
        <v>#DIV/0!</v>
      </c>
      <c r="BI48" s="2018" t="e">
        <f t="shared" si="65"/>
        <v>#DIV/0!</v>
      </c>
      <c r="BJ48" s="1881"/>
      <c r="BK48" s="2268"/>
      <c r="BL48" s="2268"/>
      <c r="BM48" s="2268"/>
      <c r="BN48" s="2268"/>
      <c r="BO48" s="2268"/>
      <c r="BP48" s="2268"/>
      <c r="BQ48" s="2268"/>
      <c r="BR48" s="2293"/>
      <c r="BS48" s="2016">
        <f t="shared" si="50"/>
        <v>0</v>
      </c>
      <c r="BT48" s="2017" t="e">
        <f t="shared" si="36"/>
        <v>#DIV/0!</v>
      </c>
      <c r="BU48" s="2018" t="e">
        <f t="shared" si="51"/>
        <v>#DIV/0!</v>
      </c>
      <c r="BV48" s="2293"/>
      <c r="BW48" s="2268"/>
      <c r="BX48" s="2268"/>
      <c r="BY48" s="2268"/>
      <c r="BZ48" s="2268"/>
      <c r="CA48" s="2268"/>
      <c r="CB48" s="2268"/>
      <c r="CC48" s="2268"/>
      <c r="CD48" s="2293"/>
      <c r="CE48" s="2016">
        <f t="shared" si="52"/>
        <v>0</v>
      </c>
      <c r="CF48" s="2017" t="e">
        <f t="shared" si="37"/>
        <v>#DIV/0!</v>
      </c>
      <c r="CG48" s="2018" t="e">
        <f t="shared" si="53"/>
        <v>#DIV/0!</v>
      </c>
      <c r="CH48" s="4266"/>
      <c r="CI48" s="1728"/>
      <c r="CJ48" s="1728"/>
      <c r="CK48" s="1728"/>
      <c r="CL48" s="4266"/>
      <c r="CM48" s="2016">
        <f t="shared" si="38"/>
        <v>0</v>
      </c>
      <c r="CN48" s="2017" t="e">
        <f t="shared" si="39"/>
        <v>#DIV/0!</v>
      </c>
      <c r="CO48" s="2018" t="e">
        <f t="shared" si="56"/>
        <v>#DIV/0!</v>
      </c>
      <c r="CQ48" s="1732">
        <v>0</v>
      </c>
      <c r="CR48" s="1882">
        <f t="shared" si="40"/>
        <v>0</v>
      </c>
      <c r="CS48" s="1740"/>
      <c r="CT48" s="2019">
        <f t="shared" si="41"/>
        <v>1.1414392307692307</v>
      </c>
      <c r="CU48" s="2020">
        <f t="shared" si="42"/>
        <v>0.22828784615384615</v>
      </c>
      <c r="CV48" s="1997"/>
      <c r="CW48" s="4265"/>
      <c r="CY48" s="4265"/>
      <c r="CZ48" s="2984"/>
      <c r="DA48" s="2985"/>
      <c r="DB48" s="2649"/>
      <c r="DC48" s="2986"/>
      <c r="DD48" s="2986"/>
      <c r="DE48" s="2986"/>
      <c r="DF48" s="2986"/>
      <c r="DG48" s="2987"/>
      <c r="DH48" s="1810"/>
    </row>
    <row r="49" spans="9:112" s="1885" customFormat="1" x14ac:dyDescent="0.2">
      <c r="J49" s="2580">
        <v>31</v>
      </c>
      <c r="K49" s="4311"/>
      <c r="L49" s="4314" t="s">
        <v>257</v>
      </c>
      <c r="M49" s="4350"/>
      <c r="N49" s="1744"/>
      <c r="O49" s="1746">
        <v>0</v>
      </c>
      <c r="P49" s="2288"/>
      <c r="Q49" s="1746"/>
      <c r="R49" s="1746"/>
      <c r="S49" s="2288"/>
      <c r="T49" s="1746"/>
      <c r="U49" s="1746"/>
      <c r="V49" s="2288"/>
      <c r="W49" s="1746"/>
      <c r="X49" s="1746"/>
      <c r="Y49" s="2288"/>
      <c r="Z49" s="1746"/>
      <c r="AA49" s="1746"/>
      <c r="AB49" s="2288"/>
      <c r="AC49" s="1746"/>
      <c r="AD49" s="4139"/>
      <c r="AE49" s="1801"/>
      <c r="AF49" s="4144">
        <f t="shared" si="43"/>
        <v>0</v>
      </c>
      <c r="AG49" s="4148">
        <f t="shared" si="44"/>
        <v>0</v>
      </c>
      <c r="AH49" s="4144">
        <f t="shared" si="45"/>
        <v>0</v>
      </c>
      <c r="AI49" s="4158">
        <f t="shared" si="46"/>
        <v>0</v>
      </c>
      <c r="AJ49" s="4154">
        <f t="shared" si="63"/>
        <v>0</v>
      </c>
      <c r="AK49" s="2003"/>
      <c r="AL49" s="1950"/>
      <c r="AM49" s="2001">
        <f>$AG$49</f>
        <v>0</v>
      </c>
      <c r="AN49" s="2001">
        <f>$AG$49</f>
        <v>0</v>
      </c>
      <c r="AO49" s="2001">
        <f>$AI$49</f>
        <v>0</v>
      </c>
      <c r="AP49" s="2001">
        <f>$AG$49</f>
        <v>0</v>
      </c>
      <c r="AQ49" s="2001">
        <f>$AG$49</f>
        <v>0</v>
      </c>
      <c r="AR49" s="2001">
        <f>$AG$49</f>
        <v>0</v>
      </c>
      <c r="AS49" s="2001">
        <f>$AG$49</f>
        <v>0</v>
      </c>
      <c r="AT49" s="4263"/>
      <c r="AU49" s="2481">
        <f t="shared" si="55"/>
        <v>0</v>
      </c>
      <c r="AV49" s="2482">
        <f t="shared" si="34"/>
        <v>0</v>
      </c>
      <c r="AW49" s="2483">
        <f t="shared" si="47"/>
        <v>0</v>
      </c>
      <c r="AX49" s="1896"/>
      <c r="AY49" s="2001"/>
      <c r="AZ49" s="2001"/>
      <c r="BA49" s="2001"/>
      <c r="BB49" s="2001"/>
      <c r="BC49" s="2001"/>
      <c r="BD49" s="2001"/>
      <c r="BE49" s="2001"/>
      <c r="BF49" s="1896"/>
      <c r="BG49" s="2481">
        <f t="shared" si="64"/>
        <v>0</v>
      </c>
      <c r="BH49" s="2482" t="e">
        <f t="shared" si="35"/>
        <v>#DIV/0!</v>
      </c>
      <c r="BI49" s="2483" t="e">
        <f t="shared" si="65"/>
        <v>#DIV/0!</v>
      </c>
      <c r="BJ49" s="1896"/>
      <c r="BK49" s="2005"/>
      <c r="BL49" s="2005"/>
      <c r="BM49" s="2005"/>
      <c r="BN49" s="2005"/>
      <c r="BO49" s="2005"/>
      <c r="BP49" s="2005"/>
      <c r="BQ49" s="2005"/>
      <c r="BR49" s="2295"/>
      <c r="BS49" s="2016">
        <f t="shared" si="50"/>
        <v>0</v>
      </c>
      <c r="BT49" s="2482" t="e">
        <f t="shared" si="36"/>
        <v>#DIV/0!</v>
      </c>
      <c r="BU49" s="2483" t="e">
        <f t="shared" si="51"/>
        <v>#DIV/0!</v>
      </c>
      <c r="BV49" s="2295"/>
      <c r="BW49" s="2005"/>
      <c r="BX49" s="2005"/>
      <c r="BY49" s="2005"/>
      <c r="BZ49" s="2005"/>
      <c r="CA49" s="2005"/>
      <c r="CB49" s="2005"/>
      <c r="CC49" s="2005"/>
      <c r="CD49" s="2295"/>
      <c r="CE49" s="2481">
        <f t="shared" si="52"/>
        <v>0</v>
      </c>
      <c r="CF49" s="2482" t="e">
        <f t="shared" si="37"/>
        <v>#DIV/0!</v>
      </c>
      <c r="CG49" s="2483" t="e">
        <f t="shared" si="53"/>
        <v>#DIV/0!</v>
      </c>
      <c r="CH49" s="4263"/>
      <c r="CI49" s="2001"/>
      <c r="CJ49" s="2001"/>
      <c r="CK49" s="2001"/>
      <c r="CL49" s="4263"/>
      <c r="CM49" s="2481">
        <f t="shared" si="38"/>
        <v>0</v>
      </c>
      <c r="CN49" s="2482" t="e">
        <f t="shared" si="39"/>
        <v>#DIV/0!</v>
      </c>
      <c r="CO49" s="2483" t="e">
        <f t="shared" si="56"/>
        <v>#DIV/0!</v>
      </c>
      <c r="CQ49" s="1898">
        <v>0</v>
      </c>
      <c r="CR49" s="1899" t="e">
        <f t="shared" si="40"/>
        <v>#DIV/0!</v>
      </c>
      <c r="CS49" s="1900"/>
      <c r="CT49" s="2388">
        <f t="shared" si="41"/>
        <v>0</v>
      </c>
      <c r="CU49" s="2389" t="e">
        <f t="shared" si="42"/>
        <v>#DIV/0!</v>
      </c>
      <c r="CV49" s="2010"/>
      <c r="CW49" s="4262"/>
      <c r="CY49" s="4262"/>
      <c r="CZ49" s="2988"/>
      <c r="DA49" s="2989"/>
      <c r="DB49" s="2990"/>
      <c r="DC49" s="2991"/>
      <c r="DD49" s="2991"/>
      <c r="DE49" s="2991"/>
      <c r="DF49" s="2991"/>
      <c r="DG49" s="2991"/>
      <c r="DH49" s="1906"/>
    </row>
    <row r="50" spans="9:112" s="1726" customFormat="1" x14ac:dyDescent="0.2">
      <c r="J50" s="1963">
        <v>32</v>
      </c>
      <c r="K50" s="4307"/>
      <c r="L50" s="4308" t="s">
        <v>230</v>
      </c>
      <c r="M50" s="4336"/>
      <c r="N50" s="1727"/>
      <c r="O50" s="1728">
        <v>0</v>
      </c>
      <c r="P50" s="2287"/>
      <c r="Q50" s="1728"/>
      <c r="R50" s="1728"/>
      <c r="S50" s="2287"/>
      <c r="T50" s="1728"/>
      <c r="U50" s="1728"/>
      <c r="V50" s="2287"/>
      <c r="W50" s="1728"/>
      <c r="X50" s="1728"/>
      <c r="Y50" s="2287"/>
      <c r="Z50" s="1728"/>
      <c r="AA50" s="1728"/>
      <c r="AB50" s="2287"/>
      <c r="AC50" s="1728"/>
      <c r="AD50" s="4138"/>
      <c r="AE50" s="4280"/>
      <c r="AF50" s="4142">
        <f t="shared" si="43"/>
        <v>0</v>
      </c>
      <c r="AG50" s="4143">
        <f t="shared" si="44"/>
        <v>0</v>
      </c>
      <c r="AH50" s="4142">
        <f t="shared" si="45"/>
        <v>0</v>
      </c>
      <c r="AI50" s="4143">
        <f t="shared" si="46"/>
        <v>0</v>
      </c>
      <c r="AJ50" s="4155">
        <f t="shared" si="63"/>
        <v>0</v>
      </c>
      <c r="AK50" s="1931"/>
      <c r="AL50" s="1924"/>
      <c r="AM50" s="1728">
        <f>$AG$50</f>
        <v>0</v>
      </c>
      <c r="AN50" s="1728">
        <f>$AG$50</f>
        <v>0</v>
      </c>
      <c r="AO50" s="1728">
        <f>$AI$50</f>
        <v>0</v>
      </c>
      <c r="AP50" s="1728">
        <f>$AG$50</f>
        <v>0</v>
      </c>
      <c r="AQ50" s="1728">
        <f>$AG$50</f>
        <v>0</v>
      </c>
      <c r="AR50" s="1728">
        <f>$AG$50</f>
        <v>0</v>
      </c>
      <c r="AS50" s="1728">
        <f>$AG$50</f>
        <v>0</v>
      </c>
      <c r="AT50" s="4266"/>
      <c r="AU50" s="2016">
        <f t="shared" si="55"/>
        <v>0</v>
      </c>
      <c r="AV50" s="2017">
        <f t="shared" si="34"/>
        <v>0</v>
      </c>
      <c r="AW50" s="2018">
        <f t="shared" si="47"/>
        <v>0</v>
      </c>
      <c r="AX50" s="1881"/>
      <c r="AY50" s="1728"/>
      <c r="AZ50" s="1728"/>
      <c r="BA50" s="1728"/>
      <c r="BB50" s="1728"/>
      <c r="BC50" s="1728"/>
      <c r="BD50" s="1728"/>
      <c r="BE50" s="1728"/>
      <c r="BF50" s="1881"/>
      <c r="BG50" s="2016">
        <f t="shared" si="64"/>
        <v>0</v>
      </c>
      <c r="BH50" s="2017" t="e">
        <f t="shared" si="35"/>
        <v>#DIV/0!</v>
      </c>
      <c r="BI50" s="2018" t="e">
        <f t="shared" si="65"/>
        <v>#DIV/0!</v>
      </c>
      <c r="BJ50" s="1881"/>
      <c r="BK50" s="2268"/>
      <c r="BL50" s="2268"/>
      <c r="BM50" s="2268"/>
      <c r="BN50" s="2268"/>
      <c r="BO50" s="2268"/>
      <c r="BP50" s="2268"/>
      <c r="BQ50" s="2268"/>
      <c r="BR50" s="2293"/>
      <c r="BS50" s="2016">
        <f t="shared" si="50"/>
        <v>0</v>
      </c>
      <c r="BT50" s="2017" t="e">
        <f t="shared" si="36"/>
        <v>#DIV/0!</v>
      </c>
      <c r="BU50" s="2018" t="e">
        <f t="shared" si="51"/>
        <v>#DIV/0!</v>
      </c>
      <c r="BV50" s="2293"/>
      <c r="BW50" s="2268"/>
      <c r="BX50" s="2268"/>
      <c r="BY50" s="2268"/>
      <c r="BZ50" s="2268"/>
      <c r="CA50" s="2268"/>
      <c r="CB50" s="2268"/>
      <c r="CC50" s="2268"/>
      <c r="CD50" s="2293"/>
      <c r="CE50" s="2016">
        <f t="shared" si="52"/>
        <v>0</v>
      </c>
      <c r="CF50" s="2017" t="e">
        <f t="shared" si="37"/>
        <v>#DIV/0!</v>
      </c>
      <c r="CG50" s="2018" t="e">
        <f t="shared" si="53"/>
        <v>#DIV/0!</v>
      </c>
      <c r="CH50" s="4266"/>
      <c r="CI50" s="1728"/>
      <c r="CJ50" s="1728"/>
      <c r="CK50" s="1728"/>
      <c r="CL50" s="4266"/>
      <c r="CM50" s="2016">
        <f t="shared" si="38"/>
        <v>0</v>
      </c>
      <c r="CN50" s="2017" t="e">
        <f t="shared" si="39"/>
        <v>#DIV/0!</v>
      </c>
      <c r="CO50" s="2018" t="e">
        <f t="shared" si="56"/>
        <v>#DIV/0!</v>
      </c>
      <c r="CQ50" s="1732">
        <v>0</v>
      </c>
      <c r="CR50" s="1882" t="e">
        <f t="shared" si="40"/>
        <v>#DIV/0!</v>
      </c>
      <c r="CS50" s="1740"/>
      <c r="CT50" s="2019">
        <f t="shared" si="41"/>
        <v>0</v>
      </c>
      <c r="CU50" s="2020" t="e">
        <f t="shared" si="42"/>
        <v>#DIV/0!</v>
      </c>
      <c r="CV50" s="1997"/>
      <c r="CW50" s="4265"/>
      <c r="CY50" s="4265"/>
      <c r="CZ50" s="2992"/>
      <c r="DA50" s="1830"/>
      <c r="DB50" s="1817"/>
      <c r="DC50" s="1810"/>
      <c r="DD50" s="1810"/>
      <c r="DE50" s="1810"/>
      <c r="DF50" s="1810"/>
      <c r="DG50" s="1810"/>
      <c r="DH50" s="1810"/>
    </row>
    <row r="51" spans="9:112" s="1885" customFormat="1" x14ac:dyDescent="0.2">
      <c r="J51" s="2000">
        <v>33</v>
      </c>
      <c r="K51" s="4309"/>
      <c r="L51" s="4310" t="s">
        <v>199</v>
      </c>
      <c r="M51" s="4335"/>
      <c r="N51" s="1888"/>
      <c r="O51" s="2001">
        <v>0</v>
      </c>
      <c r="P51" s="3323"/>
      <c r="Q51" s="2001"/>
      <c r="R51" s="2001"/>
      <c r="S51" s="3323"/>
      <c r="T51" s="2001"/>
      <c r="U51" s="2001"/>
      <c r="V51" s="3323"/>
      <c r="W51" s="2001"/>
      <c r="X51" s="2001"/>
      <c r="Y51" s="3323"/>
      <c r="Z51" s="2001"/>
      <c r="AA51" s="2001"/>
      <c r="AB51" s="3323"/>
      <c r="AC51" s="2001"/>
      <c r="AD51" s="4140"/>
      <c r="AE51" s="1951"/>
      <c r="AF51" s="4144">
        <f t="shared" si="43"/>
        <v>0</v>
      </c>
      <c r="AG51" s="4148">
        <f t="shared" si="44"/>
        <v>0</v>
      </c>
      <c r="AH51" s="4144">
        <f t="shared" si="45"/>
        <v>0</v>
      </c>
      <c r="AI51" s="4158">
        <f t="shared" si="46"/>
        <v>0</v>
      </c>
      <c r="AJ51" s="4156">
        <f t="shared" si="63"/>
        <v>0</v>
      </c>
      <c r="AK51" s="2003"/>
      <c r="AL51" s="1950"/>
      <c r="AM51" s="2001">
        <f>$AG$51</f>
        <v>0</v>
      </c>
      <c r="AN51" s="2001">
        <f>$AG$51</f>
        <v>0</v>
      </c>
      <c r="AO51" s="2001">
        <f>$AI$51</f>
        <v>0</v>
      </c>
      <c r="AP51" s="2001">
        <f>$AG$51</f>
        <v>0</v>
      </c>
      <c r="AQ51" s="2001">
        <f>$AG$51</f>
        <v>0</v>
      </c>
      <c r="AR51" s="2001">
        <f>$AG$51</f>
        <v>0</v>
      </c>
      <c r="AS51" s="2001">
        <f>$AG$51</f>
        <v>0</v>
      </c>
      <c r="AT51" s="4263"/>
      <c r="AU51" s="2481">
        <f t="shared" si="55"/>
        <v>0</v>
      </c>
      <c r="AV51" s="2482">
        <f t="shared" si="34"/>
        <v>0</v>
      </c>
      <c r="AW51" s="2483">
        <f t="shared" si="47"/>
        <v>0</v>
      </c>
      <c r="AX51" s="1896"/>
      <c r="AY51" s="2001"/>
      <c r="AZ51" s="2001"/>
      <c r="BA51" s="2001"/>
      <c r="BB51" s="2001"/>
      <c r="BC51" s="2001"/>
      <c r="BD51" s="2001"/>
      <c r="BE51" s="2001"/>
      <c r="BF51" s="1896"/>
      <c r="BG51" s="2481">
        <f t="shared" si="64"/>
        <v>0</v>
      </c>
      <c r="BH51" s="2482" t="e">
        <f t="shared" si="35"/>
        <v>#DIV/0!</v>
      </c>
      <c r="BI51" s="2483" t="e">
        <f t="shared" si="65"/>
        <v>#DIV/0!</v>
      </c>
      <c r="BJ51" s="1896"/>
      <c r="BK51" s="2005"/>
      <c r="BL51" s="2005"/>
      <c r="BM51" s="2005"/>
      <c r="BN51" s="2005"/>
      <c r="BO51" s="2005"/>
      <c r="BP51" s="2005"/>
      <c r="BQ51" s="2005"/>
      <c r="BR51" s="2295"/>
      <c r="BS51" s="2016">
        <f t="shared" si="50"/>
        <v>0</v>
      </c>
      <c r="BT51" s="2482" t="e">
        <f t="shared" si="36"/>
        <v>#DIV/0!</v>
      </c>
      <c r="BU51" s="2483" t="e">
        <f t="shared" si="51"/>
        <v>#DIV/0!</v>
      </c>
      <c r="BV51" s="2295"/>
      <c r="BW51" s="2005"/>
      <c r="BX51" s="2005"/>
      <c r="BY51" s="2005"/>
      <c r="BZ51" s="2005"/>
      <c r="CA51" s="2005"/>
      <c r="CB51" s="2005"/>
      <c r="CC51" s="2005"/>
      <c r="CD51" s="2295"/>
      <c r="CE51" s="2481">
        <f t="shared" si="52"/>
        <v>0</v>
      </c>
      <c r="CF51" s="2482" t="e">
        <f t="shared" si="37"/>
        <v>#DIV/0!</v>
      </c>
      <c r="CG51" s="2483" t="e">
        <f t="shared" si="53"/>
        <v>#DIV/0!</v>
      </c>
      <c r="CH51" s="4263"/>
      <c r="CI51" s="2001"/>
      <c r="CJ51" s="2001"/>
      <c r="CK51" s="2001"/>
      <c r="CL51" s="4263"/>
      <c r="CM51" s="2481">
        <f t="shared" si="38"/>
        <v>0</v>
      </c>
      <c r="CN51" s="2482" t="e">
        <f t="shared" si="39"/>
        <v>#DIV/0!</v>
      </c>
      <c r="CO51" s="2483" t="e">
        <f t="shared" si="56"/>
        <v>#DIV/0!</v>
      </c>
      <c r="CQ51" s="1898">
        <v>0</v>
      </c>
      <c r="CR51" s="1899" t="e">
        <f t="shared" si="40"/>
        <v>#DIV/0!</v>
      </c>
      <c r="CS51" s="1900"/>
      <c r="CT51" s="2388">
        <f t="shared" si="41"/>
        <v>0</v>
      </c>
      <c r="CU51" s="2389" t="e">
        <f t="shared" si="42"/>
        <v>#DIV/0!</v>
      </c>
      <c r="CV51" s="2010"/>
      <c r="CW51" s="4262"/>
      <c r="CY51" s="4262"/>
      <c r="CZ51" s="2993"/>
      <c r="DA51" s="1962"/>
      <c r="DB51" s="1960"/>
      <c r="DC51" s="1906"/>
      <c r="DD51" s="1906"/>
      <c r="DE51" s="1906"/>
      <c r="DF51" s="1906"/>
      <c r="DG51" s="1906"/>
      <c r="DH51" s="1906"/>
    </row>
    <row r="52" spans="9:112" s="1726" customFormat="1" x14ac:dyDescent="0.2">
      <c r="J52" s="2508">
        <v>34</v>
      </c>
      <c r="K52" s="4313"/>
      <c r="L52" s="4308" t="s">
        <v>284</v>
      </c>
      <c r="M52" s="4336"/>
      <c r="N52" s="1727"/>
      <c r="O52" s="1728">
        <v>0</v>
      </c>
      <c r="P52" s="2287"/>
      <c r="Q52" s="1728"/>
      <c r="R52" s="1728"/>
      <c r="S52" s="2287"/>
      <c r="T52" s="1728"/>
      <c r="U52" s="1728"/>
      <c r="V52" s="2287"/>
      <c r="W52" s="1728"/>
      <c r="X52" s="1728"/>
      <c r="Y52" s="2287"/>
      <c r="Z52" s="1728"/>
      <c r="AA52" s="1728"/>
      <c r="AB52" s="2287"/>
      <c r="AC52" s="1728"/>
      <c r="AD52" s="4138"/>
      <c r="AE52" s="4280"/>
      <c r="AF52" s="4142">
        <f t="shared" si="43"/>
        <v>0</v>
      </c>
      <c r="AG52" s="4143">
        <f t="shared" si="44"/>
        <v>0</v>
      </c>
      <c r="AH52" s="4142">
        <f t="shared" si="45"/>
        <v>0</v>
      </c>
      <c r="AI52" s="4143">
        <f t="shared" si="46"/>
        <v>0</v>
      </c>
      <c r="AJ52" s="4155">
        <f t="shared" si="63"/>
        <v>0</v>
      </c>
      <c r="AK52" s="1931"/>
      <c r="AL52" s="1924"/>
      <c r="AM52" s="1728">
        <f>$AG$52</f>
        <v>0</v>
      </c>
      <c r="AN52" s="1728">
        <f>$AG$52</f>
        <v>0</v>
      </c>
      <c r="AO52" s="1728">
        <f>$AI$52</f>
        <v>0</v>
      </c>
      <c r="AP52" s="1728">
        <f>$AG$52</f>
        <v>0</v>
      </c>
      <c r="AQ52" s="1728">
        <f>$AG$52</f>
        <v>0</v>
      </c>
      <c r="AR52" s="1728">
        <f>$AG$52</f>
        <v>0</v>
      </c>
      <c r="AS52" s="1728">
        <f>$AG$52</f>
        <v>0</v>
      </c>
      <c r="AT52" s="4266"/>
      <c r="AU52" s="2016">
        <f t="shared" si="55"/>
        <v>0</v>
      </c>
      <c r="AV52" s="2017">
        <f t="shared" si="34"/>
        <v>0</v>
      </c>
      <c r="AW52" s="2018">
        <f t="shared" si="47"/>
        <v>0</v>
      </c>
      <c r="AX52" s="1881"/>
      <c r="AY52" s="1728"/>
      <c r="AZ52" s="1728"/>
      <c r="BA52" s="1728"/>
      <c r="BB52" s="1728"/>
      <c r="BC52" s="1728"/>
      <c r="BD52" s="1728"/>
      <c r="BE52" s="1728"/>
      <c r="BF52" s="1881"/>
      <c r="BG52" s="2016">
        <f t="shared" si="48"/>
        <v>0</v>
      </c>
      <c r="BH52" s="2017" t="e">
        <f t="shared" si="35"/>
        <v>#DIV/0!</v>
      </c>
      <c r="BI52" s="2018" t="e">
        <f t="shared" si="49"/>
        <v>#DIV/0!</v>
      </c>
      <c r="BJ52" s="1881"/>
      <c r="BK52" s="2268"/>
      <c r="BL52" s="2268"/>
      <c r="BM52" s="2268"/>
      <c r="BN52" s="2268"/>
      <c r="BO52" s="2268"/>
      <c r="BP52" s="2268"/>
      <c r="BQ52" s="2268"/>
      <c r="BR52" s="2293"/>
      <c r="BS52" s="2016">
        <f t="shared" si="50"/>
        <v>0</v>
      </c>
      <c r="BT52" s="2017" t="e">
        <f t="shared" si="36"/>
        <v>#DIV/0!</v>
      </c>
      <c r="BU52" s="2018" t="e">
        <f t="shared" si="51"/>
        <v>#DIV/0!</v>
      </c>
      <c r="BV52" s="2293"/>
      <c r="BW52" s="2268"/>
      <c r="BX52" s="2268"/>
      <c r="BY52" s="2268"/>
      <c r="BZ52" s="2268"/>
      <c r="CA52" s="2268"/>
      <c r="CB52" s="2268"/>
      <c r="CC52" s="2268"/>
      <c r="CD52" s="2293"/>
      <c r="CE52" s="2016">
        <f t="shared" si="52"/>
        <v>0</v>
      </c>
      <c r="CF52" s="2017" t="e">
        <f t="shared" si="37"/>
        <v>#DIV/0!</v>
      </c>
      <c r="CG52" s="2018" t="e">
        <f t="shared" si="53"/>
        <v>#DIV/0!</v>
      </c>
      <c r="CH52" s="4266"/>
      <c r="CI52" s="1728"/>
      <c r="CJ52" s="1728"/>
      <c r="CK52" s="1728"/>
      <c r="CL52" s="4266"/>
      <c r="CM52" s="2016">
        <f t="shared" si="38"/>
        <v>0</v>
      </c>
      <c r="CN52" s="2017" t="e">
        <f t="shared" si="39"/>
        <v>#DIV/0!</v>
      </c>
      <c r="CO52" s="2018" t="e">
        <f t="shared" si="56"/>
        <v>#DIV/0!</v>
      </c>
      <c r="CQ52" s="1732">
        <v>0</v>
      </c>
      <c r="CR52" s="1882" t="e">
        <f t="shared" si="40"/>
        <v>#DIV/0!</v>
      </c>
      <c r="CS52" s="1740"/>
      <c r="CT52" s="2019">
        <f t="shared" si="41"/>
        <v>0</v>
      </c>
      <c r="CU52" s="2020" t="e">
        <f t="shared" si="42"/>
        <v>#DIV/0!</v>
      </c>
      <c r="CV52" s="1997"/>
      <c r="CW52" s="4265"/>
      <c r="CY52" s="4265"/>
      <c r="CZ52" s="2992"/>
      <c r="DA52" s="1830"/>
      <c r="DB52" s="1817"/>
      <c r="DC52" s="1810"/>
      <c r="DD52" s="1810"/>
      <c r="DE52" s="1810"/>
      <c r="DF52" s="1810"/>
      <c r="DG52" s="1810"/>
      <c r="DH52" s="1810"/>
    </row>
    <row r="53" spans="9:112" x14ac:dyDescent="0.2">
      <c r="J53" s="1987">
        <v>35</v>
      </c>
      <c r="K53" s="4315"/>
      <c r="L53" s="4314" t="s">
        <v>260</v>
      </c>
      <c r="M53" s="4350"/>
      <c r="N53" s="1744"/>
      <c r="O53" s="1746">
        <v>0</v>
      </c>
      <c r="P53" s="2288"/>
      <c r="Q53" s="1746"/>
      <c r="R53" s="1746"/>
      <c r="S53" s="2288"/>
      <c r="T53" s="1746"/>
      <c r="U53" s="1746"/>
      <c r="V53" s="2288"/>
      <c r="W53" s="1746"/>
      <c r="X53" s="1746"/>
      <c r="Y53" s="2288"/>
      <c r="Z53" s="1746"/>
      <c r="AA53" s="1746"/>
      <c r="AB53" s="2288"/>
      <c r="AC53" s="1746"/>
      <c r="AD53" s="4139"/>
      <c r="AE53" s="1801"/>
      <c r="AF53" s="4144">
        <f t="shared" si="43"/>
        <v>0</v>
      </c>
      <c r="AG53" s="4148">
        <f t="shared" si="44"/>
        <v>0</v>
      </c>
      <c r="AH53" s="4144">
        <f t="shared" si="45"/>
        <v>0</v>
      </c>
      <c r="AI53" s="4158">
        <f t="shared" si="46"/>
        <v>0</v>
      </c>
      <c r="AJ53" s="4154">
        <f t="shared" si="63"/>
        <v>0</v>
      </c>
      <c r="AK53" s="1866"/>
      <c r="AL53" s="1867"/>
      <c r="AM53" s="1746">
        <f>$AG$53</f>
        <v>0</v>
      </c>
      <c r="AN53" s="1746">
        <f>$AG$53</f>
        <v>0</v>
      </c>
      <c r="AO53" s="1746">
        <f>$AI$53</f>
        <v>0</v>
      </c>
      <c r="AP53" s="1746">
        <f>$AG$53</f>
        <v>0</v>
      </c>
      <c r="AQ53" s="1746">
        <f>$AG$53</f>
        <v>0</v>
      </c>
      <c r="AR53" s="1746">
        <f>$AG$53</f>
        <v>0</v>
      </c>
      <c r="AS53" s="1746">
        <f>$AG$53</f>
        <v>0</v>
      </c>
      <c r="AT53" s="4264"/>
      <c r="AU53" s="2953">
        <f t="shared" si="55"/>
        <v>0</v>
      </c>
      <c r="AV53" s="2954">
        <f t="shared" si="34"/>
        <v>0</v>
      </c>
      <c r="AW53" s="2955">
        <f t="shared" si="47"/>
        <v>0</v>
      </c>
      <c r="AX53" s="1914"/>
      <c r="AY53" s="1746"/>
      <c r="AZ53" s="1746"/>
      <c r="BA53" s="1746"/>
      <c r="BB53" s="1746"/>
      <c r="BC53" s="1746"/>
      <c r="BD53" s="1746"/>
      <c r="BE53" s="1746"/>
      <c r="BF53" s="1914"/>
      <c r="BG53" s="2953">
        <f t="shared" si="48"/>
        <v>0</v>
      </c>
      <c r="BH53" s="2954" t="e">
        <f t="shared" si="35"/>
        <v>#DIV/0!</v>
      </c>
      <c r="BI53" s="2955" t="e">
        <f t="shared" si="49"/>
        <v>#DIV/0!</v>
      </c>
      <c r="BJ53" s="1914"/>
      <c r="BK53" s="1990"/>
      <c r="BL53" s="1990"/>
      <c r="BM53" s="1990"/>
      <c r="BN53" s="1990"/>
      <c r="BO53" s="1990"/>
      <c r="BP53" s="1990"/>
      <c r="BQ53" s="1990"/>
      <c r="BR53" s="2297"/>
      <c r="BS53" s="2016">
        <f t="shared" si="50"/>
        <v>0</v>
      </c>
      <c r="BT53" s="2954" t="e">
        <f t="shared" si="36"/>
        <v>#DIV/0!</v>
      </c>
      <c r="BU53" s="2955" t="e">
        <f t="shared" si="51"/>
        <v>#DIV/0!</v>
      </c>
      <c r="BV53" s="2297"/>
      <c r="BW53" s="1990"/>
      <c r="BX53" s="1990"/>
      <c r="BY53" s="1990"/>
      <c r="BZ53" s="1990"/>
      <c r="CA53" s="1990"/>
      <c r="CB53" s="1990"/>
      <c r="CC53" s="1990"/>
      <c r="CD53" s="2297"/>
      <c r="CE53" s="2953">
        <f t="shared" si="52"/>
        <v>0</v>
      </c>
      <c r="CF53" s="2954" t="e">
        <f t="shared" si="37"/>
        <v>#DIV/0!</v>
      </c>
      <c r="CG53" s="2955" t="e">
        <f t="shared" si="53"/>
        <v>#DIV/0!</v>
      </c>
      <c r="CH53" s="4264"/>
      <c r="CI53" s="1746"/>
      <c r="CJ53" s="1746"/>
      <c r="CK53" s="1746"/>
      <c r="CL53" s="4264"/>
      <c r="CM53" s="2953">
        <f t="shared" si="38"/>
        <v>0</v>
      </c>
      <c r="CN53" s="2954" t="e">
        <f t="shared" si="39"/>
        <v>#DIV/0!</v>
      </c>
      <c r="CO53" s="2955" t="e">
        <f t="shared" si="56"/>
        <v>#DIV/0!</v>
      </c>
      <c r="CQ53" s="1747">
        <v>0</v>
      </c>
      <c r="CR53" s="1752" t="e">
        <f t="shared" si="40"/>
        <v>#DIV/0!</v>
      </c>
      <c r="CS53" s="1754"/>
      <c r="CT53" s="2956">
        <f t="shared" si="41"/>
        <v>0</v>
      </c>
      <c r="CU53" s="2957" t="e">
        <f t="shared" si="42"/>
        <v>#DIV/0!</v>
      </c>
      <c r="CV53" s="1993"/>
      <c r="CW53" s="1916"/>
      <c r="CY53" s="1916"/>
      <c r="CZ53" s="2994"/>
      <c r="DA53" s="1802"/>
      <c r="DB53" s="1806"/>
      <c r="DC53" s="4287"/>
      <c r="DD53" s="4287"/>
      <c r="DE53" s="4287"/>
      <c r="DF53" s="4287"/>
      <c r="DG53" s="4287"/>
      <c r="DH53" s="4287"/>
    </row>
    <row r="54" spans="9:112" s="1726" customFormat="1" ht="17.25" thickBot="1" x14ac:dyDescent="0.25">
      <c r="J54" s="1963">
        <v>36</v>
      </c>
      <c r="K54" s="4307"/>
      <c r="L54" s="4308" t="s">
        <v>261</v>
      </c>
      <c r="M54" s="4336"/>
      <c r="N54" s="1727"/>
      <c r="O54" s="1728">
        <v>0</v>
      </c>
      <c r="P54" s="2287"/>
      <c r="Q54" s="1728"/>
      <c r="R54" s="1728"/>
      <c r="S54" s="2287"/>
      <c r="T54" s="1728"/>
      <c r="U54" s="1728"/>
      <c r="V54" s="2287"/>
      <c r="W54" s="1728"/>
      <c r="X54" s="1728"/>
      <c r="Y54" s="2287"/>
      <c r="Z54" s="1728"/>
      <c r="AA54" s="1728"/>
      <c r="AB54" s="2287"/>
      <c r="AC54" s="1728"/>
      <c r="AD54" s="4138"/>
      <c r="AE54" s="4280"/>
      <c r="AF54" s="4142">
        <f t="shared" si="43"/>
        <v>0</v>
      </c>
      <c r="AG54" s="4143">
        <f t="shared" si="44"/>
        <v>0</v>
      </c>
      <c r="AH54" s="4142">
        <f t="shared" si="45"/>
        <v>0</v>
      </c>
      <c r="AI54" s="4143">
        <f t="shared" si="46"/>
        <v>0</v>
      </c>
      <c r="AJ54" s="4155">
        <f t="shared" si="63"/>
        <v>0</v>
      </c>
      <c r="AK54" s="1931"/>
      <c r="AL54" s="1924"/>
      <c r="AM54" s="1728">
        <f>$AG$54</f>
        <v>0</v>
      </c>
      <c r="AN54" s="1728">
        <f>$AG$54</f>
        <v>0</v>
      </c>
      <c r="AO54" s="1728">
        <f>$AI$54</f>
        <v>0</v>
      </c>
      <c r="AP54" s="1728">
        <f>$AG$54</f>
        <v>0</v>
      </c>
      <c r="AQ54" s="1728">
        <f>$AG$54</f>
        <v>0</v>
      </c>
      <c r="AR54" s="1728">
        <f>$AG$54</f>
        <v>0</v>
      </c>
      <c r="AS54" s="1728">
        <f>$AG$54</f>
        <v>0</v>
      </c>
      <c r="AT54" s="4266"/>
      <c r="AU54" s="2799">
        <f>SUM(AM54:AS54)</f>
        <v>0</v>
      </c>
      <c r="AV54" s="2800">
        <f t="shared" si="34"/>
        <v>0</v>
      </c>
      <c r="AW54" s="2801">
        <f>AV54-AU54</f>
        <v>0</v>
      </c>
      <c r="AX54" s="1881"/>
      <c r="AY54" s="1728"/>
      <c r="AZ54" s="1728"/>
      <c r="BA54" s="1728"/>
      <c r="BB54" s="1728"/>
      <c r="BC54" s="1728"/>
      <c r="BD54" s="1728"/>
      <c r="BE54" s="1728"/>
      <c r="BF54" s="1881"/>
      <c r="BG54" s="2799">
        <f t="shared" si="48"/>
        <v>0</v>
      </c>
      <c r="BH54" s="2800" t="e">
        <f t="shared" si="35"/>
        <v>#DIV/0!</v>
      </c>
      <c r="BI54" s="2801" t="e">
        <f t="shared" si="49"/>
        <v>#DIV/0!</v>
      </c>
      <c r="BJ54" s="1881"/>
      <c r="BK54" s="2268"/>
      <c r="BL54" s="2268"/>
      <c r="BM54" s="2268"/>
      <c r="BN54" s="2268"/>
      <c r="BO54" s="2268"/>
      <c r="BP54" s="2268"/>
      <c r="BQ54" s="2268"/>
      <c r="BR54" s="2293"/>
      <c r="BS54" s="2799">
        <f t="shared" si="50"/>
        <v>0</v>
      </c>
      <c r="BT54" s="2800" t="e">
        <f t="shared" si="36"/>
        <v>#DIV/0!</v>
      </c>
      <c r="BU54" s="2801" t="e">
        <f t="shared" si="51"/>
        <v>#DIV/0!</v>
      </c>
      <c r="BV54" s="2293"/>
      <c r="BW54" s="2268"/>
      <c r="BX54" s="2268"/>
      <c r="BY54" s="2268"/>
      <c r="BZ54" s="2268"/>
      <c r="CA54" s="2268"/>
      <c r="CB54" s="2268"/>
      <c r="CC54" s="2268"/>
      <c r="CD54" s="2293"/>
      <c r="CE54" s="2799">
        <f t="shared" si="52"/>
        <v>0</v>
      </c>
      <c r="CF54" s="2800" t="e">
        <f t="shared" si="37"/>
        <v>#DIV/0!</v>
      </c>
      <c r="CG54" s="2801" t="e">
        <f t="shared" si="53"/>
        <v>#DIV/0!</v>
      </c>
      <c r="CH54" s="4266"/>
      <c r="CI54" s="1728"/>
      <c r="CJ54" s="1728"/>
      <c r="CK54" s="1728"/>
      <c r="CL54" s="4266"/>
      <c r="CM54" s="2799">
        <f t="shared" si="38"/>
        <v>0</v>
      </c>
      <c r="CN54" s="2800" t="e">
        <f t="shared" si="39"/>
        <v>#DIV/0!</v>
      </c>
      <c r="CO54" s="2801" t="e">
        <f t="shared" si="56"/>
        <v>#DIV/0!</v>
      </c>
      <c r="CQ54" s="1732">
        <v>0</v>
      </c>
      <c r="CR54" s="1882" t="e">
        <f t="shared" si="40"/>
        <v>#DIV/0!</v>
      </c>
      <c r="CS54" s="1740"/>
      <c r="CT54" s="4273">
        <f t="shared" si="41"/>
        <v>0</v>
      </c>
      <c r="CU54" s="2802" t="e">
        <f t="shared" si="42"/>
        <v>#DIV/0!</v>
      </c>
      <c r="CV54" s="1997"/>
      <c r="CW54" s="4265"/>
      <c r="CY54" s="4265"/>
      <c r="CZ54" s="2992"/>
      <c r="DA54" s="1997"/>
      <c r="DB54" s="1861"/>
      <c r="DC54" s="1860"/>
      <c r="DD54" s="1860"/>
      <c r="DE54" s="1860"/>
      <c r="DF54" s="1860"/>
      <c r="DG54" s="1860"/>
      <c r="DH54" s="1860"/>
    </row>
    <row r="55" spans="9:112" s="1923" customFormat="1" ht="4.5" customHeight="1" thickBot="1" x14ac:dyDescent="0.25">
      <c r="J55" s="3419"/>
      <c r="K55" s="3419"/>
      <c r="L55" s="2526"/>
      <c r="M55" s="4287"/>
      <c r="N55" s="4287"/>
      <c r="O55" s="2527"/>
      <c r="P55" s="1801"/>
      <c r="Q55" s="2527"/>
      <c r="R55" s="2527"/>
      <c r="S55" s="1801"/>
      <c r="T55" s="2527"/>
      <c r="U55" s="2527"/>
      <c r="V55" s="1801"/>
      <c r="W55" s="2527"/>
      <c r="X55" s="2527"/>
      <c r="Y55" s="1801"/>
      <c r="Z55" s="2527"/>
      <c r="AA55" s="2527"/>
      <c r="AB55" s="1801"/>
      <c r="AC55" s="2527"/>
      <c r="AD55" s="2527"/>
      <c r="AE55" s="1801"/>
      <c r="AF55" s="4195"/>
      <c r="AG55" s="4146"/>
      <c r="AH55" s="4145"/>
      <c r="AI55" s="4146"/>
      <c r="AJ55" s="2528"/>
      <c r="AK55" s="1866"/>
      <c r="AL55" s="1867"/>
      <c r="AM55" s="2026"/>
      <c r="AN55" s="2026"/>
      <c r="AO55" s="2026"/>
      <c r="AP55" s="2026"/>
      <c r="AQ55" s="2026"/>
      <c r="AR55" s="2026"/>
      <c r="AS55" s="2026"/>
      <c r="AT55" s="4264"/>
      <c r="AU55" s="4264"/>
      <c r="AV55" s="4264"/>
      <c r="AW55" s="4264"/>
      <c r="AX55" s="1915"/>
      <c r="AY55" s="2026"/>
      <c r="AZ55" s="2026"/>
      <c r="BA55" s="2026"/>
      <c r="BB55" s="2026"/>
      <c r="BC55" s="2026"/>
      <c r="BD55" s="2026"/>
      <c r="BE55" s="2026"/>
      <c r="BF55" s="1915"/>
      <c r="BG55" s="4264"/>
      <c r="BH55" s="4264"/>
      <c r="BI55" s="4264"/>
      <c r="BJ55" s="1915"/>
      <c r="BK55" s="2026"/>
      <c r="BL55" s="2026"/>
      <c r="BM55" s="2026"/>
      <c r="BN55" s="2026"/>
      <c r="BO55" s="2026"/>
      <c r="BP55" s="2026"/>
      <c r="BQ55" s="2026"/>
      <c r="BR55" s="4264"/>
      <c r="BS55" s="4264"/>
      <c r="BT55" s="4264"/>
      <c r="BU55" s="4264"/>
      <c r="BV55" s="4264"/>
      <c r="BW55" s="2026"/>
      <c r="BX55" s="2026"/>
      <c r="BY55" s="2026"/>
      <c r="BZ55" s="2026"/>
      <c r="CA55" s="2026"/>
      <c r="CB55" s="2026"/>
      <c r="CC55" s="2026"/>
      <c r="CD55" s="4264"/>
      <c r="CE55" s="4264"/>
      <c r="CF55" s="4264"/>
      <c r="CG55" s="4264"/>
      <c r="CH55" s="4264"/>
      <c r="CI55" s="2026"/>
      <c r="CJ55" s="2026"/>
      <c r="CK55" s="2026"/>
      <c r="CL55" s="4264"/>
      <c r="CM55" s="4264"/>
      <c r="CN55" s="4264"/>
      <c r="CO55" s="4264"/>
      <c r="CQ55" s="4264"/>
      <c r="CR55" s="1993"/>
      <c r="CS55" s="1994"/>
      <c r="CT55" s="2027"/>
      <c r="CU55" s="2028"/>
      <c r="CV55" s="1993"/>
      <c r="CW55" s="1916"/>
      <c r="CY55" s="1916"/>
      <c r="CZ55" s="1993"/>
      <c r="DA55" s="2030"/>
      <c r="DB55" s="1994"/>
    </row>
    <row r="56" spans="9:112" s="1885" customFormat="1" ht="17.25" thickBot="1" x14ac:dyDescent="0.25">
      <c r="J56" s="2000"/>
      <c r="K56" s="2000"/>
      <c r="L56" s="2803">
        <f>O56*100/20</f>
        <v>17240.824999999997</v>
      </c>
      <c r="M56" s="4351"/>
      <c r="N56" s="1888"/>
      <c r="O56" s="2001">
        <f>SUM(O20:O54)</f>
        <v>3448.1649999999995</v>
      </c>
      <c r="P56" s="3323"/>
      <c r="Q56" s="2001"/>
      <c r="R56" s="2001"/>
      <c r="S56" s="3323"/>
      <c r="T56" s="2001"/>
      <c r="U56" s="2001"/>
      <c r="V56" s="3323"/>
      <c r="W56" s="2001"/>
      <c r="X56" s="2001"/>
      <c r="Y56" s="3323"/>
      <c r="Z56" s="2001"/>
      <c r="AA56" s="2001"/>
      <c r="AB56" s="3323"/>
      <c r="AC56" s="2001"/>
      <c r="AD56" s="4140"/>
      <c r="AE56" s="1951"/>
      <c r="AF56" s="4147">
        <f>SUM(AF20:AF54)</f>
        <v>3170.0877335749992</v>
      </c>
      <c r="AG56" s="4148">
        <f>SUM(AG20:AG54)</f>
        <v>121.92645129134615</v>
      </c>
      <c r="AH56" s="4147">
        <f>SUM(AH20:AH54)</f>
        <v>278.077266425</v>
      </c>
      <c r="AI56" s="4148">
        <f>SUM(AI20:AI54)</f>
        <v>55.615453285000001</v>
      </c>
      <c r="AJ56" s="4156">
        <f>SUM(AJ20:AJ54)</f>
        <v>1.0000000000000002</v>
      </c>
      <c r="AK56" s="1949"/>
      <c r="AL56" s="1950"/>
      <c r="AM56" s="2001" t="e">
        <f>SUM(AM20:AM29)+SUM(AM42:AM54)+AM31</f>
        <v>#VALUE!</v>
      </c>
      <c r="AN56" s="2001">
        <f t="shared" ref="AN56:AS56" si="66">SUM(AN20:AN54)</f>
        <v>100.71056667596154</v>
      </c>
      <c r="AO56" s="2001">
        <f t="shared" si="66"/>
        <v>45.938053285000002</v>
      </c>
      <c r="AP56" s="2001">
        <f t="shared" si="66"/>
        <v>100.71056667596154</v>
      </c>
      <c r="AQ56" s="2001">
        <f t="shared" si="66"/>
        <v>100.71056667596154</v>
      </c>
      <c r="AR56" s="2001">
        <f t="shared" si="66"/>
        <v>100.71056667596154</v>
      </c>
      <c r="AS56" s="2001">
        <f t="shared" si="66"/>
        <v>100.71056667596154</v>
      </c>
      <c r="AT56" s="4263"/>
      <c r="AU56" s="2804">
        <f>SUM(AU20:AU54)</f>
        <v>650.20145334076915</v>
      </c>
      <c r="AV56" s="2805">
        <f>SUM(AV20:AV54)</f>
        <v>1014.8117709013346</v>
      </c>
      <c r="AW56" s="2806">
        <f>SUM(AW20:AW54)</f>
        <v>364.61031756056531</v>
      </c>
      <c r="AX56" s="1896"/>
      <c r="AY56" s="2001"/>
      <c r="AZ56" s="2001"/>
      <c r="BA56" s="2001"/>
      <c r="BB56" s="2001"/>
      <c r="BC56" s="2001"/>
      <c r="BD56" s="2001"/>
      <c r="BE56" s="2001"/>
      <c r="BF56" s="1896"/>
      <c r="BG56" s="2804">
        <f>SUM(BG20:BG54)</f>
        <v>0</v>
      </c>
      <c r="BH56" s="2805" t="e">
        <f>SUM(BH20:BH54)</f>
        <v>#DIV/0!</v>
      </c>
      <c r="BI56" s="2806" t="e">
        <f>SUM(BI20:BI54)</f>
        <v>#DIV/0!</v>
      </c>
      <c r="BJ56" s="1896"/>
      <c r="BK56" s="2005"/>
      <c r="BL56" s="2005"/>
      <c r="BM56" s="2005"/>
      <c r="BN56" s="2005"/>
      <c r="BO56" s="2005"/>
      <c r="BP56" s="2005"/>
      <c r="BQ56" s="2005"/>
      <c r="BR56" s="2295"/>
      <c r="BS56" s="2804">
        <f>SUM(BS20:BS54)</f>
        <v>0</v>
      </c>
      <c r="BT56" s="2805" t="e">
        <f>SUM(BT20:BT54)</f>
        <v>#DIV/0!</v>
      </c>
      <c r="BU56" s="2806" t="e">
        <f>SUM(BU20:BU54)</f>
        <v>#DIV/0!</v>
      </c>
      <c r="BV56" s="2295"/>
      <c r="BW56" s="2005"/>
      <c r="BX56" s="2005"/>
      <c r="BY56" s="2005"/>
      <c r="BZ56" s="2005"/>
      <c r="CA56" s="2005"/>
      <c r="CB56" s="2005"/>
      <c r="CC56" s="2005"/>
      <c r="CD56" s="2295"/>
      <c r="CE56" s="2804">
        <f>SUM(CE20:CE54)</f>
        <v>0</v>
      </c>
      <c r="CF56" s="2805" t="e">
        <f>SUM(CF20:CF54)</f>
        <v>#DIV/0!</v>
      </c>
      <c r="CG56" s="2806" t="e">
        <f>SUM(CG20:CG54)</f>
        <v>#DIV/0!</v>
      </c>
      <c r="CH56" s="4263"/>
      <c r="CI56" s="2005"/>
      <c r="CJ56" s="2005"/>
      <c r="CK56" s="2005"/>
      <c r="CL56" s="4263"/>
      <c r="CM56" s="2804">
        <f>SUM(CM20:CM54)</f>
        <v>0</v>
      </c>
      <c r="CN56" s="2805" t="e">
        <f>SUM(CN20:CN54)</f>
        <v>#DIV/0!</v>
      </c>
      <c r="CO56" s="2806" t="e">
        <f>SUM(CO20:CO54)</f>
        <v>#DIV/0!</v>
      </c>
      <c r="CQ56" s="2397">
        <f>SUM(CQ20:CQ54)</f>
        <v>0</v>
      </c>
      <c r="CR56" s="2398">
        <f>CQ56/O56</f>
        <v>0</v>
      </c>
      <c r="CS56" s="1900"/>
      <c r="CT56" s="2397" t="e">
        <f>SUM(CT20:CT54)</f>
        <v>#VALUE!</v>
      </c>
      <c r="CU56" s="2398" t="e">
        <f>CT56/O56</f>
        <v>#VALUE!</v>
      </c>
      <c r="CV56" s="2010"/>
      <c r="CW56" s="4262"/>
      <c r="CY56" s="4262"/>
      <c r="CZ56" s="1946"/>
      <c r="DA56" s="1946"/>
      <c r="DB56" s="1946"/>
      <c r="DC56" s="1946"/>
      <c r="DD56" s="1946"/>
      <c r="DE56" s="1946"/>
      <c r="DF56" s="1946"/>
      <c r="DG56" s="1946"/>
      <c r="DH56" s="1946"/>
    </row>
    <row r="57" spans="9:112" s="1947" customFormat="1" ht="4.5" customHeight="1" thickBot="1" x14ac:dyDescent="0.25">
      <c r="J57" s="2634"/>
      <c r="K57" s="2634"/>
      <c r="L57" s="2392"/>
      <c r="M57" s="1951"/>
      <c r="N57" s="1906"/>
      <c r="O57" s="2392"/>
      <c r="P57" s="1951"/>
      <c r="Q57" s="2392"/>
      <c r="R57" s="2392"/>
      <c r="S57" s="1951"/>
      <c r="T57" s="2392"/>
      <c r="U57" s="2392"/>
      <c r="V57" s="1951"/>
      <c r="W57" s="2392"/>
      <c r="X57" s="2392"/>
      <c r="Y57" s="1951"/>
      <c r="Z57" s="2392"/>
      <c r="AA57" s="2392"/>
      <c r="AB57" s="1951"/>
      <c r="AC57" s="2392"/>
      <c r="AD57" s="2392"/>
      <c r="AE57" s="1951"/>
      <c r="AF57" s="4149"/>
      <c r="AG57" s="4150"/>
      <c r="AH57" s="4149"/>
      <c r="AI57" s="4150"/>
      <c r="AJ57" s="2636"/>
      <c r="AK57" s="1949"/>
      <c r="AL57" s="1950"/>
      <c r="AM57" s="2392"/>
      <c r="AN57" s="2392"/>
      <c r="AO57" s="2392"/>
      <c r="AP57" s="2392"/>
      <c r="AQ57" s="2392"/>
      <c r="AR57" s="2392"/>
      <c r="AS57" s="2392"/>
      <c r="AT57" s="1951"/>
      <c r="AU57" s="1951"/>
      <c r="AV57" s="1951"/>
      <c r="AW57" s="1951"/>
      <c r="AX57" s="1956"/>
      <c r="AY57" s="2392"/>
      <c r="AZ57" s="2392"/>
      <c r="BA57" s="2392"/>
      <c r="BB57" s="2392"/>
      <c r="BC57" s="2392"/>
      <c r="BD57" s="2392"/>
      <c r="BE57" s="2392"/>
      <c r="BF57" s="1956"/>
      <c r="BG57" s="1951"/>
      <c r="BH57" s="1951"/>
      <c r="BI57" s="1951"/>
      <c r="BJ57" s="1956"/>
      <c r="BK57" s="2392"/>
      <c r="BL57" s="2392"/>
      <c r="BM57" s="2392"/>
      <c r="BN57" s="2392"/>
      <c r="BO57" s="2392"/>
      <c r="BP57" s="2392"/>
      <c r="BQ57" s="2392"/>
      <c r="BR57" s="1951"/>
      <c r="BS57" s="1951"/>
      <c r="BT57" s="1951"/>
      <c r="BU57" s="1951"/>
      <c r="BV57" s="1951"/>
      <c r="BW57" s="2392"/>
      <c r="BX57" s="2392"/>
      <c r="BY57" s="2392"/>
      <c r="BZ57" s="2392"/>
      <c r="CA57" s="2392"/>
      <c r="CB57" s="2392"/>
      <c r="CC57" s="2392"/>
      <c r="CD57" s="1951"/>
      <c r="CE57" s="1951"/>
      <c r="CF57" s="1951"/>
      <c r="CG57" s="1951"/>
      <c r="CH57" s="1951"/>
      <c r="CI57" s="2392"/>
      <c r="CJ57" s="2392"/>
      <c r="CK57" s="2392"/>
      <c r="CL57" s="1951"/>
      <c r="CM57" s="1951"/>
      <c r="CN57" s="1951"/>
      <c r="CO57" s="1951"/>
      <c r="CQ57" s="1951"/>
      <c r="CR57" s="1962"/>
      <c r="CS57" s="1959"/>
      <c r="CT57" s="1951"/>
      <c r="CU57" s="1962"/>
      <c r="CV57" s="1962"/>
      <c r="CW57" s="1905"/>
      <c r="CY57" s="1905"/>
      <c r="CZ57" s="1906"/>
      <c r="DA57" s="1906"/>
      <c r="DB57" s="1906"/>
      <c r="DC57" s="1906"/>
      <c r="DD57" s="1906"/>
      <c r="DE57" s="1906"/>
      <c r="DF57" s="1906"/>
      <c r="DG57" s="1906"/>
      <c r="DH57" s="1906"/>
    </row>
    <row r="58" spans="9:112" s="1726" customFormat="1" ht="17.25" thickBot="1" x14ac:dyDescent="0.25">
      <c r="J58" s="1963">
        <v>37</v>
      </c>
      <c r="K58" s="1963"/>
      <c r="L58" s="1963"/>
      <c r="M58" s="4352"/>
      <c r="N58" s="1727"/>
      <c r="O58" s="1728">
        <f>O56/31</f>
        <v>111.23112903225805</v>
      </c>
      <c r="P58" s="2287"/>
      <c r="Q58" s="1728"/>
      <c r="R58" s="1728"/>
      <c r="S58" s="2287"/>
      <c r="T58" s="1728"/>
      <c r="U58" s="1728"/>
      <c r="V58" s="2287"/>
      <c r="W58" s="1728"/>
      <c r="X58" s="1728"/>
      <c r="Y58" s="2287"/>
      <c r="Z58" s="1728"/>
      <c r="AA58" s="1728"/>
      <c r="AB58" s="2287"/>
      <c r="AC58" s="1728"/>
      <c r="AD58" s="4138"/>
      <c r="AE58" s="4280"/>
      <c r="AF58" s="4151"/>
      <c r="AG58" s="4152">
        <f>AG56-O58</f>
        <v>10.695322259088101</v>
      </c>
      <c r="AH58" s="4151"/>
      <c r="AI58" s="4152">
        <f>AI56-O58</f>
        <v>-55.615675747258052</v>
      </c>
      <c r="AJ58" s="4155"/>
      <c r="AK58" s="1760"/>
      <c r="AL58" s="1924"/>
      <c r="AM58" s="1728"/>
      <c r="AN58" s="1728"/>
      <c r="AO58" s="1728"/>
      <c r="AP58" s="1728"/>
      <c r="AQ58" s="1728"/>
      <c r="AR58" s="1728"/>
      <c r="AS58" s="1728"/>
      <c r="AT58" s="4266"/>
      <c r="AU58" s="2031"/>
      <c r="AV58" s="2032"/>
      <c r="AW58" s="2033"/>
      <c r="AX58" s="1881"/>
      <c r="AY58" s="1728"/>
      <c r="AZ58" s="1728"/>
      <c r="BA58" s="1728"/>
      <c r="BB58" s="1728"/>
      <c r="BC58" s="1728"/>
      <c r="BD58" s="1728"/>
      <c r="BE58" s="1728"/>
      <c r="BF58" s="1881"/>
      <c r="BG58" s="2031"/>
      <c r="BH58" s="2032"/>
      <c r="BI58" s="2033"/>
      <c r="BJ58" s="1881"/>
      <c r="BK58" s="2268"/>
      <c r="BL58" s="2268"/>
      <c r="BM58" s="2268"/>
      <c r="BN58" s="2268"/>
      <c r="BO58" s="2268"/>
      <c r="BP58" s="2268"/>
      <c r="BQ58" s="2268"/>
      <c r="BR58" s="2293"/>
      <c r="BS58" s="2031"/>
      <c r="BT58" s="2032"/>
      <c r="BU58" s="2033"/>
      <c r="BV58" s="2293"/>
      <c r="BW58" s="2268"/>
      <c r="BX58" s="2268"/>
      <c r="BY58" s="2268"/>
      <c r="BZ58" s="2268"/>
      <c r="CA58" s="2268"/>
      <c r="CB58" s="2268"/>
      <c r="CC58" s="2268"/>
      <c r="CD58" s="2293"/>
      <c r="CE58" s="2031"/>
      <c r="CF58" s="2032"/>
      <c r="CG58" s="2033"/>
      <c r="CH58" s="4266"/>
      <c r="CI58" s="2268"/>
      <c r="CJ58" s="2268"/>
      <c r="CK58" s="2268"/>
      <c r="CL58" s="4266"/>
      <c r="CM58" s="2031"/>
      <c r="CN58" s="2032"/>
      <c r="CO58" s="2033"/>
      <c r="CQ58" s="2034"/>
      <c r="CR58" s="2035"/>
      <c r="CS58" s="1740"/>
      <c r="CT58" s="2034"/>
      <c r="CU58" s="2035"/>
      <c r="CV58" s="1997"/>
      <c r="CW58" s="4265"/>
      <c r="CY58" s="4265"/>
      <c r="CZ58" s="1860"/>
      <c r="DA58" s="1860"/>
      <c r="DB58" s="1860"/>
      <c r="DC58" s="1860"/>
      <c r="DD58" s="1860"/>
      <c r="DE58" s="1860"/>
      <c r="DF58" s="1860"/>
      <c r="DG58" s="1860"/>
      <c r="DH58" s="1860"/>
    </row>
    <row r="59" spans="9:112" s="1923" customFormat="1" ht="4.5" customHeight="1" thickTop="1" thickBot="1" x14ac:dyDescent="0.25">
      <c r="J59" s="4279"/>
      <c r="K59" s="4279"/>
      <c r="L59" s="2024"/>
      <c r="M59" s="4287"/>
      <c r="N59" s="4287"/>
      <c r="O59" s="1803"/>
      <c r="P59" s="1801"/>
      <c r="Q59" s="1803"/>
      <c r="R59" s="1803"/>
      <c r="S59" s="1801"/>
      <c r="T59" s="1803"/>
      <c r="U59" s="1803"/>
      <c r="V59" s="1801"/>
      <c r="W59" s="1803"/>
      <c r="X59" s="1803"/>
      <c r="Y59" s="1801"/>
      <c r="Z59" s="1803"/>
      <c r="AA59" s="1803"/>
      <c r="AB59" s="1801"/>
      <c r="AC59" s="1803"/>
      <c r="AD59" s="1803"/>
      <c r="AE59" s="1801"/>
      <c r="AF59" s="2527"/>
      <c r="AG59" s="2527"/>
      <c r="AH59" s="2527"/>
      <c r="AI59" s="2527"/>
      <c r="AJ59" s="2025"/>
      <c r="AK59" s="1866"/>
      <c r="AL59" s="1867"/>
      <c r="AM59" s="2026"/>
      <c r="AN59" s="2026"/>
      <c r="AO59" s="2026"/>
      <c r="AP59" s="2026"/>
      <c r="AQ59" s="2026"/>
      <c r="AR59" s="2026"/>
      <c r="AS59" s="2026"/>
      <c r="AT59" s="4264"/>
      <c r="AU59" s="4264"/>
      <c r="AV59" s="4264"/>
      <c r="AW59" s="4264"/>
      <c r="AX59" s="1915"/>
      <c r="AY59" s="2026"/>
      <c r="AZ59" s="2026"/>
      <c r="BA59" s="2026"/>
      <c r="BB59" s="2026"/>
      <c r="BC59" s="2026"/>
      <c r="BD59" s="2026"/>
      <c r="BE59" s="2026"/>
      <c r="BF59" s="1915"/>
      <c r="BG59" s="4264"/>
      <c r="BH59" s="4264"/>
      <c r="BI59" s="4264"/>
      <c r="BJ59" s="1915"/>
      <c r="BK59" s="2026"/>
      <c r="BL59" s="2026"/>
      <c r="BM59" s="2026"/>
      <c r="BN59" s="2026"/>
      <c r="BO59" s="2026"/>
      <c r="BP59" s="2026"/>
      <c r="BQ59" s="2026"/>
      <c r="BR59" s="4264"/>
      <c r="BS59" s="4264"/>
      <c r="BT59" s="4264"/>
      <c r="BU59" s="4264"/>
      <c r="BV59" s="4264"/>
      <c r="BW59" s="2026"/>
      <c r="BX59" s="2026"/>
      <c r="BY59" s="2026"/>
      <c r="BZ59" s="2026"/>
      <c r="CA59" s="2026"/>
      <c r="CB59" s="2026"/>
      <c r="CC59" s="2026"/>
      <c r="CD59" s="4264"/>
      <c r="CE59" s="2274"/>
      <c r="CF59" s="2274"/>
      <c r="CG59" s="2274"/>
      <c r="CH59" s="4264"/>
      <c r="CI59" s="2026"/>
      <c r="CJ59" s="2026"/>
      <c r="CK59" s="2026"/>
      <c r="CL59" s="4264"/>
      <c r="CM59" s="2274"/>
      <c r="CN59" s="2274"/>
      <c r="CO59" s="2274"/>
      <c r="CQ59" s="4264"/>
      <c r="CR59" s="1993"/>
      <c r="CS59" s="1994"/>
      <c r="CT59" s="4264"/>
      <c r="CU59" s="1993"/>
      <c r="CV59" s="1993"/>
      <c r="CW59" s="1916"/>
      <c r="CY59" s="1916"/>
    </row>
    <row r="60" spans="9:112" s="1885" customFormat="1" ht="17.25" thickBot="1" x14ac:dyDescent="0.25">
      <c r="J60" s="2117"/>
      <c r="K60" s="4289"/>
      <c r="L60" s="2212" t="s">
        <v>150</v>
      </c>
      <c r="M60" s="4299"/>
      <c r="N60" s="2119"/>
      <c r="O60" s="2123">
        <f>O56*100/20</f>
        <v>17240.824999999997</v>
      </c>
      <c r="P60" s="2299"/>
      <c r="Q60" s="2121"/>
      <c r="R60" s="2121"/>
      <c r="S60" s="2299"/>
      <c r="T60" s="2121"/>
      <c r="U60" s="2121"/>
      <c r="V60" s="3323"/>
      <c r="W60" s="2121"/>
      <c r="X60" s="2121"/>
      <c r="Y60" s="3323"/>
      <c r="Z60" s="2121"/>
      <c r="AA60" s="2121"/>
      <c r="AB60" s="3323"/>
      <c r="AC60" s="2121"/>
      <c r="AD60" s="2121"/>
      <c r="AE60" s="3323"/>
      <c r="AF60" s="2121"/>
      <c r="AG60" s="2121">
        <f>AG56*100/20</f>
        <v>609.63225645673072</v>
      </c>
      <c r="AH60" s="4120"/>
      <c r="AI60" s="4120"/>
      <c r="AJ60" s="2130">
        <f>O60/O103</f>
        <v>0.5946480784801329</v>
      </c>
      <c r="AK60" s="1949"/>
      <c r="AL60" s="2214"/>
      <c r="AM60" s="2120" t="e">
        <f t="shared" ref="AM60:AS60" si="67">AM11</f>
        <v>#VALUE!</v>
      </c>
      <c r="AN60" s="2121">
        <f t="shared" si="67"/>
        <v>31.619216662019234</v>
      </c>
      <c r="AO60" s="2121">
        <f t="shared" si="67"/>
        <v>71.258473357500009</v>
      </c>
      <c r="AP60" s="2121">
        <f t="shared" si="67"/>
        <v>54.45171666201923</v>
      </c>
      <c r="AQ60" s="2121">
        <f t="shared" si="67"/>
        <v>34.019216662019225</v>
      </c>
      <c r="AR60" s="2121">
        <f t="shared" si="67"/>
        <v>20.554216662019222</v>
      </c>
      <c r="AS60" s="2124">
        <f t="shared" si="67"/>
        <v>47.525216662019226</v>
      </c>
      <c r="AT60" s="1951"/>
      <c r="AU60" s="2120" t="e">
        <f>SUM(AM60:AS60)</f>
        <v>#VALUE!</v>
      </c>
      <c r="AV60" s="2123"/>
      <c r="AW60" s="2124"/>
      <c r="AX60" s="1956"/>
      <c r="AY60" s="2120"/>
      <c r="AZ60" s="2121"/>
      <c r="BA60" s="2121"/>
      <c r="BB60" s="2121"/>
      <c r="BC60" s="2121"/>
      <c r="BD60" s="2121"/>
      <c r="BE60" s="2121"/>
      <c r="BF60" s="1956"/>
      <c r="BG60" s="2120">
        <f>SUM(AY60:BE60)</f>
        <v>0</v>
      </c>
      <c r="BH60" s="2123"/>
      <c r="BI60" s="2124"/>
      <c r="BJ60" s="1955"/>
      <c r="BK60" s="2120"/>
      <c r="BL60" s="2121"/>
      <c r="BM60" s="2121"/>
      <c r="BN60" s="2121"/>
      <c r="BO60" s="2121"/>
      <c r="BP60" s="2121"/>
      <c r="BQ60" s="2121"/>
      <c r="BR60" s="2254"/>
      <c r="BS60" s="2120">
        <f>SUM(BK60:BQ60)</f>
        <v>0</v>
      </c>
      <c r="BT60" s="2123"/>
      <c r="BU60" s="2124"/>
      <c r="BV60" s="1951"/>
      <c r="BW60" s="2120"/>
      <c r="BX60" s="2121"/>
      <c r="BY60" s="2121"/>
      <c r="BZ60" s="2121"/>
      <c r="CA60" s="2121"/>
      <c r="CB60" s="2121"/>
      <c r="CC60" s="2124"/>
      <c r="CD60" s="1951"/>
      <c r="CE60" s="2120">
        <f>SUM(BW60:CC60)</f>
        <v>0</v>
      </c>
      <c r="CF60" s="2123"/>
      <c r="CG60" s="2124"/>
      <c r="CH60" s="1900"/>
      <c r="CI60" s="2120"/>
      <c r="CJ60" s="4196"/>
      <c r="CK60" s="2124"/>
      <c r="CL60" s="2317"/>
      <c r="CM60" s="2215">
        <f>SUM(CI60:CK60)</f>
        <v>0</v>
      </c>
      <c r="CN60" s="2677"/>
      <c r="CO60" s="2124"/>
      <c r="CP60" s="1897"/>
      <c r="CQ60" s="2215" t="e">
        <f>SUM(AM60:AS60)+SUM(AY60:BE60)+SUM(BK60:BQ60)+SUM(BW60:CC60)+SUM(CK60:CK60)</f>
        <v>#VALUE!</v>
      </c>
      <c r="CR60" s="2130"/>
      <c r="CS60" s="1900"/>
      <c r="CT60" s="2011"/>
      <c r="CU60" s="2011"/>
      <c r="CV60" s="2011"/>
      <c r="CY60" s="4262"/>
      <c r="CZ60" s="1946"/>
      <c r="DA60" s="1946"/>
      <c r="DB60" s="1946"/>
      <c r="DC60" s="1946"/>
      <c r="DD60" s="1946"/>
      <c r="DE60" s="1946"/>
      <c r="DF60" s="1946"/>
      <c r="DG60" s="1946"/>
      <c r="DH60" s="1946"/>
    </row>
    <row r="61" spans="9:112" s="1860" customFormat="1" ht="17.25" thickBot="1" x14ac:dyDescent="0.25">
      <c r="J61" s="1861"/>
      <c r="K61" s="1861"/>
      <c r="L61" s="1861" t="s">
        <v>143</v>
      </c>
      <c r="M61" s="1861"/>
      <c r="N61" s="1861"/>
      <c r="O61" s="4266"/>
      <c r="P61" s="4280"/>
      <c r="Q61" s="4266"/>
      <c r="R61" s="4266"/>
      <c r="S61" s="4280"/>
      <c r="T61" s="4266"/>
      <c r="U61" s="4266"/>
      <c r="V61" s="4280"/>
      <c r="W61" s="4266"/>
      <c r="X61" s="4266"/>
      <c r="Y61" s="4280"/>
      <c r="Z61" s="4266"/>
      <c r="AA61" s="4266"/>
      <c r="AB61" s="4280"/>
      <c r="AC61" s="4266"/>
      <c r="AD61" s="4266"/>
      <c r="AE61" s="4280"/>
      <c r="AF61" s="4266"/>
      <c r="AG61" s="4266"/>
      <c r="AH61" s="4266"/>
      <c r="AI61" s="4266"/>
      <c r="AJ61" s="2059"/>
      <c r="AK61" s="1931"/>
      <c r="AL61" s="1877"/>
      <c r="AM61" s="4266"/>
      <c r="AN61" s="4266"/>
      <c r="AO61" s="4266"/>
      <c r="AP61" s="4266"/>
      <c r="AQ61" s="4266"/>
      <c r="AR61" s="4266"/>
      <c r="AS61" s="4266"/>
      <c r="AT61" s="4266"/>
      <c r="AU61" s="4266"/>
      <c r="AV61" s="4266"/>
      <c r="AW61" s="4266"/>
      <c r="AX61" s="1862"/>
      <c r="AY61" s="4266"/>
      <c r="AZ61" s="4266"/>
      <c r="BA61" s="4266"/>
      <c r="BB61" s="4266"/>
      <c r="BC61" s="4266"/>
      <c r="BD61" s="4266"/>
      <c r="BE61" s="4266"/>
      <c r="BF61" s="1862"/>
      <c r="BG61" s="4266"/>
      <c r="BH61" s="4266"/>
      <c r="BI61" s="4266"/>
      <c r="BJ61" s="1862"/>
      <c r="BK61" s="4266"/>
      <c r="BL61" s="4266"/>
      <c r="BM61" s="4266"/>
      <c r="BN61" s="4266"/>
      <c r="BO61" s="4266"/>
      <c r="BP61" s="4266"/>
      <c r="BQ61" s="4266"/>
      <c r="BR61" s="4266"/>
      <c r="BS61" s="4266"/>
      <c r="BT61" s="4266"/>
      <c r="BU61" s="4266"/>
      <c r="BV61" s="4266"/>
      <c r="BW61" s="4266"/>
      <c r="BX61" s="4266"/>
      <c r="BY61" s="4266"/>
      <c r="BZ61" s="4266"/>
      <c r="CA61" s="4266"/>
      <c r="CB61" s="4266"/>
      <c r="CC61" s="4266"/>
      <c r="CD61" s="4266"/>
      <c r="CE61" s="4266"/>
      <c r="CF61" s="4266"/>
      <c r="CG61" s="4266"/>
      <c r="CH61" s="4266"/>
      <c r="CI61" s="4266"/>
      <c r="CJ61" s="4266"/>
      <c r="CK61" s="4266"/>
      <c r="CL61" s="4266"/>
      <c r="CM61" s="4266"/>
      <c r="CN61" s="4266"/>
      <c r="CO61" s="4266"/>
      <c r="CP61" s="1862"/>
      <c r="CQ61" s="4266"/>
      <c r="CR61" s="2639"/>
      <c r="CS61" s="1861"/>
      <c r="CT61" s="4634" t="s">
        <v>99</v>
      </c>
      <c r="CU61" s="4634"/>
      <c r="CV61" s="4266"/>
      <c r="CW61" s="1862"/>
      <c r="CY61" s="4265"/>
    </row>
    <row r="62" spans="9:112" s="1900" customFormat="1" ht="15.75" x14ac:dyDescent="0.2">
      <c r="I62" s="2464"/>
      <c r="J62" s="2280">
        <v>38</v>
      </c>
      <c r="K62" s="4290"/>
      <c r="L62" s="2405" t="s">
        <v>245</v>
      </c>
      <c r="M62" s="4353"/>
      <c r="N62" s="2119"/>
      <c r="O62" s="2410">
        <v>106</v>
      </c>
      <c r="P62" s="2299"/>
      <c r="Q62" s="2406"/>
      <c r="R62" s="2406"/>
      <c r="S62" s="2299"/>
      <c r="T62" s="2406"/>
      <c r="U62" s="2406"/>
      <c r="V62" s="3323"/>
      <c r="W62" s="2406"/>
      <c r="X62" s="2406"/>
      <c r="Y62" s="3323"/>
      <c r="Z62" s="2406"/>
      <c r="AA62" s="2406"/>
      <c r="AB62" s="3323"/>
      <c r="AC62" s="2406"/>
      <c r="AD62" s="2406"/>
      <c r="AE62" s="3323"/>
      <c r="AF62" s="2406"/>
      <c r="AG62" s="2406">
        <f>O62/31</f>
        <v>3.4193548387096775</v>
      </c>
      <c r="AH62" s="4121"/>
      <c r="AI62" s="4121"/>
      <c r="AJ62" s="2407">
        <f t="shared" ref="AJ62:AJ70" si="68">O62/$O$71</f>
        <v>0.31500742942050519</v>
      </c>
      <c r="AK62" s="2468"/>
      <c r="AL62" s="2339"/>
      <c r="AM62" s="2410" t="e">
        <f t="shared" ref="AM62:AS62" si="69">IF(AM60&gt;$AG$71,$AG$62,IF(AM60&lt;$AG$71,(IF(AM60&lt;0,0,AM60*$AJ$62))))</f>
        <v>#VALUE!</v>
      </c>
      <c r="AN62" s="2406">
        <f t="shared" si="69"/>
        <v>3.4193548387096775</v>
      </c>
      <c r="AO62" s="2406">
        <f t="shared" si="69"/>
        <v>3.4193548387096775</v>
      </c>
      <c r="AP62" s="2406">
        <f t="shared" si="69"/>
        <v>3.4193548387096775</v>
      </c>
      <c r="AQ62" s="2406">
        <f t="shared" si="69"/>
        <v>3.4193548387096775</v>
      </c>
      <c r="AR62" s="2406">
        <f t="shared" si="69"/>
        <v>3.4193548387096775</v>
      </c>
      <c r="AS62" s="2409">
        <f t="shared" si="69"/>
        <v>3.4193548387096775</v>
      </c>
      <c r="AT62" s="1951"/>
      <c r="AU62" s="2410" t="e">
        <f t="shared" si="55"/>
        <v>#VALUE!</v>
      </c>
      <c r="AV62" s="2408">
        <f>$AG$62*0</f>
        <v>0</v>
      </c>
      <c r="AW62" s="2411" t="e">
        <f>AU62-AV62</f>
        <v>#VALUE!</v>
      </c>
      <c r="AX62" s="1951"/>
      <c r="AY62" s="2410"/>
      <c r="AZ62" s="2408"/>
      <c r="BA62" s="2408"/>
      <c r="BB62" s="2408"/>
      <c r="BC62" s="2408"/>
      <c r="BD62" s="2408"/>
      <c r="BE62" s="2409"/>
      <c r="BF62" s="1951"/>
      <c r="BG62" s="2410">
        <f>SUM(AY62:BE62)</f>
        <v>0</v>
      </c>
      <c r="BH62" s="2408">
        <f>$AG$62*0</f>
        <v>0</v>
      </c>
      <c r="BI62" s="2411">
        <f>BG62-BH62</f>
        <v>0</v>
      </c>
      <c r="BJ62" s="1951"/>
      <c r="BK62" s="2410"/>
      <c r="BL62" s="2406"/>
      <c r="BM62" s="2406"/>
      <c r="BN62" s="2406"/>
      <c r="BO62" s="2406"/>
      <c r="BP62" s="2406"/>
      <c r="BQ62" s="2406"/>
      <c r="BR62" s="1951"/>
      <c r="BS62" s="2410">
        <f>SUM(BK62:BQ62)</f>
        <v>0</v>
      </c>
      <c r="BT62" s="2408">
        <f>$AG$62*0</f>
        <v>0</v>
      </c>
      <c r="BU62" s="2411">
        <f>BS62-BT62</f>
        <v>0</v>
      </c>
      <c r="BV62" s="1951"/>
      <c r="BW62" s="2410"/>
      <c r="BX62" s="2406"/>
      <c r="BY62" s="2406"/>
      <c r="BZ62" s="2406"/>
      <c r="CA62" s="2406"/>
      <c r="CB62" s="2406"/>
      <c r="CC62" s="2409"/>
      <c r="CD62" s="1951"/>
      <c r="CE62" s="2410">
        <f>SUM(BW62:CC62)</f>
        <v>0</v>
      </c>
      <c r="CF62" s="2408">
        <f>$AG$62*0</f>
        <v>0</v>
      </c>
      <c r="CG62" s="2411">
        <f>CE62-CF62</f>
        <v>0</v>
      </c>
      <c r="CH62" s="1951"/>
      <c r="CI62" s="2410"/>
      <c r="CJ62" s="2498"/>
      <c r="CK62" s="2409"/>
      <c r="CL62" s="1951"/>
      <c r="CM62" s="2410">
        <f t="shared" ref="CM62:CM70" si="70">SUM(CI62:CK62)</f>
        <v>0</v>
      </c>
      <c r="CN62" s="2408">
        <f>$AG$62*0</f>
        <v>0</v>
      </c>
      <c r="CO62" s="2411">
        <f>CM62-CN62</f>
        <v>0</v>
      </c>
      <c r="CQ62" s="2410"/>
      <c r="CR62" s="2412"/>
      <c r="CT62" s="2410" t="e">
        <f t="shared" ref="CT62:CT70" si="71">SUM(AM62:AS62)+SUM(AY62:BE62)+SUM(BK62:BQ62)+SUM(BW62:CC62)+SUM(CK62:CK62)</f>
        <v>#VALUE!</v>
      </c>
      <c r="CU62" s="2413" t="e">
        <f t="shared" ref="CU62:CU71" si="72">CT62/O62</f>
        <v>#VALUE!</v>
      </c>
      <c r="CV62" s="2353"/>
      <c r="CW62" s="4635" t="e">
        <f>CU71-CT1</f>
        <v>#VALUE!</v>
      </c>
      <c r="CY62" s="4627"/>
      <c r="CZ62" s="2011"/>
      <c r="DA62" s="2011"/>
      <c r="DB62" s="2011"/>
      <c r="DC62" s="2011"/>
      <c r="DD62" s="2011"/>
      <c r="DE62" s="2011"/>
      <c r="DF62" s="2011"/>
      <c r="DG62" s="2011"/>
      <c r="DH62" s="2011"/>
    </row>
    <row r="63" spans="9:112" s="1740" customFormat="1" ht="15.75" x14ac:dyDescent="0.2">
      <c r="I63" s="2466"/>
      <c r="J63" s="2151">
        <v>39</v>
      </c>
      <c r="K63" s="4291"/>
      <c r="L63" s="2152" t="s">
        <v>241</v>
      </c>
      <c r="M63" s="4354"/>
      <c r="N63" s="2051"/>
      <c r="O63" s="2090">
        <v>63</v>
      </c>
      <c r="P63" s="2289"/>
      <c r="Q63" s="2088"/>
      <c r="R63" s="2088"/>
      <c r="S63" s="2289"/>
      <c r="T63" s="2088"/>
      <c r="U63" s="2088"/>
      <c r="V63" s="2287"/>
      <c r="W63" s="2088"/>
      <c r="X63" s="2088"/>
      <c r="Y63" s="2287"/>
      <c r="Z63" s="2088"/>
      <c r="AA63" s="2088"/>
      <c r="AB63" s="2287"/>
      <c r="AC63" s="2088"/>
      <c r="AD63" s="2088"/>
      <c r="AE63" s="2287"/>
      <c r="AF63" s="2088"/>
      <c r="AG63" s="2154">
        <f>O63/31</f>
        <v>2.032258064516129</v>
      </c>
      <c r="AH63" s="4122"/>
      <c r="AI63" s="4122"/>
      <c r="AJ63" s="2155">
        <f t="shared" si="68"/>
        <v>0.18722139673105498</v>
      </c>
      <c r="AK63" s="2465"/>
      <c r="AL63" s="2131"/>
      <c r="AM63" s="2090" t="e">
        <f t="shared" ref="AM63:AS63" si="73">IF(AM60&gt;$AG$71,$AG$63,IF(AM60&lt;$AG$71,(IF(AM60&lt;0,0,AM60*$AJ$63))))</f>
        <v>#VALUE!</v>
      </c>
      <c r="AN63" s="2088">
        <f t="shared" si="73"/>
        <v>2.032258064516129</v>
      </c>
      <c r="AO63" s="2088">
        <f t="shared" si="73"/>
        <v>2.032258064516129</v>
      </c>
      <c r="AP63" s="2088">
        <f t="shared" si="73"/>
        <v>2.032258064516129</v>
      </c>
      <c r="AQ63" s="2088">
        <f t="shared" si="73"/>
        <v>2.032258064516129</v>
      </c>
      <c r="AR63" s="2088">
        <f t="shared" si="73"/>
        <v>2.032258064516129</v>
      </c>
      <c r="AS63" s="2091">
        <f t="shared" si="73"/>
        <v>2.032258064516129</v>
      </c>
      <c r="AT63" s="4280"/>
      <c r="AU63" s="2153" t="e">
        <f>SUM(AM63:AS63)</f>
        <v>#VALUE!</v>
      </c>
      <c r="AV63" s="2157">
        <f>$AG$63*0</f>
        <v>0</v>
      </c>
      <c r="AW63" s="2158" t="e">
        <f>AU63-AV63</f>
        <v>#VALUE!</v>
      </c>
      <c r="AX63" s="4280"/>
      <c r="AY63" s="2153"/>
      <c r="AZ63" s="2157"/>
      <c r="BA63" s="2157"/>
      <c r="BB63" s="2157"/>
      <c r="BC63" s="2157"/>
      <c r="BD63" s="2157"/>
      <c r="BE63" s="2156"/>
      <c r="BF63" s="4280"/>
      <c r="BG63" s="2153">
        <f t="shared" ref="BG63:BG83" si="74">SUM(AY63:BE63)</f>
        <v>0</v>
      </c>
      <c r="BH63" s="2157">
        <f>$AG$63*0</f>
        <v>0</v>
      </c>
      <c r="BI63" s="2158">
        <f t="shared" ref="BI63:BI83" si="75">BG63-BH63</f>
        <v>0</v>
      </c>
      <c r="BJ63" s="4280"/>
      <c r="BK63" s="2153"/>
      <c r="BL63" s="2154"/>
      <c r="BM63" s="2154"/>
      <c r="BN63" s="2154"/>
      <c r="BO63" s="2154"/>
      <c r="BP63" s="2154"/>
      <c r="BQ63" s="2154"/>
      <c r="BR63" s="4280"/>
      <c r="BS63" s="2153">
        <f t="shared" ref="BS63:BS70" si="76">SUM(BK63:BQ63)</f>
        <v>0</v>
      </c>
      <c r="BT63" s="2157">
        <f>$AG$63*0</f>
        <v>0</v>
      </c>
      <c r="BU63" s="2158">
        <f t="shared" ref="BU63:BU70" si="77">BS63-BT63</f>
        <v>0</v>
      </c>
      <c r="BV63" s="4280"/>
      <c r="BW63" s="2153"/>
      <c r="BX63" s="2154"/>
      <c r="BY63" s="2154"/>
      <c r="BZ63" s="2154"/>
      <c r="CA63" s="2088"/>
      <c r="CB63" s="2088"/>
      <c r="CC63" s="2091"/>
      <c r="CD63" s="4280"/>
      <c r="CE63" s="2153">
        <f t="shared" ref="CE63:CE70" si="78">SUM(BW63:CC63)</f>
        <v>0</v>
      </c>
      <c r="CF63" s="2157">
        <f>$AG$63*0</f>
        <v>0</v>
      </c>
      <c r="CG63" s="2158">
        <f t="shared" ref="CG63:CG70" si="79">CE63-CF63</f>
        <v>0</v>
      </c>
      <c r="CH63" s="4280"/>
      <c r="CI63" s="2090"/>
      <c r="CJ63" s="2305"/>
      <c r="CK63" s="2091"/>
      <c r="CL63" s="4280"/>
      <c r="CM63" s="2153">
        <f t="shared" si="70"/>
        <v>0</v>
      </c>
      <c r="CN63" s="2157">
        <f>$AG$63*0</f>
        <v>0</v>
      </c>
      <c r="CO63" s="2158">
        <f t="shared" ref="CO63:CO70" si="80">CM63-CN63</f>
        <v>0</v>
      </c>
      <c r="CQ63" s="2153"/>
      <c r="CR63" s="2616"/>
      <c r="CT63" s="2153" t="e">
        <f t="shared" si="71"/>
        <v>#VALUE!</v>
      </c>
      <c r="CU63" s="2617" t="e">
        <f t="shared" si="72"/>
        <v>#VALUE!</v>
      </c>
      <c r="CV63" s="2351"/>
      <c r="CW63" s="4636"/>
      <c r="CY63" s="4627"/>
      <c r="CZ63" s="1861"/>
      <c r="DA63" s="1861"/>
      <c r="DB63" s="1861"/>
      <c r="DC63" s="1861"/>
      <c r="DD63" s="1861"/>
      <c r="DE63" s="1861"/>
      <c r="DF63" s="1861"/>
      <c r="DG63" s="1861"/>
      <c r="DH63" s="1861"/>
    </row>
    <row r="64" spans="9:112" s="1900" customFormat="1" ht="15.75" x14ac:dyDescent="0.2">
      <c r="I64" s="2464"/>
      <c r="J64" s="2161">
        <v>40</v>
      </c>
      <c r="K64" s="4292"/>
      <c r="L64" s="2162" t="s">
        <v>117</v>
      </c>
      <c r="M64" s="4353"/>
      <c r="N64" s="2119"/>
      <c r="O64" s="2169">
        <v>37</v>
      </c>
      <c r="P64" s="2299"/>
      <c r="Q64" s="2176"/>
      <c r="R64" s="2176"/>
      <c r="S64" s="2299"/>
      <c r="T64" s="2176"/>
      <c r="U64" s="2176"/>
      <c r="V64" s="3323"/>
      <c r="W64" s="2176"/>
      <c r="X64" s="2176"/>
      <c r="Y64" s="3323"/>
      <c r="Z64" s="2176"/>
      <c r="AA64" s="2176"/>
      <c r="AB64" s="3323"/>
      <c r="AC64" s="2176"/>
      <c r="AD64" s="2176"/>
      <c r="AE64" s="3323"/>
      <c r="AF64" s="2176"/>
      <c r="AG64" s="2176">
        <f>O64/31</f>
        <v>1.1935483870967742</v>
      </c>
      <c r="AH64" s="4123"/>
      <c r="AI64" s="4123"/>
      <c r="AJ64" s="2177">
        <f t="shared" si="68"/>
        <v>0.10995542347696879</v>
      </c>
      <c r="AK64" s="2468"/>
      <c r="AL64" s="2339"/>
      <c r="AM64" s="2169" t="e">
        <f t="shared" ref="AM64:AS64" si="81">IF(AM60&gt;$AG$71,$AG$64,IF(AM60&lt;$AG$71,(IF(AM60&lt;0,0,AM60*$AJ$64))))</f>
        <v>#VALUE!</v>
      </c>
      <c r="AN64" s="2176">
        <f t="shared" si="81"/>
        <v>1.1935483870967742</v>
      </c>
      <c r="AO64" s="2176">
        <f t="shared" si="81"/>
        <v>1.1935483870967742</v>
      </c>
      <c r="AP64" s="2176">
        <f t="shared" si="81"/>
        <v>1.1935483870967742</v>
      </c>
      <c r="AQ64" s="2176">
        <f t="shared" si="81"/>
        <v>1.1935483870967742</v>
      </c>
      <c r="AR64" s="2176">
        <f t="shared" si="81"/>
        <v>1.1935483870967742</v>
      </c>
      <c r="AS64" s="2171">
        <f t="shared" si="81"/>
        <v>1.1935483870967742</v>
      </c>
      <c r="AT64" s="1951"/>
      <c r="AU64" s="2163" t="e">
        <f t="shared" ref="AU64" si="82">SUM(AM64:AS64)</f>
        <v>#VALUE!</v>
      </c>
      <c r="AV64" s="2167">
        <f>$AG$64*0</f>
        <v>0</v>
      </c>
      <c r="AW64" s="2168" t="e">
        <f>AU64-AV64</f>
        <v>#VALUE!</v>
      </c>
      <c r="AX64" s="1951"/>
      <c r="AY64" s="2163"/>
      <c r="AZ64" s="2167"/>
      <c r="BA64" s="2167"/>
      <c r="BB64" s="2167"/>
      <c r="BC64" s="2167"/>
      <c r="BD64" s="2167"/>
      <c r="BE64" s="2166"/>
      <c r="BF64" s="1951"/>
      <c r="BG64" s="2163">
        <f t="shared" si="74"/>
        <v>0</v>
      </c>
      <c r="BH64" s="2167">
        <f>$AG$64*0</f>
        <v>0</v>
      </c>
      <c r="BI64" s="2168">
        <f t="shared" si="75"/>
        <v>0</v>
      </c>
      <c r="BJ64" s="1951"/>
      <c r="BK64" s="2163"/>
      <c r="BL64" s="2164"/>
      <c r="BM64" s="2164"/>
      <c r="BN64" s="2164"/>
      <c r="BO64" s="2164"/>
      <c r="BP64" s="2164"/>
      <c r="BQ64" s="2164"/>
      <c r="BR64" s="1951"/>
      <c r="BS64" s="2163">
        <f t="shared" si="76"/>
        <v>0</v>
      </c>
      <c r="BT64" s="2167">
        <f>$AG$64*0</f>
        <v>0</v>
      </c>
      <c r="BU64" s="2168">
        <f t="shared" si="77"/>
        <v>0</v>
      </c>
      <c r="BV64" s="1951"/>
      <c r="BW64" s="2163"/>
      <c r="BX64" s="2164"/>
      <c r="BY64" s="2164"/>
      <c r="BZ64" s="2164"/>
      <c r="CA64" s="2176"/>
      <c r="CB64" s="2176"/>
      <c r="CC64" s="2171"/>
      <c r="CD64" s="1951"/>
      <c r="CE64" s="2163">
        <f t="shared" si="78"/>
        <v>0</v>
      </c>
      <c r="CF64" s="2167">
        <f>$AG$64*0</f>
        <v>0</v>
      </c>
      <c r="CG64" s="2168">
        <f t="shared" si="79"/>
        <v>0</v>
      </c>
      <c r="CH64" s="1951"/>
      <c r="CI64" s="2169"/>
      <c r="CJ64" s="2307"/>
      <c r="CK64" s="2171"/>
      <c r="CL64" s="1951"/>
      <c r="CM64" s="2163">
        <f t="shared" si="70"/>
        <v>0</v>
      </c>
      <c r="CN64" s="2167">
        <f>$AG$64*0</f>
        <v>0</v>
      </c>
      <c r="CO64" s="2168">
        <f t="shared" si="80"/>
        <v>0</v>
      </c>
      <c r="CQ64" s="2163"/>
      <c r="CR64" s="2619"/>
      <c r="CT64" s="2163" t="e">
        <f t="shared" si="71"/>
        <v>#VALUE!</v>
      </c>
      <c r="CU64" s="2620" t="e">
        <f t="shared" si="72"/>
        <v>#VALUE!</v>
      </c>
      <c r="CV64" s="2353"/>
      <c r="CW64" s="4636"/>
      <c r="CY64" s="4627"/>
      <c r="CZ64" s="2011"/>
      <c r="DA64" s="2011"/>
      <c r="DB64" s="2011"/>
      <c r="DC64" s="2011"/>
      <c r="DD64" s="2011"/>
      <c r="DE64" s="2011"/>
      <c r="DF64" s="2011"/>
      <c r="DG64" s="2011"/>
      <c r="DH64" s="2011"/>
    </row>
    <row r="65" spans="9:112" s="1726" customFormat="1" x14ac:dyDescent="0.2">
      <c r="J65" s="2085">
        <v>41</v>
      </c>
      <c r="K65" s="4293"/>
      <c r="L65" s="2086" t="s">
        <v>246</v>
      </c>
      <c r="M65" s="4354"/>
      <c r="N65" s="2051"/>
      <c r="O65" s="2087">
        <v>37</v>
      </c>
      <c r="P65" s="2289"/>
      <c r="Q65" s="2088"/>
      <c r="R65" s="2088"/>
      <c r="S65" s="2289"/>
      <c r="T65" s="2088"/>
      <c r="U65" s="2088"/>
      <c r="V65" s="2287"/>
      <c r="W65" s="2088"/>
      <c r="X65" s="2088"/>
      <c r="Y65" s="2287"/>
      <c r="Z65" s="2088"/>
      <c r="AA65" s="2088"/>
      <c r="AB65" s="2287"/>
      <c r="AC65" s="2088"/>
      <c r="AD65" s="2088"/>
      <c r="AE65" s="2287"/>
      <c r="AF65" s="2088"/>
      <c r="AG65" s="2088">
        <f t="shared" ref="AG65" si="83">O65/31</f>
        <v>1.1935483870967742</v>
      </c>
      <c r="AH65" s="4124"/>
      <c r="AI65" s="4124"/>
      <c r="AJ65" s="2089">
        <f t="shared" si="68"/>
        <v>0.10995542347696879</v>
      </c>
      <c r="AK65" s="1931"/>
      <c r="AL65" s="1924"/>
      <c r="AM65" s="2090" t="e">
        <f t="shared" ref="AM65:AS65" si="84">IF(AM60&gt;$AG$71,$AG$65,IF(AM60&lt;$AG$71,(IF(AM60&lt;0,0,AM60*$AJ$65))))</f>
        <v>#VALUE!</v>
      </c>
      <c r="AN65" s="2088">
        <f t="shared" si="84"/>
        <v>1.1935483870967742</v>
      </c>
      <c r="AO65" s="2088">
        <f t="shared" si="84"/>
        <v>1.1935483870967742</v>
      </c>
      <c r="AP65" s="2088">
        <f t="shared" si="84"/>
        <v>1.1935483870967742</v>
      </c>
      <c r="AQ65" s="2088">
        <f t="shared" si="84"/>
        <v>1.1935483870967742</v>
      </c>
      <c r="AR65" s="2088">
        <f t="shared" si="84"/>
        <v>1.1935483870967742</v>
      </c>
      <c r="AS65" s="2091">
        <f t="shared" si="84"/>
        <v>1.1935483870967742</v>
      </c>
      <c r="AT65" s="4280"/>
      <c r="AU65" s="2090" t="e">
        <f t="shared" si="55"/>
        <v>#VALUE!</v>
      </c>
      <c r="AV65" s="2087">
        <f>$AG$65*0</f>
        <v>0</v>
      </c>
      <c r="AW65" s="2174" t="e">
        <f>AU65-AV65</f>
        <v>#VALUE!</v>
      </c>
      <c r="AX65" s="4288"/>
      <c r="AY65" s="2090"/>
      <c r="AZ65" s="2087"/>
      <c r="BA65" s="2087"/>
      <c r="BB65" s="2087"/>
      <c r="BC65" s="2087"/>
      <c r="BD65" s="2087"/>
      <c r="BE65" s="2091"/>
      <c r="BF65" s="4288"/>
      <c r="BG65" s="2090">
        <f t="shared" si="74"/>
        <v>0</v>
      </c>
      <c r="BH65" s="2087">
        <f>$AG$65*0</f>
        <v>0</v>
      </c>
      <c r="BI65" s="2174">
        <f t="shared" si="75"/>
        <v>0</v>
      </c>
      <c r="BJ65" s="4288"/>
      <c r="BK65" s="2090"/>
      <c r="BL65" s="2088"/>
      <c r="BM65" s="2088"/>
      <c r="BN65" s="2088"/>
      <c r="BO65" s="2088"/>
      <c r="BP65" s="2088"/>
      <c r="BQ65" s="2088"/>
      <c r="BR65" s="4280"/>
      <c r="BS65" s="2090">
        <f t="shared" si="76"/>
        <v>0</v>
      </c>
      <c r="BT65" s="2087">
        <f>$AG$65*0</f>
        <v>0</v>
      </c>
      <c r="BU65" s="2174">
        <f t="shared" si="77"/>
        <v>0</v>
      </c>
      <c r="BV65" s="4280"/>
      <c r="BW65" s="2090"/>
      <c r="BX65" s="2088"/>
      <c r="BY65" s="2088"/>
      <c r="BZ65" s="2088"/>
      <c r="CA65" s="2088"/>
      <c r="CB65" s="2088"/>
      <c r="CC65" s="2091"/>
      <c r="CD65" s="4280"/>
      <c r="CE65" s="2090">
        <f t="shared" si="78"/>
        <v>0</v>
      </c>
      <c r="CF65" s="2087">
        <f>$AG$65*0</f>
        <v>0</v>
      </c>
      <c r="CG65" s="2174">
        <f t="shared" si="79"/>
        <v>0</v>
      </c>
      <c r="CH65" s="4280"/>
      <c r="CI65" s="2090"/>
      <c r="CJ65" s="2305"/>
      <c r="CK65" s="2091"/>
      <c r="CL65" s="4280"/>
      <c r="CM65" s="2090">
        <f t="shared" si="70"/>
        <v>0</v>
      </c>
      <c r="CN65" s="2087">
        <f>$AG$65*0</f>
        <v>0</v>
      </c>
      <c r="CO65" s="2174">
        <f t="shared" si="80"/>
        <v>0</v>
      </c>
      <c r="CQ65" s="2090"/>
      <c r="CR65" s="2159"/>
      <c r="CS65" s="1740"/>
      <c r="CT65" s="2090" t="e">
        <f t="shared" si="71"/>
        <v>#VALUE!</v>
      </c>
      <c r="CU65" s="2160" t="e">
        <f t="shared" si="72"/>
        <v>#VALUE!</v>
      </c>
      <c r="CV65" s="2351"/>
      <c r="CW65" s="4636"/>
      <c r="CY65" s="4627"/>
      <c r="CZ65" s="1830"/>
      <c r="DA65" s="2131"/>
      <c r="DB65" s="1830"/>
      <c r="DC65" s="1860"/>
      <c r="DD65" s="1860"/>
      <c r="DE65" s="1860"/>
      <c r="DF65" s="1860"/>
      <c r="DG65" s="1860"/>
      <c r="DH65" s="1860"/>
    </row>
    <row r="66" spans="9:112" s="1885" customFormat="1" x14ac:dyDescent="0.2">
      <c r="J66" s="2182">
        <v>42</v>
      </c>
      <c r="K66" s="4294"/>
      <c r="L66" s="2175" t="s">
        <v>118</v>
      </c>
      <c r="M66" s="4353"/>
      <c r="N66" s="2119"/>
      <c r="O66" s="2170">
        <v>35</v>
      </c>
      <c r="P66" s="2299"/>
      <c r="Q66" s="2176"/>
      <c r="R66" s="2176"/>
      <c r="S66" s="2299"/>
      <c r="T66" s="2176"/>
      <c r="U66" s="2176"/>
      <c r="V66" s="3323"/>
      <c r="W66" s="2176"/>
      <c r="X66" s="2176"/>
      <c r="Y66" s="3323"/>
      <c r="Z66" s="2176"/>
      <c r="AA66" s="2176"/>
      <c r="AB66" s="3323"/>
      <c r="AC66" s="2176"/>
      <c r="AD66" s="2176"/>
      <c r="AE66" s="3323"/>
      <c r="AF66" s="2176"/>
      <c r="AG66" s="2176">
        <f>O66/31</f>
        <v>1.1290322580645162</v>
      </c>
      <c r="AH66" s="4123"/>
      <c r="AI66" s="4123"/>
      <c r="AJ66" s="2177">
        <f t="shared" si="68"/>
        <v>0.10401188707280833</v>
      </c>
      <c r="AK66" s="2003"/>
      <c r="AL66" s="1950"/>
      <c r="AM66" s="2169" t="e">
        <f t="shared" ref="AM66:AS66" si="85">IF(AM60&gt;$AG$71,$AG$66,IF(AM60&lt;$AG$71,(IF(AM60&lt;0,0,AM60*$AJ$66))))</f>
        <v>#VALUE!</v>
      </c>
      <c r="AN66" s="2176">
        <f t="shared" si="85"/>
        <v>1.1290322580645162</v>
      </c>
      <c r="AO66" s="2176">
        <f t="shared" si="85"/>
        <v>1.1290322580645162</v>
      </c>
      <c r="AP66" s="2176">
        <f t="shared" si="85"/>
        <v>1.1290322580645162</v>
      </c>
      <c r="AQ66" s="2176">
        <f t="shared" si="85"/>
        <v>1.1290322580645162</v>
      </c>
      <c r="AR66" s="2176">
        <f t="shared" si="85"/>
        <v>1.1290322580645162</v>
      </c>
      <c r="AS66" s="2171">
        <f t="shared" si="85"/>
        <v>1.1290322580645162</v>
      </c>
      <c r="AT66" s="1951"/>
      <c r="AU66" s="2169" t="e">
        <f t="shared" si="55"/>
        <v>#VALUE!</v>
      </c>
      <c r="AV66" s="2176">
        <f>$AG$66*0</f>
        <v>0</v>
      </c>
      <c r="AW66" s="2171" t="e">
        <f t="shared" ref="AW66:AW83" si="86">AU66-AV66</f>
        <v>#VALUE!</v>
      </c>
      <c r="AX66" s="1956"/>
      <c r="AY66" s="2169"/>
      <c r="AZ66" s="2176"/>
      <c r="BA66" s="2176"/>
      <c r="BB66" s="2176"/>
      <c r="BC66" s="2176"/>
      <c r="BD66" s="2176"/>
      <c r="BE66" s="2171"/>
      <c r="BF66" s="1956"/>
      <c r="BG66" s="2169">
        <f t="shared" si="74"/>
        <v>0</v>
      </c>
      <c r="BH66" s="2176">
        <f>$AG$66*0</f>
        <v>0</v>
      </c>
      <c r="BI66" s="2171">
        <f t="shared" si="75"/>
        <v>0</v>
      </c>
      <c r="BJ66" s="1956"/>
      <c r="BK66" s="2169"/>
      <c r="BL66" s="2176"/>
      <c r="BM66" s="2176"/>
      <c r="BN66" s="2176"/>
      <c r="BO66" s="2176"/>
      <c r="BP66" s="2176"/>
      <c r="BQ66" s="2176"/>
      <c r="BR66" s="1951"/>
      <c r="BS66" s="2169">
        <f t="shared" si="76"/>
        <v>0</v>
      </c>
      <c r="BT66" s="2176">
        <f>$AG$66*0</f>
        <v>0</v>
      </c>
      <c r="BU66" s="2171">
        <f t="shared" si="77"/>
        <v>0</v>
      </c>
      <c r="BV66" s="1951"/>
      <c r="BW66" s="2169"/>
      <c r="BX66" s="2176"/>
      <c r="BY66" s="2176"/>
      <c r="BZ66" s="2176"/>
      <c r="CA66" s="2176"/>
      <c r="CB66" s="2176"/>
      <c r="CC66" s="2171"/>
      <c r="CD66" s="1951"/>
      <c r="CE66" s="2169">
        <f t="shared" si="78"/>
        <v>0</v>
      </c>
      <c r="CF66" s="2176">
        <f>$AG$66*0</f>
        <v>0</v>
      </c>
      <c r="CG66" s="2171">
        <f t="shared" si="79"/>
        <v>0</v>
      </c>
      <c r="CH66" s="1951"/>
      <c r="CI66" s="2169"/>
      <c r="CJ66" s="2307"/>
      <c r="CK66" s="2171"/>
      <c r="CL66" s="1951"/>
      <c r="CM66" s="2169">
        <f t="shared" si="70"/>
        <v>0</v>
      </c>
      <c r="CN66" s="2176">
        <f>$AG$66*0</f>
        <v>0</v>
      </c>
      <c r="CO66" s="2171">
        <f t="shared" si="80"/>
        <v>0</v>
      </c>
      <c r="CQ66" s="2179"/>
      <c r="CR66" s="2180"/>
      <c r="CS66" s="1900"/>
      <c r="CT66" s="2179" t="e">
        <f t="shared" si="71"/>
        <v>#VALUE!</v>
      </c>
      <c r="CU66" s="2181" t="e">
        <f t="shared" si="72"/>
        <v>#VALUE!</v>
      </c>
      <c r="CV66" s="2353"/>
      <c r="CW66" s="4636"/>
      <c r="CY66" s="4627"/>
      <c r="CZ66" s="1962"/>
      <c r="DA66" s="2339"/>
      <c r="DB66" s="1962"/>
      <c r="DC66" s="1946"/>
      <c r="DD66" s="1946"/>
      <c r="DE66" s="1946"/>
      <c r="DF66" s="1946"/>
      <c r="DG66" s="1946"/>
      <c r="DH66" s="1946"/>
    </row>
    <row r="67" spans="9:112" s="1726" customFormat="1" x14ac:dyDescent="0.2">
      <c r="I67" s="1756"/>
      <c r="J67" s="2085">
        <v>43</v>
      </c>
      <c r="K67" s="4293"/>
      <c r="L67" s="2086" t="s">
        <v>269</v>
      </c>
      <c r="M67" s="4354"/>
      <c r="N67" s="2051"/>
      <c r="O67" s="2087">
        <v>29.5</v>
      </c>
      <c r="P67" s="2289"/>
      <c r="Q67" s="2088"/>
      <c r="R67" s="2088"/>
      <c r="S67" s="2289"/>
      <c r="T67" s="2088"/>
      <c r="U67" s="2088"/>
      <c r="V67" s="2287"/>
      <c r="W67" s="2088"/>
      <c r="X67" s="2088"/>
      <c r="Y67" s="2287"/>
      <c r="Z67" s="2088"/>
      <c r="AA67" s="2088"/>
      <c r="AB67" s="2287"/>
      <c r="AC67" s="2088"/>
      <c r="AD67" s="2088"/>
      <c r="AE67" s="2287"/>
      <c r="AF67" s="2088"/>
      <c r="AG67" s="2088">
        <f t="shared" ref="AG67" si="87">O67/31</f>
        <v>0.95161290322580649</v>
      </c>
      <c r="AH67" s="4124"/>
      <c r="AI67" s="4124"/>
      <c r="AJ67" s="2089">
        <f t="shared" si="68"/>
        <v>8.7667161961367007E-2</v>
      </c>
      <c r="AK67" s="1931"/>
      <c r="AL67" s="1924"/>
      <c r="AM67" s="2090" t="e">
        <f t="shared" ref="AM67:AS67" si="88">IF(AM60&gt;$AG$71,$AG$67,IF(AM60&lt;$AG$71,(IF(AM60&lt;0,0,AM60*$AJ$67))))</f>
        <v>#VALUE!</v>
      </c>
      <c r="AN67" s="2088">
        <f t="shared" si="88"/>
        <v>0.95161290322580649</v>
      </c>
      <c r="AO67" s="2088">
        <f t="shared" si="88"/>
        <v>0.95161290322580649</v>
      </c>
      <c r="AP67" s="2088">
        <f t="shared" si="88"/>
        <v>0.95161290322580649</v>
      </c>
      <c r="AQ67" s="2088">
        <f t="shared" si="88"/>
        <v>0.95161290322580649</v>
      </c>
      <c r="AR67" s="2088">
        <f t="shared" si="88"/>
        <v>0.95161290322580649</v>
      </c>
      <c r="AS67" s="2091">
        <f t="shared" si="88"/>
        <v>0.95161290322580649</v>
      </c>
      <c r="AT67" s="4280"/>
      <c r="AU67" s="2090" t="e">
        <f t="shared" si="55"/>
        <v>#VALUE!</v>
      </c>
      <c r="AV67" s="2088">
        <f>$AG$67*0</f>
        <v>0</v>
      </c>
      <c r="AW67" s="2091" t="e">
        <f t="shared" si="86"/>
        <v>#VALUE!</v>
      </c>
      <c r="AX67" s="4288"/>
      <c r="AY67" s="2090"/>
      <c r="AZ67" s="2088"/>
      <c r="BA67" s="2088"/>
      <c r="BB67" s="2088"/>
      <c r="BC67" s="2088"/>
      <c r="BD67" s="2088"/>
      <c r="BE67" s="2091"/>
      <c r="BF67" s="4288"/>
      <c r="BG67" s="2090">
        <f t="shared" si="74"/>
        <v>0</v>
      </c>
      <c r="BH67" s="2088">
        <f>$AG$67*0</f>
        <v>0</v>
      </c>
      <c r="BI67" s="2091">
        <f t="shared" si="75"/>
        <v>0</v>
      </c>
      <c r="BJ67" s="4288"/>
      <c r="BK67" s="2090"/>
      <c r="BL67" s="2088"/>
      <c r="BM67" s="2088"/>
      <c r="BN67" s="2088"/>
      <c r="BO67" s="2088"/>
      <c r="BP67" s="2088"/>
      <c r="BQ67" s="2088"/>
      <c r="BR67" s="4280"/>
      <c r="BS67" s="2090">
        <f t="shared" si="76"/>
        <v>0</v>
      </c>
      <c r="BT67" s="2088">
        <f>$AG$67*0</f>
        <v>0</v>
      </c>
      <c r="BU67" s="2091">
        <f t="shared" si="77"/>
        <v>0</v>
      </c>
      <c r="BV67" s="4280"/>
      <c r="BW67" s="2090"/>
      <c r="BX67" s="2088"/>
      <c r="BY67" s="2088"/>
      <c r="BZ67" s="2088"/>
      <c r="CA67" s="2088"/>
      <c r="CB67" s="2088"/>
      <c r="CC67" s="2091"/>
      <c r="CD67" s="4280"/>
      <c r="CE67" s="2090">
        <f t="shared" si="78"/>
        <v>0</v>
      </c>
      <c r="CF67" s="2088">
        <f>$AG$67*0</f>
        <v>0</v>
      </c>
      <c r="CG67" s="2091">
        <f t="shared" si="79"/>
        <v>0</v>
      </c>
      <c r="CH67" s="4280"/>
      <c r="CI67" s="2090"/>
      <c r="CJ67" s="2305"/>
      <c r="CK67" s="2091"/>
      <c r="CL67" s="4280"/>
      <c r="CM67" s="2090">
        <f t="shared" si="70"/>
        <v>0</v>
      </c>
      <c r="CN67" s="2088">
        <f>$AG$67*0</f>
        <v>0</v>
      </c>
      <c r="CO67" s="2091">
        <f t="shared" si="80"/>
        <v>0</v>
      </c>
      <c r="CQ67" s="2092"/>
      <c r="CR67" s="2093"/>
      <c r="CS67" s="1740"/>
      <c r="CT67" s="2092" t="e">
        <f t="shared" si="71"/>
        <v>#VALUE!</v>
      </c>
      <c r="CU67" s="2094" t="e">
        <f t="shared" si="72"/>
        <v>#VALUE!</v>
      </c>
      <c r="CV67" s="2351"/>
      <c r="CW67" s="4636"/>
      <c r="CY67" s="4627"/>
      <c r="CZ67" s="4265"/>
      <c r="DA67" s="4265"/>
      <c r="DB67" s="1860"/>
      <c r="DC67" s="1860"/>
      <c r="DD67" s="1860"/>
      <c r="DE67" s="1860"/>
      <c r="DF67" s="1860"/>
      <c r="DG67" s="1860"/>
      <c r="DH67" s="1860"/>
    </row>
    <row r="68" spans="9:112" s="1885" customFormat="1" x14ac:dyDescent="0.2">
      <c r="J68" s="2182">
        <v>44</v>
      </c>
      <c r="K68" s="4294"/>
      <c r="L68" s="2175" t="s">
        <v>123</v>
      </c>
      <c r="M68" s="4353"/>
      <c r="N68" s="2119"/>
      <c r="O68" s="2170">
        <v>25</v>
      </c>
      <c r="P68" s="2299"/>
      <c r="Q68" s="2176"/>
      <c r="R68" s="2176"/>
      <c r="S68" s="2299"/>
      <c r="T68" s="2176"/>
      <c r="U68" s="2176"/>
      <c r="V68" s="3323"/>
      <c r="W68" s="2176"/>
      <c r="X68" s="2176"/>
      <c r="Y68" s="3323"/>
      <c r="Z68" s="2176"/>
      <c r="AA68" s="2176"/>
      <c r="AB68" s="3323"/>
      <c r="AC68" s="2176"/>
      <c r="AD68" s="2176"/>
      <c r="AE68" s="3323"/>
      <c r="AF68" s="2176"/>
      <c r="AG68" s="2176">
        <f>O68/31</f>
        <v>0.80645161290322576</v>
      </c>
      <c r="AH68" s="4123"/>
      <c r="AI68" s="4123"/>
      <c r="AJ68" s="2177">
        <f t="shared" si="68"/>
        <v>7.4294205052005943E-2</v>
      </c>
      <c r="AK68" s="2003"/>
      <c r="AL68" s="1950"/>
      <c r="AM68" s="2169" t="e">
        <f t="shared" ref="AM68:AS68" si="89">IF(AM60&gt;$AG$71,$AG$68,IF(AM60&lt;$AG$71,(IF(AM60&lt;0,0,AM60*$AJ$68))))</f>
        <v>#VALUE!</v>
      </c>
      <c r="AN68" s="2176">
        <f t="shared" si="89"/>
        <v>0.80645161290322576</v>
      </c>
      <c r="AO68" s="2176">
        <f t="shared" si="89"/>
        <v>0.80645161290322576</v>
      </c>
      <c r="AP68" s="2176">
        <f t="shared" si="89"/>
        <v>0.80645161290322576</v>
      </c>
      <c r="AQ68" s="2176">
        <f t="shared" si="89"/>
        <v>0.80645161290322576</v>
      </c>
      <c r="AR68" s="2176">
        <f t="shared" si="89"/>
        <v>0.80645161290322576</v>
      </c>
      <c r="AS68" s="2171">
        <f t="shared" si="89"/>
        <v>0.80645161290322576</v>
      </c>
      <c r="AT68" s="1951"/>
      <c r="AU68" s="2169" t="e">
        <f t="shared" si="55"/>
        <v>#VALUE!</v>
      </c>
      <c r="AV68" s="2176">
        <f>$AG$68*0</f>
        <v>0</v>
      </c>
      <c r="AW68" s="2171" t="e">
        <f t="shared" si="86"/>
        <v>#VALUE!</v>
      </c>
      <c r="AX68" s="1956"/>
      <c r="AY68" s="2169"/>
      <c r="AZ68" s="2176"/>
      <c r="BA68" s="2176"/>
      <c r="BB68" s="2176"/>
      <c r="BC68" s="2176"/>
      <c r="BD68" s="2176"/>
      <c r="BE68" s="2171"/>
      <c r="BF68" s="1956"/>
      <c r="BG68" s="2169">
        <f t="shared" si="74"/>
        <v>0</v>
      </c>
      <c r="BH68" s="2176">
        <f>$AG$68*0</f>
        <v>0</v>
      </c>
      <c r="BI68" s="2171">
        <f t="shared" si="75"/>
        <v>0</v>
      </c>
      <c r="BJ68" s="1956"/>
      <c r="BK68" s="2169"/>
      <c r="BL68" s="2176"/>
      <c r="BM68" s="2176"/>
      <c r="BN68" s="2176"/>
      <c r="BO68" s="2176"/>
      <c r="BP68" s="2176"/>
      <c r="BQ68" s="2176"/>
      <c r="BR68" s="1951"/>
      <c r="BS68" s="2169">
        <f t="shared" si="76"/>
        <v>0</v>
      </c>
      <c r="BT68" s="2176">
        <f>$AG$68*0</f>
        <v>0</v>
      </c>
      <c r="BU68" s="2171">
        <f t="shared" si="77"/>
        <v>0</v>
      </c>
      <c r="BV68" s="1951"/>
      <c r="BW68" s="2169"/>
      <c r="BX68" s="2176"/>
      <c r="BY68" s="2176"/>
      <c r="BZ68" s="2176"/>
      <c r="CA68" s="2176"/>
      <c r="CB68" s="2176"/>
      <c r="CC68" s="2171"/>
      <c r="CD68" s="1951"/>
      <c r="CE68" s="2169">
        <f t="shared" si="78"/>
        <v>0</v>
      </c>
      <c r="CF68" s="2176">
        <f>$AG$68*0</f>
        <v>0</v>
      </c>
      <c r="CG68" s="2171">
        <f t="shared" si="79"/>
        <v>0</v>
      </c>
      <c r="CH68" s="1951"/>
      <c r="CI68" s="2169"/>
      <c r="CJ68" s="2307"/>
      <c r="CK68" s="2171"/>
      <c r="CL68" s="1951"/>
      <c r="CM68" s="2169">
        <f t="shared" si="70"/>
        <v>0</v>
      </c>
      <c r="CN68" s="2176">
        <f>$AG$68*0</f>
        <v>0</v>
      </c>
      <c r="CO68" s="2171">
        <f t="shared" si="80"/>
        <v>0</v>
      </c>
      <c r="CQ68" s="2179"/>
      <c r="CR68" s="2180"/>
      <c r="CS68" s="1900"/>
      <c r="CT68" s="2179" t="e">
        <f t="shared" si="71"/>
        <v>#VALUE!</v>
      </c>
      <c r="CU68" s="2181" t="e">
        <f t="shared" si="72"/>
        <v>#VALUE!</v>
      </c>
      <c r="CV68" s="2353"/>
      <c r="CW68" s="4636"/>
      <c r="CY68" s="4627"/>
      <c r="CZ68" s="4262"/>
      <c r="DA68" s="4262"/>
      <c r="DB68" s="1946"/>
      <c r="DC68" s="1946"/>
      <c r="DD68" s="1946"/>
      <c r="DE68" s="1946"/>
      <c r="DF68" s="1946"/>
      <c r="DG68" s="1946"/>
      <c r="DH68" s="1946"/>
    </row>
    <row r="69" spans="9:112" s="1726" customFormat="1" x14ac:dyDescent="0.2">
      <c r="J69" s="2085">
        <v>45</v>
      </c>
      <c r="K69" s="4295"/>
      <c r="L69" s="2108" t="s">
        <v>119</v>
      </c>
      <c r="M69" s="4354"/>
      <c r="N69" s="2051"/>
      <c r="O69" s="2110">
        <v>4</v>
      </c>
      <c r="P69" s="2289"/>
      <c r="Q69" s="2111"/>
      <c r="R69" s="2111"/>
      <c r="S69" s="2289"/>
      <c r="T69" s="2111"/>
      <c r="U69" s="2111"/>
      <c r="V69" s="2287"/>
      <c r="W69" s="2111"/>
      <c r="X69" s="2111"/>
      <c r="Y69" s="2287"/>
      <c r="Z69" s="2111"/>
      <c r="AA69" s="2111"/>
      <c r="AB69" s="2287"/>
      <c r="AC69" s="2111"/>
      <c r="AD69" s="2111"/>
      <c r="AE69" s="2287"/>
      <c r="AF69" s="2111"/>
      <c r="AG69" s="2111">
        <f t="shared" ref="AG69" si="90">O69/31</f>
        <v>0.12903225806451613</v>
      </c>
      <c r="AH69" s="4125"/>
      <c r="AI69" s="4125"/>
      <c r="AJ69" s="2112">
        <f t="shared" si="68"/>
        <v>1.188707280832095E-2</v>
      </c>
      <c r="AK69" s="1931"/>
      <c r="AL69" s="1924"/>
      <c r="AM69" s="2090" t="e">
        <f t="shared" ref="AM69:AS69" si="91">IF(AM60&gt;$AG$71,$AG$69,IF(AM60&lt;$AG$71,(IF(AM60&lt;0,0,AM60*$AJ$69))))</f>
        <v>#VALUE!</v>
      </c>
      <c r="AN69" s="2088">
        <f t="shared" si="91"/>
        <v>0.12903225806451613</v>
      </c>
      <c r="AO69" s="2088">
        <f t="shared" si="91"/>
        <v>0.12903225806451613</v>
      </c>
      <c r="AP69" s="2088">
        <f t="shared" si="91"/>
        <v>0.12903225806451613</v>
      </c>
      <c r="AQ69" s="2088">
        <f t="shared" si="91"/>
        <v>0.12903225806451613</v>
      </c>
      <c r="AR69" s="2088">
        <f t="shared" si="91"/>
        <v>0.12903225806451613</v>
      </c>
      <c r="AS69" s="2091">
        <f t="shared" si="91"/>
        <v>0.12903225806451613</v>
      </c>
      <c r="AT69" s="4280"/>
      <c r="AU69" s="2090" t="e">
        <f>SUM(AM69:AS69)</f>
        <v>#VALUE!</v>
      </c>
      <c r="AV69" s="2087">
        <f>$AG$69*0</f>
        <v>0</v>
      </c>
      <c r="AW69" s="2174" t="e">
        <f t="shared" si="86"/>
        <v>#VALUE!</v>
      </c>
      <c r="AX69" s="4288"/>
      <c r="AY69" s="2090"/>
      <c r="AZ69" s="2087"/>
      <c r="BA69" s="2087"/>
      <c r="BB69" s="2087"/>
      <c r="BC69" s="2087"/>
      <c r="BD69" s="2087"/>
      <c r="BE69" s="2091"/>
      <c r="BF69" s="4288"/>
      <c r="BG69" s="2090">
        <f t="shared" si="74"/>
        <v>0</v>
      </c>
      <c r="BH69" s="2087">
        <f>$AG$69*0</f>
        <v>0</v>
      </c>
      <c r="BI69" s="2174">
        <f t="shared" si="75"/>
        <v>0</v>
      </c>
      <c r="BJ69" s="4288"/>
      <c r="BK69" s="2090"/>
      <c r="BL69" s="2088"/>
      <c r="BM69" s="2088"/>
      <c r="BN69" s="2088"/>
      <c r="BO69" s="2088"/>
      <c r="BP69" s="2088"/>
      <c r="BQ69" s="2088"/>
      <c r="BR69" s="4280"/>
      <c r="BS69" s="2090">
        <f t="shared" si="76"/>
        <v>0</v>
      </c>
      <c r="BT69" s="2087">
        <f>$AG$69*0</f>
        <v>0</v>
      </c>
      <c r="BU69" s="2174">
        <f t="shared" si="77"/>
        <v>0</v>
      </c>
      <c r="BV69" s="4280"/>
      <c r="BW69" s="2090"/>
      <c r="BX69" s="2088"/>
      <c r="BY69" s="2088"/>
      <c r="BZ69" s="2088"/>
      <c r="CA69" s="2088"/>
      <c r="CB69" s="2088"/>
      <c r="CC69" s="2091"/>
      <c r="CD69" s="4280"/>
      <c r="CE69" s="2090">
        <f t="shared" si="78"/>
        <v>0</v>
      </c>
      <c r="CF69" s="2087">
        <f>$AG$69*0</f>
        <v>0</v>
      </c>
      <c r="CG69" s="2174">
        <f t="shared" si="79"/>
        <v>0</v>
      </c>
      <c r="CH69" s="4280"/>
      <c r="CI69" s="2090"/>
      <c r="CJ69" s="2305"/>
      <c r="CK69" s="2091"/>
      <c r="CL69" s="4280"/>
      <c r="CM69" s="2090">
        <f t="shared" si="70"/>
        <v>0</v>
      </c>
      <c r="CN69" s="2087">
        <f>$AG$69*0</f>
        <v>0</v>
      </c>
      <c r="CO69" s="2174">
        <f t="shared" si="80"/>
        <v>0</v>
      </c>
      <c r="CQ69" s="2092"/>
      <c r="CR69" s="2093"/>
      <c r="CS69" s="1740"/>
      <c r="CT69" s="2092" t="e">
        <f t="shared" si="71"/>
        <v>#VALUE!</v>
      </c>
      <c r="CU69" s="2094" t="e">
        <f t="shared" si="72"/>
        <v>#VALUE!</v>
      </c>
      <c r="CV69" s="2351"/>
      <c r="CW69" s="4636"/>
      <c r="CY69" s="4627"/>
      <c r="CZ69" s="4265"/>
      <c r="DA69" s="1860"/>
      <c r="DB69" s="1860"/>
      <c r="DC69" s="1860"/>
      <c r="DD69" s="1860"/>
      <c r="DE69" s="1860"/>
      <c r="DF69" s="1860"/>
      <c r="DG69" s="1860"/>
      <c r="DH69" s="1860"/>
    </row>
    <row r="70" spans="9:112" s="1885" customFormat="1" ht="17.25" thickBot="1" x14ac:dyDescent="0.25">
      <c r="J70" s="2420">
        <v>46</v>
      </c>
      <c r="K70" s="4296"/>
      <c r="L70" s="2417" t="s">
        <v>237</v>
      </c>
      <c r="M70" s="4355"/>
      <c r="N70" s="2680"/>
      <c r="O70" s="2681">
        <v>0</v>
      </c>
      <c r="P70" s="2299"/>
      <c r="Q70" s="2418"/>
      <c r="R70" s="2418"/>
      <c r="S70" s="2299"/>
      <c r="T70" s="2418"/>
      <c r="U70" s="2418"/>
      <c r="V70" s="3323"/>
      <c r="W70" s="2418"/>
      <c r="X70" s="2418"/>
      <c r="Y70" s="3323"/>
      <c r="Z70" s="2418"/>
      <c r="AA70" s="2418"/>
      <c r="AB70" s="3323"/>
      <c r="AC70" s="2418"/>
      <c r="AD70" s="2418"/>
      <c r="AE70" s="3323"/>
      <c r="AF70" s="2418"/>
      <c r="AG70" s="2418">
        <f>O70/31</f>
        <v>0</v>
      </c>
      <c r="AH70" s="4126"/>
      <c r="AI70" s="4126"/>
      <c r="AJ70" s="2419">
        <f t="shared" si="68"/>
        <v>0</v>
      </c>
      <c r="AK70" s="2003"/>
      <c r="AL70" s="1950"/>
      <c r="AM70" s="2179" t="e">
        <f t="shared" ref="AM70:AS70" si="92">IF(AM60&gt;$AG$71,$AG$70,IF(AM60&lt;$AG$71,(IF(AM60&lt;0,0,AM60*$AJ$70))))</f>
        <v>#VALUE!</v>
      </c>
      <c r="AN70" s="2418">
        <f t="shared" si="92"/>
        <v>0</v>
      </c>
      <c r="AO70" s="2418">
        <f t="shared" si="92"/>
        <v>0</v>
      </c>
      <c r="AP70" s="2418">
        <f t="shared" si="92"/>
        <v>0</v>
      </c>
      <c r="AQ70" s="2418">
        <f t="shared" si="92"/>
        <v>0</v>
      </c>
      <c r="AR70" s="2418">
        <f t="shared" si="92"/>
        <v>0</v>
      </c>
      <c r="AS70" s="2683">
        <f t="shared" si="92"/>
        <v>0</v>
      </c>
      <c r="AT70" s="1951"/>
      <c r="AU70" s="2179" t="e">
        <f t="shared" ref="AU70:AU82" si="93">SUM(AM70:AS70)</f>
        <v>#VALUE!</v>
      </c>
      <c r="AV70" s="2681">
        <f>$AG$70*0</f>
        <v>0</v>
      </c>
      <c r="AW70" s="2684" t="e">
        <f t="shared" si="86"/>
        <v>#VALUE!</v>
      </c>
      <c r="AX70" s="1956"/>
      <c r="AY70" s="2179"/>
      <c r="AZ70" s="2681"/>
      <c r="BA70" s="2681"/>
      <c r="BB70" s="2681"/>
      <c r="BC70" s="2681"/>
      <c r="BD70" s="2681"/>
      <c r="BE70" s="2683"/>
      <c r="BF70" s="1956"/>
      <c r="BG70" s="2179">
        <f t="shared" si="74"/>
        <v>0</v>
      </c>
      <c r="BH70" s="2681">
        <f>$AG$70*0</f>
        <v>0</v>
      </c>
      <c r="BI70" s="2684">
        <f t="shared" si="75"/>
        <v>0</v>
      </c>
      <c r="BJ70" s="1956"/>
      <c r="BK70" s="2179"/>
      <c r="BL70" s="2418"/>
      <c r="BM70" s="2418"/>
      <c r="BN70" s="2418"/>
      <c r="BO70" s="2418"/>
      <c r="BP70" s="2418"/>
      <c r="BQ70" s="2418"/>
      <c r="BR70" s="1951"/>
      <c r="BS70" s="2169">
        <f t="shared" si="76"/>
        <v>0</v>
      </c>
      <c r="BT70" s="2170">
        <f>$AG$70*0</f>
        <v>0</v>
      </c>
      <c r="BU70" s="2178">
        <f t="shared" si="77"/>
        <v>0</v>
      </c>
      <c r="BV70" s="1951"/>
      <c r="BW70" s="2179"/>
      <c r="BX70" s="2418"/>
      <c r="BY70" s="2418"/>
      <c r="BZ70" s="2418"/>
      <c r="CA70" s="2308"/>
      <c r="CB70" s="2308"/>
      <c r="CC70" s="2309"/>
      <c r="CD70" s="1951"/>
      <c r="CE70" s="2169">
        <f t="shared" si="78"/>
        <v>0</v>
      </c>
      <c r="CF70" s="2170">
        <f>$AG$70*0</f>
        <v>0</v>
      </c>
      <c r="CG70" s="2178">
        <f t="shared" si="79"/>
        <v>0</v>
      </c>
      <c r="CH70" s="1951"/>
      <c r="CI70" s="2187"/>
      <c r="CJ70" s="2700"/>
      <c r="CK70" s="2309"/>
      <c r="CL70" s="1951"/>
      <c r="CM70" s="2179">
        <f t="shared" si="70"/>
        <v>0</v>
      </c>
      <c r="CN70" s="2681">
        <f>$AG$70*0</f>
        <v>0</v>
      </c>
      <c r="CO70" s="2684">
        <f t="shared" si="80"/>
        <v>0</v>
      </c>
      <c r="CQ70" s="2179"/>
      <c r="CR70" s="2180"/>
      <c r="CS70" s="1900"/>
      <c r="CT70" s="2179" t="e">
        <f t="shared" si="71"/>
        <v>#VALUE!</v>
      </c>
      <c r="CU70" s="2181" t="e">
        <f t="shared" si="72"/>
        <v>#VALUE!</v>
      </c>
      <c r="CV70" s="2353"/>
      <c r="CW70" s="4636"/>
      <c r="CY70" s="4627"/>
      <c r="CZ70" s="4262"/>
      <c r="DA70" s="1946"/>
      <c r="DB70" s="1946"/>
      <c r="DC70" s="1946"/>
      <c r="DD70" s="1946"/>
      <c r="DE70" s="1946"/>
      <c r="DF70" s="1946"/>
      <c r="DG70" s="1946"/>
      <c r="DH70" s="1946"/>
    </row>
    <row r="71" spans="9:112" s="1726" customFormat="1" ht="17.25" thickBot="1" x14ac:dyDescent="0.25">
      <c r="J71" s="2049"/>
      <c r="K71" s="4297"/>
      <c r="L71" s="2190" t="s">
        <v>192</v>
      </c>
      <c r="M71" s="4354"/>
      <c r="N71" s="2051"/>
      <c r="O71" s="2056">
        <f>SUM(O62:O70)</f>
        <v>336.5</v>
      </c>
      <c r="P71" s="2289"/>
      <c r="Q71" s="2053"/>
      <c r="R71" s="2053"/>
      <c r="S71" s="2289"/>
      <c r="T71" s="2053"/>
      <c r="U71" s="2053"/>
      <c r="V71" s="2287"/>
      <c r="W71" s="2053"/>
      <c r="X71" s="2053"/>
      <c r="Y71" s="2287"/>
      <c r="Z71" s="2053"/>
      <c r="AA71" s="2053"/>
      <c r="AB71" s="2287"/>
      <c r="AC71" s="2053"/>
      <c r="AD71" s="2053"/>
      <c r="AE71" s="2287"/>
      <c r="AF71" s="2053"/>
      <c r="AG71" s="2053">
        <f t="shared" ref="AG71:AJ71" si="94">SUM(AG62:AG70)</f>
        <v>10.854838709677418</v>
      </c>
      <c r="AH71" s="4127"/>
      <c r="AI71" s="4127"/>
      <c r="AJ71" s="2191">
        <f t="shared" si="94"/>
        <v>1</v>
      </c>
      <c r="AK71" s="1931"/>
      <c r="AL71" s="1924"/>
      <c r="AM71" s="3532" t="e">
        <f t="shared" ref="AM71:AS71" si="95">SUM(AM62:AM70)</f>
        <v>#VALUE!</v>
      </c>
      <c r="AN71" s="3533">
        <f t="shared" si="95"/>
        <v>10.854838709677418</v>
      </c>
      <c r="AO71" s="3533">
        <f t="shared" si="95"/>
        <v>10.854838709677418</v>
      </c>
      <c r="AP71" s="3533">
        <f t="shared" si="95"/>
        <v>10.854838709677418</v>
      </c>
      <c r="AQ71" s="3533">
        <f t="shared" si="95"/>
        <v>10.854838709677418</v>
      </c>
      <c r="AR71" s="3533">
        <f t="shared" si="95"/>
        <v>10.854838709677418</v>
      </c>
      <c r="AS71" s="3534">
        <f t="shared" si="95"/>
        <v>10.854838709677418</v>
      </c>
      <c r="AT71" s="4280"/>
      <c r="AU71" s="2056" t="e">
        <f>SUM(AU62:AU70)</f>
        <v>#VALUE!</v>
      </c>
      <c r="AV71" s="2052">
        <f t="shared" ref="AV71" si="96">SUM(AV62:AV70)</f>
        <v>0</v>
      </c>
      <c r="AW71" s="2192" t="e">
        <f>SUM(AW62:AW70)</f>
        <v>#VALUE!</v>
      </c>
      <c r="AX71" s="4288"/>
      <c r="AY71" s="2056"/>
      <c r="AZ71" s="2052"/>
      <c r="BA71" s="2052"/>
      <c r="BB71" s="2052"/>
      <c r="BC71" s="2052"/>
      <c r="BD71" s="2052"/>
      <c r="BE71" s="2057"/>
      <c r="BF71" s="4288"/>
      <c r="BG71" s="2056">
        <f>SUM(BG62:BG70)</f>
        <v>0</v>
      </c>
      <c r="BH71" s="2052">
        <f>SUM(BH62:BH70)</f>
        <v>0</v>
      </c>
      <c r="BI71" s="2192">
        <f>SUM(BI62:BI70)</f>
        <v>0</v>
      </c>
      <c r="BJ71" s="4288"/>
      <c r="BK71" s="2056"/>
      <c r="BL71" s="2053"/>
      <c r="BM71" s="2053"/>
      <c r="BN71" s="2053"/>
      <c r="BO71" s="2053"/>
      <c r="BP71" s="2053"/>
      <c r="BQ71" s="2053"/>
      <c r="BR71" s="4280"/>
      <c r="BS71" s="2056">
        <f>SUM(BS62:BS70)</f>
        <v>0</v>
      </c>
      <c r="BT71" s="2052">
        <f>SUM(BT62:BT70)</f>
        <v>0</v>
      </c>
      <c r="BU71" s="2192">
        <f>SUM(BU62:BU70)</f>
        <v>0</v>
      </c>
      <c r="BV71" s="4280"/>
      <c r="BW71" s="2056"/>
      <c r="BX71" s="2053"/>
      <c r="BY71" s="2053"/>
      <c r="BZ71" s="2053"/>
      <c r="CA71" s="2053"/>
      <c r="CB71" s="2053"/>
      <c r="CC71" s="2057"/>
      <c r="CD71" s="4280"/>
      <c r="CE71" s="2056">
        <f>SUM(CE62:CE70)</f>
        <v>0</v>
      </c>
      <c r="CF71" s="2052">
        <f>SUM(CF62:CF70)</f>
        <v>0</v>
      </c>
      <c r="CG71" s="2192">
        <f>SUM(CG62:CG70)</f>
        <v>0</v>
      </c>
      <c r="CH71" s="4280"/>
      <c r="CI71" s="2056"/>
      <c r="CJ71" s="2963"/>
      <c r="CK71" s="2057"/>
      <c r="CL71" s="4280"/>
      <c r="CM71" s="2056">
        <f>SUM(CM62:CM70)</f>
        <v>0</v>
      </c>
      <c r="CN71" s="2052">
        <f>SUM(CN62:CN70)</f>
        <v>0</v>
      </c>
      <c r="CO71" s="2192">
        <f>SUM(CO62:CO70)</f>
        <v>0</v>
      </c>
      <c r="CQ71" s="2056" t="e">
        <f>AW71+BI71+BU71</f>
        <v>#VALUE!</v>
      </c>
      <c r="CR71" s="2253"/>
      <c r="CS71" s="1740"/>
      <c r="CT71" s="2056" t="e">
        <f>SUM(CT62:CT70)</f>
        <v>#VALUE!</v>
      </c>
      <c r="CU71" s="2054" t="e">
        <f t="shared" si="72"/>
        <v>#VALUE!</v>
      </c>
      <c r="CV71" s="2351"/>
      <c r="CW71" s="4637"/>
      <c r="CY71" s="4627"/>
      <c r="CZ71" s="4265"/>
      <c r="DA71" s="1860"/>
      <c r="DB71" s="1860"/>
      <c r="DC71" s="1860"/>
      <c r="DD71" s="1860"/>
      <c r="DE71" s="1860"/>
      <c r="DF71" s="1860"/>
      <c r="DG71" s="1860"/>
      <c r="DH71" s="1860"/>
    </row>
    <row r="72" spans="9:112" s="1810" customFormat="1" ht="4.5" customHeight="1" thickBot="1" x14ac:dyDescent="0.25">
      <c r="J72" s="1817"/>
      <c r="K72" s="1817"/>
      <c r="L72" s="1817"/>
      <c r="M72" s="1817"/>
      <c r="N72" s="1817"/>
      <c r="O72" s="4280"/>
      <c r="P72" s="4280"/>
      <c r="Q72" s="4280"/>
      <c r="R72" s="4280"/>
      <c r="S72" s="4280"/>
      <c r="T72" s="4280"/>
      <c r="U72" s="4280"/>
      <c r="V72" s="4280"/>
      <c r="W72" s="4280"/>
      <c r="X72" s="4280"/>
      <c r="Y72" s="4280"/>
      <c r="Z72" s="4280"/>
      <c r="AA72" s="4280"/>
      <c r="AB72" s="4280"/>
      <c r="AC72" s="4280"/>
      <c r="AD72" s="4280"/>
      <c r="AE72" s="4280"/>
      <c r="AF72" s="4280"/>
      <c r="AG72" s="4280"/>
      <c r="AH72" s="4280"/>
      <c r="AI72" s="4280"/>
      <c r="AJ72" s="2131"/>
      <c r="AK72" s="1924"/>
      <c r="AL72" s="1924"/>
      <c r="AM72" s="4280"/>
      <c r="AN72" s="4280"/>
      <c r="AO72" s="4280"/>
      <c r="AP72" s="4280"/>
      <c r="AQ72" s="4280"/>
      <c r="AR72" s="4280"/>
      <c r="AS72" s="4280"/>
      <c r="AT72" s="4280"/>
      <c r="AU72" s="4280"/>
      <c r="AV72" s="4280"/>
      <c r="AW72" s="4280"/>
      <c r="AX72" s="4288"/>
      <c r="AY72" s="4259"/>
      <c r="AZ72" s="4259"/>
      <c r="BA72" s="4259"/>
      <c r="BB72" s="4259"/>
      <c r="BC72" s="4259"/>
      <c r="BD72" s="4259"/>
      <c r="BE72" s="4259"/>
      <c r="BF72" s="4288"/>
      <c r="BG72" s="4280"/>
      <c r="BH72" s="4280"/>
      <c r="BI72" s="4280"/>
      <c r="BJ72" s="4288"/>
      <c r="BK72" s="4259"/>
      <c r="BL72" s="4259"/>
      <c r="BM72" s="4259"/>
      <c r="BN72" s="4259"/>
      <c r="BO72" s="4259"/>
      <c r="BP72" s="4259"/>
      <c r="BQ72" s="4259"/>
      <c r="BR72" s="4280"/>
      <c r="BS72" s="2137"/>
      <c r="BT72" s="2137"/>
      <c r="BU72" s="2137"/>
      <c r="BV72" s="4280"/>
      <c r="BW72" s="4259"/>
      <c r="BX72" s="4259"/>
      <c r="BY72" s="4259"/>
      <c r="BZ72" s="4259"/>
      <c r="CA72" s="4267"/>
      <c r="CB72" s="4267"/>
      <c r="CC72" s="4267"/>
      <c r="CD72" s="4280"/>
      <c r="CE72" s="2137"/>
      <c r="CF72" s="2137"/>
      <c r="CG72" s="2137"/>
      <c r="CH72" s="4280"/>
      <c r="CI72" s="4259"/>
      <c r="CJ72" s="4259"/>
      <c r="CK72" s="4259"/>
      <c r="CL72" s="4280"/>
      <c r="CM72" s="4280"/>
      <c r="CN72" s="4280"/>
      <c r="CO72" s="4280"/>
      <c r="CQ72" s="4280"/>
      <c r="CR72" s="2132"/>
      <c r="CS72" s="1817"/>
      <c r="CT72" s="4280"/>
      <c r="CU72" s="1830"/>
      <c r="CV72" s="1830"/>
      <c r="CW72" s="2115"/>
      <c r="CZ72" s="1761"/>
    </row>
    <row r="73" spans="9:112" s="1906" customFormat="1" ht="17.25" thickBot="1" x14ac:dyDescent="0.25">
      <c r="J73" s="1960"/>
      <c r="K73" s="1960"/>
      <c r="L73" s="1960" t="s">
        <v>143</v>
      </c>
      <c r="M73" s="1960"/>
      <c r="N73" s="1960"/>
      <c r="O73" s="2687"/>
      <c r="P73" s="1951"/>
      <c r="Q73" s="1951"/>
      <c r="R73" s="1951"/>
      <c r="S73" s="1951"/>
      <c r="T73" s="1951"/>
      <c r="U73" s="1951"/>
      <c r="V73" s="1951"/>
      <c r="W73" s="1951"/>
      <c r="X73" s="1951"/>
      <c r="Y73" s="1951"/>
      <c r="Z73" s="1951"/>
      <c r="AA73" s="1951"/>
      <c r="AB73" s="1951"/>
      <c r="AC73" s="1951"/>
      <c r="AD73" s="1951"/>
      <c r="AE73" s="1951"/>
      <c r="AF73" s="1951"/>
      <c r="AG73" s="1951"/>
      <c r="AH73" s="1951"/>
      <c r="AI73" s="1951"/>
      <c r="AJ73" s="2339"/>
      <c r="AK73" s="2003"/>
      <c r="AL73" s="1950"/>
      <c r="AM73" s="3535" t="e">
        <f t="shared" ref="AM73:AS73" si="97">AM60-AM71</f>
        <v>#VALUE!</v>
      </c>
      <c r="AN73" s="3536">
        <f t="shared" si="97"/>
        <v>20.764377952341817</v>
      </c>
      <c r="AO73" s="3536">
        <f t="shared" si="97"/>
        <v>60.403634647822592</v>
      </c>
      <c r="AP73" s="3536">
        <f t="shared" si="97"/>
        <v>43.596877952341814</v>
      </c>
      <c r="AQ73" s="3536">
        <f t="shared" si="97"/>
        <v>23.164377952341809</v>
      </c>
      <c r="AR73" s="3536">
        <f t="shared" si="97"/>
        <v>9.6993779523418038</v>
      </c>
      <c r="AS73" s="3537">
        <f t="shared" si="97"/>
        <v>36.670377952341809</v>
      </c>
      <c r="AT73" s="1951"/>
      <c r="AU73" s="1951"/>
      <c r="AV73" s="1951"/>
      <c r="AW73" s="1951"/>
      <c r="AX73" s="1956"/>
      <c r="AY73" s="2120"/>
      <c r="AZ73" s="2123"/>
      <c r="BA73" s="2123"/>
      <c r="BB73" s="2123"/>
      <c r="BC73" s="2123"/>
      <c r="BD73" s="2123"/>
      <c r="BE73" s="2124"/>
      <c r="BF73" s="1956"/>
      <c r="BG73" s="1951"/>
      <c r="BH73" s="1951"/>
      <c r="BI73" s="1951"/>
      <c r="BJ73" s="1956"/>
      <c r="BK73" s="2120"/>
      <c r="BL73" s="2123"/>
      <c r="BM73" s="2123"/>
      <c r="BN73" s="2123"/>
      <c r="BO73" s="2123"/>
      <c r="BP73" s="2123"/>
      <c r="BQ73" s="2123"/>
      <c r="BR73" s="1951"/>
      <c r="BS73" s="1951"/>
      <c r="BT73" s="1951"/>
      <c r="BU73" s="1951"/>
      <c r="BV73" s="1951"/>
      <c r="BW73" s="2120"/>
      <c r="BX73" s="2123"/>
      <c r="BY73" s="2123"/>
      <c r="BZ73" s="2123"/>
      <c r="CA73" s="2121"/>
      <c r="CB73" s="2121"/>
      <c r="CC73" s="2124"/>
      <c r="CD73" s="1951"/>
      <c r="CE73" s="1951"/>
      <c r="CF73" s="1951"/>
      <c r="CG73" s="1951"/>
      <c r="CH73" s="1951"/>
      <c r="CI73" s="2120"/>
      <c r="CJ73" s="4196"/>
      <c r="CK73" s="2124"/>
      <c r="CL73" s="1951"/>
      <c r="CM73" s="1951"/>
      <c r="CN73" s="1951"/>
      <c r="CO73" s="1951"/>
      <c r="CQ73" s="4282"/>
      <c r="CR73" s="2688"/>
      <c r="CS73" s="1960"/>
      <c r="CT73" s="4282"/>
      <c r="CU73" s="2008"/>
      <c r="CV73" s="1962"/>
      <c r="CW73" s="4262"/>
      <c r="CZ73" s="1905"/>
    </row>
    <row r="74" spans="9:112" s="1810" customFormat="1" ht="4.5" customHeight="1" thickBot="1" x14ac:dyDescent="0.25">
      <c r="J74" s="1817"/>
      <c r="K74" s="1817"/>
      <c r="L74" s="1817"/>
      <c r="M74" s="1817"/>
      <c r="N74" s="1817"/>
      <c r="O74" s="4280"/>
      <c r="P74" s="4280"/>
      <c r="Q74" s="4280"/>
      <c r="R74" s="4280"/>
      <c r="S74" s="4280"/>
      <c r="T74" s="4280"/>
      <c r="U74" s="4280"/>
      <c r="V74" s="4280"/>
      <c r="W74" s="4280"/>
      <c r="X74" s="4280"/>
      <c r="Y74" s="4280"/>
      <c r="Z74" s="4280"/>
      <c r="AA74" s="4280"/>
      <c r="AB74" s="4280"/>
      <c r="AC74" s="4280"/>
      <c r="AD74" s="4280"/>
      <c r="AE74" s="4280"/>
      <c r="AF74" s="4280"/>
      <c r="AG74" s="4280"/>
      <c r="AH74" s="4280"/>
      <c r="AI74" s="4280"/>
      <c r="AJ74" s="2131"/>
      <c r="AK74" s="1924"/>
      <c r="AL74" s="1924"/>
      <c r="AM74" s="4280"/>
      <c r="AN74" s="4280"/>
      <c r="AO74" s="4280"/>
      <c r="AP74" s="4280"/>
      <c r="AQ74" s="4280"/>
      <c r="AR74" s="4280"/>
      <c r="AS74" s="4280"/>
      <c r="AT74" s="4280"/>
      <c r="AU74" s="4280"/>
      <c r="AV74" s="4280"/>
      <c r="AW74" s="4280"/>
      <c r="AX74" s="4288"/>
      <c r="AY74" s="4267"/>
      <c r="AZ74" s="4267"/>
      <c r="BA74" s="4267"/>
      <c r="BB74" s="4267"/>
      <c r="BC74" s="4267"/>
      <c r="BD74" s="4267"/>
      <c r="BE74" s="4267"/>
      <c r="BF74" s="4288"/>
      <c r="BG74" s="4280"/>
      <c r="BH74" s="4280"/>
      <c r="BI74" s="4280"/>
      <c r="BJ74" s="4288"/>
      <c r="BK74" s="2137"/>
      <c r="BL74" s="2137"/>
      <c r="BM74" s="2137"/>
      <c r="BN74" s="2137"/>
      <c r="BO74" s="2137"/>
      <c r="BP74" s="2137"/>
      <c r="BQ74" s="2137"/>
      <c r="BR74" s="4280"/>
      <c r="BS74" s="4280"/>
      <c r="BT74" s="4280"/>
      <c r="BU74" s="4280"/>
      <c r="BV74" s="4280"/>
      <c r="BW74" s="2137"/>
      <c r="BX74" s="2137"/>
      <c r="BY74" s="2137"/>
      <c r="BZ74" s="2137"/>
      <c r="CA74" s="2137"/>
      <c r="CB74" s="2137"/>
      <c r="CC74" s="2137"/>
      <c r="CD74" s="4280"/>
      <c r="CE74" s="4280"/>
      <c r="CF74" s="4280"/>
      <c r="CG74" s="4280"/>
      <c r="CH74" s="4280"/>
      <c r="CI74" s="2137"/>
      <c r="CJ74" s="2137"/>
      <c r="CK74" s="2137"/>
      <c r="CL74" s="4280"/>
      <c r="CM74" s="4280"/>
      <c r="CN74" s="4280"/>
      <c r="CO74" s="4280"/>
      <c r="CQ74" s="2137"/>
      <c r="CR74" s="2138"/>
      <c r="CS74" s="1817"/>
      <c r="CT74" s="2137"/>
      <c r="CU74" s="2139"/>
      <c r="CV74" s="1830"/>
      <c r="CW74" s="2640"/>
      <c r="CZ74" s="1761"/>
    </row>
    <row r="75" spans="9:112" s="1740" customFormat="1" ht="15.75" x14ac:dyDescent="0.2">
      <c r="I75" s="2466"/>
      <c r="J75" s="2444">
        <v>47</v>
      </c>
      <c r="K75" s="4298"/>
      <c r="L75" s="2281" t="s">
        <v>132</v>
      </c>
      <c r="M75" s="4356"/>
      <c r="N75" s="1817"/>
      <c r="O75" s="2067">
        <v>465</v>
      </c>
      <c r="P75" s="2289"/>
      <c r="Q75" s="2065"/>
      <c r="R75" s="2065"/>
      <c r="S75" s="2289"/>
      <c r="T75" s="2065"/>
      <c r="U75" s="2065"/>
      <c r="V75" s="2287"/>
      <c r="W75" s="2065"/>
      <c r="X75" s="2065"/>
      <c r="Y75" s="2287"/>
      <c r="Z75" s="2065"/>
      <c r="AA75" s="2065"/>
      <c r="AB75" s="2287"/>
      <c r="AC75" s="2065"/>
      <c r="AD75" s="2065"/>
      <c r="AE75" s="2287"/>
      <c r="AF75" s="2065"/>
      <c r="AG75" s="2065">
        <f t="shared" ref="AG75:AG83" si="98">O75/31</f>
        <v>15</v>
      </c>
      <c r="AH75" s="4128"/>
      <c r="AI75" s="4128"/>
      <c r="AJ75" s="2066">
        <f t="shared" ref="AJ75:AJ83" si="99">O75/$O$84</f>
        <v>0.27944711538461536</v>
      </c>
      <c r="AK75" s="2465"/>
      <c r="AL75" s="2131"/>
      <c r="AM75" s="2067" t="e">
        <f t="shared" ref="AM75:AS75" si="100">IF(AM73&gt;$AG$84,$AG$75,IF(AM73&lt;$AG$84,(IF(AM73&lt;0,0,AM73*$AJ$75))))</f>
        <v>#VALUE!</v>
      </c>
      <c r="AN75" s="2065">
        <f t="shared" si="100"/>
        <v>5.8025455215378274</v>
      </c>
      <c r="AO75" s="2065">
        <f t="shared" si="100"/>
        <v>15</v>
      </c>
      <c r="AP75" s="2065">
        <f t="shared" si="100"/>
        <v>12.183021783557056</v>
      </c>
      <c r="AQ75" s="2065">
        <f t="shared" si="100"/>
        <v>6.4732185984609014</v>
      </c>
      <c r="AR75" s="2065">
        <f t="shared" si="100"/>
        <v>2.7104631898070544</v>
      </c>
      <c r="AS75" s="2069">
        <f t="shared" si="100"/>
        <v>10.247431338845518</v>
      </c>
      <c r="AT75" s="4280"/>
      <c r="AU75" s="2067" t="e">
        <f t="shared" si="93"/>
        <v>#VALUE!</v>
      </c>
      <c r="AV75" s="2068">
        <f>$AG$75*0</f>
        <v>0</v>
      </c>
      <c r="AW75" s="2070" t="e">
        <f t="shared" si="86"/>
        <v>#VALUE!</v>
      </c>
      <c r="AX75" s="4280"/>
      <c r="AY75" s="2090"/>
      <c r="AZ75" s="2087"/>
      <c r="BA75" s="2087"/>
      <c r="BB75" s="2087"/>
      <c r="BC75" s="2087"/>
      <c r="BD75" s="2087"/>
      <c r="BE75" s="2091"/>
      <c r="BF75" s="4280"/>
      <c r="BG75" s="2067">
        <f t="shared" si="74"/>
        <v>0</v>
      </c>
      <c r="BH75" s="2068">
        <f>$AG$75*0</f>
        <v>0</v>
      </c>
      <c r="BI75" s="2070">
        <f>BG75-BH75</f>
        <v>0</v>
      </c>
      <c r="BJ75" s="4280"/>
      <c r="BK75" s="2067"/>
      <c r="BL75" s="2065"/>
      <c r="BM75" s="2065"/>
      <c r="BN75" s="2065"/>
      <c r="BO75" s="2065"/>
      <c r="BP75" s="2065"/>
      <c r="BQ75" s="2065"/>
      <c r="BR75" s="4280"/>
      <c r="BS75" s="2067">
        <f>SUM(BK75:BQ75)</f>
        <v>0</v>
      </c>
      <c r="BT75" s="2068">
        <f>$AG$75*0</f>
        <v>0</v>
      </c>
      <c r="BU75" s="2070">
        <f>BS75-BT75</f>
        <v>0</v>
      </c>
      <c r="BV75" s="4280"/>
      <c r="BW75" s="2067"/>
      <c r="BX75" s="2065"/>
      <c r="BY75" s="2065"/>
      <c r="BZ75" s="2065"/>
      <c r="CA75" s="2065"/>
      <c r="CB75" s="2065"/>
      <c r="CC75" s="2069"/>
      <c r="CD75" s="4280"/>
      <c r="CE75" s="2067">
        <f t="shared" ref="CE75:CE83" si="101">SUM(BW75:CC75)</f>
        <v>0</v>
      </c>
      <c r="CF75" s="2068">
        <f>$AG$75*0</f>
        <v>0</v>
      </c>
      <c r="CG75" s="2070">
        <f t="shared" ref="CG75:CG83" si="102">CE75-CF75</f>
        <v>0</v>
      </c>
      <c r="CH75" s="4280"/>
      <c r="CI75" s="2067"/>
      <c r="CJ75" s="2645"/>
      <c r="CK75" s="2069"/>
      <c r="CL75" s="4280"/>
      <c r="CM75" s="2067">
        <f t="shared" ref="CM75:CM84" si="103">SUM(CI75:CK75)</f>
        <v>0</v>
      </c>
      <c r="CN75" s="2068">
        <f>$AG$75*0</f>
        <v>0</v>
      </c>
      <c r="CO75" s="2070">
        <f t="shared" ref="CO75:CO83" si="104">CM75-CN75</f>
        <v>0</v>
      </c>
      <c r="CQ75" s="2067"/>
      <c r="CR75" s="2071"/>
      <c r="CT75" s="2067" t="e">
        <f t="shared" ref="CT75:CT83" si="105">SUM(AM75:AS75)+SUM(AY75:BE75)+SUM(BK75:BQ75)+SUM(BW75:CC75)+SUM(CK75:CK75)</f>
        <v>#VALUE!</v>
      </c>
      <c r="CU75" s="2072" t="e">
        <f t="shared" ref="CU75:CU84" si="106">CT75/O75</f>
        <v>#VALUE!</v>
      </c>
      <c r="CV75" s="2351"/>
      <c r="CW75" s="4635" t="e">
        <f>CU84-CT1</f>
        <v>#VALUE!</v>
      </c>
      <c r="CZ75" s="1997"/>
      <c r="DA75" s="1861"/>
      <c r="DB75" s="1861"/>
      <c r="DC75" s="1861"/>
      <c r="DD75" s="1861"/>
      <c r="DE75" s="1861"/>
      <c r="DF75" s="1861"/>
      <c r="DG75" s="1861"/>
      <c r="DH75" s="1861"/>
    </row>
    <row r="76" spans="9:112" s="1900" customFormat="1" ht="15.75" x14ac:dyDescent="0.2">
      <c r="I76" s="2464"/>
      <c r="J76" s="2161">
        <v>48</v>
      </c>
      <c r="K76" s="4292"/>
      <c r="L76" s="2162" t="s">
        <v>232</v>
      </c>
      <c r="M76" s="4299"/>
      <c r="N76" s="1960"/>
      <c r="O76" s="2163">
        <v>345</v>
      </c>
      <c r="P76" s="2299"/>
      <c r="Q76" s="2164"/>
      <c r="R76" s="2164"/>
      <c r="S76" s="2299"/>
      <c r="T76" s="2164"/>
      <c r="U76" s="2164"/>
      <c r="V76" s="3323"/>
      <c r="W76" s="2164"/>
      <c r="X76" s="2164"/>
      <c r="Y76" s="3323"/>
      <c r="Z76" s="2164"/>
      <c r="AA76" s="2164"/>
      <c r="AB76" s="3323"/>
      <c r="AC76" s="2164"/>
      <c r="AD76" s="2164"/>
      <c r="AE76" s="3323"/>
      <c r="AF76" s="2164"/>
      <c r="AG76" s="2164">
        <f t="shared" si="98"/>
        <v>11.129032258064516</v>
      </c>
      <c r="AH76" s="4129"/>
      <c r="AI76" s="4129"/>
      <c r="AJ76" s="2165">
        <f t="shared" si="99"/>
        <v>0.20733173076923078</v>
      </c>
      <c r="AK76" s="2468"/>
      <c r="AL76" s="2339"/>
      <c r="AM76" s="2169" t="e">
        <f t="shared" ref="AM76:AS76" si="107">IF(AM73&gt;$AG$84,$AG$76,IF(AM73&lt;$AG$84,(IF(AM73&lt;0,0,AM73*$AJ$76))))</f>
        <v>#VALUE!</v>
      </c>
      <c r="AN76" s="2176">
        <f t="shared" si="107"/>
        <v>4.3051144192054851</v>
      </c>
      <c r="AO76" s="2176">
        <f t="shared" si="107"/>
        <v>11.129032258064516</v>
      </c>
      <c r="AP76" s="2176">
        <f t="shared" si="107"/>
        <v>9.0390161619939455</v>
      </c>
      <c r="AQ76" s="2176">
        <f t="shared" si="107"/>
        <v>4.8027105730516375</v>
      </c>
      <c r="AR76" s="2176">
        <f t="shared" si="107"/>
        <v>2.0109888182439439</v>
      </c>
      <c r="AS76" s="2171">
        <f t="shared" si="107"/>
        <v>7.6029329288208682</v>
      </c>
      <c r="AT76" s="1951"/>
      <c r="AU76" s="2163" t="e">
        <f t="shared" si="93"/>
        <v>#VALUE!</v>
      </c>
      <c r="AV76" s="2167">
        <f>$AG$76*0</f>
        <v>0</v>
      </c>
      <c r="AW76" s="2168" t="e">
        <f t="shared" si="86"/>
        <v>#VALUE!</v>
      </c>
      <c r="AX76" s="1951"/>
      <c r="AY76" s="2169"/>
      <c r="AZ76" s="2170"/>
      <c r="BA76" s="2170"/>
      <c r="BB76" s="2170"/>
      <c r="BC76" s="2170"/>
      <c r="BD76" s="2170"/>
      <c r="BE76" s="2171"/>
      <c r="BF76" s="1951"/>
      <c r="BG76" s="2163">
        <f>SUM(AY76:BE76)</f>
        <v>0</v>
      </c>
      <c r="BH76" s="2167">
        <f>$AG$76*0</f>
        <v>0</v>
      </c>
      <c r="BI76" s="2168">
        <f t="shared" ref="BI76:BI77" si="108">BG76-BH76</f>
        <v>0</v>
      </c>
      <c r="BJ76" s="1951"/>
      <c r="BK76" s="2163"/>
      <c r="BL76" s="2164"/>
      <c r="BM76" s="2164"/>
      <c r="BN76" s="2164"/>
      <c r="BO76" s="2164"/>
      <c r="BP76" s="2164"/>
      <c r="BQ76" s="2164"/>
      <c r="BR76" s="1951"/>
      <c r="BS76" s="2163">
        <f t="shared" ref="BS76:BS83" si="109">SUM(BK76:BQ76)</f>
        <v>0</v>
      </c>
      <c r="BT76" s="2167">
        <f>$AG$76*0</f>
        <v>0</v>
      </c>
      <c r="BU76" s="2168">
        <f t="shared" ref="BU76:BU83" si="110">BS76-BT76</f>
        <v>0</v>
      </c>
      <c r="BV76" s="1951"/>
      <c r="BW76" s="2163"/>
      <c r="BX76" s="2164"/>
      <c r="BY76" s="2164"/>
      <c r="BZ76" s="2164"/>
      <c r="CA76" s="2176"/>
      <c r="CB76" s="2176"/>
      <c r="CC76" s="2171"/>
      <c r="CD76" s="1951"/>
      <c r="CE76" s="2163">
        <f t="shared" si="101"/>
        <v>0</v>
      </c>
      <c r="CF76" s="2167">
        <f>$AG$76*0</f>
        <v>0</v>
      </c>
      <c r="CG76" s="2168">
        <f t="shared" si="102"/>
        <v>0</v>
      </c>
      <c r="CH76" s="1951"/>
      <c r="CI76" s="2169"/>
      <c r="CJ76" s="2307"/>
      <c r="CK76" s="2171"/>
      <c r="CL76" s="1951"/>
      <c r="CM76" s="2169">
        <f t="shared" si="103"/>
        <v>0</v>
      </c>
      <c r="CN76" s="2170">
        <f>$AG$76*0</f>
        <v>0</v>
      </c>
      <c r="CO76" s="2178">
        <f t="shared" si="104"/>
        <v>0</v>
      </c>
      <c r="CQ76" s="2169"/>
      <c r="CR76" s="2172"/>
      <c r="CT76" s="2169" t="e">
        <f t="shared" si="105"/>
        <v>#VALUE!</v>
      </c>
      <c r="CU76" s="2173" t="e">
        <f t="shared" si="106"/>
        <v>#VALUE!</v>
      </c>
      <c r="CV76" s="2353"/>
      <c r="CW76" s="4636"/>
      <c r="CZ76" s="2010"/>
      <c r="DA76" s="2011"/>
      <c r="DB76" s="2011"/>
      <c r="DC76" s="2011"/>
      <c r="DD76" s="2011"/>
      <c r="DE76" s="2011"/>
      <c r="DF76" s="2011"/>
      <c r="DG76" s="2011"/>
      <c r="DH76" s="2011"/>
    </row>
    <row r="77" spans="9:112" s="1726" customFormat="1" x14ac:dyDescent="0.2">
      <c r="I77" s="1756"/>
      <c r="J77" s="2151">
        <v>49</v>
      </c>
      <c r="K77" s="4291"/>
      <c r="L77" s="2152" t="s">
        <v>4</v>
      </c>
      <c r="M77" s="4356"/>
      <c r="N77" s="1817"/>
      <c r="O77" s="2153">
        <v>300</v>
      </c>
      <c r="P77" s="2289"/>
      <c r="Q77" s="2154"/>
      <c r="R77" s="2154"/>
      <c r="S77" s="2289"/>
      <c r="T77" s="2154"/>
      <c r="U77" s="2154"/>
      <c r="V77" s="2287"/>
      <c r="W77" s="2154"/>
      <c r="X77" s="2154"/>
      <c r="Y77" s="2287"/>
      <c r="Z77" s="2154"/>
      <c r="AA77" s="2154"/>
      <c r="AB77" s="2287"/>
      <c r="AC77" s="2154"/>
      <c r="AD77" s="2154"/>
      <c r="AE77" s="2287"/>
      <c r="AF77" s="2154"/>
      <c r="AG77" s="2154">
        <f t="shared" si="98"/>
        <v>9.67741935483871</v>
      </c>
      <c r="AH77" s="4122"/>
      <c r="AI77" s="4122"/>
      <c r="AJ77" s="2155">
        <f t="shared" si="99"/>
        <v>0.18028846153846154</v>
      </c>
      <c r="AK77" s="1931"/>
      <c r="AL77" s="1924"/>
      <c r="AM77" s="2090" t="e">
        <f t="shared" ref="AM77:AS77" si="111">IF(AM73&gt;$AG$84,$AG$77,IF(AM73&lt;$AG$84,(IF(AM73&lt;0,0,AM73*$AJ$77))))</f>
        <v>#VALUE!</v>
      </c>
      <c r="AN77" s="2088">
        <f t="shared" si="111"/>
        <v>3.7435777558308563</v>
      </c>
      <c r="AO77" s="2088">
        <f t="shared" si="111"/>
        <v>9.67741935483871</v>
      </c>
      <c r="AP77" s="2088">
        <f t="shared" si="111"/>
        <v>7.8600140539077792</v>
      </c>
      <c r="AQ77" s="2088">
        <f t="shared" si="111"/>
        <v>4.1762700635231624</v>
      </c>
      <c r="AR77" s="2088">
        <f t="shared" si="111"/>
        <v>1.7486859289077772</v>
      </c>
      <c r="AS77" s="2091">
        <f t="shared" si="111"/>
        <v>6.6112460250616243</v>
      </c>
      <c r="AT77" s="4280"/>
      <c r="AU77" s="2153" t="e">
        <f t="shared" si="93"/>
        <v>#VALUE!</v>
      </c>
      <c r="AV77" s="2157">
        <f>$AG$77*0</f>
        <v>0</v>
      </c>
      <c r="AW77" s="2158" t="e">
        <f t="shared" si="86"/>
        <v>#VALUE!</v>
      </c>
      <c r="AX77" s="4288"/>
      <c r="AY77" s="2090"/>
      <c r="AZ77" s="2087"/>
      <c r="BA77" s="2087"/>
      <c r="BB77" s="2087"/>
      <c r="BC77" s="2087"/>
      <c r="BD77" s="2087"/>
      <c r="BE77" s="2091"/>
      <c r="BF77" s="4288"/>
      <c r="BG77" s="2153">
        <f t="shared" ref="BG77" si="112">SUM(AY77:BE77)</f>
        <v>0</v>
      </c>
      <c r="BH77" s="2157">
        <f>$AG$77*0</f>
        <v>0</v>
      </c>
      <c r="BI77" s="2158">
        <f t="shared" si="108"/>
        <v>0</v>
      </c>
      <c r="BJ77" s="4288"/>
      <c r="BK77" s="2153"/>
      <c r="BL77" s="2154"/>
      <c r="BM77" s="2154"/>
      <c r="BN77" s="2154"/>
      <c r="BO77" s="2154"/>
      <c r="BP77" s="2154"/>
      <c r="BQ77" s="2154"/>
      <c r="BR77" s="4280"/>
      <c r="BS77" s="2153">
        <f t="shared" si="109"/>
        <v>0</v>
      </c>
      <c r="BT77" s="2157">
        <f>$AG$77*0</f>
        <v>0</v>
      </c>
      <c r="BU77" s="2158">
        <f t="shared" si="110"/>
        <v>0</v>
      </c>
      <c r="BV77" s="4280"/>
      <c r="BW77" s="2153"/>
      <c r="BX77" s="2154"/>
      <c r="BY77" s="2154"/>
      <c r="BZ77" s="2154"/>
      <c r="CA77" s="2088"/>
      <c r="CB77" s="2088"/>
      <c r="CC77" s="2091"/>
      <c r="CD77" s="4280"/>
      <c r="CE77" s="2153">
        <f t="shared" si="101"/>
        <v>0</v>
      </c>
      <c r="CF77" s="2157">
        <f>$AG$77*0</f>
        <v>0</v>
      </c>
      <c r="CG77" s="2158">
        <f t="shared" si="102"/>
        <v>0</v>
      </c>
      <c r="CH77" s="4280"/>
      <c r="CI77" s="2090"/>
      <c r="CJ77" s="2305"/>
      <c r="CK77" s="2091"/>
      <c r="CL77" s="4280"/>
      <c r="CM77" s="2090">
        <f t="shared" si="103"/>
        <v>0</v>
      </c>
      <c r="CN77" s="2087">
        <f>$AG$77*0</f>
        <v>0</v>
      </c>
      <c r="CO77" s="2174">
        <f t="shared" si="104"/>
        <v>0</v>
      </c>
      <c r="CQ77" s="2090"/>
      <c r="CR77" s="2159"/>
      <c r="CS77" s="1740"/>
      <c r="CT77" s="2090" t="e">
        <f t="shared" si="105"/>
        <v>#VALUE!</v>
      </c>
      <c r="CU77" s="2160" t="e">
        <f t="shared" si="106"/>
        <v>#VALUE!</v>
      </c>
      <c r="CV77" s="2351"/>
      <c r="CW77" s="4636"/>
      <c r="CZ77" s="4265"/>
      <c r="DA77" s="1860"/>
      <c r="DB77" s="1860"/>
      <c r="DC77" s="1860"/>
      <c r="DD77" s="1860"/>
      <c r="DE77" s="1860"/>
      <c r="DF77" s="1860"/>
      <c r="DG77" s="1860"/>
      <c r="DH77" s="1860"/>
    </row>
    <row r="78" spans="9:112" s="1900" customFormat="1" ht="15.75" x14ac:dyDescent="0.2">
      <c r="I78" s="2464"/>
      <c r="J78" s="2161">
        <v>50</v>
      </c>
      <c r="K78" s="4292"/>
      <c r="L78" s="2175" t="s">
        <v>121</v>
      </c>
      <c r="M78" s="4299"/>
      <c r="N78" s="1960"/>
      <c r="O78" s="2169">
        <v>270</v>
      </c>
      <c r="P78" s="2299"/>
      <c r="Q78" s="2176"/>
      <c r="R78" s="2176"/>
      <c r="S78" s="2299"/>
      <c r="T78" s="2176"/>
      <c r="U78" s="2176"/>
      <c r="V78" s="3323"/>
      <c r="W78" s="2176"/>
      <c r="X78" s="2176"/>
      <c r="Y78" s="3323"/>
      <c r="Z78" s="2176"/>
      <c r="AA78" s="2176"/>
      <c r="AB78" s="3323"/>
      <c r="AC78" s="2176"/>
      <c r="AD78" s="2176"/>
      <c r="AE78" s="3323"/>
      <c r="AF78" s="2176"/>
      <c r="AG78" s="2176">
        <f t="shared" si="98"/>
        <v>8.7096774193548381</v>
      </c>
      <c r="AH78" s="4123"/>
      <c r="AI78" s="4123"/>
      <c r="AJ78" s="2177">
        <f t="shared" si="99"/>
        <v>0.16225961538461539</v>
      </c>
      <c r="AK78" s="2468"/>
      <c r="AL78" s="2339"/>
      <c r="AM78" s="2169" t="e">
        <f t="shared" ref="AM78:AS78" si="113">IF(AM73&gt;$AG$84,$AG$78,IF(AM73&lt;$AG$84,(IF(AM73&lt;0,0,AM73*$AJ$78))))</f>
        <v>#VALUE!</v>
      </c>
      <c r="AN78" s="2176">
        <f t="shared" si="113"/>
        <v>3.3692199802477711</v>
      </c>
      <c r="AO78" s="2176">
        <f t="shared" si="113"/>
        <v>8.7096774193548381</v>
      </c>
      <c r="AP78" s="2176">
        <f t="shared" si="113"/>
        <v>7.0740126485170016</v>
      </c>
      <c r="AQ78" s="2176">
        <f t="shared" si="113"/>
        <v>3.7586430571708465</v>
      </c>
      <c r="AR78" s="2176">
        <f t="shared" si="113"/>
        <v>1.5738173360169996</v>
      </c>
      <c r="AS78" s="2171">
        <f t="shared" si="113"/>
        <v>5.9501214225554619</v>
      </c>
      <c r="AT78" s="1951"/>
      <c r="AU78" s="2169" t="e">
        <f t="shared" si="93"/>
        <v>#VALUE!</v>
      </c>
      <c r="AV78" s="2170">
        <f>$AG$78*0</f>
        <v>0</v>
      </c>
      <c r="AW78" s="2178" t="e">
        <f t="shared" si="86"/>
        <v>#VALUE!</v>
      </c>
      <c r="AX78" s="1951"/>
      <c r="AY78" s="2169"/>
      <c r="AZ78" s="2170"/>
      <c r="BA78" s="2170"/>
      <c r="BB78" s="2170"/>
      <c r="BC78" s="2170"/>
      <c r="BD78" s="2170"/>
      <c r="BE78" s="2171"/>
      <c r="BF78" s="1951"/>
      <c r="BG78" s="2169">
        <f t="shared" si="74"/>
        <v>0</v>
      </c>
      <c r="BH78" s="2170">
        <f>$AG$78*0</f>
        <v>0</v>
      </c>
      <c r="BI78" s="2178">
        <f t="shared" si="75"/>
        <v>0</v>
      </c>
      <c r="BJ78" s="1951"/>
      <c r="BK78" s="2169"/>
      <c r="BL78" s="2176"/>
      <c r="BM78" s="2176"/>
      <c r="BN78" s="2176"/>
      <c r="BO78" s="2176"/>
      <c r="BP78" s="2176"/>
      <c r="BQ78" s="2176"/>
      <c r="BR78" s="1951"/>
      <c r="BS78" s="2169">
        <f t="shared" si="109"/>
        <v>0</v>
      </c>
      <c r="BT78" s="2170">
        <f>$AG$78*0</f>
        <v>0</v>
      </c>
      <c r="BU78" s="2178">
        <f t="shared" si="110"/>
        <v>0</v>
      </c>
      <c r="BV78" s="1951"/>
      <c r="BW78" s="2169"/>
      <c r="BX78" s="2176"/>
      <c r="BY78" s="2176"/>
      <c r="BZ78" s="2176"/>
      <c r="CA78" s="2176"/>
      <c r="CB78" s="2176"/>
      <c r="CC78" s="2171"/>
      <c r="CD78" s="1951"/>
      <c r="CE78" s="2169">
        <f t="shared" si="101"/>
        <v>0</v>
      </c>
      <c r="CF78" s="2170">
        <f>$AG$78*0</f>
        <v>0</v>
      </c>
      <c r="CG78" s="2178">
        <f t="shared" si="102"/>
        <v>0</v>
      </c>
      <c r="CH78" s="1951"/>
      <c r="CI78" s="2169"/>
      <c r="CJ78" s="2307"/>
      <c r="CK78" s="2171"/>
      <c r="CL78" s="1951"/>
      <c r="CM78" s="2169">
        <f t="shared" si="103"/>
        <v>0</v>
      </c>
      <c r="CN78" s="2170">
        <f>$AG$78*0</f>
        <v>0</v>
      </c>
      <c r="CO78" s="2178">
        <f t="shared" si="104"/>
        <v>0</v>
      </c>
      <c r="CQ78" s="2179"/>
      <c r="CR78" s="2180"/>
      <c r="CT78" s="2179" t="e">
        <f t="shared" si="105"/>
        <v>#VALUE!</v>
      </c>
      <c r="CU78" s="2181" t="e">
        <f t="shared" si="106"/>
        <v>#VALUE!</v>
      </c>
      <c r="CV78" s="2353"/>
      <c r="CW78" s="4636"/>
      <c r="CZ78" s="2010"/>
      <c r="DA78" s="2011"/>
      <c r="DB78" s="2011"/>
      <c r="DC78" s="2011"/>
      <c r="DD78" s="2011"/>
      <c r="DE78" s="2011"/>
      <c r="DF78" s="2011"/>
      <c r="DG78" s="2011"/>
      <c r="DH78" s="2011"/>
    </row>
    <row r="79" spans="9:112" s="1740" customFormat="1" ht="15.75" x14ac:dyDescent="0.2">
      <c r="I79" s="2466"/>
      <c r="J79" s="2151">
        <v>51</v>
      </c>
      <c r="K79" s="4291"/>
      <c r="L79" s="2086" t="s">
        <v>229</v>
      </c>
      <c r="M79" s="4356"/>
      <c r="N79" s="1817"/>
      <c r="O79" s="2090">
        <v>209</v>
      </c>
      <c r="P79" s="2289"/>
      <c r="Q79" s="2088"/>
      <c r="R79" s="2088"/>
      <c r="S79" s="2289"/>
      <c r="T79" s="2088"/>
      <c r="U79" s="2088"/>
      <c r="V79" s="2287"/>
      <c r="W79" s="2088"/>
      <c r="X79" s="2088"/>
      <c r="Y79" s="2287"/>
      <c r="Z79" s="2088"/>
      <c r="AA79" s="2088"/>
      <c r="AB79" s="2287"/>
      <c r="AC79" s="2088"/>
      <c r="AD79" s="2088"/>
      <c r="AE79" s="2287"/>
      <c r="AF79" s="2088"/>
      <c r="AG79" s="2088">
        <f t="shared" si="98"/>
        <v>6.741935483870968</v>
      </c>
      <c r="AH79" s="4124"/>
      <c r="AI79" s="4124"/>
      <c r="AJ79" s="2089">
        <f t="shared" si="99"/>
        <v>0.12560096153846154</v>
      </c>
      <c r="AK79" s="2465"/>
      <c r="AL79" s="2131"/>
      <c r="AM79" s="2090" t="e">
        <f t="shared" ref="AM79:AS79" si="114">IF(AM73&gt;$AG$84,$AG$79,IF(AM73&lt;$AG$84,(IF(AM73&lt;0,0,AM73*$AJ$79))))</f>
        <v>#VALUE!</v>
      </c>
      <c r="AN79" s="2088">
        <f t="shared" si="114"/>
        <v>2.6080258365621631</v>
      </c>
      <c r="AO79" s="2088">
        <f t="shared" si="114"/>
        <v>6.741935483870968</v>
      </c>
      <c r="AP79" s="2088">
        <f t="shared" si="114"/>
        <v>5.4758097908890857</v>
      </c>
      <c r="AQ79" s="2088">
        <f t="shared" si="114"/>
        <v>2.9094681442544701</v>
      </c>
      <c r="AR79" s="2088">
        <f t="shared" si="114"/>
        <v>1.2182511971390848</v>
      </c>
      <c r="AS79" s="2091">
        <f t="shared" si="114"/>
        <v>4.6058347307929317</v>
      </c>
      <c r="AT79" s="4280"/>
      <c r="AU79" s="2090" t="e">
        <f t="shared" si="93"/>
        <v>#VALUE!</v>
      </c>
      <c r="AV79" s="2087">
        <f>$AG$79*0</f>
        <v>0</v>
      </c>
      <c r="AW79" s="2174" t="e">
        <f t="shared" si="86"/>
        <v>#VALUE!</v>
      </c>
      <c r="AX79" s="4280"/>
      <c r="AY79" s="2090"/>
      <c r="AZ79" s="2087"/>
      <c r="BA79" s="2087"/>
      <c r="BB79" s="2087"/>
      <c r="BC79" s="2087"/>
      <c r="BD79" s="2087"/>
      <c r="BE79" s="2091"/>
      <c r="BF79" s="4280"/>
      <c r="BG79" s="2090">
        <f t="shared" si="74"/>
        <v>0</v>
      </c>
      <c r="BH79" s="2087">
        <f>$AG$79*0</f>
        <v>0</v>
      </c>
      <c r="BI79" s="2174">
        <f t="shared" si="75"/>
        <v>0</v>
      </c>
      <c r="BJ79" s="4280"/>
      <c r="BK79" s="2090"/>
      <c r="BL79" s="2088"/>
      <c r="BM79" s="2088"/>
      <c r="BN79" s="2088"/>
      <c r="BO79" s="2088"/>
      <c r="BP79" s="2088"/>
      <c r="BQ79" s="2088"/>
      <c r="BR79" s="4280"/>
      <c r="BS79" s="2090">
        <f t="shared" si="109"/>
        <v>0</v>
      </c>
      <c r="BT79" s="2087">
        <f>$AG$79*0</f>
        <v>0</v>
      </c>
      <c r="BU79" s="2174">
        <f t="shared" si="110"/>
        <v>0</v>
      </c>
      <c r="BV79" s="4280"/>
      <c r="BW79" s="2090"/>
      <c r="BX79" s="2088"/>
      <c r="BY79" s="2088"/>
      <c r="BZ79" s="2088"/>
      <c r="CA79" s="2088"/>
      <c r="CB79" s="2088"/>
      <c r="CC79" s="2091"/>
      <c r="CD79" s="4280"/>
      <c r="CE79" s="2090">
        <f t="shared" si="101"/>
        <v>0</v>
      </c>
      <c r="CF79" s="2087">
        <f>$AG$79*0</f>
        <v>0</v>
      </c>
      <c r="CG79" s="2174">
        <f t="shared" si="102"/>
        <v>0</v>
      </c>
      <c r="CH79" s="4280"/>
      <c r="CI79" s="2090"/>
      <c r="CJ79" s="2305"/>
      <c r="CK79" s="2091"/>
      <c r="CL79" s="4280"/>
      <c r="CM79" s="2090">
        <f t="shared" si="103"/>
        <v>0</v>
      </c>
      <c r="CN79" s="2087">
        <f>$AG$79*0</f>
        <v>0</v>
      </c>
      <c r="CO79" s="2174">
        <f t="shared" si="104"/>
        <v>0</v>
      </c>
      <c r="CQ79" s="2092"/>
      <c r="CR79" s="2093"/>
      <c r="CT79" s="2092" t="e">
        <f t="shared" si="105"/>
        <v>#VALUE!</v>
      </c>
      <c r="CU79" s="2094" t="e">
        <f t="shared" si="106"/>
        <v>#VALUE!</v>
      </c>
      <c r="CV79" s="2351"/>
      <c r="CW79" s="4636"/>
      <c r="CZ79" s="1997"/>
      <c r="DA79" s="1861"/>
      <c r="DB79" s="1861"/>
      <c r="DC79" s="1861"/>
      <c r="DD79" s="1861"/>
      <c r="DE79" s="1861"/>
      <c r="DF79" s="1861"/>
      <c r="DG79" s="1861"/>
      <c r="DH79" s="1861"/>
    </row>
    <row r="80" spans="9:112" s="1885" customFormat="1" x14ac:dyDescent="0.2">
      <c r="I80" s="1947"/>
      <c r="J80" s="2690">
        <v>52</v>
      </c>
      <c r="K80" s="4299"/>
      <c r="L80" s="2417" t="s">
        <v>122</v>
      </c>
      <c r="M80" s="4299"/>
      <c r="N80" s="1960"/>
      <c r="O80" s="2179">
        <v>75</v>
      </c>
      <c r="P80" s="2299"/>
      <c r="Q80" s="2418"/>
      <c r="R80" s="2418"/>
      <c r="S80" s="2299"/>
      <c r="T80" s="2418"/>
      <c r="U80" s="2418"/>
      <c r="V80" s="3323"/>
      <c r="W80" s="2418"/>
      <c r="X80" s="2418"/>
      <c r="Y80" s="3323"/>
      <c r="Z80" s="2418"/>
      <c r="AA80" s="2418"/>
      <c r="AB80" s="3323"/>
      <c r="AC80" s="2418"/>
      <c r="AD80" s="2418"/>
      <c r="AE80" s="3323"/>
      <c r="AF80" s="2418"/>
      <c r="AG80" s="2418">
        <f t="shared" si="98"/>
        <v>2.4193548387096775</v>
      </c>
      <c r="AH80" s="4126"/>
      <c r="AI80" s="4126"/>
      <c r="AJ80" s="2419">
        <f t="shared" si="99"/>
        <v>4.5072115384615384E-2</v>
      </c>
      <c r="AK80" s="2003"/>
      <c r="AL80" s="1950"/>
      <c r="AM80" s="2169" t="e">
        <f t="shared" ref="AM80:AS80" si="115">IF(AM73&gt;$AG$84,$AG$80,IF(AM73&lt;$AG$84,(IF(AM73&lt;0,0,AM73*$AJ$80))))</f>
        <v>#VALUE!</v>
      </c>
      <c r="AN80" s="2176">
        <f t="shared" si="115"/>
        <v>0.93589443895771407</v>
      </c>
      <c r="AO80" s="2176">
        <f t="shared" si="115"/>
        <v>2.4193548387096775</v>
      </c>
      <c r="AP80" s="2176">
        <f t="shared" si="115"/>
        <v>1.9650035134769448</v>
      </c>
      <c r="AQ80" s="2176">
        <f t="shared" si="115"/>
        <v>1.0440675158807906</v>
      </c>
      <c r="AR80" s="2176">
        <f t="shared" si="115"/>
        <v>0.4371714822269443</v>
      </c>
      <c r="AS80" s="2171">
        <f t="shared" si="115"/>
        <v>1.6528115062654061</v>
      </c>
      <c r="AT80" s="1951"/>
      <c r="AU80" s="2169" t="e">
        <f t="shared" si="93"/>
        <v>#VALUE!</v>
      </c>
      <c r="AV80" s="2170">
        <f>$AG$80*0</f>
        <v>0</v>
      </c>
      <c r="AW80" s="2178" t="e">
        <f t="shared" si="86"/>
        <v>#VALUE!</v>
      </c>
      <c r="AX80" s="1956"/>
      <c r="AY80" s="2169"/>
      <c r="AZ80" s="2170"/>
      <c r="BA80" s="2170"/>
      <c r="BB80" s="2170"/>
      <c r="BC80" s="2170"/>
      <c r="BD80" s="2170"/>
      <c r="BE80" s="2171"/>
      <c r="BF80" s="1956"/>
      <c r="BG80" s="2169">
        <f t="shared" si="74"/>
        <v>0</v>
      </c>
      <c r="BH80" s="2170">
        <f>$AG$80*0</f>
        <v>0</v>
      </c>
      <c r="BI80" s="2178">
        <f t="shared" si="75"/>
        <v>0</v>
      </c>
      <c r="BJ80" s="1956"/>
      <c r="BK80" s="2169"/>
      <c r="BL80" s="2176"/>
      <c r="BM80" s="2176"/>
      <c r="BN80" s="2176"/>
      <c r="BO80" s="2176"/>
      <c r="BP80" s="2176"/>
      <c r="BQ80" s="2176"/>
      <c r="BR80" s="1951"/>
      <c r="BS80" s="2169">
        <f t="shared" si="109"/>
        <v>0</v>
      </c>
      <c r="BT80" s="2170">
        <f>$AG$80*0</f>
        <v>0</v>
      </c>
      <c r="BU80" s="2178">
        <f t="shared" si="110"/>
        <v>0</v>
      </c>
      <c r="BV80" s="1951"/>
      <c r="BW80" s="2169"/>
      <c r="BX80" s="2176"/>
      <c r="BY80" s="2176"/>
      <c r="BZ80" s="2176"/>
      <c r="CA80" s="2176"/>
      <c r="CB80" s="2176"/>
      <c r="CC80" s="2171"/>
      <c r="CD80" s="1951"/>
      <c r="CE80" s="2169">
        <f t="shared" si="101"/>
        <v>0</v>
      </c>
      <c r="CF80" s="2170">
        <f>$AG$80*0</f>
        <v>0</v>
      </c>
      <c r="CG80" s="2178">
        <f t="shared" si="102"/>
        <v>0</v>
      </c>
      <c r="CH80" s="1951"/>
      <c r="CI80" s="2169"/>
      <c r="CJ80" s="2307"/>
      <c r="CK80" s="2171"/>
      <c r="CL80" s="1951"/>
      <c r="CM80" s="2169">
        <f t="shared" si="103"/>
        <v>0</v>
      </c>
      <c r="CN80" s="2170">
        <f>$AG$80*0</f>
        <v>0</v>
      </c>
      <c r="CO80" s="2178">
        <f t="shared" si="104"/>
        <v>0</v>
      </c>
      <c r="CQ80" s="2179"/>
      <c r="CR80" s="2180"/>
      <c r="CS80" s="1900"/>
      <c r="CT80" s="2179" t="e">
        <f t="shared" si="105"/>
        <v>#VALUE!</v>
      </c>
      <c r="CU80" s="2181" t="e">
        <f t="shared" si="106"/>
        <v>#VALUE!</v>
      </c>
      <c r="CV80" s="2353"/>
      <c r="CW80" s="4636"/>
      <c r="CZ80" s="4262"/>
      <c r="DA80" s="1946"/>
      <c r="DB80" s="1946"/>
      <c r="DC80" s="1946"/>
      <c r="DD80" s="1946"/>
      <c r="DE80" s="1946"/>
      <c r="DF80" s="1946"/>
      <c r="DG80" s="1946"/>
      <c r="DH80" s="1946"/>
    </row>
    <row r="81" spans="9:112" s="1726" customFormat="1" ht="17.25" thickBot="1" x14ac:dyDescent="0.25">
      <c r="I81" s="1756"/>
      <c r="J81" s="2107">
        <v>53</v>
      </c>
      <c r="K81" s="4295"/>
      <c r="L81" s="2108" t="s">
        <v>242</v>
      </c>
      <c r="M81" s="4295"/>
      <c r="N81" s="2646"/>
      <c r="O81" s="2092">
        <v>0</v>
      </c>
      <c r="P81" s="2289"/>
      <c r="Q81" s="2111"/>
      <c r="R81" s="2111"/>
      <c r="S81" s="2289"/>
      <c r="T81" s="2111"/>
      <c r="U81" s="2111"/>
      <c r="V81" s="2287"/>
      <c r="W81" s="2111"/>
      <c r="X81" s="2111"/>
      <c r="Y81" s="2287"/>
      <c r="Z81" s="2111"/>
      <c r="AA81" s="2111"/>
      <c r="AB81" s="2287"/>
      <c r="AC81" s="2111"/>
      <c r="AD81" s="2111"/>
      <c r="AE81" s="2287"/>
      <c r="AF81" s="2111"/>
      <c r="AG81" s="2111">
        <f t="shared" si="98"/>
        <v>0</v>
      </c>
      <c r="AH81" s="4125"/>
      <c r="AI81" s="4125"/>
      <c r="AJ81" s="2112">
        <f t="shared" si="99"/>
        <v>0</v>
      </c>
      <c r="AK81" s="1931"/>
      <c r="AL81" s="1924"/>
      <c r="AM81" s="2090" t="e">
        <f t="shared" ref="AM81:AS81" si="116">IF(AM73&gt;$AG$84,$AG$81,IF(AM73&lt;$AG$84,(IF(AM73&lt;0,0,AM73*$AJ$81))))</f>
        <v>#VALUE!</v>
      </c>
      <c r="AN81" s="2088">
        <f t="shared" si="116"/>
        <v>0</v>
      </c>
      <c r="AO81" s="2088">
        <f t="shared" si="116"/>
        <v>0</v>
      </c>
      <c r="AP81" s="2088">
        <f t="shared" si="116"/>
        <v>0</v>
      </c>
      <c r="AQ81" s="2088">
        <f t="shared" si="116"/>
        <v>0</v>
      </c>
      <c r="AR81" s="2088">
        <f t="shared" si="116"/>
        <v>0</v>
      </c>
      <c r="AS81" s="2091">
        <f t="shared" si="116"/>
        <v>0</v>
      </c>
      <c r="AT81" s="4280"/>
      <c r="AU81" s="2090" t="e">
        <f t="shared" si="93"/>
        <v>#VALUE!</v>
      </c>
      <c r="AV81" s="2087">
        <f>$AG$81*0</f>
        <v>0</v>
      </c>
      <c r="AW81" s="2174" t="e">
        <f t="shared" si="86"/>
        <v>#VALUE!</v>
      </c>
      <c r="AX81" s="4288"/>
      <c r="AY81" s="2090"/>
      <c r="AZ81" s="2087"/>
      <c r="BA81" s="2087"/>
      <c r="BB81" s="2087"/>
      <c r="BC81" s="2087"/>
      <c r="BD81" s="2087"/>
      <c r="BE81" s="2091"/>
      <c r="BF81" s="4288"/>
      <c r="BG81" s="2090">
        <f t="shared" si="74"/>
        <v>0</v>
      </c>
      <c r="BH81" s="2087">
        <f>$AG$81*0</f>
        <v>0</v>
      </c>
      <c r="BI81" s="2174">
        <f t="shared" si="75"/>
        <v>0</v>
      </c>
      <c r="BJ81" s="4288"/>
      <c r="BK81" s="2090"/>
      <c r="BL81" s="2088"/>
      <c r="BM81" s="2088"/>
      <c r="BN81" s="2088"/>
      <c r="BO81" s="2088"/>
      <c r="BP81" s="2088"/>
      <c r="BQ81" s="2088"/>
      <c r="BR81" s="4280"/>
      <c r="BS81" s="2090">
        <f t="shared" si="109"/>
        <v>0</v>
      </c>
      <c r="BT81" s="2087">
        <f>$AG$81*0</f>
        <v>0</v>
      </c>
      <c r="BU81" s="2174">
        <f t="shared" si="110"/>
        <v>0</v>
      </c>
      <c r="BV81" s="4280"/>
      <c r="BW81" s="2090"/>
      <c r="BX81" s="2088"/>
      <c r="BY81" s="2088"/>
      <c r="BZ81" s="2088"/>
      <c r="CA81" s="2088"/>
      <c r="CB81" s="2088"/>
      <c r="CC81" s="2091"/>
      <c r="CD81" s="4280"/>
      <c r="CE81" s="2090">
        <f t="shared" si="101"/>
        <v>0</v>
      </c>
      <c r="CF81" s="2087">
        <f>$AG$81*0</f>
        <v>0</v>
      </c>
      <c r="CG81" s="2174">
        <f t="shared" si="102"/>
        <v>0</v>
      </c>
      <c r="CH81" s="4280"/>
      <c r="CI81" s="2090"/>
      <c r="CJ81" s="2305"/>
      <c r="CK81" s="2091"/>
      <c r="CL81" s="4280"/>
      <c r="CM81" s="2090">
        <f t="shared" si="103"/>
        <v>0</v>
      </c>
      <c r="CN81" s="2087">
        <f>$AG$81*0</f>
        <v>0</v>
      </c>
      <c r="CO81" s="2174">
        <f t="shared" si="104"/>
        <v>0</v>
      </c>
      <c r="CQ81" s="2092"/>
      <c r="CR81" s="2093"/>
      <c r="CS81" s="1740"/>
      <c r="CT81" s="2092" t="e">
        <f t="shared" si="105"/>
        <v>#VALUE!</v>
      </c>
      <c r="CU81" s="2094" t="e">
        <f t="shared" si="106"/>
        <v>#VALUE!</v>
      </c>
      <c r="CV81" s="2351"/>
      <c r="CW81" s="4636"/>
      <c r="CZ81" s="4265"/>
      <c r="DA81" s="1860"/>
      <c r="DB81" s="1860"/>
      <c r="DC81" s="1860"/>
      <c r="DD81" s="1860"/>
      <c r="DE81" s="1860"/>
      <c r="DF81" s="1860"/>
      <c r="DG81" s="1860"/>
      <c r="DH81" s="1860"/>
    </row>
    <row r="82" spans="9:112" s="1885" customFormat="1" x14ac:dyDescent="0.2">
      <c r="J82" s="2691">
        <v>54</v>
      </c>
      <c r="K82" s="4300"/>
      <c r="L82" s="2692" t="s">
        <v>227</v>
      </c>
      <c r="M82" s="4353"/>
      <c r="N82" s="2119"/>
      <c r="O82" s="2694">
        <v>0</v>
      </c>
      <c r="P82" s="2299"/>
      <c r="Q82" s="2695"/>
      <c r="R82" s="2695"/>
      <c r="S82" s="2299"/>
      <c r="T82" s="2695"/>
      <c r="U82" s="2695"/>
      <c r="V82" s="3323"/>
      <c r="W82" s="2695"/>
      <c r="X82" s="2695"/>
      <c r="Y82" s="3323"/>
      <c r="Z82" s="2695"/>
      <c r="AA82" s="2695"/>
      <c r="AB82" s="3323"/>
      <c r="AC82" s="2695"/>
      <c r="AD82" s="2695"/>
      <c r="AE82" s="3323"/>
      <c r="AF82" s="2695"/>
      <c r="AG82" s="2695">
        <f t="shared" si="98"/>
        <v>0</v>
      </c>
      <c r="AH82" s="4130"/>
      <c r="AI82" s="4130"/>
      <c r="AJ82" s="2696">
        <f t="shared" si="99"/>
        <v>0</v>
      </c>
      <c r="AK82" s="2003"/>
      <c r="AL82" s="1950"/>
      <c r="AM82" s="2169" t="e">
        <f t="shared" ref="AM82:AS82" si="117">IF(AM73&gt;$AG$84,$AG$82,IF(AM73&lt;$AG$84,(IF(AM73&lt;0,0,AM73*$AJ$82))))</f>
        <v>#VALUE!</v>
      </c>
      <c r="AN82" s="2176">
        <f t="shared" si="117"/>
        <v>0</v>
      </c>
      <c r="AO82" s="2176">
        <f t="shared" si="117"/>
        <v>0</v>
      </c>
      <c r="AP82" s="2176">
        <f t="shared" si="117"/>
        <v>0</v>
      </c>
      <c r="AQ82" s="2176">
        <f t="shared" si="117"/>
        <v>0</v>
      </c>
      <c r="AR82" s="2176">
        <f t="shared" si="117"/>
        <v>0</v>
      </c>
      <c r="AS82" s="2171">
        <f t="shared" si="117"/>
        <v>0</v>
      </c>
      <c r="AT82" s="1951"/>
      <c r="AU82" s="2169" t="e">
        <f t="shared" si="93"/>
        <v>#VALUE!</v>
      </c>
      <c r="AV82" s="2170">
        <f>$AG$82*0</f>
        <v>0</v>
      </c>
      <c r="AW82" s="2178" t="e">
        <f t="shared" si="86"/>
        <v>#VALUE!</v>
      </c>
      <c r="AX82" s="1956"/>
      <c r="AY82" s="2169"/>
      <c r="AZ82" s="2170"/>
      <c r="BA82" s="2170"/>
      <c r="BB82" s="2170"/>
      <c r="BC82" s="2170"/>
      <c r="BD82" s="2170"/>
      <c r="BE82" s="2171"/>
      <c r="BF82" s="1956"/>
      <c r="BG82" s="2169">
        <f t="shared" si="74"/>
        <v>0</v>
      </c>
      <c r="BH82" s="2170">
        <f>$AG$82*0</f>
        <v>0</v>
      </c>
      <c r="BI82" s="2178">
        <f t="shared" si="75"/>
        <v>0</v>
      </c>
      <c r="BJ82" s="1956"/>
      <c r="BK82" s="2169"/>
      <c r="BL82" s="2176"/>
      <c r="BM82" s="2176"/>
      <c r="BN82" s="2176"/>
      <c r="BO82" s="2176"/>
      <c r="BP82" s="2176"/>
      <c r="BQ82" s="2176"/>
      <c r="BR82" s="1951"/>
      <c r="BS82" s="2169">
        <f t="shared" si="109"/>
        <v>0</v>
      </c>
      <c r="BT82" s="2170">
        <f>$AG$82*0</f>
        <v>0</v>
      </c>
      <c r="BU82" s="2178">
        <f t="shared" si="110"/>
        <v>0</v>
      </c>
      <c r="BV82" s="1951"/>
      <c r="BW82" s="2169"/>
      <c r="BX82" s="2176"/>
      <c r="BY82" s="2176"/>
      <c r="BZ82" s="2176"/>
      <c r="CA82" s="2176"/>
      <c r="CB82" s="2176"/>
      <c r="CC82" s="2171"/>
      <c r="CD82" s="1951"/>
      <c r="CE82" s="2169">
        <f t="shared" si="101"/>
        <v>0</v>
      </c>
      <c r="CF82" s="2170">
        <f>$AG$82*0</f>
        <v>0</v>
      </c>
      <c r="CG82" s="2178">
        <f t="shared" si="102"/>
        <v>0</v>
      </c>
      <c r="CH82" s="1951"/>
      <c r="CI82" s="2169"/>
      <c r="CJ82" s="2307"/>
      <c r="CK82" s="2171"/>
      <c r="CL82" s="1951"/>
      <c r="CM82" s="2169">
        <f t="shared" si="103"/>
        <v>0</v>
      </c>
      <c r="CN82" s="2170">
        <f>$AG$82*0</f>
        <v>0</v>
      </c>
      <c r="CO82" s="2178">
        <f t="shared" si="104"/>
        <v>0</v>
      </c>
      <c r="CQ82" s="2179"/>
      <c r="CR82" s="2180"/>
      <c r="CS82" s="1900"/>
      <c r="CT82" s="2179" t="e">
        <f t="shared" si="105"/>
        <v>#VALUE!</v>
      </c>
      <c r="CU82" s="2181" t="e">
        <f t="shared" si="106"/>
        <v>#VALUE!</v>
      </c>
      <c r="CV82" s="2353"/>
      <c r="CW82" s="4636"/>
      <c r="CZ82" s="4262"/>
      <c r="DA82" s="1946"/>
      <c r="DB82" s="1946"/>
      <c r="DC82" s="1946"/>
      <c r="DD82" s="1946"/>
      <c r="DE82" s="1946"/>
      <c r="DF82" s="1946"/>
      <c r="DG82" s="1946"/>
      <c r="DH82" s="1946"/>
    </row>
    <row r="83" spans="9:112" s="1726" customFormat="1" ht="17.25" thickBot="1" x14ac:dyDescent="0.25">
      <c r="J83" s="2647">
        <v>55</v>
      </c>
      <c r="K83" s="4301"/>
      <c r="L83" s="2648" t="s">
        <v>228</v>
      </c>
      <c r="M83" s="4357"/>
      <c r="N83" s="2649"/>
      <c r="O83" s="2193">
        <v>0</v>
      </c>
      <c r="P83" s="2289"/>
      <c r="Q83" s="2313"/>
      <c r="R83" s="2313"/>
      <c r="S83" s="2289"/>
      <c r="T83" s="2313"/>
      <c r="U83" s="2313"/>
      <c r="V83" s="2287"/>
      <c r="W83" s="2313"/>
      <c r="X83" s="2313"/>
      <c r="Y83" s="2287"/>
      <c r="Z83" s="2313"/>
      <c r="AA83" s="2313"/>
      <c r="AB83" s="2287"/>
      <c r="AC83" s="2313"/>
      <c r="AD83" s="2313"/>
      <c r="AE83" s="2287"/>
      <c r="AF83" s="2313"/>
      <c r="AG83" s="2313">
        <f t="shared" si="98"/>
        <v>0</v>
      </c>
      <c r="AH83" s="4131"/>
      <c r="AI83" s="4131"/>
      <c r="AJ83" s="2194">
        <f t="shared" si="99"/>
        <v>0</v>
      </c>
      <c r="AK83" s="1931"/>
      <c r="AL83" s="1924"/>
      <c r="AM83" s="2092" t="e">
        <f t="shared" ref="AM83:AS83" si="118">IF(AM73&gt;$AG$84,$AG$83,IF(AM73&lt;$AG$84,(IF(AM73&lt;0,0,AM73*$AJ$83))))</f>
        <v>#VALUE!</v>
      </c>
      <c r="AN83" s="2111">
        <f t="shared" si="118"/>
        <v>0</v>
      </c>
      <c r="AO83" s="2111">
        <f t="shared" si="118"/>
        <v>0</v>
      </c>
      <c r="AP83" s="2111">
        <f t="shared" si="118"/>
        <v>0</v>
      </c>
      <c r="AQ83" s="2111">
        <f t="shared" si="118"/>
        <v>0</v>
      </c>
      <c r="AR83" s="2111">
        <f t="shared" si="118"/>
        <v>0</v>
      </c>
      <c r="AS83" s="2113">
        <f t="shared" si="118"/>
        <v>0</v>
      </c>
      <c r="AT83" s="4280"/>
      <c r="AU83" s="2445" t="e">
        <f t="shared" si="55"/>
        <v>#VALUE!</v>
      </c>
      <c r="AV83" s="2650">
        <f>$AG$83*0</f>
        <v>0</v>
      </c>
      <c r="AW83" s="2651" t="e">
        <f t="shared" si="86"/>
        <v>#VALUE!</v>
      </c>
      <c r="AX83" s="4288"/>
      <c r="AY83" s="2445"/>
      <c r="AZ83" s="2650"/>
      <c r="BA83" s="2650"/>
      <c r="BB83" s="2650"/>
      <c r="BC83" s="2650"/>
      <c r="BD83" s="2650"/>
      <c r="BE83" s="2652"/>
      <c r="BF83" s="4288"/>
      <c r="BG83" s="2445">
        <f t="shared" si="74"/>
        <v>0</v>
      </c>
      <c r="BH83" s="2650">
        <f>$AG$83*0</f>
        <v>0</v>
      </c>
      <c r="BI83" s="2651">
        <f t="shared" si="75"/>
        <v>0</v>
      </c>
      <c r="BJ83" s="4288"/>
      <c r="BK83" s="2193"/>
      <c r="BL83" s="2313"/>
      <c r="BM83" s="2313"/>
      <c r="BN83" s="2313"/>
      <c r="BO83" s="2313"/>
      <c r="BP83" s="2313"/>
      <c r="BQ83" s="2313"/>
      <c r="BR83" s="4280"/>
      <c r="BS83" s="2445">
        <f t="shared" si="109"/>
        <v>0</v>
      </c>
      <c r="BT83" s="2650">
        <f>$AG$83*0</f>
        <v>0</v>
      </c>
      <c r="BU83" s="2651">
        <f t="shared" si="110"/>
        <v>0</v>
      </c>
      <c r="BV83" s="4280"/>
      <c r="BW83" s="2193"/>
      <c r="BX83" s="2313"/>
      <c r="BY83" s="2313"/>
      <c r="BZ83" s="2313"/>
      <c r="CA83" s="2313"/>
      <c r="CB83" s="2313"/>
      <c r="CC83" s="2314"/>
      <c r="CD83" s="4280"/>
      <c r="CE83" s="2445">
        <f t="shared" si="101"/>
        <v>0</v>
      </c>
      <c r="CF83" s="2650">
        <f>$AG$83*0</f>
        <v>0</v>
      </c>
      <c r="CG83" s="2651">
        <f t="shared" si="102"/>
        <v>0</v>
      </c>
      <c r="CH83" s="4280"/>
      <c r="CI83" s="2193"/>
      <c r="CJ83" s="2312"/>
      <c r="CK83" s="2314"/>
      <c r="CL83" s="4280"/>
      <c r="CM83" s="2445">
        <f t="shared" si="103"/>
        <v>0</v>
      </c>
      <c r="CN83" s="2650">
        <f>$AG$83*0</f>
        <v>0</v>
      </c>
      <c r="CO83" s="2651">
        <f t="shared" si="104"/>
        <v>0</v>
      </c>
      <c r="CQ83" s="2193"/>
      <c r="CR83" s="2654"/>
      <c r="CS83" s="1740"/>
      <c r="CT83" s="2193" t="e">
        <f t="shared" si="105"/>
        <v>#VALUE!</v>
      </c>
      <c r="CU83" s="2195" t="e">
        <f t="shared" si="106"/>
        <v>#VALUE!</v>
      </c>
      <c r="CV83" s="2351"/>
      <c r="CW83" s="4636"/>
      <c r="CZ83" s="4265"/>
      <c r="DA83" s="4265"/>
      <c r="DB83" s="1860"/>
      <c r="DC83" s="1860"/>
      <c r="DD83" s="1860"/>
      <c r="DE83" s="1860"/>
      <c r="DF83" s="1860"/>
      <c r="DG83" s="1860"/>
      <c r="DH83" s="1860"/>
    </row>
    <row r="84" spans="9:112" s="1885" customFormat="1" ht="17.25" thickBot="1" x14ac:dyDescent="0.25">
      <c r="J84" s="2697"/>
      <c r="K84" s="4302"/>
      <c r="L84" s="2698" t="s">
        <v>194</v>
      </c>
      <c r="M84" s="4353"/>
      <c r="N84" s="2119"/>
      <c r="O84" s="2183">
        <f>SUM(O75:O83)</f>
        <v>1664</v>
      </c>
      <c r="P84" s="2299"/>
      <c r="Q84" s="2311"/>
      <c r="R84" s="2311"/>
      <c r="S84" s="2299"/>
      <c r="T84" s="2311"/>
      <c r="U84" s="2311"/>
      <c r="V84" s="3323"/>
      <c r="W84" s="2311"/>
      <c r="X84" s="2311"/>
      <c r="Y84" s="3323"/>
      <c r="Z84" s="2311"/>
      <c r="AA84" s="2311"/>
      <c r="AB84" s="3323"/>
      <c r="AC84" s="2311"/>
      <c r="AD84" s="2311"/>
      <c r="AE84" s="3323"/>
      <c r="AF84" s="2311"/>
      <c r="AG84" s="2311">
        <f>SUM(AG75:AG83)</f>
        <v>53.677419354838712</v>
      </c>
      <c r="AH84" s="4132"/>
      <c r="AI84" s="4132"/>
      <c r="AJ84" s="2699">
        <f>SUM(AJ75:AJ83)</f>
        <v>1</v>
      </c>
      <c r="AK84" s="2003"/>
      <c r="AL84" s="1950"/>
      <c r="AM84" s="2120" t="e">
        <f t="shared" ref="AM84:AS84" si="119">SUM(AM75:AM83)</f>
        <v>#VALUE!</v>
      </c>
      <c r="AN84" s="2121">
        <f t="shared" si="119"/>
        <v>20.764377952341817</v>
      </c>
      <c r="AO84" s="2121">
        <f t="shared" si="119"/>
        <v>53.677419354838712</v>
      </c>
      <c r="AP84" s="2121">
        <f t="shared" si="119"/>
        <v>43.596877952341814</v>
      </c>
      <c r="AQ84" s="2121">
        <f t="shared" si="119"/>
        <v>23.164377952341809</v>
      </c>
      <c r="AR84" s="2121">
        <f t="shared" si="119"/>
        <v>9.6993779523418038</v>
      </c>
      <c r="AS84" s="2124">
        <f t="shared" si="119"/>
        <v>36.670377952341809</v>
      </c>
      <c r="AT84" s="1951"/>
      <c r="AU84" s="2120" t="e">
        <f>SUM(AU75:AU83)</f>
        <v>#VALUE!</v>
      </c>
      <c r="AV84" s="2123">
        <f>SUM(AV75:AV83)</f>
        <v>0</v>
      </c>
      <c r="AW84" s="2125" t="e">
        <f>SUM(AW75:AW83)</f>
        <v>#VALUE!</v>
      </c>
      <c r="AX84" s="1956"/>
      <c r="AY84" s="2120"/>
      <c r="AZ84" s="2123"/>
      <c r="BA84" s="2123"/>
      <c r="BB84" s="2123"/>
      <c r="BC84" s="2123"/>
      <c r="BD84" s="2123"/>
      <c r="BE84" s="2124"/>
      <c r="BF84" s="1956"/>
      <c r="BG84" s="2120">
        <f>SUM(AY84:BE84)</f>
        <v>0</v>
      </c>
      <c r="BH84" s="2123">
        <f>SUM(BH75:BH83)</f>
        <v>0</v>
      </c>
      <c r="BI84" s="2125">
        <f>SUM(BI62:BI83)</f>
        <v>0</v>
      </c>
      <c r="BJ84" s="1956"/>
      <c r="BK84" s="2120"/>
      <c r="BL84" s="2121"/>
      <c r="BM84" s="2121"/>
      <c r="BN84" s="2121"/>
      <c r="BO84" s="2121"/>
      <c r="BP84" s="2121"/>
      <c r="BQ84" s="2121"/>
      <c r="BR84" s="1951"/>
      <c r="BS84" s="2120">
        <f>SUM(BK84:BQ84)</f>
        <v>0</v>
      </c>
      <c r="BT84" s="2123">
        <f>SUM(BT75:BT83)</f>
        <v>0</v>
      </c>
      <c r="BU84" s="2125">
        <f>SUM(BU62:BU83)</f>
        <v>0</v>
      </c>
      <c r="BV84" s="1951"/>
      <c r="BW84" s="2120"/>
      <c r="BX84" s="2121"/>
      <c r="BY84" s="2121"/>
      <c r="BZ84" s="2121"/>
      <c r="CA84" s="2121"/>
      <c r="CB84" s="2121"/>
      <c r="CC84" s="2124"/>
      <c r="CD84" s="1951"/>
      <c r="CE84" s="2187">
        <f>SUM(BW84:CC84)</f>
        <v>0</v>
      </c>
      <c r="CF84" s="2701">
        <f>SUM(CF75:CF83)</f>
        <v>0</v>
      </c>
      <c r="CG84" s="2702">
        <f>SUM(CG62:CG83)</f>
        <v>0</v>
      </c>
      <c r="CH84" s="1951"/>
      <c r="CI84" s="2120"/>
      <c r="CJ84" s="4196"/>
      <c r="CK84" s="2124"/>
      <c r="CL84" s="1951"/>
      <c r="CM84" s="2187">
        <f t="shared" si="103"/>
        <v>0</v>
      </c>
      <c r="CN84" s="2701">
        <f>SUM(CN62:CN83)</f>
        <v>0</v>
      </c>
      <c r="CO84" s="2702">
        <f>SUM(CO62:CO83)</f>
        <v>0</v>
      </c>
      <c r="CQ84" s="2187" t="e">
        <f>AW84+BI84+BU84</f>
        <v>#VALUE!</v>
      </c>
      <c r="CR84" s="2427"/>
      <c r="CS84" s="1900"/>
      <c r="CT84" s="2187" t="e">
        <f>SUM(CT75:CT83)</f>
        <v>#VALUE!</v>
      </c>
      <c r="CU84" s="2189" t="e">
        <f t="shared" si="106"/>
        <v>#VALUE!</v>
      </c>
      <c r="CV84" s="2353"/>
      <c r="CW84" s="4637"/>
      <c r="CZ84" s="4262"/>
      <c r="DA84" s="1946"/>
      <c r="DB84" s="1946"/>
      <c r="DC84" s="1946"/>
      <c r="DD84" s="1946"/>
      <c r="DE84" s="1946"/>
      <c r="DF84" s="1946"/>
      <c r="DG84" s="1946"/>
      <c r="DH84" s="1946"/>
    </row>
    <row r="85" spans="9:112" s="1860" customFormat="1" ht="4.5" customHeight="1" x14ac:dyDescent="0.2">
      <c r="J85" s="2196"/>
      <c r="K85" s="2196"/>
      <c r="L85" s="2196"/>
      <c r="M85" s="1861"/>
      <c r="N85" s="1861"/>
      <c r="O85" s="2197"/>
      <c r="P85" s="4280"/>
      <c r="Q85" s="2197"/>
      <c r="R85" s="2197"/>
      <c r="S85" s="4280"/>
      <c r="T85" s="2197"/>
      <c r="U85" s="2197"/>
      <c r="V85" s="4280"/>
      <c r="W85" s="2197"/>
      <c r="X85" s="2197"/>
      <c r="Y85" s="4280"/>
      <c r="Z85" s="2197"/>
      <c r="AA85" s="2197"/>
      <c r="AB85" s="4280"/>
      <c r="AC85" s="2197"/>
      <c r="AD85" s="2197"/>
      <c r="AE85" s="4280"/>
      <c r="AF85" s="2197"/>
      <c r="AG85" s="2197"/>
      <c r="AH85" s="2197"/>
      <c r="AI85" s="2197"/>
      <c r="AJ85" s="2198"/>
      <c r="AK85" s="1760"/>
      <c r="AL85" s="4265"/>
      <c r="AM85" s="2197"/>
      <c r="AN85" s="2197"/>
      <c r="AO85" s="2197"/>
      <c r="AP85" s="2197"/>
      <c r="AQ85" s="2197"/>
      <c r="AR85" s="2197"/>
      <c r="AS85" s="2197"/>
      <c r="AT85" s="4266"/>
      <c r="AU85" s="4266"/>
      <c r="AV85" s="4266"/>
      <c r="AW85" s="4266"/>
      <c r="AX85" s="1862"/>
      <c r="AY85" s="2199"/>
      <c r="AZ85" s="2199"/>
      <c r="BA85" s="2199"/>
      <c r="BB85" s="2199"/>
      <c r="BC85" s="2199"/>
      <c r="BD85" s="2199"/>
      <c r="BE85" s="2199"/>
      <c r="BF85" s="1862"/>
      <c r="BG85" s="4266"/>
      <c r="BH85" s="4266"/>
      <c r="BI85" s="4266"/>
      <c r="BJ85" s="1862"/>
      <c r="BK85" s="2197"/>
      <c r="BL85" s="2197"/>
      <c r="BM85" s="2197"/>
      <c r="BN85" s="2197"/>
      <c r="BO85" s="2197"/>
      <c r="BP85" s="2197"/>
      <c r="BQ85" s="2197"/>
      <c r="BR85" s="4266"/>
      <c r="BS85" s="4266"/>
      <c r="BT85" s="4266"/>
      <c r="BU85" s="4266"/>
      <c r="BV85" s="4266"/>
      <c r="BW85" s="2197"/>
      <c r="BX85" s="2197"/>
      <c r="BY85" s="2197"/>
      <c r="BZ85" s="2197"/>
      <c r="CA85" s="2197"/>
      <c r="CB85" s="2197"/>
      <c r="CC85" s="2197"/>
      <c r="CD85" s="4266"/>
      <c r="CE85" s="4266"/>
      <c r="CF85" s="4266"/>
      <c r="CG85" s="4266"/>
      <c r="CH85" s="4266"/>
      <c r="CI85" s="2197"/>
      <c r="CJ85" s="2197"/>
      <c r="CK85" s="2197"/>
      <c r="CL85" s="4266"/>
      <c r="CM85" s="4266"/>
      <c r="CN85" s="4266"/>
      <c r="CO85" s="4266"/>
      <c r="CQ85" s="2197"/>
      <c r="CR85" s="2200"/>
      <c r="CS85" s="1861"/>
      <c r="CT85" s="2197"/>
      <c r="CU85" s="2198"/>
      <c r="CV85" s="1997"/>
      <c r="CW85" s="4265"/>
    </row>
    <row r="86" spans="9:112" s="1860" customFormat="1" ht="15.75" customHeight="1" x14ac:dyDescent="0.2">
      <c r="J86" s="2196"/>
      <c r="K86" s="2196"/>
      <c r="L86" s="2197"/>
      <c r="M86" s="4266"/>
      <c r="N86" s="1861"/>
      <c r="O86" s="1732">
        <f>O71+O84</f>
        <v>2000.5</v>
      </c>
      <c r="P86" s="2287"/>
      <c r="Q86" s="1732"/>
      <c r="R86" s="1732"/>
      <c r="S86" s="2287"/>
      <c r="T86" s="1732"/>
      <c r="U86" s="1732"/>
      <c r="V86" s="2287"/>
      <c r="W86" s="1732"/>
      <c r="X86" s="1732"/>
      <c r="Y86" s="2287"/>
      <c r="Z86" s="1732"/>
      <c r="AA86" s="1732"/>
      <c r="AB86" s="2287"/>
      <c r="AC86" s="1732"/>
      <c r="AD86" s="1732"/>
      <c r="AE86" s="2287"/>
      <c r="AF86" s="1732"/>
      <c r="AG86" s="1732">
        <f>AG71+AG84</f>
        <v>64.532258064516128</v>
      </c>
      <c r="AH86" s="1732"/>
      <c r="AI86" s="1732"/>
      <c r="AJ86" s="1882">
        <f>O86/O105</f>
        <v>0.34499320102126957</v>
      </c>
      <c r="AK86" s="1760"/>
      <c r="AL86" s="4265"/>
      <c r="AM86" s="1732" t="e">
        <f t="shared" ref="AM86:AS86" si="120">AM73-AM84</f>
        <v>#VALUE!</v>
      </c>
      <c r="AN86" s="1732">
        <f t="shared" si="120"/>
        <v>0</v>
      </c>
      <c r="AO86" s="1732">
        <f t="shared" si="120"/>
        <v>6.7262152929838805</v>
      </c>
      <c r="AP86" s="1732">
        <f t="shared" si="120"/>
        <v>0</v>
      </c>
      <c r="AQ86" s="1732">
        <f t="shared" si="120"/>
        <v>0</v>
      </c>
      <c r="AR86" s="1732">
        <f t="shared" si="120"/>
        <v>0</v>
      </c>
      <c r="AS86" s="1732">
        <f t="shared" si="120"/>
        <v>0</v>
      </c>
      <c r="AT86" s="4266"/>
      <c r="AU86" s="4266"/>
      <c r="AV86" s="4266"/>
      <c r="AW86" s="4266"/>
      <c r="AX86" s="1862"/>
      <c r="AY86" s="1732"/>
      <c r="AZ86" s="1732"/>
      <c r="BA86" s="1732"/>
      <c r="BB86" s="1732"/>
      <c r="BC86" s="1732"/>
      <c r="BD86" s="1732"/>
      <c r="BE86" s="1732"/>
      <c r="BF86" s="1862"/>
      <c r="BG86" s="4266"/>
      <c r="BH86" s="4266"/>
      <c r="BI86" s="4266"/>
      <c r="BJ86" s="1862"/>
      <c r="BK86" s="1732"/>
      <c r="BL86" s="1732"/>
      <c r="BM86" s="1732"/>
      <c r="BN86" s="1732"/>
      <c r="BO86" s="1732"/>
      <c r="BP86" s="1732"/>
      <c r="BQ86" s="1732"/>
      <c r="BR86" s="4266"/>
      <c r="BS86" s="4266"/>
      <c r="BT86" s="4266"/>
      <c r="BU86" s="4266"/>
      <c r="BV86" s="4266"/>
      <c r="BW86" s="1732"/>
      <c r="BX86" s="1732"/>
      <c r="BY86" s="1732"/>
      <c r="BZ86" s="1732"/>
      <c r="CA86" s="1732"/>
      <c r="CB86" s="1732"/>
      <c r="CC86" s="1732"/>
      <c r="CD86" s="4266"/>
      <c r="CE86" s="4266"/>
      <c r="CF86" s="4266"/>
      <c r="CG86" s="4266"/>
      <c r="CH86" s="4266"/>
      <c r="CI86" s="1732"/>
      <c r="CJ86" s="1732"/>
      <c r="CK86" s="1732"/>
      <c r="CL86" s="4266"/>
      <c r="CM86" s="4266"/>
      <c r="CN86" s="4266"/>
      <c r="CO86" s="4266"/>
      <c r="CQ86" s="1732"/>
      <c r="CR86" s="2211"/>
      <c r="CS86" s="1861"/>
      <c r="CT86" s="1732"/>
      <c r="CU86" s="1882"/>
      <c r="CV86" s="1997"/>
      <c r="CW86" s="4265"/>
    </row>
    <row r="87" spans="9:112" s="1860" customFormat="1" ht="4.5" customHeight="1" thickBot="1" x14ac:dyDescent="0.25">
      <c r="J87" s="2196"/>
      <c r="K87" s="2196"/>
      <c r="L87" s="2196"/>
      <c r="M87" s="1861"/>
      <c r="N87" s="1861"/>
      <c r="O87" s="2197"/>
      <c r="P87" s="4280"/>
      <c r="Q87" s="2197"/>
      <c r="R87" s="2197"/>
      <c r="S87" s="4280"/>
      <c r="T87" s="2197"/>
      <c r="U87" s="2197"/>
      <c r="V87" s="4280"/>
      <c r="W87" s="2197"/>
      <c r="X87" s="2197"/>
      <c r="Y87" s="4280"/>
      <c r="Z87" s="2197"/>
      <c r="AA87" s="2197"/>
      <c r="AB87" s="4280"/>
      <c r="AC87" s="2197"/>
      <c r="AD87" s="2197"/>
      <c r="AE87" s="4280"/>
      <c r="AF87" s="2197"/>
      <c r="AG87" s="2197"/>
      <c r="AH87" s="2197"/>
      <c r="AI87" s="2197"/>
      <c r="AJ87" s="2198"/>
      <c r="AK87" s="1760"/>
      <c r="AL87" s="4265"/>
      <c r="AM87" s="4266"/>
      <c r="AN87" s="4266"/>
      <c r="AO87" s="4266"/>
      <c r="AP87" s="4266"/>
      <c r="AQ87" s="4266"/>
      <c r="AR87" s="4266"/>
      <c r="AS87" s="4266"/>
      <c r="AT87" s="4266"/>
      <c r="AU87" s="4266"/>
      <c r="AV87" s="4266"/>
      <c r="AW87" s="4266"/>
      <c r="AX87" s="1862"/>
      <c r="AY87" s="2232"/>
      <c r="AZ87" s="2232"/>
      <c r="BA87" s="2232"/>
      <c r="BB87" s="2232"/>
      <c r="BC87" s="2232"/>
      <c r="BD87" s="2232"/>
      <c r="BE87" s="2232"/>
      <c r="BF87" s="1862"/>
      <c r="BG87" s="4266"/>
      <c r="BH87" s="4266"/>
      <c r="BI87" s="4266"/>
      <c r="BJ87" s="1862"/>
      <c r="BK87" s="2232"/>
      <c r="BL87" s="2232"/>
      <c r="BM87" s="2232"/>
      <c r="BN87" s="2232"/>
      <c r="BO87" s="2232"/>
      <c r="BP87" s="2232"/>
      <c r="BQ87" s="2232"/>
      <c r="BR87" s="4266"/>
      <c r="BS87" s="4266"/>
      <c r="BT87" s="4266"/>
      <c r="BU87" s="4266"/>
      <c r="BV87" s="4266"/>
      <c r="BW87" s="2232"/>
      <c r="BX87" s="2232"/>
      <c r="BY87" s="2232"/>
      <c r="BZ87" s="2232"/>
      <c r="CA87" s="2232"/>
      <c r="CB87" s="2232"/>
      <c r="CC87" s="2232"/>
      <c r="CD87" s="4266"/>
      <c r="CE87" s="4266"/>
      <c r="CF87" s="4266"/>
      <c r="CG87" s="4266"/>
      <c r="CH87" s="4266"/>
      <c r="CI87" s="2199"/>
      <c r="CJ87" s="2199"/>
      <c r="CK87" s="2199"/>
      <c r="CL87" s="4266"/>
      <c r="CM87" s="4266"/>
      <c r="CN87" s="4266"/>
      <c r="CO87" s="4266"/>
      <c r="CQ87" s="2199"/>
      <c r="CR87" s="2203"/>
      <c r="CS87" s="1861"/>
      <c r="CT87" s="2199"/>
      <c r="CU87" s="2204"/>
      <c r="CV87" s="1997"/>
      <c r="CW87" s="4265"/>
    </row>
    <row r="88" spans="9:112" s="1885" customFormat="1" ht="17.25" thickBot="1" x14ac:dyDescent="0.25">
      <c r="J88" s="2401"/>
      <c r="K88" s="2401"/>
      <c r="L88" s="2401" t="s">
        <v>151</v>
      </c>
      <c r="M88" s="2402"/>
      <c r="N88" s="2402"/>
      <c r="O88" s="1898">
        <f>(O84+O71)*100/20</f>
        <v>10002.5</v>
      </c>
      <c r="P88" s="3323"/>
      <c r="Q88" s="1898"/>
      <c r="R88" s="1898"/>
      <c r="S88" s="3323"/>
      <c r="T88" s="1898"/>
      <c r="U88" s="1898"/>
      <c r="V88" s="3323"/>
      <c r="W88" s="1898"/>
      <c r="X88" s="1898"/>
      <c r="Y88" s="3323"/>
      <c r="Z88" s="1898"/>
      <c r="AA88" s="1898"/>
      <c r="AB88" s="3323"/>
      <c r="AC88" s="1898"/>
      <c r="AD88" s="1898"/>
      <c r="AE88" s="3323"/>
      <c r="AF88" s="1898"/>
      <c r="AG88" s="1898">
        <f>(AG84+AG71)*100/20</f>
        <v>322.66129032258061</v>
      </c>
      <c r="AH88" s="1898"/>
      <c r="AI88" s="1898"/>
      <c r="AJ88" s="1899">
        <f>O88/O103</f>
        <v>0.34499320102126957</v>
      </c>
      <c r="AK88" s="1949"/>
      <c r="AL88" s="4262"/>
      <c r="AM88" s="4260"/>
      <c r="AN88" s="4260"/>
      <c r="AO88" s="4260"/>
      <c r="AP88" s="4260"/>
      <c r="AQ88" s="4260"/>
      <c r="AR88" s="4260"/>
      <c r="AS88" s="4260"/>
      <c r="AT88" s="4263"/>
      <c r="AU88" s="2319"/>
      <c r="AV88" s="2321"/>
      <c r="AW88" s="2433"/>
      <c r="AX88" s="1897"/>
      <c r="AY88" s="4260"/>
      <c r="AZ88" s="4260"/>
      <c r="BA88" s="4260"/>
      <c r="BB88" s="4260"/>
      <c r="BC88" s="4260"/>
      <c r="BD88" s="4260"/>
      <c r="BE88" s="4260"/>
      <c r="BF88" s="1896"/>
      <c r="BG88" s="2319"/>
      <c r="BH88" s="2321"/>
      <c r="BI88" s="2433"/>
      <c r="BJ88" s="1897"/>
      <c r="BK88" s="4260"/>
      <c r="BL88" s="4260"/>
      <c r="BM88" s="4260"/>
      <c r="BN88" s="4260"/>
      <c r="BO88" s="4260"/>
      <c r="BP88" s="4260"/>
      <c r="BQ88" s="4260"/>
      <c r="BR88" s="2295"/>
      <c r="BS88" s="2319"/>
      <c r="BT88" s="2321"/>
      <c r="BU88" s="2433"/>
      <c r="BV88" s="4263"/>
      <c r="BW88" s="4260"/>
      <c r="BX88" s="4260"/>
      <c r="BY88" s="4260"/>
      <c r="BZ88" s="4260"/>
      <c r="CA88" s="4260"/>
      <c r="CB88" s="4260"/>
      <c r="CC88" s="4260"/>
      <c r="CD88" s="2295"/>
      <c r="CE88" s="2319">
        <f t="shared" ref="CE88:CE89" si="121">SUM(BW88:CC88)</f>
        <v>0</v>
      </c>
      <c r="CF88" s="2321"/>
      <c r="CG88" s="2433"/>
      <c r="CH88" s="4263"/>
      <c r="CI88" s="1898"/>
      <c r="CJ88" s="1898"/>
      <c r="CK88" s="1898"/>
      <c r="CL88" s="4263"/>
      <c r="CM88" s="2319">
        <f>SUM(CI88:CK88)</f>
        <v>0</v>
      </c>
      <c r="CN88" s="2321"/>
      <c r="CO88" s="2433"/>
      <c r="CQ88" s="1898"/>
      <c r="CR88" s="2202"/>
      <c r="CS88" s="1900"/>
      <c r="CT88" s="1898"/>
      <c r="CU88" s="1899"/>
      <c r="CV88" s="2010"/>
      <c r="CW88" s="4262"/>
    </row>
    <row r="89" spans="9:112" s="1726" customFormat="1" ht="17.25" thickBot="1" x14ac:dyDescent="0.25">
      <c r="J89" s="2049"/>
      <c r="K89" s="4297"/>
      <c r="L89" s="2050" t="s">
        <v>149</v>
      </c>
      <c r="M89" s="4356"/>
      <c r="N89" s="2051"/>
      <c r="O89" s="2052"/>
      <c r="P89" s="2289"/>
      <c r="Q89" s="2053"/>
      <c r="R89" s="2053"/>
      <c r="S89" s="2289"/>
      <c r="T89" s="2053"/>
      <c r="U89" s="2053"/>
      <c r="V89" s="2287"/>
      <c r="W89" s="2053"/>
      <c r="X89" s="2053"/>
      <c r="Y89" s="2287"/>
      <c r="Z89" s="2053"/>
      <c r="AA89" s="2053"/>
      <c r="AB89" s="2287"/>
      <c r="AC89" s="2053"/>
      <c r="AD89" s="2053"/>
      <c r="AE89" s="2287"/>
      <c r="AF89" s="2053"/>
      <c r="AG89" s="2053"/>
      <c r="AH89" s="4127"/>
      <c r="AI89" s="4127"/>
      <c r="AJ89" s="2253"/>
      <c r="AK89" s="2216"/>
      <c r="AL89" s="2055"/>
      <c r="AM89" s="2053" t="e">
        <f t="shared" ref="AM89:AS89" si="122">IF(AM86&gt;$AG$86,AM86,IF(AM86&lt;$AG$86,(IF(AM86&lt;0,-64.532,(AM73+AM71)-$AG$86))))</f>
        <v>#VALUE!</v>
      </c>
      <c r="AN89" s="2053">
        <f t="shared" si="122"/>
        <v>-32.913041402496894</v>
      </c>
      <c r="AO89" s="2053">
        <f t="shared" si="122"/>
        <v>6.7262152929838805</v>
      </c>
      <c r="AP89" s="2053">
        <f t="shared" si="122"/>
        <v>-10.080541402496898</v>
      </c>
      <c r="AQ89" s="2053">
        <f t="shared" si="122"/>
        <v>-30.513041402496903</v>
      </c>
      <c r="AR89" s="2053">
        <f t="shared" si="122"/>
        <v>-43.978041402496906</v>
      </c>
      <c r="AS89" s="2057">
        <f t="shared" si="122"/>
        <v>-17.007041402496903</v>
      </c>
      <c r="AT89" s="4280"/>
      <c r="AU89" s="2056" t="e">
        <f>SUM(AM89:AS89)</f>
        <v>#VALUE!</v>
      </c>
      <c r="AV89" s="2052"/>
      <c r="AW89" s="2057"/>
      <c r="AX89" s="4288"/>
      <c r="AY89" s="2056"/>
      <c r="AZ89" s="2053"/>
      <c r="BA89" s="2053"/>
      <c r="BB89" s="2053"/>
      <c r="BC89" s="2053"/>
      <c r="BD89" s="2053"/>
      <c r="BE89" s="2053"/>
      <c r="BF89" s="4288"/>
      <c r="BG89" s="2056">
        <f>SUM(AY89:BE89)</f>
        <v>0</v>
      </c>
      <c r="BH89" s="2052"/>
      <c r="BI89" s="2057"/>
      <c r="BJ89" s="1764"/>
      <c r="BK89" s="2056"/>
      <c r="BL89" s="2053"/>
      <c r="BM89" s="2053"/>
      <c r="BN89" s="2053"/>
      <c r="BO89" s="2053"/>
      <c r="BP89" s="2053"/>
      <c r="BQ89" s="2053"/>
      <c r="BR89" s="2300"/>
      <c r="BS89" s="2056">
        <f t="shared" ref="BS89" si="123">SUM(BK89:BQ89)</f>
        <v>0</v>
      </c>
      <c r="BT89" s="2052"/>
      <c r="BU89" s="2057"/>
      <c r="BV89" s="4280"/>
      <c r="BW89" s="2056"/>
      <c r="BX89" s="2053"/>
      <c r="BY89" s="2053"/>
      <c r="BZ89" s="2053"/>
      <c r="CA89" s="2053"/>
      <c r="CB89" s="2053"/>
      <c r="CC89" s="2057"/>
      <c r="CD89" s="4280"/>
      <c r="CE89" s="2056">
        <f t="shared" si="121"/>
        <v>0</v>
      </c>
      <c r="CF89" s="2052"/>
      <c r="CG89" s="2057"/>
      <c r="CH89" s="1740"/>
      <c r="CI89" s="2056"/>
      <c r="CJ89" s="2963"/>
      <c r="CK89" s="2057"/>
      <c r="CL89" s="2301"/>
      <c r="CM89" s="2058">
        <f>SUM(CI89:CK89)</f>
        <v>0</v>
      </c>
      <c r="CN89" s="2324"/>
      <c r="CO89" s="2190"/>
      <c r="CP89" s="1862"/>
      <c r="CQ89" s="2058" t="e">
        <f>SUM(AM89:AS89)+SUM(AY89:BE89)+SUM(BK89:BQ89)+SUM(BW89:CC89)+SUM(CK89:CK89)</f>
        <v>#VALUE!</v>
      </c>
      <c r="CR89" s="2054"/>
      <c r="CS89" s="1740"/>
      <c r="CT89" s="1740"/>
      <c r="CU89" s="1740"/>
      <c r="CV89" s="1861"/>
    </row>
    <row r="90" spans="9:112" s="1756" customFormat="1" ht="17.25" thickBot="1" x14ac:dyDescent="0.25">
      <c r="J90" s="1817"/>
      <c r="K90" s="1817"/>
      <c r="L90" s="1817"/>
      <c r="M90" s="1817"/>
      <c r="N90" s="1817"/>
      <c r="O90" s="4280"/>
      <c r="P90" s="4280"/>
      <c r="Q90" s="4280"/>
      <c r="R90" s="4280"/>
      <c r="S90" s="4280"/>
      <c r="T90" s="4280"/>
      <c r="U90" s="4280"/>
      <c r="V90" s="4280"/>
      <c r="W90" s="4280"/>
      <c r="X90" s="4280"/>
      <c r="Y90" s="4280"/>
      <c r="Z90" s="4280"/>
      <c r="AA90" s="4280"/>
      <c r="AB90" s="4280"/>
      <c r="AC90" s="4280"/>
      <c r="AD90" s="4280"/>
      <c r="AE90" s="4280"/>
      <c r="AF90" s="4280"/>
      <c r="AG90" s="4280"/>
      <c r="AH90" s="4280"/>
      <c r="AI90" s="4280"/>
      <c r="AJ90" s="1818"/>
      <c r="AK90" s="2216"/>
      <c r="AL90" s="2055"/>
      <c r="AM90" s="4280"/>
      <c r="AN90" s="4280"/>
      <c r="AO90" s="4280"/>
      <c r="AP90" s="4280"/>
      <c r="AQ90" s="4280"/>
      <c r="AR90" s="4280"/>
      <c r="AS90" s="4280"/>
      <c r="AT90" s="4280"/>
      <c r="AU90" s="4280"/>
      <c r="AV90" s="4280"/>
      <c r="AW90" s="4280"/>
      <c r="AX90" s="4288"/>
      <c r="AY90" s="4280"/>
      <c r="AZ90" s="4280"/>
      <c r="BA90" s="4280"/>
      <c r="BB90" s="4280"/>
      <c r="BC90" s="4280"/>
      <c r="BD90" s="4280"/>
      <c r="BE90" s="4280"/>
      <c r="BF90" s="4288"/>
      <c r="BG90" s="4280"/>
      <c r="BH90" s="4280"/>
      <c r="BI90" s="4280"/>
      <c r="BJ90" s="4288"/>
      <c r="BK90" s="4280"/>
      <c r="BL90" s="4280"/>
      <c r="BM90" s="4280"/>
      <c r="BN90" s="4280"/>
      <c r="BO90" s="4280"/>
      <c r="BP90" s="4280"/>
      <c r="BQ90" s="4280"/>
      <c r="BR90" s="4280"/>
      <c r="BS90" s="4280"/>
      <c r="BT90" s="4280"/>
      <c r="BU90" s="4280"/>
      <c r="BV90" s="4280"/>
      <c r="BW90" s="4280"/>
      <c r="BX90" s="4280"/>
      <c r="BY90" s="4280"/>
      <c r="BZ90" s="4280"/>
      <c r="CA90" s="4280"/>
      <c r="CB90" s="4280"/>
      <c r="CC90" s="4280"/>
      <c r="CD90" s="4280"/>
      <c r="CE90" s="4280"/>
      <c r="CF90" s="4280"/>
      <c r="CG90" s="4280"/>
      <c r="CH90" s="4280"/>
      <c r="CI90" s="4280"/>
      <c r="CJ90" s="4280"/>
      <c r="CK90" s="4280"/>
      <c r="CL90" s="4280"/>
      <c r="CM90" s="4280"/>
      <c r="CN90" s="4280"/>
      <c r="CO90" s="4280"/>
      <c r="CP90" s="4288"/>
      <c r="CQ90" s="4280"/>
      <c r="CR90" s="1830"/>
      <c r="CS90" s="4261"/>
      <c r="CT90" s="4261"/>
      <c r="CU90" s="4261"/>
      <c r="CV90" s="1817"/>
    </row>
    <row r="91" spans="9:112" s="1947" customFormat="1" x14ac:dyDescent="0.2">
      <c r="I91" s="2217"/>
      <c r="J91" s="2218">
        <v>56</v>
      </c>
      <c r="K91" s="2218"/>
      <c r="L91" s="2218" t="s">
        <v>74</v>
      </c>
      <c r="M91" s="2219"/>
      <c r="N91" s="2219"/>
      <c r="O91" s="4282">
        <v>350</v>
      </c>
      <c r="P91" s="3323"/>
      <c r="Q91" s="4282"/>
      <c r="R91" s="4282"/>
      <c r="S91" s="3323"/>
      <c r="T91" s="4282"/>
      <c r="U91" s="4282"/>
      <c r="V91" s="3323"/>
      <c r="W91" s="4282"/>
      <c r="X91" s="4282"/>
      <c r="Y91" s="3323"/>
      <c r="Z91" s="4282"/>
      <c r="AA91" s="4282"/>
      <c r="AB91" s="3323"/>
      <c r="AC91" s="4282"/>
      <c r="AD91" s="4282"/>
      <c r="AE91" s="3323"/>
      <c r="AF91" s="4282"/>
      <c r="AG91" s="4282">
        <f>O91/31</f>
        <v>11.290322580645162</v>
      </c>
      <c r="AH91" s="4282"/>
      <c r="AI91" s="4282"/>
      <c r="AJ91" s="2008">
        <f>O91/O105</f>
        <v>6.0358720498597522E-2</v>
      </c>
      <c r="AK91" s="1949"/>
      <c r="AL91" s="1905"/>
      <c r="AM91" s="4282">
        <f t="shared" ref="AM91:AS91" si="124">$O$91/31</f>
        <v>11.290322580645162</v>
      </c>
      <c r="AN91" s="4282">
        <f t="shared" si="124"/>
        <v>11.290322580645162</v>
      </c>
      <c r="AO91" s="4282">
        <f t="shared" si="124"/>
        <v>11.290322580645162</v>
      </c>
      <c r="AP91" s="4282">
        <f t="shared" si="124"/>
        <v>11.290322580645162</v>
      </c>
      <c r="AQ91" s="4282">
        <f t="shared" si="124"/>
        <v>11.290322580645162</v>
      </c>
      <c r="AR91" s="4282">
        <f t="shared" si="124"/>
        <v>11.290322580645162</v>
      </c>
      <c r="AS91" s="4282">
        <f t="shared" si="124"/>
        <v>11.290322580645162</v>
      </c>
      <c r="AT91" s="1951"/>
      <c r="AU91" s="2220">
        <f t="shared" si="55"/>
        <v>79.032258064516142</v>
      </c>
      <c r="AV91" s="2221"/>
      <c r="AW91" s="2222"/>
      <c r="AX91" s="1955"/>
      <c r="AY91" s="2223"/>
      <c r="AZ91" s="2223"/>
      <c r="BA91" s="2223"/>
      <c r="BB91" s="2223"/>
      <c r="BC91" s="2223"/>
      <c r="BD91" s="2223"/>
      <c r="BE91" s="2223"/>
      <c r="BF91" s="1955"/>
      <c r="BG91" s="2220">
        <f t="shared" ref="BG91:BG92" si="125">SUM(AY91:BE91)</f>
        <v>0</v>
      </c>
      <c r="BH91" s="2221"/>
      <c r="BI91" s="2222"/>
      <c r="BJ91" s="1955"/>
      <c r="BK91" s="2223"/>
      <c r="BL91" s="2223"/>
      <c r="BM91" s="2223"/>
      <c r="BN91" s="2223"/>
      <c r="BO91" s="2223"/>
      <c r="BP91" s="2223"/>
      <c r="BQ91" s="2223"/>
      <c r="BR91" s="2299"/>
      <c r="BS91" s="2220">
        <f t="shared" ref="BS91:BS94" si="126">SUM(BK91:BQ91)</f>
        <v>0</v>
      </c>
      <c r="BT91" s="2221"/>
      <c r="BU91" s="2222"/>
      <c r="BV91" s="2299"/>
      <c r="BW91" s="2223"/>
      <c r="BX91" s="2223"/>
      <c r="BY91" s="2223"/>
      <c r="BZ91" s="2223"/>
      <c r="CA91" s="2223"/>
      <c r="CB91" s="2223"/>
      <c r="CC91" s="2223"/>
      <c r="CD91" s="2299"/>
      <c r="CE91" s="2220">
        <f t="shared" ref="CE91:CE92" si="127">SUM(BW91:CC91)</f>
        <v>0</v>
      </c>
      <c r="CF91" s="2221"/>
      <c r="CG91" s="2222"/>
      <c r="CH91" s="1951"/>
      <c r="CI91" s="4282"/>
      <c r="CJ91" s="4282"/>
      <c r="CK91" s="4282"/>
      <c r="CL91" s="1951"/>
      <c r="CM91" s="2220">
        <f>SUM(CI91:CK91)</f>
        <v>0</v>
      </c>
      <c r="CN91" s="2221"/>
      <c r="CO91" s="2222"/>
      <c r="CQ91" s="4282">
        <f>SUM(AM91:AS91)+SUM(AY91:BE91)+SUM(BK91:BQ91)+SUM(BW91:CC91)+SUM(CK91:CK91)</f>
        <v>79.032258064516142</v>
      </c>
      <c r="CR91" s="2008">
        <f>CQ91/O91</f>
        <v>0.22580645161290328</v>
      </c>
      <c r="CS91" s="1959"/>
      <c r="CT91" s="2224"/>
      <c r="CU91" s="2225"/>
      <c r="CV91" s="2339"/>
      <c r="CW91" s="1950"/>
    </row>
    <row r="92" spans="9:112" s="1860" customFormat="1" ht="17.25" thickBot="1" x14ac:dyDescent="0.25">
      <c r="J92" s="1739"/>
      <c r="K92" s="1739"/>
      <c r="L92" s="1739" t="s">
        <v>153</v>
      </c>
      <c r="M92" s="2205"/>
      <c r="N92" s="2205"/>
      <c r="O92" s="1732">
        <f>O91*100/20</f>
        <v>1750</v>
      </c>
      <c r="P92" s="2287"/>
      <c r="Q92" s="1732"/>
      <c r="R92" s="1732"/>
      <c r="S92" s="2287"/>
      <c r="T92" s="1732"/>
      <c r="U92" s="1732"/>
      <c r="V92" s="2287"/>
      <c r="W92" s="1732"/>
      <c r="X92" s="1732"/>
      <c r="Y92" s="2287"/>
      <c r="Z92" s="1732"/>
      <c r="AA92" s="1732"/>
      <c r="AB92" s="2287"/>
      <c r="AC92" s="1732"/>
      <c r="AD92" s="1732"/>
      <c r="AE92" s="2287"/>
      <c r="AF92" s="1732"/>
      <c r="AG92" s="1732">
        <f>AG91*100/20</f>
        <v>56.451612903225808</v>
      </c>
      <c r="AH92" s="1732"/>
      <c r="AI92" s="1732"/>
      <c r="AJ92" s="1882">
        <f>O92/O103</f>
        <v>6.0358720498597529E-2</v>
      </c>
      <c r="AK92" s="1760"/>
      <c r="AL92" s="4265"/>
      <c r="AM92" s="1732">
        <f t="shared" ref="AM92:AS92" si="128">AM91*100/20</f>
        <v>56.451612903225808</v>
      </c>
      <c r="AN92" s="1732">
        <f t="shared" si="128"/>
        <v>56.451612903225808</v>
      </c>
      <c r="AO92" s="1732">
        <f t="shared" si="128"/>
        <v>56.451612903225808</v>
      </c>
      <c r="AP92" s="1732">
        <f t="shared" si="128"/>
        <v>56.451612903225808</v>
      </c>
      <c r="AQ92" s="1732">
        <f t="shared" si="128"/>
        <v>56.451612903225808</v>
      </c>
      <c r="AR92" s="1732">
        <f t="shared" si="128"/>
        <v>56.451612903225808</v>
      </c>
      <c r="AS92" s="1732">
        <f t="shared" si="128"/>
        <v>56.451612903225808</v>
      </c>
      <c r="AT92" s="4266"/>
      <c r="AU92" s="4273">
        <f t="shared" si="55"/>
        <v>395.16129032258061</v>
      </c>
      <c r="AV92" s="2227"/>
      <c r="AW92" s="2228"/>
      <c r="AX92" s="1881"/>
      <c r="AY92" s="2210"/>
      <c r="AZ92" s="2210"/>
      <c r="BA92" s="2210"/>
      <c r="BB92" s="2210"/>
      <c r="BC92" s="2210"/>
      <c r="BD92" s="2210"/>
      <c r="BE92" s="2210"/>
      <c r="BF92" s="1881"/>
      <c r="BG92" s="4273">
        <f t="shared" si="125"/>
        <v>0</v>
      </c>
      <c r="BH92" s="2227"/>
      <c r="BI92" s="2228"/>
      <c r="BJ92" s="1881"/>
      <c r="BK92" s="2210"/>
      <c r="BL92" s="2210"/>
      <c r="BM92" s="2210"/>
      <c r="BN92" s="2210"/>
      <c r="BO92" s="2210"/>
      <c r="BP92" s="2210"/>
      <c r="BQ92" s="2210"/>
      <c r="BR92" s="2293"/>
      <c r="BS92" s="4273">
        <f t="shared" si="126"/>
        <v>0</v>
      </c>
      <c r="BT92" s="2227"/>
      <c r="BU92" s="2228"/>
      <c r="BV92" s="2293"/>
      <c r="BW92" s="2210"/>
      <c r="BX92" s="2210"/>
      <c r="BY92" s="2210"/>
      <c r="BZ92" s="2210"/>
      <c r="CA92" s="2210"/>
      <c r="CB92" s="2210"/>
      <c r="CC92" s="2210"/>
      <c r="CD92" s="2293"/>
      <c r="CE92" s="4273">
        <f t="shared" si="127"/>
        <v>0</v>
      </c>
      <c r="CF92" s="2227"/>
      <c r="CG92" s="2228"/>
      <c r="CH92" s="4266"/>
      <c r="CI92" s="1732"/>
      <c r="CJ92" s="1732"/>
      <c r="CK92" s="1732"/>
      <c r="CL92" s="4266"/>
      <c r="CM92" s="4273">
        <f>SUM(CI92:CK92)</f>
        <v>0</v>
      </c>
      <c r="CN92" s="2227"/>
      <c r="CO92" s="2228"/>
      <c r="CP92" s="1726"/>
      <c r="CQ92" s="1732">
        <f>SUM(AM92:AS92)+SUM(AY92:BE92)+SUM(BK92:BQ92)+SUM(BW92:CC92)+SUM(CK92:CK92)</f>
        <v>395.16129032258061</v>
      </c>
      <c r="CR92" s="1882">
        <f>CQ92/O92</f>
        <v>0.22580645161290322</v>
      </c>
      <c r="CS92" s="1740"/>
      <c r="CT92" s="2229"/>
      <c r="CU92" s="2230"/>
      <c r="CV92" s="2059"/>
      <c r="CW92" s="1877"/>
      <c r="CX92" s="1726"/>
    </row>
    <row r="93" spans="9:112" s="1860" customFormat="1" ht="4.5" customHeight="1" thickBot="1" x14ac:dyDescent="0.25">
      <c r="J93" s="2231"/>
      <c r="K93" s="2231"/>
      <c r="L93" s="2231"/>
      <c r="M93" s="1861"/>
      <c r="N93" s="1861"/>
      <c r="O93" s="2232"/>
      <c r="P93" s="4280"/>
      <c r="Q93" s="2232"/>
      <c r="R93" s="2232"/>
      <c r="S93" s="4280"/>
      <c r="T93" s="2232"/>
      <c r="U93" s="2232"/>
      <c r="V93" s="4280"/>
      <c r="W93" s="2232"/>
      <c r="X93" s="2232"/>
      <c r="Y93" s="4280"/>
      <c r="Z93" s="2232"/>
      <c r="AA93" s="2232"/>
      <c r="AB93" s="4280"/>
      <c r="AC93" s="2232"/>
      <c r="AD93" s="2232"/>
      <c r="AE93" s="4280"/>
      <c r="AF93" s="2232"/>
      <c r="AG93" s="2232"/>
      <c r="AH93" s="2232"/>
      <c r="AI93" s="2232"/>
      <c r="AJ93" s="2233"/>
      <c r="AK93" s="1760"/>
      <c r="AL93" s="4265"/>
      <c r="AM93" s="2232"/>
      <c r="AN93" s="2232"/>
      <c r="AO93" s="2232"/>
      <c r="AP93" s="2232"/>
      <c r="AQ93" s="2232"/>
      <c r="AR93" s="2232"/>
      <c r="AS93" s="2232"/>
      <c r="AT93" s="4266"/>
      <c r="AU93" s="4266"/>
      <c r="AV93" s="4266"/>
      <c r="AW93" s="4266"/>
      <c r="AX93" s="1862"/>
      <c r="AY93" s="2232"/>
      <c r="AZ93" s="2232"/>
      <c r="BA93" s="2232"/>
      <c r="BB93" s="2232"/>
      <c r="BC93" s="2232"/>
      <c r="BD93" s="2232"/>
      <c r="BE93" s="2232"/>
      <c r="BF93" s="1862"/>
      <c r="BG93" s="4266"/>
      <c r="BH93" s="4266"/>
      <c r="BI93" s="4266"/>
      <c r="BJ93" s="1862"/>
      <c r="BK93" s="2232"/>
      <c r="BL93" s="2232"/>
      <c r="BM93" s="2232"/>
      <c r="BN93" s="2232"/>
      <c r="BO93" s="2232"/>
      <c r="BP93" s="2232"/>
      <c r="BQ93" s="2232"/>
      <c r="BR93" s="4266"/>
      <c r="BS93" s="4266"/>
      <c r="BT93" s="4266"/>
      <c r="BU93" s="4266"/>
      <c r="BV93" s="4266"/>
      <c r="BW93" s="2232"/>
      <c r="BX93" s="2232"/>
      <c r="BY93" s="2232"/>
      <c r="BZ93" s="2232"/>
      <c r="CA93" s="2232"/>
      <c r="CB93" s="2232"/>
      <c r="CC93" s="2232"/>
      <c r="CD93" s="4266"/>
      <c r="CE93" s="4266"/>
      <c r="CF93" s="4266"/>
      <c r="CG93" s="4266"/>
      <c r="CH93" s="4266"/>
      <c r="CI93" s="2232"/>
      <c r="CJ93" s="2232"/>
      <c r="CK93" s="2232"/>
      <c r="CL93" s="4266"/>
      <c r="CM93" s="4266"/>
      <c r="CN93" s="4266"/>
      <c r="CO93" s="4266"/>
      <c r="CP93" s="1726"/>
      <c r="CQ93" s="2232"/>
      <c r="CR93" s="2233"/>
      <c r="CS93" s="1740"/>
      <c r="CT93" s="4266"/>
      <c r="CU93" s="2059"/>
      <c r="CV93" s="2059"/>
      <c r="CW93" s="1877"/>
      <c r="CX93" s="1726"/>
    </row>
    <row r="94" spans="9:112" s="1885" customFormat="1" ht="17.25" thickBot="1" x14ac:dyDescent="0.25">
      <c r="J94" s="2117"/>
      <c r="K94" s="4289"/>
      <c r="L94" s="2212" t="s">
        <v>154</v>
      </c>
      <c r="M94" s="4299"/>
      <c r="N94" s="2119"/>
      <c r="O94" s="2123"/>
      <c r="P94" s="2299"/>
      <c r="Q94" s="2121"/>
      <c r="R94" s="2121"/>
      <c r="S94" s="2299"/>
      <c r="T94" s="2121"/>
      <c r="U94" s="2121"/>
      <c r="V94" s="3323"/>
      <c r="W94" s="2121"/>
      <c r="X94" s="2121"/>
      <c r="Y94" s="3323"/>
      <c r="Z94" s="2121"/>
      <c r="AA94" s="2121"/>
      <c r="AB94" s="3323"/>
      <c r="AC94" s="2121"/>
      <c r="AD94" s="2121"/>
      <c r="AE94" s="3323"/>
      <c r="AF94" s="2121"/>
      <c r="AG94" s="2121"/>
      <c r="AH94" s="4120"/>
      <c r="AI94" s="4120"/>
      <c r="AJ94" s="2129"/>
      <c r="AK94" s="2213"/>
      <c r="AL94" s="2214"/>
      <c r="AM94" s="2120" t="e">
        <f t="shared" ref="AM94:AS94" si="129">IF(AM89&gt;$AG$91,AM89-AM91,IF(AM89&lt;$AG$91,(IF(AM89&lt;0,-11.29,AM89-AM91))))</f>
        <v>#VALUE!</v>
      </c>
      <c r="AN94" s="2121">
        <f t="shared" si="129"/>
        <v>-11.29</v>
      </c>
      <c r="AO94" s="2121">
        <f t="shared" si="129"/>
        <v>-4.5641072876612814</v>
      </c>
      <c r="AP94" s="2121">
        <f t="shared" si="129"/>
        <v>-11.29</v>
      </c>
      <c r="AQ94" s="2121">
        <f t="shared" si="129"/>
        <v>-11.29</v>
      </c>
      <c r="AR94" s="2121">
        <f t="shared" si="129"/>
        <v>-11.29</v>
      </c>
      <c r="AS94" s="2124">
        <f t="shared" si="129"/>
        <v>-11.29</v>
      </c>
      <c r="AT94" s="1951"/>
      <c r="AU94" s="2120" t="e">
        <f>SUM(AM94:AS94)</f>
        <v>#VALUE!</v>
      </c>
      <c r="AV94" s="2123"/>
      <c r="AW94" s="2124"/>
      <c r="AX94" s="1956"/>
      <c r="AY94" s="2120"/>
      <c r="AZ94" s="2121"/>
      <c r="BA94" s="2121"/>
      <c r="BB94" s="2121"/>
      <c r="BC94" s="2121"/>
      <c r="BD94" s="2121"/>
      <c r="BE94" s="2121"/>
      <c r="BF94" s="1956"/>
      <c r="BG94" s="2120">
        <f>SUM(AY94:BE94)</f>
        <v>0</v>
      </c>
      <c r="BH94" s="2123"/>
      <c r="BI94" s="2124"/>
      <c r="BJ94" s="1955"/>
      <c r="BK94" s="2120"/>
      <c r="BL94" s="2121"/>
      <c r="BM94" s="2121"/>
      <c r="BN94" s="2121"/>
      <c r="BO94" s="2121"/>
      <c r="BP94" s="2121"/>
      <c r="BQ94" s="2121"/>
      <c r="BR94" s="2254"/>
      <c r="BS94" s="2120">
        <f t="shared" si="126"/>
        <v>0</v>
      </c>
      <c r="BT94" s="2123"/>
      <c r="BU94" s="2124"/>
      <c r="BV94" s="1951"/>
      <c r="BW94" s="2120"/>
      <c r="BX94" s="2121"/>
      <c r="BY94" s="2121"/>
      <c r="BZ94" s="2121"/>
      <c r="CA94" s="2121"/>
      <c r="CB94" s="2121"/>
      <c r="CC94" s="2124"/>
      <c r="CD94" s="1951"/>
      <c r="CE94" s="2120">
        <f t="shared" ref="CE94" si="130">SUM(BW94:CC94)</f>
        <v>0</v>
      </c>
      <c r="CF94" s="2123"/>
      <c r="CG94" s="2124"/>
      <c r="CH94" s="1900"/>
      <c r="CI94" s="2120"/>
      <c r="CJ94" s="4196"/>
      <c r="CK94" s="2124"/>
      <c r="CL94" s="2317"/>
      <c r="CM94" s="2215">
        <f>SUM(CI94:CK94)</f>
        <v>0</v>
      </c>
      <c r="CN94" s="2318"/>
      <c r="CO94" s="2118"/>
      <c r="CP94" s="1897"/>
      <c r="CQ94" s="2215" t="e">
        <f>SUM(AM94:AS94)+SUM(AY94:BE94)+SUM(BK94:BQ94)+SUM(BW94:CC94)+SUM(CK94:CK94)</f>
        <v>#VALUE!</v>
      </c>
      <c r="CR94" s="2130" t="e">
        <f>CQ94/O91</f>
        <v>#VALUE!</v>
      </c>
      <c r="CS94" s="1900"/>
      <c r="CT94" s="1900"/>
      <c r="CU94" s="1900"/>
      <c r="CV94" s="2011"/>
    </row>
    <row r="95" spans="9:112" s="1756" customFormat="1" ht="17.25" thickBot="1" x14ac:dyDescent="0.25">
      <c r="J95" s="1817"/>
      <c r="K95" s="1817"/>
      <c r="L95" s="1817"/>
      <c r="M95" s="1817"/>
      <c r="N95" s="1817"/>
      <c r="O95" s="4280"/>
      <c r="P95" s="4280"/>
      <c r="Q95" s="4280"/>
      <c r="R95" s="4280"/>
      <c r="S95" s="4280"/>
      <c r="T95" s="4280"/>
      <c r="U95" s="4280"/>
      <c r="V95" s="4280"/>
      <c r="W95" s="4280"/>
      <c r="X95" s="4280"/>
      <c r="Y95" s="4280"/>
      <c r="Z95" s="4280"/>
      <c r="AA95" s="4280"/>
      <c r="AB95" s="4280"/>
      <c r="AC95" s="4280"/>
      <c r="AD95" s="4280"/>
      <c r="AE95" s="4280"/>
      <c r="AF95" s="4280"/>
      <c r="AG95" s="4280"/>
      <c r="AH95" s="4280"/>
      <c r="AI95" s="4280"/>
      <c r="AJ95" s="1818"/>
      <c r="AK95" s="2216"/>
      <c r="AL95" s="2055"/>
      <c r="AM95" s="4280"/>
      <c r="AN95" s="4280"/>
      <c r="AO95" s="4280"/>
      <c r="AP95" s="4280"/>
      <c r="AQ95" s="4280"/>
      <c r="AR95" s="4280"/>
      <c r="AS95" s="4280"/>
      <c r="AT95" s="4280"/>
      <c r="AU95" s="4280"/>
      <c r="AV95" s="4280"/>
      <c r="AW95" s="4280"/>
      <c r="AX95" s="4288"/>
      <c r="AY95" s="4280"/>
      <c r="AZ95" s="4280"/>
      <c r="BA95" s="4280"/>
      <c r="BB95" s="4280"/>
      <c r="BC95" s="4280"/>
      <c r="BD95" s="4280"/>
      <c r="BE95" s="4280"/>
      <c r="BF95" s="4288"/>
      <c r="BG95" s="4280"/>
      <c r="BH95" s="4280"/>
      <c r="BI95" s="4280"/>
      <c r="BJ95" s="4288"/>
      <c r="BK95" s="4280"/>
      <c r="BL95" s="4280"/>
      <c r="BM95" s="4280"/>
      <c r="BN95" s="4280"/>
      <c r="BO95" s="4280"/>
      <c r="BP95" s="4280"/>
      <c r="BQ95" s="4280"/>
      <c r="BR95" s="4280"/>
      <c r="BS95" s="4280"/>
      <c r="BT95" s="4280"/>
      <c r="BU95" s="4280"/>
      <c r="BV95" s="4280"/>
      <c r="BW95" s="4280"/>
      <c r="BX95" s="4280"/>
      <c r="BY95" s="4280"/>
      <c r="BZ95" s="4280"/>
      <c r="CA95" s="4280"/>
      <c r="CB95" s="4280"/>
      <c r="CC95" s="4280"/>
      <c r="CD95" s="4280"/>
      <c r="CE95" s="4280"/>
      <c r="CF95" s="4280"/>
      <c r="CG95" s="4280"/>
      <c r="CH95" s="4280"/>
      <c r="CI95" s="4280"/>
      <c r="CJ95" s="4280"/>
      <c r="CK95" s="4280"/>
      <c r="CL95" s="4280"/>
      <c r="CM95" s="4280"/>
      <c r="CN95" s="4280"/>
      <c r="CO95" s="4280"/>
      <c r="CP95" s="4288"/>
      <c r="CQ95" s="4280"/>
      <c r="CR95" s="1830"/>
      <c r="CS95" s="4261"/>
      <c r="CT95" s="4261"/>
      <c r="CU95" s="4261"/>
      <c r="CV95" s="1817"/>
    </row>
    <row r="96" spans="9:112" s="1860" customFormat="1" x14ac:dyDescent="0.2">
      <c r="J96" s="4649"/>
      <c r="K96" s="4303"/>
      <c r="L96" s="4647" t="s">
        <v>213</v>
      </c>
      <c r="M96" s="2011"/>
      <c r="N96" s="1861"/>
      <c r="O96" s="4645">
        <f>L56</f>
        <v>17240.824999999997</v>
      </c>
      <c r="P96" s="2299"/>
      <c r="Q96" s="2657"/>
      <c r="R96" s="2657"/>
      <c r="S96" s="2299"/>
      <c r="T96" s="2657"/>
      <c r="U96" s="2657"/>
      <c r="V96" s="2287"/>
      <c r="W96" s="2657"/>
      <c r="X96" s="2657"/>
      <c r="Y96" s="2287"/>
      <c r="Z96" s="2657"/>
      <c r="AA96" s="2658"/>
      <c r="AB96" s="2287"/>
      <c r="AC96" s="2659"/>
      <c r="AD96" s="2660"/>
      <c r="AE96" s="2287"/>
      <c r="AF96" s="4161"/>
      <c r="AG96" s="4643">
        <f>O96/31</f>
        <v>556.15564516129018</v>
      </c>
      <c r="AH96" s="4133"/>
      <c r="AI96" s="4133"/>
      <c r="AJ96" s="4641">
        <f>AG96*20%</f>
        <v>111.23112903225804</v>
      </c>
      <c r="AK96" s="2216"/>
      <c r="AL96" s="2055"/>
      <c r="AM96" s="4628" t="e">
        <f>IF(AM60&gt;0,"0.000",AM60)</f>
        <v>#VALUE!</v>
      </c>
      <c r="AN96" s="4630" t="str">
        <f t="shared" ref="AN96:AS96" si="131">IF(AN60&gt;0,"0.000",AN60)</f>
        <v>0.000</v>
      </c>
      <c r="AO96" s="4630" t="str">
        <f t="shared" si="131"/>
        <v>0.000</v>
      </c>
      <c r="AP96" s="4630" t="str">
        <f t="shared" si="131"/>
        <v>0.000</v>
      </c>
      <c r="AQ96" s="4630" t="str">
        <f t="shared" si="131"/>
        <v>0.000</v>
      </c>
      <c r="AR96" s="4630" t="str">
        <f t="shared" si="131"/>
        <v>0.000</v>
      </c>
      <c r="AS96" s="4632" t="str">
        <f t="shared" si="131"/>
        <v>0.000</v>
      </c>
      <c r="AT96" s="4266"/>
      <c r="AU96" s="4628" t="e">
        <f t="shared" si="55"/>
        <v>#VALUE!</v>
      </c>
      <c r="AV96" s="4630"/>
      <c r="AW96" s="4632"/>
      <c r="AX96" s="1862"/>
      <c r="AY96" s="4628">
        <f t="shared" ref="AY96:BE96" si="132">IF(AY60&gt;0,"0.000",AY60)</f>
        <v>0</v>
      </c>
      <c r="AZ96" s="4630">
        <f t="shared" si="132"/>
        <v>0</v>
      </c>
      <c r="BA96" s="4630">
        <f t="shared" si="132"/>
        <v>0</v>
      </c>
      <c r="BB96" s="4630">
        <f t="shared" si="132"/>
        <v>0</v>
      </c>
      <c r="BC96" s="4630">
        <f t="shared" si="132"/>
        <v>0</v>
      </c>
      <c r="BD96" s="4630">
        <f t="shared" si="132"/>
        <v>0</v>
      </c>
      <c r="BE96" s="4632">
        <f t="shared" si="132"/>
        <v>0</v>
      </c>
      <c r="BF96" s="1862"/>
      <c r="BG96" s="4628">
        <f t="shared" ref="BG96:BG101" si="133">SUM(AY96:BE96)</f>
        <v>0</v>
      </c>
      <c r="BH96" s="4630"/>
      <c r="BI96" s="4632"/>
      <c r="BJ96" s="1862"/>
      <c r="BK96" s="4628">
        <f t="shared" ref="BK96:BQ96" si="134">IF(BK60&gt;0,"0.000",BK60)</f>
        <v>0</v>
      </c>
      <c r="BL96" s="4630">
        <f t="shared" si="134"/>
        <v>0</v>
      </c>
      <c r="BM96" s="4630">
        <f t="shared" si="134"/>
        <v>0</v>
      </c>
      <c r="BN96" s="4630">
        <f t="shared" si="134"/>
        <v>0</v>
      </c>
      <c r="BO96" s="4630">
        <f t="shared" si="134"/>
        <v>0</v>
      </c>
      <c r="BP96" s="4630">
        <f t="shared" si="134"/>
        <v>0</v>
      </c>
      <c r="BQ96" s="4632">
        <f t="shared" si="134"/>
        <v>0</v>
      </c>
      <c r="BR96" s="4266"/>
      <c r="BS96" s="4628">
        <f t="shared" ref="BS96:BS101" si="135">SUM(BK96:BQ96)</f>
        <v>0</v>
      </c>
      <c r="BT96" s="4630"/>
      <c r="BU96" s="4632"/>
      <c r="BV96" s="4266"/>
      <c r="BW96" s="4628">
        <f t="shared" ref="BW96:CC96" si="136">IF(BW60&gt;0,"0.000",BW60)</f>
        <v>0</v>
      </c>
      <c r="BX96" s="4630">
        <f t="shared" si="136"/>
        <v>0</v>
      </c>
      <c r="BY96" s="4630">
        <f t="shared" si="136"/>
        <v>0</v>
      </c>
      <c r="BZ96" s="4630">
        <f t="shared" si="136"/>
        <v>0</v>
      </c>
      <c r="CA96" s="4630">
        <f t="shared" si="136"/>
        <v>0</v>
      </c>
      <c r="CB96" s="4630">
        <f t="shared" si="136"/>
        <v>0</v>
      </c>
      <c r="CC96" s="4632">
        <f t="shared" si="136"/>
        <v>0</v>
      </c>
      <c r="CD96" s="4266"/>
      <c r="CE96" s="4628">
        <f t="shared" ref="CE96:CE101" si="137">SUM(BW96:CC96)</f>
        <v>0</v>
      </c>
      <c r="CF96" s="4630"/>
      <c r="CG96" s="4632"/>
      <c r="CH96" s="4266"/>
      <c r="CI96" s="4670">
        <f t="shared" ref="CI96" si="138">IF(CI60&gt;0,"0.000",CI60)</f>
        <v>0</v>
      </c>
      <c r="CJ96" s="2964"/>
      <c r="CK96" s="4674">
        <f>IF(CK60&gt;0,"0.000",CK60)</f>
        <v>0</v>
      </c>
      <c r="CL96" s="4266"/>
      <c r="CM96" s="4628">
        <f>SUM(CI96:CK96)</f>
        <v>0</v>
      </c>
      <c r="CN96" s="4630"/>
      <c r="CO96" s="4632"/>
      <c r="CP96" s="1726"/>
      <c r="CQ96" s="4628" t="e">
        <f>SUM(AM96:AS96)+SUM(AY96:BE96)+SUM(BK96:BQ96)+SUM(BW96:CC96)+SUM(CK96:CK96)</f>
        <v>#VALUE!</v>
      </c>
      <c r="CR96" s="4632"/>
      <c r="CS96" s="1740"/>
      <c r="CT96" s="4266"/>
      <c r="CU96" s="1997"/>
      <c r="CV96" s="1997"/>
      <c r="CW96" s="4265"/>
    </row>
    <row r="97" spans="10:101" s="1946" customFormat="1" ht="17.25" thickBot="1" x14ac:dyDescent="0.25">
      <c r="J97" s="4650"/>
      <c r="K97" s="4304"/>
      <c r="L97" s="4648"/>
      <c r="M97" s="2011"/>
      <c r="N97" s="2011"/>
      <c r="O97" s="4646"/>
      <c r="P97" s="2299"/>
      <c r="Q97" s="2375"/>
      <c r="R97" s="2375"/>
      <c r="S97" s="2299"/>
      <c r="T97" s="2375"/>
      <c r="U97" s="2375"/>
      <c r="V97" s="3323"/>
      <c r="W97" s="2375"/>
      <c r="X97" s="2375"/>
      <c r="Y97" s="3323"/>
      <c r="Z97" s="2375"/>
      <c r="AA97" s="2376"/>
      <c r="AB97" s="3323"/>
      <c r="AC97" s="2377"/>
      <c r="AD97" s="2378"/>
      <c r="AE97" s="3323"/>
      <c r="AF97" s="4159"/>
      <c r="AG97" s="4644">
        <f>O97/29</f>
        <v>0</v>
      </c>
      <c r="AH97" s="4134"/>
      <c r="AI97" s="4134"/>
      <c r="AJ97" s="4642"/>
      <c r="AK97" s="2213"/>
      <c r="AL97" s="2214"/>
      <c r="AM97" s="4629"/>
      <c r="AN97" s="4631"/>
      <c r="AO97" s="4631"/>
      <c r="AP97" s="4631"/>
      <c r="AQ97" s="4631"/>
      <c r="AR97" s="4631"/>
      <c r="AS97" s="4633"/>
      <c r="AT97" s="4263"/>
      <c r="AU97" s="4629"/>
      <c r="AV97" s="4631"/>
      <c r="AW97" s="4633"/>
      <c r="AX97" s="1897"/>
      <c r="AY97" s="4629"/>
      <c r="AZ97" s="4631"/>
      <c r="BA97" s="4631"/>
      <c r="BB97" s="4631"/>
      <c r="BC97" s="4631"/>
      <c r="BD97" s="4631"/>
      <c r="BE97" s="4633"/>
      <c r="BF97" s="1897"/>
      <c r="BG97" s="4629"/>
      <c r="BH97" s="4631"/>
      <c r="BI97" s="4633"/>
      <c r="BJ97" s="1897"/>
      <c r="BK97" s="4629"/>
      <c r="BL97" s="4631"/>
      <c r="BM97" s="4631"/>
      <c r="BN97" s="4631"/>
      <c r="BO97" s="4631"/>
      <c r="BP97" s="4631"/>
      <c r="BQ97" s="4633"/>
      <c r="BR97" s="4263"/>
      <c r="BS97" s="4629"/>
      <c r="BT97" s="4631"/>
      <c r="BU97" s="4633"/>
      <c r="BV97" s="4263"/>
      <c r="BW97" s="4629"/>
      <c r="BX97" s="4631"/>
      <c r="BY97" s="4631"/>
      <c r="BZ97" s="4631"/>
      <c r="CA97" s="4631"/>
      <c r="CB97" s="4631"/>
      <c r="CC97" s="4633"/>
      <c r="CD97" s="4263"/>
      <c r="CE97" s="4629"/>
      <c r="CF97" s="4631"/>
      <c r="CG97" s="4633"/>
      <c r="CH97" s="4263"/>
      <c r="CI97" s="4671"/>
      <c r="CJ97" s="2965"/>
      <c r="CK97" s="4675"/>
      <c r="CL97" s="4263"/>
      <c r="CM97" s="4629"/>
      <c r="CN97" s="4631"/>
      <c r="CO97" s="4633"/>
      <c r="CP97" s="1885"/>
      <c r="CQ97" s="4629"/>
      <c r="CR97" s="4633"/>
      <c r="CS97" s="1900"/>
      <c r="CT97" s="4263"/>
      <c r="CU97" s="2010"/>
      <c r="CV97" s="2010"/>
      <c r="CW97" s="4262"/>
    </row>
    <row r="98" spans="10:101" s="1860" customFormat="1" ht="5.25" customHeight="1" thickBot="1" x14ac:dyDescent="0.25">
      <c r="J98" s="1861"/>
      <c r="K98" s="1861"/>
      <c r="L98" s="1861"/>
      <c r="M98" s="1861"/>
      <c r="N98" s="1861"/>
      <c r="O98" s="4280"/>
      <c r="P98" s="4280"/>
      <c r="Q98" s="2367"/>
      <c r="R98" s="2367"/>
      <c r="S98" s="4280"/>
      <c r="T98" s="2367"/>
      <c r="U98" s="2367"/>
      <c r="V98" s="4280"/>
      <c r="W98" s="2367"/>
      <c r="X98" s="2367"/>
      <c r="Y98" s="4280"/>
      <c r="Z98" s="2367"/>
      <c r="AA98" s="2368"/>
      <c r="AB98" s="4280"/>
      <c r="AC98" s="2369"/>
      <c r="AD98" s="2370"/>
      <c r="AE98" s="4280"/>
      <c r="AF98" s="4280"/>
      <c r="AG98" s="4280"/>
      <c r="AH98" s="4280"/>
      <c r="AI98" s="4280"/>
      <c r="AJ98" s="1818"/>
      <c r="AK98" s="2055"/>
      <c r="AL98" s="2055"/>
      <c r="AM98" s="4266"/>
      <c r="AN98" s="4266"/>
      <c r="AO98" s="4266"/>
      <c r="AP98" s="4266"/>
      <c r="AQ98" s="4266"/>
      <c r="AR98" s="4266"/>
      <c r="AS98" s="4266"/>
      <c r="AT98" s="4266"/>
      <c r="AU98" s="4266"/>
      <c r="AV98" s="4266"/>
      <c r="AW98" s="4266"/>
      <c r="AX98" s="1862"/>
      <c r="AY98" s="4266"/>
      <c r="AZ98" s="4266"/>
      <c r="BA98" s="4266"/>
      <c r="BB98" s="4266"/>
      <c r="BC98" s="4266"/>
      <c r="BD98" s="4266"/>
      <c r="BE98" s="4266"/>
      <c r="BF98" s="1862"/>
      <c r="BG98" s="4266"/>
      <c r="BH98" s="4266"/>
      <c r="BI98" s="4266"/>
      <c r="BJ98" s="1862"/>
      <c r="BK98" s="4266"/>
      <c r="BL98" s="4266"/>
      <c r="BM98" s="4266"/>
      <c r="BN98" s="4266"/>
      <c r="BO98" s="4266"/>
      <c r="BP98" s="4266"/>
      <c r="BQ98" s="4266"/>
      <c r="BR98" s="4266"/>
      <c r="BS98" s="4266"/>
      <c r="BT98" s="4266"/>
      <c r="BU98" s="4266"/>
      <c r="BV98" s="4266"/>
      <c r="BW98" s="4266"/>
      <c r="BX98" s="4266"/>
      <c r="BY98" s="4266"/>
      <c r="BZ98" s="4266"/>
      <c r="CA98" s="4266"/>
      <c r="CB98" s="4266"/>
      <c r="CC98" s="4266"/>
      <c r="CD98" s="4266"/>
      <c r="CE98" s="4266"/>
      <c r="CF98" s="4266"/>
      <c r="CG98" s="4266"/>
      <c r="CH98" s="4266"/>
      <c r="CI98" s="4266"/>
      <c r="CJ98" s="4266"/>
      <c r="CK98" s="4266"/>
      <c r="CL98" s="4266"/>
      <c r="CM98" s="4266"/>
      <c r="CN98" s="4266"/>
      <c r="CO98" s="4266"/>
      <c r="CQ98" s="4266"/>
      <c r="CR98" s="4266"/>
      <c r="CS98" s="1861"/>
      <c r="CT98" s="4266"/>
      <c r="CU98" s="1997"/>
      <c r="CV98" s="1997"/>
      <c r="CW98" s="4265"/>
    </row>
    <row r="99" spans="10:101" s="1726" customFormat="1" x14ac:dyDescent="0.2">
      <c r="J99" s="2655"/>
      <c r="K99" s="4305"/>
      <c r="L99" s="2656" t="s">
        <v>143</v>
      </c>
      <c r="M99" s="1861"/>
      <c r="N99" s="1861"/>
      <c r="O99" s="1771">
        <f>O88</f>
        <v>10002.5</v>
      </c>
      <c r="P99" s="2289"/>
      <c r="Q99" s="2657"/>
      <c r="R99" s="2657"/>
      <c r="S99" s="2289"/>
      <c r="T99" s="2657"/>
      <c r="U99" s="2657"/>
      <c r="V99" s="2287"/>
      <c r="W99" s="2657"/>
      <c r="X99" s="2657"/>
      <c r="Y99" s="2287"/>
      <c r="Z99" s="2657"/>
      <c r="AA99" s="2658"/>
      <c r="AB99" s="2287"/>
      <c r="AC99" s="2659"/>
      <c r="AD99" s="2660"/>
      <c r="AE99" s="2287"/>
      <c r="AF99" s="2275"/>
      <c r="AG99" s="2661">
        <f>O99/31</f>
        <v>322.66129032258067</v>
      </c>
      <c r="AH99" s="4135"/>
      <c r="AI99" s="4135"/>
      <c r="AJ99" s="1773">
        <f>AG99*20%</f>
        <v>64.532258064516142</v>
      </c>
      <c r="AK99" s="2216"/>
      <c r="AL99" s="2055"/>
      <c r="AM99" s="4272" t="e">
        <f>IF(AM89&gt;0,"0.000",AM89)</f>
        <v>#VALUE!</v>
      </c>
      <c r="AN99" s="4274">
        <f>IF(AN89&gt;0,"0.000",AN89)</f>
        <v>-32.913041402496894</v>
      </c>
      <c r="AO99" s="4274" t="str">
        <f t="shared" ref="AO99:AS99" si="139">IF(AO89&gt;0,"0.000",AO89)</f>
        <v>0.000</v>
      </c>
      <c r="AP99" s="4274">
        <f t="shared" si="139"/>
        <v>-10.080541402496898</v>
      </c>
      <c r="AQ99" s="4274">
        <f t="shared" si="139"/>
        <v>-30.513041402496903</v>
      </c>
      <c r="AR99" s="4274">
        <f t="shared" si="139"/>
        <v>-43.978041402496906</v>
      </c>
      <c r="AS99" s="4276">
        <f t="shared" si="139"/>
        <v>-17.007041402496903</v>
      </c>
      <c r="AT99" s="4266"/>
      <c r="AU99" s="4272" t="e">
        <f t="shared" ref="AU99:AU101" si="140">SUM(AM99:AS99)</f>
        <v>#VALUE!</v>
      </c>
      <c r="AV99" s="4274"/>
      <c r="AW99" s="4276"/>
      <c r="AX99" s="1862"/>
      <c r="AY99" s="4272">
        <f t="shared" ref="AY99:BE99" si="141">IF(AY89&gt;0,"0.000",AY89)</f>
        <v>0</v>
      </c>
      <c r="AZ99" s="4274">
        <f t="shared" si="141"/>
        <v>0</v>
      </c>
      <c r="BA99" s="4274">
        <f t="shared" si="141"/>
        <v>0</v>
      </c>
      <c r="BB99" s="4274">
        <f t="shared" si="141"/>
        <v>0</v>
      </c>
      <c r="BC99" s="4274">
        <f t="shared" si="141"/>
        <v>0</v>
      </c>
      <c r="BD99" s="4274">
        <f t="shared" si="141"/>
        <v>0</v>
      </c>
      <c r="BE99" s="4276">
        <f t="shared" si="141"/>
        <v>0</v>
      </c>
      <c r="BF99" s="1862"/>
      <c r="BG99" s="4272">
        <f>SUM(AY99:BE99)</f>
        <v>0</v>
      </c>
      <c r="BH99" s="4274"/>
      <c r="BI99" s="4276"/>
      <c r="BJ99" s="1862"/>
      <c r="BK99" s="4272">
        <f t="shared" ref="BK99:BQ99" si="142">IF(BK89&gt;0,"0.000",BK89)</f>
        <v>0</v>
      </c>
      <c r="BL99" s="4274">
        <f t="shared" si="142"/>
        <v>0</v>
      </c>
      <c r="BM99" s="4274">
        <f t="shared" si="142"/>
        <v>0</v>
      </c>
      <c r="BN99" s="4274">
        <f t="shared" si="142"/>
        <v>0</v>
      </c>
      <c r="BO99" s="4274">
        <f t="shared" si="142"/>
        <v>0</v>
      </c>
      <c r="BP99" s="4274">
        <f t="shared" si="142"/>
        <v>0</v>
      </c>
      <c r="BQ99" s="4276">
        <f t="shared" si="142"/>
        <v>0</v>
      </c>
      <c r="BR99" s="4266"/>
      <c r="BS99" s="4272">
        <f t="shared" si="135"/>
        <v>0</v>
      </c>
      <c r="BT99" s="4274"/>
      <c r="BU99" s="4276"/>
      <c r="BV99" s="4266"/>
      <c r="BW99" s="4272">
        <f t="shared" ref="BW99:CC99" si="143">IF(BW89&gt;0,"0.000",BW89)</f>
        <v>0</v>
      </c>
      <c r="BX99" s="4274">
        <f t="shared" si="143"/>
        <v>0</v>
      </c>
      <c r="BY99" s="4274">
        <f t="shared" si="143"/>
        <v>0</v>
      </c>
      <c r="BZ99" s="4274">
        <f t="shared" si="143"/>
        <v>0</v>
      </c>
      <c r="CA99" s="4274">
        <f t="shared" si="143"/>
        <v>0</v>
      </c>
      <c r="CB99" s="4274">
        <f t="shared" si="143"/>
        <v>0</v>
      </c>
      <c r="CC99" s="4276">
        <f t="shared" si="143"/>
        <v>0</v>
      </c>
      <c r="CD99" s="4266"/>
      <c r="CE99" s="4272">
        <f t="shared" si="137"/>
        <v>0</v>
      </c>
      <c r="CF99" s="4274"/>
      <c r="CG99" s="4276"/>
      <c r="CH99" s="4266"/>
      <c r="CI99" s="4272">
        <f t="shared" ref="CI99" si="144">IF(CI89&gt;0,"0.000",CI89)</f>
        <v>0</v>
      </c>
      <c r="CJ99" s="2964"/>
      <c r="CK99" s="4276">
        <f>IF(CK89&gt;0,"0.000",CK89)</f>
        <v>0</v>
      </c>
      <c r="CL99" s="4266"/>
      <c r="CM99" s="4272">
        <f>SUM(CI99:CK99)</f>
        <v>0</v>
      </c>
      <c r="CN99" s="4274"/>
      <c r="CO99" s="4276"/>
      <c r="CQ99" s="2663" t="e">
        <f>SUM(AM99:AS99)+SUM(AY99:BE99)+SUM(BK99:BQ99)+SUM(BW99:CC99)+SUM(CK99:CK99)</f>
        <v>#VALUE!</v>
      </c>
      <c r="CR99" s="4276"/>
      <c r="CS99" s="1740"/>
      <c r="CT99" s="4266"/>
      <c r="CU99" s="2246"/>
      <c r="CV99" s="2246"/>
      <c r="CW99" s="2247"/>
    </row>
    <row r="100" spans="10:101" s="1885" customFormat="1" ht="17.25" thickBot="1" x14ac:dyDescent="0.25">
      <c r="J100" s="2703"/>
      <c r="K100" s="2390"/>
      <c r="L100" s="2704" t="s">
        <v>178</v>
      </c>
      <c r="M100" s="2011"/>
      <c r="N100" s="2011"/>
      <c r="O100" s="2705">
        <f>O92</f>
        <v>1750</v>
      </c>
      <c r="P100" s="2299"/>
      <c r="Q100" s="2706"/>
      <c r="R100" s="2706"/>
      <c r="S100" s="2299"/>
      <c r="T100" s="2706"/>
      <c r="U100" s="2706"/>
      <c r="V100" s="3323"/>
      <c r="W100" s="2706"/>
      <c r="X100" s="2706"/>
      <c r="Y100" s="3323"/>
      <c r="Z100" s="2706"/>
      <c r="AA100" s="2707"/>
      <c r="AB100" s="3323"/>
      <c r="AC100" s="2708"/>
      <c r="AD100" s="2709"/>
      <c r="AE100" s="3323"/>
      <c r="AF100" s="2884"/>
      <c r="AG100" s="4281">
        <f>O100/31</f>
        <v>56.451612903225808</v>
      </c>
      <c r="AH100" s="4136"/>
      <c r="AI100" s="4136"/>
      <c r="AJ100" s="2711">
        <f>AG100*20%</f>
        <v>11.290322580645162</v>
      </c>
      <c r="AK100" s="2213"/>
      <c r="AL100" s="2214"/>
      <c r="AM100" s="2244" t="e">
        <f>IF(AM94&gt;0,"0.000",AM94)</f>
        <v>#VALUE!</v>
      </c>
      <c r="AN100" s="1898">
        <f t="shared" ref="AN100:AS100" si="145">IF(AN94&gt;0,"0.000",AN94)</f>
        <v>-11.29</v>
      </c>
      <c r="AO100" s="1898">
        <f t="shared" si="145"/>
        <v>-4.5641072876612814</v>
      </c>
      <c r="AP100" s="1898">
        <f t="shared" si="145"/>
        <v>-11.29</v>
      </c>
      <c r="AQ100" s="1898">
        <f t="shared" si="145"/>
        <v>-11.29</v>
      </c>
      <c r="AR100" s="1898">
        <f t="shared" si="145"/>
        <v>-11.29</v>
      </c>
      <c r="AS100" s="2245">
        <f t="shared" si="145"/>
        <v>-11.29</v>
      </c>
      <c r="AT100" s="4263"/>
      <c r="AU100" s="2244" t="e">
        <f t="shared" si="140"/>
        <v>#VALUE!</v>
      </c>
      <c r="AV100" s="1898"/>
      <c r="AW100" s="2245"/>
      <c r="AX100" s="1897"/>
      <c r="AY100" s="2244">
        <f t="shared" ref="AY100:BE100" si="146">IF(AY94&gt;0,"0.000",AY94)</f>
        <v>0</v>
      </c>
      <c r="AZ100" s="1898">
        <f t="shared" si="146"/>
        <v>0</v>
      </c>
      <c r="BA100" s="1898">
        <f t="shared" si="146"/>
        <v>0</v>
      </c>
      <c r="BB100" s="1898">
        <f t="shared" si="146"/>
        <v>0</v>
      </c>
      <c r="BC100" s="1898">
        <f t="shared" si="146"/>
        <v>0</v>
      </c>
      <c r="BD100" s="1898">
        <f t="shared" si="146"/>
        <v>0</v>
      </c>
      <c r="BE100" s="2245">
        <f t="shared" si="146"/>
        <v>0</v>
      </c>
      <c r="BF100" s="1897"/>
      <c r="BG100" s="2244">
        <f t="shared" si="133"/>
        <v>0</v>
      </c>
      <c r="BH100" s="1898"/>
      <c r="BI100" s="2245"/>
      <c r="BJ100" s="1897"/>
      <c r="BK100" s="2244">
        <f t="shared" ref="BK100:BQ100" si="147">IF(BK94&gt;0,"0.000",BK94)</f>
        <v>0</v>
      </c>
      <c r="BL100" s="1898">
        <f t="shared" si="147"/>
        <v>0</v>
      </c>
      <c r="BM100" s="1898">
        <f t="shared" si="147"/>
        <v>0</v>
      </c>
      <c r="BN100" s="1898">
        <f t="shared" si="147"/>
        <v>0</v>
      </c>
      <c r="BO100" s="1898">
        <f t="shared" si="147"/>
        <v>0</v>
      </c>
      <c r="BP100" s="1898">
        <f t="shared" si="147"/>
        <v>0</v>
      </c>
      <c r="BQ100" s="2245">
        <f t="shared" si="147"/>
        <v>0</v>
      </c>
      <c r="BR100" s="4263"/>
      <c r="BS100" s="2244">
        <f t="shared" si="135"/>
        <v>0</v>
      </c>
      <c r="BT100" s="1898"/>
      <c r="BU100" s="2245"/>
      <c r="BV100" s="4263"/>
      <c r="BW100" s="2244">
        <f t="shared" ref="BW100:CC100" si="148">IF(BW94&gt;0,"0.000",BW94)</f>
        <v>0</v>
      </c>
      <c r="BX100" s="1898">
        <f t="shared" si="148"/>
        <v>0</v>
      </c>
      <c r="BY100" s="1898">
        <f t="shared" si="148"/>
        <v>0</v>
      </c>
      <c r="BZ100" s="1898">
        <f t="shared" si="148"/>
        <v>0</v>
      </c>
      <c r="CA100" s="1898">
        <f t="shared" si="148"/>
        <v>0</v>
      </c>
      <c r="CB100" s="1898">
        <f t="shared" si="148"/>
        <v>0</v>
      </c>
      <c r="CC100" s="2245">
        <f t="shared" si="148"/>
        <v>0</v>
      </c>
      <c r="CD100" s="4263"/>
      <c r="CE100" s="2244">
        <f t="shared" si="137"/>
        <v>0</v>
      </c>
      <c r="CF100" s="1898"/>
      <c r="CG100" s="2245"/>
      <c r="CH100" s="4263"/>
      <c r="CI100" s="3025">
        <f t="shared" ref="CI100" si="149">IF(CI94&gt;0,"0.000",CI94)</f>
        <v>0</v>
      </c>
      <c r="CJ100" s="2394"/>
      <c r="CK100" s="2245">
        <f>IF(CK94&gt;0,"0.000",CK94)</f>
        <v>0</v>
      </c>
      <c r="CL100" s="4263"/>
      <c r="CM100" s="2244">
        <f>SUM(CI100:CK100)</f>
        <v>0</v>
      </c>
      <c r="CN100" s="1898"/>
      <c r="CO100" s="2245"/>
      <c r="CQ100" s="2244" t="e">
        <f>SUM(AM100:AS100)+SUM(AY100:BE100)+SUM(BK100:BQ100)+SUM(BW100:CC100)+SUM(CK100:CK100)</f>
        <v>#VALUE!</v>
      </c>
      <c r="CR100" s="2245"/>
      <c r="CS100" s="1900"/>
      <c r="CT100" s="4263"/>
      <c r="CU100" s="2251"/>
      <c r="CV100" s="2251"/>
      <c r="CW100" s="2252"/>
    </row>
    <row r="101" spans="10:101" s="1726" customFormat="1" ht="17.25" thickBot="1" x14ac:dyDescent="0.25">
      <c r="J101" s="2355"/>
      <c r="K101" s="4306"/>
      <c r="L101" s="2356" t="s">
        <v>272</v>
      </c>
      <c r="M101" s="1861"/>
      <c r="N101" s="1861"/>
      <c r="O101" s="2664">
        <f>O99+O100</f>
        <v>11752.5</v>
      </c>
      <c r="P101" s="4358"/>
      <c r="Q101" s="2665"/>
      <c r="R101" s="2665"/>
      <c r="S101" s="4358"/>
      <c r="T101" s="2665"/>
      <c r="U101" s="2665"/>
      <c r="V101" s="4362"/>
      <c r="W101" s="2665"/>
      <c r="X101" s="2665"/>
      <c r="Y101" s="4362"/>
      <c r="Z101" s="2665"/>
      <c r="AA101" s="2666"/>
      <c r="AB101" s="4362"/>
      <c r="AC101" s="2667"/>
      <c r="AD101" s="2668"/>
      <c r="AE101" s="4362"/>
      <c r="AF101" s="4160"/>
      <c r="AG101" s="2669">
        <f>AG99+AG100</f>
        <v>379.11290322580646</v>
      </c>
      <c r="AH101" s="4137"/>
      <c r="AI101" s="4137"/>
      <c r="AJ101" s="2670">
        <f>AJ99+AJ100</f>
        <v>75.82258064516131</v>
      </c>
      <c r="AK101" s="2216"/>
      <c r="AL101" s="2055"/>
      <c r="AM101" s="4273" t="e">
        <f>IF(AM94&lt;0,"0.000",AM94)</f>
        <v>#VALUE!</v>
      </c>
      <c r="AN101" s="4275" t="str">
        <f t="shared" ref="AN101:AS101" si="150">IF(AN94&lt;0,"0.000",AN94)</f>
        <v>0.000</v>
      </c>
      <c r="AO101" s="4275" t="str">
        <f t="shared" si="150"/>
        <v>0.000</v>
      </c>
      <c r="AP101" s="4275" t="str">
        <f t="shared" si="150"/>
        <v>0.000</v>
      </c>
      <c r="AQ101" s="4275" t="str">
        <f t="shared" si="150"/>
        <v>0.000</v>
      </c>
      <c r="AR101" s="4275" t="str">
        <f t="shared" si="150"/>
        <v>0.000</v>
      </c>
      <c r="AS101" s="4277" t="str">
        <f t="shared" si="150"/>
        <v>0.000</v>
      </c>
      <c r="AT101" s="4266"/>
      <c r="AU101" s="4273" t="e">
        <f t="shared" si="140"/>
        <v>#VALUE!</v>
      </c>
      <c r="AV101" s="4275"/>
      <c r="AW101" s="4277"/>
      <c r="AX101" s="1862"/>
      <c r="AY101" s="4273">
        <f t="shared" ref="AY101:BE101" si="151">IF(AY94&lt;0,"0.000",AY94)</f>
        <v>0</v>
      </c>
      <c r="AZ101" s="4275">
        <f t="shared" si="151"/>
        <v>0</v>
      </c>
      <c r="BA101" s="4275">
        <f t="shared" si="151"/>
        <v>0</v>
      </c>
      <c r="BB101" s="4275">
        <f t="shared" si="151"/>
        <v>0</v>
      </c>
      <c r="BC101" s="4275">
        <f t="shared" si="151"/>
        <v>0</v>
      </c>
      <c r="BD101" s="4275">
        <f t="shared" si="151"/>
        <v>0</v>
      </c>
      <c r="BE101" s="4277">
        <f t="shared" si="151"/>
        <v>0</v>
      </c>
      <c r="BF101" s="1862"/>
      <c r="BG101" s="4273">
        <f t="shared" si="133"/>
        <v>0</v>
      </c>
      <c r="BH101" s="4275"/>
      <c r="BI101" s="4277"/>
      <c r="BJ101" s="1862"/>
      <c r="BK101" s="4273">
        <f t="shared" ref="BK101:BQ101" si="152">IF(BK94&lt;0,"0.000",BK94)</f>
        <v>0</v>
      </c>
      <c r="BL101" s="4275">
        <f t="shared" si="152"/>
        <v>0</v>
      </c>
      <c r="BM101" s="4275">
        <f t="shared" si="152"/>
        <v>0</v>
      </c>
      <c r="BN101" s="4275">
        <f t="shared" si="152"/>
        <v>0</v>
      </c>
      <c r="BO101" s="4275">
        <f t="shared" si="152"/>
        <v>0</v>
      </c>
      <c r="BP101" s="4275">
        <f t="shared" si="152"/>
        <v>0</v>
      </c>
      <c r="BQ101" s="4277">
        <f t="shared" si="152"/>
        <v>0</v>
      </c>
      <c r="BR101" s="4266"/>
      <c r="BS101" s="4273">
        <f t="shared" si="135"/>
        <v>0</v>
      </c>
      <c r="BT101" s="4275"/>
      <c r="BU101" s="4277"/>
      <c r="BV101" s="4266"/>
      <c r="BW101" s="4273">
        <f t="shared" ref="BW101:CC101" si="153">IF(BW94&lt;0,"0.000",BW94)</f>
        <v>0</v>
      </c>
      <c r="BX101" s="4275">
        <f t="shared" si="153"/>
        <v>0</v>
      </c>
      <c r="BY101" s="4275">
        <f t="shared" si="153"/>
        <v>0</v>
      </c>
      <c r="BZ101" s="4275">
        <f t="shared" si="153"/>
        <v>0</v>
      </c>
      <c r="CA101" s="4275">
        <f t="shared" si="153"/>
        <v>0</v>
      </c>
      <c r="CB101" s="4275">
        <f t="shared" si="153"/>
        <v>0</v>
      </c>
      <c r="CC101" s="4277">
        <f t="shared" si="153"/>
        <v>0</v>
      </c>
      <c r="CD101" s="4266"/>
      <c r="CE101" s="4273">
        <f t="shared" si="137"/>
        <v>0</v>
      </c>
      <c r="CF101" s="4275"/>
      <c r="CG101" s="4277"/>
      <c r="CH101" s="4266"/>
      <c r="CI101" s="4273">
        <f t="shared" ref="CI101" si="154">IF(CI94&lt;0,"0.000",CI94)</f>
        <v>0</v>
      </c>
      <c r="CJ101" s="2965"/>
      <c r="CK101" s="4277">
        <f>IF(CK94&lt;0,"0.000",CK94)</f>
        <v>0</v>
      </c>
      <c r="CL101" s="4266"/>
      <c r="CM101" s="4273">
        <f>SUM(CI101:CK101)</f>
        <v>0</v>
      </c>
      <c r="CN101" s="4275"/>
      <c r="CO101" s="4277"/>
      <c r="CQ101" s="4273" t="e">
        <f>SUM(AM101:AS101)+SUM(AY101:BE101)+SUM(BK101:BQ101)+SUM(BW101:CC101)+SUM(CK101:CK101)</f>
        <v>#VALUE!</v>
      </c>
      <c r="CR101" s="4277"/>
      <c r="CS101" s="1740"/>
      <c r="CT101" s="4266"/>
      <c r="CU101" s="2246"/>
      <c r="CV101" s="2246"/>
      <c r="CW101" s="2247"/>
    </row>
    <row r="102" spans="10:101" s="1726" customFormat="1" ht="4.5" customHeight="1" thickBot="1" x14ac:dyDescent="0.25">
      <c r="J102" s="1740"/>
      <c r="K102" s="1740"/>
      <c r="L102" s="1740"/>
      <c r="M102" s="1740"/>
      <c r="N102" s="1861"/>
      <c r="O102" s="1740"/>
      <c r="P102" s="1817"/>
      <c r="Q102" s="1740"/>
      <c r="R102" s="1740"/>
      <c r="S102" s="1817"/>
      <c r="T102" s="1740"/>
      <c r="U102" s="1740"/>
      <c r="V102" s="1817"/>
      <c r="W102" s="1740"/>
      <c r="X102" s="1740"/>
      <c r="Y102" s="1817"/>
      <c r="Z102" s="1740"/>
      <c r="AA102" s="1740"/>
      <c r="AB102" s="1817"/>
      <c r="AC102" s="1740"/>
      <c r="AD102" s="1740"/>
      <c r="AE102" s="1817"/>
      <c r="AF102" s="1740"/>
      <c r="AG102" s="1740"/>
      <c r="AH102" s="1740"/>
      <c r="AI102" s="1740"/>
      <c r="AJ102" s="1997"/>
      <c r="AK102" s="1760"/>
      <c r="AL102" s="4265"/>
      <c r="AM102" s="1740"/>
      <c r="AN102" s="1740"/>
      <c r="AO102" s="1740"/>
      <c r="AP102" s="1740"/>
      <c r="AQ102" s="1740"/>
      <c r="AR102" s="1740"/>
      <c r="AS102" s="1740"/>
      <c r="AT102" s="1861"/>
      <c r="AU102" s="1740"/>
      <c r="AV102" s="1740"/>
      <c r="AW102" s="1740"/>
      <c r="AX102" s="1860"/>
      <c r="AY102" s="1740"/>
      <c r="AZ102" s="1740"/>
      <c r="BA102" s="1740"/>
      <c r="BB102" s="1740"/>
      <c r="BC102" s="1740"/>
      <c r="BD102" s="1740"/>
      <c r="BE102" s="1740"/>
      <c r="BF102" s="1860"/>
      <c r="BG102" s="1740"/>
      <c r="BH102" s="1740"/>
      <c r="BI102" s="1740"/>
      <c r="BJ102" s="1860"/>
      <c r="BK102" s="1740"/>
      <c r="BL102" s="1740"/>
      <c r="BM102" s="1740"/>
      <c r="BN102" s="1740"/>
      <c r="BO102" s="1740"/>
      <c r="BP102" s="1740"/>
      <c r="BQ102" s="1740"/>
      <c r="BR102" s="1861"/>
      <c r="BS102" s="1740"/>
      <c r="BT102" s="1740"/>
      <c r="BU102" s="1740"/>
      <c r="BV102" s="1861"/>
      <c r="BW102" s="1740"/>
      <c r="BX102" s="1740"/>
      <c r="BY102" s="1740"/>
      <c r="BZ102" s="1740"/>
      <c r="CA102" s="1740"/>
      <c r="CB102" s="1740"/>
      <c r="CC102" s="1740"/>
      <c r="CD102" s="1861"/>
      <c r="CE102" s="1740"/>
      <c r="CF102" s="1740"/>
      <c r="CG102" s="1740"/>
      <c r="CH102" s="1740"/>
      <c r="CI102" s="1740"/>
      <c r="CJ102" s="1740"/>
      <c r="CK102" s="1740"/>
      <c r="CL102" s="1740"/>
      <c r="CM102" s="1740"/>
      <c r="CN102" s="1740"/>
      <c r="CO102" s="1740"/>
      <c r="CQ102" s="1740"/>
      <c r="CR102" s="1740"/>
      <c r="CS102" s="1740"/>
      <c r="CT102" s="1740"/>
      <c r="CU102" s="1740"/>
      <c r="CV102" s="1861"/>
    </row>
    <row r="103" spans="10:101" s="1885" customFormat="1" ht="17.25" thickBot="1" x14ac:dyDescent="0.25">
      <c r="J103" s="2117"/>
      <c r="K103" s="4289"/>
      <c r="L103" s="2212"/>
      <c r="M103" s="4299"/>
      <c r="N103" s="2119"/>
      <c r="O103" s="2123">
        <f>SUM(O96:O100)</f>
        <v>28993.324999999997</v>
      </c>
      <c r="P103" s="2299"/>
      <c r="Q103" s="2121"/>
      <c r="R103" s="2121"/>
      <c r="S103" s="2299"/>
      <c r="T103" s="2121"/>
      <c r="U103" s="2121"/>
      <c r="V103" s="3323"/>
      <c r="W103" s="2121"/>
      <c r="X103" s="2121"/>
      <c r="Y103" s="3323"/>
      <c r="Z103" s="2121"/>
      <c r="AA103" s="2121"/>
      <c r="AB103" s="3323"/>
      <c r="AC103" s="2121"/>
      <c r="AD103" s="2121"/>
      <c r="AE103" s="3323"/>
      <c r="AF103" s="2121"/>
      <c r="AG103" s="2121">
        <f>O103/31</f>
        <v>935.26854838709664</v>
      </c>
      <c r="AH103" s="4120"/>
      <c r="AI103" s="4120"/>
      <c r="AJ103" s="2129">
        <f>AG103*20%</f>
        <v>187.05370967741933</v>
      </c>
      <c r="AK103" s="2213"/>
      <c r="AL103" s="2214"/>
      <c r="AM103" s="2120" t="e">
        <f>SUM(AM96:AM101)</f>
        <v>#VALUE!</v>
      </c>
      <c r="AN103" s="2123">
        <f t="shared" ref="AN103:AS103" si="155">SUM(AN96:AN101)</f>
        <v>-44.203041402496893</v>
      </c>
      <c r="AO103" s="2123">
        <f t="shared" si="155"/>
        <v>-4.5641072876612814</v>
      </c>
      <c r="AP103" s="2123">
        <f t="shared" si="155"/>
        <v>-21.370541402496897</v>
      </c>
      <c r="AQ103" s="2123">
        <f t="shared" si="155"/>
        <v>-41.803041402496902</v>
      </c>
      <c r="AR103" s="2123">
        <f t="shared" si="155"/>
        <v>-55.268041402496905</v>
      </c>
      <c r="AS103" s="2124">
        <f t="shared" si="155"/>
        <v>-28.297041402496902</v>
      </c>
      <c r="AT103" s="1951"/>
      <c r="AU103" s="2120" t="e">
        <f>SUM(AM103:AS103)</f>
        <v>#VALUE!</v>
      </c>
      <c r="AV103" s="2123"/>
      <c r="AW103" s="2124"/>
      <c r="AX103" s="1956"/>
      <c r="AY103" s="2120">
        <f t="shared" ref="AY103:BE103" si="156">SUM(AY96:AY101)</f>
        <v>0</v>
      </c>
      <c r="AZ103" s="2123">
        <f t="shared" si="156"/>
        <v>0</v>
      </c>
      <c r="BA103" s="2123">
        <f t="shared" si="156"/>
        <v>0</v>
      </c>
      <c r="BB103" s="2123">
        <f t="shared" si="156"/>
        <v>0</v>
      </c>
      <c r="BC103" s="2123">
        <f t="shared" si="156"/>
        <v>0</v>
      </c>
      <c r="BD103" s="2123">
        <f t="shared" si="156"/>
        <v>0</v>
      </c>
      <c r="BE103" s="2124">
        <f t="shared" si="156"/>
        <v>0</v>
      </c>
      <c r="BF103" s="1956"/>
      <c r="BG103" s="2120">
        <f>SUM(AY103:BE103)</f>
        <v>0</v>
      </c>
      <c r="BH103" s="2123"/>
      <c r="BI103" s="2124"/>
      <c r="BJ103" s="1955"/>
      <c r="BK103" s="2120">
        <f t="shared" ref="BK103:BQ103" si="157">SUM(BK96:BK101)</f>
        <v>0</v>
      </c>
      <c r="BL103" s="2121">
        <f t="shared" si="157"/>
        <v>0</v>
      </c>
      <c r="BM103" s="2121">
        <f t="shared" si="157"/>
        <v>0</v>
      </c>
      <c r="BN103" s="2121">
        <f t="shared" si="157"/>
        <v>0</v>
      </c>
      <c r="BO103" s="2121">
        <f t="shared" si="157"/>
        <v>0</v>
      </c>
      <c r="BP103" s="2121">
        <f t="shared" si="157"/>
        <v>0</v>
      </c>
      <c r="BQ103" s="2124">
        <f t="shared" si="157"/>
        <v>0</v>
      </c>
      <c r="BR103" s="2254"/>
      <c r="BS103" s="2120">
        <f>SUM(BK103:BQ103)</f>
        <v>0</v>
      </c>
      <c r="BT103" s="2123"/>
      <c r="BU103" s="2124"/>
      <c r="BV103" s="1951"/>
      <c r="BW103" s="2120">
        <f t="shared" ref="BW103:CC103" si="158">SUM(BW96:BW101)</f>
        <v>0</v>
      </c>
      <c r="BX103" s="2121">
        <f t="shared" si="158"/>
        <v>0</v>
      </c>
      <c r="BY103" s="2121">
        <f t="shared" si="158"/>
        <v>0</v>
      </c>
      <c r="BZ103" s="2121">
        <f t="shared" si="158"/>
        <v>0</v>
      </c>
      <c r="CA103" s="2121">
        <f t="shared" si="158"/>
        <v>0</v>
      </c>
      <c r="CB103" s="2121">
        <f t="shared" si="158"/>
        <v>0</v>
      </c>
      <c r="CC103" s="2124">
        <f t="shared" si="158"/>
        <v>0</v>
      </c>
      <c r="CD103" s="1951"/>
      <c r="CE103" s="2120">
        <f>SUM(BW103:CC103)</f>
        <v>0</v>
      </c>
      <c r="CF103" s="2123"/>
      <c r="CG103" s="2124"/>
      <c r="CH103" s="1900"/>
      <c r="CI103" s="2120">
        <f t="shared" ref="CI103:CK103" si="159">SUM(CI96:CI101)</f>
        <v>0</v>
      </c>
      <c r="CJ103" s="4196"/>
      <c r="CK103" s="2124">
        <f t="shared" si="159"/>
        <v>0</v>
      </c>
      <c r="CL103" s="2317"/>
      <c r="CM103" s="2215">
        <f>SUM(CI103:CK103)</f>
        <v>0</v>
      </c>
      <c r="CN103" s="2318"/>
      <c r="CO103" s="2118"/>
      <c r="CP103" s="1897"/>
      <c r="CQ103" s="2215" t="e">
        <f>SUM(AM103:AS103)+SUM(AY103:BE103)+SUM(BK103:BQ103)+SUM(BW103:CC103)+SUM(CK103:CK103)</f>
        <v>#VALUE!</v>
      </c>
      <c r="CR103" s="2130"/>
      <c r="CS103" s="1900"/>
      <c r="CT103" s="1900"/>
      <c r="CU103" s="1900"/>
      <c r="CV103" s="2011"/>
    </row>
    <row r="104" spans="10:101" s="1726" customFormat="1" ht="4.5" customHeight="1" thickBot="1" x14ac:dyDescent="0.25">
      <c r="J104" s="1740"/>
      <c r="K104" s="1740"/>
      <c r="L104" s="1740"/>
      <c r="M104" s="1740"/>
      <c r="N104" s="1861"/>
      <c r="O104" s="1740"/>
      <c r="P104" s="1817"/>
      <c r="Q104" s="1740"/>
      <c r="R104" s="1740"/>
      <c r="S104" s="1817"/>
      <c r="T104" s="1740"/>
      <c r="U104" s="1740"/>
      <c r="V104" s="1817"/>
      <c r="W104" s="1740"/>
      <c r="X104" s="1740"/>
      <c r="Y104" s="1817"/>
      <c r="Z104" s="1740"/>
      <c r="AA104" s="1740"/>
      <c r="AB104" s="1817"/>
      <c r="AC104" s="1740"/>
      <c r="AD104" s="1740"/>
      <c r="AE104" s="1817"/>
      <c r="AF104" s="1740"/>
      <c r="AG104" s="1740"/>
      <c r="AH104" s="1740"/>
      <c r="AI104" s="1740"/>
      <c r="AJ104" s="1861"/>
      <c r="AK104" s="1827"/>
      <c r="AL104" s="1810"/>
      <c r="AM104" s="1740"/>
      <c r="AN104" s="1740"/>
      <c r="AO104" s="1740"/>
      <c r="AP104" s="1740"/>
      <c r="AQ104" s="1740"/>
      <c r="AR104" s="1740"/>
      <c r="AS104" s="1740"/>
      <c r="AT104" s="1861"/>
      <c r="AU104" s="1740"/>
      <c r="AV104" s="1740"/>
      <c r="AW104" s="1740"/>
      <c r="AX104" s="1860"/>
      <c r="BF104" s="1860"/>
      <c r="BG104" s="1740"/>
      <c r="BH104" s="1740"/>
      <c r="BI104" s="1740"/>
      <c r="BJ104" s="1860"/>
      <c r="BK104" s="1740"/>
      <c r="BL104" s="1740"/>
      <c r="BM104" s="1740"/>
      <c r="BN104" s="1740"/>
      <c r="BO104" s="1740"/>
      <c r="BP104" s="1740"/>
      <c r="BQ104" s="1740"/>
      <c r="BR104" s="1861"/>
      <c r="BS104" s="1740"/>
      <c r="BT104" s="1740"/>
      <c r="BU104" s="1740"/>
      <c r="BV104" s="1861"/>
      <c r="BW104" s="1740"/>
      <c r="BX104" s="1740"/>
      <c r="BY104" s="1740"/>
      <c r="BZ104" s="1740"/>
      <c r="CA104" s="1740"/>
      <c r="CB104" s="1740"/>
      <c r="CC104" s="1740"/>
      <c r="CD104" s="1861"/>
      <c r="CE104" s="1740"/>
      <c r="CF104" s="1740"/>
      <c r="CG104" s="1740"/>
      <c r="CH104" s="1740"/>
      <c r="CI104" s="1740"/>
      <c r="CJ104" s="1740"/>
      <c r="CK104" s="1740"/>
      <c r="CL104" s="1740"/>
      <c r="CM104" s="1740"/>
      <c r="CN104" s="1740"/>
      <c r="CO104" s="1740"/>
      <c r="CQ104" s="1740"/>
      <c r="CR104" s="1740"/>
      <c r="CS104" s="1740"/>
      <c r="CT104" s="1740"/>
      <c r="CU104" s="1740"/>
      <c r="CV104" s="1861"/>
    </row>
    <row r="105" spans="10:101" s="1726" customFormat="1" ht="17.25" thickBot="1" x14ac:dyDescent="0.25">
      <c r="J105" s="2049"/>
      <c r="K105" s="4297"/>
      <c r="L105" s="2050"/>
      <c r="M105" s="4356"/>
      <c r="N105" s="2051"/>
      <c r="O105" s="2052">
        <f>O103*20%</f>
        <v>5798.665</v>
      </c>
      <c r="P105" s="2289"/>
      <c r="Q105" s="2053"/>
      <c r="R105" s="2053"/>
      <c r="S105" s="2289"/>
      <c r="T105" s="2053"/>
      <c r="U105" s="2053"/>
      <c r="V105" s="2287"/>
      <c r="W105" s="2053"/>
      <c r="X105" s="2053"/>
      <c r="Y105" s="2287"/>
      <c r="Z105" s="2053"/>
      <c r="AA105" s="2053"/>
      <c r="AB105" s="2287"/>
      <c r="AC105" s="2053"/>
      <c r="AD105" s="2053"/>
      <c r="AE105" s="2287"/>
      <c r="AF105" s="2053"/>
      <c r="AG105" s="2053"/>
      <c r="AH105" s="4127"/>
      <c r="AI105" s="4127"/>
      <c r="AJ105" s="2253"/>
      <c r="AK105" s="2216"/>
      <c r="AL105" s="2055"/>
      <c r="AM105" s="2056" t="e">
        <f>AM103*100/20</f>
        <v>#VALUE!</v>
      </c>
      <c r="AN105" s="2052">
        <f>AN103*100/20</f>
        <v>-221.01520701248447</v>
      </c>
      <c r="AO105" s="2052">
        <f t="shared" ref="AO105:AS105" si="160">AO103*100/20</f>
        <v>-22.820536438306409</v>
      </c>
      <c r="AP105" s="2052">
        <f t="shared" si="160"/>
        <v>-106.85270701248449</v>
      </c>
      <c r="AQ105" s="2052">
        <f t="shared" si="160"/>
        <v>-209.0152070124845</v>
      </c>
      <c r="AR105" s="2052">
        <f t="shared" si="160"/>
        <v>-276.34020701248448</v>
      </c>
      <c r="AS105" s="2192">
        <f t="shared" si="160"/>
        <v>-141.48520701248452</v>
      </c>
      <c r="AT105" s="2300"/>
      <c r="AU105" s="2056" t="e">
        <f>SUM(AM105:AS105)</f>
        <v>#VALUE!</v>
      </c>
      <c r="AV105" s="2052"/>
      <c r="AW105" s="2057"/>
      <c r="AX105" s="4288"/>
      <c r="AY105" s="2673">
        <f t="shared" ref="AY105:BE105" si="161">AY103*100/20</f>
        <v>0</v>
      </c>
      <c r="AZ105" s="2674">
        <f t="shared" si="161"/>
        <v>0</v>
      </c>
      <c r="BA105" s="2674">
        <f t="shared" si="161"/>
        <v>0</v>
      </c>
      <c r="BB105" s="2052">
        <f t="shared" si="161"/>
        <v>0</v>
      </c>
      <c r="BC105" s="2674">
        <f t="shared" si="161"/>
        <v>0</v>
      </c>
      <c r="BD105" s="2674">
        <f t="shared" si="161"/>
        <v>0</v>
      </c>
      <c r="BE105" s="2675">
        <f t="shared" si="161"/>
        <v>0</v>
      </c>
      <c r="BF105" s="4288"/>
      <c r="BG105" s="2056">
        <f>SUM(AY105:BE105)</f>
        <v>0</v>
      </c>
      <c r="BH105" s="2052"/>
      <c r="BI105" s="2057"/>
      <c r="BJ105" s="1764"/>
      <c r="BK105" s="2056">
        <f>BK103*100/20</f>
        <v>0</v>
      </c>
      <c r="BL105" s="2053">
        <f>BL103*100/20</f>
        <v>0</v>
      </c>
      <c r="BM105" s="2053">
        <f t="shared" ref="BM105:BN105" si="162">BM103*100/30</f>
        <v>0</v>
      </c>
      <c r="BN105" s="2053">
        <f t="shared" si="162"/>
        <v>0</v>
      </c>
      <c r="BO105" s="2053">
        <f t="shared" ref="BO105:BQ105" si="163">BO103*100/20</f>
        <v>0</v>
      </c>
      <c r="BP105" s="2053">
        <f t="shared" si="163"/>
        <v>0</v>
      </c>
      <c r="BQ105" s="2057">
        <f t="shared" si="163"/>
        <v>0</v>
      </c>
      <c r="BR105" s="2300"/>
      <c r="BS105" s="2056">
        <f>SUM(BK105:BQ105)</f>
        <v>0</v>
      </c>
      <c r="BT105" s="2052"/>
      <c r="BU105" s="2057"/>
      <c r="BV105" s="4280"/>
      <c r="BW105" s="2056">
        <f t="shared" ref="BW105:CC105" si="164">BW103*100/30</f>
        <v>0</v>
      </c>
      <c r="BX105" s="2053">
        <f t="shared" si="164"/>
        <v>0</v>
      </c>
      <c r="BY105" s="2053">
        <f t="shared" si="164"/>
        <v>0</v>
      </c>
      <c r="BZ105" s="2053">
        <f t="shared" si="164"/>
        <v>0</v>
      </c>
      <c r="CA105" s="2053">
        <f t="shared" si="164"/>
        <v>0</v>
      </c>
      <c r="CB105" s="2053">
        <f t="shared" si="164"/>
        <v>0</v>
      </c>
      <c r="CC105" s="2057">
        <f t="shared" si="164"/>
        <v>0</v>
      </c>
      <c r="CD105" s="4280"/>
      <c r="CE105" s="2056">
        <f>SUM(BW105:CC105)</f>
        <v>0</v>
      </c>
      <c r="CF105" s="2052"/>
      <c r="CG105" s="2057"/>
      <c r="CH105" s="1740"/>
      <c r="CI105" s="2056">
        <f t="shared" ref="CI105:CK105" si="165">CI103*100/30</f>
        <v>0</v>
      </c>
      <c r="CJ105" s="2963"/>
      <c r="CK105" s="2057">
        <f t="shared" si="165"/>
        <v>0</v>
      </c>
      <c r="CL105" s="2301"/>
      <c r="CM105" s="2058">
        <f>SUM(CI105:CK105)</f>
        <v>0</v>
      </c>
      <c r="CN105" s="2324"/>
      <c r="CO105" s="2190"/>
      <c r="CP105" s="1862"/>
      <c r="CQ105" s="2058" t="e">
        <f>SUM(AM105:AS105)+SUM(AY105:BE105)+SUM(BK105:BQ105)+SUM(BW105:CC105)+SUM(CK105:CK105)</f>
        <v>#VALUE!</v>
      </c>
      <c r="CR105" s="2676" t="e">
        <f>CQ105/CZ23</f>
        <v>#VALUE!</v>
      </c>
      <c r="CS105" s="1740"/>
      <c r="CT105" s="1740"/>
      <c r="CU105" s="1740"/>
      <c r="CV105" s="1861"/>
    </row>
    <row r="107" spans="10:101" ht="20.25" x14ac:dyDescent="0.2">
      <c r="L107" s="2449"/>
      <c r="M107" s="2449"/>
      <c r="N107" s="2450"/>
      <c r="O107" s="2449"/>
      <c r="P107" s="4361"/>
      <c r="Q107" s="4361"/>
      <c r="R107" s="4361"/>
      <c r="S107" s="4361"/>
      <c r="T107" s="2449"/>
      <c r="U107" s="2449"/>
      <c r="V107" s="4361"/>
      <c r="W107" s="2449"/>
      <c r="X107" s="2449"/>
      <c r="Y107" s="4361"/>
      <c r="Z107" s="2449"/>
      <c r="AA107" s="2449"/>
      <c r="AB107" s="4361"/>
      <c r="AC107" s="2449"/>
      <c r="AD107" s="2449"/>
      <c r="AE107" s="4361"/>
      <c r="AF107" s="2449"/>
      <c r="AG107" s="2983">
        <f>AG108/31</f>
        <v>245.16129032258064</v>
      </c>
      <c r="AH107" s="2449">
        <f>AG107/2</f>
        <v>122.58064516129032</v>
      </c>
      <c r="AI107" s="2449"/>
      <c r="AJ107" s="2449"/>
    </row>
    <row r="108" spans="10:101" ht="18" x14ac:dyDescent="0.2">
      <c r="L108" s="2449">
        <f>O108*20%</f>
        <v>9000</v>
      </c>
      <c r="M108" s="2449"/>
      <c r="N108" s="2450"/>
      <c r="O108" s="2449">
        <v>45000</v>
      </c>
      <c r="P108" s="4361"/>
      <c r="Q108" s="4361"/>
      <c r="R108" s="4361"/>
      <c r="S108" s="4361"/>
      <c r="T108" s="2449"/>
      <c r="U108" s="2449"/>
      <c r="V108" s="4361"/>
      <c r="W108" s="2449"/>
      <c r="X108" s="2449"/>
      <c r="Y108" s="4361"/>
      <c r="Z108" s="2449"/>
      <c r="AA108" s="2449"/>
      <c r="AB108" s="4361"/>
      <c r="AC108" s="2449"/>
      <c r="AD108" s="2449"/>
      <c r="AE108" s="4361"/>
      <c r="AF108" s="2449">
        <v>38000</v>
      </c>
      <c r="AG108" s="2449">
        <f>AF108*20%</f>
        <v>7600</v>
      </c>
      <c r="AH108" s="2449"/>
      <c r="AI108" s="2449"/>
      <c r="AJ108" s="2449"/>
      <c r="AO108" s="2255"/>
      <c r="AP108" s="2256"/>
      <c r="AQ108" s="2256"/>
      <c r="AR108" s="2257"/>
      <c r="AS108" s="2257"/>
      <c r="AT108" s="1915"/>
    </row>
    <row r="109" spans="10:101" ht="18" x14ac:dyDescent="0.2">
      <c r="L109" s="3179">
        <f>L108-O56</f>
        <v>5551.8350000000009</v>
      </c>
      <c r="M109" s="3179"/>
      <c r="N109" s="4268"/>
      <c r="O109" s="2771"/>
      <c r="P109" s="3324"/>
      <c r="Q109" s="3324"/>
      <c r="R109" s="3324"/>
      <c r="S109" s="3324"/>
      <c r="T109" s="2771"/>
      <c r="U109" s="2771"/>
      <c r="V109" s="3324"/>
      <c r="W109" s="2771"/>
      <c r="X109" s="2771"/>
      <c r="Y109" s="3324"/>
      <c r="Z109" s="2771"/>
      <c r="AA109" s="2771"/>
      <c r="AB109" s="3324"/>
      <c r="AC109" s="2771"/>
      <c r="AD109" s="2771"/>
      <c r="AE109" s="3324"/>
      <c r="AF109" s="2449">
        <f>AF108/31</f>
        <v>1225.8064516129032</v>
      </c>
      <c r="AG109" s="2449">
        <f>AG108-O56</f>
        <v>4151.8350000000009</v>
      </c>
      <c r="AH109" s="2771"/>
      <c r="AI109" s="2449"/>
      <c r="AJ109" s="2449"/>
      <c r="BL109" s="2257"/>
    </row>
    <row r="110" spans="10:101" ht="18" x14ac:dyDescent="0.2">
      <c r="L110" s="2771">
        <f>L109/2</f>
        <v>2775.9175000000005</v>
      </c>
      <c r="M110" s="2771"/>
      <c r="N110" s="4268"/>
      <c r="O110" s="2771"/>
      <c r="P110" s="3324"/>
      <c r="Q110" s="3324"/>
      <c r="R110" s="3324"/>
      <c r="S110" s="3324"/>
      <c r="T110" s="2771"/>
      <c r="U110" s="2771"/>
      <c r="V110" s="3324"/>
      <c r="W110" s="2771"/>
      <c r="X110" s="2771"/>
      <c r="Y110" s="3324"/>
      <c r="Z110" s="2771"/>
      <c r="AA110" s="2771"/>
      <c r="AB110" s="3324"/>
      <c r="AC110" s="2771"/>
      <c r="AD110" s="2771"/>
      <c r="AE110" s="3324"/>
      <c r="AF110" s="2449">
        <f>AF109/2</f>
        <v>612.90322580645159</v>
      </c>
      <c r="AG110" s="2771">
        <f>AG109/2</f>
        <v>2075.9175000000005</v>
      </c>
      <c r="AH110" s="2450"/>
      <c r="AI110" s="2450"/>
      <c r="AJ110" s="2450"/>
    </row>
    <row r="111" spans="10:101" ht="18" x14ac:dyDescent="0.2">
      <c r="AJ111" s="2449"/>
    </row>
  </sheetData>
  <mergeCells count="140">
    <mergeCell ref="BK1:BQ2"/>
    <mergeCell ref="DH1:DH2"/>
    <mergeCell ref="DI1:DI2"/>
    <mergeCell ref="L3:L9"/>
    <mergeCell ref="AV3:AW4"/>
    <mergeCell ref="CU3:CW4"/>
    <mergeCell ref="CY11:CZ11"/>
    <mergeCell ref="CR1:CR14"/>
    <mergeCell ref="CT1:CW2"/>
    <mergeCell ref="DC1:DC2"/>
    <mergeCell ref="DD1:DD2"/>
    <mergeCell ref="DE1:DE2"/>
    <mergeCell ref="DG1:DG2"/>
    <mergeCell ref="CZ13:CZ14"/>
    <mergeCell ref="DA13:DA14"/>
    <mergeCell ref="BS1:BU2"/>
    <mergeCell ref="BW1:CC2"/>
    <mergeCell ref="CE1:CG2"/>
    <mergeCell ref="CI1:CK2"/>
    <mergeCell ref="CM1:CO2"/>
    <mergeCell ref="CQ1:CQ14"/>
    <mergeCell ref="L1:AJ2"/>
    <mergeCell ref="AM1:AS2"/>
    <mergeCell ref="AU1:AW2"/>
    <mergeCell ref="AY1:BE2"/>
    <mergeCell ref="BS19:BU19"/>
    <mergeCell ref="CE19:CG19"/>
    <mergeCell ref="CM19:CO19"/>
    <mergeCell ref="CT61:CU61"/>
    <mergeCell ref="CW62:CW71"/>
    <mergeCell ref="CY62:CY71"/>
    <mergeCell ref="O17:O18"/>
    <mergeCell ref="AF17:AG18"/>
    <mergeCell ref="AH17:AI17"/>
    <mergeCell ref="AJ17:AJ18"/>
    <mergeCell ref="AU19:AW19"/>
    <mergeCell ref="BG19:BI19"/>
    <mergeCell ref="T34:U34"/>
    <mergeCell ref="W34:X34"/>
    <mergeCell ref="Z34:AA34"/>
    <mergeCell ref="AC34:AD34"/>
    <mergeCell ref="Z38:AA38"/>
    <mergeCell ref="AC38:AD38"/>
    <mergeCell ref="T15:AD15"/>
    <mergeCell ref="T36:U36"/>
    <mergeCell ref="W36:X36"/>
    <mergeCell ref="BG1:BI2"/>
    <mergeCell ref="Z36:AA36"/>
    <mergeCell ref="CW75:CW84"/>
    <mergeCell ref="J96:J97"/>
    <mergeCell ref="L96:L97"/>
    <mergeCell ref="O96:O97"/>
    <mergeCell ref="AG96:AG97"/>
    <mergeCell ref="AJ96:AJ97"/>
    <mergeCell ref="AM96:AM97"/>
    <mergeCell ref="AN96:AN97"/>
    <mergeCell ref="AO96:AO97"/>
    <mergeCell ref="AP96:AP97"/>
    <mergeCell ref="AY96:AY97"/>
    <mergeCell ref="AZ96:AZ97"/>
    <mergeCell ref="BA96:BA97"/>
    <mergeCell ref="BB96:BB97"/>
    <mergeCell ref="BC96:BC97"/>
    <mergeCell ref="BD96:BD97"/>
    <mergeCell ref="AQ96:AQ97"/>
    <mergeCell ref="AR96:AR97"/>
    <mergeCell ref="AS96:AS97"/>
    <mergeCell ref="AU96:AU97"/>
    <mergeCell ref="AV96:AV97"/>
    <mergeCell ref="AW96:AW97"/>
    <mergeCell ref="BZ96:BZ97"/>
    <mergeCell ref="BM96:BM97"/>
    <mergeCell ref="BN96:BN97"/>
    <mergeCell ref="BO96:BO97"/>
    <mergeCell ref="BP96:BP97"/>
    <mergeCell ref="BQ96:BQ97"/>
    <mergeCell ref="BS96:BS97"/>
    <mergeCell ref="BE96:BE97"/>
    <mergeCell ref="BG96:BG97"/>
    <mergeCell ref="BH96:BH97"/>
    <mergeCell ref="BI96:BI97"/>
    <mergeCell ref="BK96:BK97"/>
    <mergeCell ref="BL96:BL97"/>
    <mergeCell ref="CR96:CR97"/>
    <mergeCell ref="K33:K34"/>
    <mergeCell ref="L33:L34"/>
    <mergeCell ref="K35:K36"/>
    <mergeCell ref="L35:L36"/>
    <mergeCell ref="K37:K38"/>
    <mergeCell ref="L37:L38"/>
    <mergeCell ref="CI96:CI97"/>
    <mergeCell ref="CK96:CK97"/>
    <mergeCell ref="CM96:CM97"/>
    <mergeCell ref="CN96:CN97"/>
    <mergeCell ref="CO96:CO97"/>
    <mergeCell ref="CQ96:CQ97"/>
    <mergeCell ref="CA96:CA97"/>
    <mergeCell ref="CB96:CB97"/>
    <mergeCell ref="CC96:CC97"/>
    <mergeCell ref="CE96:CE97"/>
    <mergeCell ref="CF96:CF97"/>
    <mergeCell ref="CG96:CG97"/>
    <mergeCell ref="BT96:BT97"/>
    <mergeCell ref="BU96:BU97"/>
    <mergeCell ref="BW96:BW97"/>
    <mergeCell ref="BX96:BX97"/>
    <mergeCell ref="BY96:BY97"/>
    <mergeCell ref="K39:K40"/>
    <mergeCell ref="L39:L40"/>
    <mergeCell ref="O31:O32"/>
    <mergeCell ref="O33:O34"/>
    <mergeCell ref="O35:O36"/>
    <mergeCell ref="O37:O38"/>
    <mergeCell ref="O39:O40"/>
    <mergeCell ref="Q40:R40"/>
    <mergeCell ref="J31:J40"/>
    <mergeCell ref="K31:L32"/>
    <mergeCell ref="M31:M32"/>
    <mergeCell ref="Q34:R34"/>
    <mergeCell ref="Q36:R36"/>
    <mergeCell ref="Q38:R38"/>
    <mergeCell ref="Q31:R32"/>
    <mergeCell ref="Z40:AA40"/>
    <mergeCell ref="W40:X40"/>
    <mergeCell ref="T40:U40"/>
    <mergeCell ref="T38:U38"/>
    <mergeCell ref="W38:X38"/>
    <mergeCell ref="T31:U32"/>
    <mergeCell ref="W31:X32"/>
    <mergeCell ref="Z31:AA32"/>
    <mergeCell ref="AC31:AD32"/>
    <mergeCell ref="AO31:AO32"/>
    <mergeCell ref="AP31:AP32"/>
    <mergeCell ref="AQ31:AQ32"/>
    <mergeCell ref="AR31:AR32"/>
    <mergeCell ref="AS31:AS32"/>
    <mergeCell ref="AM31:AM32"/>
    <mergeCell ref="AN31:AN32"/>
    <mergeCell ref="AC36:AD36"/>
    <mergeCell ref="AC40:AD40"/>
  </mergeCells>
  <conditionalFormatting sqref="CR99">
    <cfRule type="cellIs" dxfId="44" priority="22" operator="greaterThan">
      <formula>0</formula>
    </cfRule>
    <cfRule type="cellIs" dxfId="43" priority="23" operator="lessThan">
      <formula>0</formula>
    </cfRule>
  </conditionalFormatting>
  <conditionalFormatting sqref="CW8">
    <cfRule type="cellIs" dxfId="42" priority="21" operator="lessThan">
      <formula>-10</formula>
    </cfRule>
  </conditionalFormatting>
  <conditionalFormatting sqref="BK5:BQ5 BW5:CC5">
    <cfRule type="cellIs" dxfId="41" priority="24" operator="lessThan">
      <formula>$AG$96</formula>
    </cfRule>
    <cfRule type="cellIs" dxfId="40" priority="25" operator="between">
      <formula>$AG$96</formula>
      <formula>$AG$103</formula>
    </cfRule>
    <cfRule type="cellIs" dxfId="39" priority="26" operator="greaterThan">
      <formula>$AF$109</formula>
    </cfRule>
  </conditionalFormatting>
  <conditionalFormatting sqref="CI7:CK7 BK7:BQ7 BW7:CC7">
    <cfRule type="cellIs" dxfId="38" priority="35" operator="between">
      <formula>$AG$56</formula>
      <formula>$AG$107</formula>
    </cfRule>
    <cfRule type="cellIs" dxfId="37" priority="36" operator="lessThan">
      <formula>$AG$56</formula>
    </cfRule>
    <cfRule type="cellIs" dxfId="36" priority="37" operator="greaterThan">
      <formula>$AG$107</formula>
    </cfRule>
  </conditionalFormatting>
  <conditionalFormatting sqref="AY7:BE7">
    <cfRule type="cellIs" dxfId="35" priority="38" operator="between">
      <formula>$AG$56</formula>
      <formula>$AG$107</formula>
    </cfRule>
    <cfRule type="cellIs" dxfId="34" priority="39" operator="lessThan">
      <formula>$AG$56</formula>
    </cfRule>
    <cfRule type="cellIs" dxfId="33" priority="40" operator="greaterThan">
      <formula>$AG$107</formula>
    </cfRule>
    <cfRule type="cellIs" dxfId="32" priority="41" operator="greaterThan">
      <formula>$AG$107</formula>
    </cfRule>
  </conditionalFormatting>
  <conditionalFormatting sqref="BK7:BQ7 BW7:CC7">
    <cfRule type="cellIs" dxfId="31" priority="42" operator="lessThan">
      <formula>$AJ$96</formula>
    </cfRule>
    <cfRule type="cellIs" dxfId="30" priority="43" operator="between">
      <formula>$AJ$96</formula>
      <formula>$AJ$103</formula>
    </cfRule>
    <cfRule type="cellIs" dxfId="29" priority="44" operator="greaterThan">
      <formula>$AG$107</formula>
    </cfRule>
    <cfRule type="cellIs" dxfId="28" priority="45" operator="greaterThan">
      <formula>$AF$109</formula>
    </cfRule>
  </conditionalFormatting>
  <conditionalFormatting sqref="AM3:AS3">
    <cfRule type="cellIs" dxfId="27" priority="19" operator="greaterThan">
      <formula>0</formula>
    </cfRule>
    <cfRule type="cellIs" dxfId="26" priority="20" operator="lessThan">
      <formula>0</formula>
    </cfRule>
  </conditionalFormatting>
  <conditionalFormatting sqref="AM4:AS4">
    <cfRule type="cellIs" dxfId="25" priority="17" operator="greaterThan">
      <formula>0</formula>
    </cfRule>
    <cfRule type="cellIs" dxfId="24" priority="18" operator="lessThan">
      <formula>0</formula>
    </cfRule>
  </conditionalFormatting>
  <conditionalFormatting sqref="AU3 AV3:AW4">
    <cfRule type="cellIs" dxfId="23" priority="15" operator="greaterThan">
      <formula>0</formula>
    </cfRule>
    <cfRule type="cellIs" dxfId="22" priority="16" operator="lessThan">
      <formula>0</formula>
    </cfRule>
  </conditionalFormatting>
  <conditionalFormatting sqref="AU4">
    <cfRule type="cellIs" dxfId="21" priority="13" operator="greaterThan">
      <formula>0</formula>
    </cfRule>
    <cfRule type="cellIs" dxfId="20" priority="14" operator="lessThan">
      <formula>0</formula>
    </cfRule>
  </conditionalFormatting>
  <conditionalFormatting sqref="AM7:AN7 AP7:AS7">
    <cfRule type="cellIs" dxfId="19" priority="4" operator="greaterThan">
      <formula>$AG$107</formula>
    </cfRule>
    <cfRule type="cellIs" dxfId="18" priority="5" operator="between">
      <formula>$AG$56</formula>
      <formula>$AG$107</formula>
    </cfRule>
    <cfRule type="cellIs" dxfId="17" priority="6" operator="lessThan">
      <formula>$AG$56</formula>
    </cfRule>
  </conditionalFormatting>
  <conditionalFormatting sqref="AO7">
    <cfRule type="cellIs" dxfId="16" priority="1" operator="greaterThan">
      <formula>$AH$107</formula>
    </cfRule>
    <cfRule type="cellIs" dxfId="15" priority="2" operator="between">
      <formula>$AI$56</formula>
      <formula>$AH$107</formula>
    </cfRule>
    <cfRule type="cellIs" dxfId="14" priority="3" operator="lessThan">
      <formula>$AI$56</formula>
    </cfRule>
  </conditionalFormatting>
  <conditionalFormatting sqref="CI5:CK6 AY5:BE5 BK5:BQ5 BW5:CC5">
    <cfRule type="cellIs" dxfId="13" priority="315" operator="between">
      <formula>$AG$19</formula>
      <formula>$AF$109</formula>
    </cfRule>
    <cfRule type="cellIs" dxfId="12" priority="316" operator="lessThan">
      <formula>$AG$19</formula>
    </cfRule>
    <cfRule type="cellIs" dxfId="11" priority="317" operator="greaterThan">
      <formula>$AF$109</formula>
    </cfRule>
  </conditionalFormatting>
  <conditionalFormatting sqref="BW5:CC5">
    <cfRule type="cellIs" dxfId="10" priority="327" operator="between">
      <formula>$AF$109</formula>
      <formula>635</formula>
    </cfRule>
    <cfRule type="cellIs" dxfId="9" priority="328" operator="lessThan">
      <formula>$AG$19</formula>
    </cfRule>
    <cfRule type="cellIs" dxfId="8" priority="329" operator="greaterThan">
      <formula>$AF$109</formula>
    </cfRule>
    <cfRule type="cellIs" dxfId="7" priority="330" operator="lessThan">
      <formula>$AG$19</formula>
    </cfRule>
    <cfRule type="cellIs" dxfId="6" priority="331" operator="greaterThan">
      <formula>$AF$109</formula>
    </cfRule>
  </conditionalFormatting>
  <conditionalFormatting sqref="AM5:AN5 AP5:AS5">
    <cfRule type="cellIs" dxfId="5" priority="342" operator="greaterThan">
      <formula>$AF$109</formula>
    </cfRule>
    <cfRule type="cellIs" dxfId="4" priority="343" operator="between">
      <formula>$AG$19</formula>
      <formula>$AF$109</formula>
    </cfRule>
    <cfRule type="cellIs" dxfId="3" priority="344" operator="lessThan">
      <formula>$AG$19</formula>
    </cfRule>
  </conditionalFormatting>
  <conditionalFormatting sqref="AO5">
    <cfRule type="cellIs" dxfId="2" priority="348" operator="greaterThan">
      <formula>$AF$110</formula>
    </cfRule>
    <cfRule type="cellIs" dxfId="1" priority="349" operator="between">
      <formula>$AI$19</formula>
      <formula>$AF$110</formula>
    </cfRule>
    <cfRule type="cellIs" dxfId="0" priority="350" operator="lessThan">
      <formula>$AI$19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Y41"/>
  <sheetViews>
    <sheetView zoomScale="80" zoomScaleNormal="80" zoomScaleSheetLayoutView="80" workbookViewId="0">
      <pane xSplit="6" ySplit="13" topLeftCell="AL14" activePane="bottomRight" state="frozen"/>
      <selection pane="topRight" activeCell="G1" sqref="G1"/>
      <selection pane="bottomLeft" activeCell="A8" sqref="A8"/>
      <selection pane="bottomRight" activeCell="AM29" sqref="AM29"/>
    </sheetView>
  </sheetViews>
  <sheetFormatPr defaultColWidth="9.125" defaultRowHeight="15" x14ac:dyDescent="0.2"/>
  <cols>
    <col min="1" max="1" width="1.75" style="2" customWidth="1"/>
    <col min="2" max="2" width="4.75" style="2" customWidth="1"/>
    <col min="3" max="3" width="37" style="2" bestFit="1" customWidth="1"/>
    <col min="4" max="4" width="10.375" style="2" bestFit="1" customWidth="1"/>
    <col min="5" max="5" width="10.375" style="2" customWidth="1"/>
    <col min="6" max="6" width="9.875" style="2" bestFit="1" customWidth="1"/>
    <col min="7" max="9" width="9.125" style="2"/>
    <col min="10" max="10" width="9.125" style="49"/>
    <col min="11" max="11" width="9.125" style="2"/>
    <col min="12" max="12" width="9.125" style="49"/>
    <col min="13" max="40" width="9.125" style="2"/>
    <col min="41" max="41" width="1.75" style="2" customWidth="1"/>
    <col min="42" max="42" width="9.125" style="2" customWidth="1"/>
    <col min="43" max="43" width="1.75" style="2" customWidth="1"/>
    <col min="44" max="44" width="9" style="2" customWidth="1"/>
    <col min="45" max="45" width="1.75" style="2" customWidth="1"/>
    <col min="46" max="46" width="10" style="2" bestFit="1" customWidth="1"/>
    <col min="47" max="47" width="10.25" style="2" customWidth="1"/>
    <col min="48" max="48" width="1.875" style="2" customWidth="1"/>
    <col min="49" max="49" width="11.375" style="2" bestFit="1" customWidth="1"/>
    <col min="50" max="50" width="11.25" style="2" bestFit="1" customWidth="1"/>
    <col min="51" max="51" width="10.25" style="2" bestFit="1" customWidth="1"/>
    <col min="52" max="16384" width="9.125" style="2"/>
  </cols>
  <sheetData>
    <row r="1" spans="2:51" ht="15" customHeight="1" x14ac:dyDescent="0.2">
      <c r="G1" s="4427" t="s">
        <v>64</v>
      </c>
      <c r="H1" s="4430" t="s">
        <v>65</v>
      </c>
      <c r="I1" s="4458" t="s">
        <v>62</v>
      </c>
      <c r="J1" s="4461" t="s">
        <v>63</v>
      </c>
      <c r="K1" s="4458" t="s">
        <v>62</v>
      </c>
      <c r="L1" s="4461" t="s">
        <v>63</v>
      </c>
    </row>
    <row r="2" spans="2:51" ht="18" x14ac:dyDescent="0.2">
      <c r="C2" s="4456">
        <v>43313</v>
      </c>
      <c r="D2" s="4457" t="s">
        <v>40</v>
      </c>
      <c r="E2" s="4457"/>
      <c r="F2" s="4457"/>
      <c r="G2" s="4428"/>
      <c r="H2" s="4431"/>
      <c r="I2" s="4459"/>
      <c r="J2" s="4462"/>
      <c r="K2" s="4459"/>
      <c r="L2" s="4462"/>
      <c r="AW2" s="131">
        <f>AW3-AT6</f>
        <v>0</v>
      </c>
      <c r="AX2" s="131">
        <f>AW2*27.5%</f>
        <v>0</v>
      </c>
      <c r="AY2" s="131"/>
    </row>
    <row r="3" spans="2:51" ht="19.5" customHeight="1" x14ac:dyDescent="0.2">
      <c r="C3" s="4457"/>
      <c r="D3" s="4457" t="s">
        <v>41</v>
      </c>
      <c r="E3" s="4457"/>
      <c r="F3" s="4457"/>
      <c r="G3" s="4428"/>
      <c r="H3" s="4431"/>
      <c r="I3" s="4459"/>
      <c r="J3" s="4462"/>
      <c r="K3" s="4459"/>
      <c r="L3" s="4462"/>
      <c r="AU3" s="130"/>
      <c r="AW3" s="131">
        <f>AT6/24*24</f>
        <v>4174.1500000000005</v>
      </c>
      <c r="AX3" s="131">
        <f>AW3*27.5%</f>
        <v>1147.8912500000004</v>
      </c>
      <c r="AY3" s="131">
        <f>AX3-D27</f>
        <v>84.561250000000427</v>
      </c>
    </row>
    <row r="4" spans="2:51" ht="14.25" x14ac:dyDescent="0.2">
      <c r="G4" s="4429"/>
      <c r="H4" s="4432"/>
      <c r="I4" s="4460"/>
      <c r="J4" s="4463"/>
      <c r="K4" s="4460"/>
      <c r="L4" s="4463"/>
    </row>
    <row r="5" spans="2:51" ht="4.5" customHeight="1" x14ac:dyDescent="0.2"/>
    <row r="6" spans="2:51" s="49" customFormat="1" ht="15" customHeight="1" x14ac:dyDescent="0.2">
      <c r="C6" s="43" t="s">
        <v>35</v>
      </c>
      <c r="D6" s="40"/>
      <c r="E6" s="40"/>
      <c r="F6" s="51"/>
      <c r="G6" s="4446">
        <v>148.9</v>
      </c>
      <c r="H6" s="4447"/>
      <c r="I6" s="4446">
        <v>168.75</v>
      </c>
      <c r="J6" s="4447"/>
      <c r="K6" s="4446">
        <v>0</v>
      </c>
      <c r="L6" s="4447"/>
      <c r="M6" s="40">
        <v>102.45</v>
      </c>
      <c r="N6" s="40">
        <v>147.05000000000001</v>
      </c>
      <c r="O6" s="40">
        <v>154.05000000000001</v>
      </c>
      <c r="P6" s="40">
        <v>95.3</v>
      </c>
      <c r="Q6" s="40">
        <v>185.05</v>
      </c>
      <c r="R6" s="40">
        <v>91.5</v>
      </c>
      <c r="S6" s="40">
        <v>0</v>
      </c>
      <c r="T6" s="40">
        <v>198.85</v>
      </c>
      <c r="U6" s="40">
        <v>116.3</v>
      </c>
      <c r="V6" s="40">
        <v>180.8</v>
      </c>
      <c r="W6" s="40">
        <v>108</v>
      </c>
      <c r="X6" s="40">
        <v>98.9</v>
      </c>
      <c r="Y6" s="40">
        <v>215.1</v>
      </c>
      <c r="Z6" s="40">
        <v>0</v>
      </c>
      <c r="AA6" s="40">
        <v>194.7</v>
      </c>
      <c r="AB6" s="40">
        <v>319.8</v>
      </c>
      <c r="AC6" s="40">
        <v>457.8</v>
      </c>
      <c r="AD6" s="40">
        <v>0</v>
      </c>
      <c r="AE6" s="40">
        <v>0</v>
      </c>
      <c r="AF6" s="40">
        <v>210.9</v>
      </c>
      <c r="AG6" s="40">
        <v>0</v>
      </c>
      <c r="AH6" s="40">
        <v>130</v>
      </c>
      <c r="AI6" s="40">
        <v>160.15</v>
      </c>
      <c r="AJ6" s="40">
        <v>135.55000000000001</v>
      </c>
      <c r="AK6" s="40">
        <v>162.69999999999999</v>
      </c>
      <c r="AL6" s="40">
        <v>168.8</v>
      </c>
      <c r="AM6" s="40">
        <v>222.75</v>
      </c>
      <c r="AN6" s="40">
        <v>0</v>
      </c>
      <c r="AO6" s="50"/>
      <c r="AP6" s="4440" t="s">
        <v>54</v>
      </c>
      <c r="AQ6" s="50"/>
      <c r="AR6" s="4443" t="s">
        <v>61</v>
      </c>
      <c r="AS6" s="50"/>
      <c r="AT6" s="40">
        <f>SUM(G6:AN6)</f>
        <v>4174.1500000000005</v>
      </c>
      <c r="AU6" s="129">
        <f>AT6/23</f>
        <v>181.48478260869567</v>
      </c>
      <c r="AW6" s="40">
        <f>D31</f>
        <v>3866.6545454545453</v>
      </c>
      <c r="AX6" s="42">
        <f>AW6-AT6</f>
        <v>-307.49545454545523</v>
      </c>
      <c r="AY6" s="42">
        <f>AX6/1</f>
        <v>-307.49545454545523</v>
      </c>
    </row>
    <row r="7" spans="2:51" s="13" customFormat="1" ht="4.5" customHeight="1" x14ac:dyDescent="0.2">
      <c r="C7" s="33"/>
      <c r="D7" s="34"/>
      <c r="E7" s="34"/>
      <c r="F7" s="35"/>
      <c r="G7" s="34"/>
      <c r="H7" s="34"/>
      <c r="I7" s="34"/>
      <c r="J7" s="80"/>
      <c r="K7" s="34"/>
      <c r="L7" s="80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6"/>
      <c r="AP7" s="4441"/>
      <c r="AQ7" s="36"/>
      <c r="AR7" s="4444"/>
      <c r="AS7" s="36"/>
      <c r="AT7" s="37"/>
      <c r="AU7" s="38"/>
      <c r="AW7" s="37"/>
      <c r="AX7" s="38"/>
      <c r="AY7" s="38"/>
    </row>
    <row r="8" spans="2:51" s="47" customFormat="1" x14ac:dyDescent="0.2">
      <c r="C8" s="44" t="s">
        <v>36</v>
      </c>
      <c r="D8" s="45"/>
      <c r="E8" s="45"/>
      <c r="F8" s="52"/>
      <c r="G8" s="4448">
        <f>G6*27.5%</f>
        <v>40.947500000000005</v>
      </c>
      <c r="H8" s="4449"/>
      <c r="I8" s="4448">
        <f t="shared" ref="I8:P8" si="0">I6*27.5%</f>
        <v>46.406250000000007</v>
      </c>
      <c r="J8" s="4449"/>
      <c r="K8" s="4448">
        <f t="shared" si="0"/>
        <v>0</v>
      </c>
      <c r="L8" s="4449"/>
      <c r="M8" s="45">
        <f t="shared" si="0"/>
        <v>28.173750000000002</v>
      </c>
      <c r="N8" s="45">
        <f t="shared" si="0"/>
        <v>40.438750000000006</v>
      </c>
      <c r="O8" s="45">
        <f t="shared" si="0"/>
        <v>42.363750000000003</v>
      </c>
      <c r="P8" s="45">
        <f t="shared" si="0"/>
        <v>26.2075</v>
      </c>
      <c r="Q8" s="45">
        <f>Q6*27.5%</f>
        <v>50.888750000000009</v>
      </c>
      <c r="R8" s="45">
        <f>R6*27.5%</f>
        <v>25.162500000000001</v>
      </c>
      <c r="S8" s="45">
        <f t="shared" ref="S8:AN8" si="1">S6*27.5%</f>
        <v>0</v>
      </c>
      <c r="T8" s="45">
        <f t="shared" si="1"/>
        <v>54.683750000000003</v>
      </c>
      <c r="U8" s="45">
        <f t="shared" si="1"/>
        <v>31.982500000000002</v>
      </c>
      <c r="V8" s="45">
        <f t="shared" si="1"/>
        <v>49.720000000000006</v>
      </c>
      <c r="W8" s="45">
        <f t="shared" si="1"/>
        <v>29.700000000000003</v>
      </c>
      <c r="X8" s="45">
        <f t="shared" si="1"/>
        <v>27.197500000000005</v>
      </c>
      <c r="Y8" s="45">
        <f t="shared" si="1"/>
        <v>59.152500000000003</v>
      </c>
      <c r="Z8" s="45">
        <f t="shared" si="1"/>
        <v>0</v>
      </c>
      <c r="AA8" s="45">
        <f t="shared" si="1"/>
        <v>53.542500000000004</v>
      </c>
      <c r="AB8" s="45">
        <f t="shared" si="1"/>
        <v>87.945000000000007</v>
      </c>
      <c r="AC8" s="45">
        <f t="shared" si="1"/>
        <v>125.89500000000001</v>
      </c>
      <c r="AD8" s="45">
        <f t="shared" si="1"/>
        <v>0</v>
      </c>
      <c r="AE8" s="45">
        <f t="shared" si="1"/>
        <v>0</v>
      </c>
      <c r="AF8" s="45">
        <f t="shared" si="1"/>
        <v>57.997500000000009</v>
      </c>
      <c r="AG8" s="45">
        <f t="shared" si="1"/>
        <v>0</v>
      </c>
      <c r="AH8" s="45">
        <f t="shared" si="1"/>
        <v>35.75</v>
      </c>
      <c r="AI8" s="45">
        <f t="shared" si="1"/>
        <v>44.041250000000005</v>
      </c>
      <c r="AJ8" s="45">
        <f t="shared" si="1"/>
        <v>37.276250000000005</v>
      </c>
      <c r="AK8" s="45">
        <f t="shared" si="1"/>
        <v>44.7425</v>
      </c>
      <c r="AL8" s="45">
        <f t="shared" si="1"/>
        <v>46.420000000000009</v>
      </c>
      <c r="AM8" s="45">
        <f t="shared" si="1"/>
        <v>61.256250000000001</v>
      </c>
      <c r="AN8" s="45">
        <f t="shared" si="1"/>
        <v>0</v>
      </c>
      <c r="AO8" s="48"/>
      <c r="AP8" s="4441"/>
      <c r="AQ8" s="48"/>
      <c r="AR8" s="4444"/>
      <c r="AS8" s="48"/>
      <c r="AT8" s="45">
        <f>SUM(G8:AN8)</f>
        <v>1147.8912500000001</v>
      </c>
      <c r="AU8" s="46"/>
      <c r="AW8" s="45"/>
      <c r="AX8" s="46"/>
      <c r="AY8" s="46"/>
    </row>
    <row r="9" spans="2:51" ht="4.5" customHeight="1" x14ac:dyDescent="0.2">
      <c r="AP9" s="4441"/>
      <c r="AR9" s="4444"/>
    </row>
    <row r="10" spans="2:51" x14ac:dyDescent="0.2">
      <c r="C10" s="3" t="s">
        <v>15</v>
      </c>
      <c r="D10" s="6"/>
      <c r="E10" s="6"/>
      <c r="F10" s="8"/>
      <c r="G10" s="4434">
        <f>G8</f>
        <v>40.947500000000005</v>
      </c>
      <c r="H10" s="4435"/>
      <c r="I10" s="4434">
        <f>I8</f>
        <v>46.406250000000007</v>
      </c>
      <c r="J10" s="4435"/>
      <c r="K10" s="4434">
        <f t="shared" ref="K10:AN10" si="2">K8</f>
        <v>0</v>
      </c>
      <c r="L10" s="4435"/>
      <c r="M10" s="5">
        <f t="shared" si="2"/>
        <v>28.173750000000002</v>
      </c>
      <c r="N10" s="5">
        <f t="shared" si="2"/>
        <v>40.438750000000006</v>
      </c>
      <c r="O10" s="5">
        <f t="shared" si="2"/>
        <v>42.363750000000003</v>
      </c>
      <c r="P10" s="5">
        <f t="shared" si="2"/>
        <v>26.2075</v>
      </c>
      <c r="Q10" s="5">
        <f t="shared" si="2"/>
        <v>50.888750000000009</v>
      </c>
      <c r="R10" s="5">
        <f t="shared" si="2"/>
        <v>25.162500000000001</v>
      </c>
      <c r="S10" s="5">
        <f t="shared" si="2"/>
        <v>0</v>
      </c>
      <c r="T10" s="5">
        <f t="shared" si="2"/>
        <v>54.683750000000003</v>
      </c>
      <c r="U10" s="5">
        <f t="shared" si="2"/>
        <v>31.982500000000002</v>
      </c>
      <c r="V10" s="5">
        <f t="shared" si="2"/>
        <v>49.720000000000006</v>
      </c>
      <c r="W10" s="5">
        <f t="shared" si="2"/>
        <v>29.700000000000003</v>
      </c>
      <c r="X10" s="5">
        <f t="shared" si="2"/>
        <v>27.197500000000005</v>
      </c>
      <c r="Y10" s="5">
        <f t="shared" si="2"/>
        <v>59.152500000000003</v>
      </c>
      <c r="Z10" s="5">
        <f t="shared" si="2"/>
        <v>0</v>
      </c>
      <c r="AA10" s="5">
        <f t="shared" si="2"/>
        <v>53.542500000000004</v>
      </c>
      <c r="AB10" s="5">
        <f t="shared" si="2"/>
        <v>87.945000000000007</v>
      </c>
      <c r="AC10" s="5">
        <f t="shared" si="2"/>
        <v>125.89500000000001</v>
      </c>
      <c r="AD10" s="5">
        <f t="shared" si="2"/>
        <v>0</v>
      </c>
      <c r="AE10" s="5">
        <f t="shared" si="2"/>
        <v>0</v>
      </c>
      <c r="AF10" s="5">
        <f t="shared" si="2"/>
        <v>57.997500000000009</v>
      </c>
      <c r="AG10" s="5">
        <f t="shared" si="2"/>
        <v>0</v>
      </c>
      <c r="AH10" s="5">
        <f t="shared" si="2"/>
        <v>35.75</v>
      </c>
      <c r="AI10" s="5">
        <f t="shared" si="2"/>
        <v>44.041250000000005</v>
      </c>
      <c r="AJ10" s="5">
        <f t="shared" si="2"/>
        <v>37.276250000000005</v>
      </c>
      <c r="AK10" s="5">
        <f t="shared" si="2"/>
        <v>44.7425</v>
      </c>
      <c r="AL10" s="5">
        <f t="shared" si="2"/>
        <v>46.420000000000009</v>
      </c>
      <c r="AM10" s="5">
        <f t="shared" si="2"/>
        <v>61.256250000000001</v>
      </c>
      <c r="AN10" s="5">
        <f t="shared" si="2"/>
        <v>0</v>
      </c>
      <c r="AP10" s="4441"/>
      <c r="AR10" s="4444"/>
      <c r="AT10" s="5">
        <f>SUM(G10:AN10)</f>
        <v>1147.8912500000001</v>
      </c>
      <c r="AU10" s="59">
        <f>AT10/D27</f>
        <v>1.079524935814846</v>
      </c>
      <c r="AW10" s="5">
        <f>AT10-D27</f>
        <v>84.5612500000002</v>
      </c>
      <c r="AX10" s="63">
        <f>AW10/1</f>
        <v>84.5612500000002</v>
      </c>
      <c r="AY10" s="63">
        <f>AX10*100%/27.5%</f>
        <v>307.49545454545523</v>
      </c>
    </row>
    <row r="11" spans="2:51" ht="4.5" customHeight="1" x14ac:dyDescent="0.2">
      <c r="AP11" s="4441"/>
      <c r="AR11" s="4444"/>
    </row>
    <row r="12" spans="2:51" ht="15" customHeight="1" x14ac:dyDescent="0.2">
      <c r="G12" s="5" t="s">
        <v>50</v>
      </c>
      <c r="H12" s="40" t="s">
        <v>50</v>
      </c>
      <c r="I12" s="5" t="s">
        <v>51</v>
      </c>
      <c r="J12" s="40"/>
      <c r="K12" s="54" t="s">
        <v>45</v>
      </c>
      <c r="L12" s="40"/>
      <c r="M12" s="5" t="s">
        <v>46</v>
      </c>
      <c r="N12" s="5" t="s">
        <v>47</v>
      </c>
      <c r="O12" s="5" t="s">
        <v>48</v>
      </c>
      <c r="P12" s="5" t="s">
        <v>49</v>
      </c>
      <c r="Q12" s="5" t="s">
        <v>50</v>
      </c>
      <c r="R12" s="5" t="s">
        <v>51</v>
      </c>
      <c r="S12" s="54" t="s">
        <v>45</v>
      </c>
      <c r="T12" s="5" t="s">
        <v>46</v>
      </c>
      <c r="U12" s="5" t="s">
        <v>47</v>
      </c>
      <c r="V12" s="5" t="s">
        <v>48</v>
      </c>
      <c r="W12" s="5" t="s">
        <v>49</v>
      </c>
      <c r="X12" s="5" t="s">
        <v>50</v>
      </c>
      <c r="Y12" s="5" t="s">
        <v>51</v>
      </c>
      <c r="Z12" s="54" t="s">
        <v>45</v>
      </c>
      <c r="AA12" s="5" t="s">
        <v>46</v>
      </c>
      <c r="AB12" s="5" t="s">
        <v>47</v>
      </c>
      <c r="AC12" s="5" t="s">
        <v>48</v>
      </c>
      <c r="AD12" s="5" t="s">
        <v>49</v>
      </c>
      <c r="AE12" s="5" t="s">
        <v>50</v>
      </c>
      <c r="AF12" s="5" t="s">
        <v>51</v>
      </c>
      <c r="AG12" s="54" t="s">
        <v>45</v>
      </c>
      <c r="AH12" s="5" t="s">
        <v>46</v>
      </c>
      <c r="AI12" s="5" t="s">
        <v>47</v>
      </c>
      <c r="AJ12" s="5" t="s">
        <v>48</v>
      </c>
      <c r="AK12" s="5" t="s">
        <v>49</v>
      </c>
      <c r="AL12" s="5" t="s">
        <v>50</v>
      </c>
      <c r="AM12" s="5" t="s">
        <v>51</v>
      </c>
      <c r="AN12" s="54" t="s">
        <v>45</v>
      </c>
      <c r="AP12" s="4441"/>
      <c r="AR12" s="4444"/>
    </row>
    <row r="13" spans="2:51" x14ac:dyDescent="0.2">
      <c r="B13" s="1" t="s">
        <v>0</v>
      </c>
      <c r="C13" s="1" t="s">
        <v>1</v>
      </c>
      <c r="D13" s="1" t="s">
        <v>24</v>
      </c>
      <c r="E13" s="1" t="s">
        <v>25</v>
      </c>
      <c r="F13" s="1" t="s">
        <v>2</v>
      </c>
      <c r="G13" s="1">
        <v>1</v>
      </c>
      <c r="H13" s="1"/>
      <c r="I13" s="1">
        <v>2</v>
      </c>
      <c r="J13" s="43"/>
      <c r="K13" s="1">
        <v>3</v>
      </c>
      <c r="L13" s="43"/>
      <c r="M13" s="1">
        <v>4</v>
      </c>
      <c r="N13" s="1">
        <v>5</v>
      </c>
      <c r="O13" s="1">
        <v>6</v>
      </c>
      <c r="P13" s="1">
        <v>7</v>
      </c>
      <c r="Q13" s="1">
        <v>8</v>
      </c>
      <c r="R13" s="1">
        <v>9</v>
      </c>
      <c r="S13" s="1">
        <v>10</v>
      </c>
      <c r="T13" s="1">
        <v>11</v>
      </c>
      <c r="U13" s="1">
        <v>12</v>
      </c>
      <c r="V13" s="1">
        <v>13</v>
      </c>
      <c r="W13" s="1">
        <v>14</v>
      </c>
      <c r="X13" s="1">
        <v>15</v>
      </c>
      <c r="Y13" s="1">
        <v>16</v>
      </c>
      <c r="Z13" s="1">
        <v>17</v>
      </c>
      <c r="AA13" s="1">
        <v>18</v>
      </c>
      <c r="AB13" s="1">
        <v>19</v>
      </c>
      <c r="AC13" s="1">
        <v>20</v>
      </c>
      <c r="AD13" s="1">
        <v>21</v>
      </c>
      <c r="AE13" s="1">
        <v>22</v>
      </c>
      <c r="AF13" s="1">
        <v>23</v>
      </c>
      <c r="AG13" s="1">
        <v>24</v>
      </c>
      <c r="AH13" s="1">
        <v>25</v>
      </c>
      <c r="AI13" s="1">
        <v>26</v>
      </c>
      <c r="AJ13" s="1">
        <v>27</v>
      </c>
      <c r="AK13" s="1">
        <v>28</v>
      </c>
      <c r="AL13" s="1">
        <v>29</v>
      </c>
      <c r="AM13" s="1">
        <v>30</v>
      </c>
      <c r="AN13" s="1">
        <v>31</v>
      </c>
      <c r="AP13" s="4442"/>
      <c r="AR13" s="4445"/>
      <c r="AT13" s="1" t="s">
        <v>7</v>
      </c>
      <c r="AU13" s="1" t="s">
        <v>2</v>
      </c>
      <c r="AW13" s="1"/>
      <c r="AX13" s="1"/>
      <c r="AY13" s="1"/>
    </row>
    <row r="14" spans="2:51" ht="4.5" customHeight="1" x14ac:dyDescent="0.2">
      <c r="AP14" s="4"/>
      <c r="AR14" s="4"/>
    </row>
    <row r="15" spans="2:51" ht="15" customHeight="1" x14ac:dyDescent="0.2">
      <c r="B15" s="13"/>
      <c r="C15" s="16" t="s">
        <v>19</v>
      </c>
      <c r="D15" s="13"/>
      <c r="E15" s="13"/>
      <c r="F15" s="13"/>
      <c r="G15" s="13"/>
      <c r="H15" s="13"/>
      <c r="I15" s="13"/>
      <c r="J15" s="81"/>
      <c r="K15" s="13"/>
      <c r="L15" s="81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P15" s="4"/>
      <c r="AR15" s="4"/>
    </row>
    <row r="16" spans="2:51" x14ac:dyDescent="0.2">
      <c r="B16" s="1">
        <v>1</v>
      </c>
      <c r="C16" s="1" t="s">
        <v>21</v>
      </c>
      <c r="D16" s="6">
        <v>400</v>
      </c>
      <c r="E16" s="6">
        <f>D16/24</f>
        <v>16.666666666666668</v>
      </c>
      <c r="F16" s="10">
        <f t="shared" ref="F16:F26" si="3">D16/$D$27</f>
        <v>0.376176727826733</v>
      </c>
      <c r="G16" s="6">
        <f>$E$16</f>
        <v>16.666666666666668</v>
      </c>
      <c r="H16" s="40"/>
      <c r="I16" s="6">
        <f>$E$16</f>
        <v>16.666666666666668</v>
      </c>
      <c r="J16" s="40"/>
      <c r="K16" s="6">
        <v>0</v>
      </c>
      <c r="L16" s="40"/>
      <c r="M16" s="6">
        <f t="shared" ref="M16:AC16" si="4">$E$16</f>
        <v>16.666666666666668</v>
      </c>
      <c r="N16" s="6">
        <f t="shared" si="4"/>
        <v>16.666666666666668</v>
      </c>
      <c r="O16" s="6">
        <f t="shared" si="4"/>
        <v>16.666666666666668</v>
      </c>
      <c r="P16" s="6">
        <f t="shared" si="4"/>
        <v>16.666666666666668</v>
      </c>
      <c r="Q16" s="6">
        <f t="shared" si="4"/>
        <v>16.666666666666668</v>
      </c>
      <c r="R16" s="6">
        <f t="shared" si="4"/>
        <v>16.666666666666668</v>
      </c>
      <c r="S16" s="6">
        <v>0</v>
      </c>
      <c r="T16" s="6">
        <f t="shared" si="4"/>
        <v>16.666666666666668</v>
      </c>
      <c r="U16" s="6">
        <f t="shared" si="4"/>
        <v>16.666666666666668</v>
      </c>
      <c r="V16" s="6">
        <f t="shared" si="4"/>
        <v>16.666666666666668</v>
      </c>
      <c r="W16" s="6">
        <f t="shared" si="4"/>
        <v>16.666666666666668</v>
      </c>
      <c r="X16" s="6">
        <f t="shared" si="4"/>
        <v>16.666666666666668</v>
      </c>
      <c r="Y16" s="6">
        <f t="shared" si="4"/>
        <v>16.666666666666668</v>
      </c>
      <c r="Z16" s="6">
        <v>0</v>
      </c>
      <c r="AA16" s="6">
        <f t="shared" si="4"/>
        <v>16.666666666666668</v>
      </c>
      <c r="AB16" s="6">
        <f t="shared" si="4"/>
        <v>16.666666666666668</v>
      </c>
      <c r="AC16" s="6">
        <f t="shared" si="4"/>
        <v>16.666666666666668</v>
      </c>
      <c r="AD16" s="6">
        <v>0</v>
      </c>
      <c r="AE16" s="6">
        <v>0</v>
      </c>
      <c r="AF16" s="6">
        <f t="shared" ref="AF16:AM16" si="5">$E$16</f>
        <v>16.666666666666668</v>
      </c>
      <c r="AG16" s="6">
        <v>0</v>
      </c>
      <c r="AH16" s="6">
        <f t="shared" si="5"/>
        <v>16.666666666666668</v>
      </c>
      <c r="AI16" s="6">
        <f t="shared" si="5"/>
        <v>16.666666666666668</v>
      </c>
      <c r="AJ16" s="6">
        <f t="shared" si="5"/>
        <v>16.666666666666668</v>
      </c>
      <c r="AK16" s="6">
        <f t="shared" si="5"/>
        <v>16.666666666666668</v>
      </c>
      <c r="AL16" s="6">
        <f t="shared" si="5"/>
        <v>16.666666666666668</v>
      </c>
      <c r="AM16" s="6">
        <f t="shared" si="5"/>
        <v>16.666666666666668</v>
      </c>
      <c r="AN16" s="6">
        <v>0</v>
      </c>
      <c r="AP16" s="40">
        <v>400</v>
      </c>
      <c r="AR16" s="74">
        <f>AP16/D16</f>
        <v>1</v>
      </c>
      <c r="AT16" s="5">
        <f>SUM(G16:AN16)</f>
        <v>400.00000000000011</v>
      </c>
      <c r="AU16" s="10">
        <f t="shared" ref="AU16:AU24" si="6">AT16/$AT$27</f>
        <v>0.37617672782673306</v>
      </c>
      <c r="AW16" s="14"/>
      <c r="AX16" s="60"/>
      <c r="AY16" s="60"/>
    </row>
    <row r="17" spans="2:51" x14ac:dyDescent="0.2">
      <c r="B17" s="1">
        <v>2</v>
      </c>
      <c r="C17" s="1" t="s">
        <v>22</v>
      </c>
      <c r="D17" s="6">
        <v>200</v>
      </c>
      <c r="E17" s="6">
        <f t="shared" ref="E17:E26" si="7">D17/24</f>
        <v>8.3333333333333339</v>
      </c>
      <c r="F17" s="10">
        <f t="shared" si="3"/>
        <v>0.1880883639133665</v>
      </c>
      <c r="G17" s="6">
        <f>$E$17</f>
        <v>8.3333333333333339</v>
      </c>
      <c r="H17" s="40"/>
      <c r="I17" s="6">
        <f>$E$17</f>
        <v>8.3333333333333339</v>
      </c>
      <c r="J17" s="40"/>
      <c r="K17" s="6">
        <v>0</v>
      </c>
      <c r="L17" s="40"/>
      <c r="M17" s="6">
        <f t="shared" ref="M17:AC17" si="8">$E$17</f>
        <v>8.3333333333333339</v>
      </c>
      <c r="N17" s="6">
        <f t="shared" si="8"/>
        <v>8.3333333333333339</v>
      </c>
      <c r="O17" s="6">
        <f t="shared" si="8"/>
        <v>8.3333333333333339</v>
      </c>
      <c r="P17" s="6">
        <f t="shared" si="8"/>
        <v>8.3333333333333339</v>
      </c>
      <c r="Q17" s="6">
        <f t="shared" si="8"/>
        <v>8.3333333333333339</v>
      </c>
      <c r="R17" s="6">
        <f t="shared" si="8"/>
        <v>8.3333333333333339</v>
      </c>
      <c r="S17" s="6">
        <v>0</v>
      </c>
      <c r="T17" s="6">
        <f t="shared" si="8"/>
        <v>8.3333333333333339</v>
      </c>
      <c r="U17" s="6">
        <f t="shared" si="8"/>
        <v>8.3333333333333339</v>
      </c>
      <c r="V17" s="6">
        <f t="shared" si="8"/>
        <v>8.3333333333333339</v>
      </c>
      <c r="W17" s="6">
        <f t="shared" si="8"/>
        <v>8.3333333333333339</v>
      </c>
      <c r="X17" s="6">
        <f t="shared" si="8"/>
        <v>8.3333333333333339</v>
      </c>
      <c r="Y17" s="6">
        <f t="shared" si="8"/>
        <v>8.3333333333333339</v>
      </c>
      <c r="Z17" s="6">
        <v>0</v>
      </c>
      <c r="AA17" s="6">
        <f t="shared" si="8"/>
        <v>8.3333333333333339</v>
      </c>
      <c r="AB17" s="6">
        <f t="shared" si="8"/>
        <v>8.3333333333333339</v>
      </c>
      <c r="AC17" s="6">
        <f t="shared" si="8"/>
        <v>8.3333333333333339</v>
      </c>
      <c r="AD17" s="6">
        <v>0</v>
      </c>
      <c r="AE17" s="6">
        <v>0</v>
      </c>
      <c r="AF17" s="6">
        <f t="shared" ref="AF17:AM17" si="9">$E$17</f>
        <v>8.3333333333333339</v>
      </c>
      <c r="AG17" s="6">
        <v>0</v>
      </c>
      <c r="AH17" s="6">
        <f t="shared" si="9"/>
        <v>8.3333333333333339</v>
      </c>
      <c r="AI17" s="6">
        <f t="shared" si="9"/>
        <v>8.3333333333333339</v>
      </c>
      <c r="AJ17" s="6">
        <f t="shared" si="9"/>
        <v>8.3333333333333339</v>
      </c>
      <c r="AK17" s="6">
        <f t="shared" si="9"/>
        <v>8.3333333333333339</v>
      </c>
      <c r="AL17" s="6">
        <f t="shared" si="9"/>
        <v>8.3333333333333339</v>
      </c>
      <c r="AM17" s="6">
        <f t="shared" si="9"/>
        <v>8.3333333333333339</v>
      </c>
      <c r="AN17" s="6">
        <v>0</v>
      </c>
      <c r="AP17" s="40">
        <v>200</v>
      </c>
      <c r="AR17" s="74">
        <f t="shared" ref="AR17:AR26" si="10">AP17/D17</f>
        <v>1</v>
      </c>
      <c r="AT17" s="5">
        <f t="shared" ref="AT17:AT26" si="11">SUM(G17:AN17)</f>
        <v>200.00000000000006</v>
      </c>
      <c r="AU17" s="10">
        <f t="shared" si="6"/>
        <v>0.18808836391336653</v>
      </c>
      <c r="AW17" s="14"/>
      <c r="AX17" s="60"/>
      <c r="AY17" s="60"/>
    </row>
    <row r="18" spans="2:51" x14ac:dyDescent="0.2">
      <c r="B18" s="1">
        <v>3</v>
      </c>
      <c r="C18" s="1" t="s">
        <v>38</v>
      </c>
      <c r="D18" s="6">
        <v>173.5</v>
      </c>
      <c r="E18" s="6">
        <f t="shared" si="7"/>
        <v>7.229166666666667</v>
      </c>
      <c r="F18" s="10">
        <f t="shared" si="3"/>
        <v>0.16316665569484545</v>
      </c>
      <c r="G18" s="6">
        <f>$E$18</f>
        <v>7.229166666666667</v>
      </c>
      <c r="H18" s="40"/>
      <c r="I18" s="6">
        <f>$E$18</f>
        <v>7.229166666666667</v>
      </c>
      <c r="J18" s="40"/>
      <c r="K18" s="6">
        <v>0</v>
      </c>
      <c r="L18" s="40"/>
      <c r="M18" s="6">
        <f t="shared" ref="M18:AC18" si="12">$E$18</f>
        <v>7.229166666666667</v>
      </c>
      <c r="N18" s="6">
        <f t="shared" si="12"/>
        <v>7.229166666666667</v>
      </c>
      <c r="O18" s="6">
        <f t="shared" si="12"/>
        <v>7.229166666666667</v>
      </c>
      <c r="P18" s="6">
        <f t="shared" si="12"/>
        <v>7.229166666666667</v>
      </c>
      <c r="Q18" s="6">
        <f t="shared" si="12"/>
        <v>7.229166666666667</v>
      </c>
      <c r="R18" s="6">
        <f t="shared" si="12"/>
        <v>7.229166666666667</v>
      </c>
      <c r="S18" s="6">
        <v>0</v>
      </c>
      <c r="T18" s="6">
        <f t="shared" si="12"/>
        <v>7.229166666666667</v>
      </c>
      <c r="U18" s="6">
        <f t="shared" si="12"/>
        <v>7.229166666666667</v>
      </c>
      <c r="V18" s="6">
        <f t="shared" si="12"/>
        <v>7.229166666666667</v>
      </c>
      <c r="W18" s="6">
        <f t="shared" si="12"/>
        <v>7.229166666666667</v>
      </c>
      <c r="X18" s="6">
        <f t="shared" si="12"/>
        <v>7.229166666666667</v>
      </c>
      <c r="Y18" s="6">
        <f t="shared" si="12"/>
        <v>7.229166666666667</v>
      </c>
      <c r="Z18" s="6">
        <v>0</v>
      </c>
      <c r="AA18" s="6">
        <f t="shared" si="12"/>
        <v>7.229166666666667</v>
      </c>
      <c r="AB18" s="6">
        <f t="shared" si="12"/>
        <v>7.229166666666667</v>
      </c>
      <c r="AC18" s="6">
        <f t="shared" si="12"/>
        <v>7.229166666666667</v>
      </c>
      <c r="AD18" s="6">
        <v>0</v>
      </c>
      <c r="AE18" s="6">
        <v>0</v>
      </c>
      <c r="AF18" s="6">
        <f t="shared" ref="AF18:AM18" si="13">$E$18</f>
        <v>7.229166666666667</v>
      </c>
      <c r="AG18" s="6">
        <v>0</v>
      </c>
      <c r="AH18" s="6">
        <f t="shared" si="13"/>
        <v>7.229166666666667</v>
      </c>
      <c r="AI18" s="6">
        <f t="shared" si="13"/>
        <v>7.229166666666667</v>
      </c>
      <c r="AJ18" s="6">
        <f t="shared" si="13"/>
        <v>7.229166666666667</v>
      </c>
      <c r="AK18" s="6">
        <f t="shared" si="13"/>
        <v>7.229166666666667</v>
      </c>
      <c r="AL18" s="6">
        <f t="shared" si="13"/>
        <v>7.229166666666667</v>
      </c>
      <c r="AM18" s="6">
        <f t="shared" si="13"/>
        <v>7.229166666666667</v>
      </c>
      <c r="AN18" s="6">
        <v>0</v>
      </c>
      <c r="AP18" s="40">
        <f>148.5+25</f>
        <v>173.5</v>
      </c>
      <c r="AR18" s="74">
        <f t="shared" si="10"/>
        <v>1</v>
      </c>
      <c r="AT18" s="5">
        <f t="shared" si="11"/>
        <v>173.49999999999997</v>
      </c>
      <c r="AU18" s="10">
        <f t="shared" si="6"/>
        <v>0.1631666556948454</v>
      </c>
      <c r="AW18" s="14"/>
      <c r="AX18" s="60"/>
      <c r="AY18" s="60"/>
    </row>
    <row r="19" spans="2:51" x14ac:dyDescent="0.2">
      <c r="B19" s="1">
        <v>4</v>
      </c>
      <c r="C19" s="1" t="s">
        <v>39</v>
      </c>
      <c r="D19" s="6">
        <v>55</v>
      </c>
      <c r="E19" s="6">
        <f t="shared" si="7"/>
        <v>2.2916666666666665</v>
      </c>
      <c r="F19" s="10">
        <f t="shared" si="3"/>
        <v>5.1724300076175789E-2</v>
      </c>
      <c r="G19" s="6">
        <f>$E$19</f>
        <v>2.2916666666666665</v>
      </c>
      <c r="H19" s="40"/>
      <c r="I19" s="6">
        <f>$E$19</f>
        <v>2.2916666666666665</v>
      </c>
      <c r="J19" s="40"/>
      <c r="K19" s="6">
        <v>0</v>
      </c>
      <c r="L19" s="40"/>
      <c r="M19" s="6">
        <f t="shared" ref="M19:AC19" si="14">$E$19</f>
        <v>2.2916666666666665</v>
      </c>
      <c r="N19" s="6">
        <f t="shared" si="14"/>
        <v>2.2916666666666665</v>
      </c>
      <c r="O19" s="6">
        <f t="shared" si="14"/>
        <v>2.2916666666666665</v>
      </c>
      <c r="P19" s="6">
        <f t="shared" si="14"/>
        <v>2.2916666666666665</v>
      </c>
      <c r="Q19" s="6">
        <f t="shared" si="14"/>
        <v>2.2916666666666665</v>
      </c>
      <c r="R19" s="6">
        <f t="shared" si="14"/>
        <v>2.2916666666666665</v>
      </c>
      <c r="S19" s="6">
        <v>0</v>
      </c>
      <c r="T19" s="6">
        <f t="shared" si="14"/>
        <v>2.2916666666666665</v>
      </c>
      <c r="U19" s="6">
        <f t="shared" si="14"/>
        <v>2.2916666666666665</v>
      </c>
      <c r="V19" s="6">
        <f t="shared" si="14"/>
        <v>2.2916666666666665</v>
      </c>
      <c r="W19" s="6">
        <f t="shared" si="14"/>
        <v>2.2916666666666665</v>
      </c>
      <c r="X19" s="6">
        <f t="shared" si="14"/>
        <v>2.2916666666666665</v>
      </c>
      <c r="Y19" s="6">
        <f t="shared" si="14"/>
        <v>2.2916666666666665</v>
      </c>
      <c r="Z19" s="6">
        <v>0</v>
      </c>
      <c r="AA19" s="6">
        <f t="shared" si="14"/>
        <v>2.2916666666666665</v>
      </c>
      <c r="AB19" s="6">
        <f t="shared" si="14"/>
        <v>2.2916666666666665</v>
      </c>
      <c r="AC19" s="6">
        <f t="shared" si="14"/>
        <v>2.2916666666666665</v>
      </c>
      <c r="AD19" s="6">
        <v>0</v>
      </c>
      <c r="AE19" s="6">
        <v>0</v>
      </c>
      <c r="AF19" s="6">
        <f t="shared" ref="AF19:AM19" si="15">$E$19</f>
        <v>2.2916666666666665</v>
      </c>
      <c r="AG19" s="6">
        <v>0</v>
      </c>
      <c r="AH19" s="6">
        <f t="shared" si="15"/>
        <v>2.2916666666666665</v>
      </c>
      <c r="AI19" s="6">
        <f t="shared" si="15"/>
        <v>2.2916666666666665</v>
      </c>
      <c r="AJ19" s="6">
        <f t="shared" si="15"/>
        <v>2.2916666666666665</v>
      </c>
      <c r="AK19" s="6">
        <f t="shared" si="15"/>
        <v>2.2916666666666665</v>
      </c>
      <c r="AL19" s="6">
        <f t="shared" si="15"/>
        <v>2.2916666666666665</v>
      </c>
      <c r="AM19" s="6">
        <f t="shared" si="15"/>
        <v>2.2916666666666665</v>
      </c>
      <c r="AN19" s="6">
        <v>0</v>
      </c>
      <c r="AP19" s="40">
        <v>55</v>
      </c>
      <c r="AR19" s="74">
        <f t="shared" si="10"/>
        <v>1</v>
      </c>
      <c r="AT19" s="5">
        <f t="shared" si="11"/>
        <v>54.999999999999979</v>
      </c>
      <c r="AU19" s="10">
        <f t="shared" si="6"/>
        <v>5.1724300076175761E-2</v>
      </c>
      <c r="AW19" s="14"/>
      <c r="AX19" s="60"/>
      <c r="AY19" s="60"/>
    </row>
    <row r="20" spans="2:51" x14ac:dyDescent="0.2">
      <c r="B20" s="1">
        <v>5</v>
      </c>
      <c r="C20" s="1" t="s">
        <v>23</v>
      </c>
      <c r="D20" s="6">
        <v>48</v>
      </c>
      <c r="E20" s="6">
        <f t="shared" si="7"/>
        <v>2</v>
      </c>
      <c r="F20" s="10">
        <f t="shared" si="3"/>
        <v>4.5141207339207963E-2</v>
      </c>
      <c r="G20" s="6">
        <f>$E$20</f>
        <v>2</v>
      </c>
      <c r="H20" s="40"/>
      <c r="I20" s="6">
        <f>$E$20</f>
        <v>2</v>
      </c>
      <c r="J20" s="40"/>
      <c r="K20" s="6">
        <v>0</v>
      </c>
      <c r="L20" s="40"/>
      <c r="M20" s="6">
        <f t="shared" ref="M20:AC20" si="16">$E$20</f>
        <v>2</v>
      </c>
      <c r="N20" s="6">
        <f t="shared" si="16"/>
        <v>2</v>
      </c>
      <c r="O20" s="6">
        <f t="shared" si="16"/>
        <v>2</v>
      </c>
      <c r="P20" s="6">
        <f t="shared" si="16"/>
        <v>2</v>
      </c>
      <c r="Q20" s="6">
        <f t="shared" si="16"/>
        <v>2</v>
      </c>
      <c r="R20" s="6">
        <f t="shared" si="16"/>
        <v>2</v>
      </c>
      <c r="S20" s="6">
        <v>0</v>
      </c>
      <c r="T20" s="6">
        <f t="shared" si="16"/>
        <v>2</v>
      </c>
      <c r="U20" s="6">
        <f t="shared" si="16"/>
        <v>2</v>
      </c>
      <c r="V20" s="6">
        <f t="shared" si="16"/>
        <v>2</v>
      </c>
      <c r="W20" s="6">
        <f t="shared" si="16"/>
        <v>2</v>
      </c>
      <c r="X20" s="6">
        <f t="shared" si="16"/>
        <v>2</v>
      </c>
      <c r="Y20" s="6">
        <f t="shared" si="16"/>
        <v>2</v>
      </c>
      <c r="Z20" s="6">
        <v>0</v>
      </c>
      <c r="AA20" s="6">
        <f t="shared" si="16"/>
        <v>2</v>
      </c>
      <c r="AB20" s="6">
        <f t="shared" si="16"/>
        <v>2</v>
      </c>
      <c r="AC20" s="6">
        <f t="shared" si="16"/>
        <v>2</v>
      </c>
      <c r="AD20" s="6">
        <v>0</v>
      </c>
      <c r="AE20" s="6">
        <v>0</v>
      </c>
      <c r="AF20" s="6">
        <f t="shared" ref="AF20:AM20" si="17">$E$20</f>
        <v>2</v>
      </c>
      <c r="AG20" s="6">
        <v>0</v>
      </c>
      <c r="AH20" s="6">
        <f t="shared" si="17"/>
        <v>2</v>
      </c>
      <c r="AI20" s="6">
        <f t="shared" si="17"/>
        <v>2</v>
      </c>
      <c r="AJ20" s="6">
        <f t="shared" si="17"/>
        <v>2</v>
      </c>
      <c r="AK20" s="6">
        <f t="shared" si="17"/>
        <v>2</v>
      </c>
      <c r="AL20" s="6">
        <f t="shared" si="17"/>
        <v>2</v>
      </c>
      <c r="AM20" s="6">
        <f t="shared" si="17"/>
        <v>2</v>
      </c>
      <c r="AN20" s="6">
        <v>0</v>
      </c>
      <c r="AP20" s="40">
        <v>48</v>
      </c>
      <c r="AR20" s="74">
        <f t="shared" si="10"/>
        <v>1</v>
      </c>
      <c r="AT20" s="5">
        <f>SUM(G20:AN20)</f>
        <v>48</v>
      </c>
      <c r="AU20" s="10">
        <f t="shared" si="6"/>
        <v>4.5141207339207956E-2</v>
      </c>
      <c r="AW20" s="14"/>
      <c r="AX20" s="60"/>
      <c r="AY20" s="60"/>
    </row>
    <row r="21" spans="2:51" x14ac:dyDescent="0.2">
      <c r="B21" s="1">
        <v>6</v>
      </c>
      <c r="C21" s="1" t="s">
        <v>59</v>
      </c>
      <c r="D21" s="6">
        <v>50</v>
      </c>
      <c r="E21" s="6">
        <f t="shared" si="7"/>
        <v>2.0833333333333335</v>
      </c>
      <c r="F21" s="10">
        <f t="shared" si="3"/>
        <v>4.7022090978341625E-2</v>
      </c>
      <c r="G21" s="6">
        <f>$E$21</f>
        <v>2.0833333333333335</v>
      </c>
      <c r="H21" s="40"/>
      <c r="I21" s="6">
        <f>$E$21</f>
        <v>2.0833333333333335</v>
      </c>
      <c r="J21" s="40"/>
      <c r="K21" s="6">
        <v>0</v>
      </c>
      <c r="L21" s="40"/>
      <c r="M21" s="6">
        <f t="shared" ref="M21:AC21" si="18">$E$21</f>
        <v>2.0833333333333335</v>
      </c>
      <c r="N21" s="6">
        <f t="shared" si="18"/>
        <v>2.0833333333333335</v>
      </c>
      <c r="O21" s="6">
        <f t="shared" si="18"/>
        <v>2.0833333333333335</v>
      </c>
      <c r="P21" s="6">
        <f t="shared" si="18"/>
        <v>2.0833333333333335</v>
      </c>
      <c r="Q21" s="6">
        <f t="shared" si="18"/>
        <v>2.0833333333333335</v>
      </c>
      <c r="R21" s="6">
        <f t="shared" si="18"/>
        <v>2.0833333333333335</v>
      </c>
      <c r="S21" s="6">
        <v>0</v>
      </c>
      <c r="T21" s="6">
        <f t="shared" si="18"/>
        <v>2.0833333333333335</v>
      </c>
      <c r="U21" s="6">
        <f t="shared" si="18"/>
        <v>2.0833333333333335</v>
      </c>
      <c r="V21" s="6">
        <f t="shared" si="18"/>
        <v>2.0833333333333335</v>
      </c>
      <c r="W21" s="6">
        <f t="shared" si="18"/>
        <v>2.0833333333333335</v>
      </c>
      <c r="X21" s="6">
        <f t="shared" si="18"/>
        <v>2.0833333333333335</v>
      </c>
      <c r="Y21" s="6">
        <f t="shared" si="18"/>
        <v>2.0833333333333335</v>
      </c>
      <c r="Z21" s="6">
        <v>0</v>
      </c>
      <c r="AA21" s="6">
        <f t="shared" si="18"/>
        <v>2.0833333333333335</v>
      </c>
      <c r="AB21" s="6">
        <f t="shared" si="18"/>
        <v>2.0833333333333335</v>
      </c>
      <c r="AC21" s="6">
        <f t="shared" si="18"/>
        <v>2.0833333333333335</v>
      </c>
      <c r="AD21" s="6">
        <v>0</v>
      </c>
      <c r="AE21" s="6">
        <v>0</v>
      </c>
      <c r="AF21" s="6">
        <f t="shared" ref="AF21:AM21" si="19">$E$21</f>
        <v>2.0833333333333335</v>
      </c>
      <c r="AG21" s="6">
        <v>0</v>
      </c>
      <c r="AH21" s="6">
        <f t="shared" si="19"/>
        <v>2.0833333333333335</v>
      </c>
      <c r="AI21" s="6">
        <f t="shared" si="19"/>
        <v>2.0833333333333335</v>
      </c>
      <c r="AJ21" s="6">
        <f t="shared" si="19"/>
        <v>2.0833333333333335</v>
      </c>
      <c r="AK21" s="6">
        <f t="shared" si="19"/>
        <v>2.0833333333333335</v>
      </c>
      <c r="AL21" s="6">
        <f t="shared" si="19"/>
        <v>2.0833333333333335</v>
      </c>
      <c r="AM21" s="6">
        <f t="shared" si="19"/>
        <v>2.0833333333333335</v>
      </c>
      <c r="AN21" s="6">
        <v>0</v>
      </c>
      <c r="AP21" s="40">
        <v>50</v>
      </c>
      <c r="AR21" s="74">
        <f t="shared" si="10"/>
        <v>1</v>
      </c>
      <c r="AT21" s="5">
        <f t="shared" si="11"/>
        <v>50.000000000000014</v>
      </c>
      <c r="AU21" s="10">
        <f t="shared" si="6"/>
        <v>4.7022090978341632E-2</v>
      </c>
      <c r="AW21" s="14"/>
      <c r="AX21" s="60"/>
      <c r="AY21" s="60"/>
    </row>
    <row r="22" spans="2:51" x14ac:dyDescent="0.2">
      <c r="B22" s="1">
        <v>7</v>
      </c>
      <c r="C22" s="1" t="s">
        <v>60</v>
      </c>
      <c r="D22" s="6">
        <v>37</v>
      </c>
      <c r="E22" s="6">
        <f t="shared" si="7"/>
        <v>1.5416666666666667</v>
      </c>
      <c r="F22" s="10">
        <f t="shared" si="3"/>
        <v>3.4796347323972805E-2</v>
      </c>
      <c r="G22" s="6">
        <f>$E$22</f>
        <v>1.5416666666666667</v>
      </c>
      <c r="H22" s="40"/>
      <c r="I22" s="6">
        <f>$E$22</f>
        <v>1.5416666666666667</v>
      </c>
      <c r="J22" s="40"/>
      <c r="K22" s="6">
        <v>0</v>
      </c>
      <c r="L22" s="40"/>
      <c r="M22" s="6">
        <f t="shared" ref="M22:AC22" si="20">$E$22</f>
        <v>1.5416666666666667</v>
      </c>
      <c r="N22" s="6">
        <f t="shared" si="20"/>
        <v>1.5416666666666667</v>
      </c>
      <c r="O22" s="6">
        <f t="shared" si="20"/>
        <v>1.5416666666666667</v>
      </c>
      <c r="P22" s="6">
        <f t="shared" si="20"/>
        <v>1.5416666666666667</v>
      </c>
      <c r="Q22" s="6">
        <f t="shared" si="20"/>
        <v>1.5416666666666667</v>
      </c>
      <c r="R22" s="6">
        <f t="shared" si="20"/>
        <v>1.5416666666666667</v>
      </c>
      <c r="S22" s="6">
        <v>0</v>
      </c>
      <c r="T22" s="6">
        <f t="shared" si="20"/>
        <v>1.5416666666666667</v>
      </c>
      <c r="U22" s="6">
        <f t="shared" si="20"/>
        <v>1.5416666666666667</v>
      </c>
      <c r="V22" s="6">
        <f t="shared" si="20"/>
        <v>1.5416666666666667</v>
      </c>
      <c r="W22" s="6">
        <f t="shared" si="20"/>
        <v>1.5416666666666667</v>
      </c>
      <c r="X22" s="6">
        <f t="shared" si="20"/>
        <v>1.5416666666666667</v>
      </c>
      <c r="Y22" s="6">
        <f t="shared" si="20"/>
        <v>1.5416666666666667</v>
      </c>
      <c r="Z22" s="6">
        <v>0</v>
      </c>
      <c r="AA22" s="6">
        <f t="shared" si="20"/>
        <v>1.5416666666666667</v>
      </c>
      <c r="AB22" s="6">
        <f t="shared" si="20"/>
        <v>1.5416666666666667</v>
      </c>
      <c r="AC22" s="6">
        <f t="shared" si="20"/>
        <v>1.5416666666666667</v>
      </c>
      <c r="AD22" s="6">
        <v>0</v>
      </c>
      <c r="AE22" s="6">
        <v>0</v>
      </c>
      <c r="AF22" s="6">
        <f t="shared" ref="AF22:AM22" si="21">$E$22</f>
        <v>1.5416666666666667</v>
      </c>
      <c r="AG22" s="6">
        <v>0</v>
      </c>
      <c r="AH22" s="6">
        <f t="shared" si="21"/>
        <v>1.5416666666666667</v>
      </c>
      <c r="AI22" s="6">
        <f t="shared" si="21"/>
        <v>1.5416666666666667</v>
      </c>
      <c r="AJ22" s="6">
        <f t="shared" si="21"/>
        <v>1.5416666666666667</v>
      </c>
      <c r="AK22" s="6">
        <f t="shared" si="21"/>
        <v>1.5416666666666667</v>
      </c>
      <c r="AL22" s="6">
        <f t="shared" si="21"/>
        <v>1.5416666666666667</v>
      </c>
      <c r="AM22" s="6">
        <f t="shared" si="21"/>
        <v>1.5416666666666667</v>
      </c>
      <c r="AN22" s="6">
        <v>0</v>
      </c>
      <c r="AP22" s="40">
        <v>37</v>
      </c>
      <c r="AR22" s="74">
        <f t="shared" si="10"/>
        <v>1</v>
      </c>
      <c r="AT22" s="5">
        <f t="shared" si="11"/>
        <v>37</v>
      </c>
      <c r="AU22" s="10">
        <f t="shared" si="6"/>
        <v>3.4796347323972798E-2</v>
      </c>
      <c r="AW22" s="14"/>
      <c r="AX22" s="60"/>
      <c r="AY22" s="60"/>
    </row>
    <row r="23" spans="2:51" x14ac:dyDescent="0.2">
      <c r="B23" s="1">
        <v>8</v>
      </c>
      <c r="C23" s="1" t="s">
        <v>43</v>
      </c>
      <c r="D23" s="6">
        <v>27</v>
      </c>
      <c r="E23" s="6">
        <f t="shared" si="7"/>
        <v>1.125</v>
      </c>
      <c r="F23" s="10">
        <f t="shared" si="3"/>
        <v>2.5391929128304479E-2</v>
      </c>
      <c r="G23" s="6">
        <f>$E$23</f>
        <v>1.125</v>
      </c>
      <c r="H23" s="40"/>
      <c r="I23" s="6">
        <f>$E$23</f>
        <v>1.125</v>
      </c>
      <c r="J23" s="40"/>
      <c r="K23" s="6">
        <v>0</v>
      </c>
      <c r="L23" s="40"/>
      <c r="M23" s="6">
        <f t="shared" ref="M23:AC23" si="22">$E$23</f>
        <v>1.125</v>
      </c>
      <c r="N23" s="6">
        <f t="shared" si="22"/>
        <v>1.125</v>
      </c>
      <c r="O23" s="6">
        <f t="shared" si="22"/>
        <v>1.125</v>
      </c>
      <c r="P23" s="6">
        <f t="shared" si="22"/>
        <v>1.125</v>
      </c>
      <c r="Q23" s="6">
        <f t="shared" si="22"/>
        <v>1.125</v>
      </c>
      <c r="R23" s="6">
        <f t="shared" si="22"/>
        <v>1.125</v>
      </c>
      <c r="S23" s="6">
        <v>0</v>
      </c>
      <c r="T23" s="6">
        <f t="shared" si="22"/>
        <v>1.125</v>
      </c>
      <c r="U23" s="6">
        <f t="shared" si="22"/>
        <v>1.125</v>
      </c>
      <c r="V23" s="6">
        <f t="shared" si="22"/>
        <v>1.125</v>
      </c>
      <c r="W23" s="6">
        <f t="shared" si="22"/>
        <v>1.125</v>
      </c>
      <c r="X23" s="6">
        <f t="shared" si="22"/>
        <v>1.125</v>
      </c>
      <c r="Y23" s="6">
        <f t="shared" si="22"/>
        <v>1.125</v>
      </c>
      <c r="Z23" s="6">
        <v>0</v>
      </c>
      <c r="AA23" s="6">
        <f t="shared" si="22"/>
        <v>1.125</v>
      </c>
      <c r="AB23" s="6">
        <f t="shared" si="22"/>
        <v>1.125</v>
      </c>
      <c r="AC23" s="6">
        <f t="shared" si="22"/>
        <v>1.125</v>
      </c>
      <c r="AD23" s="6">
        <v>0</v>
      </c>
      <c r="AE23" s="6">
        <v>0</v>
      </c>
      <c r="AF23" s="6">
        <f t="shared" ref="AF23:AM23" si="23">$E$23</f>
        <v>1.125</v>
      </c>
      <c r="AG23" s="6">
        <v>0</v>
      </c>
      <c r="AH23" s="6">
        <f t="shared" si="23"/>
        <v>1.125</v>
      </c>
      <c r="AI23" s="6">
        <f t="shared" si="23"/>
        <v>1.125</v>
      </c>
      <c r="AJ23" s="6">
        <f t="shared" si="23"/>
        <v>1.125</v>
      </c>
      <c r="AK23" s="6">
        <f t="shared" si="23"/>
        <v>1.125</v>
      </c>
      <c r="AL23" s="6">
        <f t="shared" si="23"/>
        <v>1.125</v>
      </c>
      <c r="AM23" s="6">
        <f t="shared" si="23"/>
        <v>1.125</v>
      </c>
      <c r="AN23" s="6">
        <v>0</v>
      </c>
      <c r="AP23" s="40">
        <v>27</v>
      </c>
      <c r="AR23" s="74">
        <f t="shared" si="10"/>
        <v>1</v>
      </c>
      <c r="AT23" s="5">
        <f t="shared" si="11"/>
        <v>27</v>
      </c>
      <c r="AU23" s="10">
        <f t="shared" si="6"/>
        <v>2.5391929128304475E-2</v>
      </c>
      <c r="AW23" s="14"/>
      <c r="AX23" s="60"/>
      <c r="AY23" s="60"/>
    </row>
    <row r="24" spans="2:51" x14ac:dyDescent="0.2">
      <c r="B24" s="1">
        <v>9</v>
      </c>
      <c r="C24" s="1" t="s">
        <v>37</v>
      </c>
      <c r="D24" s="6">
        <v>44.5</v>
      </c>
      <c r="E24" s="6">
        <f t="shared" si="7"/>
        <v>1.8541666666666667</v>
      </c>
      <c r="F24" s="10">
        <f t="shared" si="3"/>
        <v>4.1849660970724047E-2</v>
      </c>
      <c r="G24" s="6">
        <f>$E$24</f>
        <v>1.8541666666666667</v>
      </c>
      <c r="H24" s="40"/>
      <c r="I24" s="6">
        <f>$E$24</f>
        <v>1.8541666666666667</v>
      </c>
      <c r="J24" s="40"/>
      <c r="K24" s="6">
        <v>0</v>
      </c>
      <c r="L24" s="40"/>
      <c r="M24" s="6">
        <f t="shared" ref="M24:AC24" si="24">$E$24</f>
        <v>1.8541666666666667</v>
      </c>
      <c r="N24" s="6">
        <f t="shared" si="24"/>
        <v>1.8541666666666667</v>
      </c>
      <c r="O24" s="6">
        <f t="shared" si="24"/>
        <v>1.8541666666666667</v>
      </c>
      <c r="P24" s="6">
        <f t="shared" si="24"/>
        <v>1.8541666666666667</v>
      </c>
      <c r="Q24" s="6">
        <f t="shared" si="24"/>
        <v>1.8541666666666667</v>
      </c>
      <c r="R24" s="6">
        <f t="shared" si="24"/>
        <v>1.8541666666666667</v>
      </c>
      <c r="S24" s="6">
        <v>0</v>
      </c>
      <c r="T24" s="6">
        <f t="shared" si="24"/>
        <v>1.8541666666666667</v>
      </c>
      <c r="U24" s="6">
        <f t="shared" si="24"/>
        <v>1.8541666666666667</v>
      </c>
      <c r="V24" s="6">
        <f t="shared" si="24"/>
        <v>1.8541666666666667</v>
      </c>
      <c r="W24" s="6">
        <f t="shared" si="24"/>
        <v>1.8541666666666667</v>
      </c>
      <c r="X24" s="6">
        <f t="shared" si="24"/>
        <v>1.8541666666666667</v>
      </c>
      <c r="Y24" s="6">
        <f t="shared" si="24"/>
        <v>1.8541666666666667</v>
      </c>
      <c r="Z24" s="6">
        <v>0</v>
      </c>
      <c r="AA24" s="6">
        <f t="shared" si="24"/>
        <v>1.8541666666666667</v>
      </c>
      <c r="AB24" s="6">
        <f t="shared" si="24"/>
        <v>1.8541666666666667</v>
      </c>
      <c r="AC24" s="6">
        <f t="shared" si="24"/>
        <v>1.8541666666666667</v>
      </c>
      <c r="AD24" s="6">
        <v>0</v>
      </c>
      <c r="AE24" s="6">
        <v>0</v>
      </c>
      <c r="AF24" s="6">
        <f t="shared" ref="AF24:AM24" si="25">$E$24</f>
        <v>1.8541666666666667</v>
      </c>
      <c r="AG24" s="6">
        <v>0</v>
      </c>
      <c r="AH24" s="6">
        <f t="shared" si="25"/>
        <v>1.8541666666666667</v>
      </c>
      <c r="AI24" s="6">
        <f t="shared" si="25"/>
        <v>1.8541666666666667</v>
      </c>
      <c r="AJ24" s="6">
        <f t="shared" si="25"/>
        <v>1.8541666666666667</v>
      </c>
      <c r="AK24" s="6">
        <f t="shared" si="25"/>
        <v>1.8541666666666667</v>
      </c>
      <c r="AL24" s="6">
        <f t="shared" si="25"/>
        <v>1.8541666666666667</v>
      </c>
      <c r="AM24" s="6">
        <f t="shared" si="25"/>
        <v>1.8541666666666667</v>
      </c>
      <c r="AN24" s="6">
        <v>0</v>
      </c>
      <c r="AP24" s="40">
        <v>44.5</v>
      </c>
      <c r="AR24" s="74">
        <f t="shared" si="10"/>
        <v>1</v>
      </c>
      <c r="AT24" s="5">
        <f t="shared" si="11"/>
        <v>44.499999999999993</v>
      </c>
      <c r="AU24" s="10">
        <f t="shared" si="6"/>
        <v>4.1849660970724033E-2</v>
      </c>
      <c r="AW24" s="14"/>
      <c r="AX24" s="60"/>
      <c r="AY24" s="60"/>
    </row>
    <row r="25" spans="2:51" x14ac:dyDescent="0.2">
      <c r="B25" s="1">
        <v>10</v>
      </c>
      <c r="C25" s="1" t="s">
        <v>16</v>
      </c>
      <c r="D25" s="6">
        <v>25</v>
      </c>
      <c r="E25" s="6">
        <f t="shared" si="7"/>
        <v>1.0416666666666667</v>
      </c>
      <c r="F25" s="10">
        <f t="shared" si="3"/>
        <v>2.3511045489170813E-2</v>
      </c>
      <c r="G25" s="6">
        <f>$E$25</f>
        <v>1.0416666666666667</v>
      </c>
      <c r="H25" s="40"/>
      <c r="I25" s="6">
        <f>$E$25</f>
        <v>1.0416666666666667</v>
      </c>
      <c r="J25" s="40"/>
      <c r="K25" s="6">
        <v>0</v>
      </c>
      <c r="L25" s="40"/>
      <c r="M25" s="6">
        <f t="shared" ref="M25:AC25" si="26">$E$25</f>
        <v>1.0416666666666667</v>
      </c>
      <c r="N25" s="6">
        <f t="shared" si="26"/>
        <v>1.0416666666666667</v>
      </c>
      <c r="O25" s="6">
        <f t="shared" si="26"/>
        <v>1.0416666666666667</v>
      </c>
      <c r="P25" s="6">
        <f t="shared" si="26"/>
        <v>1.0416666666666667</v>
      </c>
      <c r="Q25" s="6">
        <f t="shared" si="26"/>
        <v>1.0416666666666667</v>
      </c>
      <c r="R25" s="6">
        <f t="shared" si="26"/>
        <v>1.0416666666666667</v>
      </c>
      <c r="S25" s="6">
        <v>0</v>
      </c>
      <c r="T25" s="6">
        <f t="shared" si="26"/>
        <v>1.0416666666666667</v>
      </c>
      <c r="U25" s="6">
        <f t="shared" si="26"/>
        <v>1.0416666666666667</v>
      </c>
      <c r="V25" s="6">
        <f t="shared" si="26"/>
        <v>1.0416666666666667</v>
      </c>
      <c r="W25" s="6">
        <f t="shared" si="26"/>
        <v>1.0416666666666667</v>
      </c>
      <c r="X25" s="6">
        <f t="shared" si="26"/>
        <v>1.0416666666666667</v>
      </c>
      <c r="Y25" s="6">
        <f t="shared" si="26"/>
        <v>1.0416666666666667</v>
      </c>
      <c r="Z25" s="6">
        <v>0</v>
      </c>
      <c r="AA25" s="6">
        <f t="shared" si="26"/>
        <v>1.0416666666666667</v>
      </c>
      <c r="AB25" s="6">
        <f t="shared" si="26"/>
        <v>1.0416666666666667</v>
      </c>
      <c r="AC25" s="6">
        <f t="shared" si="26"/>
        <v>1.0416666666666667</v>
      </c>
      <c r="AD25" s="6">
        <v>0</v>
      </c>
      <c r="AE25" s="6">
        <v>0</v>
      </c>
      <c r="AF25" s="6">
        <f t="shared" ref="AF25:AM25" si="27">$E$25</f>
        <v>1.0416666666666667</v>
      </c>
      <c r="AG25" s="6">
        <v>0</v>
      </c>
      <c r="AH25" s="6">
        <f t="shared" si="27"/>
        <v>1.0416666666666667</v>
      </c>
      <c r="AI25" s="6">
        <f t="shared" si="27"/>
        <v>1.0416666666666667</v>
      </c>
      <c r="AJ25" s="6">
        <f t="shared" si="27"/>
        <v>1.0416666666666667</v>
      </c>
      <c r="AK25" s="6">
        <f t="shared" si="27"/>
        <v>1.0416666666666667</v>
      </c>
      <c r="AL25" s="6">
        <f t="shared" si="27"/>
        <v>1.0416666666666667</v>
      </c>
      <c r="AM25" s="6">
        <f t="shared" si="27"/>
        <v>1.0416666666666667</v>
      </c>
      <c r="AN25" s="6">
        <v>0</v>
      </c>
      <c r="AP25" s="40">
        <v>25</v>
      </c>
      <c r="AR25" s="74">
        <f t="shared" si="10"/>
        <v>1</v>
      </c>
      <c r="AT25" s="5">
        <f t="shared" si="11"/>
        <v>25.000000000000007</v>
      </c>
      <c r="AU25" s="10">
        <f>AT25/$AT$27</f>
        <v>2.3511045489170816E-2</v>
      </c>
      <c r="AW25" s="14"/>
      <c r="AX25" s="60"/>
      <c r="AY25" s="60"/>
    </row>
    <row r="26" spans="2:51" x14ac:dyDescent="0.2">
      <c r="B26" s="1">
        <v>11</v>
      </c>
      <c r="C26" s="1" t="s">
        <v>10</v>
      </c>
      <c r="D26" s="6">
        <v>3.33</v>
      </c>
      <c r="E26" s="6">
        <f t="shared" si="7"/>
        <v>0.13875000000000001</v>
      </c>
      <c r="F26" s="10">
        <f t="shared" si="3"/>
        <v>3.1316712591575526E-3</v>
      </c>
      <c r="G26" s="6">
        <f>$E$26</f>
        <v>0.13875000000000001</v>
      </c>
      <c r="H26" s="40"/>
      <c r="I26" s="6">
        <f>$E$26</f>
        <v>0.13875000000000001</v>
      </c>
      <c r="J26" s="40"/>
      <c r="K26" s="6">
        <v>0</v>
      </c>
      <c r="L26" s="40"/>
      <c r="M26" s="6">
        <f t="shared" ref="M26:AC26" si="28">$E$26</f>
        <v>0.13875000000000001</v>
      </c>
      <c r="N26" s="6">
        <f t="shared" si="28"/>
        <v>0.13875000000000001</v>
      </c>
      <c r="O26" s="6">
        <f t="shared" si="28"/>
        <v>0.13875000000000001</v>
      </c>
      <c r="P26" s="6">
        <f t="shared" si="28"/>
        <v>0.13875000000000001</v>
      </c>
      <c r="Q26" s="6">
        <f t="shared" si="28"/>
        <v>0.13875000000000001</v>
      </c>
      <c r="R26" s="6">
        <f t="shared" si="28"/>
        <v>0.13875000000000001</v>
      </c>
      <c r="S26" s="6">
        <v>0</v>
      </c>
      <c r="T26" s="6">
        <f t="shared" si="28"/>
        <v>0.13875000000000001</v>
      </c>
      <c r="U26" s="6">
        <f t="shared" si="28"/>
        <v>0.13875000000000001</v>
      </c>
      <c r="V26" s="6">
        <f t="shared" si="28"/>
        <v>0.13875000000000001</v>
      </c>
      <c r="W26" s="6">
        <f t="shared" si="28"/>
        <v>0.13875000000000001</v>
      </c>
      <c r="X26" s="6">
        <f t="shared" si="28"/>
        <v>0.13875000000000001</v>
      </c>
      <c r="Y26" s="6">
        <f t="shared" si="28"/>
        <v>0.13875000000000001</v>
      </c>
      <c r="Z26" s="6">
        <v>0</v>
      </c>
      <c r="AA26" s="6">
        <f t="shared" si="28"/>
        <v>0.13875000000000001</v>
      </c>
      <c r="AB26" s="6">
        <f t="shared" si="28"/>
        <v>0.13875000000000001</v>
      </c>
      <c r="AC26" s="6">
        <f t="shared" si="28"/>
        <v>0.13875000000000001</v>
      </c>
      <c r="AD26" s="6">
        <v>0</v>
      </c>
      <c r="AE26" s="6">
        <v>0</v>
      </c>
      <c r="AF26" s="6">
        <f t="shared" ref="AF26:AM26" si="29">$E$26</f>
        <v>0.13875000000000001</v>
      </c>
      <c r="AG26" s="6">
        <v>0</v>
      </c>
      <c r="AH26" s="6">
        <f t="shared" si="29"/>
        <v>0.13875000000000001</v>
      </c>
      <c r="AI26" s="6">
        <f t="shared" si="29"/>
        <v>0.13875000000000001</v>
      </c>
      <c r="AJ26" s="6">
        <f t="shared" si="29"/>
        <v>0.13875000000000001</v>
      </c>
      <c r="AK26" s="6">
        <f t="shared" si="29"/>
        <v>0.13875000000000001</v>
      </c>
      <c r="AL26" s="6">
        <f t="shared" si="29"/>
        <v>0.13875000000000001</v>
      </c>
      <c r="AM26" s="6">
        <f t="shared" si="29"/>
        <v>0.13875000000000001</v>
      </c>
      <c r="AN26" s="6">
        <v>0</v>
      </c>
      <c r="AP26" s="40">
        <v>3.33</v>
      </c>
      <c r="AR26" s="74">
        <f t="shared" si="10"/>
        <v>1</v>
      </c>
      <c r="AT26" s="5">
        <f t="shared" si="11"/>
        <v>3.3299999999999992</v>
      </c>
      <c r="AU26" s="10">
        <f>AT26/$AT$27</f>
        <v>3.1316712591575508E-3</v>
      </c>
      <c r="AW26" s="14"/>
      <c r="AX26" s="60"/>
      <c r="AY26" s="60"/>
    </row>
    <row r="27" spans="2:51" x14ac:dyDescent="0.2">
      <c r="B27" s="1"/>
      <c r="C27" s="3" t="s">
        <v>17</v>
      </c>
      <c r="D27" s="5">
        <f t="shared" ref="D27:AN27" si="30">SUM(D16:D26)</f>
        <v>1063.33</v>
      </c>
      <c r="E27" s="5">
        <f>D27/24</f>
        <v>44.305416666666666</v>
      </c>
      <c r="F27" s="15">
        <f t="shared" si="30"/>
        <v>1.0000000000000002</v>
      </c>
      <c r="G27" s="5">
        <f t="shared" si="30"/>
        <v>44.305416666666659</v>
      </c>
      <c r="H27" s="40">
        <f t="shared" si="30"/>
        <v>0</v>
      </c>
      <c r="I27" s="5">
        <f t="shared" si="30"/>
        <v>44.305416666666659</v>
      </c>
      <c r="J27" s="40"/>
      <c r="K27" s="5">
        <f t="shared" si="30"/>
        <v>0</v>
      </c>
      <c r="L27" s="40"/>
      <c r="M27" s="5">
        <f t="shared" si="30"/>
        <v>44.305416666666659</v>
      </c>
      <c r="N27" s="5">
        <f t="shared" si="30"/>
        <v>44.305416666666659</v>
      </c>
      <c r="O27" s="5">
        <f t="shared" si="30"/>
        <v>44.305416666666659</v>
      </c>
      <c r="P27" s="5">
        <f t="shared" si="30"/>
        <v>44.305416666666659</v>
      </c>
      <c r="Q27" s="5">
        <f t="shared" si="30"/>
        <v>44.305416666666659</v>
      </c>
      <c r="R27" s="5">
        <f t="shared" si="30"/>
        <v>44.305416666666659</v>
      </c>
      <c r="S27" s="5">
        <f t="shared" si="30"/>
        <v>0</v>
      </c>
      <c r="T27" s="5">
        <f t="shared" si="30"/>
        <v>44.305416666666659</v>
      </c>
      <c r="U27" s="5">
        <f t="shared" si="30"/>
        <v>44.305416666666659</v>
      </c>
      <c r="V27" s="5">
        <f t="shared" si="30"/>
        <v>44.305416666666659</v>
      </c>
      <c r="W27" s="5">
        <f t="shared" si="30"/>
        <v>44.305416666666659</v>
      </c>
      <c r="X27" s="5">
        <f t="shared" si="30"/>
        <v>44.305416666666659</v>
      </c>
      <c r="Y27" s="5">
        <f t="shared" si="30"/>
        <v>44.305416666666659</v>
      </c>
      <c r="Z27" s="5">
        <f t="shared" si="30"/>
        <v>0</v>
      </c>
      <c r="AA27" s="5">
        <f t="shared" si="30"/>
        <v>44.305416666666659</v>
      </c>
      <c r="AB27" s="5">
        <f t="shared" si="30"/>
        <v>44.305416666666659</v>
      </c>
      <c r="AC27" s="5">
        <f t="shared" si="30"/>
        <v>44.305416666666659</v>
      </c>
      <c r="AD27" s="5">
        <f t="shared" si="30"/>
        <v>0</v>
      </c>
      <c r="AE27" s="5">
        <f t="shared" si="30"/>
        <v>0</v>
      </c>
      <c r="AF27" s="5">
        <f t="shared" si="30"/>
        <v>44.305416666666659</v>
      </c>
      <c r="AG27" s="5">
        <f t="shared" si="30"/>
        <v>0</v>
      </c>
      <c r="AH27" s="5">
        <f t="shared" si="30"/>
        <v>44.305416666666659</v>
      </c>
      <c r="AI27" s="5">
        <f t="shared" si="30"/>
        <v>44.305416666666659</v>
      </c>
      <c r="AJ27" s="5">
        <f t="shared" si="30"/>
        <v>44.305416666666659</v>
      </c>
      <c r="AK27" s="5">
        <f t="shared" si="30"/>
        <v>44.305416666666659</v>
      </c>
      <c r="AL27" s="5">
        <f t="shared" si="30"/>
        <v>44.305416666666659</v>
      </c>
      <c r="AM27" s="5">
        <f t="shared" si="30"/>
        <v>44.305416666666659</v>
      </c>
      <c r="AN27" s="5">
        <f t="shared" si="30"/>
        <v>0</v>
      </c>
      <c r="AO27" s="4"/>
      <c r="AP27" s="40">
        <f t="shared" ref="AP27" si="31">SUM(AP16:AP26)</f>
        <v>1063.33</v>
      </c>
      <c r="AQ27" s="4"/>
      <c r="AR27" s="74">
        <f>AP27/D27</f>
        <v>1</v>
      </c>
      <c r="AS27" s="4"/>
      <c r="AT27" s="5">
        <f>SUM(AT16:AT26)</f>
        <v>1063.3300000000002</v>
      </c>
      <c r="AU27" s="9">
        <f>SUM(AU16:AU26)</f>
        <v>1</v>
      </c>
      <c r="AW27" s="14">
        <f>AT27-AP27</f>
        <v>0</v>
      </c>
      <c r="AX27" s="29"/>
      <c r="AY27" s="29"/>
    </row>
    <row r="28" spans="2:51" s="13" customFormat="1" x14ac:dyDescent="0.2">
      <c r="B28" s="17"/>
      <c r="C28" s="18"/>
      <c r="D28" s="19"/>
      <c r="E28" s="19"/>
      <c r="F28" s="20"/>
      <c r="G28" s="19"/>
      <c r="H28" s="19"/>
      <c r="I28" s="19"/>
      <c r="J28" s="77"/>
      <c r="K28" s="19"/>
      <c r="L28" s="77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6"/>
      <c r="AP28" s="71"/>
      <c r="AQ28" s="16"/>
      <c r="AR28" s="71"/>
      <c r="AS28" s="16"/>
      <c r="AT28" s="19"/>
      <c r="AU28" s="21"/>
      <c r="AW28" s="14"/>
      <c r="AX28" s="29"/>
      <c r="AY28" s="29"/>
    </row>
    <row r="29" spans="2:51" s="58" customFormat="1" x14ac:dyDescent="0.2">
      <c r="B29" s="55"/>
      <c r="C29" s="43" t="s">
        <v>27</v>
      </c>
      <c r="D29" s="56"/>
      <c r="E29" s="56"/>
      <c r="F29" s="57"/>
      <c r="G29" s="4446">
        <f>G10-G27</f>
        <v>-3.3579166666666538</v>
      </c>
      <c r="H29" s="4447"/>
      <c r="I29" s="4446">
        <f t="shared" ref="I29:AN29" si="32">I10-I27</f>
        <v>2.1008333333333482</v>
      </c>
      <c r="J29" s="4447"/>
      <c r="K29" s="4446">
        <f t="shared" si="32"/>
        <v>0</v>
      </c>
      <c r="L29" s="4447"/>
      <c r="M29" s="40">
        <f t="shared" si="32"/>
        <v>-16.131666666666657</v>
      </c>
      <c r="N29" s="40">
        <f t="shared" si="32"/>
        <v>-3.8666666666666529</v>
      </c>
      <c r="O29" s="40">
        <f t="shared" si="32"/>
        <v>-1.9416666666666558</v>
      </c>
      <c r="P29" s="40">
        <f t="shared" si="32"/>
        <v>-18.097916666666659</v>
      </c>
      <c r="Q29" s="40">
        <f t="shared" si="32"/>
        <v>6.5833333333333499</v>
      </c>
      <c r="R29" s="40">
        <f t="shared" si="32"/>
        <v>-19.142916666666657</v>
      </c>
      <c r="S29" s="40">
        <f t="shared" si="32"/>
        <v>0</v>
      </c>
      <c r="T29" s="40">
        <f t="shared" si="32"/>
        <v>10.378333333333345</v>
      </c>
      <c r="U29" s="40">
        <f t="shared" si="32"/>
        <v>-12.322916666666657</v>
      </c>
      <c r="V29" s="40">
        <f t="shared" si="32"/>
        <v>5.4145833333333471</v>
      </c>
      <c r="W29" s="40">
        <f t="shared" si="32"/>
        <v>-14.605416666666656</v>
      </c>
      <c r="X29" s="40">
        <f t="shared" si="32"/>
        <v>-17.107916666666654</v>
      </c>
      <c r="Y29" s="40">
        <f t="shared" si="32"/>
        <v>14.847083333333345</v>
      </c>
      <c r="Z29" s="40">
        <f t="shared" si="32"/>
        <v>0</v>
      </c>
      <c r="AA29" s="40">
        <f>AA10-AA27</f>
        <v>9.2370833333333451</v>
      </c>
      <c r="AB29" s="40">
        <f t="shared" si="32"/>
        <v>43.639583333333348</v>
      </c>
      <c r="AC29" s="40">
        <f t="shared" si="32"/>
        <v>81.589583333333351</v>
      </c>
      <c r="AD29" s="40">
        <f t="shared" si="32"/>
        <v>0</v>
      </c>
      <c r="AE29" s="40">
        <f t="shared" si="32"/>
        <v>0</v>
      </c>
      <c r="AF29" s="40">
        <f t="shared" si="32"/>
        <v>13.69208333333335</v>
      </c>
      <c r="AG29" s="40">
        <f t="shared" si="32"/>
        <v>0</v>
      </c>
      <c r="AH29" s="40">
        <f t="shared" si="32"/>
        <v>-8.5554166666666589</v>
      </c>
      <c r="AI29" s="40">
        <f t="shared" si="32"/>
        <v>-0.26416666666665378</v>
      </c>
      <c r="AJ29" s="40">
        <f t="shared" si="32"/>
        <v>-7.0291666666666544</v>
      </c>
      <c r="AK29" s="40">
        <f t="shared" si="32"/>
        <v>0.43708333333334082</v>
      </c>
      <c r="AL29" s="40">
        <f t="shared" si="32"/>
        <v>2.1145833333333499</v>
      </c>
      <c r="AM29" s="40">
        <f t="shared" si="32"/>
        <v>16.950833333333343</v>
      </c>
      <c r="AN29" s="40">
        <f t="shared" si="32"/>
        <v>0</v>
      </c>
      <c r="AO29" s="49"/>
      <c r="AP29" s="40"/>
      <c r="AQ29" s="49"/>
      <c r="AR29" s="40"/>
      <c r="AS29" s="49"/>
      <c r="AT29" s="40">
        <f>SUM(G29:AN29)</f>
        <v>84.561250000000285</v>
      </c>
      <c r="AU29" s="51"/>
      <c r="AW29" s="61"/>
      <c r="AX29" s="62"/>
      <c r="AY29" s="62"/>
    </row>
    <row r="30" spans="2:51" s="13" customFormat="1" x14ac:dyDescent="0.2">
      <c r="C30" s="16"/>
      <c r="D30" s="14"/>
      <c r="E30" s="14"/>
      <c r="F30" s="28"/>
      <c r="G30" s="14"/>
      <c r="H30" s="14"/>
      <c r="I30" s="14"/>
      <c r="J30" s="61"/>
      <c r="K30" s="14"/>
      <c r="L30" s="61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4"/>
      <c r="AP30" s="4"/>
      <c r="AQ30" s="4"/>
      <c r="AR30" s="4"/>
      <c r="AS30" s="4"/>
      <c r="AT30" s="14"/>
      <c r="AU30" s="29"/>
    </row>
    <row r="31" spans="2:51" ht="15.75" x14ac:dyDescent="0.2">
      <c r="D31" s="2">
        <f>D27*100/27.5</f>
        <v>3866.6545454545453</v>
      </c>
      <c r="G31" s="4454" t="s">
        <v>66</v>
      </c>
      <c r="H31" s="4454"/>
      <c r="I31" s="4454"/>
      <c r="R31" s="7"/>
    </row>
    <row r="32" spans="2:51" ht="15.75" x14ac:dyDescent="0.2">
      <c r="G32" s="4455" t="s">
        <v>67</v>
      </c>
      <c r="H32" s="4455"/>
      <c r="I32" s="4455"/>
    </row>
    <row r="41" spans="25:25" x14ac:dyDescent="0.2">
      <c r="Y41" s="7"/>
    </row>
  </sheetData>
  <mergeCells count="25">
    <mergeCell ref="AP6:AP13"/>
    <mergeCell ref="AR6:AR13"/>
    <mergeCell ref="D2:F2"/>
    <mergeCell ref="D3:F3"/>
    <mergeCell ref="I1:I4"/>
    <mergeCell ref="J1:J4"/>
    <mergeCell ref="I6:J6"/>
    <mergeCell ref="I8:J8"/>
    <mergeCell ref="I10:J10"/>
    <mergeCell ref="K1:K4"/>
    <mergeCell ref="L1:L4"/>
    <mergeCell ref="K6:L6"/>
    <mergeCell ref="K8:L8"/>
    <mergeCell ref="K10:L10"/>
    <mergeCell ref="G31:I31"/>
    <mergeCell ref="G32:I32"/>
    <mergeCell ref="K29:L29"/>
    <mergeCell ref="C2:C3"/>
    <mergeCell ref="G6:H6"/>
    <mergeCell ref="G8:H8"/>
    <mergeCell ref="G10:H10"/>
    <mergeCell ref="G1:G4"/>
    <mergeCell ref="H1:H4"/>
    <mergeCell ref="G29:H29"/>
    <mergeCell ref="I29:J2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P57"/>
  <sheetViews>
    <sheetView zoomScale="80" zoomScaleNormal="80" workbookViewId="0">
      <pane xSplit="6" ySplit="13" topLeftCell="W14" activePane="bottomRight" state="frozen"/>
      <selection pane="topRight" activeCell="G1" sqref="G1"/>
      <selection pane="bottomLeft" activeCell="A8" sqref="A8"/>
      <selection pane="bottomRight" activeCell="W22" sqref="W22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19" width="9.125" style="2"/>
    <col min="20" max="36" width="10" style="2" bestFit="1" customWidth="1"/>
    <col min="37" max="37" width="1.75" style="2" customWidth="1"/>
    <col min="38" max="39" width="9" style="2" customWidth="1"/>
    <col min="40" max="40" width="1.75" style="2" customWidth="1"/>
    <col min="41" max="41" width="10" style="2" bestFit="1" customWidth="1"/>
    <col min="42" max="42" width="8.125" style="2" bestFit="1" customWidth="1"/>
    <col min="43" max="16384" width="9.125" style="2"/>
  </cols>
  <sheetData>
    <row r="1" spans="2:42" ht="15.75" customHeight="1" x14ac:dyDescent="0.2">
      <c r="D1" s="4436" t="s">
        <v>66</v>
      </c>
      <c r="E1" s="4436"/>
      <c r="F1" s="4454"/>
      <c r="G1" s="133"/>
    </row>
    <row r="2" spans="2:42" ht="15.75" customHeight="1" x14ac:dyDescent="0.2">
      <c r="C2" s="4433">
        <v>43344</v>
      </c>
      <c r="D2" s="4438" t="s">
        <v>67</v>
      </c>
      <c r="E2" s="4438"/>
      <c r="F2" s="4455"/>
      <c r="G2" s="133"/>
    </row>
    <row r="3" spans="2:42" ht="15" customHeight="1" x14ac:dyDescent="0.2">
      <c r="C3" s="4433"/>
      <c r="G3" s="133"/>
    </row>
    <row r="4" spans="2:42" ht="15" customHeight="1" x14ac:dyDescent="0.2">
      <c r="G4" s="133"/>
    </row>
    <row r="5" spans="2:42" ht="4.5" customHeight="1" x14ac:dyDescent="0.2"/>
    <row r="6" spans="2:42" s="49" customFormat="1" ht="15" customHeight="1" x14ac:dyDescent="0.2">
      <c r="C6" s="43" t="s">
        <v>42</v>
      </c>
      <c r="D6" s="40">
        <f>D38/0.71</f>
        <v>2783.0985915492961</v>
      </c>
      <c r="E6" s="40">
        <v>0.71</v>
      </c>
      <c r="F6" s="41">
        <f>D6*E6</f>
        <v>1976.0000000000002</v>
      </c>
      <c r="G6" s="84">
        <f t="shared" ref="G6:AJ6" si="0">$F$6/30</f>
        <v>65.866666666666674</v>
      </c>
      <c r="H6" s="135">
        <f t="shared" si="0"/>
        <v>65.866666666666674</v>
      </c>
      <c r="I6" s="136">
        <f t="shared" si="0"/>
        <v>65.866666666666674</v>
      </c>
      <c r="J6" s="137">
        <f t="shared" si="0"/>
        <v>65.866666666666674</v>
      </c>
      <c r="K6" s="138">
        <f t="shared" si="0"/>
        <v>65.866666666666674</v>
      </c>
      <c r="L6" s="139">
        <f t="shared" si="0"/>
        <v>65.866666666666674</v>
      </c>
      <c r="M6" s="147">
        <f t="shared" si="0"/>
        <v>65.866666666666674</v>
      </c>
      <c r="N6" s="147">
        <f t="shared" si="0"/>
        <v>65.866666666666674</v>
      </c>
      <c r="O6" s="148">
        <f t="shared" si="0"/>
        <v>65.866666666666674</v>
      </c>
      <c r="P6" s="149">
        <f t="shared" si="0"/>
        <v>65.866666666666674</v>
      </c>
      <c r="Q6" s="154">
        <f t="shared" si="0"/>
        <v>65.866666666666674</v>
      </c>
      <c r="R6" s="155">
        <f t="shared" si="0"/>
        <v>65.866666666666674</v>
      </c>
      <c r="S6" s="156">
        <f t="shared" si="0"/>
        <v>65.866666666666674</v>
      </c>
      <c r="T6" s="156">
        <f t="shared" si="0"/>
        <v>65.866666666666674</v>
      </c>
      <c r="U6" s="157">
        <f t="shared" si="0"/>
        <v>65.866666666666674</v>
      </c>
      <c r="V6" s="159">
        <f t="shared" si="0"/>
        <v>65.866666666666674</v>
      </c>
      <c r="W6" s="161">
        <f t="shared" si="0"/>
        <v>65.866666666666674</v>
      </c>
      <c r="X6" s="162">
        <f t="shared" si="0"/>
        <v>65.866666666666674</v>
      </c>
      <c r="Y6" s="163">
        <f t="shared" si="0"/>
        <v>65.866666666666674</v>
      </c>
      <c r="Z6" s="164">
        <f t="shared" si="0"/>
        <v>65.866666666666674</v>
      </c>
      <c r="AA6" s="165">
        <f t="shared" si="0"/>
        <v>65.866666666666674</v>
      </c>
      <c r="AB6" s="166">
        <f t="shared" si="0"/>
        <v>65.866666666666674</v>
      </c>
      <c r="AC6" s="167">
        <f t="shared" si="0"/>
        <v>65.866666666666674</v>
      </c>
      <c r="AD6" s="172">
        <f t="shared" si="0"/>
        <v>65.866666666666674</v>
      </c>
      <c r="AE6" s="173">
        <f t="shared" si="0"/>
        <v>65.866666666666674</v>
      </c>
      <c r="AF6" s="174">
        <f t="shared" si="0"/>
        <v>65.866666666666674</v>
      </c>
      <c r="AG6" s="175">
        <f t="shared" si="0"/>
        <v>65.866666666666674</v>
      </c>
      <c r="AH6" s="175">
        <f t="shared" si="0"/>
        <v>65.866666666666674</v>
      </c>
      <c r="AI6" s="175">
        <f t="shared" si="0"/>
        <v>65.866666666666674</v>
      </c>
      <c r="AJ6" s="177">
        <f t="shared" si="0"/>
        <v>65.866666666666674</v>
      </c>
      <c r="AK6" s="50"/>
      <c r="AL6" s="4440" t="s">
        <v>54</v>
      </c>
      <c r="AM6" s="4443" t="s">
        <v>61</v>
      </c>
      <c r="AN6" s="50"/>
      <c r="AO6" s="40">
        <f>SUM(G6:AJ6)</f>
        <v>1976.0000000000018</v>
      </c>
      <c r="AP6" s="42"/>
    </row>
    <row r="7" spans="2:42" s="47" customFormat="1" ht="15" x14ac:dyDescent="0.2">
      <c r="C7" s="44" t="s">
        <v>40</v>
      </c>
      <c r="D7" s="45">
        <f>SUM(G7:AJ7)</f>
        <v>-84.971269230769138</v>
      </c>
      <c r="E7" s="45"/>
      <c r="F7" s="46"/>
      <c r="G7" s="85">
        <f>'SHOP INCOME (9)'!G41</f>
        <v>4.1141153846153884</v>
      </c>
      <c r="H7" s="169">
        <f>'SHOP INCOME (9)'!H41</f>
        <v>14.359115384615386</v>
      </c>
      <c r="I7" s="169">
        <f>'SHOP INCOME (9)'!I41</f>
        <v>0</v>
      </c>
      <c r="J7" s="169">
        <f>'SHOP INCOME (9)'!J41</f>
        <v>-6.8654999999999973</v>
      </c>
      <c r="K7" s="169">
        <f>'SHOP INCOME (9)'!K41</f>
        <v>-15.565499999999997</v>
      </c>
      <c r="L7" s="169">
        <f>'SHOP INCOME (9)'!L41</f>
        <v>-0.82049999999999557</v>
      </c>
      <c r="M7" s="169">
        <f>'SHOP INCOME (9)'!M41</f>
        <v>0</v>
      </c>
      <c r="N7" s="169">
        <f>'SHOP INCOME (9)'!N41</f>
        <v>0</v>
      </c>
      <c r="O7" s="169">
        <f>'SHOP INCOME (9)'!O41</f>
        <v>-1.3004999999999924</v>
      </c>
      <c r="P7" s="169">
        <f>'SHOP INCOME (9)'!P41</f>
        <v>-4.5254999999999939</v>
      </c>
      <c r="Q7" s="169">
        <f>'SHOP INCOME (9)'!Q41</f>
        <v>-0.28049999999998931</v>
      </c>
      <c r="R7" s="169">
        <f>'SHOP INCOME (9)'!R41</f>
        <v>-7.0304999999999964</v>
      </c>
      <c r="S7" s="169">
        <f>'SHOP INCOME (9)'!S41</f>
        <v>-8.8454999999999941</v>
      </c>
      <c r="T7" s="169">
        <f>'SHOP INCOME (9)'!T41</f>
        <v>0</v>
      </c>
      <c r="U7" s="169">
        <f>'SHOP INCOME (9)'!U41</f>
        <v>-4.4954999999999927</v>
      </c>
      <c r="V7" s="169">
        <f>'SHOP INCOME (9)'!V41</f>
        <v>0</v>
      </c>
      <c r="W7" s="169">
        <f>'SHOP INCOME (9)'!W41</f>
        <v>-3.8804999999999978</v>
      </c>
      <c r="X7" s="169">
        <f>'SHOP INCOME (9)'!X41</f>
        <v>0</v>
      </c>
      <c r="Y7" s="169">
        <f>'SHOP INCOME (9)'!Y41</f>
        <v>-2.7554999999999907</v>
      </c>
      <c r="Z7" s="169">
        <f>'SHOP INCOME (9)'!Z41</f>
        <v>0</v>
      </c>
      <c r="AA7" s="169">
        <f>'SHOP INCOME (9)'!AA41</f>
        <v>0</v>
      </c>
      <c r="AB7" s="169">
        <f>'SHOP INCOME (9)'!AB41</f>
        <v>-1.660499999999999</v>
      </c>
      <c r="AC7" s="169">
        <f>'SHOP INCOME (9)'!AC41</f>
        <v>-1.555499999999995</v>
      </c>
      <c r="AD7" s="169">
        <f>'SHOP INCOME (9)'!AD41</f>
        <v>-10.825499999999995</v>
      </c>
      <c r="AE7" s="169">
        <f>'SHOP INCOME (9)'!AE41</f>
        <v>-9.6254999999999953</v>
      </c>
      <c r="AF7" s="169">
        <f>'SHOP INCOME (9)'!AF41</f>
        <v>-2.0204999999999984</v>
      </c>
      <c r="AG7" s="169">
        <f>'SHOP INCOME (9)'!AG41</f>
        <v>-3.4004999999999939</v>
      </c>
      <c r="AH7" s="169">
        <f>'SHOP INCOME (9)'!AH41</f>
        <v>0</v>
      </c>
      <c r="AI7" s="169">
        <f>'SHOP INCOME (9)'!AI41</f>
        <v>-3.4154999999999944</v>
      </c>
      <c r="AJ7" s="169">
        <f>'SHOP INCOME (9)'!AJ41</f>
        <v>-14.575499999999995</v>
      </c>
      <c r="AK7" s="48"/>
      <c r="AL7" s="4441"/>
      <c r="AM7" s="4444"/>
      <c r="AN7" s="48"/>
      <c r="AO7" s="45">
        <f>SUM(G7:AJ7)</f>
        <v>-84.971269230769138</v>
      </c>
      <c r="AP7" s="46"/>
    </row>
    <row r="8" spans="2:42" ht="15" x14ac:dyDescent="0.2">
      <c r="C8" s="1" t="s">
        <v>29</v>
      </c>
      <c r="D8" s="6"/>
      <c r="E8" s="6"/>
      <c r="F8" s="8"/>
      <c r="G8" s="8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7"/>
      <c r="AL8" s="4441"/>
      <c r="AM8" s="4444"/>
      <c r="AN8" s="7"/>
      <c r="AO8" s="5"/>
      <c r="AP8" s="27"/>
    </row>
    <row r="9" spans="2:42" ht="4.5" customHeight="1" x14ac:dyDescent="0.2">
      <c r="AL9" s="4441"/>
      <c r="AM9" s="4444"/>
    </row>
    <row r="10" spans="2:42" ht="15" x14ac:dyDescent="0.2">
      <c r="C10" s="3" t="s">
        <v>15</v>
      </c>
      <c r="D10" s="6"/>
      <c r="E10" s="6"/>
      <c r="F10" s="8"/>
      <c r="G10" s="87">
        <f>SUM(G6:G8)</f>
        <v>69.980782051282063</v>
      </c>
      <c r="H10" s="5">
        <f t="shared" ref="H10:AP10" si="1">SUM(H6:H8)</f>
        <v>80.225782051282067</v>
      </c>
      <c r="I10" s="5">
        <f t="shared" si="1"/>
        <v>65.866666666666674</v>
      </c>
      <c r="J10" s="5">
        <f t="shared" si="1"/>
        <v>59.001166666666677</v>
      </c>
      <c r="K10" s="5">
        <f t="shared" si="1"/>
        <v>50.301166666666674</v>
      </c>
      <c r="L10" s="5">
        <f t="shared" si="1"/>
        <v>65.046166666666679</v>
      </c>
      <c r="M10" s="5">
        <f t="shared" si="1"/>
        <v>65.866666666666674</v>
      </c>
      <c r="N10" s="5">
        <f t="shared" si="1"/>
        <v>65.866666666666674</v>
      </c>
      <c r="O10" s="5">
        <f t="shared" si="1"/>
        <v>64.566166666666675</v>
      </c>
      <c r="P10" s="5">
        <f t="shared" si="1"/>
        <v>61.34116666666668</v>
      </c>
      <c r="Q10" s="5">
        <f t="shared" si="1"/>
        <v>65.586166666666685</v>
      </c>
      <c r="R10" s="5">
        <f t="shared" si="1"/>
        <v>58.836166666666678</v>
      </c>
      <c r="S10" s="5">
        <f t="shared" si="1"/>
        <v>57.02116666666668</v>
      </c>
      <c r="T10" s="5">
        <f t="shared" si="1"/>
        <v>65.866666666666674</v>
      </c>
      <c r="U10" s="5">
        <f t="shared" si="1"/>
        <v>61.371166666666682</v>
      </c>
      <c r="V10" s="5">
        <f t="shared" si="1"/>
        <v>65.866666666666674</v>
      </c>
      <c r="W10" s="5">
        <f t="shared" si="1"/>
        <v>61.986166666666676</v>
      </c>
      <c r="X10" s="5">
        <f t="shared" si="1"/>
        <v>65.866666666666674</v>
      </c>
      <c r="Y10" s="5">
        <f t="shared" si="1"/>
        <v>63.111166666666684</v>
      </c>
      <c r="Z10" s="5">
        <f t="shared" si="1"/>
        <v>65.866666666666674</v>
      </c>
      <c r="AA10" s="5">
        <f t="shared" si="1"/>
        <v>65.866666666666674</v>
      </c>
      <c r="AB10" s="5">
        <f t="shared" si="1"/>
        <v>64.206166666666675</v>
      </c>
      <c r="AC10" s="5">
        <f t="shared" si="1"/>
        <v>64.311166666666679</v>
      </c>
      <c r="AD10" s="5">
        <f t="shared" si="1"/>
        <v>55.041166666666683</v>
      </c>
      <c r="AE10" s="5">
        <f t="shared" si="1"/>
        <v>56.241166666666679</v>
      </c>
      <c r="AF10" s="5">
        <f t="shared" si="1"/>
        <v>63.846166666666676</v>
      </c>
      <c r="AG10" s="5">
        <f t="shared" si="1"/>
        <v>62.46616666666668</v>
      </c>
      <c r="AH10" s="5">
        <f t="shared" si="1"/>
        <v>65.866666666666674</v>
      </c>
      <c r="AI10" s="5">
        <f t="shared" si="1"/>
        <v>62.45116666666668</v>
      </c>
      <c r="AJ10" s="5">
        <f t="shared" si="1"/>
        <v>51.291166666666683</v>
      </c>
      <c r="AL10" s="4441"/>
      <c r="AM10" s="4444"/>
      <c r="AO10" s="5">
        <f t="shared" si="1"/>
        <v>1891.0287307692327</v>
      </c>
      <c r="AP10" s="8">
        <f t="shared" si="1"/>
        <v>0</v>
      </c>
    </row>
    <row r="11" spans="2:42" ht="4.5" customHeight="1" x14ac:dyDescent="0.2">
      <c r="AL11" s="4441"/>
      <c r="AM11" s="4444"/>
    </row>
    <row r="12" spans="2:42" ht="15" customHeight="1" x14ac:dyDescent="0.2">
      <c r="G12" s="87" t="s">
        <v>46</v>
      </c>
      <c r="H12" s="5" t="s">
        <v>47</v>
      </c>
      <c r="I12" s="94" t="s">
        <v>48</v>
      </c>
      <c r="J12" s="5" t="s">
        <v>49</v>
      </c>
      <c r="K12" s="94" t="s">
        <v>50</v>
      </c>
      <c r="L12" s="5" t="s">
        <v>51</v>
      </c>
      <c r="M12" s="158" t="s">
        <v>45</v>
      </c>
      <c r="N12" s="5" t="s">
        <v>46</v>
      </c>
      <c r="O12" s="94" t="s">
        <v>47</v>
      </c>
      <c r="P12" s="5" t="s">
        <v>48</v>
      </c>
      <c r="Q12" s="94" t="s">
        <v>49</v>
      </c>
      <c r="R12" s="5" t="s">
        <v>50</v>
      </c>
      <c r="S12" s="94" t="s">
        <v>51</v>
      </c>
      <c r="T12" s="118" t="s">
        <v>45</v>
      </c>
      <c r="U12" s="94" t="s">
        <v>46</v>
      </c>
      <c r="V12" s="5" t="s">
        <v>47</v>
      </c>
      <c r="W12" s="94" t="s">
        <v>48</v>
      </c>
      <c r="X12" s="5" t="s">
        <v>49</v>
      </c>
      <c r="Y12" s="94" t="s">
        <v>50</v>
      </c>
      <c r="Z12" s="5" t="s">
        <v>51</v>
      </c>
      <c r="AA12" s="158" t="s">
        <v>45</v>
      </c>
      <c r="AB12" s="5" t="s">
        <v>46</v>
      </c>
      <c r="AC12" s="94" t="s">
        <v>47</v>
      </c>
      <c r="AD12" s="5" t="s">
        <v>48</v>
      </c>
      <c r="AE12" s="94" t="s">
        <v>49</v>
      </c>
      <c r="AF12" s="5" t="s">
        <v>50</v>
      </c>
      <c r="AG12" s="94" t="s">
        <v>51</v>
      </c>
      <c r="AH12" s="118" t="s">
        <v>45</v>
      </c>
      <c r="AI12" s="94" t="s">
        <v>46</v>
      </c>
      <c r="AJ12" s="5" t="s">
        <v>47</v>
      </c>
      <c r="AL12" s="4441"/>
      <c r="AM12" s="4444"/>
    </row>
    <row r="13" spans="2:42" x14ac:dyDescent="0.2">
      <c r="B13" s="1" t="s">
        <v>0</v>
      </c>
      <c r="C13" s="1" t="s">
        <v>1</v>
      </c>
      <c r="D13" s="1" t="s">
        <v>24</v>
      </c>
      <c r="E13" s="1" t="s">
        <v>25</v>
      </c>
      <c r="F13" s="1" t="s">
        <v>2</v>
      </c>
      <c r="G13" s="88">
        <v>1</v>
      </c>
      <c r="H13" s="1">
        <v>2</v>
      </c>
      <c r="I13" s="1">
        <v>3</v>
      </c>
      <c r="J13" s="1">
        <v>4</v>
      </c>
      <c r="K13" s="1">
        <v>5</v>
      </c>
      <c r="L13" s="1">
        <v>6</v>
      </c>
      <c r="M13" s="1">
        <v>7</v>
      </c>
      <c r="N13" s="1">
        <v>8</v>
      </c>
      <c r="O13" s="1">
        <v>9</v>
      </c>
      <c r="P13" s="1">
        <v>10</v>
      </c>
      <c r="Q13" s="1">
        <v>11</v>
      </c>
      <c r="R13" s="1">
        <v>12</v>
      </c>
      <c r="S13" s="1">
        <v>13</v>
      </c>
      <c r="T13" s="1">
        <v>14</v>
      </c>
      <c r="U13" s="1">
        <v>15</v>
      </c>
      <c r="V13" s="1">
        <v>16</v>
      </c>
      <c r="W13" s="1">
        <v>17</v>
      </c>
      <c r="X13" s="1">
        <v>18</v>
      </c>
      <c r="Y13" s="1">
        <v>19</v>
      </c>
      <c r="Z13" s="1">
        <v>20</v>
      </c>
      <c r="AA13" s="1">
        <v>21</v>
      </c>
      <c r="AB13" s="1">
        <v>22</v>
      </c>
      <c r="AC13" s="1">
        <v>23</v>
      </c>
      <c r="AD13" s="1">
        <v>24</v>
      </c>
      <c r="AE13" s="1">
        <v>25</v>
      </c>
      <c r="AF13" s="1">
        <v>26</v>
      </c>
      <c r="AG13" s="1">
        <v>27</v>
      </c>
      <c r="AH13" s="1">
        <v>28</v>
      </c>
      <c r="AI13" s="1">
        <v>29</v>
      </c>
      <c r="AJ13" s="1">
        <v>30</v>
      </c>
      <c r="AL13" s="4442"/>
      <c r="AM13" s="4445"/>
      <c r="AO13" s="1" t="s">
        <v>7</v>
      </c>
      <c r="AP13" s="1" t="s">
        <v>2</v>
      </c>
    </row>
    <row r="14" spans="2:42" ht="4.5" customHeight="1" x14ac:dyDescent="0.2"/>
    <row r="15" spans="2:42" ht="15" customHeight="1" x14ac:dyDescent="0.2">
      <c r="C15" s="4" t="s">
        <v>19</v>
      </c>
    </row>
    <row r="16" spans="2:42" ht="15" x14ac:dyDescent="0.2">
      <c r="B16" s="1">
        <v>1</v>
      </c>
      <c r="C16" s="1" t="s">
        <v>3</v>
      </c>
      <c r="D16" s="6">
        <v>454</v>
      </c>
      <c r="E16" s="6">
        <f t="shared" ref="E16:E24" si="2">D16/30</f>
        <v>15.133333333333333</v>
      </c>
      <c r="F16" s="10">
        <f t="shared" ref="F16:F24" si="3">D16/$D$25</f>
        <v>0.32874728457639391</v>
      </c>
      <c r="G16" s="6">
        <f t="shared" ref="G16:AJ16" si="4">$E$16</f>
        <v>15.133333333333333</v>
      </c>
      <c r="H16" s="6">
        <f t="shared" si="4"/>
        <v>15.133333333333333</v>
      </c>
      <c r="I16" s="6">
        <f t="shared" si="4"/>
        <v>15.133333333333333</v>
      </c>
      <c r="J16" s="6">
        <f t="shared" si="4"/>
        <v>15.133333333333333</v>
      </c>
      <c r="K16" s="6">
        <f t="shared" si="4"/>
        <v>15.133333333333333</v>
      </c>
      <c r="L16" s="6">
        <f t="shared" si="4"/>
        <v>15.133333333333333</v>
      </c>
      <c r="M16" s="6">
        <f t="shared" si="4"/>
        <v>15.133333333333333</v>
      </c>
      <c r="N16" s="6">
        <f t="shared" si="4"/>
        <v>15.133333333333333</v>
      </c>
      <c r="O16" s="6">
        <f t="shared" si="4"/>
        <v>15.133333333333333</v>
      </c>
      <c r="P16" s="6">
        <f t="shared" si="4"/>
        <v>15.133333333333333</v>
      </c>
      <c r="Q16" s="6">
        <f t="shared" si="4"/>
        <v>15.133333333333333</v>
      </c>
      <c r="R16" s="6">
        <f t="shared" si="4"/>
        <v>15.133333333333333</v>
      </c>
      <c r="S16" s="6">
        <f t="shared" si="4"/>
        <v>15.133333333333333</v>
      </c>
      <c r="T16" s="6">
        <f t="shared" si="4"/>
        <v>15.133333333333333</v>
      </c>
      <c r="U16" s="6">
        <f t="shared" si="4"/>
        <v>15.133333333333333</v>
      </c>
      <c r="V16" s="6">
        <f t="shared" si="4"/>
        <v>15.133333333333333</v>
      </c>
      <c r="W16" s="6">
        <f t="shared" si="4"/>
        <v>15.133333333333333</v>
      </c>
      <c r="X16" s="6">
        <f t="shared" si="4"/>
        <v>15.133333333333333</v>
      </c>
      <c r="Y16" s="6">
        <f t="shared" si="4"/>
        <v>15.133333333333333</v>
      </c>
      <c r="Z16" s="6">
        <f t="shared" si="4"/>
        <v>15.133333333333333</v>
      </c>
      <c r="AA16" s="6">
        <f t="shared" si="4"/>
        <v>15.133333333333333</v>
      </c>
      <c r="AB16" s="6">
        <f t="shared" si="4"/>
        <v>15.133333333333333</v>
      </c>
      <c r="AC16" s="6">
        <f t="shared" si="4"/>
        <v>15.133333333333333</v>
      </c>
      <c r="AD16" s="6">
        <f t="shared" si="4"/>
        <v>15.133333333333333</v>
      </c>
      <c r="AE16" s="6">
        <f t="shared" si="4"/>
        <v>15.133333333333333</v>
      </c>
      <c r="AF16" s="6">
        <f t="shared" si="4"/>
        <v>15.133333333333333</v>
      </c>
      <c r="AG16" s="6">
        <f t="shared" si="4"/>
        <v>15.133333333333333</v>
      </c>
      <c r="AH16" s="6">
        <f t="shared" si="4"/>
        <v>15.133333333333333</v>
      </c>
      <c r="AI16" s="6">
        <f t="shared" si="4"/>
        <v>15.133333333333333</v>
      </c>
      <c r="AJ16" s="6">
        <f t="shared" si="4"/>
        <v>15.133333333333333</v>
      </c>
      <c r="AL16" s="43">
        <v>0</v>
      </c>
      <c r="AM16" s="74">
        <f t="shared" ref="AM16:AM25" si="5">AL16/D16</f>
        <v>0</v>
      </c>
      <c r="AO16" s="5">
        <f t="shared" ref="AO16:AO24" si="6">SUM(G16:AJ16)</f>
        <v>453.99999999999983</v>
      </c>
      <c r="AP16" s="70">
        <f t="shared" ref="AP16:AP24" si="7">AO16/$AO$25</f>
        <v>0.32874728457639385</v>
      </c>
    </row>
    <row r="17" spans="2:42" ht="15" x14ac:dyDescent="0.2">
      <c r="B17" s="1">
        <v>2</v>
      </c>
      <c r="C17" s="1" t="s">
        <v>12</v>
      </c>
      <c r="D17" s="6">
        <v>400</v>
      </c>
      <c r="E17" s="6">
        <f t="shared" si="2"/>
        <v>13.333333333333334</v>
      </c>
      <c r="F17" s="10">
        <f t="shared" si="3"/>
        <v>0.28964518464880523</v>
      </c>
      <c r="G17" s="6">
        <f t="shared" ref="G17:AJ17" si="8">$E$17</f>
        <v>13.333333333333334</v>
      </c>
      <c r="H17" s="6">
        <f t="shared" si="8"/>
        <v>13.333333333333334</v>
      </c>
      <c r="I17" s="6">
        <f t="shared" si="8"/>
        <v>13.333333333333334</v>
      </c>
      <c r="J17" s="6">
        <f t="shared" si="8"/>
        <v>13.333333333333334</v>
      </c>
      <c r="K17" s="6">
        <f t="shared" si="8"/>
        <v>13.333333333333334</v>
      </c>
      <c r="L17" s="6">
        <f t="shared" si="8"/>
        <v>13.333333333333334</v>
      </c>
      <c r="M17" s="6">
        <f t="shared" si="8"/>
        <v>13.333333333333334</v>
      </c>
      <c r="N17" s="6">
        <f t="shared" si="8"/>
        <v>13.333333333333334</v>
      </c>
      <c r="O17" s="6">
        <f t="shared" si="8"/>
        <v>13.333333333333334</v>
      </c>
      <c r="P17" s="6">
        <f t="shared" si="8"/>
        <v>13.333333333333334</v>
      </c>
      <c r="Q17" s="6">
        <f t="shared" si="8"/>
        <v>13.333333333333334</v>
      </c>
      <c r="R17" s="6">
        <f t="shared" si="8"/>
        <v>13.333333333333334</v>
      </c>
      <c r="S17" s="6">
        <f t="shared" si="8"/>
        <v>13.333333333333334</v>
      </c>
      <c r="T17" s="6">
        <f t="shared" si="8"/>
        <v>13.333333333333334</v>
      </c>
      <c r="U17" s="6">
        <f t="shared" si="8"/>
        <v>13.333333333333334</v>
      </c>
      <c r="V17" s="6">
        <f t="shared" si="8"/>
        <v>13.333333333333334</v>
      </c>
      <c r="W17" s="6">
        <f t="shared" si="8"/>
        <v>13.333333333333334</v>
      </c>
      <c r="X17" s="6">
        <f t="shared" si="8"/>
        <v>13.333333333333334</v>
      </c>
      <c r="Y17" s="6">
        <f t="shared" si="8"/>
        <v>13.333333333333334</v>
      </c>
      <c r="Z17" s="6">
        <f t="shared" si="8"/>
        <v>13.333333333333334</v>
      </c>
      <c r="AA17" s="6">
        <f t="shared" si="8"/>
        <v>13.333333333333334</v>
      </c>
      <c r="AB17" s="6">
        <f t="shared" si="8"/>
        <v>13.333333333333334</v>
      </c>
      <c r="AC17" s="6">
        <f t="shared" si="8"/>
        <v>13.333333333333334</v>
      </c>
      <c r="AD17" s="6">
        <f t="shared" si="8"/>
        <v>13.333333333333334</v>
      </c>
      <c r="AE17" s="6">
        <f t="shared" si="8"/>
        <v>13.333333333333334</v>
      </c>
      <c r="AF17" s="6">
        <f t="shared" si="8"/>
        <v>13.333333333333334</v>
      </c>
      <c r="AG17" s="6">
        <f t="shared" si="8"/>
        <v>13.333333333333334</v>
      </c>
      <c r="AH17" s="6">
        <f t="shared" si="8"/>
        <v>13.333333333333334</v>
      </c>
      <c r="AI17" s="6">
        <f t="shared" si="8"/>
        <v>13.333333333333334</v>
      </c>
      <c r="AJ17" s="6">
        <f t="shared" si="8"/>
        <v>13.333333333333334</v>
      </c>
      <c r="AL17" s="43">
        <v>0</v>
      </c>
      <c r="AM17" s="74">
        <f t="shared" si="5"/>
        <v>0</v>
      </c>
      <c r="AO17" s="5">
        <f t="shared" si="6"/>
        <v>399.99999999999989</v>
      </c>
      <c r="AP17" s="70">
        <f t="shared" si="7"/>
        <v>0.28964518464880518</v>
      </c>
    </row>
    <row r="18" spans="2:42" ht="15" x14ac:dyDescent="0.2">
      <c r="B18" s="1">
        <v>3</v>
      </c>
      <c r="C18" s="1" t="s">
        <v>11</v>
      </c>
      <c r="D18" s="6">
        <v>209</v>
      </c>
      <c r="E18" s="6">
        <f t="shared" si="2"/>
        <v>6.9666666666666668</v>
      </c>
      <c r="F18" s="10">
        <f t="shared" si="3"/>
        <v>0.15133960897900073</v>
      </c>
      <c r="G18" s="6">
        <f t="shared" ref="G18:AJ18" si="9">$E$18</f>
        <v>6.9666666666666668</v>
      </c>
      <c r="H18" s="6">
        <f t="shared" si="9"/>
        <v>6.9666666666666668</v>
      </c>
      <c r="I18" s="6">
        <f t="shared" si="9"/>
        <v>6.9666666666666668</v>
      </c>
      <c r="J18" s="6">
        <f t="shared" si="9"/>
        <v>6.9666666666666668</v>
      </c>
      <c r="K18" s="6">
        <f t="shared" si="9"/>
        <v>6.9666666666666668</v>
      </c>
      <c r="L18" s="6">
        <f t="shared" si="9"/>
        <v>6.9666666666666668</v>
      </c>
      <c r="M18" s="6">
        <f t="shared" si="9"/>
        <v>6.9666666666666668</v>
      </c>
      <c r="N18" s="6">
        <f t="shared" si="9"/>
        <v>6.9666666666666668</v>
      </c>
      <c r="O18" s="6">
        <f t="shared" si="9"/>
        <v>6.9666666666666668</v>
      </c>
      <c r="P18" s="6">
        <f t="shared" si="9"/>
        <v>6.9666666666666668</v>
      </c>
      <c r="Q18" s="6">
        <f t="shared" si="9"/>
        <v>6.9666666666666668</v>
      </c>
      <c r="R18" s="6">
        <f t="shared" si="9"/>
        <v>6.9666666666666668</v>
      </c>
      <c r="S18" s="6">
        <f t="shared" si="9"/>
        <v>6.9666666666666668</v>
      </c>
      <c r="T18" s="6">
        <f t="shared" si="9"/>
        <v>6.9666666666666668</v>
      </c>
      <c r="U18" s="6">
        <f t="shared" si="9"/>
        <v>6.9666666666666668</v>
      </c>
      <c r="V18" s="6">
        <f t="shared" si="9"/>
        <v>6.9666666666666668</v>
      </c>
      <c r="W18" s="6">
        <f t="shared" si="9"/>
        <v>6.9666666666666668</v>
      </c>
      <c r="X18" s="6">
        <f t="shared" si="9"/>
        <v>6.9666666666666668</v>
      </c>
      <c r="Y18" s="6">
        <f t="shared" si="9"/>
        <v>6.9666666666666668</v>
      </c>
      <c r="Z18" s="6">
        <f t="shared" si="9"/>
        <v>6.9666666666666668</v>
      </c>
      <c r="AA18" s="6">
        <f t="shared" si="9"/>
        <v>6.9666666666666668</v>
      </c>
      <c r="AB18" s="6">
        <f t="shared" si="9"/>
        <v>6.9666666666666668</v>
      </c>
      <c r="AC18" s="6">
        <f t="shared" si="9"/>
        <v>6.9666666666666668</v>
      </c>
      <c r="AD18" s="6">
        <f t="shared" si="9"/>
        <v>6.9666666666666668</v>
      </c>
      <c r="AE18" s="6">
        <f t="shared" si="9"/>
        <v>6.9666666666666668</v>
      </c>
      <c r="AF18" s="6">
        <f t="shared" si="9"/>
        <v>6.9666666666666668</v>
      </c>
      <c r="AG18" s="6">
        <f t="shared" si="9"/>
        <v>6.9666666666666668</v>
      </c>
      <c r="AH18" s="6">
        <f t="shared" si="9"/>
        <v>6.9666666666666668</v>
      </c>
      <c r="AI18" s="6">
        <f t="shared" si="9"/>
        <v>6.9666666666666668</v>
      </c>
      <c r="AJ18" s="6">
        <f t="shared" si="9"/>
        <v>6.9666666666666668</v>
      </c>
      <c r="AL18" s="43">
        <v>0</v>
      </c>
      <c r="AM18" s="74">
        <f t="shared" si="5"/>
        <v>0</v>
      </c>
      <c r="AO18" s="5">
        <f t="shared" si="6"/>
        <v>209.00000000000003</v>
      </c>
      <c r="AP18" s="70">
        <f t="shared" si="7"/>
        <v>0.15133960897900076</v>
      </c>
    </row>
    <row r="19" spans="2:42" ht="15" x14ac:dyDescent="0.2">
      <c r="B19" s="1">
        <v>4</v>
      </c>
      <c r="C19" s="1" t="s">
        <v>4</v>
      </c>
      <c r="D19" s="6">
        <v>150</v>
      </c>
      <c r="E19" s="6">
        <f t="shared" si="2"/>
        <v>5</v>
      </c>
      <c r="F19" s="10">
        <f t="shared" si="3"/>
        <v>0.10861694424330195</v>
      </c>
      <c r="G19" s="6">
        <f t="shared" ref="G19:AJ19" si="10">$E$19</f>
        <v>5</v>
      </c>
      <c r="H19" s="6">
        <f t="shared" si="10"/>
        <v>5</v>
      </c>
      <c r="I19" s="6">
        <f t="shared" si="10"/>
        <v>5</v>
      </c>
      <c r="J19" s="6">
        <f t="shared" si="10"/>
        <v>5</v>
      </c>
      <c r="K19" s="6">
        <f t="shared" si="10"/>
        <v>5</v>
      </c>
      <c r="L19" s="6">
        <f t="shared" si="10"/>
        <v>5</v>
      </c>
      <c r="M19" s="6">
        <f t="shared" si="10"/>
        <v>5</v>
      </c>
      <c r="N19" s="6">
        <f t="shared" si="10"/>
        <v>5</v>
      </c>
      <c r="O19" s="6">
        <f t="shared" si="10"/>
        <v>5</v>
      </c>
      <c r="P19" s="6">
        <f t="shared" si="10"/>
        <v>5</v>
      </c>
      <c r="Q19" s="6">
        <f t="shared" si="10"/>
        <v>5</v>
      </c>
      <c r="R19" s="6">
        <f t="shared" si="10"/>
        <v>5</v>
      </c>
      <c r="S19" s="6">
        <f t="shared" si="10"/>
        <v>5</v>
      </c>
      <c r="T19" s="6">
        <f t="shared" si="10"/>
        <v>5</v>
      </c>
      <c r="U19" s="6">
        <f t="shared" si="10"/>
        <v>5</v>
      </c>
      <c r="V19" s="6">
        <f t="shared" si="10"/>
        <v>5</v>
      </c>
      <c r="W19" s="6">
        <f t="shared" si="10"/>
        <v>5</v>
      </c>
      <c r="X19" s="6">
        <f t="shared" si="10"/>
        <v>5</v>
      </c>
      <c r="Y19" s="6">
        <f t="shared" si="10"/>
        <v>5</v>
      </c>
      <c r="Z19" s="6">
        <f t="shared" si="10"/>
        <v>5</v>
      </c>
      <c r="AA19" s="6">
        <f t="shared" si="10"/>
        <v>5</v>
      </c>
      <c r="AB19" s="6">
        <f t="shared" si="10"/>
        <v>5</v>
      </c>
      <c r="AC19" s="6">
        <f t="shared" si="10"/>
        <v>5</v>
      </c>
      <c r="AD19" s="6">
        <f t="shared" si="10"/>
        <v>5</v>
      </c>
      <c r="AE19" s="6">
        <f t="shared" si="10"/>
        <v>5</v>
      </c>
      <c r="AF19" s="6">
        <f t="shared" si="10"/>
        <v>5</v>
      </c>
      <c r="AG19" s="6">
        <f t="shared" si="10"/>
        <v>5</v>
      </c>
      <c r="AH19" s="6">
        <f t="shared" si="10"/>
        <v>5</v>
      </c>
      <c r="AI19" s="6">
        <f t="shared" si="10"/>
        <v>5</v>
      </c>
      <c r="AJ19" s="6">
        <f t="shared" si="10"/>
        <v>5</v>
      </c>
      <c r="AL19" s="43">
        <v>0</v>
      </c>
      <c r="AM19" s="74">
        <f t="shared" si="5"/>
        <v>0</v>
      </c>
      <c r="AO19" s="5">
        <f t="shared" si="6"/>
        <v>150</v>
      </c>
      <c r="AP19" s="70">
        <f t="shared" si="7"/>
        <v>0.10861694424330197</v>
      </c>
    </row>
    <row r="20" spans="2:42" ht="15" x14ac:dyDescent="0.2">
      <c r="B20" s="1">
        <v>5</v>
      </c>
      <c r="C20" s="1" t="s">
        <v>13</v>
      </c>
      <c r="D20" s="6">
        <v>118</v>
      </c>
      <c r="E20" s="6">
        <f t="shared" si="2"/>
        <v>3.9333333333333331</v>
      </c>
      <c r="F20" s="10">
        <f t="shared" si="3"/>
        <v>8.5445329471397533E-2</v>
      </c>
      <c r="G20" s="6">
        <f t="shared" ref="G20:AJ20" si="11">$E$20</f>
        <v>3.9333333333333331</v>
      </c>
      <c r="H20" s="6">
        <f t="shared" si="11"/>
        <v>3.9333333333333331</v>
      </c>
      <c r="I20" s="6">
        <f t="shared" si="11"/>
        <v>3.9333333333333331</v>
      </c>
      <c r="J20" s="6">
        <f t="shared" si="11"/>
        <v>3.9333333333333331</v>
      </c>
      <c r="K20" s="6">
        <f t="shared" si="11"/>
        <v>3.9333333333333331</v>
      </c>
      <c r="L20" s="6">
        <f t="shared" si="11"/>
        <v>3.9333333333333331</v>
      </c>
      <c r="M20" s="6">
        <f t="shared" si="11"/>
        <v>3.9333333333333331</v>
      </c>
      <c r="N20" s="6">
        <f t="shared" si="11"/>
        <v>3.9333333333333331</v>
      </c>
      <c r="O20" s="6">
        <f t="shared" si="11"/>
        <v>3.9333333333333331</v>
      </c>
      <c r="P20" s="6">
        <f t="shared" si="11"/>
        <v>3.9333333333333331</v>
      </c>
      <c r="Q20" s="6">
        <f t="shared" si="11"/>
        <v>3.9333333333333331</v>
      </c>
      <c r="R20" s="6">
        <f t="shared" si="11"/>
        <v>3.9333333333333331</v>
      </c>
      <c r="S20" s="6">
        <f t="shared" si="11"/>
        <v>3.9333333333333331</v>
      </c>
      <c r="T20" s="6">
        <f t="shared" si="11"/>
        <v>3.9333333333333331</v>
      </c>
      <c r="U20" s="6">
        <f t="shared" si="11"/>
        <v>3.9333333333333331</v>
      </c>
      <c r="V20" s="6">
        <f t="shared" si="11"/>
        <v>3.9333333333333331</v>
      </c>
      <c r="W20" s="6">
        <f t="shared" si="11"/>
        <v>3.9333333333333331</v>
      </c>
      <c r="X20" s="6">
        <f t="shared" si="11"/>
        <v>3.9333333333333331</v>
      </c>
      <c r="Y20" s="6">
        <f t="shared" si="11"/>
        <v>3.9333333333333331</v>
      </c>
      <c r="Z20" s="6">
        <f t="shared" si="11"/>
        <v>3.9333333333333331</v>
      </c>
      <c r="AA20" s="6">
        <f t="shared" si="11"/>
        <v>3.9333333333333331</v>
      </c>
      <c r="AB20" s="6">
        <f t="shared" si="11"/>
        <v>3.9333333333333331</v>
      </c>
      <c r="AC20" s="6">
        <f t="shared" si="11"/>
        <v>3.9333333333333331</v>
      </c>
      <c r="AD20" s="6">
        <f t="shared" si="11"/>
        <v>3.9333333333333331</v>
      </c>
      <c r="AE20" s="6">
        <f t="shared" si="11"/>
        <v>3.9333333333333331</v>
      </c>
      <c r="AF20" s="6">
        <f t="shared" si="11"/>
        <v>3.9333333333333331</v>
      </c>
      <c r="AG20" s="6">
        <f t="shared" si="11"/>
        <v>3.9333333333333331</v>
      </c>
      <c r="AH20" s="6">
        <f t="shared" si="11"/>
        <v>3.9333333333333331</v>
      </c>
      <c r="AI20" s="6">
        <f t="shared" si="11"/>
        <v>3.9333333333333331</v>
      </c>
      <c r="AJ20" s="6">
        <f t="shared" si="11"/>
        <v>3.9333333333333331</v>
      </c>
      <c r="AL20" s="43">
        <v>0</v>
      </c>
      <c r="AM20" s="74">
        <f t="shared" si="5"/>
        <v>0</v>
      </c>
      <c r="AO20" s="5">
        <f t="shared" si="6"/>
        <v>118.00000000000003</v>
      </c>
      <c r="AP20" s="70">
        <f t="shared" si="7"/>
        <v>8.5445329471397574E-2</v>
      </c>
    </row>
    <row r="21" spans="2:42" ht="15" x14ac:dyDescent="0.2">
      <c r="B21" s="1">
        <v>6</v>
      </c>
      <c r="C21" s="1" t="s">
        <v>6</v>
      </c>
      <c r="D21" s="6">
        <v>25</v>
      </c>
      <c r="E21" s="6">
        <f t="shared" si="2"/>
        <v>0.83333333333333337</v>
      </c>
      <c r="F21" s="10">
        <f t="shared" si="3"/>
        <v>1.8102824040550327E-2</v>
      </c>
      <c r="G21" s="6">
        <f t="shared" ref="G21:AJ21" si="12">$E$21</f>
        <v>0.83333333333333337</v>
      </c>
      <c r="H21" s="6">
        <f t="shared" si="12"/>
        <v>0.83333333333333337</v>
      </c>
      <c r="I21" s="6">
        <f t="shared" si="12"/>
        <v>0.83333333333333337</v>
      </c>
      <c r="J21" s="6">
        <f t="shared" si="12"/>
        <v>0.83333333333333337</v>
      </c>
      <c r="K21" s="6">
        <f t="shared" si="12"/>
        <v>0.83333333333333337</v>
      </c>
      <c r="L21" s="6">
        <f t="shared" si="12"/>
        <v>0.83333333333333337</v>
      </c>
      <c r="M21" s="6">
        <f t="shared" si="12"/>
        <v>0.83333333333333337</v>
      </c>
      <c r="N21" s="6">
        <f t="shared" si="12"/>
        <v>0.83333333333333337</v>
      </c>
      <c r="O21" s="6">
        <f t="shared" si="12"/>
        <v>0.83333333333333337</v>
      </c>
      <c r="P21" s="6">
        <f t="shared" si="12"/>
        <v>0.83333333333333337</v>
      </c>
      <c r="Q21" s="6">
        <f t="shared" si="12"/>
        <v>0.83333333333333337</v>
      </c>
      <c r="R21" s="6">
        <f t="shared" si="12"/>
        <v>0.83333333333333337</v>
      </c>
      <c r="S21" s="6">
        <f t="shared" si="12"/>
        <v>0.83333333333333337</v>
      </c>
      <c r="T21" s="6">
        <f t="shared" si="12"/>
        <v>0.83333333333333337</v>
      </c>
      <c r="U21" s="6">
        <f t="shared" si="12"/>
        <v>0.83333333333333337</v>
      </c>
      <c r="V21" s="6">
        <f t="shared" si="12"/>
        <v>0.83333333333333337</v>
      </c>
      <c r="W21" s="6">
        <f t="shared" si="12"/>
        <v>0.83333333333333337</v>
      </c>
      <c r="X21" s="6">
        <f t="shared" si="12"/>
        <v>0.83333333333333337</v>
      </c>
      <c r="Y21" s="6">
        <f t="shared" si="12"/>
        <v>0.83333333333333337</v>
      </c>
      <c r="Z21" s="6">
        <f t="shared" si="12"/>
        <v>0.83333333333333337</v>
      </c>
      <c r="AA21" s="6">
        <f t="shared" si="12"/>
        <v>0.83333333333333337</v>
      </c>
      <c r="AB21" s="6">
        <f t="shared" si="12"/>
        <v>0.83333333333333337</v>
      </c>
      <c r="AC21" s="6">
        <f t="shared" si="12"/>
        <v>0.83333333333333337</v>
      </c>
      <c r="AD21" s="6">
        <f t="shared" si="12"/>
        <v>0.83333333333333337</v>
      </c>
      <c r="AE21" s="6">
        <f t="shared" si="12"/>
        <v>0.83333333333333337</v>
      </c>
      <c r="AF21" s="6">
        <f t="shared" si="12"/>
        <v>0.83333333333333337</v>
      </c>
      <c r="AG21" s="6">
        <f t="shared" si="12"/>
        <v>0.83333333333333337</v>
      </c>
      <c r="AH21" s="6">
        <f t="shared" si="12"/>
        <v>0.83333333333333337</v>
      </c>
      <c r="AI21" s="6">
        <f t="shared" si="12"/>
        <v>0.83333333333333337</v>
      </c>
      <c r="AJ21" s="6">
        <f t="shared" si="12"/>
        <v>0.83333333333333337</v>
      </c>
      <c r="AL21" s="43">
        <v>0</v>
      </c>
      <c r="AM21" s="74">
        <f t="shared" si="5"/>
        <v>0</v>
      </c>
      <c r="AO21" s="5">
        <f t="shared" si="6"/>
        <v>24.999999999999993</v>
      </c>
      <c r="AP21" s="70">
        <f t="shared" si="7"/>
        <v>1.8102824040550324E-2</v>
      </c>
    </row>
    <row r="22" spans="2:42" ht="15" x14ac:dyDescent="0.2">
      <c r="B22" s="1">
        <v>7</v>
      </c>
      <c r="C22" s="1" t="s">
        <v>16</v>
      </c>
      <c r="D22" s="6">
        <v>25</v>
      </c>
      <c r="E22" s="6">
        <f t="shared" si="2"/>
        <v>0.83333333333333337</v>
      </c>
      <c r="F22" s="10">
        <f t="shared" si="3"/>
        <v>1.8102824040550327E-2</v>
      </c>
      <c r="G22" s="6">
        <f t="shared" ref="G22:AJ22" si="13">$E$22</f>
        <v>0.83333333333333337</v>
      </c>
      <c r="H22" s="6">
        <f t="shared" si="13"/>
        <v>0.83333333333333337</v>
      </c>
      <c r="I22" s="6">
        <f t="shared" si="13"/>
        <v>0.83333333333333337</v>
      </c>
      <c r="J22" s="6">
        <f t="shared" si="13"/>
        <v>0.83333333333333337</v>
      </c>
      <c r="K22" s="6">
        <f t="shared" si="13"/>
        <v>0.83333333333333337</v>
      </c>
      <c r="L22" s="6">
        <f t="shared" si="13"/>
        <v>0.83333333333333337</v>
      </c>
      <c r="M22" s="6">
        <f t="shared" si="13"/>
        <v>0.83333333333333337</v>
      </c>
      <c r="N22" s="6">
        <f t="shared" si="13"/>
        <v>0.83333333333333337</v>
      </c>
      <c r="O22" s="6">
        <f t="shared" si="13"/>
        <v>0.83333333333333337</v>
      </c>
      <c r="P22" s="6">
        <f t="shared" si="13"/>
        <v>0.83333333333333337</v>
      </c>
      <c r="Q22" s="6">
        <f t="shared" si="13"/>
        <v>0.83333333333333337</v>
      </c>
      <c r="R22" s="6">
        <f t="shared" si="13"/>
        <v>0.83333333333333337</v>
      </c>
      <c r="S22" s="6">
        <f t="shared" si="13"/>
        <v>0.83333333333333337</v>
      </c>
      <c r="T22" s="6">
        <f t="shared" si="13"/>
        <v>0.83333333333333337</v>
      </c>
      <c r="U22" s="6">
        <f t="shared" si="13"/>
        <v>0.83333333333333337</v>
      </c>
      <c r="V22" s="6">
        <f t="shared" si="13"/>
        <v>0.83333333333333337</v>
      </c>
      <c r="W22" s="6">
        <f t="shared" si="13"/>
        <v>0.83333333333333337</v>
      </c>
      <c r="X22" s="6">
        <f t="shared" si="13"/>
        <v>0.83333333333333337</v>
      </c>
      <c r="Y22" s="6">
        <f t="shared" si="13"/>
        <v>0.83333333333333337</v>
      </c>
      <c r="Z22" s="6">
        <f t="shared" si="13"/>
        <v>0.83333333333333337</v>
      </c>
      <c r="AA22" s="6">
        <f t="shared" si="13"/>
        <v>0.83333333333333337</v>
      </c>
      <c r="AB22" s="6">
        <f t="shared" si="13"/>
        <v>0.83333333333333337</v>
      </c>
      <c r="AC22" s="6">
        <f t="shared" si="13"/>
        <v>0.83333333333333337</v>
      </c>
      <c r="AD22" s="6">
        <f t="shared" si="13"/>
        <v>0.83333333333333337</v>
      </c>
      <c r="AE22" s="6">
        <f t="shared" si="13"/>
        <v>0.83333333333333337</v>
      </c>
      <c r="AF22" s="6">
        <f t="shared" si="13"/>
        <v>0.83333333333333337</v>
      </c>
      <c r="AG22" s="6">
        <f t="shared" si="13"/>
        <v>0.83333333333333337</v>
      </c>
      <c r="AH22" s="6">
        <f t="shared" si="13"/>
        <v>0.83333333333333337</v>
      </c>
      <c r="AI22" s="6">
        <f t="shared" si="13"/>
        <v>0.83333333333333337</v>
      </c>
      <c r="AJ22" s="6">
        <f t="shared" si="13"/>
        <v>0.83333333333333337</v>
      </c>
      <c r="AL22" s="43">
        <v>0</v>
      </c>
      <c r="AM22" s="74">
        <f t="shared" si="5"/>
        <v>0</v>
      </c>
      <c r="AO22" s="5">
        <f t="shared" si="6"/>
        <v>24.999999999999993</v>
      </c>
      <c r="AP22" s="70">
        <f t="shared" si="7"/>
        <v>1.8102824040550324E-2</v>
      </c>
    </row>
    <row r="23" spans="2:42" ht="15" x14ac:dyDescent="0.2">
      <c r="B23" s="1">
        <v>8</v>
      </c>
      <c r="C23" s="1" t="s">
        <v>44</v>
      </c>
      <c r="D23" s="6">
        <v>0</v>
      </c>
      <c r="E23" s="6">
        <f t="shared" si="2"/>
        <v>0</v>
      </c>
      <c r="F23" s="10">
        <f t="shared" si="3"/>
        <v>0</v>
      </c>
      <c r="G23" s="6">
        <f t="shared" ref="G23:AJ23" si="14">$E$23</f>
        <v>0</v>
      </c>
      <c r="H23" s="6">
        <f t="shared" si="14"/>
        <v>0</v>
      </c>
      <c r="I23" s="6">
        <f t="shared" si="14"/>
        <v>0</v>
      </c>
      <c r="J23" s="6">
        <f t="shared" si="14"/>
        <v>0</v>
      </c>
      <c r="K23" s="6">
        <f t="shared" si="14"/>
        <v>0</v>
      </c>
      <c r="L23" s="6">
        <f t="shared" si="14"/>
        <v>0</v>
      </c>
      <c r="M23" s="6">
        <f t="shared" si="14"/>
        <v>0</v>
      </c>
      <c r="N23" s="6">
        <f t="shared" si="14"/>
        <v>0</v>
      </c>
      <c r="O23" s="6">
        <f t="shared" si="14"/>
        <v>0</v>
      </c>
      <c r="P23" s="6">
        <f t="shared" si="14"/>
        <v>0</v>
      </c>
      <c r="Q23" s="6">
        <f t="shared" si="14"/>
        <v>0</v>
      </c>
      <c r="R23" s="6">
        <f t="shared" si="14"/>
        <v>0</v>
      </c>
      <c r="S23" s="6">
        <f t="shared" si="14"/>
        <v>0</v>
      </c>
      <c r="T23" s="6">
        <f t="shared" si="14"/>
        <v>0</v>
      </c>
      <c r="U23" s="6">
        <f t="shared" si="14"/>
        <v>0</v>
      </c>
      <c r="V23" s="6">
        <f t="shared" si="14"/>
        <v>0</v>
      </c>
      <c r="W23" s="6">
        <f t="shared" si="14"/>
        <v>0</v>
      </c>
      <c r="X23" s="6">
        <f t="shared" si="14"/>
        <v>0</v>
      </c>
      <c r="Y23" s="6">
        <f t="shared" si="14"/>
        <v>0</v>
      </c>
      <c r="Z23" s="6">
        <f t="shared" si="14"/>
        <v>0</v>
      </c>
      <c r="AA23" s="6">
        <f t="shared" si="14"/>
        <v>0</v>
      </c>
      <c r="AB23" s="6">
        <f t="shared" si="14"/>
        <v>0</v>
      </c>
      <c r="AC23" s="6">
        <f t="shared" si="14"/>
        <v>0</v>
      </c>
      <c r="AD23" s="6">
        <f t="shared" si="14"/>
        <v>0</v>
      </c>
      <c r="AE23" s="6">
        <f t="shared" si="14"/>
        <v>0</v>
      </c>
      <c r="AF23" s="6">
        <f t="shared" si="14"/>
        <v>0</v>
      </c>
      <c r="AG23" s="6">
        <f t="shared" si="14"/>
        <v>0</v>
      </c>
      <c r="AH23" s="6">
        <f t="shared" si="14"/>
        <v>0</v>
      </c>
      <c r="AI23" s="6">
        <f t="shared" si="14"/>
        <v>0</v>
      </c>
      <c r="AJ23" s="6">
        <f t="shared" si="14"/>
        <v>0</v>
      </c>
      <c r="AL23" s="43">
        <v>0</v>
      </c>
      <c r="AM23" s="74" t="e">
        <f t="shared" si="5"/>
        <v>#DIV/0!</v>
      </c>
      <c r="AO23" s="5">
        <f t="shared" si="6"/>
        <v>0</v>
      </c>
      <c r="AP23" s="70">
        <f t="shared" si="7"/>
        <v>0</v>
      </c>
    </row>
    <row r="24" spans="2:42" ht="15" x14ac:dyDescent="0.2">
      <c r="B24" s="1">
        <v>9</v>
      </c>
      <c r="C24" s="1" t="s">
        <v>5</v>
      </c>
      <c r="D24" s="6">
        <v>0</v>
      </c>
      <c r="E24" s="6">
        <f t="shared" si="2"/>
        <v>0</v>
      </c>
      <c r="F24" s="10">
        <f t="shared" si="3"/>
        <v>0</v>
      </c>
      <c r="G24" s="6">
        <f t="shared" ref="G24:AJ24" si="15">$E$24</f>
        <v>0</v>
      </c>
      <c r="H24" s="6">
        <f t="shared" si="15"/>
        <v>0</v>
      </c>
      <c r="I24" s="6">
        <f t="shared" si="15"/>
        <v>0</v>
      </c>
      <c r="J24" s="6">
        <f t="shared" si="15"/>
        <v>0</v>
      </c>
      <c r="K24" s="6">
        <f t="shared" si="15"/>
        <v>0</v>
      </c>
      <c r="L24" s="6">
        <f t="shared" si="15"/>
        <v>0</v>
      </c>
      <c r="M24" s="6">
        <f t="shared" si="15"/>
        <v>0</v>
      </c>
      <c r="N24" s="6">
        <f t="shared" si="15"/>
        <v>0</v>
      </c>
      <c r="O24" s="6">
        <f t="shared" si="15"/>
        <v>0</v>
      </c>
      <c r="P24" s="6">
        <f t="shared" si="15"/>
        <v>0</v>
      </c>
      <c r="Q24" s="6">
        <f t="shared" si="15"/>
        <v>0</v>
      </c>
      <c r="R24" s="6">
        <f t="shared" si="15"/>
        <v>0</v>
      </c>
      <c r="S24" s="6">
        <f t="shared" si="15"/>
        <v>0</v>
      </c>
      <c r="T24" s="6">
        <f t="shared" si="15"/>
        <v>0</v>
      </c>
      <c r="U24" s="6">
        <f t="shared" si="15"/>
        <v>0</v>
      </c>
      <c r="V24" s="6">
        <f t="shared" si="15"/>
        <v>0</v>
      </c>
      <c r="W24" s="6">
        <f t="shared" si="15"/>
        <v>0</v>
      </c>
      <c r="X24" s="6">
        <f t="shared" si="15"/>
        <v>0</v>
      </c>
      <c r="Y24" s="6">
        <f t="shared" si="15"/>
        <v>0</v>
      </c>
      <c r="Z24" s="6">
        <f t="shared" si="15"/>
        <v>0</v>
      </c>
      <c r="AA24" s="6">
        <f t="shared" si="15"/>
        <v>0</v>
      </c>
      <c r="AB24" s="6">
        <f t="shared" si="15"/>
        <v>0</v>
      </c>
      <c r="AC24" s="6">
        <f t="shared" si="15"/>
        <v>0</v>
      </c>
      <c r="AD24" s="6">
        <f t="shared" si="15"/>
        <v>0</v>
      </c>
      <c r="AE24" s="6">
        <f t="shared" si="15"/>
        <v>0</v>
      </c>
      <c r="AF24" s="6">
        <f t="shared" si="15"/>
        <v>0</v>
      </c>
      <c r="AG24" s="6">
        <f t="shared" si="15"/>
        <v>0</v>
      </c>
      <c r="AH24" s="6">
        <f t="shared" si="15"/>
        <v>0</v>
      </c>
      <c r="AI24" s="6">
        <f t="shared" si="15"/>
        <v>0</v>
      </c>
      <c r="AJ24" s="6">
        <f t="shared" si="15"/>
        <v>0</v>
      </c>
      <c r="AL24" s="43">
        <v>0</v>
      </c>
      <c r="AM24" s="74" t="e">
        <f t="shared" si="5"/>
        <v>#DIV/0!</v>
      </c>
      <c r="AO24" s="5">
        <f t="shared" si="6"/>
        <v>0</v>
      </c>
      <c r="AP24" s="70">
        <f t="shared" si="7"/>
        <v>0</v>
      </c>
    </row>
    <row r="25" spans="2:42" ht="15" x14ac:dyDescent="0.2">
      <c r="B25" s="1"/>
      <c r="C25" s="3" t="s">
        <v>17</v>
      </c>
      <c r="D25" s="5">
        <f>SUM(D16:D24)</f>
        <v>1381</v>
      </c>
      <c r="E25" s="5">
        <f>SUM(E16:E24)</f>
        <v>46.033333333333339</v>
      </c>
      <c r="F25" s="15">
        <f>SUM(F16:F24)</f>
        <v>0.99999999999999989</v>
      </c>
      <c r="G25" s="5">
        <f t="shared" ref="G25:AJ25" si="16">SUM(G16:G24)</f>
        <v>46.033333333333339</v>
      </c>
      <c r="H25" s="5">
        <f t="shared" si="16"/>
        <v>46.033333333333339</v>
      </c>
      <c r="I25" s="5">
        <f t="shared" si="16"/>
        <v>46.033333333333339</v>
      </c>
      <c r="J25" s="5">
        <f t="shared" si="16"/>
        <v>46.033333333333339</v>
      </c>
      <c r="K25" s="5">
        <f t="shared" si="16"/>
        <v>46.033333333333339</v>
      </c>
      <c r="L25" s="5">
        <f t="shared" si="16"/>
        <v>46.033333333333339</v>
      </c>
      <c r="M25" s="5">
        <f t="shared" si="16"/>
        <v>46.033333333333339</v>
      </c>
      <c r="N25" s="5">
        <f t="shared" si="16"/>
        <v>46.033333333333339</v>
      </c>
      <c r="O25" s="5">
        <f t="shared" si="16"/>
        <v>46.033333333333339</v>
      </c>
      <c r="P25" s="5">
        <f t="shared" si="16"/>
        <v>46.033333333333339</v>
      </c>
      <c r="Q25" s="5">
        <f t="shared" si="16"/>
        <v>46.033333333333339</v>
      </c>
      <c r="R25" s="5">
        <f t="shared" si="16"/>
        <v>46.033333333333339</v>
      </c>
      <c r="S25" s="5">
        <f t="shared" si="16"/>
        <v>46.033333333333339</v>
      </c>
      <c r="T25" s="5">
        <f t="shared" si="16"/>
        <v>46.033333333333339</v>
      </c>
      <c r="U25" s="5">
        <f t="shared" si="16"/>
        <v>46.033333333333339</v>
      </c>
      <c r="V25" s="5">
        <f t="shared" si="16"/>
        <v>46.033333333333339</v>
      </c>
      <c r="W25" s="5">
        <f t="shared" si="16"/>
        <v>46.033333333333339</v>
      </c>
      <c r="X25" s="5">
        <f t="shared" si="16"/>
        <v>46.033333333333339</v>
      </c>
      <c r="Y25" s="5">
        <f t="shared" si="16"/>
        <v>46.033333333333339</v>
      </c>
      <c r="Z25" s="5">
        <f t="shared" si="16"/>
        <v>46.033333333333339</v>
      </c>
      <c r="AA25" s="5">
        <f t="shared" si="16"/>
        <v>46.033333333333339</v>
      </c>
      <c r="AB25" s="5">
        <f t="shared" si="16"/>
        <v>46.033333333333339</v>
      </c>
      <c r="AC25" s="5">
        <f t="shared" si="16"/>
        <v>46.033333333333339</v>
      </c>
      <c r="AD25" s="5">
        <f t="shared" si="16"/>
        <v>46.033333333333339</v>
      </c>
      <c r="AE25" s="5">
        <f t="shared" si="16"/>
        <v>46.033333333333339</v>
      </c>
      <c r="AF25" s="5">
        <f t="shared" si="16"/>
        <v>46.033333333333339</v>
      </c>
      <c r="AG25" s="5">
        <f t="shared" si="16"/>
        <v>46.033333333333339</v>
      </c>
      <c r="AH25" s="5">
        <f t="shared" si="16"/>
        <v>46.033333333333339</v>
      </c>
      <c r="AI25" s="5">
        <f t="shared" si="16"/>
        <v>46.033333333333339</v>
      </c>
      <c r="AJ25" s="5">
        <f t="shared" si="16"/>
        <v>46.033333333333339</v>
      </c>
      <c r="AK25" s="4"/>
      <c r="AL25" s="43">
        <f>SUM(AL16:AL24)</f>
        <v>0</v>
      </c>
      <c r="AM25" s="74">
        <f t="shared" si="5"/>
        <v>0</v>
      </c>
      <c r="AN25" s="4"/>
      <c r="AO25" s="5">
        <f>SUM(AO16:AO24)</f>
        <v>1380.9999999999998</v>
      </c>
      <c r="AP25" s="70">
        <f>SUM(AP16:AP24)</f>
        <v>0.99999999999999989</v>
      </c>
    </row>
    <row r="26" spans="2:42" s="13" customFormat="1" ht="15" x14ac:dyDescent="0.2">
      <c r="B26" s="17"/>
      <c r="C26" s="18"/>
      <c r="D26" s="19"/>
      <c r="E26" s="19"/>
      <c r="F26" s="20"/>
      <c r="G26" s="19"/>
      <c r="H26" s="19"/>
      <c r="I26" s="19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6"/>
      <c r="AL26" s="16"/>
      <c r="AM26" s="16"/>
      <c r="AN26" s="16"/>
      <c r="AO26" s="19"/>
      <c r="AP26" s="20"/>
    </row>
    <row r="27" spans="2:42" s="13" customFormat="1" ht="15" x14ac:dyDescent="0.2">
      <c r="B27" s="1"/>
      <c r="C27" s="3" t="s">
        <v>27</v>
      </c>
      <c r="D27" s="31"/>
      <c r="E27" s="31"/>
      <c r="F27" s="32"/>
      <c r="G27" s="87">
        <f t="shared" ref="G27:AJ27" si="17">G10-G25</f>
        <v>23.947448717948724</v>
      </c>
      <c r="H27" s="5">
        <f t="shared" si="17"/>
        <v>34.192448717948729</v>
      </c>
      <c r="I27" s="5">
        <f t="shared" si="17"/>
        <v>19.833333333333336</v>
      </c>
      <c r="J27" s="5">
        <f t="shared" si="17"/>
        <v>12.967833333333338</v>
      </c>
      <c r="K27" s="5">
        <f t="shared" si="17"/>
        <v>4.2678333333333356</v>
      </c>
      <c r="L27" s="5">
        <f t="shared" si="17"/>
        <v>19.01283333333334</v>
      </c>
      <c r="M27" s="5">
        <f t="shared" si="17"/>
        <v>19.833333333333336</v>
      </c>
      <c r="N27" s="5">
        <f t="shared" si="17"/>
        <v>19.833333333333336</v>
      </c>
      <c r="O27" s="5">
        <f t="shared" si="17"/>
        <v>18.532833333333336</v>
      </c>
      <c r="P27" s="5">
        <f t="shared" si="17"/>
        <v>15.307833333333342</v>
      </c>
      <c r="Q27" s="5">
        <f t="shared" si="17"/>
        <v>19.552833333333346</v>
      </c>
      <c r="R27" s="5">
        <f t="shared" si="17"/>
        <v>12.802833333333339</v>
      </c>
      <c r="S27" s="5">
        <f t="shared" si="17"/>
        <v>10.987833333333342</v>
      </c>
      <c r="T27" s="5">
        <f t="shared" si="17"/>
        <v>19.833333333333336</v>
      </c>
      <c r="U27" s="5">
        <f t="shared" si="17"/>
        <v>15.337833333333343</v>
      </c>
      <c r="V27" s="5">
        <f t="shared" si="17"/>
        <v>19.833333333333336</v>
      </c>
      <c r="W27" s="5">
        <f>W10-W25</f>
        <v>15.952833333333338</v>
      </c>
      <c r="X27" s="5">
        <f t="shared" si="17"/>
        <v>19.833333333333336</v>
      </c>
      <c r="Y27" s="5">
        <f t="shared" si="17"/>
        <v>17.077833333333345</v>
      </c>
      <c r="Z27" s="5">
        <f t="shared" si="17"/>
        <v>19.833333333333336</v>
      </c>
      <c r="AA27" s="5">
        <f t="shared" si="17"/>
        <v>19.833333333333336</v>
      </c>
      <c r="AB27" s="5">
        <f t="shared" si="17"/>
        <v>18.172833333333337</v>
      </c>
      <c r="AC27" s="5">
        <f t="shared" si="17"/>
        <v>18.277833333333341</v>
      </c>
      <c r="AD27" s="5">
        <f t="shared" si="17"/>
        <v>9.0078333333333447</v>
      </c>
      <c r="AE27" s="5">
        <f t="shared" si="17"/>
        <v>10.20783333333334</v>
      </c>
      <c r="AF27" s="5">
        <f t="shared" si="17"/>
        <v>17.812833333333337</v>
      </c>
      <c r="AG27" s="5">
        <f t="shared" si="17"/>
        <v>16.432833333333342</v>
      </c>
      <c r="AH27" s="5">
        <f t="shared" si="17"/>
        <v>19.833333333333336</v>
      </c>
      <c r="AI27" s="5">
        <f t="shared" si="17"/>
        <v>16.417833333333341</v>
      </c>
      <c r="AJ27" s="5">
        <f t="shared" si="17"/>
        <v>5.2578333333333447</v>
      </c>
      <c r="AK27" s="4"/>
      <c r="AL27" s="3"/>
      <c r="AM27" s="3"/>
      <c r="AN27" s="4"/>
      <c r="AO27" s="5"/>
      <c r="AP27" s="12"/>
    </row>
    <row r="28" spans="2:42" s="13" customFormat="1" ht="15" x14ac:dyDescent="0.2">
      <c r="C28" s="16"/>
      <c r="D28" s="14"/>
      <c r="E28" s="14"/>
      <c r="F28" s="28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4"/>
      <c r="AL28" s="4"/>
      <c r="AM28" s="4"/>
      <c r="AN28" s="4"/>
      <c r="AO28" s="14"/>
      <c r="AP28" s="28"/>
    </row>
    <row r="29" spans="2:42" s="13" customFormat="1" ht="15" x14ac:dyDescent="0.2">
      <c r="B29" s="22"/>
      <c r="C29" s="23" t="s">
        <v>20</v>
      </c>
      <c r="D29" s="24"/>
      <c r="E29" s="24"/>
      <c r="F29" s="25"/>
      <c r="G29" s="24"/>
      <c r="H29" s="24"/>
      <c r="I29" s="24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16"/>
      <c r="AL29" s="16"/>
      <c r="AM29" s="16"/>
      <c r="AN29" s="16"/>
      <c r="AO29" s="24"/>
      <c r="AP29" s="25"/>
    </row>
    <row r="30" spans="2:42" ht="15" x14ac:dyDescent="0.2">
      <c r="B30" s="1">
        <v>10</v>
      </c>
      <c r="C30" s="1" t="s">
        <v>8</v>
      </c>
      <c r="D30" s="6">
        <v>500</v>
      </c>
      <c r="E30" s="6">
        <f>D30/30</f>
        <v>16.666666666666668</v>
      </c>
      <c r="F30" s="10">
        <f t="shared" ref="F30:F35" si="18">D30/$D$36</f>
        <v>0.84033613445378152</v>
      </c>
      <c r="G30" s="6">
        <f t="shared" ref="G30:K30" si="19">G27*$F$30</f>
        <v>20.123906485671196</v>
      </c>
      <c r="H30" s="6">
        <f t="shared" si="19"/>
        <v>28.733150183150194</v>
      </c>
      <c r="I30" s="6">
        <f t="shared" si="19"/>
        <v>16.666666666666668</v>
      </c>
      <c r="J30" s="6">
        <f t="shared" si="19"/>
        <v>10.897338935574234</v>
      </c>
      <c r="K30" s="6">
        <f t="shared" si="19"/>
        <v>3.5864145658263324</v>
      </c>
      <c r="L30" s="6">
        <f t="shared" ref="L30:Q30" si="20">L27*$F$30</f>
        <v>15.977170868347345</v>
      </c>
      <c r="M30" s="6">
        <f t="shared" si="20"/>
        <v>16.666666666666668</v>
      </c>
      <c r="N30" s="6">
        <f t="shared" si="20"/>
        <v>16.666666666666668</v>
      </c>
      <c r="O30" s="6">
        <f t="shared" si="20"/>
        <v>15.573809523809526</v>
      </c>
      <c r="P30" s="6">
        <f t="shared" si="20"/>
        <v>12.863725490196085</v>
      </c>
      <c r="Q30" s="6">
        <f t="shared" si="20"/>
        <v>16.430952380952391</v>
      </c>
      <c r="R30" s="6">
        <f t="shared" ref="R30:T30" si="21">R27*$F$30</f>
        <v>10.758683473389361</v>
      </c>
      <c r="S30" s="6">
        <f t="shared" si="21"/>
        <v>9.2334733893557495</v>
      </c>
      <c r="T30" s="6">
        <f t="shared" si="21"/>
        <v>16.666666666666668</v>
      </c>
      <c r="U30" s="6">
        <f t="shared" ref="U30:V30" si="22">U27*$F$30</f>
        <v>12.8889355742297</v>
      </c>
      <c r="V30" s="6">
        <f t="shared" si="22"/>
        <v>16.666666666666668</v>
      </c>
      <c r="W30" s="6">
        <f t="shared" ref="W30:X30" si="23">W27*$F$30</f>
        <v>13.405742296918772</v>
      </c>
      <c r="X30" s="6">
        <f t="shared" si="23"/>
        <v>16.666666666666668</v>
      </c>
      <c r="Y30" s="6">
        <f t="shared" ref="Y30:Z30" si="24">Y27*$F$30</f>
        <v>14.351120448179282</v>
      </c>
      <c r="Z30" s="6">
        <f t="shared" si="24"/>
        <v>16.666666666666668</v>
      </c>
      <c r="AA30" s="6">
        <f t="shared" ref="AA30:AB30" si="25">AA27*$F$30</f>
        <v>16.666666666666668</v>
      </c>
      <c r="AB30" s="6">
        <f t="shared" si="25"/>
        <v>15.271288515406166</v>
      </c>
      <c r="AC30" s="6">
        <f t="shared" ref="AC30:AD30" si="26">AC27*$F$30</f>
        <v>15.359523809523816</v>
      </c>
      <c r="AD30" s="6">
        <f t="shared" si="26"/>
        <v>7.5696078431372644</v>
      </c>
      <c r="AE30" s="6">
        <f t="shared" ref="AE30:AF30" si="27">AE27*$F$30</f>
        <v>8.5780112044817987</v>
      </c>
      <c r="AF30" s="6">
        <f t="shared" si="27"/>
        <v>14.968767507002804</v>
      </c>
      <c r="AG30" s="6">
        <f t="shared" ref="AG30:AI30" si="28">AG27*$F$30</f>
        <v>13.80910364145659</v>
      </c>
      <c r="AH30" s="6">
        <f t="shared" si="28"/>
        <v>16.666666666666668</v>
      </c>
      <c r="AI30" s="6">
        <f t="shared" si="28"/>
        <v>13.796498599439783</v>
      </c>
      <c r="AJ30" s="6">
        <f t="shared" ref="AJ30" si="29">AJ27*$F$30</f>
        <v>4.4183473389355834</v>
      </c>
      <c r="AL30" s="43">
        <v>0</v>
      </c>
      <c r="AM30" s="74">
        <f t="shared" ref="AM30:AM36" si="30">AL30/D30</f>
        <v>0</v>
      </c>
      <c r="AO30" s="5">
        <f>SUM(G30:AJ30)</f>
        <v>428.59557207498398</v>
      </c>
      <c r="AP30" s="70">
        <f t="shared" ref="AP30:AP35" si="31">AO30/$AO$36</f>
        <v>0.84033613445378141</v>
      </c>
    </row>
    <row r="31" spans="2:42" ht="15" x14ac:dyDescent="0.2">
      <c r="B31" s="1">
        <v>11</v>
      </c>
      <c r="C31" s="1" t="s">
        <v>30</v>
      </c>
      <c r="D31" s="6">
        <v>50</v>
      </c>
      <c r="E31" s="6">
        <f t="shared" ref="E31:E35" si="32">D31/30</f>
        <v>1.6666666666666667</v>
      </c>
      <c r="F31" s="10">
        <f t="shared" si="18"/>
        <v>8.4033613445378158E-2</v>
      </c>
      <c r="G31" s="6">
        <f t="shared" ref="G31:L31" si="33">G27*$F$31</f>
        <v>2.0123906485671199</v>
      </c>
      <c r="H31" s="6">
        <f t="shared" si="33"/>
        <v>2.8733150183150196</v>
      </c>
      <c r="I31" s="6">
        <f t="shared" si="33"/>
        <v>1.666666666666667</v>
      </c>
      <c r="J31" s="6">
        <f t="shared" si="33"/>
        <v>1.0897338935574234</v>
      </c>
      <c r="K31" s="6">
        <f t="shared" si="33"/>
        <v>0.35864145658263324</v>
      </c>
      <c r="L31" s="6">
        <f t="shared" si="33"/>
        <v>1.5977170868347346</v>
      </c>
      <c r="M31" s="6">
        <f t="shared" ref="M31:N31" si="34">M27*$F$31</f>
        <v>1.666666666666667</v>
      </c>
      <c r="N31" s="6">
        <f t="shared" si="34"/>
        <v>1.666666666666667</v>
      </c>
      <c r="O31" s="6">
        <f t="shared" ref="O31:P31" si="35">O27*$F$31</f>
        <v>1.5573809523809528</v>
      </c>
      <c r="P31" s="6">
        <f t="shared" si="35"/>
        <v>1.2863725490196087</v>
      </c>
      <c r="Q31" s="6">
        <f t="shared" ref="Q31:R31" si="36">Q27*$F$31</f>
        <v>1.6430952380952393</v>
      </c>
      <c r="R31" s="6">
        <f t="shared" si="36"/>
        <v>1.0758683473389361</v>
      </c>
      <c r="S31" s="6">
        <f t="shared" ref="S31:T31" si="37">S27*$F$31</f>
        <v>0.92334733893557497</v>
      </c>
      <c r="T31" s="6">
        <f t="shared" si="37"/>
        <v>1.666666666666667</v>
      </c>
      <c r="U31" s="6">
        <f t="shared" ref="U31:V31" si="38">U27*$F$31</f>
        <v>1.2888935574229701</v>
      </c>
      <c r="V31" s="6">
        <f t="shared" si="38"/>
        <v>1.666666666666667</v>
      </c>
      <c r="W31" s="6">
        <f t="shared" ref="W31:X31" si="39">W27*$F$31</f>
        <v>1.3405742296918772</v>
      </c>
      <c r="X31" s="6">
        <f t="shared" si="39"/>
        <v>1.666666666666667</v>
      </c>
      <c r="Y31" s="6">
        <f t="shared" ref="Y31:Z31" si="40">Y27*$F$31</f>
        <v>1.4351120448179282</v>
      </c>
      <c r="Z31" s="6">
        <f t="shared" si="40"/>
        <v>1.666666666666667</v>
      </c>
      <c r="AA31" s="6">
        <f t="shared" ref="AA31:AB31" si="41">AA27*$F$31</f>
        <v>1.666666666666667</v>
      </c>
      <c r="AB31" s="6">
        <f t="shared" si="41"/>
        <v>1.5271288515406167</v>
      </c>
      <c r="AC31" s="6">
        <f t="shared" ref="AC31:AD31" si="42">AC27*$F$31</f>
        <v>1.5359523809523816</v>
      </c>
      <c r="AD31" s="6">
        <f t="shared" si="42"/>
        <v>0.75696078431372649</v>
      </c>
      <c r="AE31" s="6">
        <f t="shared" ref="AE31:AF31" si="43">AE27*$F$31</f>
        <v>0.85780112044817991</v>
      </c>
      <c r="AF31" s="6">
        <f t="shared" si="43"/>
        <v>1.4968767507002805</v>
      </c>
      <c r="AG31" s="6">
        <f t="shared" ref="AG31:AI31" si="44">AG27*$F$31</f>
        <v>1.380910364145659</v>
      </c>
      <c r="AH31" s="6">
        <f t="shared" si="44"/>
        <v>1.666666666666667</v>
      </c>
      <c r="AI31" s="6">
        <f t="shared" si="44"/>
        <v>1.3796498599439784</v>
      </c>
      <c r="AJ31" s="6">
        <f t="shared" ref="AJ31" si="45">AJ27*$F$31</f>
        <v>0.44183473389355843</v>
      </c>
      <c r="AL31" s="43">
        <v>0</v>
      </c>
      <c r="AM31" s="74">
        <f t="shared" si="30"/>
        <v>0</v>
      </c>
      <c r="AO31" s="5">
        <f t="shared" ref="AO31:AO35" si="46">SUM(G31:AJ31)</f>
        <v>42.859557207498398</v>
      </c>
      <c r="AP31" s="70">
        <f t="shared" si="31"/>
        <v>8.4033613445378144E-2</v>
      </c>
    </row>
    <row r="32" spans="2:42" ht="15" x14ac:dyDescent="0.2">
      <c r="B32" s="1">
        <v>12</v>
      </c>
      <c r="C32" s="1" t="s">
        <v>9</v>
      </c>
      <c r="D32" s="6">
        <v>30</v>
      </c>
      <c r="E32" s="6">
        <f t="shared" si="32"/>
        <v>1</v>
      </c>
      <c r="F32" s="10">
        <f t="shared" si="18"/>
        <v>5.0420168067226892E-2</v>
      </c>
      <c r="G32" s="6">
        <f t="shared" ref="G32:L32" si="47">G27*$F$32</f>
        <v>1.2074343891402719</v>
      </c>
      <c r="H32" s="6">
        <f t="shared" si="47"/>
        <v>1.7239890109890115</v>
      </c>
      <c r="I32" s="6">
        <f t="shared" si="47"/>
        <v>1.0000000000000002</v>
      </c>
      <c r="J32" s="6">
        <f t="shared" si="47"/>
        <v>0.65384033613445403</v>
      </c>
      <c r="K32" s="6">
        <f t="shared" si="47"/>
        <v>0.21518487394957994</v>
      </c>
      <c r="L32" s="6">
        <f t="shared" si="47"/>
        <v>0.95863025210084074</v>
      </c>
      <c r="M32" s="6">
        <f t="shared" ref="M32:N32" si="48">M27*$F$32</f>
        <v>1.0000000000000002</v>
      </c>
      <c r="N32" s="6">
        <f t="shared" si="48"/>
        <v>1.0000000000000002</v>
      </c>
      <c r="O32" s="6">
        <f t="shared" ref="O32:P32" si="49">O27*$F$32</f>
        <v>0.93442857142857161</v>
      </c>
      <c r="P32" s="6">
        <f t="shared" si="49"/>
        <v>0.77182352941176513</v>
      </c>
      <c r="Q32" s="6">
        <f t="shared" ref="Q32:R32" si="50">Q27*$F$32</f>
        <v>0.98585714285714354</v>
      </c>
      <c r="R32" s="6">
        <f t="shared" si="50"/>
        <v>0.64552100840336168</v>
      </c>
      <c r="S32" s="6">
        <f t="shared" ref="S32:T32" si="51">S27*$F$32</f>
        <v>0.55400840336134494</v>
      </c>
      <c r="T32" s="6">
        <f t="shared" si="51"/>
        <v>1.0000000000000002</v>
      </c>
      <c r="U32" s="6">
        <f t="shared" ref="U32:V32" si="52">U27*$F$32</f>
        <v>0.77333613445378202</v>
      </c>
      <c r="V32" s="6">
        <f t="shared" si="52"/>
        <v>1.0000000000000002</v>
      </c>
      <c r="W32" s="6">
        <f t="shared" ref="W32:X32" si="53">W27*$F$32</f>
        <v>0.80434453781512627</v>
      </c>
      <c r="X32" s="6">
        <f t="shared" si="53"/>
        <v>1.0000000000000002</v>
      </c>
      <c r="Y32" s="6">
        <f t="shared" ref="Y32:Z32" si="54">Y27*$F$32</f>
        <v>0.86106722689075688</v>
      </c>
      <c r="Z32" s="6">
        <f t="shared" si="54"/>
        <v>1.0000000000000002</v>
      </c>
      <c r="AA32" s="6">
        <f t="shared" ref="AA32:AB32" si="55">AA27*$F$32</f>
        <v>1.0000000000000002</v>
      </c>
      <c r="AB32" s="6">
        <f t="shared" si="55"/>
        <v>0.91627731092436993</v>
      </c>
      <c r="AC32" s="6">
        <f t="shared" ref="AC32:AD32" si="56">AC27*$F$32</f>
        <v>0.92157142857142893</v>
      </c>
      <c r="AD32" s="6">
        <f t="shared" si="56"/>
        <v>0.4541764705882359</v>
      </c>
      <c r="AE32" s="6">
        <f t="shared" ref="AE32:AF32" si="57">AE27*$F$32</f>
        <v>0.5146806722689079</v>
      </c>
      <c r="AF32" s="6">
        <f t="shared" si="57"/>
        <v>0.89812605042016824</v>
      </c>
      <c r="AG32" s="6">
        <f t="shared" ref="AG32:AI32" si="58">AG27*$F$32</f>
        <v>0.8285462184873954</v>
      </c>
      <c r="AH32" s="6">
        <f t="shared" si="58"/>
        <v>1.0000000000000002</v>
      </c>
      <c r="AI32" s="6">
        <f t="shared" si="58"/>
        <v>0.82778991596638696</v>
      </c>
      <c r="AJ32" s="6">
        <f t="shared" ref="AJ32" si="59">AJ27*$F$32</f>
        <v>0.26510084033613501</v>
      </c>
      <c r="AL32" s="43">
        <v>0</v>
      </c>
      <c r="AM32" s="74">
        <f t="shared" si="30"/>
        <v>0</v>
      </c>
      <c r="AO32" s="5">
        <f t="shared" si="46"/>
        <v>25.715734324499049</v>
      </c>
      <c r="AP32" s="70">
        <f t="shared" si="31"/>
        <v>5.0420168067226906E-2</v>
      </c>
    </row>
    <row r="33" spans="2:42" ht="15" x14ac:dyDescent="0.2">
      <c r="B33" s="1">
        <v>13</v>
      </c>
      <c r="C33" s="1" t="s">
        <v>10</v>
      </c>
      <c r="D33" s="6">
        <v>15</v>
      </c>
      <c r="E33" s="6">
        <f t="shared" si="32"/>
        <v>0.5</v>
      </c>
      <c r="F33" s="10">
        <f t="shared" si="18"/>
        <v>2.5210084033613446E-2</v>
      </c>
      <c r="G33" s="6">
        <f t="shared" ref="G33:L33" si="60">G27*$F$33</f>
        <v>0.60371719457013595</v>
      </c>
      <c r="H33" s="6">
        <f t="shared" si="60"/>
        <v>0.86199450549450574</v>
      </c>
      <c r="I33" s="6">
        <f t="shared" si="60"/>
        <v>0.50000000000000011</v>
      </c>
      <c r="J33" s="6">
        <f t="shared" si="60"/>
        <v>0.32692016806722701</v>
      </c>
      <c r="K33" s="6">
        <f t="shared" si="60"/>
        <v>0.10759243697478997</v>
      </c>
      <c r="L33" s="6">
        <f t="shared" si="60"/>
        <v>0.47931512605042037</v>
      </c>
      <c r="M33" s="6">
        <f t="shared" ref="M33:N33" si="61">M27*$F$33</f>
        <v>0.50000000000000011</v>
      </c>
      <c r="N33" s="6">
        <f t="shared" si="61"/>
        <v>0.50000000000000011</v>
      </c>
      <c r="O33" s="6">
        <f t="shared" ref="O33:P33" si="62">O27*$F$33</f>
        <v>0.4672142857142858</v>
      </c>
      <c r="P33" s="6">
        <f t="shared" si="62"/>
        <v>0.38591176470588257</v>
      </c>
      <c r="Q33" s="6">
        <f t="shared" ref="Q33:R33" si="63">Q27*$F$33</f>
        <v>0.49292857142857177</v>
      </c>
      <c r="R33" s="6">
        <f t="shared" si="63"/>
        <v>0.32276050420168084</v>
      </c>
      <c r="S33" s="6">
        <f t="shared" ref="S33:T33" si="64">S27*$F$33</f>
        <v>0.27700420168067247</v>
      </c>
      <c r="T33" s="6">
        <f t="shared" si="64"/>
        <v>0.50000000000000011</v>
      </c>
      <c r="U33" s="6">
        <f t="shared" ref="U33:V33" si="65">U27*$F$33</f>
        <v>0.38666806722689101</v>
      </c>
      <c r="V33" s="6">
        <f t="shared" si="65"/>
        <v>0.50000000000000011</v>
      </c>
      <c r="W33" s="6">
        <f t="shared" ref="W33:X33" si="66">W27*$F$33</f>
        <v>0.40217226890756314</v>
      </c>
      <c r="X33" s="6">
        <f t="shared" si="66"/>
        <v>0.50000000000000011</v>
      </c>
      <c r="Y33" s="6">
        <f t="shared" ref="Y33:AD33" si="67">Y27*$F$33</f>
        <v>0.43053361344537844</v>
      </c>
      <c r="Z33" s="6">
        <f t="shared" si="67"/>
        <v>0.50000000000000011</v>
      </c>
      <c r="AA33" s="6">
        <f t="shared" si="67"/>
        <v>0.50000000000000011</v>
      </c>
      <c r="AB33" s="6">
        <f t="shared" si="67"/>
        <v>0.45813865546218496</v>
      </c>
      <c r="AC33" s="6">
        <f t="shared" si="67"/>
        <v>0.46078571428571446</v>
      </c>
      <c r="AD33" s="6">
        <f t="shared" si="67"/>
        <v>0.22708823529411795</v>
      </c>
      <c r="AE33" s="6">
        <f t="shared" ref="AE33:AF33" si="68">AE27*$F$33</f>
        <v>0.25734033613445395</v>
      </c>
      <c r="AF33" s="6">
        <f t="shared" si="68"/>
        <v>0.44906302521008412</v>
      </c>
      <c r="AG33" s="6">
        <f t="shared" ref="AG33:AI33" si="69">AG27*$F$33</f>
        <v>0.4142731092436977</v>
      </c>
      <c r="AH33" s="6">
        <f t="shared" si="69"/>
        <v>0.50000000000000011</v>
      </c>
      <c r="AI33" s="6">
        <f t="shared" si="69"/>
        <v>0.41389495798319348</v>
      </c>
      <c r="AJ33" s="6">
        <f t="shared" ref="AJ33" si="70">AJ27*$F$33</f>
        <v>0.13255042016806751</v>
      </c>
      <c r="AL33" s="43">
        <v>0</v>
      </c>
      <c r="AM33" s="74">
        <f t="shared" si="30"/>
        <v>0</v>
      </c>
      <c r="AO33" s="5">
        <f t="shared" si="46"/>
        <v>12.857867162249525</v>
      </c>
      <c r="AP33" s="70">
        <f t="shared" si="31"/>
        <v>2.5210084033613453E-2</v>
      </c>
    </row>
    <row r="34" spans="2:42" ht="15" x14ac:dyDescent="0.2">
      <c r="B34" s="1">
        <v>14</v>
      </c>
      <c r="C34" s="1" t="s">
        <v>34</v>
      </c>
      <c r="D34" s="6">
        <v>0</v>
      </c>
      <c r="E34" s="6">
        <f t="shared" si="32"/>
        <v>0</v>
      </c>
      <c r="F34" s="10">
        <f t="shared" si="18"/>
        <v>0</v>
      </c>
      <c r="G34" s="6">
        <f t="shared" ref="G34:L34" si="71">G27*$F$34</f>
        <v>0</v>
      </c>
      <c r="H34" s="6">
        <f t="shared" si="71"/>
        <v>0</v>
      </c>
      <c r="I34" s="6">
        <f t="shared" si="71"/>
        <v>0</v>
      </c>
      <c r="J34" s="6">
        <f t="shared" si="71"/>
        <v>0</v>
      </c>
      <c r="K34" s="6">
        <f t="shared" si="71"/>
        <v>0</v>
      </c>
      <c r="L34" s="6">
        <f t="shared" si="71"/>
        <v>0</v>
      </c>
      <c r="M34" s="6">
        <f t="shared" ref="M34:N34" si="72">M27*$F$34</f>
        <v>0</v>
      </c>
      <c r="N34" s="6">
        <f t="shared" si="72"/>
        <v>0</v>
      </c>
      <c r="O34" s="6">
        <f t="shared" ref="O34:P34" si="73">O27*$F$34</f>
        <v>0</v>
      </c>
      <c r="P34" s="6">
        <f t="shared" si="73"/>
        <v>0</v>
      </c>
      <c r="Q34" s="6">
        <f t="shared" ref="Q34:R34" si="74">Q27*$F$34</f>
        <v>0</v>
      </c>
      <c r="R34" s="6">
        <f t="shared" si="74"/>
        <v>0</v>
      </c>
      <c r="S34" s="6">
        <f t="shared" ref="S34:T34" si="75">S27*$F$34</f>
        <v>0</v>
      </c>
      <c r="T34" s="6">
        <f t="shared" si="75"/>
        <v>0</v>
      </c>
      <c r="U34" s="6">
        <f t="shared" ref="U34:V34" si="76">U27*$F$34</f>
        <v>0</v>
      </c>
      <c r="V34" s="6">
        <f t="shared" si="76"/>
        <v>0</v>
      </c>
      <c r="W34" s="6">
        <f t="shared" ref="W34:X34" si="77">W27*$F$34</f>
        <v>0</v>
      </c>
      <c r="X34" s="6">
        <f t="shared" si="77"/>
        <v>0</v>
      </c>
      <c r="Y34" s="6">
        <f t="shared" ref="Y34:Z34" si="78">Y27*$F$34</f>
        <v>0</v>
      </c>
      <c r="Z34" s="6">
        <f t="shared" si="78"/>
        <v>0</v>
      </c>
      <c r="AA34" s="6">
        <f t="shared" ref="AA34:AB34" si="79">AA27*$F$34</f>
        <v>0</v>
      </c>
      <c r="AB34" s="6">
        <f t="shared" si="79"/>
        <v>0</v>
      </c>
      <c r="AC34" s="6">
        <f t="shared" ref="AC34:AD34" si="80">AC27*$F$34</f>
        <v>0</v>
      </c>
      <c r="AD34" s="6">
        <f t="shared" si="80"/>
        <v>0</v>
      </c>
      <c r="AE34" s="6">
        <f t="shared" ref="AE34:AF34" si="81">AE27*$F$34</f>
        <v>0</v>
      </c>
      <c r="AF34" s="6">
        <f t="shared" si="81"/>
        <v>0</v>
      </c>
      <c r="AG34" s="6">
        <f t="shared" ref="AG34:AI34" si="82">AG27*$F$34</f>
        <v>0</v>
      </c>
      <c r="AH34" s="6">
        <f t="shared" si="82"/>
        <v>0</v>
      </c>
      <c r="AI34" s="6">
        <f t="shared" si="82"/>
        <v>0</v>
      </c>
      <c r="AJ34" s="6">
        <f t="shared" ref="AJ34" si="83">AJ27*$F$34</f>
        <v>0</v>
      </c>
      <c r="AL34" s="43">
        <v>0</v>
      </c>
      <c r="AM34" s="74" t="e">
        <f t="shared" si="30"/>
        <v>#DIV/0!</v>
      </c>
      <c r="AO34" s="5">
        <f t="shared" si="46"/>
        <v>0</v>
      </c>
      <c r="AP34" s="70">
        <f t="shared" si="31"/>
        <v>0</v>
      </c>
    </row>
    <row r="35" spans="2:42" ht="15" x14ac:dyDescent="0.2">
      <c r="B35" s="1">
        <v>15</v>
      </c>
      <c r="C35" s="1" t="s">
        <v>14</v>
      </c>
      <c r="D35" s="6">
        <v>0</v>
      </c>
      <c r="E35" s="6">
        <f t="shared" si="32"/>
        <v>0</v>
      </c>
      <c r="F35" s="10">
        <f t="shared" si="18"/>
        <v>0</v>
      </c>
      <c r="G35" s="6">
        <f t="shared" ref="G35:L35" si="84">G27*$F$35</f>
        <v>0</v>
      </c>
      <c r="H35" s="6">
        <f t="shared" si="84"/>
        <v>0</v>
      </c>
      <c r="I35" s="6">
        <f t="shared" si="84"/>
        <v>0</v>
      </c>
      <c r="J35" s="6">
        <f t="shared" si="84"/>
        <v>0</v>
      </c>
      <c r="K35" s="6">
        <f t="shared" si="84"/>
        <v>0</v>
      </c>
      <c r="L35" s="6">
        <f t="shared" si="84"/>
        <v>0</v>
      </c>
      <c r="M35" s="6">
        <f t="shared" ref="M35:N35" si="85">M27*$F$35</f>
        <v>0</v>
      </c>
      <c r="N35" s="6">
        <f t="shared" si="85"/>
        <v>0</v>
      </c>
      <c r="O35" s="6">
        <f t="shared" ref="O35:P35" si="86">O27*$F$35</f>
        <v>0</v>
      </c>
      <c r="P35" s="6">
        <f t="shared" si="86"/>
        <v>0</v>
      </c>
      <c r="Q35" s="6">
        <f t="shared" ref="Q35:R35" si="87">Q27*$F$35</f>
        <v>0</v>
      </c>
      <c r="R35" s="6">
        <f t="shared" si="87"/>
        <v>0</v>
      </c>
      <c r="S35" s="6">
        <f t="shared" ref="S35:T35" si="88">S27*$F$35</f>
        <v>0</v>
      </c>
      <c r="T35" s="6">
        <f t="shared" si="88"/>
        <v>0</v>
      </c>
      <c r="U35" s="6">
        <f t="shared" ref="U35:V35" si="89">U27*$F$35</f>
        <v>0</v>
      </c>
      <c r="V35" s="6">
        <f t="shared" si="89"/>
        <v>0</v>
      </c>
      <c r="W35" s="6">
        <f t="shared" ref="W35:X35" si="90">W27*$F$35</f>
        <v>0</v>
      </c>
      <c r="X35" s="6">
        <f t="shared" si="90"/>
        <v>0</v>
      </c>
      <c r="Y35" s="6">
        <f t="shared" ref="Y35:Z35" si="91">Y27*$F$35</f>
        <v>0</v>
      </c>
      <c r="Z35" s="6">
        <f t="shared" si="91"/>
        <v>0</v>
      </c>
      <c r="AA35" s="6">
        <f t="shared" ref="AA35:AB35" si="92">AA27*$F$35</f>
        <v>0</v>
      </c>
      <c r="AB35" s="6">
        <f t="shared" si="92"/>
        <v>0</v>
      </c>
      <c r="AC35" s="6">
        <f t="shared" ref="AC35:AD35" si="93">AC27*$F$35</f>
        <v>0</v>
      </c>
      <c r="AD35" s="6">
        <f t="shared" si="93"/>
        <v>0</v>
      </c>
      <c r="AE35" s="6">
        <f t="shared" ref="AE35:AF35" si="94">AE27*$F$35</f>
        <v>0</v>
      </c>
      <c r="AF35" s="6">
        <f t="shared" si="94"/>
        <v>0</v>
      </c>
      <c r="AG35" s="6">
        <f t="shared" ref="AG35:AI35" si="95">AG27*$F$35</f>
        <v>0</v>
      </c>
      <c r="AH35" s="6">
        <f t="shared" si="95"/>
        <v>0</v>
      </c>
      <c r="AI35" s="6">
        <f t="shared" si="95"/>
        <v>0</v>
      </c>
      <c r="AJ35" s="6">
        <f t="shared" ref="AJ35" si="96">AJ27*$F$35</f>
        <v>0</v>
      </c>
      <c r="AL35" s="43">
        <v>0</v>
      </c>
      <c r="AM35" s="74" t="e">
        <f t="shared" si="30"/>
        <v>#DIV/0!</v>
      </c>
      <c r="AO35" s="5">
        <f t="shared" si="46"/>
        <v>0</v>
      </c>
      <c r="AP35" s="70">
        <f t="shared" si="31"/>
        <v>0</v>
      </c>
    </row>
    <row r="36" spans="2:42" ht="15" x14ac:dyDescent="0.2">
      <c r="B36" s="1"/>
      <c r="C36" s="3" t="s">
        <v>18</v>
      </c>
      <c r="D36" s="26">
        <f>SUM(D30:D35)</f>
        <v>595</v>
      </c>
      <c r="E36" s="39">
        <f>SUM(E30:E35)</f>
        <v>19.833333333333336</v>
      </c>
      <c r="F36" s="15">
        <f>SUM(F30:F35)</f>
        <v>1</v>
      </c>
      <c r="G36" s="5">
        <f t="shared" ref="G36:AL36" si="97">SUM(G30:G35)</f>
        <v>23.947448717948724</v>
      </c>
      <c r="H36" s="5">
        <f t="shared" si="97"/>
        <v>34.192448717948729</v>
      </c>
      <c r="I36" s="5">
        <f t="shared" si="97"/>
        <v>19.833333333333336</v>
      </c>
      <c r="J36" s="5">
        <f t="shared" si="97"/>
        <v>12.96783333333334</v>
      </c>
      <c r="K36" s="5">
        <f t="shared" si="97"/>
        <v>4.2678333333333356</v>
      </c>
      <c r="L36" s="5">
        <f t="shared" si="97"/>
        <v>19.01283333333334</v>
      </c>
      <c r="M36" s="5">
        <f t="shared" si="97"/>
        <v>19.833333333333336</v>
      </c>
      <c r="N36" s="5">
        <f t="shared" si="97"/>
        <v>19.833333333333336</v>
      </c>
      <c r="O36" s="5">
        <f t="shared" si="97"/>
        <v>18.532833333333336</v>
      </c>
      <c r="P36" s="5">
        <f t="shared" si="97"/>
        <v>15.307833333333342</v>
      </c>
      <c r="Q36" s="5">
        <f t="shared" si="97"/>
        <v>19.552833333333343</v>
      </c>
      <c r="R36" s="5">
        <f t="shared" si="97"/>
        <v>12.802833333333339</v>
      </c>
      <c r="S36" s="5">
        <f t="shared" si="97"/>
        <v>10.987833333333342</v>
      </c>
      <c r="T36" s="5">
        <f t="shared" si="97"/>
        <v>19.833333333333336</v>
      </c>
      <c r="U36" s="5">
        <f t="shared" si="97"/>
        <v>15.337833333333343</v>
      </c>
      <c r="V36" s="5">
        <f t="shared" si="97"/>
        <v>19.833333333333336</v>
      </c>
      <c r="W36" s="5">
        <f t="shared" si="97"/>
        <v>15.952833333333338</v>
      </c>
      <c r="X36" s="5">
        <f t="shared" si="97"/>
        <v>19.833333333333336</v>
      </c>
      <c r="Y36" s="5">
        <f t="shared" si="97"/>
        <v>17.077833333333345</v>
      </c>
      <c r="Z36" s="5">
        <f t="shared" si="97"/>
        <v>19.833333333333336</v>
      </c>
      <c r="AA36" s="5">
        <f t="shared" si="97"/>
        <v>19.833333333333336</v>
      </c>
      <c r="AB36" s="5">
        <f t="shared" si="97"/>
        <v>18.17283333333334</v>
      </c>
      <c r="AC36" s="5">
        <f t="shared" si="97"/>
        <v>18.277833333333341</v>
      </c>
      <c r="AD36" s="5">
        <f t="shared" si="97"/>
        <v>9.0078333333333447</v>
      </c>
      <c r="AE36" s="5">
        <f t="shared" si="97"/>
        <v>10.20783333333334</v>
      </c>
      <c r="AF36" s="5">
        <f t="shared" si="97"/>
        <v>17.812833333333334</v>
      </c>
      <c r="AG36" s="5">
        <f t="shared" si="97"/>
        <v>16.432833333333342</v>
      </c>
      <c r="AH36" s="5">
        <f t="shared" si="97"/>
        <v>19.833333333333336</v>
      </c>
      <c r="AI36" s="5">
        <f t="shared" si="97"/>
        <v>16.417833333333341</v>
      </c>
      <c r="AJ36" s="5">
        <f t="shared" si="97"/>
        <v>5.2578333333333447</v>
      </c>
      <c r="AK36" s="4"/>
      <c r="AL36" s="43">
        <f t="shared" si="97"/>
        <v>0</v>
      </c>
      <c r="AM36" s="74">
        <f t="shared" si="30"/>
        <v>0</v>
      </c>
      <c r="AN36" s="4"/>
      <c r="AO36" s="5">
        <f>SUM(AO30:AO35)</f>
        <v>510.028730769231</v>
      </c>
      <c r="AP36" s="70">
        <f>SUM(AP30:AP35)</f>
        <v>1</v>
      </c>
    </row>
    <row r="37" spans="2:42" ht="4.5" customHeight="1" x14ac:dyDescent="0.2">
      <c r="D37" s="7"/>
      <c r="E37" s="7" t="s">
        <v>26</v>
      </c>
      <c r="F37" s="11"/>
      <c r="AP37" s="11"/>
    </row>
    <row r="38" spans="2:42" ht="15" x14ac:dyDescent="0.2">
      <c r="C38" s="3" t="s">
        <v>7</v>
      </c>
      <c r="D38" s="5">
        <f>D25+D36</f>
        <v>1976</v>
      </c>
      <c r="E38" s="5">
        <f>D38/30</f>
        <v>65.86666666666666</v>
      </c>
      <c r="F38" s="26">
        <f>D38/0.71</f>
        <v>2783.0985915492961</v>
      </c>
      <c r="G38" s="87">
        <f t="shared" ref="G38:AJ38" si="98">G25+G36</f>
        <v>69.980782051282063</v>
      </c>
      <c r="H38" s="5">
        <f t="shared" si="98"/>
        <v>80.225782051282067</v>
      </c>
      <c r="I38" s="5">
        <f t="shared" si="98"/>
        <v>65.866666666666674</v>
      </c>
      <c r="J38" s="5">
        <f t="shared" si="98"/>
        <v>59.001166666666677</v>
      </c>
      <c r="K38" s="5">
        <f t="shared" si="98"/>
        <v>50.301166666666674</v>
      </c>
      <c r="L38" s="5">
        <f t="shared" si="98"/>
        <v>65.046166666666679</v>
      </c>
      <c r="M38" s="5">
        <f t="shared" si="98"/>
        <v>65.866666666666674</v>
      </c>
      <c r="N38" s="5">
        <f t="shared" si="98"/>
        <v>65.866666666666674</v>
      </c>
      <c r="O38" s="5">
        <f t="shared" si="98"/>
        <v>64.566166666666675</v>
      </c>
      <c r="P38" s="5">
        <f t="shared" si="98"/>
        <v>61.34116666666668</v>
      </c>
      <c r="Q38" s="5">
        <f t="shared" si="98"/>
        <v>65.586166666666685</v>
      </c>
      <c r="R38" s="5">
        <f t="shared" si="98"/>
        <v>58.836166666666678</v>
      </c>
      <c r="S38" s="5">
        <f t="shared" si="98"/>
        <v>57.02116666666668</v>
      </c>
      <c r="T38" s="5">
        <f t="shared" si="98"/>
        <v>65.866666666666674</v>
      </c>
      <c r="U38" s="5">
        <f t="shared" si="98"/>
        <v>61.371166666666682</v>
      </c>
      <c r="V38" s="5">
        <f t="shared" si="98"/>
        <v>65.866666666666674</v>
      </c>
      <c r="W38" s="5">
        <f t="shared" si="98"/>
        <v>61.986166666666676</v>
      </c>
      <c r="X38" s="5">
        <f t="shared" si="98"/>
        <v>65.866666666666674</v>
      </c>
      <c r="Y38" s="5">
        <f t="shared" si="98"/>
        <v>63.111166666666684</v>
      </c>
      <c r="Z38" s="5">
        <f t="shared" si="98"/>
        <v>65.866666666666674</v>
      </c>
      <c r="AA38" s="5">
        <f t="shared" si="98"/>
        <v>65.866666666666674</v>
      </c>
      <c r="AB38" s="5">
        <f t="shared" si="98"/>
        <v>64.206166666666675</v>
      </c>
      <c r="AC38" s="5">
        <f t="shared" si="98"/>
        <v>64.311166666666679</v>
      </c>
      <c r="AD38" s="5">
        <f t="shared" si="98"/>
        <v>55.041166666666683</v>
      </c>
      <c r="AE38" s="5">
        <f t="shared" si="98"/>
        <v>56.241166666666679</v>
      </c>
      <c r="AF38" s="5">
        <f t="shared" si="98"/>
        <v>63.846166666666676</v>
      </c>
      <c r="AG38" s="5">
        <f t="shared" si="98"/>
        <v>62.46616666666668</v>
      </c>
      <c r="AH38" s="5">
        <f t="shared" si="98"/>
        <v>65.866666666666674</v>
      </c>
      <c r="AI38" s="5">
        <f t="shared" si="98"/>
        <v>62.45116666666668</v>
      </c>
      <c r="AJ38" s="5">
        <f t="shared" si="98"/>
        <v>51.291166666666683</v>
      </c>
      <c r="AL38" s="1"/>
      <c r="AM38" s="1"/>
      <c r="AO38" s="5">
        <f>AO25+AO36</f>
        <v>1891.0287307692308</v>
      </c>
      <c r="AP38" s="12"/>
    </row>
    <row r="39" spans="2:42" ht="4.5" customHeight="1" x14ac:dyDescent="0.2"/>
    <row r="40" spans="2:42" ht="15" x14ac:dyDescent="0.2">
      <c r="C40" s="3"/>
      <c r="D40" s="5">
        <f>D38/30</f>
        <v>65.86666666666666</v>
      </c>
      <c r="E40" s="5"/>
      <c r="F40" s="9"/>
      <c r="G40" s="87">
        <f>G38-$D$40</f>
        <v>4.1141153846154026</v>
      </c>
      <c r="H40" s="5">
        <f t="shared" ref="H40:AJ40" si="99">H38-$D$40</f>
        <v>14.359115384615407</v>
      </c>
      <c r="I40" s="5">
        <f t="shared" si="99"/>
        <v>0</v>
      </c>
      <c r="J40" s="5">
        <f t="shared" si="99"/>
        <v>-6.8654999999999831</v>
      </c>
      <c r="K40" s="5">
        <f t="shared" si="99"/>
        <v>-15.565499999999986</v>
      </c>
      <c r="L40" s="5">
        <f t="shared" si="99"/>
        <v>-0.82049999999998136</v>
      </c>
      <c r="M40" s="5">
        <f t="shared" si="99"/>
        <v>0</v>
      </c>
      <c r="N40" s="5">
        <f t="shared" si="99"/>
        <v>0</v>
      </c>
      <c r="O40" s="5">
        <f t="shared" si="99"/>
        <v>-1.3004999999999853</v>
      </c>
      <c r="P40" s="5">
        <f t="shared" si="99"/>
        <v>-4.5254999999999797</v>
      </c>
      <c r="Q40" s="5">
        <f t="shared" si="99"/>
        <v>-0.2804999999999751</v>
      </c>
      <c r="R40" s="5">
        <f t="shared" si="99"/>
        <v>-7.0304999999999822</v>
      </c>
      <c r="S40" s="5">
        <f t="shared" si="99"/>
        <v>-8.8454999999999799</v>
      </c>
      <c r="T40" s="5">
        <f t="shared" si="99"/>
        <v>0</v>
      </c>
      <c r="U40" s="5">
        <f t="shared" si="99"/>
        <v>-4.4954999999999785</v>
      </c>
      <c r="V40" s="5">
        <f t="shared" si="99"/>
        <v>0</v>
      </c>
      <c r="W40" s="5">
        <f t="shared" si="99"/>
        <v>-3.8804999999999836</v>
      </c>
      <c r="X40" s="5">
        <f t="shared" si="99"/>
        <v>0</v>
      </c>
      <c r="Y40" s="5">
        <f t="shared" si="99"/>
        <v>-2.7554999999999765</v>
      </c>
      <c r="Z40" s="5">
        <f t="shared" si="99"/>
        <v>0</v>
      </c>
      <c r="AA40" s="5">
        <f t="shared" si="99"/>
        <v>0</v>
      </c>
      <c r="AB40" s="5">
        <f t="shared" si="99"/>
        <v>-1.6604999999999848</v>
      </c>
      <c r="AC40" s="5">
        <f t="shared" si="99"/>
        <v>-1.5554999999999808</v>
      </c>
      <c r="AD40" s="5">
        <f t="shared" si="99"/>
        <v>-10.825499999999977</v>
      </c>
      <c r="AE40" s="5">
        <f t="shared" si="99"/>
        <v>-9.6254999999999811</v>
      </c>
      <c r="AF40" s="5">
        <f t="shared" si="99"/>
        <v>-2.0204999999999842</v>
      </c>
      <c r="AG40" s="5">
        <f t="shared" si="99"/>
        <v>-3.4004999999999797</v>
      </c>
      <c r="AH40" s="5">
        <f t="shared" si="99"/>
        <v>0</v>
      </c>
      <c r="AI40" s="5">
        <f t="shared" si="99"/>
        <v>-3.4154999999999802</v>
      </c>
      <c r="AJ40" s="5">
        <f t="shared" si="99"/>
        <v>-14.575499999999977</v>
      </c>
      <c r="AL40" s="1"/>
      <c r="AM40" s="1"/>
      <c r="AO40" s="5">
        <f>SUM(G40:AJ40)</f>
        <v>-84.971269230768826</v>
      </c>
      <c r="AP40" s="9"/>
    </row>
    <row r="42" spans="2:42" ht="15" x14ac:dyDescent="0.2">
      <c r="B42" s="1"/>
      <c r="C42" s="3" t="s">
        <v>28</v>
      </c>
      <c r="D42" s="31"/>
      <c r="E42" s="31"/>
      <c r="F42" s="32"/>
      <c r="G42" s="87">
        <f>G40</f>
        <v>4.1141153846154026</v>
      </c>
      <c r="H42" s="5">
        <f>G42+H40</f>
        <v>18.47323076923081</v>
      </c>
      <c r="I42" s="5">
        <f t="shared" ref="I42:J42" si="100">H42+I40</f>
        <v>18.47323076923081</v>
      </c>
      <c r="J42" s="5">
        <f t="shared" si="100"/>
        <v>11.607730769230827</v>
      </c>
      <c r="K42" s="5">
        <f t="shared" ref="K42" si="101">J42+K40</f>
        <v>-3.9577692307691592</v>
      </c>
      <c r="L42" s="5">
        <f t="shared" ref="L42" si="102">K42+L40</f>
        <v>-4.7782692307691406</v>
      </c>
      <c r="M42" s="5">
        <f t="shared" ref="M42" si="103">L42+M40</f>
        <v>-4.7782692307691406</v>
      </c>
      <c r="N42" s="5">
        <f t="shared" ref="N42" si="104">M42+N40</f>
        <v>-4.7782692307691406</v>
      </c>
      <c r="O42" s="5">
        <f t="shared" ref="O42" si="105">N42+O40</f>
        <v>-6.0787692307691259</v>
      </c>
      <c r="P42" s="5">
        <f t="shared" ref="P42:Q42" si="106">O42+P40</f>
        <v>-10.604269230769106</v>
      </c>
      <c r="Q42" s="5">
        <f t="shared" si="106"/>
        <v>-10.884769230769081</v>
      </c>
      <c r="R42" s="5">
        <f t="shared" ref="R42:AJ42" si="107">R40+Q42</f>
        <v>-17.915269230769063</v>
      </c>
      <c r="S42" s="5">
        <f t="shared" si="107"/>
        <v>-26.760769230769043</v>
      </c>
      <c r="T42" s="5">
        <f t="shared" si="107"/>
        <v>-26.760769230769043</v>
      </c>
      <c r="U42" s="5">
        <f t="shared" si="107"/>
        <v>-31.256269230769021</v>
      </c>
      <c r="V42" s="5">
        <f t="shared" si="107"/>
        <v>-31.256269230769021</v>
      </c>
      <c r="W42" s="5">
        <f t="shared" si="107"/>
        <v>-35.136769230769005</v>
      </c>
      <c r="X42" s="5">
        <f t="shared" si="107"/>
        <v>-35.136769230769005</v>
      </c>
      <c r="Y42" s="5">
        <f t="shared" si="107"/>
        <v>-37.892269230768981</v>
      </c>
      <c r="Z42" s="5">
        <f t="shared" si="107"/>
        <v>-37.892269230768981</v>
      </c>
      <c r="AA42" s="5">
        <f t="shared" si="107"/>
        <v>-37.892269230768981</v>
      </c>
      <c r="AB42" s="5">
        <f t="shared" si="107"/>
        <v>-39.552769230768966</v>
      </c>
      <c r="AC42" s="5">
        <f t="shared" si="107"/>
        <v>-41.108269230768947</v>
      </c>
      <c r="AD42" s="5">
        <f t="shared" si="107"/>
        <v>-51.933769230768924</v>
      </c>
      <c r="AE42" s="5">
        <f t="shared" si="107"/>
        <v>-61.559269230768905</v>
      </c>
      <c r="AF42" s="5">
        <f t="shared" si="107"/>
        <v>-63.579769230768889</v>
      </c>
      <c r="AG42" s="5">
        <f t="shared" si="107"/>
        <v>-66.980269230768869</v>
      </c>
      <c r="AH42" s="5">
        <f t="shared" si="107"/>
        <v>-66.980269230768869</v>
      </c>
      <c r="AI42" s="5">
        <f t="shared" si="107"/>
        <v>-70.395769230768849</v>
      </c>
      <c r="AJ42" s="5">
        <f t="shared" si="107"/>
        <v>-84.971269230768826</v>
      </c>
      <c r="AK42" s="4"/>
      <c r="AL42" s="3"/>
      <c r="AM42" s="3"/>
      <c r="AN42" s="4"/>
      <c r="AO42" s="5"/>
      <c r="AP42" s="9"/>
    </row>
    <row r="43" spans="2:42" ht="15" customHeight="1" x14ac:dyDescent="0.2"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</row>
    <row r="44" spans="2:42" ht="15" customHeight="1" x14ac:dyDescent="0.2">
      <c r="C44" s="4" t="s">
        <v>55</v>
      </c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</row>
    <row r="45" spans="2:42" ht="15" customHeight="1" x14ac:dyDescent="0.2">
      <c r="B45" s="1">
        <v>15</v>
      </c>
      <c r="C45" s="1" t="s">
        <v>31</v>
      </c>
      <c r="D45" s="6"/>
      <c r="E45" s="6"/>
      <c r="F45" s="10">
        <v>0.15</v>
      </c>
      <c r="G45" s="6"/>
      <c r="H45" s="6"/>
      <c r="I45" s="6"/>
      <c r="J45" s="6"/>
      <c r="K45" s="6"/>
      <c r="L45" s="6"/>
      <c r="M45" s="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L45" s="1"/>
      <c r="AM45" s="1"/>
      <c r="AO45" s="5">
        <f>$D$7*F45</f>
        <v>-12.74569038461537</v>
      </c>
      <c r="AP45" s="8"/>
    </row>
    <row r="46" spans="2:42" ht="15" customHeight="1" x14ac:dyDescent="0.2">
      <c r="B46" s="1">
        <v>16</v>
      </c>
      <c r="C46" s="1" t="s">
        <v>32</v>
      </c>
      <c r="D46" s="6"/>
      <c r="E46" s="6"/>
      <c r="F46" s="10">
        <v>0.15</v>
      </c>
      <c r="G46" s="6"/>
      <c r="H46" s="6"/>
      <c r="I46" s="6"/>
      <c r="J46" s="6"/>
      <c r="K46" s="6"/>
      <c r="L46" s="6"/>
      <c r="M46" s="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L46" s="1"/>
      <c r="AM46" s="1"/>
      <c r="AO46" s="5">
        <f>$D$7*F46</f>
        <v>-12.74569038461537</v>
      </c>
      <c r="AP46" s="8"/>
    </row>
    <row r="47" spans="2:42" ht="15" customHeight="1" x14ac:dyDescent="0.2">
      <c r="B47" s="1">
        <v>17</v>
      </c>
      <c r="C47" s="1" t="s">
        <v>33</v>
      </c>
      <c r="D47" s="6"/>
      <c r="E47" s="6"/>
      <c r="F47" s="10">
        <v>0.15</v>
      </c>
      <c r="G47" s="6"/>
      <c r="H47" s="6"/>
      <c r="I47" s="6"/>
      <c r="J47" s="6"/>
      <c r="K47" s="6"/>
      <c r="L47" s="6"/>
      <c r="M47" s="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L47" s="1"/>
      <c r="AM47" s="1"/>
      <c r="AO47" s="5">
        <f>$D$7*F47</f>
        <v>-12.74569038461537</v>
      </c>
      <c r="AP47" s="8"/>
    </row>
    <row r="48" spans="2:42" ht="15" customHeight="1" x14ac:dyDescent="0.2">
      <c r="B48" s="1">
        <v>18</v>
      </c>
      <c r="C48" s="1" t="s">
        <v>34</v>
      </c>
      <c r="D48" s="6"/>
      <c r="E48" s="6"/>
      <c r="F48" s="10">
        <v>0.1</v>
      </c>
      <c r="G48" s="6"/>
      <c r="H48" s="6"/>
      <c r="I48" s="6"/>
      <c r="J48" s="6"/>
      <c r="K48" s="6"/>
      <c r="L48" s="6"/>
      <c r="M48" s="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L48" s="1"/>
      <c r="AM48" s="1"/>
      <c r="AO48" s="5">
        <f>$D$7*F48</f>
        <v>-8.4971269230769142</v>
      </c>
      <c r="AP48" s="8"/>
    </row>
    <row r="49" spans="2:42" s="13" customFormat="1" ht="15" customHeight="1" x14ac:dyDescent="0.2">
      <c r="B49" s="1"/>
      <c r="C49" s="3" t="s">
        <v>57</v>
      </c>
      <c r="D49" s="26"/>
      <c r="E49" s="26"/>
      <c r="F49" s="15">
        <f>SUM(F45:F48)</f>
        <v>0.54999999999999993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4"/>
      <c r="AL49" s="3"/>
      <c r="AM49" s="3"/>
      <c r="AN49" s="4"/>
      <c r="AO49" s="5">
        <f>SUM(AO45:AO48)</f>
        <v>-46.734198076923022</v>
      </c>
      <c r="AP49" s="9"/>
    </row>
    <row r="50" spans="2:42" s="13" customFormat="1" ht="15" customHeight="1" x14ac:dyDescent="0.2">
      <c r="D50" s="36"/>
      <c r="E50" s="36"/>
      <c r="F50" s="67"/>
      <c r="G50" s="36"/>
      <c r="H50" s="36"/>
      <c r="I50" s="36"/>
      <c r="J50" s="36"/>
      <c r="K50" s="36"/>
      <c r="L50" s="36"/>
      <c r="M50" s="36"/>
      <c r="AO50" s="14"/>
      <c r="AP50" s="60"/>
    </row>
    <row r="51" spans="2:42" s="13" customFormat="1" ht="15" customHeight="1" x14ac:dyDescent="0.2">
      <c r="B51" s="22"/>
      <c r="C51" s="4" t="s">
        <v>56</v>
      </c>
      <c r="D51" s="64"/>
      <c r="E51" s="64"/>
      <c r="F51" s="65"/>
      <c r="G51" s="64"/>
      <c r="H51" s="64"/>
      <c r="I51" s="64"/>
      <c r="J51" s="64"/>
      <c r="K51" s="64"/>
      <c r="L51" s="64"/>
      <c r="M51" s="64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O51" s="24"/>
      <c r="AP51" s="66"/>
    </row>
    <row r="52" spans="2:42" ht="15" customHeight="1" x14ac:dyDescent="0.2">
      <c r="B52" s="1">
        <v>19</v>
      </c>
      <c r="C52" s="1" t="s">
        <v>52</v>
      </c>
      <c r="D52" s="6"/>
      <c r="E52" s="6"/>
      <c r="F52" s="10">
        <v>0.15</v>
      </c>
      <c r="G52" s="6"/>
      <c r="H52" s="6"/>
      <c r="I52" s="6"/>
      <c r="J52" s="6"/>
      <c r="K52" s="6"/>
      <c r="L52" s="6"/>
      <c r="M52" s="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L52" s="1"/>
      <c r="AM52" s="1"/>
      <c r="AO52" s="5">
        <f>$D$7*F52</f>
        <v>-12.74569038461537</v>
      </c>
      <c r="AP52" s="8"/>
    </row>
    <row r="53" spans="2:42" ht="15" customHeight="1" x14ac:dyDescent="0.2">
      <c r="B53" s="1">
        <v>20</v>
      </c>
      <c r="C53" s="1" t="s">
        <v>34</v>
      </c>
      <c r="D53" s="6"/>
      <c r="E53" s="6"/>
      <c r="F53" s="10">
        <v>0.1</v>
      </c>
      <c r="G53" s="6"/>
      <c r="H53" s="6"/>
      <c r="I53" s="6"/>
      <c r="J53" s="6"/>
      <c r="K53" s="6"/>
      <c r="L53" s="6"/>
      <c r="M53" s="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L53" s="1"/>
      <c r="AM53" s="1"/>
      <c r="AO53" s="5">
        <f>$D$7*F53</f>
        <v>-8.4971269230769142</v>
      </c>
      <c r="AP53" s="8"/>
    </row>
    <row r="54" spans="2:42" ht="15" customHeight="1" x14ac:dyDescent="0.2">
      <c r="B54" s="1">
        <v>21</v>
      </c>
      <c r="C54" s="1" t="s">
        <v>53</v>
      </c>
      <c r="D54" s="6"/>
      <c r="E54" s="6"/>
      <c r="F54" s="10">
        <v>0.2</v>
      </c>
      <c r="G54" s="6"/>
      <c r="H54" s="6"/>
      <c r="I54" s="6"/>
      <c r="J54" s="6"/>
      <c r="K54" s="6"/>
      <c r="L54" s="6"/>
      <c r="M54" s="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L54" s="1"/>
      <c r="AM54" s="1"/>
      <c r="AO54" s="5">
        <f>$D$7*F54</f>
        <v>-16.994253846153828</v>
      </c>
      <c r="AP54" s="8"/>
    </row>
    <row r="55" spans="2:42" ht="15" customHeight="1" x14ac:dyDescent="0.2">
      <c r="B55" s="1"/>
      <c r="C55" s="3" t="s">
        <v>58</v>
      </c>
      <c r="D55" s="26"/>
      <c r="E55" s="26"/>
      <c r="F55" s="15">
        <f>SUM(F52:F54)</f>
        <v>0.45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4"/>
      <c r="AL55" s="3"/>
      <c r="AM55" s="3"/>
      <c r="AN55" s="4"/>
      <c r="AO55" s="5">
        <f>SUM(AO52:AO54)</f>
        <v>-38.237071153846117</v>
      </c>
      <c r="AP55" s="9"/>
    </row>
    <row r="56" spans="2:42" ht="15" customHeight="1" x14ac:dyDescent="0.2">
      <c r="G56" s="4423"/>
      <c r="H56" s="4423"/>
      <c r="I56" s="4423"/>
      <c r="J56" s="4423"/>
      <c r="K56" s="4423"/>
      <c r="L56" s="4423"/>
      <c r="M56" s="4423"/>
      <c r="N56" s="4423"/>
      <c r="O56" s="4423"/>
      <c r="P56" s="4423"/>
      <c r="Q56" s="4423"/>
    </row>
    <row r="57" spans="2:42" ht="15" customHeight="1" x14ac:dyDescent="0.2">
      <c r="D57" s="1"/>
      <c r="E57" s="1"/>
      <c r="F57" s="68">
        <f>F49+F55</f>
        <v>1</v>
      </c>
      <c r="G57" s="4423"/>
      <c r="H57" s="4423"/>
      <c r="I57" s="4423"/>
      <c r="J57" s="4423"/>
      <c r="K57" s="4423"/>
      <c r="L57" s="4423"/>
      <c r="M57" s="4423"/>
      <c r="N57" s="4423"/>
      <c r="O57" s="4423"/>
      <c r="P57" s="4423"/>
      <c r="Q57" s="4423"/>
      <c r="AO57" s="5">
        <f>AO49+AO55</f>
        <v>-84.971269230769138</v>
      </c>
      <c r="AP57" s="1"/>
    </row>
  </sheetData>
  <sortState xmlns:xlrd2="http://schemas.microsoft.com/office/spreadsheetml/2017/richdata2" ref="C16:F24">
    <sortCondition descending="1" ref="F24"/>
  </sortState>
  <mergeCells count="7">
    <mergeCell ref="AM6:AM13"/>
    <mergeCell ref="G56:Q56"/>
    <mergeCell ref="G57:Q57"/>
    <mergeCell ref="D1:F1"/>
    <mergeCell ref="C2:C3"/>
    <mergeCell ref="D2:F2"/>
    <mergeCell ref="AL6:AL13"/>
  </mergeCells>
  <conditionalFormatting sqref="G38:AJ38 G40:AJ40">
    <cfRule type="cellIs" dxfId="436" priority="11" operator="greaterThan">
      <formula>$D$40</formula>
    </cfRule>
    <cfRule type="cellIs" dxfId="435" priority="12" operator="lessThan">
      <formula>$D$40</formula>
    </cfRule>
  </conditionalFormatting>
  <conditionalFormatting sqref="G40">
    <cfRule type="cellIs" dxfId="434" priority="8" operator="greaterThan">
      <formula>0</formula>
    </cfRule>
    <cfRule type="cellIs" dxfId="433" priority="9" operator="lessThan">
      <formula>$D$40</formula>
    </cfRule>
    <cfRule type="cellIs" dxfId="432" priority="10" operator="greaterThan">
      <formula>$D$40</formula>
    </cfRule>
  </conditionalFormatting>
  <conditionalFormatting sqref="H40">
    <cfRule type="cellIs" dxfId="431" priority="6" operator="greaterThan">
      <formula>0.483</formula>
    </cfRule>
    <cfRule type="cellIs" dxfId="430" priority="7" operator="greaterThan">
      <formula>0</formula>
    </cfRule>
  </conditionalFormatting>
  <conditionalFormatting sqref="I40">
    <cfRule type="cellIs" dxfId="429" priority="4" operator="greaterThan">
      <formula>0</formula>
    </cfRule>
    <cfRule type="cellIs" dxfId="428" priority="5" operator="greaterThan">
      <formula>0</formula>
    </cfRule>
  </conditionalFormatting>
  <conditionalFormatting sqref="J40:AJ40">
    <cfRule type="cellIs" dxfId="427" priority="3" operator="greaterThan">
      <formula>0</formula>
    </cfRule>
  </conditionalFormatting>
  <conditionalFormatting sqref="G42:AJ42">
    <cfRule type="cellIs" dxfId="426" priority="1" operator="lessThan">
      <formula>0</formula>
    </cfRule>
    <cfRule type="cellIs" dxfId="425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AU51"/>
  <sheetViews>
    <sheetView zoomScale="80" zoomScaleNormal="80" zoomScaleSheetLayoutView="80" workbookViewId="0">
      <pane xSplit="6" ySplit="9" topLeftCell="AD11" activePane="bottomRight" state="frozen"/>
      <selection pane="topRight" activeCell="G1" sqref="G1"/>
      <selection pane="bottomLeft" activeCell="A8" sqref="A8"/>
      <selection pane="bottomRight" activeCell="AS31" sqref="AS31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1.375" style="2" bestFit="1" customWidth="1"/>
    <col min="4" max="4" width="10.375" style="2" bestFit="1" customWidth="1"/>
    <col min="5" max="5" width="10.375" style="2" customWidth="1"/>
    <col min="6" max="6" width="9.875" style="2" bestFit="1" customWidth="1"/>
    <col min="7" max="36" width="9.125" style="2"/>
    <col min="37" max="37" width="1.75" style="2" customWidth="1"/>
    <col min="38" max="38" width="9.125" style="2" customWidth="1"/>
    <col min="39" max="39" width="9" style="2" customWidth="1"/>
    <col min="40" max="40" width="1.75" style="2" customWidth="1"/>
    <col min="41" max="41" width="10" style="2" bestFit="1" customWidth="1"/>
    <col min="42" max="42" width="9.25" style="2" bestFit="1" customWidth="1"/>
    <col min="43" max="43" width="1.875" style="2" customWidth="1"/>
    <col min="44" max="46" width="12" style="2" bestFit="1" customWidth="1"/>
    <col min="47" max="16384" width="9.125" style="2"/>
  </cols>
  <sheetData>
    <row r="1" spans="2:47" ht="18.75" customHeight="1" x14ac:dyDescent="0.2">
      <c r="C1" s="4456">
        <v>43344</v>
      </c>
      <c r="D1" s="4457" t="s">
        <v>40</v>
      </c>
      <c r="E1" s="4457"/>
      <c r="F1" s="4457"/>
      <c r="G1" s="133"/>
      <c r="H1" s="134"/>
      <c r="I1" s="134"/>
      <c r="AR1" s="131">
        <f>AR2-AR3</f>
        <v>-122.85999999999967</v>
      </c>
      <c r="AS1" s="131">
        <f>AR1*30%</f>
        <v>-36.857999999999898</v>
      </c>
      <c r="AT1" s="131"/>
    </row>
    <row r="2" spans="2:47" ht="19.5" customHeight="1" x14ac:dyDescent="0.2">
      <c r="C2" s="4457"/>
      <c r="D2" s="4457" t="s">
        <v>41</v>
      </c>
      <c r="E2" s="4457"/>
      <c r="F2" s="4457"/>
      <c r="G2" s="133"/>
      <c r="H2" s="134"/>
      <c r="I2" s="134"/>
      <c r="AR2" s="131">
        <f>AO3/26*26</f>
        <v>3471.2500000000009</v>
      </c>
      <c r="AS2" s="131">
        <f>AR2*30%</f>
        <v>1041.3750000000002</v>
      </c>
      <c r="AT2" s="131">
        <f>AS2-D23</f>
        <v>-36.857999999999947</v>
      </c>
    </row>
    <row r="3" spans="2:47" s="49" customFormat="1" ht="15" customHeight="1" x14ac:dyDescent="0.2">
      <c r="C3" s="43" t="s">
        <v>35</v>
      </c>
      <c r="D3" s="40"/>
      <c r="E3" s="40"/>
      <c r="F3" s="51"/>
      <c r="G3" s="84">
        <v>184</v>
      </c>
      <c r="H3" s="84">
        <v>218.15</v>
      </c>
      <c r="I3" s="84">
        <v>166.05</v>
      </c>
      <c r="J3" s="40">
        <v>115.35</v>
      </c>
      <c r="K3" s="40">
        <v>86.35</v>
      </c>
      <c r="L3" s="40">
        <v>135.5</v>
      </c>
      <c r="M3" s="40">
        <v>0</v>
      </c>
      <c r="N3" s="40">
        <v>150.80000000000001</v>
      </c>
      <c r="O3" s="40">
        <v>133.9</v>
      </c>
      <c r="P3" s="40">
        <v>123.15</v>
      </c>
      <c r="Q3" s="40">
        <v>137.30000000000001</v>
      </c>
      <c r="R3" s="40">
        <v>114.8</v>
      </c>
      <c r="S3" s="40">
        <v>108.75</v>
      </c>
      <c r="T3" s="40">
        <v>0</v>
      </c>
      <c r="U3" s="40">
        <v>123.25</v>
      </c>
      <c r="V3" s="40">
        <v>148.15</v>
      </c>
      <c r="W3" s="40">
        <v>125.3</v>
      </c>
      <c r="X3" s="40">
        <v>169.55</v>
      </c>
      <c r="Y3" s="40">
        <v>129.05000000000001</v>
      </c>
      <c r="Z3" s="40">
        <v>152.9</v>
      </c>
      <c r="AA3" s="40">
        <v>0</v>
      </c>
      <c r="AB3" s="40">
        <v>132.69999999999999</v>
      </c>
      <c r="AC3" s="40">
        <v>133.05000000000001</v>
      </c>
      <c r="AD3" s="40">
        <v>102.15</v>
      </c>
      <c r="AE3" s="40">
        <v>106.15</v>
      </c>
      <c r="AF3" s="40">
        <v>131.5</v>
      </c>
      <c r="AG3" s="40">
        <v>126.9</v>
      </c>
      <c r="AH3" s="40">
        <v>0</v>
      </c>
      <c r="AI3" s="40">
        <v>126.85</v>
      </c>
      <c r="AJ3" s="40">
        <v>89.65</v>
      </c>
      <c r="AK3" s="50">
        <v>0</v>
      </c>
      <c r="AL3" s="4440" t="s">
        <v>54</v>
      </c>
      <c r="AM3" s="4443" t="s">
        <v>61</v>
      </c>
      <c r="AN3" s="50"/>
      <c r="AO3" s="40">
        <f>SUM(G3:AJ3)</f>
        <v>3471.2500000000009</v>
      </c>
      <c r="AP3" s="51"/>
      <c r="AR3" s="40">
        <f>D39</f>
        <v>3594.1100000000006</v>
      </c>
      <c r="AS3" s="42">
        <f>AR3-AO3</f>
        <v>122.85999999999967</v>
      </c>
      <c r="AT3" s="42">
        <f>AS3/1</f>
        <v>122.85999999999967</v>
      </c>
      <c r="AU3" s="50"/>
    </row>
    <row r="4" spans="2:47" s="13" customFormat="1" ht="4.5" customHeight="1" x14ac:dyDescent="0.2">
      <c r="C4" s="33"/>
      <c r="D4" s="34"/>
      <c r="E4" s="34"/>
      <c r="F4" s="3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6"/>
      <c r="AL4" s="4441"/>
      <c r="AM4" s="4444"/>
      <c r="AN4" s="36"/>
      <c r="AO4" s="37"/>
      <c r="AP4" s="38"/>
      <c r="AR4" s="37"/>
      <c r="AS4" s="38"/>
      <c r="AT4" s="38"/>
    </row>
    <row r="5" spans="2:47" s="47" customFormat="1" ht="15" x14ac:dyDescent="0.2">
      <c r="C5" s="44" t="s">
        <v>72</v>
      </c>
      <c r="D5" s="45"/>
      <c r="E5" s="45"/>
      <c r="F5" s="52"/>
      <c r="G5" s="85">
        <f>G3*30%</f>
        <v>55.199999999999996</v>
      </c>
      <c r="H5" s="85">
        <f>H3*30%</f>
        <v>65.444999999999993</v>
      </c>
      <c r="I5" s="85">
        <f>I3*30%</f>
        <v>49.815000000000005</v>
      </c>
      <c r="J5" s="45">
        <f>J3*30%</f>
        <v>34.604999999999997</v>
      </c>
      <c r="K5" s="45">
        <f>K3*30%</f>
        <v>25.904999999999998</v>
      </c>
      <c r="L5" s="45">
        <f t="shared" ref="L5:AJ5" si="0">L3*30%</f>
        <v>40.65</v>
      </c>
      <c r="M5" s="45">
        <f t="shared" si="0"/>
        <v>0</v>
      </c>
      <c r="N5" s="45">
        <f>N3*30%</f>
        <v>45.24</v>
      </c>
      <c r="O5" s="45">
        <f t="shared" si="0"/>
        <v>40.17</v>
      </c>
      <c r="P5" s="45">
        <f t="shared" si="0"/>
        <v>36.945</v>
      </c>
      <c r="Q5" s="45">
        <f t="shared" si="0"/>
        <v>41.190000000000005</v>
      </c>
      <c r="R5" s="45">
        <f t="shared" si="0"/>
        <v>34.44</v>
      </c>
      <c r="S5" s="45">
        <f t="shared" si="0"/>
        <v>32.625</v>
      </c>
      <c r="T5" s="45">
        <f t="shared" si="0"/>
        <v>0</v>
      </c>
      <c r="U5" s="45">
        <f t="shared" si="0"/>
        <v>36.975000000000001</v>
      </c>
      <c r="V5" s="45">
        <f t="shared" si="0"/>
        <v>44.445</v>
      </c>
      <c r="W5" s="45">
        <f t="shared" si="0"/>
        <v>37.589999999999996</v>
      </c>
      <c r="X5" s="45">
        <f t="shared" si="0"/>
        <v>50.865000000000002</v>
      </c>
      <c r="Y5" s="45">
        <f t="shared" si="0"/>
        <v>38.715000000000003</v>
      </c>
      <c r="Z5" s="45">
        <f t="shared" si="0"/>
        <v>45.87</v>
      </c>
      <c r="AA5" s="45">
        <f t="shared" si="0"/>
        <v>0</v>
      </c>
      <c r="AB5" s="45">
        <f t="shared" si="0"/>
        <v>39.809999999999995</v>
      </c>
      <c r="AC5" s="45">
        <f t="shared" si="0"/>
        <v>39.914999999999999</v>
      </c>
      <c r="AD5" s="45">
        <f t="shared" si="0"/>
        <v>30.645</v>
      </c>
      <c r="AE5" s="45">
        <f t="shared" si="0"/>
        <v>31.844999999999999</v>
      </c>
      <c r="AF5" s="45">
        <f t="shared" si="0"/>
        <v>39.449999999999996</v>
      </c>
      <c r="AG5" s="45">
        <f t="shared" si="0"/>
        <v>38.07</v>
      </c>
      <c r="AH5" s="45">
        <f t="shared" si="0"/>
        <v>0</v>
      </c>
      <c r="AI5" s="45">
        <f t="shared" si="0"/>
        <v>38.055</v>
      </c>
      <c r="AJ5" s="45">
        <f t="shared" si="0"/>
        <v>26.895</v>
      </c>
      <c r="AK5" s="48"/>
      <c r="AL5" s="4441"/>
      <c r="AM5" s="4444"/>
      <c r="AN5" s="48"/>
      <c r="AO5" s="45">
        <f>SUM(G5:AJ5)</f>
        <v>1041.375</v>
      </c>
      <c r="AP5" s="46"/>
      <c r="AR5" s="45"/>
      <c r="AS5" s="46"/>
      <c r="AT5" s="46"/>
    </row>
    <row r="6" spans="2:47" ht="4.5" customHeight="1" x14ac:dyDescent="0.2">
      <c r="AL6" s="4441"/>
      <c r="AM6" s="4444"/>
    </row>
    <row r="7" spans="2:47" ht="15" x14ac:dyDescent="0.2">
      <c r="C7" s="3" t="s">
        <v>15</v>
      </c>
      <c r="D7" s="6"/>
      <c r="E7" s="6"/>
      <c r="F7" s="8"/>
      <c r="G7" s="87">
        <f>G5</f>
        <v>55.199999999999996</v>
      </c>
      <c r="H7" s="87">
        <f>H5</f>
        <v>65.444999999999993</v>
      </c>
      <c r="I7" s="87">
        <f t="shared" ref="I7:AJ7" si="1">I5</f>
        <v>49.815000000000005</v>
      </c>
      <c r="J7" s="5">
        <f t="shared" si="1"/>
        <v>34.604999999999997</v>
      </c>
      <c r="K7" s="5">
        <f t="shared" si="1"/>
        <v>25.904999999999998</v>
      </c>
      <c r="L7" s="5">
        <f t="shared" si="1"/>
        <v>40.65</v>
      </c>
      <c r="M7" s="5">
        <f t="shared" si="1"/>
        <v>0</v>
      </c>
      <c r="N7" s="5">
        <f t="shared" si="1"/>
        <v>45.24</v>
      </c>
      <c r="O7" s="5">
        <f t="shared" si="1"/>
        <v>40.17</v>
      </c>
      <c r="P7" s="5">
        <f t="shared" si="1"/>
        <v>36.945</v>
      </c>
      <c r="Q7" s="5">
        <f t="shared" si="1"/>
        <v>41.190000000000005</v>
      </c>
      <c r="R7" s="5">
        <f t="shared" si="1"/>
        <v>34.44</v>
      </c>
      <c r="S7" s="5">
        <f t="shared" si="1"/>
        <v>32.625</v>
      </c>
      <c r="T7" s="5">
        <f t="shared" si="1"/>
        <v>0</v>
      </c>
      <c r="U7" s="5">
        <f t="shared" si="1"/>
        <v>36.975000000000001</v>
      </c>
      <c r="V7" s="5">
        <f t="shared" si="1"/>
        <v>44.445</v>
      </c>
      <c r="W7" s="5">
        <f t="shared" si="1"/>
        <v>37.589999999999996</v>
      </c>
      <c r="X7" s="5">
        <f t="shared" si="1"/>
        <v>50.865000000000002</v>
      </c>
      <c r="Y7" s="5">
        <f t="shared" si="1"/>
        <v>38.715000000000003</v>
      </c>
      <c r="Z7" s="5">
        <f t="shared" si="1"/>
        <v>45.87</v>
      </c>
      <c r="AA7" s="5">
        <f t="shared" si="1"/>
        <v>0</v>
      </c>
      <c r="AB7" s="5">
        <f t="shared" si="1"/>
        <v>39.809999999999995</v>
      </c>
      <c r="AC7" s="5">
        <f t="shared" si="1"/>
        <v>39.914999999999999</v>
      </c>
      <c r="AD7" s="5">
        <f t="shared" si="1"/>
        <v>30.645</v>
      </c>
      <c r="AE7" s="5">
        <f t="shared" si="1"/>
        <v>31.844999999999999</v>
      </c>
      <c r="AF7" s="5">
        <f t="shared" si="1"/>
        <v>39.449999999999996</v>
      </c>
      <c r="AG7" s="5">
        <f t="shared" si="1"/>
        <v>38.07</v>
      </c>
      <c r="AH7" s="5">
        <f t="shared" si="1"/>
        <v>0</v>
      </c>
      <c r="AI7" s="5">
        <f t="shared" si="1"/>
        <v>38.055</v>
      </c>
      <c r="AJ7" s="5">
        <f t="shared" si="1"/>
        <v>26.895</v>
      </c>
      <c r="AL7" s="4441"/>
      <c r="AM7" s="4444"/>
      <c r="AO7" s="5">
        <f>SUM(G7:AJ7)</f>
        <v>1041.375</v>
      </c>
      <c r="AP7" s="59">
        <f>AO7/D33</f>
        <v>0.78403036214278654</v>
      </c>
      <c r="AR7" s="5">
        <f>AO7-D23</f>
        <v>-36.858000000000175</v>
      </c>
      <c r="AS7" s="63">
        <f>AR7/1</f>
        <v>-36.858000000000175</v>
      </c>
      <c r="AT7" s="63">
        <f>AS7*100%/30%</f>
        <v>-122.86000000000058</v>
      </c>
    </row>
    <row r="8" spans="2:47" ht="15" customHeight="1" x14ac:dyDescent="0.2">
      <c r="C8" s="16"/>
      <c r="G8" s="5" t="s">
        <v>73</v>
      </c>
      <c r="H8" s="5" t="s">
        <v>47</v>
      </c>
      <c r="I8" s="5" t="s">
        <v>48</v>
      </c>
      <c r="J8" s="5" t="s">
        <v>49</v>
      </c>
      <c r="K8" s="5" t="s">
        <v>50</v>
      </c>
      <c r="L8" s="5" t="s">
        <v>51</v>
      </c>
      <c r="M8" s="118" t="s">
        <v>45</v>
      </c>
      <c r="N8" s="5" t="s">
        <v>46</v>
      </c>
      <c r="O8" s="5" t="s">
        <v>47</v>
      </c>
      <c r="P8" s="5" t="s">
        <v>48</v>
      </c>
      <c r="Q8" s="5" t="s">
        <v>49</v>
      </c>
      <c r="R8" s="5" t="s">
        <v>50</v>
      </c>
      <c r="S8" s="5" t="s">
        <v>51</v>
      </c>
      <c r="T8" s="118" t="s">
        <v>45</v>
      </c>
      <c r="U8" s="5" t="s">
        <v>46</v>
      </c>
      <c r="V8" s="5" t="s">
        <v>47</v>
      </c>
      <c r="W8" s="5" t="s">
        <v>48</v>
      </c>
      <c r="X8" s="5" t="s">
        <v>49</v>
      </c>
      <c r="Y8" s="5" t="s">
        <v>50</v>
      </c>
      <c r="Z8" s="5" t="s">
        <v>51</v>
      </c>
      <c r="AA8" s="118" t="s">
        <v>45</v>
      </c>
      <c r="AB8" s="5" t="s">
        <v>46</v>
      </c>
      <c r="AC8" s="5" t="s">
        <v>47</v>
      </c>
      <c r="AD8" s="5" t="s">
        <v>48</v>
      </c>
      <c r="AE8" s="5" t="s">
        <v>49</v>
      </c>
      <c r="AF8" s="5" t="s">
        <v>50</v>
      </c>
      <c r="AG8" s="5" t="s">
        <v>51</v>
      </c>
      <c r="AH8" s="118" t="s">
        <v>45</v>
      </c>
      <c r="AI8" s="5" t="s">
        <v>46</v>
      </c>
      <c r="AJ8" s="5" t="s">
        <v>47</v>
      </c>
      <c r="AL8" s="4441"/>
      <c r="AM8" s="4444"/>
    </row>
    <row r="9" spans="2:47" x14ac:dyDescent="0.2">
      <c r="B9" s="1" t="s">
        <v>0</v>
      </c>
      <c r="C9" s="1" t="s">
        <v>1</v>
      </c>
      <c r="D9" s="1" t="s">
        <v>24</v>
      </c>
      <c r="E9" s="1" t="s">
        <v>25</v>
      </c>
      <c r="F9" s="1" t="s">
        <v>2</v>
      </c>
      <c r="G9" s="1">
        <v>1</v>
      </c>
      <c r="H9" s="1">
        <v>2</v>
      </c>
      <c r="I9" s="1">
        <v>3</v>
      </c>
      <c r="J9" s="1">
        <v>4</v>
      </c>
      <c r="K9" s="1">
        <v>5</v>
      </c>
      <c r="L9" s="1">
        <v>6</v>
      </c>
      <c r="M9" s="1">
        <v>7</v>
      </c>
      <c r="N9" s="1">
        <v>8</v>
      </c>
      <c r="O9" s="1">
        <v>9</v>
      </c>
      <c r="P9" s="1">
        <v>10</v>
      </c>
      <c r="Q9" s="1">
        <v>11</v>
      </c>
      <c r="R9" s="1">
        <v>12</v>
      </c>
      <c r="S9" s="1">
        <v>13</v>
      </c>
      <c r="T9" s="1">
        <v>14</v>
      </c>
      <c r="U9" s="1">
        <v>15</v>
      </c>
      <c r="V9" s="1">
        <v>16</v>
      </c>
      <c r="W9" s="1">
        <v>17</v>
      </c>
      <c r="X9" s="1">
        <v>18</v>
      </c>
      <c r="Y9" s="1">
        <v>19</v>
      </c>
      <c r="Z9" s="1">
        <v>20</v>
      </c>
      <c r="AA9" s="1">
        <v>21</v>
      </c>
      <c r="AB9" s="1">
        <v>22</v>
      </c>
      <c r="AC9" s="1">
        <v>23</v>
      </c>
      <c r="AD9" s="1">
        <v>24</v>
      </c>
      <c r="AE9" s="1">
        <v>25</v>
      </c>
      <c r="AF9" s="1">
        <v>26</v>
      </c>
      <c r="AG9" s="1">
        <v>27</v>
      </c>
      <c r="AH9" s="1">
        <v>28</v>
      </c>
      <c r="AI9" s="1">
        <v>29</v>
      </c>
      <c r="AJ9" s="1">
        <v>30</v>
      </c>
      <c r="AL9" s="4442"/>
      <c r="AM9" s="4445"/>
      <c r="AO9" s="1" t="s">
        <v>7</v>
      </c>
      <c r="AP9" s="1" t="s">
        <v>2</v>
      </c>
      <c r="AR9" s="1"/>
      <c r="AS9" s="1"/>
      <c r="AT9" s="1"/>
    </row>
    <row r="10" spans="2:47" ht="15" customHeight="1" x14ac:dyDescent="0.2">
      <c r="B10" s="13"/>
      <c r="C10" s="16" t="s">
        <v>19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L10" s="4"/>
      <c r="AM10" s="4"/>
    </row>
    <row r="11" spans="2:47" ht="15" x14ac:dyDescent="0.2">
      <c r="B11" s="1">
        <v>1</v>
      </c>
      <c r="C11" s="1" t="s">
        <v>21</v>
      </c>
      <c r="D11" s="6">
        <v>400</v>
      </c>
      <c r="E11" s="6">
        <f t="shared" ref="E11:E21" si="2">D11/26</f>
        <v>15.384615384615385</v>
      </c>
      <c r="F11" s="10">
        <f>D11/$D$23</f>
        <v>0.37097733050277626</v>
      </c>
      <c r="G11" s="6">
        <f t="shared" ref="G11:AJ11" si="3">$E$11</f>
        <v>15.384615384615385</v>
      </c>
      <c r="H11" s="6">
        <f t="shared" si="3"/>
        <v>15.384615384615385</v>
      </c>
      <c r="I11" s="6">
        <f t="shared" si="3"/>
        <v>15.384615384615385</v>
      </c>
      <c r="J11" s="6">
        <f t="shared" si="3"/>
        <v>15.384615384615385</v>
      </c>
      <c r="K11" s="6">
        <f t="shared" si="3"/>
        <v>15.384615384615385</v>
      </c>
      <c r="L11" s="6">
        <f t="shared" si="3"/>
        <v>15.384615384615385</v>
      </c>
      <c r="M11" s="6">
        <v>0</v>
      </c>
      <c r="N11" s="6">
        <f t="shared" si="3"/>
        <v>15.384615384615385</v>
      </c>
      <c r="O11" s="6">
        <f t="shared" si="3"/>
        <v>15.384615384615385</v>
      </c>
      <c r="P11" s="6">
        <f t="shared" si="3"/>
        <v>15.384615384615385</v>
      </c>
      <c r="Q11" s="6">
        <f t="shared" si="3"/>
        <v>15.384615384615385</v>
      </c>
      <c r="R11" s="6">
        <f t="shared" si="3"/>
        <v>15.384615384615385</v>
      </c>
      <c r="S11" s="6">
        <f t="shared" si="3"/>
        <v>15.384615384615385</v>
      </c>
      <c r="T11" s="6">
        <v>0</v>
      </c>
      <c r="U11" s="6">
        <f t="shared" si="3"/>
        <v>15.384615384615385</v>
      </c>
      <c r="V11" s="6">
        <f t="shared" si="3"/>
        <v>15.384615384615385</v>
      </c>
      <c r="W11" s="6">
        <f t="shared" si="3"/>
        <v>15.384615384615385</v>
      </c>
      <c r="X11" s="6">
        <f t="shared" si="3"/>
        <v>15.384615384615385</v>
      </c>
      <c r="Y11" s="6">
        <f t="shared" si="3"/>
        <v>15.384615384615385</v>
      </c>
      <c r="Z11" s="6">
        <f t="shared" si="3"/>
        <v>15.384615384615385</v>
      </c>
      <c r="AA11" s="6">
        <v>0</v>
      </c>
      <c r="AB11" s="6">
        <f t="shared" si="3"/>
        <v>15.384615384615385</v>
      </c>
      <c r="AC11" s="6">
        <f t="shared" si="3"/>
        <v>15.384615384615385</v>
      </c>
      <c r="AD11" s="6">
        <f t="shared" si="3"/>
        <v>15.384615384615385</v>
      </c>
      <c r="AE11" s="6">
        <f t="shared" si="3"/>
        <v>15.384615384615385</v>
      </c>
      <c r="AF11" s="6">
        <f t="shared" si="3"/>
        <v>15.384615384615385</v>
      </c>
      <c r="AG11" s="6">
        <f t="shared" si="3"/>
        <v>15.384615384615385</v>
      </c>
      <c r="AH11" s="6">
        <v>0</v>
      </c>
      <c r="AI11" s="6">
        <f t="shared" si="3"/>
        <v>15.384615384615385</v>
      </c>
      <c r="AJ11" s="6">
        <f t="shared" si="3"/>
        <v>15.384615384615385</v>
      </c>
      <c r="AL11" s="40">
        <v>400</v>
      </c>
      <c r="AM11" s="74">
        <f t="shared" ref="AM11:AM20" si="4">AL11/D11</f>
        <v>1</v>
      </c>
      <c r="AO11" s="5">
        <f t="shared" ref="AO11:AO20" si="5">SUM(G11:AJ11)</f>
        <v>399.99999999999977</v>
      </c>
      <c r="AP11" s="10">
        <f>AO11/$D$23</f>
        <v>0.37097733050277604</v>
      </c>
      <c r="AR11" s="14"/>
      <c r="AS11" s="60"/>
      <c r="AT11" s="60"/>
    </row>
    <row r="12" spans="2:47" ht="15" x14ac:dyDescent="0.2">
      <c r="B12" s="1">
        <v>2</v>
      </c>
      <c r="C12" s="1" t="s">
        <v>22</v>
      </c>
      <c r="D12" s="6">
        <v>200</v>
      </c>
      <c r="E12" s="6">
        <f t="shared" si="2"/>
        <v>7.6923076923076925</v>
      </c>
      <c r="F12" s="10">
        <f t="shared" ref="F12:F21" si="6">D12/$D$23</f>
        <v>0.18548866525138813</v>
      </c>
      <c r="G12" s="6">
        <f t="shared" ref="G12:AJ12" si="7">$E$12</f>
        <v>7.6923076923076925</v>
      </c>
      <c r="H12" s="6">
        <f t="shared" si="7"/>
        <v>7.6923076923076925</v>
      </c>
      <c r="I12" s="6">
        <f t="shared" si="7"/>
        <v>7.6923076923076925</v>
      </c>
      <c r="J12" s="6">
        <f t="shared" si="7"/>
        <v>7.6923076923076925</v>
      </c>
      <c r="K12" s="6">
        <f t="shared" si="7"/>
        <v>7.6923076923076925</v>
      </c>
      <c r="L12" s="6">
        <f t="shared" si="7"/>
        <v>7.6923076923076925</v>
      </c>
      <c r="M12" s="6">
        <v>0</v>
      </c>
      <c r="N12" s="6">
        <f t="shared" si="7"/>
        <v>7.6923076923076925</v>
      </c>
      <c r="O12" s="6">
        <f t="shared" si="7"/>
        <v>7.6923076923076925</v>
      </c>
      <c r="P12" s="6">
        <f t="shared" si="7"/>
        <v>7.6923076923076925</v>
      </c>
      <c r="Q12" s="6">
        <f t="shared" si="7"/>
        <v>7.6923076923076925</v>
      </c>
      <c r="R12" s="6">
        <f t="shared" si="7"/>
        <v>7.6923076923076925</v>
      </c>
      <c r="S12" s="6">
        <f t="shared" si="7"/>
        <v>7.6923076923076925</v>
      </c>
      <c r="T12" s="6">
        <v>0</v>
      </c>
      <c r="U12" s="6">
        <f t="shared" si="7"/>
        <v>7.6923076923076925</v>
      </c>
      <c r="V12" s="6">
        <f t="shared" si="7"/>
        <v>7.6923076923076925</v>
      </c>
      <c r="W12" s="6">
        <f t="shared" si="7"/>
        <v>7.6923076923076925</v>
      </c>
      <c r="X12" s="6">
        <f t="shared" si="7"/>
        <v>7.6923076923076925</v>
      </c>
      <c r="Y12" s="6">
        <f t="shared" si="7"/>
        <v>7.6923076923076925</v>
      </c>
      <c r="Z12" s="6">
        <f t="shared" si="7"/>
        <v>7.6923076923076925</v>
      </c>
      <c r="AA12" s="6">
        <v>0</v>
      </c>
      <c r="AB12" s="6">
        <f t="shared" si="7"/>
        <v>7.6923076923076925</v>
      </c>
      <c r="AC12" s="6">
        <f t="shared" si="7"/>
        <v>7.6923076923076925</v>
      </c>
      <c r="AD12" s="6">
        <f t="shared" si="7"/>
        <v>7.6923076923076925</v>
      </c>
      <c r="AE12" s="6">
        <f t="shared" si="7"/>
        <v>7.6923076923076925</v>
      </c>
      <c r="AF12" s="6">
        <f t="shared" si="7"/>
        <v>7.6923076923076925</v>
      </c>
      <c r="AG12" s="6">
        <f t="shared" si="7"/>
        <v>7.6923076923076925</v>
      </c>
      <c r="AH12" s="6">
        <v>0</v>
      </c>
      <c r="AI12" s="6">
        <f t="shared" si="7"/>
        <v>7.6923076923076925</v>
      </c>
      <c r="AJ12" s="6">
        <f t="shared" si="7"/>
        <v>7.6923076923076925</v>
      </c>
      <c r="AL12" s="40">
        <v>200</v>
      </c>
      <c r="AM12" s="74">
        <f t="shared" si="4"/>
        <v>1</v>
      </c>
      <c r="AO12" s="5">
        <f t="shared" si="5"/>
        <v>199.99999999999989</v>
      </c>
      <c r="AP12" s="10">
        <f t="shared" ref="AP12:AP21" si="8">AO12/$D$23</f>
        <v>0.18548866525138802</v>
      </c>
      <c r="AR12" s="14"/>
      <c r="AS12" s="60"/>
      <c r="AT12" s="60"/>
    </row>
    <row r="13" spans="2:47" ht="15" x14ac:dyDescent="0.2">
      <c r="B13" s="1">
        <v>3</v>
      </c>
      <c r="C13" s="1" t="s">
        <v>38</v>
      </c>
      <c r="D13" s="6">
        <v>175</v>
      </c>
      <c r="E13" s="6">
        <f t="shared" si="2"/>
        <v>6.7307692307692308</v>
      </c>
      <c r="F13" s="10">
        <f t="shared" si="6"/>
        <v>0.16230258209496459</v>
      </c>
      <c r="G13" s="6">
        <f t="shared" ref="G13:AJ13" si="9">$E$13</f>
        <v>6.7307692307692308</v>
      </c>
      <c r="H13" s="6">
        <f t="shared" si="9"/>
        <v>6.7307692307692308</v>
      </c>
      <c r="I13" s="6">
        <f t="shared" si="9"/>
        <v>6.7307692307692308</v>
      </c>
      <c r="J13" s="6">
        <f t="shared" si="9"/>
        <v>6.7307692307692308</v>
      </c>
      <c r="K13" s="6">
        <f t="shared" si="9"/>
        <v>6.7307692307692308</v>
      </c>
      <c r="L13" s="6">
        <f t="shared" si="9"/>
        <v>6.7307692307692308</v>
      </c>
      <c r="M13" s="6">
        <v>0</v>
      </c>
      <c r="N13" s="6">
        <f t="shared" si="9"/>
        <v>6.7307692307692308</v>
      </c>
      <c r="O13" s="6">
        <f t="shared" si="9"/>
        <v>6.7307692307692308</v>
      </c>
      <c r="P13" s="6">
        <f t="shared" si="9"/>
        <v>6.7307692307692308</v>
      </c>
      <c r="Q13" s="6">
        <f t="shared" si="9"/>
        <v>6.7307692307692308</v>
      </c>
      <c r="R13" s="6">
        <f t="shared" si="9"/>
        <v>6.7307692307692308</v>
      </c>
      <c r="S13" s="6">
        <f t="shared" si="9"/>
        <v>6.7307692307692308</v>
      </c>
      <c r="T13" s="6">
        <v>0</v>
      </c>
      <c r="U13" s="6">
        <f t="shared" si="9"/>
        <v>6.7307692307692308</v>
      </c>
      <c r="V13" s="6">
        <f t="shared" si="9"/>
        <v>6.7307692307692308</v>
      </c>
      <c r="W13" s="6">
        <f t="shared" si="9"/>
        <v>6.7307692307692308</v>
      </c>
      <c r="X13" s="6">
        <f t="shared" si="9"/>
        <v>6.7307692307692308</v>
      </c>
      <c r="Y13" s="6">
        <f t="shared" si="9"/>
        <v>6.7307692307692308</v>
      </c>
      <c r="Z13" s="6">
        <f t="shared" si="9"/>
        <v>6.7307692307692308</v>
      </c>
      <c r="AA13" s="6">
        <v>0</v>
      </c>
      <c r="AB13" s="6">
        <f t="shared" si="9"/>
        <v>6.7307692307692308</v>
      </c>
      <c r="AC13" s="6">
        <f t="shared" si="9"/>
        <v>6.7307692307692308</v>
      </c>
      <c r="AD13" s="6">
        <f t="shared" si="9"/>
        <v>6.7307692307692308</v>
      </c>
      <c r="AE13" s="6">
        <f t="shared" si="9"/>
        <v>6.7307692307692308</v>
      </c>
      <c r="AF13" s="6">
        <f t="shared" si="9"/>
        <v>6.7307692307692308</v>
      </c>
      <c r="AG13" s="6">
        <f t="shared" si="9"/>
        <v>6.7307692307692308</v>
      </c>
      <c r="AH13" s="6">
        <v>0</v>
      </c>
      <c r="AI13" s="6">
        <f t="shared" si="9"/>
        <v>6.7307692307692308</v>
      </c>
      <c r="AJ13" s="6">
        <f t="shared" si="9"/>
        <v>6.7307692307692308</v>
      </c>
      <c r="AL13" s="187">
        <v>120.1</v>
      </c>
      <c r="AM13" s="188">
        <f t="shared" si="4"/>
        <v>0.68628571428571428</v>
      </c>
      <c r="AO13" s="5">
        <f t="shared" si="5"/>
        <v>174.99999999999994</v>
      </c>
      <c r="AP13" s="10">
        <f t="shared" si="8"/>
        <v>0.16230258209496456</v>
      </c>
      <c r="AR13" s="14"/>
      <c r="AS13" s="160"/>
      <c r="AT13" s="60"/>
    </row>
    <row r="14" spans="2:47" ht="15" x14ac:dyDescent="0.2">
      <c r="B14" s="1">
        <v>4</v>
      </c>
      <c r="C14" s="1" t="s">
        <v>39</v>
      </c>
      <c r="D14" s="6">
        <v>65</v>
      </c>
      <c r="E14" s="6">
        <f t="shared" si="2"/>
        <v>2.5</v>
      </c>
      <c r="F14" s="10">
        <f t="shared" si="6"/>
        <v>6.0283816206701139E-2</v>
      </c>
      <c r="G14" s="6">
        <f t="shared" ref="G14:AJ14" si="10">$E$14</f>
        <v>2.5</v>
      </c>
      <c r="H14" s="6">
        <f t="shared" si="10"/>
        <v>2.5</v>
      </c>
      <c r="I14" s="6">
        <f t="shared" si="10"/>
        <v>2.5</v>
      </c>
      <c r="J14" s="6">
        <f t="shared" si="10"/>
        <v>2.5</v>
      </c>
      <c r="K14" s="6">
        <f t="shared" si="10"/>
        <v>2.5</v>
      </c>
      <c r="L14" s="6">
        <f t="shared" si="10"/>
        <v>2.5</v>
      </c>
      <c r="M14" s="6">
        <v>0</v>
      </c>
      <c r="N14" s="6">
        <f t="shared" si="10"/>
        <v>2.5</v>
      </c>
      <c r="O14" s="6">
        <f t="shared" si="10"/>
        <v>2.5</v>
      </c>
      <c r="P14" s="6">
        <f t="shared" si="10"/>
        <v>2.5</v>
      </c>
      <c r="Q14" s="6">
        <f t="shared" si="10"/>
        <v>2.5</v>
      </c>
      <c r="R14" s="6">
        <f t="shared" si="10"/>
        <v>2.5</v>
      </c>
      <c r="S14" s="6">
        <f t="shared" si="10"/>
        <v>2.5</v>
      </c>
      <c r="T14" s="6">
        <v>0</v>
      </c>
      <c r="U14" s="6">
        <f t="shared" si="10"/>
        <v>2.5</v>
      </c>
      <c r="V14" s="6">
        <f t="shared" si="10"/>
        <v>2.5</v>
      </c>
      <c r="W14" s="6">
        <f t="shared" si="10"/>
        <v>2.5</v>
      </c>
      <c r="X14" s="6">
        <f t="shared" si="10"/>
        <v>2.5</v>
      </c>
      <c r="Y14" s="6">
        <f t="shared" si="10"/>
        <v>2.5</v>
      </c>
      <c r="Z14" s="6">
        <f t="shared" si="10"/>
        <v>2.5</v>
      </c>
      <c r="AA14" s="6">
        <v>0</v>
      </c>
      <c r="AB14" s="6">
        <f t="shared" si="10"/>
        <v>2.5</v>
      </c>
      <c r="AC14" s="6">
        <f t="shared" si="10"/>
        <v>2.5</v>
      </c>
      <c r="AD14" s="6">
        <f t="shared" si="10"/>
        <v>2.5</v>
      </c>
      <c r="AE14" s="6">
        <f t="shared" si="10"/>
        <v>2.5</v>
      </c>
      <c r="AF14" s="6">
        <f t="shared" si="10"/>
        <v>2.5</v>
      </c>
      <c r="AG14" s="6">
        <f t="shared" si="10"/>
        <v>2.5</v>
      </c>
      <c r="AH14" s="6">
        <v>0</v>
      </c>
      <c r="AI14" s="6">
        <f t="shared" si="10"/>
        <v>2.5</v>
      </c>
      <c r="AJ14" s="6">
        <f t="shared" si="10"/>
        <v>2.5</v>
      </c>
      <c r="AL14" s="40">
        <v>65</v>
      </c>
      <c r="AM14" s="74">
        <f t="shared" si="4"/>
        <v>1</v>
      </c>
      <c r="AO14" s="5">
        <f t="shared" si="5"/>
        <v>65</v>
      </c>
      <c r="AP14" s="10">
        <f t="shared" si="8"/>
        <v>6.0283816206701139E-2</v>
      </c>
      <c r="AR14" s="14"/>
      <c r="AS14" s="60"/>
      <c r="AT14" s="60"/>
    </row>
    <row r="15" spans="2:47" ht="15" x14ac:dyDescent="0.2">
      <c r="B15" s="1">
        <v>5</v>
      </c>
      <c r="C15" s="1" t="s">
        <v>23</v>
      </c>
      <c r="D15" s="6">
        <v>52</v>
      </c>
      <c r="E15" s="6">
        <f t="shared" si="2"/>
        <v>2</v>
      </c>
      <c r="F15" s="10">
        <f t="shared" si="6"/>
        <v>4.8227052965360909E-2</v>
      </c>
      <c r="G15" s="6">
        <f t="shared" ref="G15:AJ15" si="11">$E$15</f>
        <v>2</v>
      </c>
      <c r="H15" s="6">
        <f t="shared" si="11"/>
        <v>2</v>
      </c>
      <c r="I15" s="6">
        <f t="shared" si="11"/>
        <v>2</v>
      </c>
      <c r="J15" s="6">
        <f t="shared" si="11"/>
        <v>2</v>
      </c>
      <c r="K15" s="6">
        <f t="shared" si="11"/>
        <v>2</v>
      </c>
      <c r="L15" s="6">
        <f t="shared" si="11"/>
        <v>2</v>
      </c>
      <c r="M15" s="6">
        <v>0</v>
      </c>
      <c r="N15" s="6">
        <f t="shared" si="11"/>
        <v>2</v>
      </c>
      <c r="O15" s="6">
        <f t="shared" si="11"/>
        <v>2</v>
      </c>
      <c r="P15" s="6">
        <f t="shared" si="11"/>
        <v>2</v>
      </c>
      <c r="Q15" s="6">
        <f t="shared" si="11"/>
        <v>2</v>
      </c>
      <c r="R15" s="6">
        <f t="shared" si="11"/>
        <v>2</v>
      </c>
      <c r="S15" s="6">
        <f t="shared" si="11"/>
        <v>2</v>
      </c>
      <c r="T15" s="6">
        <v>0</v>
      </c>
      <c r="U15" s="6">
        <f t="shared" si="11"/>
        <v>2</v>
      </c>
      <c r="V15" s="6">
        <f t="shared" si="11"/>
        <v>2</v>
      </c>
      <c r="W15" s="6">
        <f t="shared" si="11"/>
        <v>2</v>
      </c>
      <c r="X15" s="6">
        <f t="shared" si="11"/>
        <v>2</v>
      </c>
      <c r="Y15" s="6">
        <f t="shared" si="11"/>
        <v>2</v>
      </c>
      <c r="Z15" s="6">
        <f t="shared" si="11"/>
        <v>2</v>
      </c>
      <c r="AA15" s="6">
        <v>0</v>
      </c>
      <c r="AB15" s="6">
        <f t="shared" si="11"/>
        <v>2</v>
      </c>
      <c r="AC15" s="6">
        <f t="shared" si="11"/>
        <v>2</v>
      </c>
      <c r="AD15" s="6">
        <f t="shared" si="11"/>
        <v>2</v>
      </c>
      <c r="AE15" s="6">
        <f t="shared" si="11"/>
        <v>2</v>
      </c>
      <c r="AF15" s="6">
        <f t="shared" si="11"/>
        <v>2</v>
      </c>
      <c r="AG15" s="6">
        <f t="shared" si="11"/>
        <v>2</v>
      </c>
      <c r="AH15" s="6">
        <v>0</v>
      </c>
      <c r="AI15" s="6">
        <f t="shared" si="11"/>
        <v>2</v>
      </c>
      <c r="AJ15" s="6">
        <f t="shared" si="11"/>
        <v>2</v>
      </c>
      <c r="AL15" s="40">
        <v>52</v>
      </c>
      <c r="AM15" s="74">
        <f t="shared" si="4"/>
        <v>1</v>
      </c>
      <c r="AO15" s="5">
        <f t="shared" si="5"/>
        <v>52</v>
      </c>
      <c r="AP15" s="10">
        <f t="shared" si="8"/>
        <v>4.8227052965360909E-2</v>
      </c>
      <c r="AR15" s="14"/>
      <c r="AS15" s="60"/>
      <c r="AT15" s="60"/>
    </row>
    <row r="16" spans="2:47" ht="15" x14ac:dyDescent="0.2">
      <c r="B16" s="1">
        <v>6</v>
      </c>
      <c r="C16" s="1" t="s">
        <v>59</v>
      </c>
      <c r="D16" s="6">
        <v>50</v>
      </c>
      <c r="E16" s="6">
        <f t="shared" si="2"/>
        <v>1.9230769230769231</v>
      </c>
      <c r="F16" s="10">
        <f t="shared" si="6"/>
        <v>4.6372166312847032E-2</v>
      </c>
      <c r="G16" s="6">
        <f t="shared" ref="G16:AJ16" si="12">$E$16</f>
        <v>1.9230769230769231</v>
      </c>
      <c r="H16" s="6">
        <f t="shared" si="12"/>
        <v>1.9230769230769231</v>
      </c>
      <c r="I16" s="6">
        <f t="shared" si="12"/>
        <v>1.9230769230769231</v>
      </c>
      <c r="J16" s="6">
        <f t="shared" si="12"/>
        <v>1.9230769230769231</v>
      </c>
      <c r="K16" s="6">
        <f t="shared" si="12"/>
        <v>1.9230769230769231</v>
      </c>
      <c r="L16" s="6">
        <f t="shared" si="12"/>
        <v>1.9230769230769231</v>
      </c>
      <c r="M16" s="6">
        <v>0</v>
      </c>
      <c r="N16" s="6">
        <f t="shared" si="12"/>
        <v>1.9230769230769231</v>
      </c>
      <c r="O16" s="6">
        <f t="shared" si="12"/>
        <v>1.9230769230769231</v>
      </c>
      <c r="P16" s="6">
        <f t="shared" si="12"/>
        <v>1.9230769230769231</v>
      </c>
      <c r="Q16" s="6">
        <f t="shared" si="12"/>
        <v>1.9230769230769231</v>
      </c>
      <c r="R16" s="6">
        <f t="shared" si="12"/>
        <v>1.9230769230769231</v>
      </c>
      <c r="S16" s="6">
        <f t="shared" si="12"/>
        <v>1.9230769230769231</v>
      </c>
      <c r="T16" s="6">
        <v>0</v>
      </c>
      <c r="U16" s="6">
        <f t="shared" si="12"/>
        <v>1.9230769230769231</v>
      </c>
      <c r="V16" s="6">
        <f t="shared" si="12"/>
        <v>1.9230769230769231</v>
      </c>
      <c r="W16" s="6">
        <f t="shared" si="12"/>
        <v>1.9230769230769231</v>
      </c>
      <c r="X16" s="6">
        <f t="shared" si="12"/>
        <v>1.9230769230769231</v>
      </c>
      <c r="Y16" s="6">
        <f t="shared" si="12"/>
        <v>1.9230769230769231</v>
      </c>
      <c r="Z16" s="6">
        <f t="shared" si="12"/>
        <v>1.9230769230769231</v>
      </c>
      <c r="AA16" s="6">
        <v>0</v>
      </c>
      <c r="AB16" s="6">
        <f t="shared" si="12"/>
        <v>1.9230769230769231</v>
      </c>
      <c r="AC16" s="6">
        <f t="shared" si="12"/>
        <v>1.9230769230769231</v>
      </c>
      <c r="AD16" s="6">
        <f t="shared" si="12"/>
        <v>1.9230769230769231</v>
      </c>
      <c r="AE16" s="6">
        <f t="shared" si="12"/>
        <v>1.9230769230769231</v>
      </c>
      <c r="AF16" s="6">
        <f t="shared" si="12"/>
        <v>1.9230769230769231</v>
      </c>
      <c r="AG16" s="6">
        <f t="shared" si="12"/>
        <v>1.9230769230769231</v>
      </c>
      <c r="AH16" s="6">
        <v>0</v>
      </c>
      <c r="AI16" s="6">
        <f t="shared" si="12"/>
        <v>1.9230769230769231</v>
      </c>
      <c r="AJ16" s="6">
        <f t="shared" si="12"/>
        <v>1.9230769230769231</v>
      </c>
      <c r="AL16" s="40">
        <v>50</v>
      </c>
      <c r="AM16" s="74">
        <f t="shared" si="4"/>
        <v>1</v>
      </c>
      <c r="AO16" s="5">
        <f t="shared" si="5"/>
        <v>49.999999999999972</v>
      </c>
      <c r="AP16" s="10">
        <f t="shared" si="8"/>
        <v>4.6372166312847005E-2</v>
      </c>
      <c r="AR16" s="14"/>
      <c r="AS16" s="60"/>
      <c r="AT16" s="60"/>
    </row>
    <row r="17" spans="2:46" ht="15" x14ac:dyDescent="0.2">
      <c r="B17" s="1">
        <v>7</v>
      </c>
      <c r="C17" s="1" t="s">
        <v>37</v>
      </c>
      <c r="D17" s="6">
        <v>44.4</v>
      </c>
      <c r="E17" s="6">
        <f t="shared" si="2"/>
        <v>1.7076923076923076</v>
      </c>
      <c r="F17" s="10">
        <f t="shared" si="6"/>
        <v>4.1178483685808162E-2</v>
      </c>
      <c r="G17" s="6">
        <f t="shared" ref="G17:AJ17" si="13">$E$17</f>
        <v>1.7076923076923076</v>
      </c>
      <c r="H17" s="6">
        <f t="shared" si="13"/>
        <v>1.7076923076923076</v>
      </c>
      <c r="I17" s="6">
        <f t="shared" si="13"/>
        <v>1.7076923076923076</v>
      </c>
      <c r="J17" s="6">
        <f t="shared" si="13"/>
        <v>1.7076923076923076</v>
      </c>
      <c r="K17" s="6">
        <f t="shared" si="13"/>
        <v>1.7076923076923076</v>
      </c>
      <c r="L17" s="6">
        <f t="shared" si="13"/>
        <v>1.7076923076923076</v>
      </c>
      <c r="M17" s="6">
        <v>0</v>
      </c>
      <c r="N17" s="6">
        <f t="shared" si="13"/>
        <v>1.7076923076923076</v>
      </c>
      <c r="O17" s="6">
        <f t="shared" si="13"/>
        <v>1.7076923076923076</v>
      </c>
      <c r="P17" s="6">
        <f t="shared" si="13"/>
        <v>1.7076923076923076</v>
      </c>
      <c r="Q17" s="6">
        <f t="shared" si="13"/>
        <v>1.7076923076923076</v>
      </c>
      <c r="R17" s="6">
        <f t="shared" si="13"/>
        <v>1.7076923076923076</v>
      </c>
      <c r="S17" s="6">
        <f t="shared" si="13"/>
        <v>1.7076923076923076</v>
      </c>
      <c r="T17" s="6">
        <v>0</v>
      </c>
      <c r="U17" s="6">
        <f t="shared" si="13"/>
        <v>1.7076923076923076</v>
      </c>
      <c r="V17" s="6">
        <f t="shared" si="13"/>
        <v>1.7076923076923076</v>
      </c>
      <c r="W17" s="6">
        <f t="shared" si="13"/>
        <v>1.7076923076923076</v>
      </c>
      <c r="X17" s="6">
        <f t="shared" si="13"/>
        <v>1.7076923076923076</v>
      </c>
      <c r="Y17" s="6">
        <f t="shared" si="13"/>
        <v>1.7076923076923076</v>
      </c>
      <c r="Z17" s="6">
        <f t="shared" si="13"/>
        <v>1.7076923076923076</v>
      </c>
      <c r="AA17" s="6">
        <v>0</v>
      </c>
      <c r="AB17" s="6">
        <f t="shared" si="13"/>
        <v>1.7076923076923076</v>
      </c>
      <c r="AC17" s="6">
        <f t="shared" si="13"/>
        <v>1.7076923076923076</v>
      </c>
      <c r="AD17" s="6">
        <f t="shared" si="13"/>
        <v>1.7076923076923076</v>
      </c>
      <c r="AE17" s="6">
        <f t="shared" si="13"/>
        <v>1.7076923076923076</v>
      </c>
      <c r="AF17" s="6">
        <f t="shared" si="13"/>
        <v>1.7076923076923076</v>
      </c>
      <c r="AG17" s="6">
        <f t="shared" si="13"/>
        <v>1.7076923076923076</v>
      </c>
      <c r="AH17" s="6">
        <v>0</v>
      </c>
      <c r="AI17" s="6">
        <f t="shared" si="13"/>
        <v>1.7076923076923076</v>
      </c>
      <c r="AJ17" s="6">
        <f t="shared" si="13"/>
        <v>1.7076923076923076</v>
      </c>
      <c r="AL17" s="40">
        <v>44.4</v>
      </c>
      <c r="AM17" s="74">
        <f t="shared" si="4"/>
        <v>1</v>
      </c>
      <c r="AO17" s="5">
        <f t="shared" si="5"/>
        <v>44.399999999999984</v>
      </c>
      <c r="AP17" s="10">
        <f t="shared" si="8"/>
        <v>4.1178483685808148E-2</v>
      </c>
      <c r="AR17" s="14"/>
      <c r="AS17" s="60"/>
      <c r="AT17" s="60"/>
    </row>
    <row r="18" spans="2:46" ht="15" x14ac:dyDescent="0.2">
      <c r="B18" s="1">
        <v>8</v>
      </c>
      <c r="C18" s="1" t="s">
        <v>60</v>
      </c>
      <c r="D18" s="6">
        <v>37</v>
      </c>
      <c r="E18" s="6">
        <f t="shared" si="2"/>
        <v>1.4230769230769231</v>
      </c>
      <c r="F18" s="10">
        <f t="shared" si="6"/>
        <v>3.4315403071506802E-2</v>
      </c>
      <c r="G18" s="6">
        <f t="shared" ref="G18:AJ18" si="14">$E$18</f>
        <v>1.4230769230769231</v>
      </c>
      <c r="H18" s="6">
        <f t="shared" si="14"/>
        <v>1.4230769230769231</v>
      </c>
      <c r="I18" s="6">
        <f t="shared" si="14"/>
        <v>1.4230769230769231</v>
      </c>
      <c r="J18" s="6">
        <f t="shared" si="14"/>
        <v>1.4230769230769231</v>
      </c>
      <c r="K18" s="6">
        <f t="shared" si="14"/>
        <v>1.4230769230769231</v>
      </c>
      <c r="L18" s="6">
        <f t="shared" si="14"/>
        <v>1.4230769230769231</v>
      </c>
      <c r="M18" s="6">
        <v>0</v>
      </c>
      <c r="N18" s="6">
        <f t="shared" si="14"/>
        <v>1.4230769230769231</v>
      </c>
      <c r="O18" s="6">
        <f t="shared" si="14"/>
        <v>1.4230769230769231</v>
      </c>
      <c r="P18" s="6">
        <f t="shared" si="14"/>
        <v>1.4230769230769231</v>
      </c>
      <c r="Q18" s="6">
        <f t="shared" si="14"/>
        <v>1.4230769230769231</v>
      </c>
      <c r="R18" s="6">
        <f t="shared" si="14"/>
        <v>1.4230769230769231</v>
      </c>
      <c r="S18" s="6">
        <f t="shared" si="14"/>
        <v>1.4230769230769231</v>
      </c>
      <c r="T18" s="6">
        <v>0</v>
      </c>
      <c r="U18" s="6">
        <f t="shared" si="14"/>
        <v>1.4230769230769231</v>
      </c>
      <c r="V18" s="6">
        <f t="shared" si="14"/>
        <v>1.4230769230769231</v>
      </c>
      <c r="W18" s="6">
        <f t="shared" si="14"/>
        <v>1.4230769230769231</v>
      </c>
      <c r="X18" s="6">
        <f t="shared" si="14"/>
        <v>1.4230769230769231</v>
      </c>
      <c r="Y18" s="6">
        <f t="shared" si="14"/>
        <v>1.4230769230769231</v>
      </c>
      <c r="Z18" s="6">
        <f t="shared" si="14"/>
        <v>1.4230769230769231</v>
      </c>
      <c r="AA18" s="6">
        <v>0</v>
      </c>
      <c r="AB18" s="6">
        <f t="shared" si="14"/>
        <v>1.4230769230769231</v>
      </c>
      <c r="AC18" s="6">
        <f t="shared" si="14"/>
        <v>1.4230769230769231</v>
      </c>
      <c r="AD18" s="6">
        <f t="shared" si="14"/>
        <v>1.4230769230769231</v>
      </c>
      <c r="AE18" s="6">
        <f t="shared" si="14"/>
        <v>1.4230769230769231</v>
      </c>
      <c r="AF18" s="6">
        <f t="shared" si="14"/>
        <v>1.4230769230769231</v>
      </c>
      <c r="AG18" s="6">
        <f t="shared" si="14"/>
        <v>1.4230769230769231</v>
      </c>
      <c r="AH18" s="6">
        <v>0</v>
      </c>
      <c r="AI18" s="6">
        <f t="shared" si="14"/>
        <v>1.4230769230769231</v>
      </c>
      <c r="AJ18" s="6">
        <f t="shared" si="14"/>
        <v>1.4230769230769231</v>
      </c>
      <c r="AL18" s="40">
        <v>37</v>
      </c>
      <c r="AM18" s="74">
        <f t="shared" si="4"/>
        <v>1</v>
      </c>
      <c r="AO18" s="5">
        <f t="shared" si="5"/>
        <v>36.999999999999993</v>
      </c>
      <c r="AP18" s="10">
        <f t="shared" si="8"/>
        <v>3.4315403071506795E-2</v>
      </c>
      <c r="AR18" s="14"/>
      <c r="AS18" s="60"/>
      <c r="AT18" s="60"/>
    </row>
    <row r="19" spans="2:46" ht="15" x14ac:dyDescent="0.2">
      <c r="B19" s="1">
        <v>9</v>
      </c>
      <c r="C19" s="1" t="s">
        <v>43</v>
      </c>
      <c r="D19" s="6">
        <v>27</v>
      </c>
      <c r="E19" s="6">
        <f t="shared" si="2"/>
        <v>1.0384615384615385</v>
      </c>
      <c r="F19" s="10">
        <f t="shared" si="6"/>
        <v>2.5040969808937396E-2</v>
      </c>
      <c r="G19" s="6">
        <f t="shared" ref="G19:AJ19" si="15">$E$19</f>
        <v>1.0384615384615385</v>
      </c>
      <c r="H19" s="6">
        <f t="shared" si="15"/>
        <v>1.0384615384615385</v>
      </c>
      <c r="I19" s="6">
        <f t="shared" si="15"/>
        <v>1.0384615384615385</v>
      </c>
      <c r="J19" s="6">
        <f t="shared" si="15"/>
        <v>1.0384615384615385</v>
      </c>
      <c r="K19" s="6">
        <f t="shared" si="15"/>
        <v>1.0384615384615385</v>
      </c>
      <c r="L19" s="6">
        <f t="shared" si="15"/>
        <v>1.0384615384615385</v>
      </c>
      <c r="M19" s="6">
        <v>0</v>
      </c>
      <c r="N19" s="6">
        <f t="shared" si="15"/>
        <v>1.0384615384615385</v>
      </c>
      <c r="O19" s="6">
        <f t="shared" si="15"/>
        <v>1.0384615384615385</v>
      </c>
      <c r="P19" s="6">
        <f t="shared" si="15"/>
        <v>1.0384615384615385</v>
      </c>
      <c r="Q19" s="6">
        <f t="shared" si="15"/>
        <v>1.0384615384615385</v>
      </c>
      <c r="R19" s="6">
        <f t="shared" si="15"/>
        <v>1.0384615384615385</v>
      </c>
      <c r="S19" s="6">
        <f t="shared" si="15"/>
        <v>1.0384615384615385</v>
      </c>
      <c r="T19" s="6">
        <v>0</v>
      </c>
      <c r="U19" s="6">
        <f t="shared" si="15"/>
        <v>1.0384615384615385</v>
      </c>
      <c r="V19" s="6">
        <f t="shared" si="15"/>
        <v>1.0384615384615385</v>
      </c>
      <c r="W19" s="6">
        <f t="shared" si="15"/>
        <v>1.0384615384615385</v>
      </c>
      <c r="X19" s="6">
        <f t="shared" si="15"/>
        <v>1.0384615384615385</v>
      </c>
      <c r="Y19" s="6">
        <f t="shared" si="15"/>
        <v>1.0384615384615385</v>
      </c>
      <c r="Z19" s="6">
        <f t="shared" si="15"/>
        <v>1.0384615384615385</v>
      </c>
      <c r="AA19" s="6">
        <v>0</v>
      </c>
      <c r="AB19" s="6">
        <f t="shared" si="15"/>
        <v>1.0384615384615385</v>
      </c>
      <c r="AC19" s="6">
        <f t="shared" si="15"/>
        <v>1.0384615384615385</v>
      </c>
      <c r="AD19" s="6">
        <f t="shared" si="15"/>
        <v>1.0384615384615385</v>
      </c>
      <c r="AE19" s="6">
        <f t="shared" si="15"/>
        <v>1.0384615384615385</v>
      </c>
      <c r="AF19" s="6">
        <f t="shared" si="15"/>
        <v>1.0384615384615385</v>
      </c>
      <c r="AG19" s="6">
        <f t="shared" si="15"/>
        <v>1.0384615384615385</v>
      </c>
      <c r="AH19" s="6">
        <v>0</v>
      </c>
      <c r="AI19" s="6">
        <f t="shared" si="15"/>
        <v>1.0384615384615385</v>
      </c>
      <c r="AJ19" s="6">
        <f t="shared" si="15"/>
        <v>1.0384615384615385</v>
      </c>
      <c r="AL19" s="40">
        <v>27</v>
      </c>
      <c r="AM19" s="74">
        <f t="shared" si="4"/>
        <v>1</v>
      </c>
      <c r="AO19" s="5">
        <f t="shared" si="5"/>
        <v>27.000000000000018</v>
      </c>
      <c r="AP19" s="10">
        <f t="shared" si="8"/>
        <v>2.5040969808937413E-2</v>
      </c>
      <c r="AR19" s="14"/>
      <c r="AS19" s="60"/>
      <c r="AT19" s="60"/>
    </row>
    <row r="20" spans="2:46" ht="15" x14ac:dyDescent="0.2">
      <c r="B20" s="1">
        <v>10</v>
      </c>
      <c r="C20" s="90" t="s">
        <v>16</v>
      </c>
      <c r="D20" s="91">
        <v>24.5</v>
      </c>
      <c r="E20" s="91">
        <f t="shared" si="2"/>
        <v>0.94230769230769229</v>
      </c>
      <c r="F20" s="10">
        <f t="shared" si="6"/>
        <v>2.2722361493295044E-2</v>
      </c>
      <c r="G20" s="91">
        <f t="shared" ref="G20:AJ20" si="16">$E$20</f>
        <v>0.94230769230769229</v>
      </c>
      <c r="H20" s="91">
        <f t="shared" si="16"/>
        <v>0.94230769230769229</v>
      </c>
      <c r="I20" s="91">
        <f t="shared" si="16"/>
        <v>0.94230769230769229</v>
      </c>
      <c r="J20" s="91">
        <f t="shared" si="16"/>
        <v>0.94230769230769229</v>
      </c>
      <c r="K20" s="91">
        <f t="shared" si="16"/>
        <v>0.94230769230769229</v>
      </c>
      <c r="L20" s="91">
        <f t="shared" si="16"/>
        <v>0.94230769230769229</v>
      </c>
      <c r="M20" s="91">
        <v>0</v>
      </c>
      <c r="N20" s="91">
        <f t="shared" si="16"/>
        <v>0.94230769230769229</v>
      </c>
      <c r="O20" s="91">
        <f t="shared" si="16"/>
        <v>0.94230769230769229</v>
      </c>
      <c r="P20" s="91">
        <f t="shared" si="16"/>
        <v>0.94230769230769229</v>
      </c>
      <c r="Q20" s="91">
        <f t="shared" si="16"/>
        <v>0.94230769230769229</v>
      </c>
      <c r="R20" s="91">
        <f t="shared" si="16"/>
        <v>0.94230769230769229</v>
      </c>
      <c r="S20" s="91">
        <f t="shared" si="16"/>
        <v>0.94230769230769229</v>
      </c>
      <c r="T20" s="91">
        <v>0</v>
      </c>
      <c r="U20" s="91">
        <f t="shared" si="16"/>
        <v>0.94230769230769229</v>
      </c>
      <c r="V20" s="91">
        <f t="shared" si="16"/>
        <v>0.94230769230769229</v>
      </c>
      <c r="W20" s="91">
        <f t="shared" si="16"/>
        <v>0.94230769230769229</v>
      </c>
      <c r="X20" s="91">
        <f t="shared" si="16"/>
        <v>0.94230769230769229</v>
      </c>
      <c r="Y20" s="91">
        <f t="shared" si="16"/>
        <v>0.94230769230769229</v>
      </c>
      <c r="Z20" s="91">
        <f t="shared" si="16"/>
        <v>0.94230769230769229</v>
      </c>
      <c r="AA20" s="91">
        <v>0</v>
      </c>
      <c r="AB20" s="91">
        <f t="shared" si="16"/>
        <v>0.94230769230769229</v>
      </c>
      <c r="AC20" s="91">
        <f t="shared" si="16"/>
        <v>0.94230769230769229</v>
      </c>
      <c r="AD20" s="91">
        <f t="shared" si="16"/>
        <v>0.94230769230769229</v>
      </c>
      <c r="AE20" s="91">
        <f t="shared" si="16"/>
        <v>0.94230769230769229</v>
      </c>
      <c r="AF20" s="91">
        <f t="shared" si="16"/>
        <v>0.94230769230769229</v>
      </c>
      <c r="AG20" s="91">
        <f t="shared" si="16"/>
        <v>0.94230769230769229</v>
      </c>
      <c r="AH20" s="91">
        <v>0</v>
      </c>
      <c r="AI20" s="91">
        <f t="shared" si="16"/>
        <v>0.94230769230769229</v>
      </c>
      <c r="AJ20" s="91">
        <f t="shared" si="16"/>
        <v>0.94230769230769229</v>
      </c>
      <c r="AL20" s="40">
        <v>24.5</v>
      </c>
      <c r="AM20" s="74">
        <f t="shared" si="4"/>
        <v>1</v>
      </c>
      <c r="AO20" s="92">
        <f t="shared" si="5"/>
        <v>24.500000000000007</v>
      </c>
      <c r="AP20" s="10">
        <f t="shared" si="8"/>
        <v>2.2722361493295051E-2</v>
      </c>
      <c r="AR20" s="14"/>
      <c r="AS20" s="60"/>
      <c r="AT20" s="60"/>
    </row>
    <row r="21" spans="2:46" ht="15" x14ac:dyDescent="0.2">
      <c r="B21" s="1">
        <v>11</v>
      </c>
      <c r="C21" s="1" t="s">
        <v>10</v>
      </c>
      <c r="D21" s="6">
        <v>3.3330000000000002</v>
      </c>
      <c r="E21" s="6">
        <f t="shared" si="2"/>
        <v>0.12819230769230769</v>
      </c>
      <c r="F21" s="10">
        <f t="shared" si="6"/>
        <v>3.0911686064143832E-3</v>
      </c>
      <c r="G21" s="6">
        <f t="shared" ref="G21:AJ21" si="17">$E$21</f>
        <v>0.12819230769230769</v>
      </c>
      <c r="H21" s="6">
        <f t="shared" si="17"/>
        <v>0.12819230769230769</v>
      </c>
      <c r="I21" s="6">
        <f t="shared" si="17"/>
        <v>0.12819230769230769</v>
      </c>
      <c r="J21" s="6">
        <f t="shared" si="17"/>
        <v>0.12819230769230769</v>
      </c>
      <c r="K21" s="6">
        <f t="shared" si="17"/>
        <v>0.12819230769230769</v>
      </c>
      <c r="L21" s="6">
        <f t="shared" si="17"/>
        <v>0.12819230769230769</v>
      </c>
      <c r="M21" s="6">
        <v>0</v>
      </c>
      <c r="N21" s="6">
        <f t="shared" si="17"/>
        <v>0.12819230769230769</v>
      </c>
      <c r="O21" s="6">
        <f t="shared" si="17"/>
        <v>0.12819230769230769</v>
      </c>
      <c r="P21" s="6">
        <f t="shared" si="17"/>
        <v>0.12819230769230769</v>
      </c>
      <c r="Q21" s="6">
        <f t="shared" si="17"/>
        <v>0.12819230769230769</v>
      </c>
      <c r="R21" s="6">
        <f t="shared" si="17"/>
        <v>0.12819230769230769</v>
      </c>
      <c r="S21" s="6">
        <f t="shared" si="17"/>
        <v>0.12819230769230769</v>
      </c>
      <c r="T21" s="6">
        <v>0</v>
      </c>
      <c r="U21" s="6">
        <f t="shared" si="17"/>
        <v>0.12819230769230769</v>
      </c>
      <c r="V21" s="6">
        <f t="shared" si="17"/>
        <v>0.12819230769230769</v>
      </c>
      <c r="W21" s="6">
        <f t="shared" si="17"/>
        <v>0.12819230769230769</v>
      </c>
      <c r="X21" s="6">
        <f t="shared" si="17"/>
        <v>0.12819230769230769</v>
      </c>
      <c r="Y21" s="6">
        <f t="shared" si="17"/>
        <v>0.12819230769230769</v>
      </c>
      <c r="Z21" s="6">
        <f t="shared" si="17"/>
        <v>0.12819230769230769</v>
      </c>
      <c r="AA21" s="6">
        <v>0</v>
      </c>
      <c r="AB21" s="6">
        <f t="shared" si="17"/>
        <v>0.12819230769230769</v>
      </c>
      <c r="AC21" s="6">
        <f t="shared" si="17"/>
        <v>0.12819230769230769</v>
      </c>
      <c r="AD21" s="6">
        <f t="shared" si="17"/>
        <v>0.12819230769230769</v>
      </c>
      <c r="AE21" s="6">
        <f t="shared" si="17"/>
        <v>0.12819230769230769</v>
      </c>
      <c r="AF21" s="6">
        <f t="shared" si="17"/>
        <v>0.12819230769230769</v>
      </c>
      <c r="AG21" s="6">
        <f t="shared" si="17"/>
        <v>0.12819230769230769</v>
      </c>
      <c r="AH21" s="6">
        <v>0</v>
      </c>
      <c r="AI21" s="6">
        <f t="shared" si="17"/>
        <v>0.12819230769230769</v>
      </c>
      <c r="AJ21" s="6">
        <f t="shared" si="17"/>
        <v>0.12819230769230769</v>
      </c>
      <c r="AL21" s="40">
        <v>3.3330000000000002</v>
      </c>
      <c r="AM21" s="74">
        <f>AL21/D21</f>
        <v>1</v>
      </c>
      <c r="AO21" s="5">
        <f>SUM(G21:AJ21)</f>
        <v>3.332999999999998</v>
      </c>
      <c r="AP21" s="10">
        <f t="shared" si="8"/>
        <v>3.091168606414381E-3</v>
      </c>
      <c r="AR21" s="14"/>
      <c r="AS21" s="60"/>
      <c r="AT21" s="60"/>
    </row>
    <row r="22" spans="2:46" ht="4.5" customHeight="1" x14ac:dyDescent="0.2">
      <c r="B22" s="140"/>
      <c r="C22" s="141"/>
      <c r="D22" s="142"/>
      <c r="E22" s="142"/>
      <c r="F22" s="143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4"/>
      <c r="AL22" s="61"/>
      <c r="AM22" s="93"/>
      <c r="AO22" s="145"/>
      <c r="AP22" s="146"/>
      <c r="AR22" s="14"/>
      <c r="AS22" s="60"/>
      <c r="AT22" s="60"/>
    </row>
    <row r="23" spans="2:46" s="4" customFormat="1" ht="15" x14ac:dyDescent="0.2">
      <c r="B23" s="3"/>
      <c r="C23" s="3" t="s">
        <v>17</v>
      </c>
      <c r="D23" s="5">
        <f>SUM(D11:D21)</f>
        <v>1078.2330000000002</v>
      </c>
      <c r="E23" s="5">
        <f>SUM(E11:E21)</f>
        <v>41.470499999999994</v>
      </c>
      <c r="F23" s="12">
        <f>D23/D33</f>
        <v>0.81178001148894807</v>
      </c>
      <c r="G23" s="5">
        <f>SUM(G11:G21)</f>
        <v>41.470499999999994</v>
      </c>
      <c r="H23" s="5">
        <f t="shared" ref="H23:AJ23" si="18">SUM(H11:H21)</f>
        <v>41.470499999999994</v>
      </c>
      <c r="I23" s="5">
        <f t="shared" si="18"/>
        <v>41.470499999999994</v>
      </c>
      <c r="J23" s="5">
        <f t="shared" si="18"/>
        <v>41.470499999999994</v>
      </c>
      <c r="K23" s="5">
        <f t="shared" si="18"/>
        <v>41.470499999999994</v>
      </c>
      <c r="L23" s="5">
        <f t="shared" si="18"/>
        <v>41.470499999999994</v>
      </c>
      <c r="M23" s="5">
        <f t="shared" si="18"/>
        <v>0</v>
      </c>
      <c r="N23" s="5">
        <f t="shared" si="18"/>
        <v>41.470499999999994</v>
      </c>
      <c r="O23" s="5">
        <f t="shared" si="18"/>
        <v>41.470499999999994</v>
      </c>
      <c r="P23" s="5">
        <f t="shared" si="18"/>
        <v>41.470499999999994</v>
      </c>
      <c r="Q23" s="5">
        <f t="shared" si="18"/>
        <v>41.470499999999994</v>
      </c>
      <c r="R23" s="5">
        <f t="shared" si="18"/>
        <v>41.470499999999994</v>
      </c>
      <c r="S23" s="5">
        <f t="shared" si="18"/>
        <v>41.470499999999994</v>
      </c>
      <c r="T23" s="5">
        <f t="shared" si="18"/>
        <v>0</v>
      </c>
      <c r="U23" s="5">
        <f t="shared" si="18"/>
        <v>41.470499999999994</v>
      </c>
      <c r="V23" s="5">
        <f t="shared" si="18"/>
        <v>41.470499999999994</v>
      </c>
      <c r="W23" s="5">
        <f t="shared" si="18"/>
        <v>41.470499999999994</v>
      </c>
      <c r="X23" s="5">
        <f t="shared" si="18"/>
        <v>41.470499999999994</v>
      </c>
      <c r="Y23" s="5">
        <f t="shared" si="18"/>
        <v>41.470499999999994</v>
      </c>
      <c r="Z23" s="5">
        <f t="shared" si="18"/>
        <v>41.470499999999994</v>
      </c>
      <c r="AA23" s="5">
        <f t="shared" si="18"/>
        <v>0</v>
      </c>
      <c r="AB23" s="5">
        <f t="shared" si="18"/>
        <v>41.470499999999994</v>
      </c>
      <c r="AC23" s="5">
        <f t="shared" si="18"/>
        <v>41.470499999999994</v>
      </c>
      <c r="AD23" s="5">
        <f t="shared" si="18"/>
        <v>41.470499999999994</v>
      </c>
      <c r="AE23" s="5">
        <f t="shared" si="18"/>
        <v>41.470499999999994</v>
      </c>
      <c r="AF23" s="5">
        <f t="shared" si="18"/>
        <v>41.470499999999994</v>
      </c>
      <c r="AG23" s="5">
        <f t="shared" si="18"/>
        <v>41.470499999999994</v>
      </c>
      <c r="AH23" s="5">
        <f t="shared" si="18"/>
        <v>0</v>
      </c>
      <c r="AI23" s="5">
        <f t="shared" si="18"/>
        <v>41.470499999999994</v>
      </c>
      <c r="AJ23" s="5">
        <f t="shared" si="18"/>
        <v>41.470499999999994</v>
      </c>
      <c r="AL23" s="40">
        <f>SUM(AL11:AL21)</f>
        <v>1023.333</v>
      </c>
      <c r="AM23" s="74">
        <f>AL23/$D$23</f>
        <v>0.94908336138849381</v>
      </c>
      <c r="AO23" s="5">
        <f>SUM(AO11:AO21)</f>
        <v>1078.2329999999997</v>
      </c>
      <c r="AP23" s="153">
        <f>AO23/$D$23</f>
        <v>0.99999999999999956</v>
      </c>
      <c r="AR23" s="14">
        <f>AO5-AL23</f>
        <v>18.04200000000003</v>
      </c>
      <c r="AS23" s="29" t="s">
        <v>82</v>
      </c>
      <c r="AT23" s="29"/>
    </row>
    <row r="24" spans="2:46" s="13" customFormat="1" ht="4.5" customHeight="1" x14ac:dyDescent="0.2">
      <c r="D24" s="36"/>
      <c r="E24" s="36"/>
      <c r="F24" s="67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L24" s="61"/>
      <c r="AM24" s="93"/>
      <c r="AO24" s="14"/>
      <c r="AP24" s="67"/>
      <c r="AR24" s="14"/>
      <c r="AS24" s="60"/>
      <c r="AT24" s="60"/>
    </row>
    <row r="25" spans="2:46" s="4" customFormat="1" ht="15" x14ac:dyDescent="0.2">
      <c r="B25" s="3"/>
      <c r="C25" s="3" t="s">
        <v>77</v>
      </c>
      <c r="D25" s="5"/>
      <c r="E25" s="5"/>
      <c r="F25" s="12"/>
      <c r="G25" s="5">
        <f>G5-G23</f>
        <v>13.729500000000002</v>
      </c>
      <c r="H25" s="5">
        <f t="shared" ref="H25:L25" si="19">H5-H23</f>
        <v>23.974499999999999</v>
      </c>
      <c r="I25" s="5">
        <f t="shared" si="19"/>
        <v>8.3445000000000107</v>
      </c>
      <c r="J25" s="5">
        <f t="shared" si="19"/>
        <v>-6.8654999999999973</v>
      </c>
      <c r="K25" s="5">
        <f t="shared" si="19"/>
        <v>-15.565499999999997</v>
      </c>
      <c r="L25" s="5">
        <f t="shared" si="19"/>
        <v>-0.82049999999999557</v>
      </c>
      <c r="M25" s="5">
        <v>0</v>
      </c>
      <c r="N25" s="5">
        <f t="shared" ref="N25:V25" si="20">N7-N23</f>
        <v>3.7695000000000078</v>
      </c>
      <c r="O25" s="5">
        <f t="shared" si="20"/>
        <v>-1.3004999999999924</v>
      </c>
      <c r="P25" s="5">
        <f t="shared" si="20"/>
        <v>-4.5254999999999939</v>
      </c>
      <c r="Q25" s="5">
        <f t="shared" si="20"/>
        <v>-0.28049999999998931</v>
      </c>
      <c r="R25" s="5">
        <f t="shared" si="20"/>
        <v>-7.0304999999999964</v>
      </c>
      <c r="S25" s="5">
        <f t="shared" si="20"/>
        <v>-8.8454999999999941</v>
      </c>
      <c r="T25" s="5">
        <f t="shared" si="20"/>
        <v>0</v>
      </c>
      <c r="U25" s="5">
        <f t="shared" si="20"/>
        <v>-4.4954999999999927</v>
      </c>
      <c r="V25" s="5">
        <f t="shared" si="20"/>
        <v>2.9745000000000061</v>
      </c>
      <c r="W25" s="5">
        <f>W7-W23</f>
        <v>-3.8804999999999978</v>
      </c>
      <c r="X25" s="5">
        <f>X7-X23</f>
        <v>9.3945000000000078</v>
      </c>
      <c r="Y25" s="5">
        <f>Y7-Y23</f>
        <v>-2.7554999999999907</v>
      </c>
      <c r="Z25" s="5">
        <f>Z7-Z23</f>
        <v>4.3995000000000033</v>
      </c>
      <c r="AA25" s="5">
        <f t="shared" ref="AA25:AJ25" si="21">AA7-AA23</f>
        <v>0</v>
      </c>
      <c r="AB25" s="5">
        <f t="shared" si="21"/>
        <v>-1.660499999999999</v>
      </c>
      <c r="AC25" s="5">
        <f t="shared" si="21"/>
        <v>-1.555499999999995</v>
      </c>
      <c r="AD25" s="5">
        <f t="shared" si="21"/>
        <v>-10.825499999999995</v>
      </c>
      <c r="AE25" s="5">
        <f t="shared" si="21"/>
        <v>-9.6254999999999953</v>
      </c>
      <c r="AF25" s="5">
        <f t="shared" si="21"/>
        <v>-2.0204999999999984</v>
      </c>
      <c r="AG25" s="5">
        <f t="shared" si="21"/>
        <v>-3.4004999999999939</v>
      </c>
      <c r="AH25" s="5">
        <f t="shared" si="21"/>
        <v>0</v>
      </c>
      <c r="AI25" s="5">
        <f t="shared" si="21"/>
        <v>-3.4154999999999944</v>
      </c>
      <c r="AJ25" s="5">
        <f t="shared" si="21"/>
        <v>-14.575499999999995</v>
      </c>
      <c r="AL25" s="40"/>
      <c r="AM25" s="74"/>
      <c r="AO25" s="5">
        <f>SUM(G25:AJ25)</f>
        <v>-36.857999999999862</v>
      </c>
      <c r="AP25" s="12"/>
      <c r="AR25" s="14"/>
      <c r="AS25" s="29"/>
      <c r="AT25" s="29"/>
    </row>
    <row r="26" spans="2:46" s="13" customFormat="1" ht="15" customHeight="1" thickBot="1" x14ac:dyDescent="0.25">
      <c r="C26" s="16" t="s">
        <v>76</v>
      </c>
      <c r="D26" s="36"/>
      <c r="E26" s="36"/>
      <c r="F26" s="67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L26" s="61"/>
      <c r="AM26" s="93"/>
      <c r="AO26" s="14"/>
      <c r="AP26" s="67"/>
      <c r="AR26" s="14"/>
      <c r="AS26" s="60"/>
      <c r="AT26" s="60"/>
    </row>
    <row r="27" spans="2:46" ht="15" x14ac:dyDescent="0.2">
      <c r="B27" s="112">
        <v>12</v>
      </c>
      <c r="C27" s="100" t="s">
        <v>68</v>
      </c>
      <c r="D27" s="113">
        <v>100</v>
      </c>
      <c r="E27" s="113">
        <f t="shared" ref="E27:E30" si="22">D27/26</f>
        <v>3.8461538461538463</v>
      </c>
      <c r="F27" s="114">
        <f>D27/$D$31</f>
        <v>0.4</v>
      </c>
      <c r="G27" s="113">
        <v>3.8461538461538463</v>
      </c>
      <c r="H27" s="113">
        <v>3.8461538461538463</v>
      </c>
      <c r="I27" s="113">
        <f t="shared" ref="I27" si="23">I25*$F$27</f>
        <v>3.3378000000000045</v>
      </c>
      <c r="J27" s="113">
        <v>0</v>
      </c>
      <c r="K27" s="113">
        <v>0</v>
      </c>
      <c r="L27" s="113">
        <v>0</v>
      </c>
      <c r="M27" s="113">
        <v>0</v>
      </c>
      <c r="N27" s="113">
        <f t="shared" ref="N27" si="24">N25*$F$27</f>
        <v>1.5078000000000031</v>
      </c>
      <c r="O27" s="113">
        <v>0</v>
      </c>
      <c r="P27" s="113">
        <v>0</v>
      </c>
      <c r="Q27" s="113">
        <v>0</v>
      </c>
      <c r="R27" s="113">
        <v>0</v>
      </c>
      <c r="S27" s="113">
        <v>0</v>
      </c>
      <c r="T27" s="113">
        <v>0</v>
      </c>
      <c r="U27" s="113">
        <v>0</v>
      </c>
      <c r="V27" s="113">
        <f t="shared" ref="V27" si="25">V25*$F$27</f>
        <v>1.1898000000000024</v>
      </c>
      <c r="W27" s="113">
        <v>0</v>
      </c>
      <c r="X27" s="113">
        <f t="shared" ref="X27" si="26">X25*$F$27</f>
        <v>3.7578000000000031</v>
      </c>
      <c r="Y27" s="113">
        <v>0</v>
      </c>
      <c r="Z27" s="113">
        <f t="shared" ref="Z27" si="27">Z25*$F$27</f>
        <v>1.7598000000000014</v>
      </c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13">
        <v>0</v>
      </c>
      <c r="AG27" s="113">
        <v>0</v>
      </c>
      <c r="AH27" s="113">
        <v>0</v>
      </c>
      <c r="AI27" s="113">
        <v>0</v>
      </c>
      <c r="AJ27" s="115">
        <v>0</v>
      </c>
      <c r="AK27" s="4"/>
      <c r="AL27" s="103">
        <v>0</v>
      </c>
      <c r="AM27" s="104">
        <f>AL27/D27</f>
        <v>0</v>
      </c>
      <c r="AN27" s="4"/>
      <c r="AO27" s="109">
        <f>SUM(G27:AJ27)</f>
        <v>19.245307692307708</v>
      </c>
      <c r="AP27" s="116">
        <f>AO27/$D$31</f>
        <v>7.698123076923083E-2</v>
      </c>
      <c r="AR27" s="14"/>
      <c r="AS27" s="60"/>
      <c r="AT27" s="60"/>
    </row>
    <row r="28" spans="2:46" ht="15" x14ac:dyDescent="0.2">
      <c r="B28" s="117">
        <v>13</v>
      </c>
      <c r="C28" s="101" t="s">
        <v>69</v>
      </c>
      <c r="D28" s="118">
        <v>50</v>
      </c>
      <c r="E28" s="118">
        <f t="shared" si="22"/>
        <v>1.9230769230769231</v>
      </c>
      <c r="F28" s="119">
        <f>D28/$D$31</f>
        <v>0.2</v>
      </c>
      <c r="G28" s="118">
        <v>1.9230769230769231</v>
      </c>
      <c r="H28" s="118">
        <v>1.9230769230769231</v>
      </c>
      <c r="I28" s="118">
        <f t="shared" ref="I28" si="28">I25*$F$28</f>
        <v>1.6689000000000023</v>
      </c>
      <c r="J28" s="118">
        <v>0</v>
      </c>
      <c r="K28" s="118">
        <v>0</v>
      </c>
      <c r="L28" s="118">
        <v>0</v>
      </c>
      <c r="M28" s="118">
        <v>0</v>
      </c>
      <c r="N28" s="118">
        <f t="shared" ref="N28" si="29">N25*$F$28</f>
        <v>0.75390000000000157</v>
      </c>
      <c r="O28" s="118">
        <v>0</v>
      </c>
      <c r="P28" s="118">
        <v>0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f t="shared" ref="V28" si="30">V25*$F$28</f>
        <v>0.59490000000000121</v>
      </c>
      <c r="W28" s="118">
        <v>0</v>
      </c>
      <c r="X28" s="118">
        <f t="shared" ref="X28" si="31">X25*$F$28</f>
        <v>1.8789000000000016</v>
      </c>
      <c r="Y28" s="118">
        <v>0</v>
      </c>
      <c r="Z28" s="118">
        <f t="shared" ref="Z28" si="32">Z25*$F$28</f>
        <v>0.87990000000000068</v>
      </c>
      <c r="AA28" s="118">
        <v>0</v>
      </c>
      <c r="AB28" s="118">
        <v>0</v>
      </c>
      <c r="AC28" s="118">
        <v>0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20">
        <v>0</v>
      </c>
      <c r="AK28" s="4"/>
      <c r="AL28" s="105">
        <v>42</v>
      </c>
      <c r="AM28" s="106">
        <f>AL28/D28</f>
        <v>0.84</v>
      </c>
      <c r="AN28" s="4"/>
      <c r="AO28" s="110">
        <f>SUM(G28:AJ28)</f>
        <v>9.6226538461538542</v>
      </c>
      <c r="AP28" s="121">
        <f t="shared" ref="AP28:AP30" si="33">AO28/$D$31</f>
        <v>3.8490615384615415E-2</v>
      </c>
      <c r="AR28" s="14">
        <f>SUM(AO27:AO30)</f>
        <v>48.113269230769269</v>
      </c>
      <c r="AS28" s="60"/>
      <c r="AT28" s="60"/>
    </row>
    <row r="29" spans="2:46" ht="15" x14ac:dyDescent="0.2">
      <c r="B29" s="117">
        <v>14</v>
      </c>
      <c r="C29" s="101" t="s">
        <v>70</v>
      </c>
      <c r="D29" s="118">
        <v>50</v>
      </c>
      <c r="E29" s="118">
        <f t="shared" si="22"/>
        <v>1.9230769230769231</v>
      </c>
      <c r="F29" s="119">
        <f>D29/$D$31</f>
        <v>0.2</v>
      </c>
      <c r="G29" s="118">
        <v>1.9230769230769231</v>
      </c>
      <c r="H29" s="118">
        <v>1.9230769230769231</v>
      </c>
      <c r="I29" s="118">
        <f t="shared" ref="I29" si="34">I25*$F$29</f>
        <v>1.6689000000000023</v>
      </c>
      <c r="J29" s="118">
        <v>0</v>
      </c>
      <c r="K29" s="118">
        <v>0</v>
      </c>
      <c r="L29" s="118">
        <v>0</v>
      </c>
      <c r="M29" s="118">
        <v>0</v>
      </c>
      <c r="N29" s="118">
        <f t="shared" ref="N29" si="35">N25*$F$29</f>
        <v>0.75390000000000157</v>
      </c>
      <c r="O29" s="118">
        <v>0</v>
      </c>
      <c r="P29" s="118">
        <v>0</v>
      </c>
      <c r="Q29" s="118">
        <v>0</v>
      </c>
      <c r="R29" s="118">
        <v>0</v>
      </c>
      <c r="S29" s="118">
        <v>0</v>
      </c>
      <c r="T29" s="118">
        <v>0</v>
      </c>
      <c r="U29" s="118">
        <v>0</v>
      </c>
      <c r="V29" s="118">
        <f t="shared" ref="V29" si="36">V25*$F$29</f>
        <v>0.59490000000000121</v>
      </c>
      <c r="W29" s="118">
        <v>0</v>
      </c>
      <c r="X29" s="118">
        <f t="shared" ref="X29" si="37">X25*$F$29</f>
        <v>1.8789000000000016</v>
      </c>
      <c r="Y29" s="118">
        <v>0</v>
      </c>
      <c r="Z29" s="118">
        <f t="shared" ref="Z29" si="38">Z25*$F$29</f>
        <v>0.87990000000000068</v>
      </c>
      <c r="AA29" s="118">
        <v>0</v>
      </c>
      <c r="AB29" s="118">
        <v>0</v>
      </c>
      <c r="AC29" s="118">
        <v>0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20">
        <v>0</v>
      </c>
      <c r="AK29" s="4"/>
      <c r="AL29" s="105">
        <v>0</v>
      </c>
      <c r="AM29" s="106">
        <f>AL29/D29</f>
        <v>0</v>
      </c>
      <c r="AN29" s="4"/>
      <c r="AO29" s="110">
        <f>SUM(G29:AJ29)</f>
        <v>9.6226538461538542</v>
      </c>
      <c r="AP29" s="121">
        <f t="shared" si="33"/>
        <v>3.8490615384615415E-2</v>
      </c>
      <c r="AR29" s="14"/>
      <c r="AS29" s="60"/>
      <c r="AT29" s="60"/>
    </row>
    <row r="30" spans="2:46" ht="15.75" thickBot="1" x14ac:dyDescent="0.25">
      <c r="B30" s="122">
        <v>15</v>
      </c>
      <c r="C30" s="102" t="s">
        <v>71</v>
      </c>
      <c r="D30" s="123">
        <v>50</v>
      </c>
      <c r="E30" s="123">
        <f t="shared" si="22"/>
        <v>1.9230769230769231</v>
      </c>
      <c r="F30" s="124">
        <f>D30/$D$31</f>
        <v>0.2</v>
      </c>
      <c r="G30" s="123">
        <v>1.9230769230769231</v>
      </c>
      <c r="H30" s="123">
        <v>1.9230769230769231</v>
      </c>
      <c r="I30" s="123">
        <f t="shared" ref="I30" si="39">I25*$F$30</f>
        <v>1.6689000000000023</v>
      </c>
      <c r="J30" s="123">
        <v>0</v>
      </c>
      <c r="K30" s="123">
        <v>0</v>
      </c>
      <c r="L30" s="123">
        <v>0</v>
      </c>
      <c r="M30" s="123">
        <v>0</v>
      </c>
      <c r="N30" s="123">
        <f t="shared" ref="N30" si="40">N25*$F$30</f>
        <v>0.75390000000000157</v>
      </c>
      <c r="O30" s="123">
        <v>0</v>
      </c>
      <c r="P30" s="123">
        <v>0</v>
      </c>
      <c r="Q30" s="123">
        <v>0</v>
      </c>
      <c r="R30" s="123">
        <v>0</v>
      </c>
      <c r="S30" s="123">
        <v>0</v>
      </c>
      <c r="T30" s="123">
        <v>0</v>
      </c>
      <c r="U30" s="123">
        <v>0</v>
      </c>
      <c r="V30" s="123">
        <f t="shared" ref="V30" si="41">V25*$F$30</f>
        <v>0.59490000000000121</v>
      </c>
      <c r="W30" s="123">
        <v>0</v>
      </c>
      <c r="X30" s="123">
        <f t="shared" ref="X30" si="42">X25*$F$30</f>
        <v>1.8789000000000016</v>
      </c>
      <c r="Y30" s="123">
        <v>0</v>
      </c>
      <c r="Z30" s="123">
        <f t="shared" ref="Z30" si="43">Z25*$F$30</f>
        <v>0.87990000000000068</v>
      </c>
      <c r="AA30" s="123">
        <v>0</v>
      </c>
      <c r="AB30" s="123">
        <v>0</v>
      </c>
      <c r="AC30" s="123">
        <v>0</v>
      </c>
      <c r="AD30" s="123">
        <v>0</v>
      </c>
      <c r="AE30" s="123">
        <v>0</v>
      </c>
      <c r="AF30" s="123">
        <v>0</v>
      </c>
      <c r="AG30" s="123">
        <v>0</v>
      </c>
      <c r="AH30" s="123">
        <v>0</v>
      </c>
      <c r="AI30" s="123">
        <v>0</v>
      </c>
      <c r="AJ30" s="125">
        <v>0</v>
      </c>
      <c r="AK30" s="4"/>
      <c r="AL30" s="107">
        <v>0</v>
      </c>
      <c r="AM30" s="108">
        <f>AL30/D30</f>
        <v>0</v>
      </c>
      <c r="AN30" s="4"/>
      <c r="AO30" s="111">
        <f>SUM(G30:AJ30)</f>
        <v>9.6226538461538542</v>
      </c>
      <c r="AP30" s="126">
        <f t="shared" si="33"/>
        <v>3.8490615384615415E-2</v>
      </c>
      <c r="AR30" s="14"/>
      <c r="AS30" s="60"/>
      <c r="AT30" s="60"/>
    </row>
    <row r="31" spans="2:46" s="4" customFormat="1" ht="15" x14ac:dyDescent="0.2">
      <c r="B31" s="3"/>
      <c r="C31" s="3" t="s">
        <v>78</v>
      </c>
      <c r="D31" s="5">
        <f>SUM(D27:D30)</f>
        <v>250</v>
      </c>
      <c r="E31" s="5">
        <f>SUM(E27:E30)</f>
        <v>9.615384615384615</v>
      </c>
      <c r="F31" s="12">
        <f>D31/D33</f>
        <v>0.18821998851105187</v>
      </c>
      <c r="G31" s="5">
        <f t="shared" ref="G31:AJ31" si="44">SUM(G27:G30)</f>
        <v>9.615384615384615</v>
      </c>
      <c r="H31" s="5">
        <f t="shared" si="44"/>
        <v>9.615384615384615</v>
      </c>
      <c r="I31" s="5">
        <f t="shared" si="44"/>
        <v>8.3445000000000107</v>
      </c>
      <c r="J31" s="5">
        <f t="shared" si="44"/>
        <v>0</v>
      </c>
      <c r="K31" s="5">
        <f t="shared" si="44"/>
        <v>0</v>
      </c>
      <c r="L31" s="5">
        <f t="shared" si="44"/>
        <v>0</v>
      </c>
      <c r="M31" s="5">
        <f t="shared" si="44"/>
        <v>0</v>
      </c>
      <c r="N31" s="5">
        <f t="shared" si="44"/>
        <v>3.7695000000000078</v>
      </c>
      <c r="O31" s="5">
        <f t="shared" si="44"/>
        <v>0</v>
      </c>
      <c r="P31" s="5">
        <f t="shared" si="44"/>
        <v>0</v>
      </c>
      <c r="Q31" s="5">
        <f t="shared" si="44"/>
        <v>0</v>
      </c>
      <c r="R31" s="5">
        <f t="shared" si="44"/>
        <v>0</v>
      </c>
      <c r="S31" s="5">
        <f t="shared" si="44"/>
        <v>0</v>
      </c>
      <c r="T31" s="5">
        <f t="shared" si="44"/>
        <v>0</v>
      </c>
      <c r="U31" s="5">
        <f t="shared" si="44"/>
        <v>0</v>
      </c>
      <c r="V31" s="5">
        <f t="shared" si="44"/>
        <v>2.9745000000000061</v>
      </c>
      <c r="W31" s="5">
        <f t="shared" si="44"/>
        <v>0</v>
      </c>
      <c r="X31" s="5">
        <f t="shared" si="44"/>
        <v>9.3945000000000078</v>
      </c>
      <c r="Y31" s="5">
        <f t="shared" si="44"/>
        <v>0</v>
      </c>
      <c r="Z31" s="5">
        <f t="shared" si="44"/>
        <v>4.3995000000000033</v>
      </c>
      <c r="AA31" s="5">
        <f t="shared" si="44"/>
        <v>0</v>
      </c>
      <c r="AB31" s="5">
        <f t="shared" si="44"/>
        <v>0</v>
      </c>
      <c r="AC31" s="5">
        <f t="shared" si="44"/>
        <v>0</v>
      </c>
      <c r="AD31" s="5">
        <f t="shared" si="44"/>
        <v>0</v>
      </c>
      <c r="AE31" s="5">
        <f t="shared" si="44"/>
        <v>0</v>
      </c>
      <c r="AF31" s="5">
        <f t="shared" si="44"/>
        <v>0</v>
      </c>
      <c r="AG31" s="5">
        <f t="shared" si="44"/>
        <v>0</v>
      </c>
      <c r="AH31" s="5">
        <f t="shared" si="44"/>
        <v>0</v>
      </c>
      <c r="AI31" s="5">
        <f t="shared" si="44"/>
        <v>0</v>
      </c>
      <c r="AJ31" s="5">
        <f t="shared" si="44"/>
        <v>0</v>
      </c>
      <c r="AL31" s="40">
        <f>SUM(AL27:AL30)</f>
        <v>42</v>
      </c>
      <c r="AM31" s="74"/>
      <c r="AO31" s="5">
        <f>SUM(AO27:AO30)</f>
        <v>48.113269230769269</v>
      </c>
      <c r="AP31" s="12">
        <f>AO31/AL31</f>
        <v>1.1455540293040303</v>
      </c>
      <c r="AR31" s="14">
        <f>AO31-AL31</f>
        <v>6.1132692307692693</v>
      </c>
      <c r="AS31" s="182">
        <f>(AO5-AL23)+AR31</f>
        <v>24.155269230769299</v>
      </c>
      <c r="AT31" s="29"/>
    </row>
    <row r="32" spans="2:46" s="16" customFormat="1" ht="4.5" customHeight="1" x14ac:dyDescent="0.2">
      <c r="B32" s="150"/>
      <c r="C32" s="150"/>
      <c r="D32" s="37"/>
      <c r="E32" s="37"/>
      <c r="F32" s="151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L32" s="80"/>
      <c r="AM32" s="152"/>
      <c r="AO32" s="37"/>
      <c r="AP32" s="151"/>
      <c r="AR32" s="14"/>
      <c r="AS32" s="29"/>
      <c r="AT32" s="29"/>
    </row>
    <row r="33" spans="2:46" ht="15" x14ac:dyDescent="0.2">
      <c r="B33" s="1"/>
      <c r="C33" s="3" t="s">
        <v>80</v>
      </c>
      <c r="D33" s="5">
        <f>D23+D31</f>
        <v>1328.2330000000002</v>
      </c>
      <c r="E33" s="5">
        <f>E23+E31</f>
        <v>51.085884615384607</v>
      </c>
      <c r="F33" s="15">
        <f>F23+F31</f>
        <v>1</v>
      </c>
      <c r="G33" s="5">
        <f>G23+G31</f>
        <v>51.085884615384607</v>
      </c>
      <c r="H33" s="5">
        <f t="shared" ref="H33:AJ33" si="45">H23+H31</f>
        <v>51.085884615384607</v>
      </c>
      <c r="I33" s="5">
        <f>I23+I31</f>
        <v>49.815000000000005</v>
      </c>
      <c r="J33" s="5">
        <f>J23+J31</f>
        <v>41.470499999999994</v>
      </c>
      <c r="K33" s="5">
        <f t="shared" si="45"/>
        <v>41.470499999999994</v>
      </c>
      <c r="L33" s="5">
        <f t="shared" si="45"/>
        <v>41.470499999999994</v>
      </c>
      <c r="M33" s="5">
        <f t="shared" si="45"/>
        <v>0</v>
      </c>
      <c r="N33" s="5">
        <f t="shared" si="45"/>
        <v>45.24</v>
      </c>
      <c r="O33" s="5">
        <f t="shared" si="45"/>
        <v>41.470499999999994</v>
      </c>
      <c r="P33" s="5">
        <f t="shared" si="45"/>
        <v>41.470499999999994</v>
      </c>
      <c r="Q33" s="5">
        <f t="shared" si="45"/>
        <v>41.470499999999994</v>
      </c>
      <c r="R33" s="5">
        <f t="shared" si="45"/>
        <v>41.470499999999994</v>
      </c>
      <c r="S33" s="5">
        <f t="shared" si="45"/>
        <v>41.470499999999994</v>
      </c>
      <c r="T33" s="5">
        <f t="shared" si="45"/>
        <v>0</v>
      </c>
      <c r="U33" s="5">
        <f t="shared" si="45"/>
        <v>41.470499999999994</v>
      </c>
      <c r="V33" s="5">
        <f t="shared" si="45"/>
        <v>44.445</v>
      </c>
      <c r="W33" s="5">
        <f t="shared" si="45"/>
        <v>41.470499999999994</v>
      </c>
      <c r="X33" s="5">
        <f t="shared" si="45"/>
        <v>50.865000000000002</v>
      </c>
      <c r="Y33" s="5">
        <f t="shared" si="45"/>
        <v>41.470499999999994</v>
      </c>
      <c r="Z33" s="5">
        <f t="shared" si="45"/>
        <v>45.87</v>
      </c>
      <c r="AA33" s="5">
        <f t="shared" si="45"/>
        <v>0</v>
      </c>
      <c r="AB33" s="5">
        <f t="shared" si="45"/>
        <v>41.470499999999994</v>
      </c>
      <c r="AC33" s="5">
        <f t="shared" si="45"/>
        <v>41.470499999999994</v>
      </c>
      <c r="AD33" s="5">
        <f t="shared" si="45"/>
        <v>41.470499999999994</v>
      </c>
      <c r="AE33" s="5">
        <f t="shared" si="45"/>
        <v>41.470499999999994</v>
      </c>
      <c r="AF33" s="5">
        <f t="shared" si="45"/>
        <v>41.470499999999994</v>
      </c>
      <c r="AG33" s="5">
        <f t="shared" si="45"/>
        <v>41.470499999999994</v>
      </c>
      <c r="AH33" s="5">
        <f t="shared" si="45"/>
        <v>0</v>
      </c>
      <c r="AI33" s="5">
        <f t="shared" si="45"/>
        <v>41.470499999999994</v>
      </c>
      <c r="AJ33" s="5">
        <f t="shared" si="45"/>
        <v>41.470499999999994</v>
      </c>
      <c r="AK33" s="4"/>
      <c r="AL33" s="40">
        <f>AL23+AL31</f>
        <v>1065.3330000000001</v>
      </c>
      <c r="AM33" s="74">
        <f>AL33/D33</f>
        <v>0.80206786008177777</v>
      </c>
      <c r="AN33" s="4"/>
      <c r="AO33" s="5">
        <f>AO23+AO31</f>
        <v>1126.3462692307689</v>
      </c>
      <c r="AP33" s="12">
        <f>AO33/AL33</f>
        <v>1.0572715472352483</v>
      </c>
      <c r="AR33" s="14"/>
      <c r="AS33" s="29"/>
      <c r="AT33" s="29"/>
    </row>
    <row r="34" spans="2:46" s="13" customFormat="1" ht="4.5" customHeight="1" x14ac:dyDescent="0.2">
      <c r="B34" s="17"/>
      <c r="C34" s="18"/>
      <c r="D34" s="19"/>
      <c r="E34" s="19"/>
      <c r="F34" s="20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6"/>
      <c r="AL34" s="71"/>
      <c r="AM34" s="71"/>
      <c r="AN34" s="16"/>
      <c r="AO34" s="19"/>
      <c r="AP34" s="20"/>
      <c r="AR34" s="14"/>
      <c r="AS34" s="29"/>
      <c r="AT34" s="29"/>
    </row>
    <row r="35" spans="2:46" ht="15" x14ac:dyDescent="0.2">
      <c r="B35" s="127"/>
      <c r="C35" s="127" t="s">
        <v>74</v>
      </c>
      <c r="D35" s="99">
        <v>1000</v>
      </c>
      <c r="E35" s="99">
        <f>D35/26</f>
        <v>38.46153846153846</v>
      </c>
      <c r="F35" s="128">
        <f>D35/D37</f>
        <v>0.42951027667763492</v>
      </c>
      <c r="G35" s="99">
        <f t="shared" ref="G35:L35" si="46">$E$35</f>
        <v>38.46153846153846</v>
      </c>
      <c r="H35" s="99">
        <f t="shared" si="46"/>
        <v>38.46153846153846</v>
      </c>
      <c r="I35" s="99">
        <f t="shared" si="46"/>
        <v>38.46153846153846</v>
      </c>
      <c r="J35" s="99">
        <f t="shared" si="46"/>
        <v>38.46153846153846</v>
      </c>
      <c r="K35" s="99">
        <f t="shared" si="46"/>
        <v>38.46153846153846</v>
      </c>
      <c r="L35" s="99">
        <f t="shared" si="46"/>
        <v>38.46153846153846</v>
      </c>
      <c r="M35" s="99">
        <v>0</v>
      </c>
      <c r="N35" s="99">
        <f t="shared" ref="N35:AJ35" si="47">$E$35</f>
        <v>38.46153846153846</v>
      </c>
      <c r="O35" s="99">
        <f t="shared" si="47"/>
        <v>38.46153846153846</v>
      </c>
      <c r="P35" s="99">
        <f t="shared" si="47"/>
        <v>38.46153846153846</v>
      </c>
      <c r="Q35" s="99">
        <f t="shared" si="47"/>
        <v>38.46153846153846</v>
      </c>
      <c r="R35" s="99">
        <f t="shared" si="47"/>
        <v>38.46153846153846</v>
      </c>
      <c r="S35" s="99">
        <f t="shared" si="47"/>
        <v>38.46153846153846</v>
      </c>
      <c r="T35" s="99">
        <v>0</v>
      </c>
      <c r="U35" s="99">
        <f t="shared" si="47"/>
        <v>38.46153846153846</v>
      </c>
      <c r="V35" s="99">
        <f t="shared" si="47"/>
        <v>38.46153846153846</v>
      </c>
      <c r="W35" s="99">
        <f t="shared" si="47"/>
        <v>38.46153846153846</v>
      </c>
      <c r="X35" s="99">
        <f t="shared" si="47"/>
        <v>38.46153846153846</v>
      </c>
      <c r="Y35" s="99">
        <f t="shared" si="47"/>
        <v>38.46153846153846</v>
      </c>
      <c r="Z35" s="99">
        <f t="shared" si="47"/>
        <v>38.46153846153846</v>
      </c>
      <c r="AA35" s="99">
        <v>0</v>
      </c>
      <c r="AB35" s="99">
        <f t="shared" si="47"/>
        <v>38.46153846153846</v>
      </c>
      <c r="AC35" s="99">
        <f t="shared" si="47"/>
        <v>38.46153846153846</v>
      </c>
      <c r="AD35" s="99">
        <f t="shared" si="47"/>
        <v>38.46153846153846</v>
      </c>
      <c r="AE35" s="99">
        <f t="shared" si="47"/>
        <v>38.46153846153846</v>
      </c>
      <c r="AF35" s="99">
        <f t="shared" si="47"/>
        <v>38.46153846153846</v>
      </c>
      <c r="AG35" s="99">
        <f t="shared" si="47"/>
        <v>38.46153846153846</v>
      </c>
      <c r="AH35" s="99">
        <v>0</v>
      </c>
      <c r="AI35" s="99">
        <f t="shared" si="47"/>
        <v>38.46153846153846</v>
      </c>
      <c r="AJ35" s="99">
        <f t="shared" si="47"/>
        <v>38.46153846153846</v>
      </c>
      <c r="AK35" s="4"/>
      <c r="AL35" s="97">
        <v>0</v>
      </c>
      <c r="AM35" s="98">
        <f>AL35/D35</f>
        <v>0</v>
      </c>
      <c r="AN35" s="4"/>
      <c r="AO35" s="99">
        <f>SUM(G35:AJ35)</f>
        <v>999.99999999999989</v>
      </c>
      <c r="AP35" s="128" t="e">
        <f>AO35/AL35</f>
        <v>#DIV/0!</v>
      </c>
      <c r="AR35" s="14"/>
      <c r="AS35" s="60"/>
      <c r="AT35" s="60"/>
    </row>
    <row r="36" spans="2:46" s="13" customFormat="1" ht="4.5" customHeight="1" x14ac:dyDescent="0.2">
      <c r="B36" s="17"/>
      <c r="C36" s="18"/>
      <c r="D36" s="19"/>
      <c r="E36" s="19"/>
      <c r="F36" s="20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6"/>
      <c r="AL36" s="71"/>
      <c r="AM36" s="71"/>
      <c r="AN36" s="16"/>
      <c r="AO36" s="19"/>
      <c r="AP36" s="20"/>
      <c r="AR36" s="14"/>
      <c r="AS36" s="29"/>
      <c r="AT36" s="29"/>
    </row>
    <row r="37" spans="2:46" s="13" customFormat="1" ht="15" x14ac:dyDescent="0.2">
      <c r="B37" s="1"/>
      <c r="C37" s="3" t="s">
        <v>79</v>
      </c>
      <c r="D37" s="5">
        <f>D33+D35</f>
        <v>2328.2330000000002</v>
      </c>
      <c r="E37" s="5">
        <f>E33+E35</f>
        <v>89.547423076923067</v>
      </c>
      <c r="F37" s="39"/>
      <c r="G37" s="5">
        <f>$E$33+G35</f>
        <v>89.547423076923067</v>
      </c>
      <c r="H37" s="5">
        <f t="shared" ref="H37:X37" si="48">$E$33+H35</f>
        <v>89.547423076923067</v>
      </c>
      <c r="I37" s="5">
        <f t="shared" si="48"/>
        <v>89.547423076923067</v>
      </c>
      <c r="J37" s="5">
        <f t="shared" si="48"/>
        <v>89.547423076923067</v>
      </c>
      <c r="K37" s="5">
        <f t="shared" si="48"/>
        <v>89.547423076923067</v>
      </c>
      <c r="L37" s="5">
        <f t="shared" si="48"/>
        <v>89.547423076923067</v>
      </c>
      <c r="M37" s="5">
        <f t="shared" ref="M37:AH37" si="49">M33+M35</f>
        <v>0</v>
      </c>
      <c r="N37" s="5">
        <f t="shared" si="48"/>
        <v>89.547423076923067</v>
      </c>
      <c r="O37" s="5">
        <f t="shared" si="48"/>
        <v>89.547423076923067</v>
      </c>
      <c r="P37" s="5">
        <f t="shared" si="48"/>
        <v>89.547423076923067</v>
      </c>
      <c r="Q37" s="5">
        <f t="shared" si="48"/>
        <v>89.547423076923067</v>
      </c>
      <c r="R37" s="5">
        <f t="shared" si="48"/>
        <v>89.547423076923067</v>
      </c>
      <c r="S37" s="5">
        <f t="shared" si="48"/>
        <v>89.547423076923067</v>
      </c>
      <c r="T37" s="5">
        <f t="shared" si="49"/>
        <v>0</v>
      </c>
      <c r="U37" s="5">
        <f t="shared" si="48"/>
        <v>89.547423076923067</v>
      </c>
      <c r="V37" s="5">
        <f t="shared" si="48"/>
        <v>89.547423076923067</v>
      </c>
      <c r="W37" s="5">
        <f t="shared" si="48"/>
        <v>89.547423076923067</v>
      </c>
      <c r="X37" s="5">
        <f t="shared" si="48"/>
        <v>89.547423076923067</v>
      </c>
      <c r="Y37" s="5">
        <f>$E$33+Y35</f>
        <v>89.547423076923067</v>
      </c>
      <c r="Z37" s="5">
        <f>$E$33+Z35</f>
        <v>89.547423076923067</v>
      </c>
      <c r="AA37" s="5">
        <f t="shared" si="49"/>
        <v>0</v>
      </c>
      <c r="AB37" s="5">
        <f t="shared" ref="AB37:AG37" si="50">$E$33+AB35</f>
        <v>89.547423076923067</v>
      </c>
      <c r="AC37" s="5">
        <f t="shared" si="50"/>
        <v>89.547423076923067</v>
      </c>
      <c r="AD37" s="5">
        <f t="shared" si="50"/>
        <v>89.547423076923067</v>
      </c>
      <c r="AE37" s="5">
        <f t="shared" si="50"/>
        <v>89.547423076923067</v>
      </c>
      <c r="AF37" s="5">
        <f t="shared" si="50"/>
        <v>89.547423076923067</v>
      </c>
      <c r="AG37" s="5">
        <f t="shared" si="50"/>
        <v>89.547423076923067</v>
      </c>
      <c r="AH37" s="5">
        <f t="shared" si="49"/>
        <v>0</v>
      </c>
      <c r="AI37" s="5">
        <f>$E$33+AI35</f>
        <v>89.547423076923067</v>
      </c>
      <c r="AJ37" s="5">
        <f>$E$33+AJ35</f>
        <v>89.547423076923067</v>
      </c>
      <c r="AK37" s="4"/>
      <c r="AL37" s="40">
        <f>AL33+AL35</f>
        <v>1065.3330000000001</v>
      </c>
      <c r="AM37" s="74">
        <f>AL37/D37</f>
        <v>0.45757147158381484</v>
      </c>
      <c r="AN37" s="4"/>
      <c r="AO37" s="5">
        <f>AO33+AO35</f>
        <v>2126.3462692307689</v>
      </c>
      <c r="AP37" s="12">
        <f>AO37/AL37</f>
        <v>1.9959451826149841</v>
      </c>
      <c r="AQ37" s="2"/>
      <c r="AR37" s="14"/>
      <c r="AS37" s="29"/>
      <c r="AT37" s="29"/>
    </row>
    <row r="38" spans="2:46" s="13" customFormat="1" ht="15" x14ac:dyDescent="0.2">
      <c r="B38" s="17"/>
      <c r="C38" s="18"/>
      <c r="D38" s="19"/>
      <c r="E38" s="19"/>
      <c r="F38" s="20"/>
      <c r="G38" s="19"/>
      <c r="H38" s="19"/>
      <c r="I38" s="19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6"/>
      <c r="AL38" s="71"/>
      <c r="AM38" s="71"/>
      <c r="AN38" s="16"/>
      <c r="AO38" s="19"/>
      <c r="AP38" s="21"/>
      <c r="AR38" s="14"/>
      <c r="AS38" s="29"/>
      <c r="AT38" s="29"/>
    </row>
    <row r="39" spans="2:46" s="58" customFormat="1" ht="15" x14ac:dyDescent="0.2">
      <c r="B39" s="55"/>
      <c r="C39" s="43" t="s">
        <v>81</v>
      </c>
      <c r="D39" s="89">
        <f>D23*100/30</f>
        <v>3594.1100000000006</v>
      </c>
      <c r="E39" s="132">
        <f>D39/26</f>
        <v>138.23500000000001</v>
      </c>
      <c r="F39" s="170">
        <f>E39*30%</f>
        <v>41.470500000000001</v>
      </c>
      <c r="G39" s="84">
        <f>G5-G23</f>
        <v>13.729500000000002</v>
      </c>
      <c r="H39" s="168">
        <f t="shared" ref="H39:AJ39" si="51">H5-H23</f>
        <v>23.974499999999999</v>
      </c>
      <c r="I39" s="168">
        <f t="shared" si="51"/>
        <v>8.3445000000000107</v>
      </c>
      <c r="J39" s="168">
        <f t="shared" si="51"/>
        <v>-6.8654999999999973</v>
      </c>
      <c r="K39" s="168">
        <f t="shared" si="51"/>
        <v>-15.565499999999997</v>
      </c>
      <c r="L39" s="168">
        <f t="shared" si="51"/>
        <v>-0.82049999999999557</v>
      </c>
      <c r="M39" s="168">
        <f t="shared" si="51"/>
        <v>0</v>
      </c>
      <c r="N39" s="168">
        <f t="shared" si="51"/>
        <v>3.7695000000000078</v>
      </c>
      <c r="O39" s="168">
        <f t="shared" si="51"/>
        <v>-1.3004999999999924</v>
      </c>
      <c r="P39" s="168">
        <f t="shared" si="51"/>
        <v>-4.5254999999999939</v>
      </c>
      <c r="Q39" s="168">
        <f t="shared" si="51"/>
        <v>-0.28049999999998931</v>
      </c>
      <c r="R39" s="168">
        <f t="shared" si="51"/>
        <v>-7.0304999999999964</v>
      </c>
      <c r="S39" s="168">
        <f t="shared" si="51"/>
        <v>-8.8454999999999941</v>
      </c>
      <c r="T39" s="168">
        <f t="shared" si="51"/>
        <v>0</v>
      </c>
      <c r="U39" s="168">
        <f t="shared" si="51"/>
        <v>-4.4954999999999927</v>
      </c>
      <c r="V39" s="168">
        <f t="shared" si="51"/>
        <v>2.9745000000000061</v>
      </c>
      <c r="W39" s="168">
        <f t="shared" si="51"/>
        <v>-3.8804999999999978</v>
      </c>
      <c r="X39" s="168">
        <f t="shared" si="51"/>
        <v>9.3945000000000078</v>
      </c>
      <c r="Y39" s="168">
        <f t="shared" si="51"/>
        <v>-2.7554999999999907</v>
      </c>
      <c r="Z39" s="168">
        <f t="shared" si="51"/>
        <v>4.3995000000000033</v>
      </c>
      <c r="AA39" s="168">
        <f t="shared" si="51"/>
        <v>0</v>
      </c>
      <c r="AB39" s="168">
        <f t="shared" si="51"/>
        <v>-1.660499999999999</v>
      </c>
      <c r="AC39" s="168">
        <f t="shared" si="51"/>
        <v>-1.555499999999995</v>
      </c>
      <c r="AD39" s="168">
        <f t="shared" si="51"/>
        <v>-10.825499999999995</v>
      </c>
      <c r="AE39" s="168">
        <f t="shared" si="51"/>
        <v>-9.6254999999999953</v>
      </c>
      <c r="AF39" s="168">
        <f t="shared" si="51"/>
        <v>-2.0204999999999984</v>
      </c>
      <c r="AG39" s="168">
        <f t="shared" si="51"/>
        <v>-3.4004999999999939</v>
      </c>
      <c r="AH39" s="168">
        <f t="shared" si="51"/>
        <v>0</v>
      </c>
      <c r="AI39" s="168">
        <f t="shared" si="51"/>
        <v>-3.4154999999999944</v>
      </c>
      <c r="AJ39" s="168">
        <f t="shared" si="51"/>
        <v>-14.575499999999995</v>
      </c>
      <c r="AK39" s="49"/>
      <c r="AL39" s="40"/>
      <c r="AM39" s="40"/>
      <c r="AN39" s="49"/>
      <c r="AO39" s="40">
        <f>SUM(G39:AJ39)</f>
        <v>-36.857999999999862</v>
      </c>
      <c r="AP39" s="51"/>
      <c r="AR39" s="61">
        <f>AL31-AO39</f>
        <v>78.857999999999862</v>
      </c>
      <c r="AS39" s="62"/>
      <c r="AT39" s="62"/>
    </row>
    <row r="40" spans="2:46" s="13" customFormat="1" ht="4.5" customHeight="1" x14ac:dyDescent="0.2">
      <c r="C40" s="16"/>
      <c r="D40" s="96"/>
      <c r="E40" s="14"/>
      <c r="F40" s="28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4"/>
      <c r="AL40" s="4"/>
      <c r="AM40" s="4"/>
      <c r="AN40" s="4"/>
      <c r="AO40" s="14"/>
      <c r="AP40" s="29"/>
    </row>
    <row r="41" spans="2:46" ht="15" x14ac:dyDescent="0.2">
      <c r="B41" s="55"/>
      <c r="C41" s="43" t="s">
        <v>81</v>
      </c>
      <c r="D41" s="89">
        <f>D33*100/30</f>
        <v>4427.4433333333336</v>
      </c>
      <c r="E41" s="132">
        <f>D41/26</f>
        <v>170.28628205128206</v>
      </c>
      <c r="F41" s="170">
        <f>E41*30%</f>
        <v>51.085884615384614</v>
      </c>
      <c r="G41" s="40">
        <f>G5-G33</f>
        <v>4.1141153846153884</v>
      </c>
      <c r="H41" s="40">
        <f t="shared" ref="H41:AJ41" si="52">H5-H33</f>
        <v>14.359115384615386</v>
      </c>
      <c r="I41" s="40">
        <f t="shared" si="52"/>
        <v>0</v>
      </c>
      <c r="J41" s="40">
        <f t="shared" si="52"/>
        <v>-6.8654999999999973</v>
      </c>
      <c r="K41" s="40">
        <f t="shared" si="52"/>
        <v>-15.565499999999997</v>
      </c>
      <c r="L41" s="40">
        <f t="shared" si="52"/>
        <v>-0.82049999999999557</v>
      </c>
      <c r="M41" s="40">
        <f t="shared" si="52"/>
        <v>0</v>
      </c>
      <c r="N41" s="40">
        <f t="shared" si="52"/>
        <v>0</v>
      </c>
      <c r="O41" s="40">
        <f t="shared" si="52"/>
        <v>-1.3004999999999924</v>
      </c>
      <c r="P41" s="40">
        <f t="shared" si="52"/>
        <v>-4.5254999999999939</v>
      </c>
      <c r="Q41" s="40">
        <f t="shared" si="52"/>
        <v>-0.28049999999998931</v>
      </c>
      <c r="R41" s="40">
        <f t="shared" si="52"/>
        <v>-7.0304999999999964</v>
      </c>
      <c r="S41" s="40">
        <f t="shared" si="52"/>
        <v>-8.8454999999999941</v>
      </c>
      <c r="T41" s="40">
        <f t="shared" si="52"/>
        <v>0</v>
      </c>
      <c r="U41" s="40">
        <f t="shared" si="52"/>
        <v>-4.4954999999999927</v>
      </c>
      <c r="V41" s="40">
        <f t="shared" si="52"/>
        <v>0</v>
      </c>
      <c r="W41" s="40">
        <f t="shared" si="52"/>
        <v>-3.8804999999999978</v>
      </c>
      <c r="X41" s="40">
        <f>X5-X33</f>
        <v>0</v>
      </c>
      <c r="Y41" s="40">
        <f t="shared" si="52"/>
        <v>-2.7554999999999907</v>
      </c>
      <c r="Z41" s="40">
        <f t="shared" si="52"/>
        <v>0</v>
      </c>
      <c r="AA41" s="40">
        <f t="shared" si="52"/>
        <v>0</v>
      </c>
      <c r="AB41" s="40">
        <f t="shared" si="52"/>
        <v>-1.660499999999999</v>
      </c>
      <c r="AC41" s="40">
        <f t="shared" si="52"/>
        <v>-1.555499999999995</v>
      </c>
      <c r="AD41" s="40">
        <f t="shared" si="52"/>
        <v>-10.825499999999995</v>
      </c>
      <c r="AE41" s="40">
        <f t="shared" si="52"/>
        <v>-9.6254999999999953</v>
      </c>
      <c r="AF41" s="40">
        <f t="shared" si="52"/>
        <v>-2.0204999999999984</v>
      </c>
      <c r="AG41" s="40">
        <f t="shared" si="52"/>
        <v>-3.4004999999999939</v>
      </c>
      <c r="AH41" s="40">
        <f t="shared" si="52"/>
        <v>0</v>
      </c>
      <c r="AI41" s="40">
        <f t="shared" si="52"/>
        <v>-3.4154999999999944</v>
      </c>
      <c r="AJ41" s="40">
        <f t="shared" si="52"/>
        <v>-14.575499999999995</v>
      </c>
      <c r="AK41" s="49"/>
      <c r="AL41" s="40"/>
      <c r="AM41" s="40"/>
      <c r="AN41" s="49"/>
      <c r="AO41" s="40">
        <f>SUM(G41:AJ41)</f>
        <v>-84.971269230769138</v>
      </c>
      <c r="AP41" s="51"/>
      <c r="AR41" s="171">
        <f>AO41+AR31</f>
        <v>-78.857999999999862</v>
      </c>
    </row>
    <row r="42" spans="2:46" ht="4.5" customHeight="1" x14ac:dyDescent="0.2">
      <c r="D42" s="95"/>
      <c r="G42" s="4455"/>
      <c r="H42" s="4455"/>
    </row>
    <row r="43" spans="2:46" ht="15" x14ac:dyDescent="0.2">
      <c r="B43" s="55"/>
      <c r="C43" s="43" t="s">
        <v>75</v>
      </c>
      <c r="D43" s="89">
        <f>D37*100/30</f>
        <v>7760.7766666666676</v>
      </c>
      <c r="E43" s="132">
        <f>D43/26</f>
        <v>298.49141025641029</v>
      </c>
      <c r="F43" s="170">
        <f>E43*30%</f>
        <v>89.547423076923081</v>
      </c>
      <c r="G43" s="40">
        <f>G5-G37</f>
        <v>-34.347423076923072</v>
      </c>
      <c r="H43" s="40">
        <f t="shared" ref="H43:AJ43" si="53">H5-H37</f>
        <v>-24.102423076923074</v>
      </c>
      <c r="I43" s="40">
        <f t="shared" si="53"/>
        <v>-39.732423076923062</v>
      </c>
      <c r="J43" s="40">
        <f>J5-J37</f>
        <v>-54.94242307692307</v>
      </c>
      <c r="K43" s="40">
        <f t="shared" si="53"/>
        <v>-63.642423076923066</v>
      </c>
      <c r="L43" s="40">
        <f t="shared" si="53"/>
        <v>-48.897423076923069</v>
      </c>
      <c r="M43" s="40">
        <f t="shared" si="53"/>
        <v>0</v>
      </c>
      <c r="N43" s="40">
        <f t="shared" si="53"/>
        <v>-44.307423076923065</v>
      </c>
      <c r="O43" s="40">
        <f t="shared" si="53"/>
        <v>-49.377423076923066</v>
      </c>
      <c r="P43" s="40">
        <f t="shared" si="53"/>
        <v>-52.602423076923067</v>
      </c>
      <c r="Q43" s="40">
        <f t="shared" si="53"/>
        <v>-48.357423076923062</v>
      </c>
      <c r="R43" s="40">
        <f t="shared" si="53"/>
        <v>-55.10742307692307</v>
      </c>
      <c r="S43" s="40">
        <f t="shared" si="53"/>
        <v>-56.922423076923067</v>
      </c>
      <c r="T43" s="40">
        <f t="shared" si="53"/>
        <v>0</v>
      </c>
      <c r="U43" s="40">
        <f t="shared" si="53"/>
        <v>-52.572423076923066</v>
      </c>
      <c r="V43" s="40">
        <f t="shared" si="53"/>
        <v>-45.102423076923067</v>
      </c>
      <c r="W43" s="40">
        <f t="shared" si="53"/>
        <v>-51.957423076923071</v>
      </c>
      <c r="X43" s="40">
        <f t="shared" si="53"/>
        <v>-38.682423076923065</v>
      </c>
      <c r="Y43" s="40">
        <f t="shared" si="53"/>
        <v>-50.832423076923064</v>
      </c>
      <c r="Z43" s="40">
        <f t="shared" si="53"/>
        <v>-43.67742307692307</v>
      </c>
      <c r="AA43" s="40">
        <f t="shared" si="53"/>
        <v>0</v>
      </c>
      <c r="AB43" s="40">
        <f t="shared" si="53"/>
        <v>-49.737423076923072</v>
      </c>
      <c r="AC43" s="40">
        <f t="shared" si="53"/>
        <v>-49.632423076923068</v>
      </c>
      <c r="AD43" s="40">
        <f t="shared" si="53"/>
        <v>-58.902423076923071</v>
      </c>
      <c r="AE43" s="40">
        <f t="shared" si="53"/>
        <v>-57.702423076923068</v>
      </c>
      <c r="AF43" s="40">
        <f t="shared" si="53"/>
        <v>-50.097423076923072</v>
      </c>
      <c r="AG43" s="40">
        <f t="shared" si="53"/>
        <v>-51.477423076923067</v>
      </c>
      <c r="AH43" s="40">
        <f t="shared" si="53"/>
        <v>0</v>
      </c>
      <c r="AI43" s="40">
        <f t="shared" si="53"/>
        <v>-51.492423076923068</v>
      </c>
      <c r="AJ43" s="40">
        <f t="shared" si="53"/>
        <v>-62.652423076923071</v>
      </c>
      <c r="AK43" s="49"/>
      <c r="AL43" s="40"/>
      <c r="AM43" s="40"/>
      <c r="AN43" s="49"/>
      <c r="AO43" s="40">
        <f>SUM(G43:AJ43)</f>
        <v>-1286.8579999999999</v>
      </c>
      <c r="AP43" s="42"/>
    </row>
    <row r="51" spans="22:22" x14ac:dyDescent="0.2">
      <c r="V51" s="7"/>
    </row>
  </sheetData>
  <sortState xmlns:xlrd2="http://schemas.microsoft.com/office/spreadsheetml/2017/richdata2" ref="C16:F27">
    <sortCondition descending="1" ref="F27"/>
  </sortState>
  <mergeCells count="6">
    <mergeCell ref="G42:H42"/>
    <mergeCell ref="AL3:AL9"/>
    <mergeCell ref="AM3:AM9"/>
    <mergeCell ref="C1:C2"/>
    <mergeCell ref="D1:F1"/>
    <mergeCell ref="D2:F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Q57"/>
  <sheetViews>
    <sheetView zoomScale="80" zoomScaleNormal="80" workbookViewId="0">
      <pane xSplit="6" ySplit="13" topLeftCell="G16" activePane="bottomRight" state="frozen"/>
      <selection pane="topRight" activeCell="G1" sqref="G1"/>
      <selection pane="bottomLeft" activeCell="A8" sqref="A8"/>
      <selection pane="bottomRight" activeCell="G41" sqref="G41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19" width="9.125" style="2"/>
    <col min="20" max="35" width="10" style="2" bestFit="1" customWidth="1"/>
    <col min="36" max="36" width="10" style="2" customWidth="1"/>
    <col min="37" max="37" width="10" style="2" bestFit="1" customWidth="1"/>
    <col min="38" max="38" width="1.75" style="2" customWidth="1"/>
    <col min="39" max="40" width="9" style="2" customWidth="1"/>
    <col min="41" max="41" width="1.75" style="2" customWidth="1"/>
    <col min="42" max="42" width="10" style="2" bestFit="1" customWidth="1"/>
    <col min="43" max="43" width="8.125" style="2" bestFit="1" customWidth="1"/>
    <col min="44" max="16384" width="9.125" style="2"/>
  </cols>
  <sheetData>
    <row r="1" spans="2:43" ht="15.75" customHeight="1" x14ac:dyDescent="0.2">
      <c r="D1" s="282"/>
      <c r="E1" s="282"/>
      <c r="F1" s="283"/>
      <c r="G1" s="133"/>
    </row>
    <row r="2" spans="2:43" ht="15.75" customHeight="1" x14ac:dyDescent="0.2">
      <c r="C2" s="4433">
        <v>43374</v>
      </c>
      <c r="D2" s="284"/>
      <c r="E2" s="284"/>
      <c r="F2" s="285"/>
      <c r="G2" s="133"/>
    </row>
    <row r="3" spans="2:43" ht="15" customHeight="1" x14ac:dyDescent="0.2">
      <c r="C3" s="4433"/>
      <c r="G3" s="133"/>
    </row>
    <row r="4" spans="2:43" ht="15" customHeight="1" x14ac:dyDescent="0.2">
      <c r="G4" s="133"/>
    </row>
    <row r="5" spans="2:43" ht="4.5" customHeight="1" x14ac:dyDescent="0.2"/>
    <row r="6" spans="2:43" s="49" customFormat="1" ht="15" customHeight="1" x14ac:dyDescent="0.2">
      <c r="C6" s="43" t="s">
        <v>42</v>
      </c>
      <c r="D6" s="40">
        <f>D38/0.71</f>
        <v>2758.4507042253522</v>
      </c>
      <c r="E6" s="40">
        <v>0.71</v>
      </c>
      <c r="F6" s="41">
        <f>D6*E6</f>
        <v>1958.5</v>
      </c>
      <c r="G6" s="177">
        <f t="shared" ref="G6:AJ6" si="0">$F$6/31</f>
        <v>63.177419354838712</v>
      </c>
      <c r="H6" s="183">
        <f t="shared" si="0"/>
        <v>63.177419354838712</v>
      </c>
      <c r="I6" s="185">
        <f t="shared" si="0"/>
        <v>63.177419354838712</v>
      </c>
      <c r="J6" s="189">
        <f t="shared" si="0"/>
        <v>63.177419354838712</v>
      </c>
      <c r="K6" s="189">
        <f t="shared" si="0"/>
        <v>63.177419354838712</v>
      </c>
      <c r="L6" s="231">
        <f t="shared" si="0"/>
        <v>63.177419354838712</v>
      </c>
      <c r="M6" s="232">
        <f t="shared" si="0"/>
        <v>63.177419354838712</v>
      </c>
      <c r="N6" s="233">
        <f t="shared" si="0"/>
        <v>63.177419354838712</v>
      </c>
      <c r="O6" s="234">
        <f t="shared" si="0"/>
        <v>63.177419354838712</v>
      </c>
      <c r="P6" s="235">
        <f t="shared" si="0"/>
        <v>63.177419354838712</v>
      </c>
      <c r="Q6" s="236">
        <f t="shared" si="0"/>
        <v>63.177419354838712</v>
      </c>
      <c r="R6" s="239">
        <f t="shared" si="0"/>
        <v>63.177419354838712</v>
      </c>
      <c r="S6" s="239">
        <f t="shared" si="0"/>
        <v>63.177419354838712</v>
      </c>
      <c r="T6" s="240">
        <f t="shared" si="0"/>
        <v>63.177419354838712</v>
      </c>
      <c r="U6" s="241">
        <f t="shared" si="0"/>
        <v>63.177419354838712</v>
      </c>
      <c r="V6" s="242">
        <f t="shared" si="0"/>
        <v>63.177419354838712</v>
      </c>
      <c r="W6" s="244">
        <f t="shared" si="0"/>
        <v>63.177419354838712</v>
      </c>
      <c r="X6" s="244">
        <f t="shared" si="0"/>
        <v>63.177419354838712</v>
      </c>
      <c r="Y6" s="244">
        <f t="shared" si="0"/>
        <v>63.177419354838712</v>
      </c>
      <c r="Z6" s="245">
        <f t="shared" si="0"/>
        <v>63.177419354838712</v>
      </c>
      <c r="AA6" s="246">
        <f t="shared" si="0"/>
        <v>63.177419354838712</v>
      </c>
      <c r="AB6" s="248">
        <f t="shared" si="0"/>
        <v>63.177419354838712</v>
      </c>
      <c r="AC6" s="249">
        <f t="shared" si="0"/>
        <v>63.177419354838712</v>
      </c>
      <c r="AD6" s="252">
        <f t="shared" si="0"/>
        <v>63.177419354838712</v>
      </c>
      <c r="AE6" s="256">
        <f t="shared" si="0"/>
        <v>63.177419354838712</v>
      </c>
      <c r="AF6" s="256">
        <f t="shared" si="0"/>
        <v>63.177419354838712</v>
      </c>
      <c r="AG6" s="273">
        <f t="shared" si="0"/>
        <v>63.177419354838712</v>
      </c>
      <c r="AH6" s="280">
        <f t="shared" si="0"/>
        <v>63.177419354838712</v>
      </c>
      <c r="AI6" s="286">
        <f t="shared" si="0"/>
        <v>63.177419354838712</v>
      </c>
      <c r="AJ6" s="289">
        <f t="shared" si="0"/>
        <v>63.177419354838712</v>
      </c>
      <c r="AK6" s="177"/>
      <c r="AL6" s="50"/>
      <c r="AM6" s="4440" t="s">
        <v>54</v>
      </c>
      <c r="AN6" s="4443" t="s">
        <v>61</v>
      </c>
      <c r="AO6" s="50"/>
      <c r="AP6" s="40">
        <f>SUM(G6:AK6)</f>
        <v>1895.3225806451619</v>
      </c>
      <c r="AQ6" s="42"/>
    </row>
    <row r="7" spans="2:43" s="47" customFormat="1" ht="15" x14ac:dyDescent="0.2">
      <c r="C7" s="44" t="s">
        <v>40</v>
      </c>
      <c r="D7" s="45">
        <f>SUM(G7:AK7)</f>
        <v>-142.46729629629641</v>
      </c>
      <c r="E7" s="45"/>
      <c r="F7" s="46"/>
      <c r="G7" s="178">
        <f>'SHOP INCOME (10)'!G38</f>
        <v>-18.221777777777781</v>
      </c>
      <c r="H7" s="178">
        <f>'SHOP INCOME (10)'!H38</f>
        <v>5.5339629629629599</v>
      </c>
      <c r="I7" s="186">
        <f>'SHOP INCOME (10)'!I38</f>
        <v>0</v>
      </c>
      <c r="J7" s="178">
        <f>'SHOP INCOME (10)'!J38</f>
        <v>0</v>
      </c>
      <c r="K7" s="178">
        <f>'SHOP INCOME (10)'!K38</f>
        <v>0</v>
      </c>
      <c r="L7" s="178">
        <f>'SHOP INCOME (10)'!L38</f>
        <v>0</v>
      </c>
      <c r="M7" s="178">
        <f>'SHOP INCOME (10)'!M38</f>
        <v>-8.9817777777777827</v>
      </c>
      <c r="N7" s="178">
        <f>'SHOP INCOME (10)'!N38</f>
        <v>0</v>
      </c>
      <c r="O7" s="178">
        <f>'SHOP INCOME (10)'!O38</f>
        <v>-1.8417777777777786</v>
      </c>
      <c r="P7" s="178">
        <f>'SHOP INCOME (10)'!P38</f>
        <v>-3.806777777777782</v>
      </c>
      <c r="Q7" s="178">
        <f>'SHOP INCOME (10)'!Q38</f>
        <v>-5.9067777777777835</v>
      </c>
      <c r="R7" s="178">
        <f>'SHOP INCOME (10)'!R38</f>
        <v>0</v>
      </c>
      <c r="S7" s="178">
        <f>'SHOP INCOME (10)'!S38</f>
        <v>-4.556777777777782</v>
      </c>
      <c r="T7" s="178">
        <f>'SHOP INCOME (10)'!T38</f>
        <v>-4.3767777777777823</v>
      </c>
      <c r="U7" s="178">
        <f>'SHOP INCOME (10)'!U38</f>
        <v>-0.88177777777778488</v>
      </c>
      <c r="V7" s="243">
        <f>'SHOP INCOME (10)'!V38</f>
        <v>0</v>
      </c>
      <c r="W7" s="178">
        <f>'SHOP INCOME (10)'!W38</f>
        <v>-20.516777777777783</v>
      </c>
      <c r="X7" s="178">
        <f>'SHOP INCOME (10)'!X38</f>
        <v>-2.4717777777777812</v>
      </c>
      <c r="Y7" s="178">
        <f>'SHOP INCOME (10)'!Y38</f>
        <v>0</v>
      </c>
      <c r="Z7" s="178">
        <f>'SHOP INCOME (10)'!Z38</f>
        <v>-15.521777777777782</v>
      </c>
      <c r="AA7" s="178">
        <f>'SHOP INCOME (10)'!AA38</f>
        <v>-2.9517777777777852</v>
      </c>
      <c r="AB7" s="178">
        <f>'SHOP INCOME (10)'!AB38</f>
        <v>-5.3817777777777849</v>
      </c>
      <c r="AC7" s="178">
        <f>'SHOP INCOME (10)'!AC38</f>
        <v>0</v>
      </c>
      <c r="AD7" s="178">
        <f>'SHOP INCOME (10)'!AD38</f>
        <v>0</v>
      </c>
      <c r="AE7" s="178">
        <f>'SHOP INCOME (10)'!AE38</f>
        <v>0</v>
      </c>
      <c r="AF7" s="178">
        <f>'SHOP INCOME (10)'!AF38</f>
        <v>3.2457407407407395</v>
      </c>
      <c r="AG7" s="178">
        <f>'SHOP INCOME (10)'!AG38</f>
        <v>-13.016777777777783</v>
      </c>
      <c r="AH7" s="178">
        <f>'SHOP INCOME (10)'!AH38</f>
        <v>-14.951777777777782</v>
      </c>
      <c r="AI7" s="178">
        <f>'SHOP INCOME (10)'!AI38</f>
        <v>-13.856777777777783</v>
      </c>
      <c r="AJ7" s="178">
        <f>'SHOP INCOME (10)'!AJ38</f>
        <v>-10.376777777777782</v>
      </c>
      <c r="AK7" s="178">
        <f>'SHOP INCOME (10)'!AK38</f>
        <v>-3.6267777777777823</v>
      </c>
      <c r="AL7" s="48"/>
      <c r="AM7" s="4441"/>
      <c r="AN7" s="4444"/>
      <c r="AO7" s="48"/>
      <c r="AP7" s="45">
        <f>SUM(G7:AK7)</f>
        <v>-142.46729629629641</v>
      </c>
      <c r="AQ7" s="46"/>
    </row>
    <row r="8" spans="2:43" ht="15" x14ac:dyDescent="0.2">
      <c r="C8" s="1" t="s">
        <v>29</v>
      </c>
      <c r="D8" s="6"/>
      <c r="E8" s="6"/>
      <c r="F8" s="8"/>
      <c r="G8" s="179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7"/>
      <c r="AM8" s="4441"/>
      <c r="AN8" s="4444"/>
      <c r="AO8" s="7"/>
      <c r="AP8" s="5"/>
      <c r="AQ8" s="27"/>
    </row>
    <row r="9" spans="2:43" ht="4.5" customHeight="1" x14ac:dyDescent="0.2">
      <c r="AM9" s="4441"/>
      <c r="AN9" s="4444"/>
    </row>
    <row r="10" spans="2:43" ht="15" x14ac:dyDescent="0.2">
      <c r="C10" s="3" t="s">
        <v>15</v>
      </c>
      <c r="D10" s="6"/>
      <c r="E10" s="6"/>
      <c r="F10" s="8"/>
      <c r="G10" s="176">
        <f>SUM(G6:G8)</f>
        <v>44.955641577060931</v>
      </c>
      <c r="H10" s="5">
        <f t="shared" ref="H10:AQ10" si="1">SUM(H6:H8)</f>
        <v>68.711382317801679</v>
      </c>
      <c r="I10" s="5">
        <f t="shared" si="1"/>
        <v>63.177419354838712</v>
      </c>
      <c r="J10" s="5">
        <f t="shared" si="1"/>
        <v>63.177419354838712</v>
      </c>
      <c r="K10" s="5">
        <f t="shared" si="1"/>
        <v>63.177419354838712</v>
      </c>
      <c r="L10" s="5">
        <f t="shared" si="1"/>
        <v>63.177419354838712</v>
      </c>
      <c r="M10" s="5">
        <f t="shared" si="1"/>
        <v>54.195641577060925</v>
      </c>
      <c r="N10" s="5">
        <f t="shared" si="1"/>
        <v>63.177419354838712</v>
      </c>
      <c r="O10" s="5">
        <f t="shared" si="1"/>
        <v>61.335641577060933</v>
      </c>
      <c r="P10" s="5">
        <f t="shared" si="1"/>
        <v>59.37064157706093</v>
      </c>
      <c r="Q10" s="5">
        <f t="shared" si="1"/>
        <v>57.270641577060928</v>
      </c>
      <c r="R10" s="5">
        <f t="shared" si="1"/>
        <v>63.177419354838712</v>
      </c>
      <c r="S10" s="5">
        <f t="shared" si="1"/>
        <v>58.62064157706093</v>
      </c>
      <c r="T10" s="5">
        <f t="shared" si="1"/>
        <v>58.800641577060929</v>
      </c>
      <c r="U10" s="5">
        <f t="shared" si="1"/>
        <v>62.295641577060927</v>
      </c>
      <c r="V10" s="5">
        <f t="shared" si="1"/>
        <v>63.177419354838712</v>
      </c>
      <c r="W10" s="5">
        <f t="shared" si="1"/>
        <v>42.660641577060929</v>
      </c>
      <c r="X10" s="5">
        <f t="shared" si="1"/>
        <v>60.705641577060931</v>
      </c>
      <c r="Y10" s="5">
        <f t="shared" si="1"/>
        <v>63.177419354838712</v>
      </c>
      <c r="Z10" s="5">
        <f t="shared" si="1"/>
        <v>47.655641577060933</v>
      </c>
      <c r="AA10" s="5">
        <f t="shared" si="1"/>
        <v>60.225641577060927</v>
      </c>
      <c r="AB10" s="5">
        <f t="shared" si="1"/>
        <v>57.795641577060927</v>
      </c>
      <c r="AC10" s="5">
        <f t="shared" si="1"/>
        <v>63.177419354838712</v>
      </c>
      <c r="AD10" s="5">
        <f t="shared" si="1"/>
        <v>63.177419354838712</v>
      </c>
      <c r="AE10" s="5">
        <f t="shared" si="1"/>
        <v>63.177419354838712</v>
      </c>
      <c r="AF10" s="5">
        <f t="shared" si="1"/>
        <v>66.423160095579448</v>
      </c>
      <c r="AG10" s="5">
        <f t="shared" si="1"/>
        <v>50.160641577060929</v>
      </c>
      <c r="AH10" s="5">
        <f t="shared" si="1"/>
        <v>48.225641577060927</v>
      </c>
      <c r="AI10" s="5">
        <f t="shared" si="1"/>
        <v>49.320641577060925</v>
      </c>
      <c r="AJ10" s="5">
        <f t="shared" si="1"/>
        <v>52.800641577060929</v>
      </c>
      <c r="AK10" s="5">
        <f t="shared" si="1"/>
        <v>-3.6267777777777823</v>
      </c>
      <c r="AM10" s="4441"/>
      <c r="AN10" s="4444"/>
      <c r="AP10" s="5">
        <f t="shared" si="1"/>
        <v>1752.8552843488656</v>
      </c>
      <c r="AQ10" s="8">
        <f t="shared" si="1"/>
        <v>0</v>
      </c>
    </row>
    <row r="11" spans="2:43" ht="4.5" customHeight="1" x14ac:dyDescent="0.2">
      <c r="AM11" s="4441"/>
      <c r="AN11" s="4444"/>
    </row>
    <row r="12" spans="2:43" ht="15" customHeight="1" x14ac:dyDescent="0.2">
      <c r="G12" s="176" t="s">
        <v>48</v>
      </c>
      <c r="H12" s="176" t="s">
        <v>49</v>
      </c>
      <c r="I12" s="176" t="s">
        <v>50</v>
      </c>
      <c r="J12" s="176" t="s">
        <v>51</v>
      </c>
      <c r="K12" s="181" t="s">
        <v>45</v>
      </c>
      <c r="L12" s="176" t="s">
        <v>46</v>
      </c>
      <c r="M12" s="176" t="s">
        <v>47</v>
      </c>
      <c r="N12" s="176" t="s">
        <v>48</v>
      </c>
      <c r="O12" s="176" t="s">
        <v>49</v>
      </c>
      <c r="P12" s="176" t="s">
        <v>50</v>
      </c>
      <c r="Q12" s="176" t="s">
        <v>51</v>
      </c>
      <c r="R12" s="181" t="s">
        <v>45</v>
      </c>
      <c r="S12" s="176" t="s">
        <v>46</v>
      </c>
      <c r="T12" s="176" t="s">
        <v>47</v>
      </c>
      <c r="U12" s="176" t="s">
        <v>48</v>
      </c>
      <c r="V12" s="176" t="s">
        <v>49</v>
      </c>
      <c r="W12" s="176" t="s">
        <v>50</v>
      </c>
      <c r="X12" s="176" t="s">
        <v>51</v>
      </c>
      <c r="Y12" s="181" t="s">
        <v>45</v>
      </c>
      <c r="Z12" s="176" t="s">
        <v>46</v>
      </c>
      <c r="AA12" s="176" t="s">
        <v>47</v>
      </c>
      <c r="AB12" s="176" t="s">
        <v>48</v>
      </c>
      <c r="AC12" s="176" t="s">
        <v>49</v>
      </c>
      <c r="AD12" s="176" t="s">
        <v>50</v>
      </c>
      <c r="AE12" s="176" t="s">
        <v>51</v>
      </c>
      <c r="AF12" s="181" t="s">
        <v>45</v>
      </c>
      <c r="AG12" s="176" t="s">
        <v>46</v>
      </c>
      <c r="AH12" s="176" t="s">
        <v>47</v>
      </c>
      <c r="AI12" s="176" t="s">
        <v>48</v>
      </c>
      <c r="AJ12" s="176" t="s">
        <v>49</v>
      </c>
      <c r="AK12" s="176" t="s">
        <v>50</v>
      </c>
      <c r="AM12" s="4441"/>
      <c r="AN12" s="4444"/>
    </row>
    <row r="13" spans="2:43" x14ac:dyDescent="0.2">
      <c r="B13" s="1" t="s">
        <v>0</v>
      </c>
      <c r="C13" s="1" t="s">
        <v>1</v>
      </c>
      <c r="D13" s="1" t="s">
        <v>24</v>
      </c>
      <c r="E13" s="1" t="s">
        <v>25</v>
      </c>
      <c r="F13" s="1" t="s">
        <v>2</v>
      </c>
      <c r="G13" s="180">
        <v>1</v>
      </c>
      <c r="H13" s="1">
        <v>2</v>
      </c>
      <c r="I13" s="1">
        <v>3</v>
      </c>
      <c r="J13" s="1">
        <v>4</v>
      </c>
      <c r="K13" s="1">
        <v>5</v>
      </c>
      <c r="L13" s="1">
        <v>6</v>
      </c>
      <c r="M13" s="1">
        <v>7</v>
      </c>
      <c r="N13" s="1">
        <v>8</v>
      </c>
      <c r="O13" s="1">
        <v>9</v>
      </c>
      <c r="P13" s="1">
        <v>10</v>
      </c>
      <c r="Q13" s="1">
        <v>11</v>
      </c>
      <c r="R13" s="1">
        <v>12</v>
      </c>
      <c r="S13" s="1">
        <v>13</v>
      </c>
      <c r="T13" s="1">
        <v>14</v>
      </c>
      <c r="U13" s="1">
        <v>15</v>
      </c>
      <c r="V13" s="1">
        <v>16</v>
      </c>
      <c r="W13" s="1">
        <v>17</v>
      </c>
      <c r="X13" s="1">
        <v>18</v>
      </c>
      <c r="Y13" s="1">
        <v>19</v>
      </c>
      <c r="Z13" s="1">
        <v>20</v>
      </c>
      <c r="AA13" s="1">
        <v>21</v>
      </c>
      <c r="AB13" s="1">
        <v>22</v>
      </c>
      <c r="AC13" s="1">
        <v>23</v>
      </c>
      <c r="AD13" s="1">
        <v>24</v>
      </c>
      <c r="AE13" s="1">
        <v>25</v>
      </c>
      <c r="AF13" s="1">
        <v>26</v>
      </c>
      <c r="AG13" s="1">
        <v>27</v>
      </c>
      <c r="AH13" s="1">
        <v>28</v>
      </c>
      <c r="AI13" s="1">
        <v>29</v>
      </c>
      <c r="AJ13" s="1">
        <v>30</v>
      </c>
      <c r="AK13" s="1">
        <v>31</v>
      </c>
      <c r="AM13" s="4442"/>
      <c r="AN13" s="4445"/>
      <c r="AP13" s="1" t="s">
        <v>7</v>
      </c>
      <c r="AQ13" s="1" t="s">
        <v>2</v>
      </c>
    </row>
    <row r="14" spans="2:43" ht="4.5" customHeight="1" x14ac:dyDescent="0.2"/>
    <row r="15" spans="2:43" ht="15" customHeight="1" x14ac:dyDescent="0.2">
      <c r="C15" s="4" t="s">
        <v>19</v>
      </c>
    </row>
    <row r="16" spans="2:43" ht="15" x14ac:dyDescent="0.2">
      <c r="B16" s="1">
        <v>1</v>
      </c>
      <c r="C16" s="1" t="s">
        <v>3</v>
      </c>
      <c r="D16" s="6">
        <v>454</v>
      </c>
      <c r="E16" s="6">
        <f>D16/31</f>
        <v>14.64516129032258</v>
      </c>
      <c r="F16" s="10">
        <f t="shared" ref="F16:F24" si="2">D16/$D$25</f>
        <v>0.33296662999633297</v>
      </c>
      <c r="G16" s="6">
        <f t="shared" ref="G16:AJ16" si="3">$E$16</f>
        <v>14.64516129032258</v>
      </c>
      <c r="H16" s="6">
        <f t="shared" si="3"/>
        <v>14.64516129032258</v>
      </c>
      <c r="I16" s="6">
        <f t="shared" si="3"/>
        <v>14.64516129032258</v>
      </c>
      <c r="J16" s="6">
        <f t="shared" si="3"/>
        <v>14.64516129032258</v>
      </c>
      <c r="K16" s="6">
        <f t="shared" si="3"/>
        <v>14.64516129032258</v>
      </c>
      <c r="L16" s="6">
        <f t="shared" si="3"/>
        <v>14.64516129032258</v>
      </c>
      <c r="M16" s="6">
        <f t="shared" si="3"/>
        <v>14.64516129032258</v>
      </c>
      <c r="N16" s="6">
        <f t="shared" si="3"/>
        <v>14.64516129032258</v>
      </c>
      <c r="O16" s="6">
        <f t="shared" si="3"/>
        <v>14.64516129032258</v>
      </c>
      <c r="P16" s="6">
        <f t="shared" si="3"/>
        <v>14.64516129032258</v>
      </c>
      <c r="Q16" s="6">
        <f t="shared" si="3"/>
        <v>14.64516129032258</v>
      </c>
      <c r="R16" s="6">
        <f t="shared" si="3"/>
        <v>14.64516129032258</v>
      </c>
      <c r="S16" s="6">
        <f t="shared" si="3"/>
        <v>14.64516129032258</v>
      </c>
      <c r="T16" s="6">
        <f t="shared" si="3"/>
        <v>14.64516129032258</v>
      </c>
      <c r="U16" s="6">
        <f t="shared" si="3"/>
        <v>14.64516129032258</v>
      </c>
      <c r="V16" s="6">
        <f t="shared" si="3"/>
        <v>14.64516129032258</v>
      </c>
      <c r="W16" s="6">
        <f t="shared" si="3"/>
        <v>14.64516129032258</v>
      </c>
      <c r="X16" s="6">
        <f t="shared" si="3"/>
        <v>14.64516129032258</v>
      </c>
      <c r="Y16" s="6">
        <f t="shared" si="3"/>
        <v>14.64516129032258</v>
      </c>
      <c r="Z16" s="6">
        <f t="shared" si="3"/>
        <v>14.64516129032258</v>
      </c>
      <c r="AA16" s="6">
        <f t="shared" si="3"/>
        <v>14.64516129032258</v>
      </c>
      <c r="AB16" s="6">
        <f t="shared" si="3"/>
        <v>14.64516129032258</v>
      </c>
      <c r="AC16" s="6">
        <f t="shared" si="3"/>
        <v>14.64516129032258</v>
      </c>
      <c r="AD16" s="6">
        <f t="shared" si="3"/>
        <v>14.64516129032258</v>
      </c>
      <c r="AE16" s="6">
        <f t="shared" si="3"/>
        <v>14.64516129032258</v>
      </c>
      <c r="AF16" s="6">
        <f t="shared" si="3"/>
        <v>14.64516129032258</v>
      </c>
      <c r="AG16" s="6">
        <f t="shared" si="3"/>
        <v>14.64516129032258</v>
      </c>
      <c r="AH16" s="6">
        <f t="shared" si="3"/>
        <v>14.64516129032258</v>
      </c>
      <c r="AI16" s="6">
        <f t="shared" si="3"/>
        <v>14.64516129032258</v>
      </c>
      <c r="AJ16" s="6">
        <f t="shared" si="3"/>
        <v>14.64516129032258</v>
      </c>
      <c r="AK16" s="6"/>
      <c r="AM16" s="43">
        <v>0</v>
      </c>
      <c r="AN16" s="74">
        <f t="shared" ref="AN16:AN25" si="4">AM16/D16</f>
        <v>0</v>
      </c>
      <c r="AP16" s="5">
        <f t="shared" ref="AP16:AP24" si="5">SUM(G16:AK16)</f>
        <v>439.35483870967727</v>
      </c>
      <c r="AQ16" s="70">
        <f t="shared" ref="AQ16:AQ24" si="6">AP16/$AP$25</f>
        <v>0.33296662999633286</v>
      </c>
    </row>
    <row r="17" spans="2:43" ht="15" x14ac:dyDescent="0.2">
      <c r="B17" s="1">
        <v>2</v>
      </c>
      <c r="C17" s="1" t="s">
        <v>12</v>
      </c>
      <c r="D17" s="6">
        <v>400</v>
      </c>
      <c r="E17" s="6">
        <f t="shared" ref="E17:E24" si="7">D17/31</f>
        <v>12.903225806451612</v>
      </c>
      <c r="F17" s="10">
        <f t="shared" si="2"/>
        <v>0.29336266960029334</v>
      </c>
      <c r="G17" s="6">
        <f t="shared" ref="G17:AJ17" si="8">$E$17</f>
        <v>12.903225806451612</v>
      </c>
      <c r="H17" s="6">
        <f t="shared" si="8"/>
        <v>12.903225806451612</v>
      </c>
      <c r="I17" s="6">
        <f t="shared" si="8"/>
        <v>12.903225806451612</v>
      </c>
      <c r="J17" s="6">
        <f t="shared" si="8"/>
        <v>12.903225806451612</v>
      </c>
      <c r="K17" s="6">
        <f t="shared" si="8"/>
        <v>12.903225806451612</v>
      </c>
      <c r="L17" s="6">
        <f t="shared" si="8"/>
        <v>12.903225806451612</v>
      </c>
      <c r="M17" s="6">
        <f t="shared" si="8"/>
        <v>12.903225806451612</v>
      </c>
      <c r="N17" s="6">
        <f t="shared" si="8"/>
        <v>12.903225806451612</v>
      </c>
      <c r="O17" s="6">
        <f t="shared" si="8"/>
        <v>12.903225806451612</v>
      </c>
      <c r="P17" s="6">
        <f t="shared" si="8"/>
        <v>12.903225806451612</v>
      </c>
      <c r="Q17" s="6">
        <f t="shared" si="8"/>
        <v>12.903225806451612</v>
      </c>
      <c r="R17" s="6">
        <f t="shared" si="8"/>
        <v>12.903225806451612</v>
      </c>
      <c r="S17" s="6">
        <f t="shared" si="8"/>
        <v>12.903225806451612</v>
      </c>
      <c r="T17" s="6">
        <f t="shared" si="8"/>
        <v>12.903225806451612</v>
      </c>
      <c r="U17" s="6">
        <f t="shared" si="8"/>
        <v>12.903225806451612</v>
      </c>
      <c r="V17" s="6">
        <f t="shared" si="8"/>
        <v>12.903225806451612</v>
      </c>
      <c r="W17" s="6">
        <f t="shared" si="8"/>
        <v>12.903225806451612</v>
      </c>
      <c r="X17" s="6">
        <f t="shared" si="8"/>
        <v>12.903225806451612</v>
      </c>
      <c r="Y17" s="6">
        <f t="shared" si="8"/>
        <v>12.903225806451612</v>
      </c>
      <c r="Z17" s="6">
        <f t="shared" si="8"/>
        <v>12.903225806451612</v>
      </c>
      <c r="AA17" s="6">
        <f t="shared" si="8"/>
        <v>12.903225806451612</v>
      </c>
      <c r="AB17" s="6">
        <f t="shared" si="8"/>
        <v>12.903225806451612</v>
      </c>
      <c r="AC17" s="6">
        <f t="shared" si="8"/>
        <v>12.903225806451612</v>
      </c>
      <c r="AD17" s="6">
        <f t="shared" si="8"/>
        <v>12.903225806451612</v>
      </c>
      <c r="AE17" s="6">
        <f t="shared" si="8"/>
        <v>12.903225806451612</v>
      </c>
      <c r="AF17" s="6">
        <f t="shared" si="8"/>
        <v>12.903225806451612</v>
      </c>
      <c r="AG17" s="6">
        <f t="shared" si="8"/>
        <v>12.903225806451612</v>
      </c>
      <c r="AH17" s="6">
        <f t="shared" si="8"/>
        <v>12.903225806451612</v>
      </c>
      <c r="AI17" s="6">
        <f t="shared" si="8"/>
        <v>12.903225806451612</v>
      </c>
      <c r="AJ17" s="6">
        <f t="shared" si="8"/>
        <v>12.903225806451612</v>
      </c>
      <c r="AK17" s="6"/>
      <c r="AM17" s="43">
        <v>0</v>
      </c>
      <c r="AN17" s="74">
        <f t="shared" si="4"/>
        <v>0</v>
      </c>
      <c r="AP17" s="5">
        <f t="shared" si="5"/>
        <v>387.09677419354813</v>
      </c>
      <c r="AQ17" s="70">
        <f t="shared" si="6"/>
        <v>0.29336266960029317</v>
      </c>
    </row>
    <row r="18" spans="2:43" ht="15" x14ac:dyDescent="0.2">
      <c r="B18" s="1">
        <v>3</v>
      </c>
      <c r="C18" s="1" t="s">
        <v>11</v>
      </c>
      <c r="D18" s="6">
        <v>209</v>
      </c>
      <c r="E18" s="6">
        <f t="shared" si="7"/>
        <v>6.741935483870968</v>
      </c>
      <c r="F18" s="10">
        <f t="shared" si="2"/>
        <v>0.15328199486615329</v>
      </c>
      <c r="G18" s="6">
        <f t="shared" ref="G18:AJ18" si="9">$E$18</f>
        <v>6.741935483870968</v>
      </c>
      <c r="H18" s="6">
        <f t="shared" si="9"/>
        <v>6.741935483870968</v>
      </c>
      <c r="I18" s="6">
        <f t="shared" si="9"/>
        <v>6.741935483870968</v>
      </c>
      <c r="J18" s="6">
        <f t="shared" si="9"/>
        <v>6.741935483870968</v>
      </c>
      <c r="K18" s="6">
        <f t="shared" si="9"/>
        <v>6.741935483870968</v>
      </c>
      <c r="L18" s="6">
        <f t="shared" si="9"/>
        <v>6.741935483870968</v>
      </c>
      <c r="M18" s="6">
        <f t="shared" si="9"/>
        <v>6.741935483870968</v>
      </c>
      <c r="N18" s="6">
        <f t="shared" si="9"/>
        <v>6.741935483870968</v>
      </c>
      <c r="O18" s="6">
        <f t="shared" si="9"/>
        <v>6.741935483870968</v>
      </c>
      <c r="P18" s="6">
        <f t="shared" si="9"/>
        <v>6.741935483870968</v>
      </c>
      <c r="Q18" s="6">
        <f t="shared" si="9"/>
        <v>6.741935483870968</v>
      </c>
      <c r="R18" s="6">
        <f t="shared" si="9"/>
        <v>6.741935483870968</v>
      </c>
      <c r="S18" s="6">
        <f t="shared" si="9"/>
        <v>6.741935483870968</v>
      </c>
      <c r="T18" s="6">
        <f t="shared" si="9"/>
        <v>6.741935483870968</v>
      </c>
      <c r="U18" s="6">
        <f t="shared" si="9"/>
        <v>6.741935483870968</v>
      </c>
      <c r="V18" s="6">
        <f t="shared" si="9"/>
        <v>6.741935483870968</v>
      </c>
      <c r="W18" s="6">
        <f t="shared" si="9"/>
        <v>6.741935483870968</v>
      </c>
      <c r="X18" s="6">
        <f t="shared" si="9"/>
        <v>6.741935483870968</v>
      </c>
      <c r="Y18" s="6">
        <f t="shared" si="9"/>
        <v>6.741935483870968</v>
      </c>
      <c r="Z18" s="6">
        <f t="shared" si="9"/>
        <v>6.741935483870968</v>
      </c>
      <c r="AA18" s="6">
        <f t="shared" si="9"/>
        <v>6.741935483870968</v>
      </c>
      <c r="AB18" s="6">
        <f t="shared" si="9"/>
        <v>6.741935483870968</v>
      </c>
      <c r="AC18" s="6">
        <f t="shared" si="9"/>
        <v>6.741935483870968</v>
      </c>
      <c r="AD18" s="6">
        <f t="shared" si="9"/>
        <v>6.741935483870968</v>
      </c>
      <c r="AE18" s="6">
        <f t="shared" si="9"/>
        <v>6.741935483870968</v>
      </c>
      <c r="AF18" s="6">
        <f t="shared" si="9"/>
        <v>6.741935483870968</v>
      </c>
      <c r="AG18" s="6">
        <f t="shared" si="9"/>
        <v>6.741935483870968</v>
      </c>
      <c r="AH18" s="6">
        <f t="shared" si="9"/>
        <v>6.741935483870968</v>
      </c>
      <c r="AI18" s="6">
        <f t="shared" si="9"/>
        <v>6.741935483870968</v>
      </c>
      <c r="AJ18" s="6">
        <f t="shared" si="9"/>
        <v>6.741935483870968</v>
      </c>
      <c r="AK18" s="6"/>
      <c r="AM18" s="43">
        <v>0</v>
      </c>
      <c r="AN18" s="74">
        <f t="shared" si="4"/>
        <v>0</v>
      </c>
      <c r="AP18" s="5">
        <f t="shared" si="5"/>
        <v>202.25806451612917</v>
      </c>
      <c r="AQ18" s="70">
        <f t="shared" si="6"/>
        <v>0.15328199486615338</v>
      </c>
    </row>
    <row r="19" spans="2:43" ht="15" x14ac:dyDescent="0.2">
      <c r="B19" s="1">
        <v>4</v>
      </c>
      <c r="C19" s="1" t="s">
        <v>4</v>
      </c>
      <c r="D19" s="6">
        <v>150</v>
      </c>
      <c r="E19" s="6">
        <f t="shared" si="7"/>
        <v>4.838709677419355</v>
      </c>
      <c r="F19" s="10">
        <f t="shared" si="2"/>
        <v>0.11001100110011001</v>
      </c>
      <c r="G19" s="6">
        <f t="shared" ref="G19:AJ19" si="10">$E$19</f>
        <v>4.838709677419355</v>
      </c>
      <c r="H19" s="6">
        <f t="shared" si="10"/>
        <v>4.838709677419355</v>
      </c>
      <c r="I19" s="6">
        <f t="shared" si="10"/>
        <v>4.838709677419355</v>
      </c>
      <c r="J19" s="6">
        <f t="shared" si="10"/>
        <v>4.838709677419355</v>
      </c>
      <c r="K19" s="6">
        <f t="shared" si="10"/>
        <v>4.838709677419355</v>
      </c>
      <c r="L19" s="6">
        <f t="shared" si="10"/>
        <v>4.838709677419355</v>
      </c>
      <c r="M19" s="6">
        <f t="shared" si="10"/>
        <v>4.838709677419355</v>
      </c>
      <c r="N19" s="6">
        <f t="shared" si="10"/>
        <v>4.838709677419355</v>
      </c>
      <c r="O19" s="6">
        <f t="shared" si="10"/>
        <v>4.838709677419355</v>
      </c>
      <c r="P19" s="6">
        <f t="shared" si="10"/>
        <v>4.838709677419355</v>
      </c>
      <c r="Q19" s="6">
        <f t="shared" si="10"/>
        <v>4.838709677419355</v>
      </c>
      <c r="R19" s="6">
        <f t="shared" si="10"/>
        <v>4.838709677419355</v>
      </c>
      <c r="S19" s="6">
        <f t="shared" si="10"/>
        <v>4.838709677419355</v>
      </c>
      <c r="T19" s="6">
        <f t="shared" si="10"/>
        <v>4.838709677419355</v>
      </c>
      <c r="U19" s="6">
        <f t="shared" si="10"/>
        <v>4.838709677419355</v>
      </c>
      <c r="V19" s="6">
        <f t="shared" si="10"/>
        <v>4.838709677419355</v>
      </c>
      <c r="W19" s="6">
        <f t="shared" si="10"/>
        <v>4.838709677419355</v>
      </c>
      <c r="X19" s="6">
        <f t="shared" si="10"/>
        <v>4.838709677419355</v>
      </c>
      <c r="Y19" s="6">
        <f t="shared" si="10"/>
        <v>4.838709677419355</v>
      </c>
      <c r="Z19" s="6">
        <f t="shared" si="10"/>
        <v>4.838709677419355</v>
      </c>
      <c r="AA19" s="6">
        <f t="shared" si="10"/>
        <v>4.838709677419355</v>
      </c>
      <c r="AB19" s="6">
        <f t="shared" si="10"/>
        <v>4.838709677419355</v>
      </c>
      <c r="AC19" s="6">
        <f t="shared" si="10"/>
        <v>4.838709677419355</v>
      </c>
      <c r="AD19" s="6">
        <f t="shared" si="10"/>
        <v>4.838709677419355</v>
      </c>
      <c r="AE19" s="6">
        <f t="shared" si="10"/>
        <v>4.838709677419355</v>
      </c>
      <c r="AF19" s="6">
        <f t="shared" si="10"/>
        <v>4.838709677419355</v>
      </c>
      <c r="AG19" s="6">
        <f t="shared" si="10"/>
        <v>4.838709677419355</v>
      </c>
      <c r="AH19" s="6">
        <f t="shared" si="10"/>
        <v>4.838709677419355</v>
      </c>
      <c r="AI19" s="6">
        <f t="shared" si="10"/>
        <v>4.838709677419355</v>
      </c>
      <c r="AJ19" s="6">
        <f t="shared" si="10"/>
        <v>4.838709677419355</v>
      </c>
      <c r="AK19" s="6"/>
      <c r="AM19" s="43">
        <v>0</v>
      </c>
      <c r="AN19" s="74">
        <f t="shared" si="4"/>
        <v>0</v>
      </c>
      <c r="AP19" s="5">
        <f t="shared" si="5"/>
        <v>145.1612903225807</v>
      </c>
      <c r="AQ19" s="70">
        <f t="shared" si="6"/>
        <v>0.11001100110011006</v>
      </c>
    </row>
    <row r="20" spans="2:43" ht="15" x14ac:dyDescent="0.2">
      <c r="B20" s="1">
        <v>5</v>
      </c>
      <c r="C20" s="1" t="s">
        <v>13</v>
      </c>
      <c r="D20" s="6">
        <v>100</v>
      </c>
      <c r="E20" s="6">
        <f t="shared" si="7"/>
        <v>3.225806451612903</v>
      </c>
      <c r="F20" s="10">
        <f t="shared" si="2"/>
        <v>7.3340667400073334E-2</v>
      </c>
      <c r="G20" s="6">
        <f t="shared" ref="G20:AJ20" si="11">$E$20</f>
        <v>3.225806451612903</v>
      </c>
      <c r="H20" s="6">
        <f t="shared" si="11"/>
        <v>3.225806451612903</v>
      </c>
      <c r="I20" s="6">
        <f t="shared" si="11"/>
        <v>3.225806451612903</v>
      </c>
      <c r="J20" s="6">
        <f t="shared" si="11"/>
        <v>3.225806451612903</v>
      </c>
      <c r="K20" s="6">
        <f t="shared" si="11"/>
        <v>3.225806451612903</v>
      </c>
      <c r="L20" s="6">
        <f t="shared" si="11"/>
        <v>3.225806451612903</v>
      </c>
      <c r="M20" s="6">
        <f t="shared" si="11"/>
        <v>3.225806451612903</v>
      </c>
      <c r="N20" s="6">
        <f t="shared" si="11"/>
        <v>3.225806451612903</v>
      </c>
      <c r="O20" s="6">
        <f t="shared" si="11"/>
        <v>3.225806451612903</v>
      </c>
      <c r="P20" s="6">
        <f t="shared" si="11"/>
        <v>3.225806451612903</v>
      </c>
      <c r="Q20" s="6">
        <f t="shared" si="11"/>
        <v>3.225806451612903</v>
      </c>
      <c r="R20" s="6">
        <f t="shared" si="11"/>
        <v>3.225806451612903</v>
      </c>
      <c r="S20" s="6">
        <f t="shared" si="11"/>
        <v>3.225806451612903</v>
      </c>
      <c r="T20" s="6">
        <f t="shared" si="11"/>
        <v>3.225806451612903</v>
      </c>
      <c r="U20" s="6">
        <f t="shared" si="11"/>
        <v>3.225806451612903</v>
      </c>
      <c r="V20" s="6">
        <f t="shared" si="11"/>
        <v>3.225806451612903</v>
      </c>
      <c r="W20" s="6">
        <f t="shared" si="11"/>
        <v>3.225806451612903</v>
      </c>
      <c r="X20" s="6">
        <f t="shared" si="11"/>
        <v>3.225806451612903</v>
      </c>
      <c r="Y20" s="6">
        <f t="shared" si="11"/>
        <v>3.225806451612903</v>
      </c>
      <c r="Z20" s="6">
        <f t="shared" si="11"/>
        <v>3.225806451612903</v>
      </c>
      <c r="AA20" s="6">
        <f t="shared" si="11"/>
        <v>3.225806451612903</v>
      </c>
      <c r="AB20" s="6">
        <f t="shared" si="11"/>
        <v>3.225806451612903</v>
      </c>
      <c r="AC20" s="6">
        <f t="shared" si="11"/>
        <v>3.225806451612903</v>
      </c>
      <c r="AD20" s="6">
        <f t="shared" si="11"/>
        <v>3.225806451612903</v>
      </c>
      <c r="AE20" s="6">
        <f t="shared" si="11"/>
        <v>3.225806451612903</v>
      </c>
      <c r="AF20" s="6">
        <f t="shared" si="11"/>
        <v>3.225806451612903</v>
      </c>
      <c r="AG20" s="6">
        <f t="shared" si="11"/>
        <v>3.225806451612903</v>
      </c>
      <c r="AH20" s="6">
        <f t="shared" si="11"/>
        <v>3.225806451612903</v>
      </c>
      <c r="AI20" s="6">
        <f t="shared" si="11"/>
        <v>3.225806451612903</v>
      </c>
      <c r="AJ20" s="6">
        <f t="shared" si="11"/>
        <v>3.225806451612903</v>
      </c>
      <c r="AK20" s="6"/>
      <c r="AM20" s="43">
        <v>0</v>
      </c>
      <c r="AN20" s="74">
        <f t="shared" si="4"/>
        <v>0</v>
      </c>
      <c r="AP20" s="5">
        <f t="shared" si="5"/>
        <v>96.774193548387032</v>
      </c>
      <c r="AQ20" s="70">
        <f t="shared" si="6"/>
        <v>7.3340667400073292E-2</v>
      </c>
    </row>
    <row r="21" spans="2:43" ht="15" x14ac:dyDescent="0.2">
      <c r="B21" s="1">
        <v>6</v>
      </c>
      <c r="C21" s="1" t="s">
        <v>6</v>
      </c>
      <c r="D21" s="6">
        <v>25</v>
      </c>
      <c r="E21" s="6">
        <f t="shared" si="7"/>
        <v>0.80645161290322576</v>
      </c>
      <c r="F21" s="10">
        <f t="shared" si="2"/>
        <v>1.8335166850018333E-2</v>
      </c>
      <c r="G21" s="6">
        <f t="shared" ref="G21:AJ21" si="12">$E$21</f>
        <v>0.80645161290322576</v>
      </c>
      <c r="H21" s="6">
        <f t="shared" si="12"/>
        <v>0.80645161290322576</v>
      </c>
      <c r="I21" s="6">
        <f t="shared" si="12"/>
        <v>0.80645161290322576</v>
      </c>
      <c r="J21" s="6">
        <f t="shared" si="12"/>
        <v>0.80645161290322576</v>
      </c>
      <c r="K21" s="6">
        <f t="shared" si="12"/>
        <v>0.80645161290322576</v>
      </c>
      <c r="L21" s="6">
        <f t="shared" si="12"/>
        <v>0.80645161290322576</v>
      </c>
      <c r="M21" s="6">
        <f t="shared" si="12"/>
        <v>0.80645161290322576</v>
      </c>
      <c r="N21" s="6">
        <f t="shared" si="12"/>
        <v>0.80645161290322576</v>
      </c>
      <c r="O21" s="6">
        <f t="shared" si="12"/>
        <v>0.80645161290322576</v>
      </c>
      <c r="P21" s="6">
        <f t="shared" si="12"/>
        <v>0.80645161290322576</v>
      </c>
      <c r="Q21" s="6">
        <f t="shared" si="12"/>
        <v>0.80645161290322576</v>
      </c>
      <c r="R21" s="6">
        <f t="shared" si="12"/>
        <v>0.80645161290322576</v>
      </c>
      <c r="S21" s="6">
        <f t="shared" si="12"/>
        <v>0.80645161290322576</v>
      </c>
      <c r="T21" s="6">
        <f t="shared" si="12"/>
        <v>0.80645161290322576</v>
      </c>
      <c r="U21" s="6">
        <f t="shared" si="12"/>
        <v>0.80645161290322576</v>
      </c>
      <c r="V21" s="6">
        <f t="shared" si="12"/>
        <v>0.80645161290322576</v>
      </c>
      <c r="W21" s="6">
        <f t="shared" si="12"/>
        <v>0.80645161290322576</v>
      </c>
      <c r="X21" s="6">
        <f t="shared" si="12"/>
        <v>0.80645161290322576</v>
      </c>
      <c r="Y21" s="6">
        <f t="shared" si="12"/>
        <v>0.80645161290322576</v>
      </c>
      <c r="Z21" s="6">
        <f t="shared" si="12"/>
        <v>0.80645161290322576</v>
      </c>
      <c r="AA21" s="6">
        <f t="shared" si="12"/>
        <v>0.80645161290322576</v>
      </c>
      <c r="AB21" s="6">
        <f t="shared" si="12"/>
        <v>0.80645161290322576</v>
      </c>
      <c r="AC21" s="6">
        <f t="shared" si="12"/>
        <v>0.80645161290322576</v>
      </c>
      <c r="AD21" s="6">
        <f t="shared" si="12"/>
        <v>0.80645161290322576</v>
      </c>
      <c r="AE21" s="6">
        <f t="shared" si="12"/>
        <v>0.80645161290322576</v>
      </c>
      <c r="AF21" s="6">
        <f t="shared" si="12"/>
        <v>0.80645161290322576</v>
      </c>
      <c r="AG21" s="6">
        <f t="shared" si="12"/>
        <v>0.80645161290322576</v>
      </c>
      <c r="AH21" s="6">
        <f t="shared" si="12"/>
        <v>0.80645161290322576</v>
      </c>
      <c r="AI21" s="6">
        <f t="shared" si="12"/>
        <v>0.80645161290322576</v>
      </c>
      <c r="AJ21" s="6">
        <f t="shared" si="12"/>
        <v>0.80645161290322576</v>
      </c>
      <c r="AK21" s="6"/>
      <c r="AM21" s="43">
        <v>0</v>
      </c>
      <c r="AN21" s="74">
        <f t="shared" si="4"/>
        <v>0</v>
      </c>
      <c r="AP21" s="5">
        <f t="shared" si="5"/>
        <v>24.193548387096758</v>
      </c>
      <c r="AQ21" s="70">
        <f t="shared" si="6"/>
        <v>1.8335166850018323E-2</v>
      </c>
    </row>
    <row r="22" spans="2:43" ht="15" x14ac:dyDescent="0.2">
      <c r="B22" s="1">
        <v>7</v>
      </c>
      <c r="C22" s="1" t="s">
        <v>16</v>
      </c>
      <c r="D22" s="6">
        <v>25.5</v>
      </c>
      <c r="E22" s="6">
        <f t="shared" si="7"/>
        <v>0.82258064516129037</v>
      </c>
      <c r="F22" s="10">
        <f t="shared" si="2"/>
        <v>1.8701870187018702E-2</v>
      </c>
      <c r="G22" s="6">
        <f t="shared" ref="G22:AJ22" si="13">$E$22</f>
        <v>0.82258064516129037</v>
      </c>
      <c r="H22" s="6">
        <f t="shared" si="13"/>
        <v>0.82258064516129037</v>
      </c>
      <c r="I22" s="6">
        <f t="shared" si="13"/>
        <v>0.82258064516129037</v>
      </c>
      <c r="J22" s="6">
        <f t="shared" si="13"/>
        <v>0.82258064516129037</v>
      </c>
      <c r="K22" s="6">
        <f t="shared" si="13"/>
        <v>0.82258064516129037</v>
      </c>
      <c r="L22" s="6">
        <f t="shared" si="13"/>
        <v>0.82258064516129037</v>
      </c>
      <c r="M22" s="6">
        <f t="shared" si="13"/>
        <v>0.82258064516129037</v>
      </c>
      <c r="N22" s="6">
        <f t="shared" si="13"/>
        <v>0.82258064516129037</v>
      </c>
      <c r="O22" s="6">
        <f t="shared" si="13"/>
        <v>0.82258064516129037</v>
      </c>
      <c r="P22" s="6">
        <f t="shared" si="13"/>
        <v>0.82258064516129037</v>
      </c>
      <c r="Q22" s="6">
        <f t="shared" si="13"/>
        <v>0.82258064516129037</v>
      </c>
      <c r="R22" s="6">
        <f t="shared" si="13"/>
        <v>0.82258064516129037</v>
      </c>
      <c r="S22" s="6">
        <f t="shared" si="13"/>
        <v>0.82258064516129037</v>
      </c>
      <c r="T22" s="6">
        <f t="shared" si="13"/>
        <v>0.82258064516129037</v>
      </c>
      <c r="U22" s="6">
        <f t="shared" si="13"/>
        <v>0.82258064516129037</v>
      </c>
      <c r="V22" s="6">
        <f t="shared" si="13"/>
        <v>0.82258064516129037</v>
      </c>
      <c r="W22" s="6">
        <f t="shared" si="13"/>
        <v>0.82258064516129037</v>
      </c>
      <c r="X22" s="6">
        <f t="shared" si="13"/>
        <v>0.82258064516129037</v>
      </c>
      <c r="Y22" s="6">
        <f t="shared" si="13"/>
        <v>0.82258064516129037</v>
      </c>
      <c r="Z22" s="6">
        <f t="shared" si="13"/>
        <v>0.82258064516129037</v>
      </c>
      <c r="AA22" s="6">
        <f t="shared" si="13"/>
        <v>0.82258064516129037</v>
      </c>
      <c r="AB22" s="6">
        <f t="shared" si="13"/>
        <v>0.82258064516129037</v>
      </c>
      <c r="AC22" s="6">
        <f t="shared" si="13"/>
        <v>0.82258064516129037</v>
      </c>
      <c r="AD22" s="6">
        <f t="shared" si="13"/>
        <v>0.82258064516129037</v>
      </c>
      <c r="AE22" s="6">
        <f t="shared" si="13"/>
        <v>0.82258064516129037</v>
      </c>
      <c r="AF22" s="6">
        <f t="shared" si="13"/>
        <v>0.82258064516129037</v>
      </c>
      <c r="AG22" s="6">
        <f t="shared" si="13"/>
        <v>0.82258064516129037</v>
      </c>
      <c r="AH22" s="6">
        <f t="shared" si="13"/>
        <v>0.82258064516129037</v>
      </c>
      <c r="AI22" s="6">
        <f t="shared" si="13"/>
        <v>0.82258064516129037</v>
      </c>
      <c r="AJ22" s="6">
        <f t="shared" si="13"/>
        <v>0.82258064516129037</v>
      </c>
      <c r="AK22" s="6"/>
      <c r="AM22" s="43">
        <v>0</v>
      </c>
      <c r="AN22" s="74">
        <f t="shared" si="4"/>
        <v>0</v>
      </c>
      <c r="AP22" s="5">
        <f t="shared" si="5"/>
        <v>24.677419354838722</v>
      </c>
      <c r="AQ22" s="70">
        <f t="shared" si="6"/>
        <v>1.8701870187018712E-2</v>
      </c>
    </row>
    <row r="23" spans="2:43" ht="15" x14ac:dyDescent="0.2">
      <c r="B23" s="1">
        <v>8</v>
      </c>
      <c r="C23" s="1"/>
      <c r="D23" s="6">
        <v>0</v>
      </c>
      <c r="E23" s="6">
        <f t="shared" si="7"/>
        <v>0</v>
      </c>
      <c r="F23" s="10">
        <f t="shared" si="2"/>
        <v>0</v>
      </c>
      <c r="G23" s="6">
        <f t="shared" ref="G23:AJ23" si="14">$E$23</f>
        <v>0</v>
      </c>
      <c r="H23" s="6">
        <f t="shared" si="14"/>
        <v>0</v>
      </c>
      <c r="I23" s="6">
        <f t="shared" si="14"/>
        <v>0</v>
      </c>
      <c r="J23" s="6">
        <f t="shared" si="14"/>
        <v>0</v>
      </c>
      <c r="K23" s="6">
        <f t="shared" si="14"/>
        <v>0</v>
      </c>
      <c r="L23" s="6">
        <f t="shared" si="14"/>
        <v>0</v>
      </c>
      <c r="M23" s="6">
        <f t="shared" si="14"/>
        <v>0</v>
      </c>
      <c r="N23" s="6">
        <f t="shared" si="14"/>
        <v>0</v>
      </c>
      <c r="O23" s="6">
        <f t="shared" si="14"/>
        <v>0</v>
      </c>
      <c r="P23" s="6">
        <f t="shared" si="14"/>
        <v>0</v>
      </c>
      <c r="Q23" s="6">
        <f t="shared" si="14"/>
        <v>0</v>
      </c>
      <c r="R23" s="6">
        <f t="shared" si="14"/>
        <v>0</v>
      </c>
      <c r="S23" s="6">
        <f t="shared" si="14"/>
        <v>0</v>
      </c>
      <c r="T23" s="6">
        <f t="shared" si="14"/>
        <v>0</v>
      </c>
      <c r="U23" s="6">
        <f t="shared" si="14"/>
        <v>0</v>
      </c>
      <c r="V23" s="6">
        <f t="shared" si="14"/>
        <v>0</v>
      </c>
      <c r="W23" s="6">
        <f t="shared" si="14"/>
        <v>0</v>
      </c>
      <c r="X23" s="6">
        <f t="shared" si="14"/>
        <v>0</v>
      </c>
      <c r="Y23" s="6">
        <f t="shared" si="14"/>
        <v>0</v>
      </c>
      <c r="Z23" s="6">
        <f t="shared" si="14"/>
        <v>0</v>
      </c>
      <c r="AA23" s="6">
        <f t="shared" si="14"/>
        <v>0</v>
      </c>
      <c r="AB23" s="6">
        <f t="shared" si="14"/>
        <v>0</v>
      </c>
      <c r="AC23" s="6">
        <f t="shared" si="14"/>
        <v>0</v>
      </c>
      <c r="AD23" s="6">
        <f t="shared" si="14"/>
        <v>0</v>
      </c>
      <c r="AE23" s="6">
        <f t="shared" si="14"/>
        <v>0</v>
      </c>
      <c r="AF23" s="6">
        <f t="shared" si="14"/>
        <v>0</v>
      </c>
      <c r="AG23" s="6">
        <f t="shared" si="14"/>
        <v>0</v>
      </c>
      <c r="AH23" s="6">
        <f t="shared" si="14"/>
        <v>0</v>
      </c>
      <c r="AI23" s="6">
        <f t="shared" si="14"/>
        <v>0</v>
      </c>
      <c r="AJ23" s="6">
        <f t="shared" si="14"/>
        <v>0</v>
      </c>
      <c r="AK23" s="6"/>
      <c r="AM23" s="43">
        <v>0</v>
      </c>
      <c r="AN23" s="74" t="e">
        <f t="shared" si="4"/>
        <v>#DIV/0!</v>
      </c>
      <c r="AP23" s="5">
        <f t="shared" si="5"/>
        <v>0</v>
      </c>
      <c r="AQ23" s="70">
        <f t="shared" si="6"/>
        <v>0</v>
      </c>
    </row>
    <row r="24" spans="2:43" ht="15" x14ac:dyDescent="0.2">
      <c r="B24" s="1">
        <v>9</v>
      </c>
      <c r="C24" s="1"/>
      <c r="D24" s="6">
        <v>0</v>
      </c>
      <c r="E24" s="6">
        <f t="shared" si="7"/>
        <v>0</v>
      </c>
      <c r="F24" s="10">
        <f t="shared" si="2"/>
        <v>0</v>
      </c>
      <c r="G24" s="6">
        <f t="shared" ref="G24:AJ24" si="15">$E$24</f>
        <v>0</v>
      </c>
      <c r="H24" s="6">
        <f t="shared" si="15"/>
        <v>0</v>
      </c>
      <c r="I24" s="6">
        <f t="shared" si="15"/>
        <v>0</v>
      </c>
      <c r="J24" s="6">
        <f t="shared" si="15"/>
        <v>0</v>
      </c>
      <c r="K24" s="6">
        <f t="shared" si="15"/>
        <v>0</v>
      </c>
      <c r="L24" s="6">
        <f t="shared" si="15"/>
        <v>0</v>
      </c>
      <c r="M24" s="6">
        <f t="shared" si="15"/>
        <v>0</v>
      </c>
      <c r="N24" s="6">
        <f t="shared" si="15"/>
        <v>0</v>
      </c>
      <c r="O24" s="6">
        <f t="shared" si="15"/>
        <v>0</v>
      </c>
      <c r="P24" s="6">
        <f t="shared" si="15"/>
        <v>0</v>
      </c>
      <c r="Q24" s="6">
        <f t="shared" si="15"/>
        <v>0</v>
      </c>
      <c r="R24" s="6">
        <f t="shared" si="15"/>
        <v>0</v>
      </c>
      <c r="S24" s="6">
        <f t="shared" si="15"/>
        <v>0</v>
      </c>
      <c r="T24" s="6">
        <f t="shared" si="15"/>
        <v>0</v>
      </c>
      <c r="U24" s="6">
        <f t="shared" si="15"/>
        <v>0</v>
      </c>
      <c r="V24" s="6">
        <f t="shared" si="15"/>
        <v>0</v>
      </c>
      <c r="W24" s="6">
        <f t="shared" si="15"/>
        <v>0</v>
      </c>
      <c r="X24" s="6">
        <f t="shared" si="15"/>
        <v>0</v>
      </c>
      <c r="Y24" s="6">
        <f t="shared" si="15"/>
        <v>0</v>
      </c>
      <c r="Z24" s="6">
        <f t="shared" si="15"/>
        <v>0</v>
      </c>
      <c r="AA24" s="6">
        <f t="shared" si="15"/>
        <v>0</v>
      </c>
      <c r="AB24" s="6">
        <f t="shared" si="15"/>
        <v>0</v>
      </c>
      <c r="AC24" s="6">
        <f t="shared" si="15"/>
        <v>0</v>
      </c>
      <c r="AD24" s="6">
        <f t="shared" si="15"/>
        <v>0</v>
      </c>
      <c r="AE24" s="6">
        <f t="shared" si="15"/>
        <v>0</v>
      </c>
      <c r="AF24" s="6">
        <f t="shared" si="15"/>
        <v>0</v>
      </c>
      <c r="AG24" s="6">
        <f t="shared" si="15"/>
        <v>0</v>
      </c>
      <c r="AH24" s="6">
        <f t="shared" si="15"/>
        <v>0</v>
      </c>
      <c r="AI24" s="6">
        <f t="shared" si="15"/>
        <v>0</v>
      </c>
      <c r="AJ24" s="6">
        <f t="shared" si="15"/>
        <v>0</v>
      </c>
      <c r="AK24" s="6"/>
      <c r="AM24" s="43">
        <v>0</v>
      </c>
      <c r="AN24" s="74" t="e">
        <f t="shared" si="4"/>
        <v>#DIV/0!</v>
      </c>
      <c r="AP24" s="5">
        <f t="shared" si="5"/>
        <v>0</v>
      </c>
      <c r="AQ24" s="70">
        <f t="shared" si="6"/>
        <v>0</v>
      </c>
    </row>
    <row r="25" spans="2:43" ht="15" x14ac:dyDescent="0.2">
      <c r="B25" s="1"/>
      <c r="C25" s="3" t="s">
        <v>17</v>
      </c>
      <c r="D25" s="5">
        <f>SUM(D16:D24)</f>
        <v>1363.5</v>
      </c>
      <c r="E25" s="5">
        <f>SUM(E16:E24)</f>
        <v>43.983870967741929</v>
      </c>
      <c r="F25" s="15">
        <f>SUM(F16:F24)</f>
        <v>0.99999999999999989</v>
      </c>
      <c r="G25" s="5">
        <f t="shared" ref="G25:AK25" si="16">SUM(G16:G24)</f>
        <v>43.983870967741929</v>
      </c>
      <c r="H25" s="5">
        <f t="shared" si="16"/>
        <v>43.983870967741929</v>
      </c>
      <c r="I25" s="5">
        <f t="shared" si="16"/>
        <v>43.983870967741929</v>
      </c>
      <c r="J25" s="5">
        <f t="shared" si="16"/>
        <v>43.983870967741929</v>
      </c>
      <c r="K25" s="5">
        <f t="shared" si="16"/>
        <v>43.983870967741929</v>
      </c>
      <c r="L25" s="5">
        <f t="shared" si="16"/>
        <v>43.983870967741929</v>
      </c>
      <c r="M25" s="5">
        <f t="shared" si="16"/>
        <v>43.983870967741929</v>
      </c>
      <c r="N25" s="5">
        <f t="shared" si="16"/>
        <v>43.983870967741929</v>
      </c>
      <c r="O25" s="5">
        <f t="shared" si="16"/>
        <v>43.983870967741929</v>
      </c>
      <c r="P25" s="5">
        <f t="shared" si="16"/>
        <v>43.983870967741929</v>
      </c>
      <c r="Q25" s="5">
        <f t="shared" si="16"/>
        <v>43.983870967741929</v>
      </c>
      <c r="R25" s="5">
        <f t="shared" si="16"/>
        <v>43.983870967741929</v>
      </c>
      <c r="S25" s="5">
        <f t="shared" si="16"/>
        <v>43.983870967741929</v>
      </c>
      <c r="T25" s="5">
        <f t="shared" si="16"/>
        <v>43.983870967741929</v>
      </c>
      <c r="U25" s="5">
        <f t="shared" si="16"/>
        <v>43.983870967741929</v>
      </c>
      <c r="V25" s="5">
        <f t="shared" si="16"/>
        <v>43.983870967741929</v>
      </c>
      <c r="W25" s="5">
        <f t="shared" si="16"/>
        <v>43.983870967741929</v>
      </c>
      <c r="X25" s="5">
        <f t="shared" si="16"/>
        <v>43.983870967741929</v>
      </c>
      <c r="Y25" s="5">
        <f t="shared" si="16"/>
        <v>43.983870967741929</v>
      </c>
      <c r="Z25" s="5">
        <f t="shared" si="16"/>
        <v>43.983870967741929</v>
      </c>
      <c r="AA25" s="5">
        <f t="shared" si="16"/>
        <v>43.983870967741929</v>
      </c>
      <c r="AB25" s="5">
        <f t="shared" si="16"/>
        <v>43.983870967741929</v>
      </c>
      <c r="AC25" s="5">
        <f t="shared" si="16"/>
        <v>43.983870967741929</v>
      </c>
      <c r="AD25" s="5">
        <f t="shared" si="16"/>
        <v>43.983870967741929</v>
      </c>
      <c r="AE25" s="5">
        <f t="shared" si="16"/>
        <v>43.983870967741929</v>
      </c>
      <c r="AF25" s="5">
        <f t="shared" si="16"/>
        <v>43.983870967741929</v>
      </c>
      <c r="AG25" s="5">
        <f t="shared" si="16"/>
        <v>43.983870967741929</v>
      </c>
      <c r="AH25" s="5">
        <f t="shared" si="16"/>
        <v>43.983870967741929</v>
      </c>
      <c r="AI25" s="5">
        <f t="shared" si="16"/>
        <v>43.983870967741929</v>
      </c>
      <c r="AJ25" s="5">
        <f t="shared" ref="AJ25" si="17">SUM(AJ16:AJ24)</f>
        <v>43.983870967741929</v>
      </c>
      <c r="AK25" s="5">
        <f t="shared" si="16"/>
        <v>0</v>
      </c>
      <c r="AL25" s="4"/>
      <c r="AM25" s="43">
        <f>SUM(AM16:AM24)</f>
        <v>0</v>
      </c>
      <c r="AN25" s="74">
        <f t="shared" si="4"/>
        <v>0</v>
      </c>
      <c r="AO25" s="4"/>
      <c r="AP25" s="5">
        <f>SUM(AP16:AP24)</f>
        <v>1319.516129032258</v>
      </c>
      <c r="AQ25" s="70">
        <f>SUM(AQ16:AQ24)</f>
        <v>0.99999999999999989</v>
      </c>
    </row>
    <row r="26" spans="2:43" s="13" customFormat="1" ht="15" x14ac:dyDescent="0.2">
      <c r="B26" s="17"/>
      <c r="C26" s="18"/>
      <c r="D26" s="19"/>
      <c r="E26" s="19"/>
      <c r="F26" s="20"/>
      <c r="G26" s="19"/>
      <c r="H26" s="19"/>
      <c r="I26" s="19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6"/>
      <c r="AM26" s="16"/>
      <c r="AN26" s="16"/>
      <c r="AO26" s="16"/>
      <c r="AP26" s="19"/>
      <c r="AQ26" s="20"/>
    </row>
    <row r="27" spans="2:43" s="13" customFormat="1" ht="15" x14ac:dyDescent="0.2">
      <c r="B27" s="1"/>
      <c r="C27" s="3" t="s">
        <v>27</v>
      </c>
      <c r="D27" s="31"/>
      <c r="E27" s="31"/>
      <c r="F27" s="32"/>
      <c r="G27" s="176">
        <f t="shared" ref="G27:AK27" si="18">G10-G25</f>
        <v>0.97177060931900172</v>
      </c>
      <c r="H27" s="184">
        <f t="shared" si="18"/>
        <v>24.72751135005975</v>
      </c>
      <c r="I27" s="5">
        <f t="shared" si="18"/>
        <v>19.193548387096783</v>
      </c>
      <c r="J27" s="5">
        <f t="shared" si="18"/>
        <v>19.193548387096783</v>
      </c>
      <c r="K27" s="5">
        <f t="shared" si="18"/>
        <v>19.193548387096783</v>
      </c>
      <c r="L27" s="5">
        <f t="shared" si="18"/>
        <v>19.193548387096783</v>
      </c>
      <c r="M27" s="5">
        <f t="shared" si="18"/>
        <v>10.211770609318997</v>
      </c>
      <c r="N27" s="5">
        <f t="shared" si="18"/>
        <v>19.193548387096783</v>
      </c>
      <c r="O27" s="5">
        <f t="shared" si="18"/>
        <v>17.351770609319004</v>
      </c>
      <c r="P27" s="5">
        <f t="shared" si="18"/>
        <v>15.386770609319001</v>
      </c>
      <c r="Q27" s="5">
        <f t="shared" si="18"/>
        <v>13.286770609318999</v>
      </c>
      <c r="R27" s="5">
        <f t="shared" si="18"/>
        <v>19.193548387096783</v>
      </c>
      <c r="S27" s="5">
        <f t="shared" si="18"/>
        <v>14.636770609319001</v>
      </c>
      <c r="T27" s="5">
        <f t="shared" si="18"/>
        <v>14.816770609319001</v>
      </c>
      <c r="U27" s="5">
        <f t="shared" si="18"/>
        <v>18.311770609318998</v>
      </c>
      <c r="V27" s="5">
        <f t="shared" si="18"/>
        <v>19.193548387096783</v>
      </c>
      <c r="W27" s="5">
        <f>W10-W25</f>
        <v>-1.323229390681</v>
      </c>
      <c r="X27" s="5">
        <f t="shared" si="18"/>
        <v>16.721770609319002</v>
      </c>
      <c r="Y27" s="5">
        <f t="shared" si="18"/>
        <v>19.193548387096783</v>
      </c>
      <c r="Z27" s="5">
        <f t="shared" si="18"/>
        <v>3.6717706093190046</v>
      </c>
      <c r="AA27" s="5">
        <f t="shared" si="18"/>
        <v>16.241770609318998</v>
      </c>
      <c r="AB27" s="5">
        <f t="shared" si="18"/>
        <v>13.811770609318998</v>
      </c>
      <c r="AC27" s="5">
        <f t="shared" si="18"/>
        <v>19.193548387096783</v>
      </c>
      <c r="AD27" s="5">
        <f t="shared" si="18"/>
        <v>19.193548387096783</v>
      </c>
      <c r="AE27" s="5">
        <f t="shared" si="18"/>
        <v>19.193548387096783</v>
      </c>
      <c r="AF27" s="5">
        <f t="shared" si="18"/>
        <v>22.439289127837519</v>
      </c>
      <c r="AG27" s="5">
        <f t="shared" si="18"/>
        <v>6.176770609319</v>
      </c>
      <c r="AH27" s="5">
        <f t="shared" si="18"/>
        <v>4.2417706093189977</v>
      </c>
      <c r="AI27" s="5">
        <f t="shared" si="18"/>
        <v>5.3367706093189966</v>
      </c>
      <c r="AJ27" s="5">
        <f t="shared" ref="AJ27" si="19">AJ10-AJ25</f>
        <v>8.8167706093190006</v>
      </c>
      <c r="AK27" s="5">
        <f t="shared" si="18"/>
        <v>-3.6267777777777823</v>
      </c>
      <c r="AL27" s="4"/>
      <c r="AM27" s="3"/>
      <c r="AN27" s="3"/>
      <c r="AO27" s="4"/>
      <c r="AP27" s="5"/>
      <c r="AQ27" s="12"/>
    </row>
    <row r="28" spans="2:43" s="13" customFormat="1" ht="15" x14ac:dyDescent="0.2">
      <c r="C28" s="16"/>
      <c r="D28" s="14"/>
      <c r="E28" s="14"/>
      <c r="F28" s="28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4"/>
      <c r="AM28" s="4"/>
      <c r="AN28" s="4"/>
      <c r="AO28" s="4"/>
      <c r="AP28" s="14"/>
      <c r="AQ28" s="28"/>
    </row>
    <row r="29" spans="2:43" s="13" customFormat="1" ht="15" x14ac:dyDescent="0.2">
      <c r="B29" s="22"/>
      <c r="C29" s="23" t="s">
        <v>20</v>
      </c>
      <c r="D29" s="24"/>
      <c r="E29" s="24"/>
      <c r="F29" s="25"/>
      <c r="G29" s="24"/>
      <c r="H29" s="24"/>
      <c r="I29" s="24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16"/>
      <c r="AM29" s="16"/>
      <c r="AN29" s="16"/>
      <c r="AO29" s="16"/>
      <c r="AP29" s="24"/>
      <c r="AQ29" s="25"/>
    </row>
    <row r="30" spans="2:43" ht="15" x14ac:dyDescent="0.2">
      <c r="B30" s="1">
        <v>10</v>
      </c>
      <c r="C30" s="1" t="s">
        <v>8</v>
      </c>
      <c r="D30" s="6">
        <v>500</v>
      </c>
      <c r="E30" s="6">
        <f>D30/31</f>
        <v>16.129032258064516</v>
      </c>
      <c r="F30" s="10">
        <f t="shared" ref="F30:F35" si="20">D30/$D$36</f>
        <v>0.84033613445378152</v>
      </c>
      <c r="G30" s="6">
        <f t="shared" ref="G30:AK30" si="21">G27*$F$30</f>
        <v>0.81661395741092579</v>
      </c>
      <c r="H30" s="6">
        <f t="shared" si="21"/>
        <v>20.779421302571219</v>
      </c>
      <c r="I30" s="6">
        <f t="shared" si="21"/>
        <v>16.129032258064523</v>
      </c>
      <c r="J30" s="6">
        <f t="shared" si="21"/>
        <v>16.129032258064523</v>
      </c>
      <c r="K30" s="6">
        <f t="shared" si="21"/>
        <v>16.129032258064523</v>
      </c>
      <c r="L30" s="6">
        <f t="shared" si="21"/>
        <v>16.129032258064523</v>
      </c>
      <c r="M30" s="6">
        <f t="shared" si="21"/>
        <v>8.5813198397638626</v>
      </c>
      <c r="N30" s="6">
        <f t="shared" si="21"/>
        <v>16.129032258064523</v>
      </c>
      <c r="O30" s="6">
        <f t="shared" si="21"/>
        <v>14.58131983976387</v>
      </c>
      <c r="P30" s="6">
        <f t="shared" si="21"/>
        <v>12.930059335562186</v>
      </c>
      <c r="Q30" s="6">
        <f t="shared" si="21"/>
        <v>11.165353453209244</v>
      </c>
      <c r="R30" s="6">
        <f t="shared" si="21"/>
        <v>16.129032258064523</v>
      </c>
      <c r="S30" s="6">
        <f t="shared" si="21"/>
        <v>12.29980723472185</v>
      </c>
      <c r="T30" s="6">
        <f t="shared" si="21"/>
        <v>12.45106773892353</v>
      </c>
      <c r="U30" s="6">
        <f t="shared" si="21"/>
        <v>15.388042528839494</v>
      </c>
      <c r="V30" s="6">
        <f t="shared" si="21"/>
        <v>16.129032258064523</v>
      </c>
      <c r="W30" s="6">
        <f t="shared" si="21"/>
        <v>-1.1119574711605043</v>
      </c>
      <c r="X30" s="6">
        <f t="shared" si="21"/>
        <v>14.051908075057986</v>
      </c>
      <c r="Y30" s="6">
        <f t="shared" si="21"/>
        <v>16.129032258064523</v>
      </c>
      <c r="Z30" s="6">
        <f t="shared" si="21"/>
        <v>3.0855215204361381</v>
      </c>
      <c r="AA30" s="6">
        <f t="shared" si="21"/>
        <v>13.648546730520167</v>
      </c>
      <c r="AB30" s="6">
        <f t="shared" si="21"/>
        <v>11.606529923797478</v>
      </c>
      <c r="AC30" s="6">
        <f t="shared" si="21"/>
        <v>16.129032258064523</v>
      </c>
      <c r="AD30" s="6">
        <f t="shared" si="21"/>
        <v>16.129032258064523</v>
      </c>
      <c r="AE30" s="6">
        <f t="shared" si="21"/>
        <v>16.129032258064523</v>
      </c>
      <c r="AF30" s="6">
        <f t="shared" si="21"/>
        <v>18.856545485577747</v>
      </c>
      <c r="AG30" s="6">
        <f t="shared" si="21"/>
        <v>5.1905635372428574</v>
      </c>
      <c r="AH30" s="6">
        <f t="shared" si="21"/>
        <v>3.5645131170747879</v>
      </c>
      <c r="AI30" s="6">
        <f t="shared" si="21"/>
        <v>4.4846811843016781</v>
      </c>
      <c r="AJ30" s="6">
        <f t="shared" ref="AJ30" si="22">AJ27*$F$30</f>
        <v>7.4090509322008407</v>
      </c>
      <c r="AK30" s="6">
        <f t="shared" si="21"/>
        <v>-3.0477124183006574</v>
      </c>
      <c r="AM30" s="43">
        <v>0</v>
      </c>
      <c r="AN30" s="74">
        <f t="shared" ref="AN30:AN36" si="23">AM30/D30</f>
        <v>0</v>
      </c>
      <c r="AP30" s="5">
        <f t="shared" ref="AP30:AP35" si="24">SUM(G30:AK30)</f>
        <v>364.15055068622439</v>
      </c>
      <c r="AQ30" s="70">
        <f t="shared" ref="AQ30:AQ35" si="25">AP30/$AP$36</f>
        <v>0.84033613445378152</v>
      </c>
    </row>
    <row r="31" spans="2:43" ht="15" x14ac:dyDescent="0.2">
      <c r="B31" s="1">
        <v>11</v>
      </c>
      <c r="C31" s="1" t="s">
        <v>30</v>
      </c>
      <c r="D31" s="6">
        <v>50</v>
      </c>
      <c r="E31" s="6">
        <f t="shared" ref="E31:E35" si="26">D31/31</f>
        <v>1.6129032258064515</v>
      </c>
      <c r="F31" s="10">
        <f t="shared" si="20"/>
        <v>8.4033613445378158E-2</v>
      </c>
      <c r="G31" s="6">
        <f t="shared" ref="G31:AK31" si="27">G27*$F$31</f>
        <v>8.1661395741092588E-2</v>
      </c>
      <c r="H31" s="6">
        <f t="shared" si="27"/>
        <v>2.0779421302571222</v>
      </c>
      <c r="I31" s="6">
        <f t="shared" si="27"/>
        <v>1.6129032258064524</v>
      </c>
      <c r="J31" s="6">
        <f t="shared" si="27"/>
        <v>1.6129032258064524</v>
      </c>
      <c r="K31" s="6">
        <f t="shared" si="27"/>
        <v>1.6129032258064524</v>
      </c>
      <c r="L31" s="6">
        <f t="shared" si="27"/>
        <v>1.6129032258064524</v>
      </c>
      <c r="M31" s="6">
        <f t="shared" si="27"/>
        <v>0.85813198397638635</v>
      </c>
      <c r="N31" s="6">
        <f t="shared" si="27"/>
        <v>1.6129032258064524</v>
      </c>
      <c r="O31" s="6">
        <f t="shared" si="27"/>
        <v>1.4581319839763871</v>
      </c>
      <c r="P31" s="6">
        <f t="shared" si="27"/>
        <v>1.2930059335562187</v>
      </c>
      <c r="Q31" s="6">
        <f t="shared" si="27"/>
        <v>1.1165353453209244</v>
      </c>
      <c r="R31" s="6">
        <f t="shared" si="27"/>
        <v>1.6129032258064524</v>
      </c>
      <c r="S31" s="6">
        <f t="shared" si="27"/>
        <v>1.2299807234721851</v>
      </c>
      <c r="T31" s="6">
        <f t="shared" si="27"/>
        <v>1.2451067738923531</v>
      </c>
      <c r="U31" s="6">
        <f t="shared" si="27"/>
        <v>1.5388042528839496</v>
      </c>
      <c r="V31" s="6">
        <f t="shared" si="27"/>
        <v>1.6129032258064524</v>
      </c>
      <c r="W31" s="6">
        <f t="shared" si="27"/>
        <v>-0.11119574711605043</v>
      </c>
      <c r="X31" s="6">
        <f t="shared" si="27"/>
        <v>1.4051908075057986</v>
      </c>
      <c r="Y31" s="6">
        <f t="shared" si="27"/>
        <v>1.6129032258064524</v>
      </c>
      <c r="Z31" s="6">
        <f t="shared" si="27"/>
        <v>0.30855215204361386</v>
      </c>
      <c r="AA31" s="6">
        <f t="shared" si="27"/>
        <v>1.3648546730520168</v>
      </c>
      <c r="AB31" s="6">
        <f t="shared" si="27"/>
        <v>1.1606529923797477</v>
      </c>
      <c r="AC31" s="6">
        <f t="shared" si="27"/>
        <v>1.6129032258064524</v>
      </c>
      <c r="AD31" s="6">
        <f t="shared" si="27"/>
        <v>1.6129032258064524</v>
      </c>
      <c r="AE31" s="6">
        <f t="shared" si="27"/>
        <v>1.6129032258064524</v>
      </c>
      <c r="AF31" s="6">
        <f t="shared" si="27"/>
        <v>1.8856545485577749</v>
      </c>
      <c r="AG31" s="6">
        <f t="shared" si="27"/>
        <v>0.51905635372428571</v>
      </c>
      <c r="AH31" s="6">
        <f t="shared" si="27"/>
        <v>0.35645131170747885</v>
      </c>
      <c r="AI31" s="6">
        <f t="shared" si="27"/>
        <v>0.44846811843016782</v>
      </c>
      <c r="AJ31" s="6">
        <f t="shared" ref="AJ31" si="28">AJ27*$F$31</f>
        <v>0.74090509322008413</v>
      </c>
      <c r="AK31" s="6">
        <f t="shared" si="27"/>
        <v>-0.30477124183006576</v>
      </c>
      <c r="AM31" s="43">
        <v>0</v>
      </c>
      <c r="AN31" s="74">
        <f t="shared" si="23"/>
        <v>0</v>
      </c>
      <c r="AP31" s="5">
        <f t="shared" si="24"/>
        <v>36.415055068622451</v>
      </c>
      <c r="AQ31" s="70">
        <f t="shared" si="25"/>
        <v>8.4033613445378172E-2</v>
      </c>
    </row>
    <row r="32" spans="2:43" ht="15" x14ac:dyDescent="0.2">
      <c r="B32" s="1">
        <v>12</v>
      </c>
      <c r="C32" s="1" t="s">
        <v>9</v>
      </c>
      <c r="D32" s="6">
        <v>30</v>
      </c>
      <c r="E32" s="6">
        <f t="shared" si="26"/>
        <v>0.967741935483871</v>
      </c>
      <c r="F32" s="10">
        <f t="shared" si="20"/>
        <v>5.0420168067226892E-2</v>
      </c>
      <c r="G32" s="6">
        <f t="shared" ref="G32:AK32" si="29">G27*$F$32</f>
        <v>4.899683744465555E-2</v>
      </c>
      <c r="H32" s="6">
        <f t="shared" si="29"/>
        <v>1.2467652781542731</v>
      </c>
      <c r="I32" s="6">
        <f t="shared" si="29"/>
        <v>0.96774193548387144</v>
      </c>
      <c r="J32" s="6">
        <f t="shared" si="29"/>
        <v>0.96774193548387144</v>
      </c>
      <c r="K32" s="6">
        <f t="shared" si="29"/>
        <v>0.96774193548387144</v>
      </c>
      <c r="L32" s="6">
        <f t="shared" si="29"/>
        <v>0.96774193548387144</v>
      </c>
      <c r="M32" s="6">
        <f t="shared" si="29"/>
        <v>0.51487919038583174</v>
      </c>
      <c r="N32" s="6">
        <f t="shared" si="29"/>
        <v>0.96774193548387144</v>
      </c>
      <c r="O32" s="6">
        <f t="shared" si="29"/>
        <v>0.87487919038583217</v>
      </c>
      <c r="P32" s="6">
        <f t="shared" si="29"/>
        <v>0.7758035601337312</v>
      </c>
      <c r="Q32" s="6">
        <f t="shared" si="29"/>
        <v>0.66992120719255466</v>
      </c>
      <c r="R32" s="6">
        <f t="shared" si="29"/>
        <v>0.96774193548387144</v>
      </c>
      <c r="S32" s="6">
        <f t="shared" si="29"/>
        <v>0.73798843408331094</v>
      </c>
      <c r="T32" s="6">
        <f t="shared" si="29"/>
        <v>0.74706406433541184</v>
      </c>
      <c r="U32" s="6">
        <f t="shared" si="29"/>
        <v>0.92328255173036966</v>
      </c>
      <c r="V32" s="6">
        <f t="shared" si="29"/>
        <v>0.96774193548387144</v>
      </c>
      <c r="W32" s="6">
        <f t="shared" si="29"/>
        <v>-6.6717448269630247E-2</v>
      </c>
      <c r="X32" s="6">
        <f t="shared" si="29"/>
        <v>0.84311448450347914</v>
      </c>
      <c r="Y32" s="6">
        <f t="shared" si="29"/>
        <v>0.96774193548387144</v>
      </c>
      <c r="Z32" s="6">
        <f t="shared" si="29"/>
        <v>0.18513129122616831</v>
      </c>
      <c r="AA32" s="6">
        <f t="shared" si="29"/>
        <v>0.81891280383121001</v>
      </c>
      <c r="AB32" s="6">
        <f t="shared" si="29"/>
        <v>0.69639179542784868</v>
      </c>
      <c r="AC32" s="6">
        <f t="shared" si="29"/>
        <v>0.96774193548387144</v>
      </c>
      <c r="AD32" s="6">
        <f t="shared" si="29"/>
        <v>0.96774193548387144</v>
      </c>
      <c r="AE32" s="6">
        <f t="shared" si="29"/>
        <v>0.96774193548387144</v>
      </c>
      <c r="AF32" s="6">
        <f t="shared" si="29"/>
        <v>1.1313927291346648</v>
      </c>
      <c r="AG32" s="6">
        <f t="shared" si="29"/>
        <v>0.31143381223457145</v>
      </c>
      <c r="AH32" s="6">
        <f t="shared" si="29"/>
        <v>0.21387078702448728</v>
      </c>
      <c r="AI32" s="6">
        <f t="shared" si="29"/>
        <v>0.26908087105810069</v>
      </c>
      <c r="AJ32" s="6">
        <f t="shared" ref="AJ32" si="30">AJ27*$F$32</f>
        <v>0.44454305593205046</v>
      </c>
      <c r="AK32" s="6">
        <f t="shared" si="29"/>
        <v>-0.18286274509803946</v>
      </c>
      <c r="AM32" s="43">
        <v>0</v>
      </c>
      <c r="AN32" s="74">
        <f t="shared" si="23"/>
        <v>0</v>
      </c>
      <c r="AP32" s="5">
        <f t="shared" si="24"/>
        <v>21.849033041173477</v>
      </c>
      <c r="AQ32" s="70">
        <f t="shared" si="25"/>
        <v>5.042016806722692E-2</v>
      </c>
    </row>
    <row r="33" spans="2:43" ht="15" x14ac:dyDescent="0.2">
      <c r="B33" s="1">
        <v>13</v>
      </c>
      <c r="C33" s="1" t="s">
        <v>10</v>
      </c>
      <c r="D33" s="6">
        <v>15</v>
      </c>
      <c r="E33" s="6">
        <f t="shared" si="26"/>
        <v>0.4838709677419355</v>
      </c>
      <c r="F33" s="10">
        <f t="shared" si="20"/>
        <v>2.5210084033613446E-2</v>
      </c>
      <c r="G33" s="6">
        <f t="shared" ref="G33:AK33" si="31">G27*$F$33</f>
        <v>2.4498418722327775E-2</v>
      </c>
      <c r="H33" s="6">
        <f t="shared" si="31"/>
        <v>0.62338263907713654</v>
      </c>
      <c r="I33" s="6">
        <f t="shared" si="31"/>
        <v>0.48387096774193572</v>
      </c>
      <c r="J33" s="6">
        <f t="shared" si="31"/>
        <v>0.48387096774193572</v>
      </c>
      <c r="K33" s="6">
        <f t="shared" si="31"/>
        <v>0.48387096774193572</v>
      </c>
      <c r="L33" s="6">
        <f t="shared" si="31"/>
        <v>0.48387096774193572</v>
      </c>
      <c r="M33" s="6">
        <f t="shared" si="31"/>
        <v>0.25743959519291587</v>
      </c>
      <c r="N33" s="6">
        <f t="shared" si="31"/>
        <v>0.48387096774193572</v>
      </c>
      <c r="O33" s="6">
        <f t="shared" si="31"/>
        <v>0.43743959519291609</v>
      </c>
      <c r="P33" s="6">
        <f t="shared" si="31"/>
        <v>0.3879017800668656</v>
      </c>
      <c r="Q33" s="6">
        <f t="shared" si="31"/>
        <v>0.33496060359627733</v>
      </c>
      <c r="R33" s="6">
        <f t="shared" si="31"/>
        <v>0.48387096774193572</v>
      </c>
      <c r="S33" s="6">
        <f t="shared" si="31"/>
        <v>0.36899421704165547</v>
      </c>
      <c r="T33" s="6">
        <f t="shared" si="31"/>
        <v>0.37353203216770592</v>
      </c>
      <c r="U33" s="6">
        <f t="shared" si="31"/>
        <v>0.46164127586518483</v>
      </c>
      <c r="V33" s="6">
        <f t="shared" si="31"/>
        <v>0.48387096774193572</v>
      </c>
      <c r="W33" s="6">
        <f t="shared" si="31"/>
        <v>-3.3358724134815124E-2</v>
      </c>
      <c r="X33" s="6">
        <f t="shared" si="31"/>
        <v>0.42155724225173957</v>
      </c>
      <c r="Y33" s="6">
        <f t="shared" si="31"/>
        <v>0.48387096774193572</v>
      </c>
      <c r="Z33" s="6">
        <f t="shared" si="31"/>
        <v>9.2565645613084155E-2</v>
      </c>
      <c r="AA33" s="6">
        <f t="shared" si="31"/>
        <v>0.40945640191560501</v>
      </c>
      <c r="AB33" s="6">
        <f t="shared" si="31"/>
        <v>0.34819589771392434</v>
      </c>
      <c r="AC33" s="6">
        <f t="shared" si="31"/>
        <v>0.48387096774193572</v>
      </c>
      <c r="AD33" s="6">
        <f t="shared" si="31"/>
        <v>0.48387096774193572</v>
      </c>
      <c r="AE33" s="6">
        <f t="shared" si="31"/>
        <v>0.48387096774193572</v>
      </c>
      <c r="AF33" s="6">
        <f t="shared" si="31"/>
        <v>0.56569636456733241</v>
      </c>
      <c r="AG33" s="6">
        <f t="shared" si="31"/>
        <v>0.15571690611728572</v>
      </c>
      <c r="AH33" s="6">
        <f t="shared" si="31"/>
        <v>0.10693539351224364</v>
      </c>
      <c r="AI33" s="6">
        <f t="shared" si="31"/>
        <v>0.13454043552905035</v>
      </c>
      <c r="AJ33" s="6">
        <f t="shared" ref="AJ33" si="32">AJ27*$F$33</f>
        <v>0.22227152796602523</v>
      </c>
      <c r="AK33" s="6">
        <f t="shared" si="31"/>
        <v>-9.1431372549019729E-2</v>
      </c>
      <c r="AM33" s="43">
        <v>0</v>
      </c>
      <c r="AN33" s="74">
        <f t="shared" si="23"/>
        <v>0</v>
      </c>
      <c r="AP33" s="5">
        <f t="shared" si="24"/>
        <v>10.924516520586739</v>
      </c>
      <c r="AQ33" s="70">
        <f t="shared" si="25"/>
        <v>2.521008403361346E-2</v>
      </c>
    </row>
    <row r="34" spans="2:43" ht="15" x14ac:dyDescent="0.2">
      <c r="B34" s="1">
        <v>14</v>
      </c>
      <c r="C34" s="1"/>
      <c r="D34" s="6">
        <v>0</v>
      </c>
      <c r="E34" s="6">
        <f t="shared" si="26"/>
        <v>0</v>
      </c>
      <c r="F34" s="10">
        <f t="shared" si="20"/>
        <v>0</v>
      </c>
      <c r="G34" s="6">
        <f t="shared" ref="G34:AK34" si="33">G27*$F$34</f>
        <v>0</v>
      </c>
      <c r="H34" s="6">
        <f t="shared" si="33"/>
        <v>0</v>
      </c>
      <c r="I34" s="6">
        <f t="shared" si="33"/>
        <v>0</v>
      </c>
      <c r="J34" s="6">
        <f t="shared" si="33"/>
        <v>0</v>
      </c>
      <c r="K34" s="6">
        <f t="shared" si="33"/>
        <v>0</v>
      </c>
      <c r="L34" s="6">
        <f t="shared" si="33"/>
        <v>0</v>
      </c>
      <c r="M34" s="6">
        <f t="shared" si="33"/>
        <v>0</v>
      </c>
      <c r="N34" s="6">
        <f t="shared" si="33"/>
        <v>0</v>
      </c>
      <c r="O34" s="6">
        <f t="shared" si="33"/>
        <v>0</v>
      </c>
      <c r="P34" s="6">
        <f t="shared" si="33"/>
        <v>0</v>
      </c>
      <c r="Q34" s="6">
        <f t="shared" si="33"/>
        <v>0</v>
      </c>
      <c r="R34" s="6">
        <f t="shared" si="33"/>
        <v>0</v>
      </c>
      <c r="S34" s="6">
        <f t="shared" si="33"/>
        <v>0</v>
      </c>
      <c r="T34" s="6">
        <f t="shared" si="33"/>
        <v>0</v>
      </c>
      <c r="U34" s="6">
        <f t="shared" si="33"/>
        <v>0</v>
      </c>
      <c r="V34" s="6">
        <f t="shared" si="33"/>
        <v>0</v>
      </c>
      <c r="W34" s="6">
        <f t="shared" si="33"/>
        <v>0</v>
      </c>
      <c r="X34" s="6">
        <f t="shared" si="33"/>
        <v>0</v>
      </c>
      <c r="Y34" s="6">
        <f t="shared" si="33"/>
        <v>0</v>
      </c>
      <c r="Z34" s="6">
        <f t="shared" si="33"/>
        <v>0</v>
      </c>
      <c r="AA34" s="6">
        <f t="shared" si="33"/>
        <v>0</v>
      </c>
      <c r="AB34" s="6">
        <f t="shared" si="33"/>
        <v>0</v>
      </c>
      <c r="AC34" s="6">
        <f t="shared" si="33"/>
        <v>0</v>
      </c>
      <c r="AD34" s="6">
        <f t="shared" si="33"/>
        <v>0</v>
      </c>
      <c r="AE34" s="6">
        <f t="shared" si="33"/>
        <v>0</v>
      </c>
      <c r="AF34" s="6">
        <f t="shared" si="33"/>
        <v>0</v>
      </c>
      <c r="AG34" s="6">
        <f t="shared" si="33"/>
        <v>0</v>
      </c>
      <c r="AH34" s="6">
        <f t="shared" si="33"/>
        <v>0</v>
      </c>
      <c r="AI34" s="6">
        <f t="shared" si="33"/>
        <v>0</v>
      </c>
      <c r="AJ34" s="6">
        <f t="shared" ref="AJ34" si="34">AJ27*$F$34</f>
        <v>0</v>
      </c>
      <c r="AK34" s="6">
        <f t="shared" si="33"/>
        <v>0</v>
      </c>
      <c r="AM34" s="43">
        <v>0</v>
      </c>
      <c r="AN34" s="74" t="e">
        <f t="shared" si="23"/>
        <v>#DIV/0!</v>
      </c>
      <c r="AP34" s="5">
        <f t="shared" si="24"/>
        <v>0</v>
      </c>
      <c r="AQ34" s="70">
        <f t="shared" si="25"/>
        <v>0</v>
      </c>
    </row>
    <row r="35" spans="2:43" ht="15" x14ac:dyDescent="0.2">
      <c r="B35" s="1">
        <v>15</v>
      </c>
      <c r="C35" s="1"/>
      <c r="D35" s="6">
        <v>0</v>
      </c>
      <c r="E35" s="6">
        <f t="shared" si="26"/>
        <v>0</v>
      </c>
      <c r="F35" s="10">
        <f t="shared" si="20"/>
        <v>0</v>
      </c>
      <c r="G35" s="6">
        <f t="shared" ref="G35:AK35" si="35">G27*$F$35</f>
        <v>0</v>
      </c>
      <c r="H35" s="6">
        <f t="shared" si="35"/>
        <v>0</v>
      </c>
      <c r="I35" s="6">
        <f t="shared" si="35"/>
        <v>0</v>
      </c>
      <c r="J35" s="6">
        <f t="shared" si="35"/>
        <v>0</v>
      </c>
      <c r="K35" s="6">
        <f t="shared" si="35"/>
        <v>0</v>
      </c>
      <c r="L35" s="6">
        <f t="shared" si="35"/>
        <v>0</v>
      </c>
      <c r="M35" s="6">
        <f t="shared" si="35"/>
        <v>0</v>
      </c>
      <c r="N35" s="6">
        <f t="shared" si="35"/>
        <v>0</v>
      </c>
      <c r="O35" s="6">
        <f t="shared" si="35"/>
        <v>0</v>
      </c>
      <c r="P35" s="6">
        <f t="shared" si="35"/>
        <v>0</v>
      </c>
      <c r="Q35" s="6">
        <f t="shared" si="35"/>
        <v>0</v>
      </c>
      <c r="R35" s="6">
        <f t="shared" si="35"/>
        <v>0</v>
      </c>
      <c r="S35" s="6">
        <f t="shared" si="35"/>
        <v>0</v>
      </c>
      <c r="T35" s="6">
        <f t="shared" si="35"/>
        <v>0</v>
      </c>
      <c r="U35" s="6">
        <f t="shared" si="35"/>
        <v>0</v>
      </c>
      <c r="V35" s="6">
        <f t="shared" si="35"/>
        <v>0</v>
      </c>
      <c r="W35" s="6">
        <f t="shared" si="35"/>
        <v>0</v>
      </c>
      <c r="X35" s="6">
        <f t="shared" si="35"/>
        <v>0</v>
      </c>
      <c r="Y35" s="6">
        <f t="shared" si="35"/>
        <v>0</v>
      </c>
      <c r="Z35" s="6">
        <f t="shared" si="35"/>
        <v>0</v>
      </c>
      <c r="AA35" s="6">
        <f t="shared" si="35"/>
        <v>0</v>
      </c>
      <c r="AB35" s="6">
        <f t="shared" si="35"/>
        <v>0</v>
      </c>
      <c r="AC35" s="6">
        <f t="shared" si="35"/>
        <v>0</v>
      </c>
      <c r="AD35" s="6">
        <f t="shared" si="35"/>
        <v>0</v>
      </c>
      <c r="AE35" s="6">
        <f t="shared" si="35"/>
        <v>0</v>
      </c>
      <c r="AF35" s="6">
        <f t="shared" si="35"/>
        <v>0</v>
      </c>
      <c r="AG35" s="6">
        <f t="shared" si="35"/>
        <v>0</v>
      </c>
      <c r="AH35" s="6">
        <f t="shared" si="35"/>
        <v>0</v>
      </c>
      <c r="AI35" s="6">
        <f t="shared" si="35"/>
        <v>0</v>
      </c>
      <c r="AJ35" s="6">
        <f t="shared" ref="AJ35" si="36">AJ27*$F$35</f>
        <v>0</v>
      </c>
      <c r="AK35" s="6">
        <f t="shared" si="35"/>
        <v>0</v>
      </c>
      <c r="AM35" s="43">
        <v>0</v>
      </c>
      <c r="AN35" s="74" t="e">
        <f t="shared" si="23"/>
        <v>#DIV/0!</v>
      </c>
      <c r="AP35" s="5">
        <f t="shared" si="24"/>
        <v>0</v>
      </c>
      <c r="AQ35" s="70">
        <f t="shared" si="25"/>
        <v>0</v>
      </c>
    </row>
    <row r="36" spans="2:43" ht="15" x14ac:dyDescent="0.2">
      <c r="B36" s="1"/>
      <c r="C36" s="3" t="s">
        <v>18</v>
      </c>
      <c r="D36" s="26">
        <f>SUM(D30:D35)</f>
        <v>595</v>
      </c>
      <c r="E36" s="39">
        <f>SUM(E30:E35)</f>
        <v>19.193548387096776</v>
      </c>
      <c r="F36" s="15">
        <f>SUM(F30:F35)</f>
        <v>1</v>
      </c>
      <c r="G36" s="5">
        <f t="shared" ref="G36:AM36" si="37">SUM(G30:G35)</f>
        <v>0.97177060931900172</v>
      </c>
      <c r="H36" s="5">
        <f t="shared" si="37"/>
        <v>24.72751135005975</v>
      </c>
      <c r="I36" s="5">
        <f t="shared" si="37"/>
        <v>19.193548387096783</v>
      </c>
      <c r="J36" s="5">
        <f t="shared" si="37"/>
        <v>19.193548387096783</v>
      </c>
      <c r="K36" s="5">
        <f t="shared" si="37"/>
        <v>19.193548387096783</v>
      </c>
      <c r="L36" s="5">
        <f t="shared" si="37"/>
        <v>19.193548387096783</v>
      </c>
      <c r="M36" s="5">
        <f t="shared" si="37"/>
        <v>10.211770609318997</v>
      </c>
      <c r="N36" s="5">
        <f t="shared" si="37"/>
        <v>19.193548387096783</v>
      </c>
      <c r="O36" s="5">
        <f t="shared" si="37"/>
        <v>17.351770609319008</v>
      </c>
      <c r="P36" s="5">
        <f t="shared" si="37"/>
        <v>15.386770609319001</v>
      </c>
      <c r="Q36" s="5">
        <f t="shared" si="37"/>
        <v>13.286770609319001</v>
      </c>
      <c r="R36" s="5">
        <f t="shared" si="37"/>
        <v>19.193548387096783</v>
      </c>
      <c r="S36" s="5">
        <f t="shared" si="37"/>
        <v>14.636770609319001</v>
      </c>
      <c r="T36" s="5">
        <f t="shared" si="37"/>
        <v>14.816770609319001</v>
      </c>
      <c r="U36" s="5">
        <f t="shared" si="37"/>
        <v>18.311770609318998</v>
      </c>
      <c r="V36" s="5">
        <f t="shared" si="37"/>
        <v>19.193548387096783</v>
      </c>
      <c r="W36" s="5">
        <f t="shared" si="37"/>
        <v>-1.3232293906810002</v>
      </c>
      <c r="X36" s="5">
        <f t="shared" si="37"/>
        <v>16.721770609319005</v>
      </c>
      <c r="Y36" s="5">
        <f t="shared" si="37"/>
        <v>19.193548387096783</v>
      </c>
      <c r="Z36" s="5">
        <f t="shared" si="37"/>
        <v>3.6717706093190046</v>
      </c>
      <c r="AA36" s="5">
        <f t="shared" si="37"/>
        <v>16.241770609318998</v>
      </c>
      <c r="AB36" s="5">
        <f t="shared" si="37"/>
        <v>13.811770609318998</v>
      </c>
      <c r="AC36" s="5">
        <f t="shared" si="37"/>
        <v>19.193548387096783</v>
      </c>
      <c r="AD36" s="5">
        <f t="shared" si="37"/>
        <v>19.193548387096783</v>
      </c>
      <c r="AE36" s="5">
        <f t="shared" si="37"/>
        <v>19.193548387096783</v>
      </c>
      <c r="AF36" s="5">
        <f t="shared" si="37"/>
        <v>22.439289127837519</v>
      </c>
      <c r="AG36" s="5">
        <f t="shared" si="37"/>
        <v>6.176770609319</v>
      </c>
      <c r="AH36" s="5">
        <f t="shared" si="37"/>
        <v>4.2417706093189969</v>
      </c>
      <c r="AI36" s="5">
        <f t="shared" si="37"/>
        <v>5.3367706093189975</v>
      </c>
      <c r="AJ36" s="5">
        <f t="shared" si="37"/>
        <v>8.8167706093190006</v>
      </c>
      <c r="AK36" s="5">
        <f t="shared" si="37"/>
        <v>-3.6267777777777823</v>
      </c>
      <c r="AL36" s="4"/>
      <c r="AM36" s="43">
        <f t="shared" si="37"/>
        <v>0</v>
      </c>
      <c r="AN36" s="74">
        <f t="shared" si="23"/>
        <v>0</v>
      </c>
      <c r="AO36" s="4"/>
      <c r="AP36" s="5">
        <f>SUM(AP30:AP35)</f>
        <v>433.33915531660705</v>
      </c>
      <c r="AQ36" s="70">
        <f>SUM(AQ30:AQ35)</f>
        <v>1</v>
      </c>
    </row>
    <row r="37" spans="2:43" ht="4.5" customHeight="1" x14ac:dyDescent="0.2">
      <c r="D37" s="7"/>
      <c r="E37" s="7" t="s">
        <v>26</v>
      </c>
      <c r="F37" s="11"/>
      <c r="AQ37" s="11"/>
    </row>
    <row r="38" spans="2:43" ht="15" x14ac:dyDescent="0.2">
      <c r="C38" s="3" t="s">
        <v>7</v>
      </c>
      <c r="D38" s="5">
        <f>D25+D36</f>
        <v>1958.5</v>
      </c>
      <c r="E38" s="5">
        <f>D38/31</f>
        <v>63.177419354838712</v>
      </c>
      <c r="F38" s="26">
        <f>D38/0.71</f>
        <v>2758.4507042253522</v>
      </c>
      <c r="G38" s="176">
        <f t="shared" ref="G38:AK38" si="38">G25+G36</f>
        <v>44.955641577060931</v>
      </c>
      <c r="H38" s="5">
        <f t="shared" si="38"/>
        <v>68.711382317801679</v>
      </c>
      <c r="I38" s="5">
        <f t="shared" si="38"/>
        <v>63.177419354838712</v>
      </c>
      <c r="J38" s="5">
        <f t="shared" si="38"/>
        <v>63.177419354838712</v>
      </c>
      <c r="K38" s="5">
        <f t="shared" si="38"/>
        <v>63.177419354838712</v>
      </c>
      <c r="L38" s="5">
        <f t="shared" si="38"/>
        <v>63.177419354838712</v>
      </c>
      <c r="M38" s="5">
        <f t="shared" si="38"/>
        <v>54.195641577060925</v>
      </c>
      <c r="N38" s="5">
        <f t="shared" si="38"/>
        <v>63.177419354838712</v>
      </c>
      <c r="O38" s="5">
        <f t="shared" si="38"/>
        <v>61.33564157706094</v>
      </c>
      <c r="P38" s="5">
        <f t="shared" si="38"/>
        <v>59.37064157706093</v>
      </c>
      <c r="Q38" s="5">
        <f t="shared" si="38"/>
        <v>57.270641577060928</v>
      </c>
      <c r="R38" s="5">
        <f t="shared" si="38"/>
        <v>63.177419354838712</v>
      </c>
      <c r="S38" s="5">
        <f t="shared" si="38"/>
        <v>58.62064157706093</v>
      </c>
      <c r="T38" s="5">
        <f t="shared" si="38"/>
        <v>58.800641577060929</v>
      </c>
      <c r="U38" s="5">
        <f t="shared" si="38"/>
        <v>62.295641577060927</v>
      </c>
      <c r="V38" s="5">
        <f t="shared" si="38"/>
        <v>63.177419354838712</v>
      </c>
      <c r="W38" s="5">
        <f t="shared" si="38"/>
        <v>42.660641577060929</v>
      </c>
      <c r="X38" s="5">
        <f t="shared" si="38"/>
        <v>60.705641577060931</v>
      </c>
      <c r="Y38" s="5">
        <f t="shared" si="38"/>
        <v>63.177419354838712</v>
      </c>
      <c r="Z38" s="5">
        <f t="shared" si="38"/>
        <v>47.655641577060933</v>
      </c>
      <c r="AA38" s="5">
        <f t="shared" si="38"/>
        <v>60.225641577060927</v>
      </c>
      <c r="AB38" s="5">
        <f t="shared" si="38"/>
        <v>57.795641577060927</v>
      </c>
      <c r="AC38" s="5">
        <f t="shared" si="38"/>
        <v>63.177419354838712</v>
      </c>
      <c r="AD38" s="5">
        <f t="shared" si="38"/>
        <v>63.177419354838712</v>
      </c>
      <c r="AE38" s="5">
        <f t="shared" si="38"/>
        <v>63.177419354838712</v>
      </c>
      <c r="AF38" s="5">
        <f t="shared" si="38"/>
        <v>66.423160095579448</v>
      </c>
      <c r="AG38" s="5">
        <f t="shared" si="38"/>
        <v>50.160641577060929</v>
      </c>
      <c r="AH38" s="5">
        <f t="shared" si="38"/>
        <v>48.225641577060927</v>
      </c>
      <c r="AI38" s="5">
        <f t="shared" si="38"/>
        <v>49.320641577060925</v>
      </c>
      <c r="AJ38" s="5">
        <f t="shared" si="38"/>
        <v>52.800641577060929</v>
      </c>
      <c r="AK38" s="5">
        <f t="shared" si="38"/>
        <v>-3.6267777777777823</v>
      </c>
      <c r="AM38" s="1"/>
      <c r="AN38" s="1"/>
      <c r="AP38" s="5">
        <f>AP25+AP36</f>
        <v>1752.8552843488651</v>
      </c>
      <c r="AQ38" s="12"/>
    </row>
    <row r="39" spans="2:43" ht="4.5" customHeight="1" x14ac:dyDescent="0.2"/>
    <row r="40" spans="2:43" ht="15" x14ac:dyDescent="0.2">
      <c r="C40" s="3"/>
      <c r="D40" s="5">
        <f>D38/31</f>
        <v>63.177419354838712</v>
      </c>
      <c r="E40" s="5"/>
      <c r="F40" s="9"/>
      <c r="G40" s="176">
        <f>G38-$D$40</f>
        <v>-18.221777777777781</v>
      </c>
      <c r="H40" s="5">
        <f>H38-$D$40</f>
        <v>5.533962962962967</v>
      </c>
      <c r="I40" s="5">
        <f t="shared" ref="I40:AK40" si="39">I38-$D$40</f>
        <v>0</v>
      </c>
      <c r="J40" s="5">
        <f t="shared" si="39"/>
        <v>0</v>
      </c>
      <c r="K40" s="5">
        <f t="shared" si="39"/>
        <v>0</v>
      </c>
      <c r="L40" s="5">
        <f t="shared" si="39"/>
        <v>0</v>
      </c>
      <c r="M40" s="5">
        <f t="shared" si="39"/>
        <v>-8.9817777777777863</v>
      </c>
      <c r="N40" s="5">
        <f t="shared" si="39"/>
        <v>0</v>
      </c>
      <c r="O40" s="5">
        <f t="shared" si="39"/>
        <v>-1.8417777777777715</v>
      </c>
      <c r="P40" s="5">
        <f t="shared" si="39"/>
        <v>-3.806777777777782</v>
      </c>
      <c r="Q40" s="5">
        <f t="shared" si="39"/>
        <v>-5.9067777777777835</v>
      </c>
      <c r="R40" s="5">
        <f t="shared" si="39"/>
        <v>0</v>
      </c>
      <c r="S40" s="5">
        <f t="shared" si="39"/>
        <v>-4.556777777777782</v>
      </c>
      <c r="T40" s="5">
        <f t="shared" si="39"/>
        <v>-4.3767777777777823</v>
      </c>
      <c r="U40" s="5">
        <f t="shared" si="39"/>
        <v>-0.88177777777778488</v>
      </c>
      <c r="V40" s="5">
        <f t="shared" si="39"/>
        <v>0</v>
      </c>
      <c r="W40" s="5">
        <f t="shared" si="39"/>
        <v>-20.516777777777783</v>
      </c>
      <c r="X40" s="5">
        <f t="shared" si="39"/>
        <v>-2.4717777777777812</v>
      </c>
      <c r="Y40" s="5">
        <f t="shared" si="39"/>
        <v>0</v>
      </c>
      <c r="Z40" s="5">
        <f t="shared" si="39"/>
        <v>-15.521777777777778</v>
      </c>
      <c r="AA40" s="5">
        <f t="shared" si="39"/>
        <v>-2.9517777777777852</v>
      </c>
      <c r="AB40" s="5">
        <f t="shared" si="39"/>
        <v>-5.3817777777777849</v>
      </c>
      <c r="AC40" s="5">
        <f t="shared" si="39"/>
        <v>0</v>
      </c>
      <c r="AD40" s="5">
        <f t="shared" si="39"/>
        <v>0</v>
      </c>
      <c r="AE40" s="5">
        <f t="shared" si="39"/>
        <v>0</v>
      </c>
      <c r="AF40" s="5">
        <f t="shared" si="39"/>
        <v>3.2457407407407359</v>
      </c>
      <c r="AG40" s="5">
        <f t="shared" si="39"/>
        <v>-13.016777777777783</v>
      </c>
      <c r="AH40" s="5">
        <f t="shared" si="39"/>
        <v>-14.951777777777785</v>
      </c>
      <c r="AI40" s="5">
        <f t="shared" si="39"/>
        <v>-13.856777777777786</v>
      </c>
      <c r="AJ40" s="5">
        <f t="shared" si="39"/>
        <v>-10.376777777777782</v>
      </c>
      <c r="AK40" s="5">
        <f t="shared" si="39"/>
        <v>-66.804197132616494</v>
      </c>
      <c r="AM40" s="1"/>
      <c r="AN40" s="1"/>
      <c r="AP40" s="5">
        <f>SUM(G40:AK40)</f>
        <v>-205.64471565113507</v>
      </c>
      <c r="AQ40" s="9"/>
    </row>
    <row r="42" spans="2:43" ht="15" x14ac:dyDescent="0.2">
      <c r="B42" s="1"/>
      <c r="C42" s="3" t="s">
        <v>28</v>
      </c>
      <c r="D42" s="31"/>
      <c r="E42" s="31"/>
      <c r="F42" s="32"/>
      <c r="G42" s="176">
        <f>G40</f>
        <v>-18.221777777777781</v>
      </c>
      <c r="H42" s="5">
        <f>G42+H40</f>
        <v>-12.687814814814814</v>
      </c>
      <c r="I42" s="5">
        <f t="shared" ref="I42:Q42" si="40">H42+I40</f>
        <v>-12.687814814814814</v>
      </c>
      <c r="J42" s="5">
        <f t="shared" si="40"/>
        <v>-12.687814814814814</v>
      </c>
      <c r="K42" s="5">
        <f t="shared" si="40"/>
        <v>-12.687814814814814</v>
      </c>
      <c r="L42" s="5">
        <f t="shared" si="40"/>
        <v>-12.687814814814814</v>
      </c>
      <c r="M42" s="5">
        <f t="shared" si="40"/>
        <v>-21.669592592592601</v>
      </c>
      <c r="N42" s="5">
        <f t="shared" si="40"/>
        <v>-21.669592592592601</v>
      </c>
      <c r="O42" s="5">
        <f t="shared" si="40"/>
        <v>-23.511370370370372</v>
      </c>
      <c r="P42" s="5">
        <f t="shared" si="40"/>
        <v>-27.318148148148154</v>
      </c>
      <c r="Q42" s="5">
        <f t="shared" si="40"/>
        <v>-33.224925925925938</v>
      </c>
      <c r="R42" s="5">
        <f t="shared" ref="R42:AJ42" si="41">R40+Q42</f>
        <v>-33.224925925925938</v>
      </c>
      <c r="S42" s="5">
        <f t="shared" si="41"/>
        <v>-37.78170370370372</v>
      </c>
      <c r="T42" s="5">
        <f t="shared" si="41"/>
        <v>-42.158481481481502</v>
      </c>
      <c r="U42" s="5">
        <f t="shared" si="41"/>
        <v>-43.040259259259287</v>
      </c>
      <c r="V42" s="5">
        <f t="shared" si="41"/>
        <v>-43.040259259259287</v>
      </c>
      <c r="W42" s="5">
        <f t="shared" si="41"/>
        <v>-63.55703703703707</v>
      </c>
      <c r="X42" s="5">
        <f t="shared" si="41"/>
        <v>-66.028814814814851</v>
      </c>
      <c r="Y42" s="5">
        <f t="shared" si="41"/>
        <v>-66.028814814814851</v>
      </c>
      <c r="Z42" s="5">
        <f t="shared" si="41"/>
        <v>-81.550592592592636</v>
      </c>
      <c r="AA42" s="5">
        <f t="shared" si="41"/>
        <v>-84.502370370370414</v>
      </c>
      <c r="AB42" s="5">
        <f t="shared" si="41"/>
        <v>-89.884148148148199</v>
      </c>
      <c r="AC42" s="5">
        <f t="shared" si="41"/>
        <v>-89.884148148148199</v>
      </c>
      <c r="AD42" s="5">
        <f t="shared" si="41"/>
        <v>-89.884148148148199</v>
      </c>
      <c r="AE42" s="5">
        <f t="shared" si="41"/>
        <v>-89.884148148148199</v>
      </c>
      <c r="AF42" s="5">
        <f t="shared" si="41"/>
        <v>-86.63840740740747</v>
      </c>
      <c r="AG42" s="5">
        <f t="shared" si="41"/>
        <v>-99.655185185185246</v>
      </c>
      <c r="AH42" s="5">
        <f t="shared" si="41"/>
        <v>-114.60696296296302</v>
      </c>
      <c r="AI42" s="5">
        <f t="shared" si="41"/>
        <v>-128.4637407407408</v>
      </c>
      <c r="AJ42" s="5">
        <f t="shared" si="41"/>
        <v>-138.84051851851859</v>
      </c>
      <c r="AK42" s="5">
        <f t="shared" ref="AK42" si="42">AK40+AJ42</f>
        <v>-205.64471565113507</v>
      </c>
      <c r="AL42" s="5">
        <f t="shared" ref="AL42" si="43">AL40+AK42</f>
        <v>-205.64471565113507</v>
      </c>
      <c r="AM42" s="3"/>
      <c r="AN42" s="3"/>
      <c r="AO42" s="4"/>
      <c r="AP42" s="5"/>
      <c r="AQ42" s="9"/>
    </row>
    <row r="43" spans="2:43" ht="15" customHeight="1" x14ac:dyDescent="0.2"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</row>
    <row r="44" spans="2:43" ht="15" customHeight="1" x14ac:dyDescent="0.2">
      <c r="C44" s="4" t="s">
        <v>55</v>
      </c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</row>
    <row r="45" spans="2:43" ht="15" customHeight="1" x14ac:dyDescent="0.2">
      <c r="B45" s="1">
        <v>15</v>
      </c>
      <c r="C45" s="1" t="s">
        <v>31</v>
      </c>
      <c r="D45" s="6"/>
      <c r="E45" s="6"/>
      <c r="F45" s="10">
        <v>0.15</v>
      </c>
      <c r="G45" s="6"/>
      <c r="H45" s="6"/>
      <c r="I45" s="6"/>
      <c r="J45" s="6"/>
      <c r="K45" s="6"/>
      <c r="L45" s="6"/>
      <c r="M45" s="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M45" s="1"/>
      <c r="AN45" s="1"/>
      <c r="AP45" s="5">
        <f>$D$7*F45</f>
        <v>-21.370094444444462</v>
      </c>
      <c r="AQ45" s="8"/>
    </row>
    <row r="46" spans="2:43" ht="15" customHeight="1" x14ac:dyDescent="0.2">
      <c r="B46" s="1">
        <v>16</v>
      </c>
      <c r="C46" s="1" t="s">
        <v>32</v>
      </c>
      <c r="D46" s="6"/>
      <c r="E46" s="6"/>
      <c r="F46" s="10">
        <v>0.15</v>
      </c>
      <c r="G46" s="6"/>
      <c r="H46" s="6"/>
      <c r="I46" s="6"/>
      <c r="J46" s="6"/>
      <c r="K46" s="6"/>
      <c r="L46" s="6"/>
      <c r="M46" s="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M46" s="1"/>
      <c r="AN46" s="1"/>
      <c r="AP46" s="5">
        <f>$D$7*F46</f>
        <v>-21.370094444444462</v>
      </c>
      <c r="AQ46" s="8"/>
    </row>
    <row r="47" spans="2:43" ht="15" customHeight="1" x14ac:dyDescent="0.2">
      <c r="B47" s="1">
        <v>17</v>
      </c>
      <c r="C47" s="1" t="s">
        <v>33</v>
      </c>
      <c r="D47" s="6"/>
      <c r="E47" s="6"/>
      <c r="F47" s="10">
        <v>0.15</v>
      </c>
      <c r="G47" s="6"/>
      <c r="H47" s="6"/>
      <c r="I47" s="6"/>
      <c r="J47" s="6"/>
      <c r="K47" s="6"/>
      <c r="L47" s="6"/>
      <c r="M47" s="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M47" s="1"/>
      <c r="AN47" s="1"/>
      <c r="AP47" s="5">
        <f>$D$7*F47</f>
        <v>-21.370094444444462</v>
      </c>
      <c r="AQ47" s="8"/>
    </row>
    <row r="48" spans="2:43" ht="15" customHeight="1" x14ac:dyDescent="0.2">
      <c r="B48" s="1">
        <v>18</v>
      </c>
      <c r="C48" s="1" t="s">
        <v>34</v>
      </c>
      <c r="D48" s="6"/>
      <c r="E48" s="6"/>
      <c r="F48" s="10">
        <v>0.1</v>
      </c>
      <c r="G48" s="6"/>
      <c r="H48" s="6"/>
      <c r="I48" s="6"/>
      <c r="J48" s="6"/>
      <c r="K48" s="6"/>
      <c r="L48" s="6"/>
      <c r="M48" s="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M48" s="1"/>
      <c r="AN48" s="1"/>
      <c r="AP48" s="5">
        <f>$D$7*F48</f>
        <v>-14.246729629629641</v>
      </c>
      <c r="AQ48" s="8"/>
    </row>
    <row r="49" spans="2:43" s="13" customFormat="1" ht="15" customHeight="1" x14ac:dyDescent="0.2">
      <c r="B49" s="1"/>
      <c r="C49" s="3" t="s">
        <v>57</v>
      </c>
      <c r="D49" s="26"/>
      <c r="E49" s="26"/>
      <c r="F49" s="15">
        <f>SUM(F45:F48)</f>
        <v>0.54999999999999993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4"/>
      <c r="AM49" s="3"/>
      <c r="AN49" s="3"/>
      <c r="AO49" s="4"/>
      <c r="AP49" s="5">
        <f>SUM(AP45:AP48)</f>
        <v>-78.357012962963026</v>
      </c>
      <c r="AQ49" s="9"/>
    </row>
    <row r="50" spans="2:43" s="13" customFormat="1" ht="15" customHeight="1" x14ac:dyDescent="0.2">
      <c r="D50" s="36"/>
      <c r="E50" s="36"/>
      <c r="F50" s="67"/>
      <c r="G50" s="36"/>
      <c r="H50" s="36"/>
      <c r="I50" s="36"/>
      <c r="J50" s="36"/>
      <c r="K50" s="36"/>
      <c r="L50" s="36"/>
      <c r="M50" s="36"/>
      <c r="AP50" s="14"/>
      <c r="AQ50" s="60"/>
    </row>
    <row r="51" spans="2:43" s="13" customFormat="1" ht="15" customHeight="1" x14ac:dyDescent="0.2">
      <c r="B51" s="22"/>
      <c r="C51" s="4" t="s">
        <v>56</v>
      </c>
      <c r="D51" s="64"/>
      <c r="E51" s="64"/>
      <c r="F51" s="65"/>
      <c r="G51" s="64"/>
      <c r="H51" s="64"/>
      <c r="I51" s="64"/>
      <c r="J51" s="64"/>
      <c r="K51" s="64"/>
      <c r="L51" s="64"/>
      <c r="M51" s="64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P51" s="24"/>
      <c r="AQ51" s="66"/>
    </row>
    <row r="52" spans="2:43" ht="15" customHeight="1" x14ac:dyDescent="0.2">
      <c r="B52" s="1">
        <v>19</v>
      </c>
      <c r="C52" s="1" t="s">
        <v>52</v>
      </c>
      <c r="D52" s="6"/>
      <c r="E52" s="6"/>
      <c r="F52" s="10">
        <v>0.15</v>
      </c>
      <c r="G52" s="6"/>
      <c r="H52" s="6"/>
      <c r="I52" s="6"/>
      <c r="J52" s="6"/>
      <c r="K52" s="6"/>
      <c r="L52" s="6"/>
      <c r="M52" s="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M52" s="1"/>
      <c r="AN52" s="1"/>
      <c r="AP52" s="5">
        <f>$D$7*F52</f>
        <v>-21.370094444444462</v>
      </c>
      <c r="AQ52" s="8"/>
    </row>
    <row r="53" spans="2:43" ht="15" customHeight="1" x14ac:dyDescent="0.2">
      <c r="B53" s="1">
        <v>20</v>
      </c>
      <c r="C53" s="1" t="s">
        <v>34</v>
      </c>
      <c r="D53" s="6"/>
      <c r="E53" s="6"/>
      <c r="F53" s="10">
        <v>0.1</v>
      </c>
      <c r="G53" s="6"/>
      <c r="H53" s="6"/>
      <c r="I53" s="6"/>
      <c r="J53" s="6"/>
      <c r="K53" s="6"/>
      <c r="L53" s="6"/>
      <c r="M53" s="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M53" s="1"/>
      <c r="AN53" s="1"/>
      <c r="AP53" s="5">
        <f>$D$7*F53</f>
        <v>-14.246729629629641</v>
      </c>
      <c r="AQ53" s="8"/>
    </row>
    <row r="54" spans="2:43" ht="15" customHeight="1" x14ac:dyDescent="0.2">
      <c r="B54" s="1">
        <v>21</v>
      </c>
      <c r="C54" s="1" t="s">
        <v>53</v>
      </c>
      <c r="D54" s="6"/>
      <c r="E54" s="6"/>
      <c r="F54" s="10">
        <v>0.2</v>
      </c>
      <c r="G54" s="6"/>
      <c r="H54" s="6"/>
      <c r="I54" s="6"/>
      <c r="J54" s="6"/>
      <c r="K54" s="6"/>
      <c r="L54" s="6"/>
      <c r="M54" s="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M54" s="1"/>
      <c r="AN54" s="1"/>
      <c r="AP54" s="5">
        <f>$D$7*F54</f>
        <v>-28.493459259259282</v>
      </c>
      <c r="AQ54" s="8"/>
    </row>
    <row r="55" spans="2:43" ht="15" customHeight="1" x14ac:dyDescent="0.2">
      <c r="B55" s="1"/>
      <c r="C55" s="3" t="s">
        <v>58</v>
      </c>
      <c r="D55" s="26"/>
      <c r="E55" s="26"/>
      <c r="F55" s="15">
        <f>SUM(F52:F54)</f>
        <v>0.45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4"/>
      <c r="AM55" s="3"/>
      <c r="AN55" s="3"/>
      <c r="AO55" s="4"/>
      <c r="AP55" s="5">
        <f>SUM(AP52:AP54)</f>
        <v>-64.110283333333385</v>
      </c>
      <c r="AQ55" s="9"/>
    </row>
    <row r="56" spans="2:43" ht="15" customHeight="1" x14ac:dyDescent="0.2">
      <c r="G56" s="4423"/>
      <c r="H56" s="4423"/>
      <c r="I56" s="4423"/>
      <c r="J56" s="4423"/>
      <c r="K56" s="4423"/>
      <c r="L56" s="4423"/>
      <c r="M56" s="4423"/>
      <c r="N56" s="4423"/>
      <c r="O56" s="4423"/>
      <c r="P56" s="4423"/>
      <c r="Q56" s="4423"/>
    </row>
    <row r="57" spans="2:43" ht="15" customHeight="1" x14ac:dyDescent="0.2">
      <c r="D57" s="1"/>
      <c r="E57" s="1"/>
      <c r="F57" s="68">
        <f>F49+F55</f>
        <v>1</v>
      </c>
      <c r="G57" s="4423"/>
      <c r="H57" s="4423"/>
      <c r="I57" s="4423"/>
      <c r="J57" s="4423"/>
      <c r="K57" s="4423"/>
      <c r="L57" s="4423"/>
      <c r="M57" s="4423"/>
      <c r="N57" s="4423"/>
      <c r="O57" s="4423"/>
      <c r="P57" s="4423"/>
      <c r="Q57" s="4423"/>
      <c r="AP57" s="5">
        <f>AP49+AP55</f>
        <v>-142.46729629629641</v>
      </c>
      <c r="AQ57" s="1"/>
    </row>
  </sheetData>
  <mergeCells count="5">
    <mergeCell ref="AN6:AN13"/>
    <mergeCell ref="G56:Q56"/>
    <mergeCell ref="G57:Q57"/>
    <mergeCell ref="C2:C3"/>
    <mergeCell ref="AM6:AM13"/>
  </mergeCells>
  <conditionalFormatting sqref="G38:AK38 G40:AK40">
    <cfRule type="cellIs" dxfId="424" priority="11" operator="greaterThan">
      <formula>$D$40</formula>
    </cfRule>
    <cfRule type="cellIs" dxfId="423" priority="12" operator="lessThan">
      <formula>$D$40</formula>
    </cfRule>
  </conditionalFormatting>
  <conditionalFormatting sqref="G40">
    <cfRule type="cellIs" dxfId="422" priority="8" operator="greaterThan">
      <formula>0</formula>
    </cfRule>
    <cfRule type="cellIs" dxfId="421" priority="9" operator="lessThan">
      <formula>$D$40</formula>
    </cfRule>
    <cfRule type="cellIs" dxfId="420" priority="10" operator="greaterThan">
      <formula>$D$40</formula>
    </cfRule>
  </conditionalFormatting>
  <conditionalFormatting sqref="H40">
    <cfRule type="cellIs" dxfId="419" priority="6" operator="greaterThan">
      <formula>0.483</formula>
    </cfRule>
    <cfRule type="cellIs" dxfId="418" priority="7" operator="greaterThan">
      <formula>0</formula>
    </cfRule>
  </conditionalFormatting>
  <conditionalFormatting sqref="I40">
    <cfRule type="cellIs" dxfId="417" priority="4" operator="greaterThan">
      <formula>0</formula>
    </cfRule>
    <cfRule type="cellIs" dxfId="416" priority="5" operator="greaterThan">
      <formula>0</formula>
    </cfRule>
  </conditionalFormatting>
  <conditionalFormatting sqref="J40:AK40">
    <cfRule type="cellIs" dxfId="415" priority="3" operator="greaterThan">
      <formula>0</formula>
    </cfRule>
  </conditionalFormatting>
  <conditionalFormatting sqref="G42:AL42">
    <cfRule type="cellIs" dxfId="414" priority="1" operator="lessThan">
      <formula>0</formula>
    </cfRule>
    <cfRule type="cellIs" dxfId="41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X47"/>
  <sheetViews>
    <sheetView zoomScale="80" zoomScaleNormal="80" zoomScaleSheetLayoutView="80" workbookViewId="0">
      <pane xSplit="6" ySplit="8" topLeftCell="AG10" activePane="bottomRight" state="frozen"/>
      <selection pane="topRight" activeCell="G1" sqref="G1"/>
      <selection pane="bottomLeft" activeCell="A8" sqref="A8"/>
      <selection pane="bottomRight" activeCell="AS6" sqref="AS6:AU6"/>
    </sheetView>
  </sheetViews>
  <sheetFormatPr defaultColWidth="9.125" defaultRowHeight="15" x14ac:dyDescent="0.2"/>
  <cols>
    <col min="1" max="1" width="1.75" style="4" customWidth="1"/>
    <col min="2" max="2" width="4.75" style="4" customWidth="1"/>
    <col min="3" max="3" width="41.375" style="4" bestFit="1" customWidth="1"/>
    <col min="4" max="4" width="10.375" style="4" bestFit="1" customWidth="1"/>
    <col min="5" max="5" width="10.375" style="4" customWidth="1"/>
    <col min="6" max="6" width="9.875" style="4" bestFit="1" customWidth="1"/>
    <col min="7" max="37" width="9.125" style="4"/>
    <col min="38" max="38" width="1.75" style="4" customWidth="1"/>
    <col min="39" max="39" width="9.125" style="4" customWidth="1"/>
    <col min="40" max="40" width="9" style="4" customWidth="1"/>
    <col min="41" max="41" width="1.75" style="4" customWidth="1"/>
    <col min="42" max="42" width="10" style="4" bestFit="1" customWidth="1"/>
    <col min="43" max="43" width="9.25" style="4" bestFit="1" customWidth="1"/>
    <col min="44" max="44" width="1.875" style="4" customWidth="1"/>
    <col min="45" max="47" width="12" style="4" bestFit="1" customWidth="1"/>
    <col min="48" max="16384" width="9.125" style="4"/>
  </cols>
  <sheetData>
    <row r="1" spans="2:50" ht="18.75" customHeight="1" x14ac:dyDescent="0.2">
      <c r="C1" s="4456">
        <v>43374</v>
      </c>
      <c r="D1" s="4466" t="s">
        <v>40</v>
      </c>
      <c r="E1" s="4466"/>
      <c r="F1" s="4467"/>
      <c r="G1" s="133"/>
      <c r="H1" s="134"/>
      <c r="I1" s="134"/>
      <c r="AF1" s="4468" t="s">
        <v>84</v>
      </c>
      <c r="AS1" s="257">
        <f>AS2-AS4</f>
        <v>-333.47666666666737</v>
      </c>
      <c r="AT1" s="258">
        <f>AS1*30%</f>
        <v>-100.04300000000021</v>
      </c>
      <c r="AU1" s="259"/>
      <c r="AV1" s="4464" t="s">
        <v>83</v>
      </c>
      <c r="AW1" s="4465"/>
      <c r="AX1" s="4465"/>
    </row>
    <row r="2" spans="2:50" ht="19.5" customHeight="1" thickBot="1" x14ac:dyDescent="0.25">
      <c r="C2" s="4457"/>
      <c r="D2" s="4466" t="s">
        <v>41</v>
      </c>
      <c r="E2" s="4466"/>
      <c r="F2" s="4467"/>
      <c r="G2" s="133"/>
      <c r="H2" s="134"/>
      <c r="I2" s="134"/>
      <c r="AF2" s="4468"/>
      <c r="AS2" s="260">
        <f>AP4/28*28</f>
        <v>3336.7999999999993</v>
      </c>
      <c r="AT2" s="261">
        <f>AS2*30%</f>
        <v>1001.0399999999997</v>
      </c>
      <c r="AU2" s="262">
        <f>AT2-D21</f>
        <v>-100.04300000000035</v>
      </c>
      <c r="AV2" s="4464"/>
      <c r="AW2" s="4465"/>
      <c r="AX2" s="4465"/>
    </row>
    <row r="3" spans="2:50" ht="19.5" customHeight="1" x14ac:dyDescent="0.2">
      <c r="C3" s="254"/>
      <c r="D3" s="237"/>
      <c r="E3" s="237"/>
      <c r="F3" s="238"/>
      <c r="G3" s="133"/>
      <c r="H3" s="134"/>
      <c r="I3" s="134"/>
      <c r="AF3" s="4469"/>
      <c r="AP3" s="171"/>
      <c r="AQ3" s="263"/>
      <c r="AS3" s="264"/>
      <c r="AT3" s="264"/>
      <c r="AU3" s="264"/>
    </row>
    <row r="4" spans="2:50" s="224" customFormat="1" ht="15" customHeight="1" x14ac:dyDescent="0.2">
      <c r="C4" s="201" t="s">
        <v>35</v>
      </c>
      <c r="D4" s="202"/>
      <c r="E4" s="202"/>
      <c r="F4" s="229"/>
      <c r="G4" s="293">
        <v>74.95</v>
      </c>
      <c r="H4" s="294">
        <v>185</v>
      </c>
      <c r="I4" s="294">
        <v>136.05000000000001</v>
      </c>
      <c r="J4" s="295">
        <v>143.5</v>
      </c>
      <c r="K4" s="202">
        <v>0</v>
      </c>
      <c r="L4" s="295">
        <v>163.80000000000001</v>
      </c>
      <c r="M4" s="295">
        <v>105.75</v>
      </c>
      <c r="N4" s="295">
        <v>139.55000000000001</v>
      </c>
      <c r="O4" s="295">
        <v>129.55000000000001</v>
      </c>
      <c r="P4" s="295">
        <v>123</v>
      </c>
      <c r="Q4" s="295">
        <v>116</v>
      </c>
      <c r="R4" s="202">
        <v>0</v>
      </c>
      <c r="S4" s="295">
        <v>120.5</v>
      </c>
      <c r="T4" s="295">
        <v>121.1</v>
      </c>
      <c r="U4" s="295">
        <v>132.75</v>
      </c>
      <c r="V4" s="295">
        <v>153.05000000000001</v>
      </c>
      <c r="W4" s="295">
        <v>67.3</v>
      </c>
      <c r="X4" s="295">
        <v>127.45</v>
      </c>
      <c r="Y4" s="202">
        <v>0</v>
      </c>
      <c r="Z4" s="295">
        <v>83.95</v>
      </c>
      <c r="AA4" s="295">
        <v>125.85</v>
      </c>
      <c r="AB4" s="295">
        <v>117.75</v>
      </c>
      <c r="AC4" s="295">
        <v>142.5</v>
      </c>
      <c r="AD4" s="295">
        <v>147.5</v>
      </c>
      <c r="AE4" s="295">
        <v>139.25</v>
      </c>
      <c r="AF4" s="295">
        <v>48.35</v>
      </c>
      <c r="AG4" s="295">
        <v>92.3</v>
      </c>
      <c r="AH4" s="295">
        <v>85.85</v>
      </c>
      <c r="AI4" s="295">
        <v>89.5</v>
      </c>
      <c r="AJ4" s="295">
        <v>101.1</v>
      </c>
      <c r="AK4" s="295">
        <v>123.6</v>
      </c>
      <c r="AL4" s="230">
        <v>0</v>
      </c>
      <c r="AM4" s="4440" t="s">
        <v>54</v>
      </c>
      <c r="AN4" s="4443" t="s">
        <v>61</v>
      </c>
      <c r="AO4" s="230"/>
      <c r="AP4" s="202">
        <f>SUM(G4:AK4)</f>
        <v>3336.7999999999993</v>
      </c>
      <c r="AQ4" s="225"/>
      <c r="AS4" s="202">
        <f>D37</f>
        <v>3670.2766666666666</v>
      </c>
      <c r="AT4" s="228">
        <f>AS4-AP4</f>
        <v>333.47666666666737</v>
      </c>
      <c r="AU4" s="228">
        <f>AT4/1</f>
        <v>333.47666666666737</v>
      </c>
      <c r="AV4" s="230"/>
    </row>
    <row r="5" spans="2:50" s="255" customFormat="1" x14ac:dyDescent="0.2">
      <c r="C5" s="43" t="s">
        <v>72</v>
      </c>
      <c r="D5" s="40"/>
      <c r="E5" s="40"/>
      <c r="F5" s="193"/>
      <c r="G5" s="80">
        <f t="shared" ref="G5:AK5" si="0">G4*30%</f>
        <v>22.484999999999999</v>
      </c>
      <c r="H5" s="252">
        <f t="shared" si="0"/>
        <v>55.5</v>
      </c>
      <c r="I5" s="252">
        <f t="shared" si="0"/>
        <v>40.815000000000005</v>
      </c>
      <c r="J5" s="40">
        <f t="shared" si="0"/>
        <v>43.05</v>
      </c>
      <c r="K5" s="40">
        <f t="shared" si="0"/>
        <v>0</v>
      </c>
      <c r="L5" s="40">
        <f t="shared" si="0"/>
        <v>49.14</v>
      </c>
      <c r="M5" s="40">
        <f t="shared" si="0"/>
        <v>31.724999999999998</v>
      </c>
      <c r="N5" s="40">
        <f t="shared" si="0"/>
        <v>41.865000000000002</v>
      </c>
      <c r="O5" s="40">
        <f t="shared" si="0"/>
        <v>38.865000000000002</v>
      </c>
      <c r="P5" s="40">
        <f t="shared" si="0"/>
        <v>36.9</v>
      </c>
      <c r="Q5" s="40">
        <f t="shared" si="0"/>
        <v>34.799999999999997</v>
      </c>
      <c r="R5" s="40">
        <f t="shared" si="0"/>
        <v>0</v>
      </c>
      <c r="S5" s="40">
        <f t="shared" si="0"/>
        <v>36.15</v>
      </c>
      <c r="T5" s="40">
        <f t="shared" si="0"/>
        <v>36.33</v>
      </c>
      <c r="U5" s="40">
        <f t="shared" si="0"/>
        <v>39.824999999999996</v>
      </c>
      <c r="V5" s="40">
        <f t="shared" si="0"/>
        <v>45.914999999999999</v>
      </c>
      <c r="W5" s="40">
        <f t="shared" si="0"/>
        <v>20.189999999999998</v>
      </c>
      <c r="X5" s="40">
        <f t="shared" si="0"/>
        <v>38.234999999999999</v>
      </c>
      <c r="Y5" s="40">
        <f t="shared" si="0"/>
        <v>0</v>
      </c>
      <c r="Z5" s="40">
        <f t="shared" si="0"/>
        <v>25.184999999999999</v>
      </c>
      <c r="AA5" s="40">
        <f t="shared" si="0"/>
        <v>37.754999999999995</v>
      </c>
      <c r="AB5" s="40">
        <f t="shared" si="0"/>
        <v>35.324999999999996</v>
      </c>
      <c r="AC5" s="40">
        <f t="shared" si="0"/>
        <v>42.75</v>
      </c>
      <c r="AD5" s="40">
        <f t="shared" si="0"/>
        <v>44.25</v>
      </c>
      <c r="AE5" s="40">
        <f t="shared" si="0"/>
        <v>41.774999999999999</v>
      </c>
      <c r="AF5" s="40">
        <f>AF4*30%</f>
        <v>14.504999999999999</v>
      </c>
      <c r="AG5" s="40">
        <f t="shared" si="0"/>
        <v>27.689999999999998</v>
      </c>
      <c r="AH5" s="40">
        <f t="shared" si="0"/>
        <v>25.754999999999999</v>
      </c>
      <c r="AI5" s="40">
        <f t="shared" si="0"/>
        <v>26.849999999999998</v>
      </c>
      <c r="AJ5" s="40">
        <f t="shared" si="0"/>
        <v>30.33</v>
      </c>
      <c r="AK5" s="40">
        <f t="shared" si="0"/>
        <v>37.08</v>
      </c>
      <c r="AL5" s="50"/>
      <c r="AM5" s="4441"/>
      <c r="AN5" s="4444"/>
      <c r="AO5" s="50"/>
      <c r="AP5" s="40">
        <f>SUM(G5:AK5)</f>
        <v>1001.04</v>
      </c>
      <c r="AQ5" s="42"/>
      <c r="AS5" s="40"/>
      <c r="AT5" s="42"/>
      <c r="AU5" s="42"/>
    </row>
    <row r="6" spans="2:50" x14ac:dyDescent="0.2">
      <c r="C6" s="3" t="s">
        <v>15</v>
      </c>
      <c r="D6" s="5"/>
      <c r="E6" s="5"/>
      <c r="F6" s="266"/>
      <c r="G6" s="37">
        <f t="shared" ref="G6:AK6" si="1">G5</f>
        <v>22.484999999999999</v>
      </c>
      <c r="H6" s="250">
        <f t="shared" si="1"/>
        <v>55.5</v>
      </c>
      <c r="I6" s="250">
        <f t="shared" si="1"/>
        <v>40.815000000000005</v>
      </c>
      <c r="J6" s="5">
        <f t="shared" si="1"/>
        <v>43.05</v>
      </c>
      <c r="K6" s="5">
        <f t="shared" si="1"/>
        <v>0</v>
      </c>
      <c r="L6" s="5">
        <f t="shared" si="1"/>
        <v>49.14</v>
      </c>
      <c r="M6" s="5">
        <f t="shared" si="1"/>
        <v>31.724999999999998</v>
      </c>
      <c r="N6" s="5">
        <f t="shared" si="1"/>
        <v>41.865000000000002</v>
      </c>
      <c r="O6" s="5">
        <f t="shared" si="1"/>
        <v>38.865000000000002</v>
      </c>
      <c r="P6" s="5">
        <f t="shared" si="1"/>
        <v>36.9</v>
      </c>
      <c r="Q6" s="5">
        <f t="shared" si="1"/>
        <v>34.799999999999997</v>
      </c>
      <c r="R6" s="5">
        <f t="shared" si="1"/>
        <v>0</v>
      </c>
      <c r="S6" s="5">
        <f t="shared" si="1"/>
        <v>36.15</v>
      </c>
      <c r="T6" s="5">
        <f t="shared" si="1"/>
        <v>36.33</v>
      </c>
      <c r="U6" s="5">
        <f t="shared" si="1"/>
        <v>39.824999999999996</v>
      </c>
      <c r="V6" s="5">
        <f t="shared" si="1"/>
        <v>45.914999999999999</v>
      </c>
      <c r="W6" s="5">
        <f t="shared" si="1"/>
        <v>20.189999999999998</v>
      </c>
      <c r="X6" s="5">
        <f t="shared" si="1"/>
        <v>38.234999999999999</v>
      </c>
      <c r="Y6" s="5">
        <f t="shared" si="1"/>
        <v>0</v>
      </c>
      <c r="Z6" s="5">
        <f t="shared" si="1"/>
        <v>25.184999999999999</v>
      </c>
      <c r="AA6" s="5">
        <f t="shared" si="1"/>
        <v>37.754999999999995</v>
      </c>
      <c r="AB6" s="5">
        <f t="shared" si="1"/>
        <v>35.324999999999996</v>
      </c>
      <c r="AC6" s="5">
        <f t="shared" si="1"/>
        <v>42.75</v>
      </c>
      <c r="AD6" s="5">
        <f t="shared" si="1"/>
        <v>44.25</v>
      </c>
      <c r="AE6" s="5">
        <f t="shared" si="1"/>
        <v>41.774999999999999</v>
      </c>
      <c r="AF6" s="5">
        <f t="shared" si="1"/>
        <v>14.504999999999999</v>
      </c>
      <c r="AG6" s="5">
        <f t="shared" si="1"/>
        <v>27.689999999999998</v>
      </c>
      <c r="AH6" s="5">
        <f t="shared" si="1"/>
        <v>25.754999999999999</v>
      </c>
      <c r="AI6" s="5">
        <f t="shared" si="1"/>
        <v>26.849999999999998</v>
      </c>
      <c r="AJ6" s="5">
        <f t="shared" si="1"/>
        <v>30.33</v>
      </c>
      <c r="AK6" s="5">
        <f t="shared" si="1"/>
        <v>37.08</v>
      </c>
      <c r="AM6" s="4441"/>
      <c r="AN6" s="4444"/>
      <c r="AP6" s="5">
        <f>SUM(G6:AK6)</f>
        <v>1001.04</v>
      </c>
      <c r="AQ6" s="59">
        <f>AP6/D21</f>
        <v>0.90914127272875878</v>
      </c>
      <c r="AS6" s="5">
        <f>AP6-D21</f>
        <v>-100.04300000000012</v>
      </c>
      <c r="AT6" s="63">
        <f>AS6/1</f>
        <v>-100.04300000000012</v>
      </c>
      <c r="AU6" s="63">
        <f>AT6*100%/30%</f>
        <v>-333.47666666666709</v>
      </c>
    </row>
    <row r="7" spans="2:50" ht="15" customHeight="1" x14ac:dyDescent="0.2">
      <c r="C7" s="16"/>
      <c r="F7" s="265"/>
      <c r="G7" s="251" t="s">
        <v>48</v>
      </c>
      <c r="H7" s="5" t="s">
        <v>49</v>
      </c>
      <c r="I7" s="5" t="s">
        <v>50</v>
      </c>
      <c r="J7" s="5" t="s">
        <v>51</v>
      </c>
      <c r="K7" s="99" t="s">
        <v>45</v>
      </c>
      <c r="L7" s="5" t="s">
        <v>46</v>
      </c>
      <c r="M7" s="5" t="s">
        <v>47</v>
      </c>
      <c r="N7" s="5" t="s">
        <v>48</v>
      </c>
      <c r="O7" s="5" t="s">
        <v>49</v>
      </c>
      <c r="P7" s="5" t="s">
        <v>50</v>
      </c>
      <c r="Q7" s="5" t="s">
        <v>51</v>
      </c>
      <c r="R7" s="99" t="s">
        <v>45</v>
      </c>
      <c r="S7" s="5" t="s">
        <v>46</v>
      </c>
      <c r="T7" s="5" t="s">
        <v>47</v>
      </c>
      <c r="U7" s="5" t="s">
        <v>48</v>
      </c>
      <c r="V7" s="5" t="s">
        <v>49</v>
      </c>
      <c r="W7" s="5" t="s">
        <v>50</v>
      </c>
      <c r="X7" s="5" t="s">
        <v>51</v>
      </c>
      <c r="Y7" s="99" t="s">
        <v>45</v>
      </c>
      <c r="Z7" s="5" t="s">
        <v>46</v>
      </c>
      <c r="AA7" s="5" t="s">
        <v>47</v>
      </c>
      <c r="AB7" s="5" t="s">
        <v>48</v>
      </c>
      <c r="AC7" s="5" t="s">
        <v>49</v>
      </c>
      <c r="AD7" s="5" t="s">
        <v>50</v>
      </c>
      <c r="AE7" s="5" t="s">
        <v>51</v>
      </c>
      <c r="AF7" s="118" t="s">
        <v>45</v>
      </c>
      <c r="AG7" s="5" t="s">
        <v>46</v>
      </c>
      <c r="AH7" s="5" t="s">
        <v>47</v>
      </c>
      <c r="AI7" s="5" t="s">
        <v>48</v>
      </c>
      <c r="AJ7" s="5" t="s">
        <v>49</v>
      </c>
      <c r="AK7" s="5" t="s">
        <v>50</v>
      </c>
      <c r="AM7" s="4441"/>
      <c r="AN7" s="4444"/>
    </row>
    <row r="8" spans="2:50" s="255" customFormat="1" x14ac:dyDescent="0.2">
      <c r="B8" s="43" t="s">
        <v>0</v>
      </c>
      <c r="C8" s="43" t="s">
        <v>1</v>
      </c>
      <c r="D8" s="43" t="s">
        <v>24</v>
      </c>
      <c r="E8" s="43" t="s">
        <v>25</v>
      </c>
      <c r="F8" s="267" t="s">
        <v>2</v>
      </c>
      <c r="G8" s="268">
        <v>1</v>
      </c>
      <c r="H8" s="43">
        <v>2</v>
      </c>
      <c r="I8" s="43">
        <v>3</v>
      </c>
      <c r="J8" s="43">
        <v>4</v>
      </c>
      <c r="K8" s="43">
        <v>5</v>
      </c>
      <c r="L8" s="43">
        <v>6</v>
      </c>
      <c r="M8" s="43">
        <v>7</v>
      </c>
      <c r="N8" s="43">
        <v>8</v>
      </c>
      <c r="O8" s="43">
        <v>9</v>
      </c>
      <c r="P8" s="43">
        <v>10</v>
      </c>
      <c r="Q8" s="43">
        <v>11</v>
      </c>
      <c r="R8" s="43">
        <v>12</v>
      </c>
      <c r="S8" s="43">
        <v>13</v>
      </c>
      <c r="T8" s="43">
        <v>14</v>
      </c>
      <c r="U8" s="43">
        <v>15</v>
      </c>
      <c r="V8" s="43">
        <v>16</v>
      </c>
      <c r="W8" s="43">
        <v>17</v>
      </c>
      <c r="X8" s="43">
        <v>18</v>
      </c>
      <c r="Y8" s="43">
        <v>19</v>
      </c>
      <c r="Z8" s="43">
        <v>20</v>
      </c>
      <c r="AA8" s="43">
        <v>21</v>
      </c>
      <c r="AB8" s="43">
        <v>22</v>
      </c>
      <c r="AC8" s="43">
        <v>23</v>
      </c>
      <c r="AD8" s="43">
        <v>24</v>
      </c>
      <c r="AE8" s="43">
        <v>25</v>
      </c>
      <c r="AF8" s="43">
        <v>26</v>
      </c>
      <c r="AG8" s="43">
        <v>27</v>
      </c>
      <c r="AH8" s="43">
        <v>28</v>
      </c>
      <c r="AI8" s="43">
        <v>29</v>
      </c>
      <c r="AJ8" s="43">
        <v>30</v>
      </c>
      <c r="AK8" s="43">
        <v>31</v>
      </c>
      <c r="AM8" s="4442"/>
      <c r="AN8" s="4445"/>
      <c r="AP8" s="43" t="s">
        <v>7</v>
      </c>
      <c r="AQ8" s="43" t="s">
        <v>2</v>
      </c>
      <c r="AS8" s="43"/>
      <c r="AT8" s="43"/>
      <c r="AU8" s="43"/>
    </row>
    <row r="9" spans="2:50" ht="15" customHeight="1" x14ac:dyDescent="0.2">
      <c r="B9" s="16"/>
      <c r="C9" s="16" t="s">
        <v>19</v>
      </c>
      <c r="D9" s="16"/>
      <c r="E9" s="16"/>
      <c r="F9" s="265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</row>
    <row r="10" spans="2:50" s="255" customFormat="1" x14ac:dyDescent="0.2">
      <c r="B10" s="43">
        <v>1</v>
      </c>
      <c r="C10" s="43" t="s">
        <v>21</v>
      </c>
      <c r="D10" s="40">
        <v>400</v>
      </c>
      <c r="E10" s="40">
        <f>D10/27</f>
        <v>14.814814814814815</v>
      </c>
      <c r="F10" s="206">
        <f t="shared" ref="F10:F20" si="2">D10/$D$21</f>
        <v>0.36327869924428946</v>
      </c>
      <c r="G10" s="253">
        <f>$E$10</f>
        <v>14.814814814814815</v>
      </c>
      <c r="H10" s="40">
        <f>$E$10</f>
        <v>14.814814814814815</v>
      </c>
      <c r="I10" s="40">
        <f>$E$10</f>
        <v>14.814814814814815</v>
      </c>
      <c r="J10" s="40">
        <f>$E$10</f>
        <v>14.814814814814815</v>
      </c>
      <c r="K10" s="40">
        <v>0</v>
      </c>
      <c r="L10" s="40">
        <f t="shared" ref="L10:AK10" si="3">$E$10</f>
        <v>14.814814814814815</v>
      </c>
      <c r="M10" s="40">
        <f t="shared" si="3"/>
        <v>14.814814814814815</v>
      </c>
      <c r="N10" s="40">
        <f t="shared" si="3"/>
        <v>14.814814814814815</v>
      </c>
      <c r="O10" s="40">
        <f t="shared" si="3"/>
        <v>14.814814814814815</v>
      </c>
      <c r="P10" s="40">
        <f t="shared" si="3"/>
        <v>14.814814814814815</v>
      </c>
      <c r="Q10" s="40">
        <f t="shared" si="3"/>
        <v>14.814814814814815</v>
      </c>
      <c r="R10" s="40">
        <v>0</v>
      </c>
      <c r="S10" s="40">
        <f t="shared" si="3"/>
        <v>14.814814814814815</v>
      </c>
      <c r="T10" s="40">
        <f t="shared" si="3"/>
        <v>14.814814814814815</v>
      </c>
      <c r="U10" s="40">
        <f t="shared" si="3"/>
        <v>14.814814814814815</v>
      </c>
      <c r="V10" s="40">
        <f t="shared" si="3"/>
        <v>14.814814814814815</v>
      </c>
      <c r="W10" s="40">
        <f t="shared" si="3"/>
        <v>14.814814814814815</v>
      </c>
      <c r="X10" s="40">
        <f t="shared" si="3"/>
        <v>14.814814814814815</v>
      </c>
      <c r="Y10" s="40">
        <v>0</v>
      </c>
      <c r="Z10" s="40">
        <f t="shared" si="3"/>
        <v>14.814814814814815</v>
      </c>
      <c r="AA10" s="40">
        <f t="shared" si="3"/>
        <v>14.814814814814815</v>
      </c>
      <c r="AB10" s="40">
        <f t="shared" si="3"/>
        <v>14.814814814814815</v>
      </c>
      <c r="AC10" s="40">
        <f t="shared" si="3"/>
        <v>14.814814814814815</v>
      </c>
      <c r="AD10" s="40">
        <f t="shared" si="3"/>
        <v>14.814814814814815</v>
      </c>
      <c r="AE10" s="40">
        <f t="shared" si="3"/>
        <v>14.814814814814815</v>
      </c>
      <c r="AF10" s="40">
        <v>0</v>
      </c>
      <c r="AG10" s="40">
        <f t="shared" si="3"/>
        <v>14.814814814814815</v>
      </c>
      <c r="AH10" s="40">
        <f t="shared" si="3"/>
        <v>14.814814814814815</v>
      </c>
      <c r="AI10" s="40">
        <f t="shared" si="3"/>
        <v>14.814814814814815</v>
      </c>
      <c r="AJ10" s="40">
        <f t="shared" si="3"/>
        <v>14.814814814814815</v>
      </c>
      <c r="AK10" s="40">
        <f t="shared" si="3"/>
        <v>14.814814814814815</v>
      </c>
      <c r="AM10" s="40">
        <v>400</v>
      </c>
      <c r="AN10" s="74">
        <f t="shared" ref="AN10:AN19" si="4">AM10/D10</f>
        <v>1</v>
      </c>
      <c r="AP10" s="40">
        <f>SUM(G10:AK10)</f>
        <v>400.00000000000017</v>
      </c>
      <c r="AQ10" s="70">
        <f t="shared" ref="AQ10:AQ21" si="5">AP10/$D$21</f>
        <v>0.36327869924428963</v>
      </c>
      <c r="AS10" s="61"/>
      <c r="AT10" s="62"/>
      <c r="AU10" s="62"/>
    </row>
    <row r="11" spans="2:50" s="224" customFormat="1" x14ac:dyDescent="0.2">
      <c r="B11" s="201">
        <v>2</v>
      </c>
      <c r="C11" s="201" t="s">
        <v>22</v>
      </c>
      <c r="D11" s="202">
        <v>200</v>
      </c>
      <c r="E11" s="202">
        <f t="shared" ref="E11:E20" si="6">D11/27</f>
        <v>7.4074074074074074</v>
      </c>
      <c r="F11" s="269">
        <f t="shared" si="2"/>
        <v>0.18163934962214473</v>
      </c>
      <c r="G11" s="227">
        <f>$E$11</f>
        <v>7.4074074074074074</v>
      </c>
      <c r="H11" s="202">
        <f>$E$11</f>
        <v>7.4074074074074074</v>
      </c>
      <c r="I11" s="202">
        <f>$E$11</f>
        <v>7.4074074074074074</v>
      </c>
      <c r="J11" s="202">
        <f>$E$11</f>
        <v>7.4074074074074074</v>
      </c>
      <c r="K11" s="202">
        <v>0</v>
      </c>
      <c r="L11" s="202">
        <f t="shared" ref="L11:AK11" si="7">$E$11</f>
        <v>7.4074074074074074</v>
      </c>
      <c r="M11" s="202">
        <f t="shared" si="7"/>
        <v>7.4074074074074074</v>
      </c>
      <c r="N11" s="202">
        <f t="shared" si="7"/>
        <v>7.4074074074074074</v>
      </c>
      <c r="O11" s="202">
        <f t="shared" si="7"/>
        <v>7.4074074074074074</v>
      </c>
      <c r="P11" s="202">
        <f t="shared" si="7"/>
        <v>7.4074074074074074</v>
      </c>
      <c r="Q11" s="202">
        <f t="shared" si="7"/>
        <v>7.4074074074074074</v>
      </c>
      <c r="R11" s="202">
        <v>0</v>
      </c>
      <c r="S11" s="202">
        <f t="shared" si="7"/>
        <v>7.4074074074074074</v>
      </c>
      <c r="T11" s="202">
        <f t="shared" si="7"/>
        <v>7.4074074074074074</v>
      </c>
      <c r="U11" s="202">
        <f t="shared" si="7"/>
        <v>7.4074074074074074</v>
      </c>
      <c r="V11" s="202">
        <f t="shared" si="7"/>
        <v>7.4074074074074074</v>
      </c>
      <c r="W11" s="202">
        <f t="shared" si="7"/>
        <v>7.4074074074074074</v>
      </c>
      <c r="X11" s="202">
        <f t="shared" si="7"/>
        <v>7.4074074074074074</v>
      </c>
      <c r="Y11" s="202">
        <v>0</v>
      </c>
      <c r="Z11" s="202">
        <f t="shared" si="7"/>
        <v>7.4074074074074074</v>
      </c>
      <c r="AA11" s="202">
        <f t="shared" si="7"/>
        <v>7.4074074074074074</v>
      </c>
      <c r="AB11" s="202">
        <f t="shared" si="7"/>
        <v>7.4074074074074074</v>
      </c>
      <c r="AC11" s="202">
        <f t="shared" si="7"/>
        <v>7.4074074074074074</v>
      </c>
      <c r="AD11" s="202">
        <f t="shared" si="7"/>
        <v>7.4074074074074074</v>
      </c>
      <c r="AE11" s="202">
        <f t="shared" si="7"/>
        <v>7.4074074074074074</v>
      </c>
      <c r="AF11" s="202">
        <v>0</v>
      </c>
      <c r="AG11" s="202">
        <f t="shared" si="7"/>
        <v>7.4074074074074074</v>
      </c>
      <c r="AH11" s="202">
        <f t="shared" si="7"/>
        <v>7.4074074074074074</v>
      </c>
      <c r="AI11" s="202">
        <f t="shared" si="7"/>
        <v>7.4074074074074074</v>
      </c>
      <c r="AJ11" s="202">
        <f t="shared" si="7"/>
        <v>7.4074074074074074</v>
      </c>
      <c r="AK11" s="202">
        <f t="shared" si="7"/>
        <v>7.4074074074074074</v>
      </c>
      <c r="AM11" s="202">
        <v>200</v>
      </c>
      <c r="AN11" s="153">
        <f t="shared" si="4"/>
        <v>1</v>
      </c>
      <c r="AP11" s="202">
        <f t="shared" ref="AP11:AP19" si="8">SUM(G11:AK11)</f>
        <v>200.00000000000009</v>
      </c>
      <c r="AQ11" s="247">
        <f t="shared" si="5"/>
        <v>0.18163934962214481</v>
      </c>
      <c r="AS11" s="203"/>
      <c r="AT11" s="226"/>
      <c r="AU11" s="226"/>
    </row>
    <row r="12" spans="2:50" s="255" customFormat="1" x14ac:dyDescent="0.2">
      <c r="B12" s="43">
        <v>3</v>
      </c>
      <c r="C12" s="43" t="s">
        <v>38</v>
      </c>
      <c r="D12" s="40">
        <v>175</v>
      </c>
      <c r="E12" s="40">
        <f t="shared" si="6"/>
        <v>6.4814814814814818</v>
      </c>
      <c r="F12" s="206">
        <f t="shared" si="2"/>
        <v>0.15893443091937665</v>
      </c>
      <c r="G12" s="253">
        <f>$E$12</f>
        <v>6.4814814814814818</v>
      </c>
      <c r="H12" s="40">
        <f>$E$12</f>
        <v>6.4814814814814818</v>
      </c>
      <c r="I12" s="40">
        <f>$E$12</f>
        <v>6.4814814814814818</v>
      </c>
      <c r="J12" s="40">
        <f>$E$12</f>
        <v>6.4814814814814818</v>
      </c>
      <c r="K12" s="40">
        <v>0</v>
      </c>
      <c r="L12" s="40">
        <f t="shared" ref="L12:AK12" si="9">$E$12</f>
        <v>6.4814814814814818</v>
      </c>
      <c r="M12" s="40">
        <f t="shared" si="9"/>
        <v>6.4814814814814818</v>
      </c>
      <c r="N12" s="40">
        <f t="shared" si="9"/>
        <v>6.4814814814814818</v>
      </c>
      <c r="O12" s="40">
        <f t="shared" si="9"/>
        <v>6.4814814814814818</v>
      </c>
      <c r="P12" s="40">
        <f t="shared" si="9"/>
        <v>6.4814814814814818</v>
      </c>
      <c r="Q12" s="40">
        <f t="shared" si="9"/>
        <v>6.4814814814814818</v>
      </c>
      <c r="R12" s="40">
        <v>0</v>
      </c>
      <c r="S12" s="40">
        <f t="shared" si="9"/>
        <v>6.4814814814814818</v>
      </c>
      <c r="T12" s="40">
        <f t="shared" si="9"/>
        <v>6.4814814814814818</v>
      </c>
      <c r="U12" s="40">
        <f t="shared" si="9"/>
        <v>6.4814814814814818</v>
      </c>
      <c r="V12" s="40">
        <f t="shared" si="9"/>
        <v>6.4814814814814818</v>
      </c>
      <c r="W12" s="40">
        <f t="shared" si="9"/>
        <v>6.4814814814814818</v>
      </c>
      <c r="X12" s="40">
        <f t="shared" si="9"/>
        <v>6.4814814814814818</v>
      </c>
      <c r="Y12" s="40">
        <v>0</v>
      </c>
      <c r="Z12" s="40">
        <f t="shared" si="9"/>
        <v>6.4814814814814818</v>
      </c>
      <c r="AA12" s="40">
        <f t="shared" si="9"/>
        <v>6.4814814814814818</v>
      </c>
      <c r="AB12" s="40">
        <f t="shared" si="9"/>
        <v>6.4814814814814818</v>
      </c>
      <c r="AC12" s="40">
        <f t="shared" si="9"/>
        <v>6.4814814814814818</v>
      </c>
      <c r="AD12" s="40">
        <f t="shared" si="9"/>
        <v>6.4814814814814818</v>
      </c>
      <c r="AE12" s="40">
        <f t="shared" si="9"/>
        <v>6.4814814814814818</v>
      </c>
      <c r="AF12" s="40">
        <v>0</v>
      </c>
      <c r="AG12" s="40">
        <f t="shared" si="9"/>
        <v>6.4814814814814818</v>
      </c>
      <c r="AH12" s="40">
        <f t="shared" si="9"/>
        <v>6.4814814814814818</v>
      </c>
      <c r="AI12" s="40">
        <f t="shared" si="9"/>
        <v>6.4814814814814818</v>
      </c>
      <c r="AJ12" s="40">
        <f t="shared" si="9"/>
        <v>6.4814814814814818</v>
      </c>
      <c r="AK12" s="40">
        <f t="shared" si="9"/>
        <v>6.4814814814814818</v>
      </c>
      <c r="AM12" s="40">
        <v>118.45</v>
      </c>
      <c r="AN12" s="74">
        <f t="shared" si="4"/>
        <v>0.67685714285714282</v>
      </c>
      <c r="AP12" s="40">
        <f t="shared" si="8"/>
        <v>175.00000000000011</v>
      </c>
      <c r="AQ12" s="70">
        <f t="shared" si="5"/>
        <v>0.15893443091937673</v>
      </c>
      <c r="AS12" s="61">
        <f>D12-AM12</f>
        <v>56.55</v>
      </c>
      <c r="AT12" s="270"/>
      <c r="AU12" s="62"/>
    </row>
    <row r="13" spans="2:50" s="224" customFormat="1" x14ac:dyDescent="0.2">
      <c r="B13" s="201">
        <v>4</v>
      </c>
      <c r="C13" s="201" t="s">
        <v>39</v>
      </c>
      <c r="D13" s="202">
        <v>75</v>
      </c>
      <c r="E13" s="202">
        <f t="shared" si="6"/>
        <v>2.7777777777777777</v>
      </c>
      <c r="F13" s="269">
        <f t="shared" si="2"/>
        <v>6.8114756108304267E-2</v>
      </c>
      <c r="G13" s="227">
        <f>$E$13</f>
        <v>2.7777777777777777</v>
      </c>
      <c r="H13" s="202">
        <f>$E$13</f>
        <v>2.7777777777777777</v>
      </c>
      <c r="I13" s="202">
        <f>$E$13</f>
        <v>2.7777777777777777</v>
      </c>
      <c r="J13" s="202">
        <f>$E$13</f>
        <v>2.7777777777777777</v>
      </c>
      <c r="K13" s="202">
        <v>0</v>
      </c>
      <c r="L13" s="202">
        <f t="shared" ref="L13:AK13" si="10">$E$13</f>
        <v>2.7777777777777777</v>
      </c>
      <c r="M13" s="202">
        <f t="shared" si="10"/>
        <v>2.7777777777777777</v>
      </c>
      <c r="N13" s="202">
        <f t="shared" si="10"/>
        <v>2.7777777777777777</v>
      </c>
      <c r="O13" s="202">
        <f t="shared" si="10"/>
        <v>2.7777777777777777</v>
      </c>
      <c r="P13" s="202">
        <f t="shared" si="10"/>
        <v>2.7777777777777777</v>
      </c>
      <c r="Q13" s="202">
        <f t="shared" si="10"/>
        <v>2.7777777777777777</v>
      </c>
      <c r="R13" s="202">
        <v>0</v>
      </c>
      <c r="S13" s="202">
        <f t="shared" si="10"/>
        <v>2.7777777777777777</v>
      </c>
      <c r="T13" s="202">
        <f t="shared" si="10"/>
        <v>2.7777777777777777</v>
      </c>
      <c r="U13" s="202">
        <f t="shared" si="10"/>
        <v>2.7777777777777777</v>
      </c>
      <c r="V13" s="202">
        <f t="shared" si="10"/>
        <v>2.7777777777777777</v>
      </c>
      <c r="W13" s="202">
        <f t="shared" si="10"/>
        <v>2.7777777777777777</v>
      </c>
      <c r="X13" s="202">
        <f t="shared" si="10"/>
        <v>2.7777777777777777</v>
      </c>
      <c r="Y13" s="202">
        <v>0</v>
      </c>
      <c r="Z13" s="202">
        <f t="shared" si="10"/>
        <v>2.7777777777777777</v>
      </c>
      <c r="AA13" s="202">
        <f t="shared" si="10"/>
        <v>2.7777777777777777</v>
      </c>
      <c r="AB13" s="202">
        <f t="shared" si="10"/>
        <v>2.7777777777777777</v>
      </c>
      <c r="AC13" s="202">
        <f t="shared" si="10"/>
        <v>2.7777777777777777</v>
      </c>
      <c r="AD13" s="202">
        <f t="shared" si="10"/>
        <v>2.7777777777777777</v>
      </c>
      <c r="AE13" s="202">
        <f t="shared" si="10"/>
        <v>2.7777777777777777</v>
      </c>
      <c r="AF13" s="202">
        <v>0</v>
      </c>
      <c r="AG13" s="202">
        <f t="shared" si="10"/>
        <v>2.7777777777777777</v>
      </c>
      <c r="AH13" s="202">
        <f t="shared" si="10"/>
        <v>2.7777777777777777</v>
      </c>
      <c r="AI13" s="202">
        <f t="shared" si="10"/>
        <v>2.7777777777777777</v>
      </c>
      <c r="AJ13" s="202">
        <f t="shared" si="10"/>
        <v>2.7777777777777777</v>
      </c>
      <c r="AK13" s="202">
        <f t="shared" si="10"/>
        <v>2.7777777777777777</v>
      </c>
      <c r="AM13" s="202">
        <v>68.5</v>
      </c>
      <c r="AN13" s="153">
        <f t="shared" si="4"/>
        <v>0.91333333333333333</v>
      </c>
      <c r="AP13" s="202">
        <f t="shared" si="8"/>
        <v>74.999999999999986</v>
      </c>
      <c r="AQ13" s="247">
        <f t="shared" si="5"/>
        <v>6.8114756108304267E-2</v>
      </c>
      <c r="AS13" s="203"/>
      <c r="AT13" s="226"/>
      <c r="AU13" s="226"/>
    </row>
    <row r="14" spans="2:50" s="255" customFormat="1" x14ac:dyDescent="0.2">
      <c r="B14" s="43">
        <v>5</v>
      </c>
      <c r="C14" s="43" t="s">
        <v>23</v>
      </c>
      <c r="D14" s="40">
        <v>56</v>
      </c>
      <c r="E14" s="40">
        <f>D14/28</f>
        <v>2</v>
      </c>
      <c r="F14" s="206">
        <f t="shared" si="2"/>
        <v>5.0859017894200526E-2</v>
      </c>
      <c r="G14" s="253">
        <f>$E$14</f>
        <v>2</v>
      </c>
      <c r="H14" s="40">
        <f>$E$14</f>
        <v>2</v>
      </c>
      <c r="I14" s="40">
        <f>$E$14</f>
        <v>2</v>
      </c>
      <c r="J14" s="40">
        <f>$E$14</f>
        <v>2</v>
      </c>
      <c r="K14" s="40">
        <v>0</v>
      </c>
      <c r="L14" s="40">
        <f t="shared" ref="L14:AK14" si="11">$E$14</f>
        <v>2</v>
      </c>
      <c r="M14" s="40">
        <f t="shared" si="11"/>
        <v>2</v>
      </c>
      <c r="N14" s="40">
        <f t="shared" si="11"/>
        <v>2</v>
      </c>
      <c r="O14" s="40">
        <f t="shared" si="11"/>
        <v>2</v>
      </c>
      <c r="P14" s="40">
        <f t="shared" si="11"/>
        <v>2</v>
      </c>
      <c r="Q14" s="40">
        <f t="shared" si="11"/>
        <v>2</v>
      </c>
      <c r="R14" s="40">
        <v>0</v>
      </c>
      <c r="S14" s="40">
        <f t="shared" si="11"/>
        <v>2</v>
      </c>
      <c r="T14" s="40">
        <f t="shared" si="11"/>
        <v>2</v>
      </c>
      <c r="U14" s="40">
        <f t="shared" si="11"/>
        <v>2</v>
      </c>
      <c r="V14" s="40">
        <f t="shared" si="11"/>
        <v>2</v>
      </c>
      <c r="W14" s="40">
        <f t="shared" si="11"/>
        <v>2</v>
      </c>
      <c r="X14" s="40">
        <f t="shared" si="11"/>
        <v>2</v>
      </c>
      <c r="Y14" s="40">
        <v>0</v>
      </c>
      <c r="Z14" s="40">
        <f t="shared" si="11"/>
        <v>2</v>
      </c>
      <c r="AA14" s="40">
        <f t="shared" si="11"/>
        <v>2</v>
      </c>
      <c r="AB14" s="40">
        <f t="shared" si="11"/>
        <v>2</v>
      </c>
      <c r="AC14" s="40">
        <f t="shared" si="11"/>
        <v>2</v>
      </c>
      <c r="AD14" s="40">
        <f t="shared" si="11"/>
        <v>2</v>
      </c>
      <c r="AE14" s="40">
        <f t="shared" si="11"/>
        <v>2</v>
      </c>
      <c r="AF14" s="40">
        <v>2</v>
      </c>
      <c r="AG14" s="40">
        <f t="shared" si="11"/>
        <v>2</v>
      </c>
      <c r="AH14" s="40">
        <f t="shared" si="11"/>
        <v>2</v>
      </c>
      <c r="AI14" s="40">
        <f t="shared" si="11"/>
        <v>2</v>
      </c>
      <c r="AJ14" s="40">
        <f t="shared" si="11"/>
        <v>2</v>
      </c>
      <c r="AK14" s="40">
        <f t="shared" si="11"/>
        <v>2</v>
      </c>
      <c r="AM14" s="40">
        <v>56</v>
      </c>
      <c r="AN14" s="74">
        <f t="shared" si="4"/>
        <v>1</v>
      </c>
      <c r="AP14" s="40">
        <f>SUM(G14:AK14)</f>
        <v>56</v>
      </c>
      <c r="AQ14" s="70">
        <f t="shared" si="5"/>
        <v>5.0859017894200526E-2</v>
      </c>
      <c r="AS14" s="61"/>
      <c r="AT14" s="62"/>
      <c r="AU14" s="62"/>
    </row>
    <row r="15" spans="2:50" s="224" customFormat="1" x14ac:dyDescent="0.2">
      <c r="B15" s="201">
        <v>6</v>
      </c>
      <c r="C15" s="201" t="s">
        <v>59</v>
      </c>
      <c r="D15" s="202">
        <v>50</v>
      </c>
      <c r="E15" s="202">
        <f t="shared" si="6"/>
        <v>1.8518518518518519</v>
      </c>
      <c r="F15" s="269">
        <f t="shared" si="2"/>
        <v>4.5409837405536183E-2</v>
      </c>
      <c r="G15" s="227">
        <f>$E$15</f>
        <v>1.8518518518518519</v>
      </c>
      <c r="H15" s="202">
        <f>$E$15</f>
        <v>1.8518518518518519</v>
      </c>
      <c r="I15" s="202">
        <f>$E$15</f>
        <v>1.8518518518518519</v>
      </c>
      <c r="J15" s="202">
        <f>$E$15</f>
        <v>1.8518518518518519</v>
      </c>
      <c r="K15" s="202">
        <v>0</v>
      </c>
      <c r="L15" s="202">
        <f t="shared" ref="L15:AK15" si="12">$E$15</f>
        <v>1.8518518518518519</v>
      </c>
      <c r="M15" s="202">
        <f t="shared" si="12"/>
        <v>1.8518518518518519</v>
      </c>
      <c r="N15" s="202">
        <f t="shared" si="12"/>
        <v>1.8518518518518519</v>
      </c>
      <c r="O15" s="202">
        <f t="shared" si="12"/>
        <v>1.8518518518518519</v>
      </c>
      <c r="P15" s="202">
        <f t="shared" si="12"/>
        <v>1.8518518518518519</v>
      </c>
      <c r="Q15" s="202">
        <f t="shared" si="12"/>
        <v>1.8518518518518519</v>
      </c>
      <c r="R15" s="202">
        <v>0</v>
      </c>
      <c r="S15" s="202">
        <f t="shared" si="12"/>
        <v>1.8518518518518519</v>
      </c>
      <c r="T15" s="202">
        <f t="shared" si="12"/>
        <v>1.8518518518518519</v>
      </c>
      <c r="U15" s="202">
        <f t="shared" si="12"/>
        <v>1.8518518518518519</v>
      </c>
      <c r="V15" s="202">
        <f t="shared" si="12"/>
        <v>1.8518518518518519</v>
      </c>
      <c r="W15" s="202">
        <f t="shared" si="12"/>
        <v>1.8518518518518519</v>
      </c>
      <c r="X15" s="202">
        <f t="shared" si="12"/>
        <v>1.8518518518518519</v>
      </c>
      <c r="Y15" s="202">
        <v>0</v>
      </c>
      <c r="Z15" s="202">
        <f t="shared" si="12"/>
        <v>1.8518518518518519</v>
      </c>
      <c r="AA15" s="202">
        <f t="shared" si="12"/>
        <v>1.8518518518518519</v>
      </c>
      <c r="AB15" s="202">
        <f t="shared" si="12"/>
        <v>1.8518518518518519</v>
      </c>
      <c r="AC15" s="202">
        <f t="shared" si="12"/>
        <v>1.8518518518518519</v>
      </c>
      <c r="AD15" s="202">
        <f t="shared" si="12"/>
        <v>1.8518518518518519</v>
      </c>
      <c r="AE15" s="202">
        <f t="shared" si="12"/>
        <v>1.8518518518518519</v>
      </c>
      <c r="AF15" s="202">
        <v>0</v>
      </c>
      <c r="AG15" s="202">
        <f t="shared" si="12"/>
        <v>1.8518518518518519</v>
      </c>
      <c r="AH15" s="202">
        <f t="shared" si="12"/>
        <v>1.8518518518518519</v>
      </c>
      <c r="AI15" s="202">
        <f t="shared" si="12"/>
        <v>1.8518518518518519</v>
      </c>
      <c r="AJ15" s="202">
        <f t="shared" si="12"/>
        <v>1.8518518518518519</v>
      </c>
      <c r="AK15" s="202">
        <f t="shared" si="12"/>
        <v>1.8518518518518519</v>
      </c>
      <c r="AM15" s="202">
        <v>50</v>
      </c>
      <c r="AN15" s="153">
        <f t="shared" si="4"/>
        <v>1</v>
      </c>
      <c r="AP15" s="202">
        <f t="shared" si="8"/>
        <v>50.000000000000021</v>
      </c>
      <c r="AQ15" s="247">
        <f t="shared" si="5"/>
        <v>4.5409837405536203E-2</v>
      </c>
      <c r="AS15" s="203"/>
      <c r="AT15" s="226"/>
      <c r="AU15" s="226"/>
    </row>
    <row r="16" spans="2:50" s="255" customFormat="1" x14ac:dyDescent="0.2">
      <c r="B16" s="43">
        <v>7</v>
      </c>
      <c r="C16" s="43" t="s">
        <v>37</v>
      </c>
      <c r="D16" s="40">
        <v>51.25</v>
      </c>
      <c r="E16" s="40">
        <f t="shared" si="6"/>
        <v>1.8981481481481481</v>
      </c>
      <c r="F16" s="206">
        <f t="shared" si="2"/>
        <v>4.6545083340674587E-2</v>
      </c>
      <c r="G16" s="253">
        <f>$E$16</f>
        <v>1.8981481481481481</v>
      </c>
      <c r="H16" s="40">
        <f>$E$16</f>
        <v>1.8981481481481481</v>
      </c>
      <c r="I16" s="40">
        <f>$E$16</f>
        <v>1.8981481481481481</v>
      </c>
      <c r="J16" s="40">
        <f>$E$16</f>
        <v>1.8981481481481481</v>
      </c>
      <c r="K16" s="40">
        <v>0</v>
      </c>
      <c r="L16" s="40">
        <f t="shared" ref="L16:AK16" si="13">$E$16</f>
        <v>1.8981481481481481</v>
      </c>
      <c r="M16" s="40">
        <f t="shared" si="13"/>
        <v>1.8981481481481481</v>
      </c>
      <c r="N16" s="40">
        <f t="shared" si="13"/>
        <v>1.8981481481481481</v>
      </c>
      <c r="O16" s="40">
        <f t="shared" si="13"/>
        <v>1.8981481481481481</v>
      </c>
      <c r="P16" s="40">
        <f t="shared" si="13"/>
        <v>1.8981481481481481</v>
      </c>
      <c r="Q16" s="40">
        <f t="shared" si="13"/>
        <v>1.8981481481481481</v>
      </c>
      <c r="R16" s="40">
        <v>0</v>
      </c>
      <c r="S16" s="40">
        <f t="shared" si="13"/>
        <v>1.8981481481481481</v>
      </c>
      <c r="T16" s="40">
        <f t="shared" si="13"/>
        <v>1.8981481481481481</v>
      </c>
      <c r="U16" s="40">
        <f t="shared" si="13"/>
        <v>1.8981481481481481</v>
      </c>
      <c r="V16" s="40">
        <f t="shared" si="13"/>
        <v>1.8981481481481481</v>
      </c>
      <c r="W16" s="40">
        <f t="shared" si="13"/>
        <v>1.8981481481481481</v>
      </c>
      <c r="X16" s="40">
        <f t="shared" si="13"/>
        <v>1.8981481481481481</v>
      </c>
      <c r="Y16" s="40">
        <v>0</v>
      </c>
      <c r="Z16" s="40">
        <f t="shared" si="13"/>
        <v>1.8981481481481481</v>
      </c>
      <c r="AA16" s="40">
        <f t="shared" si="13"/>
        <v>1.8981481481481481</v>
      </c>
      <c r="AB16" s="40">
        <f t="shared" si="13"/>
        <v>1.8981481481481481</v>
      </c>
      <c r="AC16" s="40">
        <f t="shared" si="13"/>
        <v>1.8981481481481481</v>
      </c>
      <c r="AD16" s="40">
        <f t="shared" si="13"/>
        <v>1.8981481481481481</v>
      </c>
      <c r="AE16" s="40">
        <f t="shared" si="13"/>
        <v>1.8981481481481481</v>
      </c>
      <c r="AF16" s="40">
        <v>0</v>
      </c>
      <c r="AG16" s="40">
        <f t="shared" si="13"/>
        <v>1.8981481481481481</v>
      </c>
      <c r="AH16" s="40">
        <f t="shared" si="13"/>
        <v>1.8981481481481481</v>
      </c>
      <c r="AI16" s="40">
        <f t="shared" si="13"/>
        <v>1.8981481481481481</v>
      </c>
      <c r="AJ16" s="40">
        <f t="shared" si="13"/>
        <v>1.8981481481481481</v>
      </c>
      <c r="AK16" s="40">
        <f t="shared" si="13"/>
        <v>1.8981481481481481</v>
      </c>
      <c r="AM16" s="40">
        <v>51.25</v>
      </c>
      <c r="AN16" s="74">
        <f t="shared" si="4"/>
        <v>1</v>
      </c>
      <c r="AP16" s="40">
        <f t="shared" si="8"/>
        <v>51.249999999999979</v>
      </c>
      <c r="AQ16" s="70">
        <f t="shared" si="5"/>
        <v>4.6545083340674566E-2</v>
      </c>
      <c r="AS16" s="61"/>
      <c r="AT16" s="62"/>
      <c r="AU16" s="62"/>
    </row>
    <row r="17" spans="2:47" s="224" customFormat="1" x14ac:dyDescent="0.2">
      <c r="B17" s="201">
        <v>8</v>
      </c>
      <c r="C17" s="201" t="s">
        <v>60</v>
      </c>
      <c r="D17" s="202">
        <v>37</v>
      </c>
      <c r="E17" s="202">
        <f t="shared" si="6"/>
        <v>1.3703703703703705</v>
      </c>
      <c r="F17" s="269">
        <f t="shared" si="2"/>
        <v>3.3603279680096777E-2</v>
      </c>
      <c r="G17" s="227">
        <f>$E$17</f>
        <v>1.3703703703703705</v>
      </c>
      <c r="H17" s="202">
        <f>$E$17</f>
        <v>1.3703703703703705</v>
      </c>
      <c r="I17" s="202">
        <f>$E$17</f>
        <v>1.3703703703703705</v>
      </c>
      <c r="J17" s="202">
        <f>$E$17</f>
        <v>1.3703703703703705</v>
      </c>
      <c r="K17" s="202">
        <v>0</v>
      </c>
      <c r="L17" s="202">
        <f t="shared" ref="L17:AK17" si="14">$E$17</f>
        <v>1.3703703703703705</v>
      </c>
      <c r="M17" s="202">
        <f t="shared" si="14"/>
        <v>1.3703703703703705</v>
      </c>
      <c r="N17" s="202">
        <f t="shared" si="14"/>
        <v>1.3703703703703705</v>
      </c>
      <c r="O17" s="202">
        <f t="shared" si="14"/>
        <v>1.3703703703703705</v>
      </c>
      <c r="P17" s="202">
        <f t="shared" si="14"/>
        <v>1.3703703703703705</v>
      </c>
      <c r="Q17" s="202">
        <f t="shared" si="14"/>
        <v>1.3703703703703705</v>
      </c>
      <c r="R17" s="202">
        <v>0</v>
      </c>
      <c r="S17" s="202">
        <f t="shared" si="14"/>
        <v>1.3703703703703705</v>
      </c>
      <c r="T17" s="202">
        <f t="shared" si="14"/>
        <v>1.3703703703703705</v>
      </c>
      <c r="U17" s="202">
        <f t="shared" si="14"/>
        <v>1.3703703703703705</v>
      </c>
      <c r="V17" s="202">
        <f t="shared" si="14"/>
        <v>1.3703703703703705</v>
      </c>
      <c r="W17" s="202">
        <f t="shared" si="14"/>
        <v>1.3703703703703705</v>
      </c>
      <c r="X17" s="202">
        <f t="shared" si="14"/>
        <v>1.3703703703703705</v>
      </c>
      <c r="Y17" s="202">
        <v>0</v>
      </c>
      <c r="Z17" s="202">
        <f t="shared" si="14"/>
        <v>1.3703703703703705</v>
      </c>
      <c r="AA17" s="202">
        <f t="shared" si="14"/>
        <v>1.3703703703703705</v>
      </c>
      <c r="AB17" s="202">
        <f t="shared" si="14"/>
        <v>1.3703703703703705</v>
      </c>
      <c r="AC17" s="202">
        <f t="shared" si="14"/>
        <v>1.3703703703703705</v>
      </c>
      <c r="AD17" s="202">
        <f t="shared" si="14"/>
        <v>1.3703703703703705</v>
      </c>
      <c r="AE17" s="202">
        <f t="shared" si="14"/>
        <v>1.3703703703703705</v>
      </c>
      <c r="AF17" s="202">
        <v>0</v>
      </c>
      <c r="AG17" s="202">
        <f t="shared" si="14"/>
        <v>1.3703703703703705</v>
      </c>
      <c r="AH17" s="202">
        <f t="shared" si="14"/>
        <v>1.3703703703703705</v>
      </c>
      <c r="AI17" s="202">
        <f t="shared" si="14"/>
        <v>1.3703703703703705</v>
      </c>
      <c r="AJ17" s="202">
        <f t="shared" si="14"/>
        <v>1.3703703703703705</v>
      </c>
      <c r="AK17" s="202">
        <f t="shared" si="14"/>
        <v>1.3703703703703705</v>
      </c>
      <c r="AM17" s="202">
        <v>37</v>
      </c>
      <c r="AN17" s="153">
        <f t="shared" si="4"/>
        <v>1</v>
      </c>
      <c r="AP17" s="202">
        <f t="shared" si="8"/>
        <v>37.000000000000014</v>
      </c>
      <c r="AQ17" s="247">
        <f t="shared" si="5"/>
        <v>3.3603279680096791E-2</v>
      </c>
      <c r="AS17" s="203"/>
      <c r="AT17" s="226"/>
      <c r="AU17" s="226"/>
    </row>
    <row r="18" spans="2:47" s="255" customFormat="1" x14ac:dyDescent="0.2">
      <c r="B18" s="43">
        <v>9</v>
      </c>
      <c r="C18" s="43" t="s">
        <v>43</v>
      </c>
      <c r="D18" s="40">
        <v>27</v>
      </c>
      <c r="E18" s="40">
        <f t="shared" si="6"/>
        <v>1</v>
      </c>
      <c r="F18" s="206">
        <f t="shared" si="2"/>
        <v>2.452131219898954E-2</v>
      </c>
      <c r="G18" s="253">
        <f>$E$18</f>
        <v>1</v>
      </c>
      <c r="H18" s="40">
        <f>$E$18</f>
        <v>1</v>
      </c>
      <c r="I18" s="40">
        <f>$E$18</f>
        <v>1</v>
      </c>
      <c r="J18" s="40">
        <f>$E$18</f>
        <v>1</v>
      </c>
      <c r="K18" s="40">
        <v>0</v>
      </c>
      <c r="L18" s="40">
        <f t="shared" ref="L18:AK18" si="15">$E$18</f>
        <v>1</v>
      </c>
      <c r="M18" s="40">
        <f t="shared" si="15"/>
        <v>1</v>
      </c>
      <c r="N18" s="40">
        <f t="shared" si="15"/>
        <v>1</v>
      </c>
      <c r="O18" s="40">
        <f t="shared" si="15"/>
        <v>1</v>
      </c>
      <c r="P18" s="40">
        <f t="shared" si="15"/>
        <v>1</v>
      </c>
      <c r="Q18" s="40">
        <f t="shared" si="15"/>
        <v>1</v>
      </c>
      <c r="R18" s="40">
        <v>0</v>
      </c>
      <c r="S18" s="40">
        <f t="shared" si="15"/>
        <v>1</v>
      </c>
      <c r="T18" s="40">
        <f t="shared" si="15"/>
        <v>1</v>
      </c>
      <c r="U18" s="40">
        <f t="shared" si="15"/>
        <v>1</v>
      </c>
      <c r="V18" s="40">
        <f t="shared" si="15"/>
        <v>1</v>
      </c>
      <c r="W18" s="40">
        <f t="shared" si="15"/>
        <v>1</v>
      </c>
      <c r="X18" s="40">
        <f t="shared" si="15"/>
        <v>1</v>
      </c>
      <c r="Y18" s="40">
        <v>0</v>
      </c>
      <c r="Z18" s="40">
        <f t="shared" si="15"/>
        <v>1</v>
      </c>
      <c r="AA18" s="40">
        <f t="shared" si="15"/>
        <v>1</v>
      </c>
      <c r="AB18" s="40">
        <f t="shared" si="15"/>
        <v>1</v>
      </c>
      <c r="AC18" s="40">
        <f t="shared" si="15"/>
        <v>1</v>
      </c>
      <c r="AD18" s="40">
        <f t="shared" si="15"/>
        <v>1</v>
      </c>
      <c r="AE18" s="40">
        <f t="shared" si="15"/>
        <v>1</v>
      </c>
      <c r="AF18" s="40">
        <v>0</v>
      </c>
      <c r="AG18" s="40">
        <f t="shared" si="15"/>
        <v>1</v>
      </c>
      <c r="AH18" s="40">
        <f t="shared" si="15"/>
        <v>1</v>
      </c>
      <c r="AI18" s="40">
        <f t="shared" si="15"/>
        <v>1</v>
      </c>
      <c r="AJ18" s="40">
        <f t="shared" si="15"/>
        <v>1</v>
      </c>
      <c r="AK18" s="40">
        <f t="shared" si="15"/>
        <v>1</v>
      </c>
      <c r="AM18" s="40">
        <v>27</v>
      </c>
      <c r="AN18" s="74">
        <f t="shared" si="4"/>
        <v>1</v>
      </c>
      <c r="AP18" s="40">
        <f t="shared" si="8"/>
        <v>27</v>
      </c>
      <c r="AQ18" s="70">
        <f t="shared" si="5"/>
        <v>2.452131219898954E-2</v>
      </c>
      <c r="AS18" s="61"/>
      <c r="AT18" s="62"/>
      <c r="AU18" s="62"/>
    </row>
    <row r="19" spans="2:47" s="224" customFormat="1" x14ac:dyDescent="0.2">
      <c r="B19" s="201">
        <v>10</v>
      </c>
      <c r="C19" s="204" t="s">
        <v>16</v>
      </c>
      <c r="D19" s="205">
        <v>26.5</v>
      </c>
      <c r="E19" s="202">
        <f t="shared" si="6"/>
        <v>0.98148148148148151</v>
      </c>
      <c r="F19" s="269">
        <f t="shared" si="2"/>
        <v>2.4067213824934177E-2</v>
      </c>
      <c r="G19" s="227">
        <f>$E$19</f>
        <v>0.98148148148148151</v>
      </c>
      <c r="H19" s="202">
        <f>$E$19</f>
        <v>0.98148148148148151</v>
      </c>
      <c r="I19" s="202">
        <f>$E$19</f>
        <v>0.98148148148148151</v>
      </c>
      <c r="J19" s="202">
        <f>$E$19</f>
        <v>0.98148148148148151</v>
      </c>
      <c r="K19" s="205">
        <v>0</v>
      </c>
      <c r="L19" s="205">
        <f t="shared" ref="L19:AK19" si="16">$E$19</f>
        <v>0.98148148148148151</v>
      </c>
      <c r="M19" s="205">
        <f t="shared" si="16"/>
        <v>0.98148148148148151</v>
      </c>
      <c r="N19" s="205">
        <f t="shared" si="16"/>
        <v>0.98148148148148151</v>
      </c>
      <c r="O19" s="205">
        <f t="shared" si="16"/>
        <v>0.98148148148148151</v>
      </c>
      <c r="P19" s="205">
        <f t="shared" si="16"/>
        <v>0.98148148148148151</v>
      </c>
      <c r="Q19" s="205">
        <f t="shared" si="16"/>
        <v>0.98148148148148151</v>
      </c>
      <c r="R19" s="205">
        <v>0</v>
      </c>
      <c r="S19" s="205">
        <f t="shared" si="16"/>
        <v>0.98148148148148151</v>
      </c>
      <c r="T19" s="205">
        <f t="shared" si="16"/>
        <v>0.98148148148148151</v>
      </c>
      <c r="U19" s="205">
        <f t="shared" si="16"/>
        <v>0.98148148148148151</v>
      </c>
      <c r="V19" s="205">
        <f t="shared" si="16"/>
        <v>0.98148148148148151</v>
      </c>
      <c r="W19" s="205">
        <f t="shared" si="16"/>
        <v>0.98148148148148151</v>
      </c>
      <c r="X19" s="205">
        <f t="shared" si="16"/>
        <v>0.98148148148148151</v>
      </c>
      <c r="Y19" s="205">
        <v>0</v>
      </c>
      <c r="Z19" s="205">
        <f t="shared" si="16"/>
        <v>0.98148148148148151</v>
      </c>
      <c r="AA19" s="205">
        <f t="shared" si="16"/>
        <v>0.98148148148148151</v>
      </c>
      <c r="AB19" s="205">
        <f t="shared" si="16"/>
        <v>0.98148148148148151</v>
      </c>
      <c r="AC19" s="205">
        <f t="shared" si="16"/>
        <v>0.98148148148148151</v>
      </c>
      <c r="AD19" s="205">
        <f t="shared" si="16"/>
        <v>0.98148148148148151</v>
      </c>
      <c r="AE19" s="205">
        <f t="shared" si="16"/>
        <v>0.98148148148148151</v>
      </c>
      <c r="AF19" s="205">
        <v>0</v>
      </c>
      <c r="AG19" s="205">
        <f t="shared" si="16"/>
        <v>0.98148148148148151</v>
      </c>
      <c r="AH19" s="205">
        <f t="shared" si="16"/>
        <v>0.98148148148148151</v>
      </c>
      <c r="AI19" s="205">
        <f t="shared" si="16"/>
        <v>0.98148148148148151</v>
      </c>
      <c r="AJ19" s="205">
        <f t="shared" si="16"/>
        <v>0.98148148148148151</v>
      </c>
      <c r="AK19" s="205">
        <f t="shared" si="16"/>
        <v>0.98148148148148151</v>
      </c>
      <c r="AM19" s="202">
        <v>26.5</v>
      </c>
      <c r="AN19" s="153">
        <f t="shared" si="4"/>
        <v>1</v>
      </c>
      <c r="AP19" s="205">
        <f t="shared" si="8"/>
        <v>26.499999999999993</v>
      </c>
      <c r="AQ19" s="247">
        <f t="shared" si="5"/>
        <v>2.406721382493417E-2</v>
      </c>
      <c r="AS19" s="203"/>
      <c r="AT19" s="226"/>
      <c r="AU19" s="226"/>
    </row>
    <row r="20" spans="2:47" s="255" customFormat="1" x14ac:dyDescent="0.2">
      <c r="B20" s="43">
        <v>11</v>
      </c>
      <c r="C20" s="43" t="s">
        <v>10</v>
      </c>
      <c r="D20" s="40">
        <v>3.3330000000000002</v>
      </c>
      <c r="E20" s="40">
        <f t="shared" si="6"/>
        <v>0.12344444444444445</v>
      </c>
      <c r="F20" s="206">
        <f t="shared" si="2"/>
        <v>3.0270197614530423E-3</v>
      </c>
      <c r="G20" s="253">
        <f>$E$20</f>
        <v>0.12344444444444445</v>
      </c>
      <c r="H20" s="40">
        <f>$E$20</f>
        <v>0.12344444444444445</v>
      </c>
      <c r="I20" s="40">
        <f>$E$20</f>
        <v>0.12344444444444445</v>
      </c>
      <c r="J20" s="40">
        <f>$E$20</f>
        <v>0.12344444444444445</v>
      </c>
      <c r="K20" s="40">
        <v>0</v>
      </c>
      <c r="L20" s="40">
        <f t="shared" ref="L20:AK20" si="17">$E$20</f>
        <v>0.12344444444444445</v>
      </c>
      <c r="M20" s="40">
        <f t="shared" si="17"/>
        <v>0.12344444444444445</v>
      </c>
      <c r="N20" s="40">
        <f t="shared" si="17"/>
        <v>0.12344444444444445</v>
      </c>
      <c r="O20" s="40">
        <f t="shared" si="17"/>
        <v>0.12344444444444445</v>
      </c>
      <c r="P20" s="40">
        <f t="shared" si="17"/>
        <v>0.12344444444444445</v>
      </c>
      <c r="Q20" s="40">
        <f t="shared" si="17"/>
        <v>0.12344444444444445</v>
      </c>
      <c r="R20" s="40">
        <v>0</v>
      </c>
      <c r="S20" s="40">
        <f t="shared" si="17"/>
        <v>0.12344444444444445</v>
      </c>
      <c r="T20" s="40">
        <f t="shared" si="17"/>
        <v>0.12344444444444445</v>
      </c>
      <c r="U20" s="40">
        <f t="shared" si="17"/>
        <v>0.12344444444444445</v>
      </c>
      <c r="V20" s="40">
        <f t="shared" si="17"/>
        <v>0.12344444444444445</v>
      </c>
      <c r="W20" s="40">
        <f t="shared" si="17"/>
        <v>0.12344444444444445</v>
      </c>
      <c r="X20" s="40">
        <f t="shared" si="17"/>
        <v>0.12344444444444445</v>
      </c>
      <c r="Y20" s="40">
        <v>0</v>
      </c>
      <c r="Z20" s="40">
        <f t="shared" si="17"/>
        <v>0.12344444444444445</v>
      </c>
      <c r="AA20" s="40">
        <f t="shared" si="17"/>
        <v>0.12344444444444445</v>
      </c>
      <c r="AB20" s="40">
        <f t="shared" si="17"/>
        <v>0.12344444444444445</v>
      </c>
      <c r="AC20" s="40">
        <f t="shared" si="17"/>
        <v>0.12344444444444445</v>
      </c>
      <c r="AD20" s="40">
        <f t="shared" si="17"/>
        <v>0.12344444444444445</v>
      </c>
      <c r="AE20" s="40">
        <f t="shared" si="17"/>
        <v>0.12344444444444445</v>
      </c>
      <c r="AF20" s="40">
        <v>0</v>
      </c>
      <c r="AG20" s="40">
        <f t="shared" si="17"/>
        <v>0.12344444444444445</v>
      </c>
      <c r="AH20" s="40">
        <f t="shared" si="17"/>
        <v>0.12344444444444445</v>
      </c>
      <c r="AI20" s="40">
        <f t="shared" si="17"/>
        <v>0.12344444444444445</v>
      </c>
      <c r="AJ20" s="40">
        <f t="shared" si="17"/>
        <v>0.12344444444444445</v>
      </c>
      <c r="AK20" s="40">
        <f t="shared" si="17"/>
        <v>0.12344444444444445</v>
      </c>
      <c r="AM20" s="40">
        <v>3.3330000000000002</v>
      </c>
      <c r="AN20" s="74">
        <f>AM20/D20</f>
        <v>1</v>
      </c>
      <c r="AP20" s="40">
        <f>SUM(G20:AK20)</f>
        <v>3.3330000000000002</v>
      </c>
      <c r="AQ20" s="70">
        <f t="shared" si="5"/>
        <v>3.0270197614530423E-3</v>
      </c>
      <c r="AS20" s="61"/>
      <c r="AT20" s="62"/>
      <c r="AU20" s="62"/>
    </row>
    <row r="21" spans="2:47" x14ac:dyDescent="0.2">
      <c r="B21" s="3"/>
      <c r="C21" s="3" t="s">
        <v>17</v>
      </c>
      <c r="D21" s="5">
        <f>SUM(D10:D20)</f>
        <v>1101.0830000000001</v>
      </c>
      <c r="E21" s="5">
        <f>SUM(E10:E20)</f>
        <v>40.706777777777781</v>
      </c>
      <c r="F21" s="194">
        <f>D21/D31</f>
        <v>0.81496325540325798</v>
      </c>
      <c r="G21" s="251">
        <f t="shared" ref="G21:AK21" si="18">SUM(G10:G20)</f>
        <v>40.706777777777781</v>
      </c>
      <c r="H21" s="5">
        <f t="shared" si="18"/>
        <v>40.706777777777781</v>
      </c>
      <c r="I21" s="5">
        <f t="shared" si="18"/>
        <v>40.706777777777781</v>
      </c>
      <c r="J21" s="5">
        <f t="shared" si="18"/>
        <v>40.706777777777781</v>
      </c>
      <c r="K21" s="5">
        <f t="shared" si="18"/>
        <v>0</v>
      </c>
      <c r="L21" s="5">
        <f t="shared" si="18"/>
        <v>40.706777777777781</v>
      </c>
      <c r="M21" s="5">
        <f t="shared" si="18"/>
        <v>40.706777777777781</v>
      </c>
      <c r="N21" s="5">
        <f t="shared" si="18"/>
        <v>40.706777777777781</v>
      </c>
      <c r="O21" s="5">
        <f t="shared" si="18"/>
        <v>40.706777777777781</v>
      </c>
      <c r="P21" s="5">
        <f t="shared" si="18"/>
        <v>40.706777777777781</v>
      </c>
      <c r="Q21" s="5">
        <f t="shared" si="18"/>
        <v>40.706777777777781</v>
      </c>
      <c r="R21" s="5">
        <f t="shared" si="18"/>
        <v>0</v>
      </c>
      <c r="S21" s="5">
        <f t="shared" si="18"/>
        <v>40.706777777777781</v>
      </c>
      <c r="T21" s="5">
        <f t="shared" si="18"/>
        <v>40.706777777777781</v>
      </c>
      <c r="U21" s="5">
        <f t="shared" si="18"/>
        <v>40.706777777777781</v>
      </c>
      <c r="V21" s="5">
        <f t="shared" si="18"/>
        <v>40.706777777777781</v>
      </c>
      <c r="W21" s="5">
        <f t="shared" si="18"/>
        <v>40.706777777777781</v>
      </c>
      <c r="X21" s="5">
        <f t="shared" si="18"/>
        <v>40.706777777777781</v>
      </c>
      <c r="Y21" s="5">
        <f t="shared" si="18"/>
        <v>0</v>
      </c>
      <c r="Z21" s="5">
        <f t="shared" si="18"/>
        <v>40.706777777777781</v>
      </c>
      <c r="AA21" s="5">
        <f t="shared" si="18"/>
        <v>40.706777777777781</v>
      </c>
      <c r="AB21" s="5">
        <f t="shared" si="18"/>
        <v>40.706777777777781</v>
      </c>
      <c r="AC21" s="5">
        <f t="shared" si="18"/>
        <v>40.706777777777781</v>
      </c>
      <c r="AD21" s="5">
        <f t="shared" si="18"/>
        <v>40.706777777777781</v>
      </c>
      <c r="AE21" s="5">
        <f t="shared" si="18"/>
        <v>40.706777777777781</v>
      </c>
      <c r="AF21" s="5">
        <f t="shared" si="18"/>
        <v>2</v>
      </c>
      <c r="AG21" s="5">
        <f t="shared" si="18"/>
        <v>40.706777777777781</v>
      </c>
      <c r="AH21" s="5">
        <f t="shared" si="18"/>
        <v>40.706777777777781</v>
      </c>
      <c r="AI21" s="5">
        <f t="shared" si="18"/>
        <v>40.706777777777781</v>
      </c>
      <c r="AJ21" s="5">
        <f t="shared" si="18"/>
        <v>40.706777777777781</v>
      </c>
      <c r="AK21" s="5">
        <f t="shared" si="18"/>
        <v>40.706777777777781</v>
      </c>
      <c r="AM21" s="40">
        <f>SUM(AM10:AM20)</f>
        <v>1038.0330000000001</v>
      </c>
      <c r="AN21" s="74">
        <f>AM21/$D$21</f>
        <v>0.94273819503161893</v>
      </c>
      <c r="AP21" s="5">
        <f>SUM(AP10:AP20)</f>
        <v>1101.0830000000005</v>
      </c>
      <c r="AQ21" s="153">
        <f t="shared" si="5"/>
        <v>1.0000000000000004</v>
      </c>
      <c r="AS21" s="14"/>
      <c r="AT21" s="29"/>
      <c r="AU21" s="29"/>
    </row>
    <row r="22" spans="2:47" s="16" customFormat="1" ht="4.5" customHeight="1" x14ac:dyDescent="0.2">
      <c r="D22" s="14"/>
      <c r="E22" s="14"/>
      <c r="F22" s="200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M22" s="61"/>
      <c r="AN22" s="93"/>
      <c r="AP22" s="14"/>
      <c r="AQ22" s="28"/>
      <c r="AS22" s="14"/>
      <c r="AT22" s="29"/>
      <c r="AU22" s="29"/>
    </row>
    <row r="23" spans="2:47" s="255" customFormat="1" x14ac:dyDescent="0.2">
      <c r="B23" s="43"/>
      <c r="C23" s="43" t="s">
        <v>77</v>
      </c>
      <c r="D23" s="40"/>
      <c r="E23" s="40"/>
      <c r="F23" s="206"/>
      <c r="G23" s="253">
        <f t="shared" ref="G23:M23" si="19">G5-G21</f>
        <v>-18.221777777777781</v>
      </c>
      <c r="H23" s="40">
        <f t="shared" si="19"/>
        <v>14.793222222222219</v>
      </c>
      <c r="I23" s="40">
        <f t="shared" si="19"/>
        <v>0.10822222222222422</v>
      </c>
      <c r="J23" s="40">
        <f t="shared" si="19"/>
        <v>2.3432222222222165</v>
      </c>
      <c r="K23" s="40">
        <f t="shared" si="19"/>
        <v>0</v>
      </c>
      <c r="L23" s="40">
        <f t="shared" si="19"/>
        <v>8.43322222222222</v>
      </c>
      <c r="M23" s="40">
        <f t="shared" si="19"/>
        <v>-8.9817777777777827</v>
      </c>
      <c r="N23" s="40">
        <f t="shared" ref="N23:AK23" si="20">N6-N21</f>
        <v>1.1582222222222214</v>
      </c>
      <c r="O23" s="40">
        <f t="shared" si="20"/>
        <v>-1.8417777777777786</v>
      </c>
      <c r="P23" s="40">
        <f t="shared" si="20"/>
        <v>-3.806777777777782</v>
      </c>
      <c r="Q23" s="40">
        <f t="shared" si="20"/>
        <v>-5.9067777777777835</v>
      </c>
      <c r="R23" s="40">
        <f t="shared" si="20"/>
        <v>0</v>
      </c>
      <c r="S23" s="40">
        <f t="shared" si="20"/>
        <v>-4.556777777777782</v>
      </c>
      <c r="T23" s="40">
        <f t="shared" si="20"/>
        <v>-4.3767777777777823</v>
      </c>
      <c r="U23" s="40">
        <f t="shared" si="20"/>
        <v>-0.88177777777778488</v>
      </c>
      <c r="V23" s="40">
        <f t="shared" si="20"/>
        <v>5.2082222222222185</v>
      </c>
      <c r="W23" s="40">
        <f t="shared" si="20"/>
        <v>-20.516777777777783</v>
      </c>
      <c r="X23" s="40">
        <f t="shared" si="20"/>
        <v>-2.4717777777777812</v>
      </c>
      <c r="Y23" s="40">
        <f t="shared" si="20"/>
        <v>0</v>
      </c>
      <c r="Z23" s="40">
        <f t="shared" si="20"/>
        <v>-15.521777777777782</v>
      </c>
      <c r="AA23" s="40">
        <f t="shared" si="20"/>
        <v>-2.9517777777777852</v>
      </c>
      <c r="AB23" s="40">
        <f t="shared" si="20"/>
        <v>-5.3817777777777849</v>
      </c>
      <c r="AC23" s="40">
        <f t="shared" si="20"/>
        <v>2.0432222222222194</v>
      </c>
      <c r="AD23" s="40">
        <f t="shared" si="20"/>
        <v>3.5432222222222194</v>
      </c>
      <c r="AE23" s="40">
        <f t="shared" si="20"/>
        <v>1.068222222222218</v>
      </c>
      <c r="AF23" s="40">
        <f t="shared" si="20"/>
        <v>12.504999999999999</v>
      </c>
      <c r="AG23" s="40">
        <f t="shared" si="20"/>
        <v>-13.016777777777783</v>
      </c>
      <c r="AH23" s="40">
        <f t="shared" si="20"/>
        <v>-14.951777777777782</v>
      </c>
      <c r="AI23" s="40">
        <f t="shared" si="20"/>
        <v>-13.856777777777783</v>
      </c>
      <c r="AJ23" s="40">
        <f t="shared" si="20"/>
        <v>-10.376777777777782</v>
      </c>
      <c r="AK23" s="40">
        <f t="shared" si="20"/>
        <v>-3.6267777777777823</v>
      </c>
      <c r="AM23" s="40">
        <f>D21-AM21</f>
        <v>63.049999999999955</v>
      </c>
      <c r="AN23" s="74"/>
      <c r="AP23" s="40">
        <f>SUM(G23:AK23)</f>
        <v>-100.04300000000012</v>
      </c>
      <c r="AQ23" s="70"/>
      <c r="AS23" s="61">
        <f>AP23+AM23</f>
        <v>-36.993000000000166</v>
      </c>
      <c r="AT23" s="62"/>
      <c r="AU23" s="62"/>
    </row>
    <row r="24" spans="2:47" s="16" customFormat="1" ht="15" customHeight="1" thickBot="1" x14ac:dyDescent="0.25">
      <c r="C24" s="16" t="s">
        <v>76</v>
      </c>
      <c r="D24" s="14"/>
      <c r="E24" s="14"/>
      <c r="F24" s="200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M24" s="61"/>
      <c r="AN24" s="93"/>
      <c r="AP24" s="14"/>
      <c r="AQ24" s="28"/>
      <c r="AS24" s="14"/>
      <c r="AT24" s="29"/>
      <c r="AU24" s="29"/>
    </row>
    <row r="25" spans="2:47" s="255" customFormat="1" x14ac:dyDescent="0.2">
      <c r="B25" s="207">
        <v>12</v>
      </c>
      <c r="C25" s="208" t="s">
        <v>68</v>
      </c>
      <c r="D25" s="209">
        <v>100</v>
      </c>
      <c r="E25" s="209">
        <f>D25/27</f>
        <v>3.7037037037037037</v>
      </c>
      <c r="F25" s="210">
        <f>D25/$D$29</f>
        <v>0.4</v>
      </c>
      <c r="G25" s="211">
        <v>0</v>
      </c>
      <c r="H25" s="209">
        <f>E25</f>
        <v>3.7037037037037037</v>
      </c>
      <c r="I25" s="209">
        <f>$I$23*F25</f>
        <v>4.3288888888889689E-2</v>
      </c>
      <c r="J25" s="209">
        <f>$J$23*F25</f>
        <v>0.93728888888888662</v>
      </c>
      <c r="K25" s="209">
        <v>0</v>
      </c>
      <c r="L25" s="209">
        <f>$L$23*F25</f>
        <v>3.3732888888888883</v>
      </c>
      <c r="M25" s="209">
        <v>0</v>
      </c>
      <c r="N25" s="209">
        <f>$N$23*F25</f>
        <v>0.46328888888888858</v>
      </c>
      <c r="O25" s="209">
        <v>0</v>
      </c>
      <c r="P25" s="209">
        <v>0</v>
      </c>
      <c r="Q25" s="209">
        <v>0</v>
      </c>
      <c r="R25" s="209">
        <v>0</v>
      </c>
      <c r="S25" s="209">
        <v>0</v>
      </c>
      <c r="T25" s="209">
        <v>0</v>
      </c>
      <c r="U25" s="209">
        <v>0</v>
      </c>
      <c r="V25" s="209">
        <f>$V$23*F25</f>
        <v>2.0832888888888874</v>
      </c>
      <c r="W25" s="209">
        <v>0</v>
      </c>
      <c r="X25" s="209">
        <v>0</v>
      </c>
      <c r="Y25" s="209">
        <v>0</v>
      </c>
      <c r="Z25" s="209">
        <v>0</v>
      </c>
      <c r="AA25" s="209">
        <v>0</v>
      </c>
      <c r="AB25" s="209">
        <v>0</v>
      </c>
      <c r="AC25" s="209">
        <f>$AC$23*F25</f>
        <v>0.81728888888888784</v>
      </c>
      <c r="AD25" s="209">
        <f>$AD$23*F25</f>
        <v>1.4172888888888879</v>
      </c>
      <c r="AE25" s="209">
        <f>$AE$23*F25</f>
        <v>0.42728888888888722</v>
      </c>
      <c r="AF25" s="209">
        <f>E25</f>
        <v>3.7037037037037037</v>
      </c>
      <c r="AG25" s="209">
        <v>0</v>
      </c>
      <c r="AH25" s="209">
        <v>0</v>
      </c>
      <c r="AI25" s="209">
        <v>0</v>
      </c>
      <c r="AJ25" s="209">
        <v>0</v>
      </c>
      <c r="AK25" s="209">
        <v>0</v>
      </c>
      <c r="AM25" s="103">
        <v>0</v>
      </c>
      <c r="AN25" s="104">
        <f>AM25/D25</f>
        <v>0</v>
      </c>
      <c r="AP25" s="212">
        <f>SUM(G25:AK25)</f>
        <v>16.969718518518508</v>
      </c>
      <c r="AQ25" s="210">
        <f>AP25/$D$29</f>
        <v>6.787887407407403E-2</v>
      </c>
      <c r="AS25" s="61"/>
      <c r="AT25" s="62"/>
      <c r="AU25" s="62"/>
    </row>
    <row r="26" spans="2:47" x14ac:dyDescent="0.2">
      <c r="B26" s="117">
        <v>13</v>
      </c>
      <c r="C26" s="101" t="s">
        <v>69</v>
      </c>
      <c r="D26" s="118">
        <v>50</v>
      </c>
      <c r="E26" s="118">
        <f t="shared" ref="E26:E28" si="21">D26/27</f>
        <v>1.8518518518518519</v>
      </c>
      <c r="F26" s="121">
        <f>D26/$D$29</f>
        <v>0.2</v>
      </c>
      <c r="G26" s="190">
        <v>0</v>
      </c>
      <c r="H26" s="118">
        <f>E26</f>
        <v>1.8518518518518519</v>
      </c>
      <c r="I26" s="118">
        <f t="shared" ref="I26:I28" si="22">$I$23*F26</f>
        <v>2.1644444444444844E-2</v>
      </c>
      <c r="J26" s="118">
        <f t="shared" ref="J26:J28" si="23">$J$23*F26</f>
        <v>0.46864444444444331</v>
      </c>
      <c r="K26" s="118">
        <v>0</v>
      </c>
      <c r="L26" s="118">
        <f t="shared" ref="L26:L28" si="24">$L$23*F26</f>
        <v>1.6866444444444442</v>
      </c>
      <c r="M26" s="118">
        <v>0</v>
      </c>
      <c r="N26" s="118">
        <f t="shared" ref="N26:N28" si="25">$N$23*F26</f>
        <v>0.23164444444444429</v>
      </c>
      <c r="O26" s="118">
        <v>0</v>
      </c>
      <c r="P26" s="118">
        <v>0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f t="shared" ref="V26:V28" si="26">$V$23*F26</f>
        <v>1.0416444444444437</v>
      </c>
      <c r="W26" s="118">
        <v>0</v>
      </c>
      <c r="X26" s="118">
        <v>0</v>
      </c>
      <c r="Y26" s="118">
        <v>0</v>
      </c>
      <c r="Z26" s="118">
        <v>0</v>
      </c>
      <c r="AA26" s="118">
        <v>0</v>
      </c>
      <c r="AB26" s="118">
        <v>0</v>
      </c>
      <c r="AC26" s="118">
        <f>$AC$23*F26</f>
        <v>0.40864444444444392</v>
      </c>
      <c r="AD26" s="118">
        <f t="shared" ref="AD26:AD28" si="27">$AD$23*F26</f>
        <v>0.70864444444444397</v>
      </c>
      <c r="AE26" s="118">
        <f t="shared" ref="AE26:AE28" si="28">$AE$23*F26</f>
        <v>0.21364444444444361</v>
      </c>
      <c r="AF26" s="118">
        <f t="shared" ref="AF26:AF28" si="29">E26</f>
        <v>1.8518518518518519</v>
      </c>
      <c r="AG26" s="118">
        <v>0</v>
      </c>
      <c r="AH26" s="118">
        <v>0</v>
      </c>
      <c r="AI26" s="118">
        <v>0</v>
      </c>
      <c r="AJ26" s="118">
        <v>0</v>
      </c>
      <c r="AK26" s="118">
        <v>0</v>
      </c>
      <c r="AM26" s="105">
        <v>0</v>
      </c>
      <c r="AN26" s="106">
        <f>AM26/D26</f>
        <v>0</v>
      </c>
      <c r="AP26" s="110">
        <f>SUM(G26:AK26)</f>
        <v>8.4848592592592542</v>
      </c>
      <c r="AQ26" s="121">
        <f t="shared" ref="AQ26:AQ28" si="30">AP26/$D$29</f>
        <v>3.3939437037037015E-2</v>
      </c>
      <c r="AS26" s="14">
        <f>SUM(AP25:AP28)</f>
        <v>42.424296296296269</v>
      </c>
      <c r="AT26" s="29"/>
      <c r="AU26" s="29"/>
    </row>
    <row r="27" spans="2:47" s="255" customFormat="1" x14ac:dyDescent="0.2">
      <c r="B27" s="213">
        <v>14</v>
      </c>
      <c r="C27" s="214" t="s">
        <v>70</v>
      </c>
      <c r="D27" s="215">
        <v>50</v>
      </c>
      <c r="E27" s="215">
        <f t="shared" si="21"/>
        <v>1.8518518518518519</v>
      </c>
      <c r="F27" s="216">
        <f>D27/$D$29</f>
        <v>0.2</v>
      </c>
      <c r="G27" s="217">
        <v>0</v>
      </c>
      <c r="H27" s="215">
        <f>E27</f>
        <v>1.8518518518518519</v>
      </c>
      <c r="I27" s="215">
        <f t="shared" si="22"/>
        <v>2.1644444444444844E-2</v>
      </c>
      <c r="J27" s="215">
        <f t="shared" si="23"/>
        <v>0.46864444444444331</v>
      </c>
      <c r="K27" s="215">
        <v>0</v>
      </c>
      <c r="L27" s="215">
        <f t="shared" si="24"/>
        <v>1.6866444444444442</v>
      </c>
      <c r="M27" s="215">
        <v>0</v>
      </c>
      <c r="N27" s="215">
        <f t="shared" si="25"/>
        <v>0.23164444444444429</v>
      </c>
      <c r="O27" s="215">
        <v>0</v>
      </c>
      <c r="P27" s="215">
        <v>0</v>
      </c>
      <c r="Q27" s="215">
        <v>0</v>
      </c>
      <c r="R27" s="215">
        <v>0</v>
      </c>
      <c r="S27" s="215">
        <v>0</v>
      </c>
      <c r="T27" s="215">
        <v>0</v>
      </c>
      <c r="U27" s="215">
        <v>0</v>
      </c>
      <c r="V27" s="215">
        <f t="shared" si="26"/>
        <v>1.0416444444444437</v>
      </c>
      <c r="W27" s="215">
        <v>0</v>
      </c>
      <c r="X27" s="215">
        <v>0</v>
      </c>
      <c r="Y27" s="215">
        <v>0</v>
      </c>
      <c r="Z27" s="215">
        <v>0</v>
      </c>
      <c r="AA27" s="215">
        <v>0</v>
      </c>
      <c r="AB27" s="215">
        <v>0</v>
      </c>
      <c r="AC27" s="215">
        <f>$AC$23*F27</f>
        <v>0.40864444444444392</v>
      </c>
      <c r="AD27" s="215">
        <f t="shared" si="27"/>
        <v>0.70864444444444397</v>
      </c>
      <c r="AE27" s="215">
        <f t="shared" si="28"/>
        <v>0.21364444444444361</v>
      </c>
      <c r="AF27" s="215">
        <f t="shared" si="29"/>
        <v>1.8518518518518519</v>
      </c>
      <c r="AG27" s="215">
        <v>0</v>
      </c>
      <c r="AH27" s="215">
        <v>0</v>
      </c>
      <c r="AI27" s="215">
        <v>0</v>
      </c>
      <c r="AJ27" s="215">
        <v>0</v>
      </c>
      <c r="AK27" s="215">
        <v>0</v>
      </c>
      <c r="AM27" s="105">
        <v>0</v>
      </c>
      <c r="AN27" s="106">
        <f>AM27/D27</f>
        <v>0</v>
      </c>
      <c r="AP27" s="219">
        <f>SUM(G27:AK27)</f>
        <v>8.4848592592592542</v>
      </c>
      <c r="AQ27" s="216">
        <f t="shared" si="30"/>
        <v>3.3939437037037015E-2</v>
      </c>
      <c r="AS27" s="61"/>
      <c r="AT27" s="62"/>
      <c r="AU27" s="62"/>
    </row>
    <row r="28" spans="2:47" ht="15.75" thickBot="1" x14ac:dyDescent="0.25">
      <c r="B28" s="122">
        <v>15</v>
      </c>
      <c r="C28" s="102" t="s">
        <v>71</v>
      </c>
      <c r="D28" s="123">
        <v>50</v>
      </c>
      <c r="E28" s="123">
        <f t="shared" si="21"/>
        <v>1.8518518518518519</v>
      </c>
      <c r="F28" s="195">
        <f>D28/$D$29</f>
        <v>0.2</v>
      </c>
      <c r="G28" s="191">
        <v>0</v>
      </c>
      <c r="H28" s="123">
        <f>E28</f>
        <v>1.8518518518518519</v>
      </c>
      <c r="I28" s="123">
        <f t="shared" si="22"/>
        <v>2.1644444444444844E-2</v>
      </c>
      <c r="J28" s="123">
        <f t="shared" si="23"/>
        <v>0.46864444444444331</v>
      </c>
      <c r="K28" s="123">
        <v>0</v>
      </c>
      <c r="L28" s="123">
        <f t="shared" si="24"/>
        <v>1.6866444444444442</v>
      </c>
      <c r="M28" s="123">
        <v>0</v>
      </c>
      <c r="N28" s="123">
        <f t="shared" si="25"/>
        <v>0.23164444444444429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f t="shared" si="26"/>
        <v>1.0416444444444437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f>$AC$23*F28</f>
        <v>0.40864444444444392</v>
      </c>
      <c r="AD28" s="123">
        <f t="shared" si="27"/>
        <v>0.70864444444444397</v>
      </c>
      <c r="AE28" s="123">
        <f t="shared" si="28"/>
        <v>0.21364444444444361</v>
      </c>
      <c r="AF28" s="123">
        <f t="shared" si="29"/>
        <v>1.8518518518518519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M28" s="107">
        <v>0</v>
      </c>
      <c r="AN28" s="108">
        <f>AM28/D28</f>
        <v>0</v>
      </c>
      <c r="AP28" s="111">
        <f>SUM(G28:AK28)</f>
        <v>8.4848592592592542</v>
      </c>
      <c r="AQ28" s="126">
        <f t="shared" si="30"/>
        <v>3.3939437037037015E-2</v>
      </c>
      <c r="AS28" s="14"/>
      <c r="AT28" s="29"/>
      <c r="AU28" s="29"/>
    </row>
    <row r="29" spans="2:47" x14ac:dyDescent="0.2">
      <c r="B29" s="3"/>
      <c r="C29" s="3" t="s">
        <v>78</v>
      </c>
      <c r="D29" s="5">
        <f>SUM(D25:D28)</f>
        <v>250</v>
      </c>
      <c r="E29" s="5">
        <f>SUM(E25:E28)</f>
        <v>9.2592592592592595</v>
      </c>
      <c r="F29" s="194">
        <f>D29/D31</f>
        <v>0.18503674459674202</v>
      </c>
      <c r="G29" s="251">
        <f t="shared" ref="G29:AK29" si="31">SUM(G25:G28)</f>
        <v>0</v>
      </c>
      <c r="H29" s="5">
        <f t="shared" si="31"/>
        <v>9.2592592592592595</v>
      </c>
      <c r="I29" s="5">
        <f t="shared" si="31"/>
        <v>0.10822222222222422</v>
      </c>
      <c r="J29" s="5">
        <f t="shared" si="31"/>
        <v>2.3432222222222165</v>
      </c>
      <c r="K29" s="5">
        <f t="shared" si="31"/>
        <v>0</v>
      </c>
      <c r="L29" s="5">
        <f t="shared" si="31"/>
        <v>8.43322222222222</v>
      </c>
      <c r="M29" s="5">
        <f t="shared" si="31"/>
        <v>0</v>
      </c>
      <c r="N29" s="5">
        <f t="shared" si="31"/>
        <v>1.1582222222222214</v>
      </c>
      <c r="O29" s="5">
        <f t="shared" si="31"/>
        <v>0</v>
      </c>
      <c r="P29" s="5">
        <f t="shared" si="31"/>
        <v>0</v>
      </c>
      <c r="Q29" s="5">
        <f t="shared" si="31"/>
        <v>0</v>
      </c>
      <c r="R29" s="5">
        <f t="shared" si="31"/>
        <v>0</v>
      </c>
      <c r="S29" s="5">
        <f t="shared" si="31"/>
        <v>0</v>
      </c>
      <c r="T29" s="5">
        <f t="shared" si="31"/>
        <v>0</v>
      </c>
      <c r="U29" s="5">
        <f t="shared" si="31"/>
        <v>0</v>
      </c>
      <c r="V29" s="5">
        <f t="shared" si="31"/>
        <v>5.2082222222222185</v>
      </c>
      <c r="W29" s="5">
        <f t="shared" si="31"/>
        <v>0</v>
      </c>
      <c r="X29" s="5">
        <f t="shared" si="31"/>
        <v>0</v>
      </c>
      <c r="Y29" s="5">
        <f t="shared" si="31"/>
        <v>0</v>
      </c>
      <c r="Z29" s="5">
        <f t="shared" si="31"/>
        <v>0</v>
      </c>
      <c r="AA29" s="5">
        <f t="shared" si="31"/>
        <v>0</v>
      </c>
      <c r="AB29" s="5">
        <f t="shared" si="31"/>
        <v>0</v>
      </c>
      <c r="AC29" s="5">
        <f t="shared" si="31"/>
        <v>2.0432222222222194</v>
      </c>
      <c r="AD29" s="5">
        <f t="shared" si="31"/>
        <v>3.5432222222222198</v>
      </c>
      <c r="AE29" s="5">
        <f t="shared" si="31"/>
        <v>1.068222222222218</v>
      </c>
      <c r="AF29" s="5">
        <f t="shared" si="31"/>
        <v>9.2592592592592595</v>
      </c>
      <c r="AG29" s="5">
        <f t="shared" si="31"/>
        <v>0</v>
      </c>
      <c r="AH29" s="5">
        <f t="shared" si="31"/>
        <v>0</v>
      </c>
      <c r="AI29" s="5">
        <f t="shared" si="31"/>
        <v>0</v>
      </c>
      <c r="AJ29" s="5">
        <f t="shared" ref="AJ29" si="32">SUM(AJ25:AJ28)</f>
        <v>0</v>
      </c>
      <c r="AK29" s="5">
        <f t="shared" si="31"/>
        <v>0</v>
      </c>
      <c r="AM29" s="40">
        <f>SUM(AM25:AM28)</f>
        <v>0</v>
      </c>
      <c r="AN29" s="74"/>
      <c r="AP29" s="5">
        <f>SUM(AP25:AP28)</f>
        <v>42.424296296296269</v>
      </c>
      <c r="AQ29" s="12" t="e">
        <f>AP29/AM29</f>
        <v>#DIV/0!</v>
      </c>
      <c r="AS29" s="14"/>
      <c r="AT29" s="29"/>
      <c r="AU29" s="29"/>
    </row>
    <row r="30" spans="2:47" s="16" customFormat="1" ht="4.5" customHeight="1" x14ac:dyDescent="0.2">
      <c r="B30" s="150"/>
      <c r="C30" s="150"/>
      <c r="D30" s="37"/>
      <c r="E30" s="37"/>
      <c r="F30" s="196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M30" s="80"/>
      <c r="AN30" s="152"/>
      <c r="AP30" s="37"/>
      <c r="AQ30" s="151"/>
      <c r="AS30" s="14"/>
      <c r="AT30" s="29"/>
      <c r="AU30" s="29"/>
    </row>
    <row r="31" spans="2:47" s="255" customFormat="1" x14ac:dyDescent="0.2">
      <c r="B31" s="43"/>
      <c r="C31" s="43" t="s">
        <v>80</v>
      </c>
      <c r="D31" s="40">
        <f>D21+D29</f>
        <v>1351.0830000000001</v>
      </c>
      <c r="E31" s="40">
        <f>E21+E29</f>
        <v>49.96603703703704</v>
      </c>
      <c r="F31" s="220">
        <f>F21+F29</f>
        <v>1</v>
      </c>
      <c r="G31" s="253">
        <f>G21+G29</f>
        <v>40.706777777777781</v>
      </c>
      <c r="H31" s="40">
        <f t="shared" ref="H31:AK31" si="33">H21+H29</f>
        <v>49.96603703703704</v>
      </c>
      <c r="I31" s="40">
        <f>I21+I29</f>
        <v>40.815000000000005</v>
      </c>
      <c r="J31" s="40">
        <f>J21+J29</f>
        <v>43.05</v>
      </c>
      <c r="K31" s="40">
        <f t="shared" si="33"/>
        <v>0</v>
      </c>
      <c r="L31" s="40">
        <f t="shared" si="33"/>
        <v>49.14</v>
      </c>
      <c r="M31" s="40">
        <f t="shared" si="33"/>
        <v>40.706777777777781</v>
      </c>
      <c r="N31" s="40">
        <f t="shared" si="33"/>
        <v>41.865000000000002</v>
      </c>
      <c r="O31" s="40">
        <f>O21+O29</f>
        <v>40.706777777777781</v>
      </c>
      <c r="P31" s="40">
        <f t="shared" si="33"/>
        <v>40.706777777777781</v>
      </c>
      <c r="Q31" s="40">
        <f t="shared" si="33"/>
        <v>40.706777777777781</v>
      </c>
      <c r="R31" s="40">
        <f t="shared" si="33"/>
        <v>0</v>
      </c>
      <c r="S31" s="40">
        <f t="shared" si="33"/>
        <v>40.706777777777781</v>
      </c>
      <c r="T31" s="40">
        <f t="shared" si="33"/>
        <v>40.706777777777781</v>
      </c>
      <c r="U31" s="40">
        <f t="shared" si="33"/>
        <v>40.706777777777781</v>
      </c>
      <c r="V31" s="40">
        <f t="shared" si="33"/>
        <v>45.914999999999999</v>
      </c>
      <c r="W31" s="40">
        <f t="shared" si="33"/>
        <v>40.706777777777781</v>
      </c>
      <c r="X31" s="40">
        <f t="shared" si="33"/>
        <v>40.706777777777781</v>
      </c>
      <c r="Y31" s="40">
        <f t="shared" si="33"/>
        <v>0</v>
      </c>
      <c r="Z31" s="40">
        <f t="shared" si="33"/>
        <v>40.706777777777781</v>
      </c>
      <c r="AA31" s="40">
        <f t="shared" si="33"/>
        <v>40.706777777777781</v>
      </c>
      <c r="AB31" s="40">
        <f t="shared" si="33"/>
        <v>40.706777777777781</v>
      </c>
      <c r="AC31" s="40">
        <f t="shared" si="33"/>
        <v>42.75</v>
      </c>
      <c r="AD31" s="40">
        <f t="shared" si="33"/>
        <v>44.25</v>
      </c>
      <c r="AE31" s="40">
        <f t="shared" si="33"/>
        <v>41.774999999999999</v>
      </c>
      <c r="AF31" s="40">
        <f>AF21+AF29</f>
        <v>11.25925925925926</v>
      </c>
      <c r="AG31" s="40">
        <f t="shared" si="33"/>
        <v>40.706777777777781</v>
      </c>
      <c r="AH31" s="40">
        <f t="shared" si="33"/>
        <v>40.706777777777781</v>
      </c>
      <c r="AI31" s="40">
        <f t="shared" si="33"/>
        <v>40.706777777777781</v>
      </c>
      <c r="AJ31" s="40">
        <f t="shared" ref="AJ31" si="34">AJ21+AJ29</f>
        <v>40.706777777777781</v>
      </c>
      <c r="AK31" s="40">
        <f t="shared" si="33"/>
        <v>40.706777777777781</v>
      </c>
      <c r="AM31" s="40">
        <f>AM21+AM29</f>
        <v>1038.0330000000001</v>
      </c>
      <c r="AN31" s="74">
        <f>AM31/D31</f>
        <v>0.76829698841595973</v>
      </c>
      <c r="AP31" s="40">
        <f>AP21+AP29</f>
        <v>1143.5072962962968</v>
      </c>
      <c r="AQ31" s="70">
        <f>AP31/D31</f>
        <v>0.8463634701171554</v>
      </c>
      <c r="AS31" s="61"/>
      <c r="AT31" s="62"/>
      <c r="AU31" s="62"/>
    </row>
    <row r="32" spans="2:47" s="16" customFormat="1" ht="4.5" customHeight="1" x14ac:dyDescent="0.2">
      <c r="B32" s="18"/>
      <c r="C32" s="18"/>
      <c r="D32" s="19"/>
      <c r="E32" s="19"/>
      <c r="F32" s="197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M32" s="71"/>
      <c r="AN32" s="71"/>
      <c r="AP32" s="19"/>
      <c r="AQ32" s="20"/>
      <c r="AS32" s="14"/>
      <c r="AT32" s="29"/>
      <c r="AU32" s="29"/>
    </row>
    <row r="33" spans="2:47" x14ac:dyDescent="0.2">
      <c r="B33" s="127"/>
      <c r="C33" s="127" t="s">
        <v>74</v>
      </c>
      <c r="D33" s="99">
        <v>1000</v>
      </c>
      <c r="E33" s="99">
        <f>D33/27</f>
        <v>37.037037037037038</v>
      </c>
      <c r="F33" s="198">
        <f>D33/D35</f>
        <v>0.42533589839235791</v>
      </c>
      <c r="G33" s="192">
        <f>$E$33</f>
        <v>37.037037037037038</v>
      </c>
      <c r="H33" s="99">
        <f>$E$33</f>
        <v>37.037037037037038</v>
      </c>
      <c r="I33" s="99">
        <f>$E$33</f>
        <v>37.037037037037038</v>
      </c>
      <c r="J33" s="99">
        <f>$E$33</f>
        <v>37.037037037037038</v>
      </c>
      <c r="K33" s="99">
        <v>0</v>
      </c>
      <c r="L33" s="99">
        <f t="shared" ref="L33:AK33" si="35">$E$33</f>
        <v>37.037037037037038</v>
      </c>
      <c r="M33" s="99">
        <f t="shared" si="35"/>
        <v>37.037037037037038</v>
      </c>
      <c r="N33" s="99">
        <f t="shared" si="35"/>
        <v>37.037037037037038</v>
      </c>
      <c r="O33" s="99">
        <f t="shared" si="35"/>
        <v>37.037037037037038</v>
      </c>
      <c r="P33" s="99">
        <f t="shared" si="35"/>
        <v>37.037037037037038</v>
      </c>
      <c r="Q33" s="99">
        <f t="shared" si="35"/>
        <v>37.037037037037038</v>
      </c>
      <c r="R33" s="99">
        <v>0</v>
      </c>
      <c r="S33" s="99">
        <f t="shared" si="35"/>
        <v>37.037037037037038</v>
      </c>
      <c r="T33" s="99">
        <f t="shared" si="35"/>
        <v>37.037037037037038</v>
      </c>
      <c r="U33" s="99">
        <f t="shared" si="35"/>
        <v>37.037037037037038</v>
      </c>
      <c r="V33" s="99">
        <f t="shared" si="35"/>
        <v>37.037037037037038</v>
      </c>
      <c r="W33" s="99">
        <f t="shared" si="35"/>
        <v>37.037037037037038</v>
      </c>
      <c r="X33" s="99">
        <f t="shared" si="35"/>
        <v>37.037037037037038</v>
      </c>
      <c r="Y33" s="99">
        <v>0</v>
      </c>
      <c r="Z33" s="99">
        <f t="shared" si="35"/>
        <v>37.037037037037038</v>
      </c>
      <c r="AA33" s="99">
        <f t="shared" si="35"/>
        <v>37.037037037037038</v>
      </c>
      <c r="AB33" s="99">
        <f t="shared" si="35"/>
        <v>37.037037037037038</v>
      </c>
      <c r="AC33" s="99">
        <f t="shared" si="35"/>
        <v>37.037037037037038</v>
      </c>
      <c r="AD33" s="99">
        <f t="shared" si="35"/>
        <v>37.037037037037038</v>
      </c>
      <c r="AE33" s="99">
        <f t="shared" si="35"/>
        <v>37.037037037037038</v>
      </c>
      <c r="AF33" s="99">
        <v>0</v>
      </c>
      <c r="AG33" s="99">
        <f t="shared" si="35"/>
        <v>37.037037037037038</v>
      </c>
      <c r="AH33" s="99">
        <f t="shared" si="35"/>
        <v>37.037037037037038</v>
      </c>
      <c r="AI33" s="99">
        <f t="shared" si="35"/>
        <v>37.037037037037038</v>
      </c>
      <c r="AJ33" s="99">
        <f t="shared" si="35"/>
        <v>37.037037037037038</v>
      </c>
      <c r="AK33" s="99">
        <f t="shared" si="35"/>
        <v>37.037037037037038</v>
      </c>
      <c r="AM33" s="97">
        <v>0</v>
      </c>
      <c r="AN33" s="98">
        <f>AM33/D33</f>
        <v>0</v>
      </c>
      <c r="AP33" s="99">
        <f>SUM(G33:AK33)</f>
        <v>1000.0000000000006</v>
      </c>
      <c r="AQ33" s="128" t="e">
        <f>AP33/AM33</f>
        <v>#DIV/0!</v>
      </c>
      <c r="AS33" s="14"/>
      <c r="AT33" s="29"/>
      <c r="AU33" s="29"/>
    </row>
    <row r="34" spans="2:47" s="16" customFormat="1" ht="4.5" customHeight="1" x14ac:dyDescent="0.2">
      <c r="B34" s="18"/>
      <c r="C34" s="18"/>
      <c r="D34" s="19"/>
      <c r="E34" s="19"/>
      <c r="F34" s="197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M34" s="71"/>
      <c r="AN34" s="71"/>
      <c r="AP34" s="19"/>
      <c r="AQ34" s="20"/>
      <c r="AS34" s="14"/>
      <c r="AT34" s="29"/>
      <c r="AU34" s="29"/>
    </row>
    <row r="35" spans="2:47" s="81" customFormat="1" x14ac:dyDescent="0.2">
      <c r="B35" s="43"/>
      <c r="C35" s="43" t="s">
        <v>79</v>
      </c>
      <c r="D35" s="40">
        <f>D31+D33</f>
        <v>2351.0830000000001</v>
      </c>
      <c r="E35" s="40">
        <f>E31+E33</f>
        <v>87.003074074074078</v>
      </c>
      <c r="F35" s="220">
        <f>(D21/D35)+(D29/D35)+(D33/D35)</f>
        <v>1</v>
      </c>
      <c r="G35" s="253">
        <f>$E$35</f>
        <v>87.003074074074078</v>
      </c>
      <c r="H35" s="40">
        <f>$E$35</f>
        <v>87.003074074074078</v>
      </c>
      <c r="I35" s="40">
        <f>$E$35</f>
        <v>87.003074074074078</v>
      </c>
      <c r="J35" s="40">
        <f>$E$35</f>
        <v>87.003074074074078</v>
      </c>
      <c r="K35" s="40">
        <v>0</v>
      </c>
      <c r="L35" s="40">
        <f t="shared" ref="L35:AK35" si="36">$E$35</f>
        <v>87.003074074074078</v>
      </c>
      <c r="M35" s="40">
        <f t="shared" si="36"/>
        <v>87.003074074074078</v>
      </c>
      <c r="N35" s="40">
        <f t="shared" si="36"/>
        <v>87.003074074074078</v>
      </c>
      <c r="O35" s="40">
        <f t="shared" si="36"/>
        <v>87.003074074074078</v>
      </c>
      <c r="P35" s="40">
        <f t="shared" si="36"/>
        <v>87.003074074074078</v>
      </c>
      <c r="Q35" s="40">
        <f t="shared" si="36"/>
        <v>87.003074074074078</v>
      </c>
      <c r="R35" s="40">
        <v>0</v>
      </c>
      <c r="S35" s="40">
        <f t="shared" si="36"/>
        <v>87.003074074074078</v>
      </c>
      <c r="T35" s="40">
        <f t="shared" si="36"/>
        <v>87.003074074074078</v>
      </c>
      <c r="U35" s="40">
        <f t="shared" si="36"/>
        <v>87.003074074074078</v>
      </c>
      <c r="V35" s="40">
        <f t="shared" si="36"/>
        <v>87.003074074074078</v>
      </c>
      <c r="W35" s="40">
        <f t="shared" si="36"/>
        <v>87.003074074074078</v>
      </c>
      <c r="X35" s="40">
        <f t="shared" si="36"/>
        <v>87.003074074074078</v>
      </c>
      <c r="Y35" s="40">
        <v>0</v>
      </c>
      <c r="Z35" s="40">
        <f t="shared" si="36"/>
        <v>87.003074074074078</v>
      </c>
      <c r="AA35" s="40">
        <f t="shared" si="36"/>
        <v>87.003074074074078</v>
      </c>
      <c r="AB35" s="40">
        <f t="shared" si="36"/>
        <v>87.003074074074078</v>
      </c>
      <c r="AC35" s="40">
        <f t="shared" si="36"/>
        <v>87.003074074074078</v>
      </c>
      <c r="AD35" s="40">
        <f t="shared" si="36"/>
        <v>87.003074074074078</v>
      </c>
      <c r="AE35" s="40">
        <f>$E$35</f>
        <v>87.003074074074078</v>
      </c>
      <c r="AF35" s="40">
        <f t="shared" si="36"/>
        <v>87.003074074074078</v>
      </c>
      <c r="AG35" s="40">
        <f t="shared" si="36"/>
        <v>87.003074074074078</v>
      </c>
      <c r="AH35" s="40">
        <f t="shared" si="36"/>
        <v>87.003074074074078</v>
      </c>
      <c r="AI35" s="40">
        <f t="shared" si="36"/>
        <v>87.003074074074078</v>
      </c>
      <c r="AJ35" s="40">
        <f t="shared" si="36"/>
        <v>87.003074074074078</v>
      </c>
      <c r="AK35" s="40">
        <f t="shared" si="36"/>
        <v>87.003074074074078</v>
      </c>
      <c r="AL35" s="255"/>
      <c r="AM35" s="40">
        <f>AM31+AM33</f>
        <v>1038.0330000000001</v>
      </c>
      <c r="AN35" s="74">
        <f>AM35/D35</f>
        <v>0.44151269861591447</v>
      </c>
      <c r="AO35" s="255"/>
      <c r="AP35" s="40">
        <f>AP31+AP33</f>
        <v>2143.5072962962972</v>
      </c>
      <c r="AQ35" s="70">
        <f>AP35/D35</f>
        <v>0.91171060158075967</v>
      </c>
      <c r="AR35" s="255"/>
      <c r="AS35" s="61"/>
      <c r="AT35" s="62"/>
      <c r="AU35" s="62"/>
    </row>
    <row r="36" spans="2:47" s="16" customFormat="1" x14ac:dyDescent="0.2">
      <c r="B36" s="18"/>
      <c r="C36" s="18"/>
      <c r="D36" s="19"/>
      <c r="E36" s="19"/>
      <c r="F36" s="197"/>
      <c r="G36" s="19"/>
      <c r="H36" s="19"/>
      <c r="I36" s="19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M36" s="71"/>
      <c r="AN36" s="71"/>
      <c r="AP36" s="19"/>
      <c r="AQ36" s="21"/>
      <c r="AS36" s="14"/>
      <c r="AT36" s="29"/>
      <c r="AU36" s="29"/>
    </row>
    <row r="37" spans="2:47" s="271" customFormat="1" x14ac:dyDescent="0.2">
      <c r="B37" s="201"/>
      <c r="C37" s="201" t="s">
        <v>81</v>
      </c>
      <c r="D37" s="89">
        <f>D21*100/30</f>
        <v>3670.2766666666666</v>
      </c>
      <c r="E37" s="89">
        <f>D37/27</f>
        <v>135.93617283950618</v>
      </c>
      <c r="F37" s="221">
        <f>E37*30%</f>
        <v>40.780851851851857</v>
      </c>
      <c r="G37" s="222">
        <f t="shared" ref="G37:AK37" si="37">G5-G21</f>
        <v>-18.221777777777781</v>
      </c>
      <c r="H37" s="223">
        <f t="shared" si="37"/>
        <v>14.793222222222219</v>
      </c>
      <c r="I37" s="223">
        <f t="shared" si="37"/>
        <v>0.10822222222222422</v>
      </c>
      <c r="J37" s="223">
        <f t="shared" si="37"/>
        <v>2.3432222222222165</v>
      </c>
      <c r="K37" s="223">
        <f t="shared" si="37"/>
        <v>0</v>
      </c>
      <c r="L37" s="223">
        <f t="shared" si="37"/>
        <v>8.43322222222222</v>
      </c>
      <c r="M37" s="223">
        <f t="shared" si="37"/>
        <v>-8.9817777777777827</v>
      </c>
      <c r="N37" s="223">
        <f t="shared" si="37"/>
        <v>1.1582222222222214</v>
      </c>
      <c r="O37" s="223">
        <f t="shared" si="37"/>
        <v>-1.8417777777777786</v>
      </c>
      <c r="P37" s="223">
        <f t="shared" si="37"/>
        <v>-3.806777777777782</v>
      </c>
      <c r="Q37" s="223">
        <f t="shared" si="37"/>
        <v>-5.9067777777777835</v>
      </c>
      <c r="R37" s="223">
        <f t="shared" si="37"/>
        <v>0</v>
      </c>
      <c r="S37" s="223">
        <f t="shared" si="37"/>
        <v>-4.556777777777782</v>
      </c>
      <c r="T37" s="223">
        <f t="shared" si="37"/>
        <v>-4.3767777777777823</v>
      </c>
      <c r="U37" s="223">
        <f t="shared" si="37"/>
        <v>-0.88177777777778488</v>
      </c>
      <c r="V37" s="223">
        <f t="shared" si="37"/>
        <v>5.2082222222222185</v>
      </c>
      <c r="W37" s="223">
        <f t="shared" si="37"/>
        <v>-20.516777777777783</v>
      </c>
      <c r="X37" s="223">
        <f t="shared" si="37"/>
        <v>-2.4717777777777812</v>
      </c>
      <c r="Y37" s="223">
        <f t="shared" si="37"/>
        <v>0</v>
      </c>
      <c r="Z37" s="223">
        <f t="shared" si="37"/>
        <v>-15.521777777777782</v>
      </c>
      <c r="AA37" s="223">
        <f t="shared" si="37"/>
        <v>-2.9517777777777852</v>
      </c>
      <c r="AB37" s="223">
        <f t="shared" si="37"/>
        <v>-5.3817777777777849</v>
      </c>
      <c r="AC37" s="223">
        <f t="shared" si="37"/>
        <v>2.0432222222222194</v>
      </c>
      <c r="AD37" s="223">
        <f t="shared" si="37"/>
        <v>3.5432222222222194</v>
      </c>
      <c r="AE37" s="223">
        <f t="shared" si="37"/>
        <v>1.068222222222218</v>
      </c>
      <c r="AF37" s="223">
        <f>AF5-AF21</f>
        <v>12.504999999999999</v>
      </c>
      <c r="AG37" s="223">
        <f t="shared" si="37"/>
        <v>-13.016777777777783</v>
      </c>
      <c r="AH37" s="223">
        <f t="shared" si="37"/>
        <v>-14.951777777777782</v>
      </c>
      <c r="AI37" s="223">
        <f t="shared" si="37"/>
        <v>-13.856777777777783</v>
      </c>
      <c r="AJ37" s="223">
        <f t="shared" si="37"/>
        <v>-10.376777777777782</v>
      </c>
      <c r="AK37" s="223">
        <f t="shared" si="37"/>
        <v>-3.6267777777777823</v>
      </c>
      <c r="AL37" s="224"/>
      <c r="AM37" s="202"/>
      <c r="AN37" s="202"/>
      <c r="AO37" s="224"/>
      <c r="AP37" s="202">
        <f>SUM(G37:AK37)</f>
        <v>-100.04300000000012</v>
      </c>
      <c r="AQ37" s="225"/>
      <c r="AS37" s="203"/>
      <c r="AT37" s="291"/>
      <c r="AU37" s="226"/>
    </row>
    <row r="38" spans="2:47" x14ac:dyDescent="0.2">
      <c r="B38" s="43"/>
      <c r="C38" s="43" t="s">
        <v>81</v>
      </c>
      <c r="D38" s="89">
        <f>D31*100/30</f>
        <v>4503.6100000000006</v>
      </c>
      <c r="E38" s="132">
        <f>D38/27</f>
        <v>166.80037037037039</v>
      </c>
      <c r="F38" s="199">
        <f>E38*30%</f>
        <v>50.040111111111116</v>
      </c>
      <c r="G38" s="253">
        <f t="shared" ref="G38:AK38" si="38">G5-G31</f>
        <v>-18.221777777777781</v>
      </c>
      <c r="H38" s="40">
        <f t="shared" si="38"/>
        <v>5.5339629629629599</v>
      </c>
      <c r="I38" s="40">
        <f>I5-I31</f>
        <v>0</v>
      </c>
      <c r="J38" s="40">
        <f t="shared" si="38"/>
        <v>0</v>
      </c>
      <c r="K38" s="40">
        <f t="shared" si="38"/>
        <v>0</v>
      </c>
      <c r="L38" s="40">
        <f t="shared" si="38"/>
        <v>0</v>
      </c>
      <c r="M38" s="40">
        <f t="shared" si="38"/>
        <v>-8.9817777777777827</v>
      </c>
      <c r="N38" s="40">
        <f t="shared" si="38"/>
        <v>0</v>
      </c>
      <c r="O38" s="40">
        <f t="shared" si="38"/>
        <v>-1.8417777777777786</v>
      </c>
      <c r="P38" s="40">
        <f t="shared" si="38"/>
        <v>-3.806777777777782</v>
      </c>
      <c r="Q38" s="40">
        <f t="shared" si="38"/>
        <v>-5.9067777777777835</v>
      </c>
      <c r="R38" s="40">
        <f t="shared" si="38"/>
        <v>0</v>
      </c>
      <c r="S38" s="40">
        <f t="shared" si="38"/>
        <v>-4.556777777777782</v>
      </c>
      <c r="T38" s="40">
        <f t="shared" si="38"/>
        <v>-4.3767777777777823</v>
      </c>
      <c r="U38" s="40">
        <f t="shared" si="38"/>
        <v>-0.88177777777778488</v>
      </c>
      <c r="V38" s="40">
        <f t="shared" si="38"/>
        <v>0</v>
      </c>
      <c r="W38" s="40">
        <f t="shared" si="38"/>
        <v>-20.516777777777783</v>
      </c>
      <c r="X38" s="40">
        <f t="shared" si="38"/>
        <v>-2.4717777777777812</v>
      </c>
      <c r="Y38" s="40">
        <f t="shared" si="38"/>
        <v>0</v>
      </c>
      <c r="Z38" s="40">
        <f t="shared" si="38"/>
        <v>-15.521777777777782</v>
      </c>
      <c r="AA38" s="40">
        <f t="shared" si="38"/>
        <v>-2.9517777777777852</v>
      </c>
      <c r="AB38" s="40">
        <f t="shared" si="38"/>
        <v>-5.3817777777777849</v>
      </c>
      <c r="AC38" s="40">
        <f t="shared" si="38"/>
        <v>0</v>
      </c>
      <c r="AD38" s="40">
        <f t="shared" si="38"/>
        <v>0</v>
      </c>
      <c r="AE38" s="40">
        <f t="shared" si="38"/>
        <v>0</v>
      </c>
      <c r="AF38" s="40">
        <f>AF5-AF31</f>
        <v>3.2457407407407395</v>
      </c>
      <c r="AG38" s="40">
        <f t="shared" si="38"/>
        <v>-13.016777777777783</v>
      </c>
      <c r="AH38" s="40">
        <f t="shared" si="38"/>
        <v>-14.951777777777782</v>
      </c>
      <c r="AI38" s="40">
        <f t="shared" si="38"/>
        <v>-13.856777777777783</v>
      </c>
      <c r="AJ38" s="40">
        <f t="shared" si="38"/>
        <v>-10.376777777777782</v>
      </c>
      <c r="AK38" s="40">
        <f t="shared" si="38"/>
        <v>-3.6267777777777823</v>
      </c>
      <c r="AL38" s="255"/>
      <c r="AM38" s="40"/>
      <c r="AN38" s="40"/>
      <c r="AO38" s="255"/>
      <c r="AP38" s="40">
        <f>SUM(G38:AK38)</f>
        <v>-142.46729629629641</v>
      </c>
      <c r="AQ38" s="51"/>
      <c r="AS38" s="171"/>
    </row>
    <row r="39" spans="2:47" s="224" customFormat="1" x14ac:dyDescent="0.2">
      <c r="B39" s="201"/>
      <c r="C39" s="201" t="s">
        <v>75</v>
      </c>
      <c r="D39" s="89">
        <f>D35*100/30</f>
        <v>7836.9433333333336</v>
      </c>
      <c r="E39" s="89">
        <f>D39/27</f>
        <v>290.25716049382714</v>
      </c>
      <c r="F39" s="221">
        <f>E39*30%</f>
        <v>87.07714814814814</v>
      </c>
      <c r="G39" s="227">
        <f>G5-G35</f>
        <v>-64.518074074074079</v>
      </c>
      <c r="H39" s="227">
        <f t="shared" ref="H39:AK39" si="39">H5-H35</f>
        <v>-31.503074074074078</v>
      </c>
      <c r="I39" s="227">
        <f t="shared" si="39"/>
        <v>-46.188074074074073</v>
      </c>
      <c r="J39" s="227">
        <f t="shared" si="39"/>
        <v>-43.953074074074081</v>
      </c>
      <c r="K39" s="227">
        <f t="shared" si="39"/>
        <v>0</v>
      </c>
      <c r="L39" s="227">
        <f t="shared" si="39"/>
        <v>-37.863074074074078</v>
      </c>
      <c r="M39" s="227">
        <f t="shared" si="39"/>
        <v>-55.278074074074084</v>
      </c>
      <c r="N39" s="227">
        <f t="shared" si="39"/>
        <v>-45.138074074074076</v>
      </c>
      <c r="O39" s="227">
        <f t="shared" si="39"/>
        <v>-48.138074074074076</v>
      </c>
      <c r="P39" s="227">
        <f t="shared" si="39"/>
        <v>-50.10307407407408</v>
      </c>
      <c r="Q39" s="227">
        <f t="shared" si="39"/>
        <v>-52.203074074074081</v>
      </c>
      <c r="R39" s="227">
        <f t="shared" si="39"/>
        <v>0</v>
      </c>
      <c r="S39" s="227">
        <f t="shared" si="39"/>
        <v>-50.85307407407408</v>
      </c>
      <c r="T39" s="227">
        <f t="shared" si="39"/>
        <v>-50.67307407407408</v>
      </c>
      <c r="U39" s="227">
        <f t="shared" si="39"/>
        <v>-47.178074074074082</v>
      </c>
      <c r="V39" s="227">
        <f t="shared" si="39"/>
        <v>-41.088074074074079</v>
      </c>
      <c r="W39" s="227">
        <f t="shared" si="39"/>
        <v>-66.81307407407408</v>
      </c>
      <c r="X39" s="227">
        <f t="shared" si="39"/>
        <v>-48.768074074074079</v>
      </c>
      <c r="Y39" s="227">
        <f t="shared" si="39"/>
        <v>0</v>
      </c>
      <c r="Z39" s="227">
        <f t="shared" si="39"/>
        <v>-61.818074074074076</v>
      </c>
      <c r="AA39" s="227">
        <f t="shared" si="39"/>
        <v>-49.248074074074083</v>
      </c>
      <c r="AB39" s="227">
        <f t="shared" si="39"/>
        <v>-51.678074074074082</v>
      </c>
      <c r="AC39" s="227">
        <f t="shared" si="39"/>
        <v>-44.253074074074078</v>
      </c>
      <c r="AD39" s="227">
        <f t="shared" si="39"/>
        <v>-42.753074074074078</v>
      </c>
      <c r="AE39" s="227">
        <f t="shared" si="39"/>
        <v>-45.22807407407408</v>
      </c>
      <c r="AF39" s="227">
        <v>0</v>
      </c>
      <c r="AG39" s="227">
        <f t="shared" si="39"/>
        <v>-59.31307407407408</v>
      </c>
      <c r="AH39" s="227">
        <f t="shared" si="39"/>
        <v>-61.248074074074083</v>
      </c>
      <c r="AI39" s="227">
        <f t="shared" si="39"/>
        <v>-60.153074074074084</v>
      </c>
      <c r="AJ39" s="227">
        <f t="shared" si="39"/>
        <v>-56.67307407407408</v>
      </c>
      <c r="AK39" s="227">
        <f t="shared" si="39"/>
        <v>-49.92307407407408</v>
      </c>
      <c r="AM39" s="202"/>
      <c r="AN39" s="202"/>
      <c r="AP39" s="202">
        <f>SUM(G39:AK39)</f>
        <v>-1362.5480000000002</v>
      </c>
      <c r="AQ39" s="228"/>
    </row>
    <row r="47" spans="2:47" x14ac:dyDescent="0.2">
      <c r="V47" s="171"/>
    </row>
  </sheetData>
  <mergeCells count="7">
    <mergeCell ref="AV1:AX2"/>
    <mergeCell ref="AN4:AN8"/>
    <mergeCell ref="C1:C2"/>
    <mergeCell ref="D1:F1"/>
    <mergeCell ref="D2:F2"/>
    <mergeCell ref="AM4:AM8"/>
    <mergeCell ref="AF1:AF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P55"/>
  <sheetViews>
    <sheetView zoomScale="80" zoomScaleNormal="80" workbookViewId="0">
      <pane xSplit="6" ySplit="11" topLeftCell="G12" activePane="bottomRight" state="frozen"/>
      <selection pane="topRight" activeCell="G1" sqref="G1"/>
      <selection pane="bottomLeft" activeCell="A8" sqref="A8"/>
      <selection pane="bottomRight" activeCell="G5" sqref="G5"/>
    </sheetView>
  </sheetViews>
  <sheetFormatPr defaultColWidth="9.125" defaultRowHeight="14.25" x14ac:dyDescent="0.2"/>
  <cols>
    <col min="1" max="1" width="1.75" style="2" customWidth="1"/>
    <col min="2" max="2" width="4.75" style="2" customWidth="1"/>
    <col min="3" max="3" width="45.625" style="2" bestFit="1" customWidth="1"/>
    <col min="4" max="4" width="10.375" style="2" bestFit="1" customWidth="1"/>
    <col min="5" max="5" width="10.375" style="2" customWidth="1"/>
    <col min="6" max="6" width="9.25" style="2" bestFit="1" customWidth="1"/>
    <col min="7" max="19" width="9.125" style="2"/>
    <col min="20" max="35" width="10" style="2" bestFit="1" customWidth="1"/>
    <col min="36" max="36" width="10" style="2" customWidth="1"/>
    <col min="37" max="37" width="1.75" style="2" customWidth="1"/>
    <col min="38" max="39" width="9" style="2" customWidth="1"/>
    <col min="40" max="40" width="1.75" style="2" customWidth="1"/>
    <col min="41" max="41" width="10" style="2" bestFit="1" customWidth="1"/>
    <col min="42" max="42" width="8.125" style="2" bestFit="1" customWidth="1"/>
    <col min="43" max="16384" width="9.125" style="2"/>
  </cols>
  <sheetData>
    <row r="1" spans="2:42" ht="15.75" customHeight="1" x14ac:dyDescent="0.2">
      <c r="C1" s="4433">
        <v>43405</v>
      </c>
      <c r="D1" s="284"/>
      <c r="E1" s="284"/>
      <c r="F1" s="285"/>
      <c r="G1" s="133"/>
    </row>
    <row r="2" spans="2:42" ht="15" customHeight="1" x14ac:dyDescent="0.2">
      <c r="C2" s="4433"/>
      <c r="G2" s="133"/>
    </row>
    <row r="3" spans="2:42" ht="15" customHeight="1" x14ac:dyDescent="0.2">
      <c r="G3" s="133"/>
    </row>
    <row r="4" spans="2:42" s="255" customFormat="1" ht="15" customHeight="1" x14ac:dyDescent="0.2">
      <c r="C4" s="287" t="s">
        <v>42</v>
      </c>
      <c r="D4" s="40">
        <f>D36/0.71</f>
        <v>3065.6901408450713</v>
      </c>
      <c r="E4" s="40">
        <v>0.71</v>
      </c>
      <c r="F4" s="41">
        <f>D4*E4</f>
        <v>2176.6400000000003</v>
      </c>
      <c r="G4" s="273">
        <f t="shared" ref="G4:AJ4" si="0">$F$4/30</f>
        <v>72.554666666666677</v>
      </c>
      <c r="H4" s="292">
        <f t="shared" si="0"/>
        <v>72.554666666666677</v>
      </c>
      <c r="I4" s="296">
        <f t="shared" si="0"/>
        <v>72.554666666666677</v>
      </c>
      <c r="J4" s="297">
        <f t="shared" si="0"/>
        <v>72.554666666666677</v>
      </c>
      <c r="K4" s="299">
        <f t="shared" si="0"/>
        <v>72.554666666666677</v>
      </c>
      <c r="L4" s="301">
        <f t="shared" si="0"/>
        <v>72.554666666666677</v>
      </c>
      <c r="M4" s="302">
        <f t="shared" si="0"/>
        <v>72.554666666666677</v>
      </c>
      <c r="N4" s="303">
        <f t="shared" si="0"/>
        <v>72.554666666666677</v>
      </c>
      <c r="O4" s="304">
        <f t="shared" si="0"/>
        <v>72.554666666666677</v>
      </c>
      <c r="P4" s="310">
        <f t="shared" si="0"/>
        <v>72.554666666666677</v>
      </c>
      <c r="Q4" s="312">
        <f t="shared" si="0"/>
        <v>72.554666666666677</v>
      </c>
      <c r="R4" s="313">
        <f t="shared" si="0"/>
        <v>72.554666666666677</v>
      </c>
      <c r="S4" s="315">
        <f t="shared" si="0"/>
        <v>72.554666666666677</v>
      </c>
      <c r="T4" s="316">
        <f t="shared" si="0"/>
        <v>72.554666666666677</v>
      </c>
      <c r="U4" s="317">
        <f t="shared" si="0"/>
        <v>72.554666666666677</v>
      </c>
      <c r="V4" s="318">
        <f t="shared" si="0"/>
        <v>72.554666666666677</v>
      </c>
      <c r="W4" s="318">
        <f t="shared" si="0"/>
        <v>72.554666666666677</v>
      </c>
      <c r="X4" s="319">
        <f t="shared" si="0"/>
        <v>72.554666666666677</v>
      </c>
      <c r="Y4" s="320">
        <f t="shared" si="0"/>
        <v>72.554666666666677</v>
      </c>
      <c r="Z4" s="321">
        <f t="shared" si="0"/>
        <v>72.554666666666677</v>
      </c>
      <c r="AA4" s="322">
        <f t="shared" si="0"/>
        <v>72.554666666666677</v>
      </c>
      <c r="AB4" s="328">
        <f t="shared" si="0"/>
        <v>72.554666666666677</v>
      </c>
      <c r="AC4" s="328">
        <f t="shared" si="0"/>
        <v>72.554666666666677</v>
      </c>
      <c r="AD4" s="376">
        <f t="shared" si="0"/>
        <v>72.554666666666677</v>
      </c>
      <c r="AE4" s="377">
        <f t="shared" si="0"/>
        <v>72.554666666666677</v>
      </c>
      <c r="AF4" s="377">
        <f t="shared" si="0"/>
        <v>72.554666666666677</v>
      </c>
      <c r="AG4" s="381">
        <f t="shared" si="0"/>
        <v>72.554666666666677</v>
      </c>
      <c r="AH4" s="383">
        <f t="shared" si="0"/>
        <v>72.554666666666677</v>
      </c>
      <c r="AI4" s="386">
        <f t="shared" si="0"/>
        <v>72.554666666666677</v>
      </c>
      <c r="AJ4" s="390">
        <f t="shared" si="0"/>
        <v>72.554666666666677</v>
      </c>
      <c r="AK4" s="50"/>
      <c r="AL4" s="4440" t="s">
        <v>54</v>
      </c>
      <c r="AM4" s="4443" t="s">
        <v>61</v>
      </c>
      <c r="AN4" s="50"/>
      <c r="AO4" s="40">
        <f>SUM(G4:AJ4)</f>
        <v>2176.6400000000003</v>
      </c>
      <c r="AP4" s="42"/>
    </row>
    <row r="5" spans="2:42" s="47" customFormat="1" ht="15" x14ac:dyDescent="0.2">
      <c r="C5" s="44" t="s">
        <v>40</v>
      </c>
      <c r="D5" s="45">
        <f>SUM(G5:AJ5)</f>
        <v>63.694999999999958</v>
      </c>
      <c r="E5" s="45"/>
      <c r="F5" s="46"/>
      <c r="G5" s="274">
        <f>'SHOP INCOME (11)'!G39</f>
        <v>8.9600000000000009</v>
      </c>
      <c r="H5" s="298">
        <f>'SHOP INCOME (11)'!H39</f>
        <v>0.69500000000000028</v>
      </c>
      <c r="I5" s="298">
        <f>'SHOP INCOME (11)'!I39</f>
        <v>-2.8300000000000018</v>
      </c>
      <c r="J5" s="298">
        <f>'SHOP INCOME (11)'!J39</f>
        <v>6.2449999999999974</v>
      </c>
      <c r="K5" s="298">
        <f>'SHOP INCOME (11)'!K39</f>
        <v>14.600000000000001</v>
      </c>
      <c r="L5" s="298">
        <f>'SHOP INCOME (11)'!L39</f>
        <v>-7.7949999999999982</v>
      </c>
      <c r="M5" s="298">
        <f>'SHOP INCOME (11)'!M39</f>
        <v>22.04</v>
      </c>
      <c r="N5" s="298">
        <f>'SHOP INCOME (11)'!N39</f>
        <v>19.714999999999996</v>
      </c>
      <c r="O5" s="298">
        <f>'SHOP INCOME (11)'!O39</f>
        <v>-15.64</v>
      </c>
      <c r="P5" s="298">
        <f>'SHOP INCOME (11)'!P39</f>
        <v>21.694999999999993</v>
      </c>
      <c r="Q5" s="298">
        <f>'SHOP INCOME (11)'!Q39</f>
        <v>17.630000000000003</v>
      </c>
      <c r="R5" s="298">
        <f>'SHOP INCOME (11)'!R39</f>
        <v>5.3599999999999994</v>
      </c>
      <c r="S5" s="298">
        <f>'SHOP INCOME (11)'!S39</f>
        <v>-12.43</v>
      </c>
      <c r="T5" s="298">
        <f>'SHOP INCOME (11)'!T39</f>
        <v>-4.5250000000000021</v>
      </c>
      <c r="U5" s="298">
        <f>'SHOP INCOME (11)'!U39</f>
        <v>-6.1000000000000014</v>
      </c>
      <c r="V5" s="298">
        <f>'SHOP INCOME (11)'!V39</f>
        <v>-30.715</v>
      </c>
      <c r="W5" s="298">
        <f>'SHOP INCOME (11)'!W39</f>
        <v>17.119999999999997</v>
      </c>
      <c r="X5" s="298">
        <f>'SHOP INCOME (11)'!X39</f>
        <v>5.4349999999999952</v>
      </c>
      <c r="Y5" s="298">
        <f>'SHOP INCOME (11)'!Y39</f>
        <v>-14.515000000000001</v>
      </c>
      <c r="Z5" s="298">
        <f>'SHOP INCOME (11)'!Z39</f>
        <v>-12.370000000000001</v>
      </c>
      <c r="AA5" s="298">
        <f>'SHOP INCOME (11)'!AA39</f>
        <v>-5.2150000000000034</v>
      </c>
      <c r="AB5" s="298">
        <f>'SHOP INCOME (11)'!AB39</f>
        <v>-17.290000000000003</v>
      </c>
      <c r="AC5" s="298">
        <f>'SHOP INCOME (11)'!AC39</f>
        <v>-19.115000000000009</v>
      </c>
      <c r="AD5" s="298">
        <f>'SHOP INCOME (11)'!AD39</f>
        <v>6.6499999999999986</v>
      </c>
      <c r="AE5" s="298">
        <f>'SHOP INCOME (11)'!AE39</f>
        <v>-3.2800000000000011</v>
      </c>
      <c r="AF5" s="298">
        <f>'SHOP INCOME (11)'!AF39</f>
        <v>2.3449999999999989</v>
      </c>
      <c r="AG5" s="298">
        <f>'SHOP INCOME (11)'!AG39</f>
        <v>5.4649999999999963</v>
      </c>
      <c r="AH5" s="298">
        <f>'SHOP INCOME (11)'!AH39</f>
        <v>31.984999999999999</v>
      </c>
      <c r="AI5" s="298">
        <f>'SHOP INCOME (11)'!AI39</f>
        <v>27.875</v>
      </c>
      <c r="AJ5" s="45">
        <f>'SHOP INCOME (11)'!AJ39</f>
        <v>1.6999999999999957</v>
      </c>
      <c r="AK5" s="48"/>
      <c r="AL5" s="4441"/>
      <c r="AM5" s="4444"/>
      <c r="AN5" s="48"/>
      <c r="AO5" s="45">
        <f>SUM(G5:AJ5)</f>
        <v>63.694999999999958</v>
      </c>
      <c r="AP5" s="46"/>
    </row>
    <row r="6" spans="2:42" ht="15" x14ac:dyDescent="0.2">
      <c r="C6" s="288" t="s">
        <v>29</v>
      </c>
      <c r="D6" s="6"/>
      <c r="E6" s="6"/>
      <c r="F6" s="8"/>
      <c r="G6" s="275"/>
      <c r="H6" s="281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7"/>
      <c r="AL6" s="4441"/>
      <c r="AM6" s="4444"/>
      <c r="AN6" s="7"/>
      <c r="AO6" s="5"/>
      <c r="AP6" s="27"/>
    </row>
    <row r="7" spans="2:42" ht="4.5" customHeight="1" x14ac:dyDescent="0.2">
      <c r="AL7" s="4441"/>
      <c r="AM7" s="4444"/>
    </row>
    <row r="8" spans="2:42" ht="15" x14ac:dyDescent="0.2">
      <c r="C8" s="3" t="s">
        <v>15</v>
      </c>
      <c r="D8" s="6"/>
      <c r="E8" s="6"/>
      <c r="F8" s="8"/>
      <c r="G8" s="272">
        <f>SUM(G4:G6)</f>
        <v>81.51466666666667</v>
      </c>
      <c r="H8" s="5">
        <f t="shared" ref="H8:AP8" si="1">SUM(H4:H6)</f>
        <v>73.249666666666684</v>
      </c>
      <c r="I8" s="5">
        <f t="shared" si="1"/>
        <v>69.724666666666678</v>
      </c>
      <c r="J8" s="5">
        <f t="shared" si="1"/>
        <v>78.799666666666667</v>
      </c>
      <c r="K8" s="5">
        <f t="shared" si="1"/>
        <v>87.154666666666685</v>
      </c>
      <c r="L8" s="5">
        <f t="shared" si="1"/>
        <v>64.759666666666675</v>
      </c>
      <c r="M8" s="5">
        <f t="shared" si="1"/>
        <v>94.594666666666683</v>
      </c>
      <c r="N8" s="5">
        <f t="shared" si="1"/>
        <v>92.269666666666666</v>
      </c>
      <c r="O8" s="5">
        <f t="shared" si="1"/>
        <v>56.914666666666676</v>
      </c>
      <c r="P8" s="5">
        <f t="shared" si="1"/>
        <v>94.24966666666667</v>
      </c>
      <c r="Q8" s="5">
        <f t="shared" si="1"/>
        <v>90.184666666666686</v>
      </c>
      <c r="R8" s="5">
        <f t="shared" si="1"/>
        <v>77.914666666666676</v>
      </c>
      <c r="S8" s="5">
        <f t="shared" si="1"/>
        <v>60.124666666666677</v>
      </c>
      <c r="T8" s="5">
        <f t="shared" si="1"/>
        <v>68.029666666666671</v>
      </c>
      <c r="U8" s="5">
        <f t="shared" si="1"/>
        <v>66.454666666666668</v>
      </c>
      <c r="V8" s="5">
        <f t="shared" si="1"/>
        <v>41.839666666666673</v>
      </c>
      <c r="W8" s="5">
        <f t="shared" si="1"/>
        <v>89.674666666666667</v>
      </c>
      <c r="X8" s="5">
        <f t="shared" si="1"/>
        <v>77.989666666666665</v>
      </c>
      <c r="Y8" s="5">
        <f t="shared" si="1"/>
        <v>58.039666666666676</v>
      </c>
      <c r="Z8" s="5">
        <f t="shared" si="1"/>
        <v>60.184666666666672</v>
      </c>
      <c r="AA8" s="5">
        <f t="shared" si="1"/>
        <v>67.339666666666673</v>
      </c>
      <c r="AB8" s="5">
        <f t="shared" si="1"/>
        <v>55.26466666666667</v>
      </c>
      <c r="AC8" s="5">
        <f t="shared" si="1"/>
        <v>53.439666666666668</v>
      </c>
      <c r="AD8" s="5">
        <f t="shared" si="1"/>
        <v>79.204666666666668</v>
      </c>
      <c r="AE8" s="5">
        <f t="shared" si="1"/>
        <v>69.274666666666675</v>
      </c>
      <c r="AF8" s="5">
        <f t="shared" si="1"/>
        <v>74.899666666666675</v>
      </c>
      <c r="AG8" s="5">
        <f t="shared" si="1"/>
        <v>78.019666666666666</v>
      </c>
      <c r="AH8" s="5">
        <f t="shared" si="1"/>
        <v>104.53966666666668</v>
      </c>
      <c r="AI8" s="5">
        <f t="shared" si="1"/>
        <v>100.42966666666668</v>
      </c>
      <c r="AJ8" s="5">
        <f t="shared" si="1"/>
        <v>74.254666666666679</v>
      </c>
      <c r="AL8" s="4441"/>
      <c r="AM8" s="4444"/>
      <c r="AO8" s="5">
        <f t="shared" si="1"/>
        <v>2240.3350000000005</v>
      </c>
      <c r="AP8" s="8">
        <f t="shared" si="1"/>
        <v>0</v>
      </c>
    </row>
    <row r="9" spans="2:42" ht="4.5" customHeight="1" x14ac:dyDescent="0.2">
      <c r="AL9" s="4441"/>
      <c r="AM9" s="4444"/>
    </row>
    <row r="10" spans="2:42" ht="15" customHeight="1" x14ac:dyDescent="0.2">
      <c r="G10" s="5" t="s">
        <v>51</v>
      </c>
      <c r="H10" s="158" t="s">
        <v>45</v>
      </c>
      <c r="I10" s="272" t="s">
        <v>46</v>
      </c>
      <c r="J10" s="272" t="s">
        <v>47</v>
      </c>
      <c r="K10" s="272" t="s">
        <v>48</v>
      </c>
      <c r="L10" s="272" t="s">
        <v>49</v>
      </c>
      <c r="M10" s="272" t="s">
        <v>50</v>
      </c>
      <c r="N10" s="272" t="s">
        <v>51</v>
      </c>
      <c r="O10" s="158" t="s">
        <v>45</v>
      </c>
      <c r="P10" s="272" t="s">
        <v>46</v>
      </c>
      <c r="Q10" s="272" t="s">
        <v>47</v>
      </c>
      <c r="R10" s="272" t="s">
        <v>48</v>
      </c>
      <c r="S10" s="272" t="s">
        <v>49</v>
      </c>
      <c r="T10" s="272" t="s">
        <v>50</v>
      </c>
      <c r="U10" s="272" t="s">
        <v>51</v>
      </c>
      <c r="V10" s="158" t="s">
        <v>45</v>
      </c>
      <c r="W10" s="272" t="s">
        <v>46</v>
      </c>
      <c r="X10" s="272" t="s">
        <v>47</v>
      </c>
      <c r="Y10" s="272" t="s">
        <v>48</v>
      </c>
      <c r="Z10" s="272" t="s">
        <v>49</v>
      </c>
      <c r="AA10" s="272" t="s">
        <v>50</v>
      </c>
      <c r="AB10" s="272" t="s">
        <v>51</v>
      </c>
      <c r="AC10" s="158" t="s">
        <v>45</v>
      </c>
      <c r="AD10" s="272" t="s">
        <v>46</v>
      </c>
      <c r="AE10" s="272" t="s">
        <v>47</v>
      </c>
      <c r="AF10" s="272" t="s">
        <v>48</v>
      </c>
      <c r="AG10" s="272" t="s">
        <v>49</v>
      </c>
      <c r="AH10" s="272" t="s">
        <v>50</v>
      </c>
      <c r="AI10" s="272" t="s">
        <v>51</v>
      </c>
      <c r="AJ10" s="118" t="s">
        <v>45</v>
      </c>
      <c r="AL10" s="4441"/>
      <c r="AM10" s="4444"/>
    </row>
    <row r="11" spans="2:42" x14ac:dyDescent="0.2">
      <c r="B11" s="1" t="s">
        <v>0</v>
      </c>
      <c r="C11" s="1" t="s">
        <v>1</v>
      </c>
      <c r="D11" s="1" t="s">
        <v>24</v>
      </c>
      <c r="E11" s="1" t="s">
        <v>25</v>
      </c>
      <c r="F11" s="1" t="s">
        <v>2</v>
      </c>
      <c r="G11" s="276">
        <v>1</v>
      </c>
      <c r="H11" s="278">
        <v>2</v>
      </c>
      <c r="I11" s="1">
        <v>3</v>
      </c>
      <c r="J11" s="1">
        <v>4</v>
      </c>
      <c r="K11" s="1">
        <v>5</v>
      </c>
      <c r="L11" s="1">
        <v>6</v>
      </c>
      <c r="M11" s="1">
        <v>7</v>
      </c>
      <c r="N11" s="1">
        <v>8</v>
      </c>
      <c r="O11" s="278">
        <v>9</v>
      </c>
      <c r="P11" s="1">
        <v>10</v>
      </c>
      <c r="Q11" s="1">
        <v>11</v>
      </c>
      <c r="R11" s="1">
        <v>12</v>
      </c>
      <c r="S11" s="1">
        <v>13</v>
      </c>
      <c r="T11" s="1">
        <v>14</v>
      </c>
      <c r="U11" s="1">
        <v>15</v>
      </c>
      <c r="V11" s="278">
        <v>16</v>
      </c>
      <c r="W11" s="1">
        <v>17</v>
      </c>
      <c r="X11" s="1">
        <v>18</v>
      </c>
      <c r="Y11" s="1">
        <v>19</v>
      </c>
      <c r="Z11" s="1">
        <v>20</v>
      </c>
      <c r="AA11" s="1">
        <v>21</v>
      </c>
      <c r="AB11" s="1">
        <v>22</v>
      </c>
      <c r="AC11" s="278">
        <v>23</v>
      </c>
      <c r="AD11" s="1">
        <v>24</v>
      </c>
      <c r="AE11" s="1">
        <v>25</v>
      </c>
      <c r="AF11" s="1">
        <v>26</v>
      </c>
      <c r="AG11" s="1">
        <v>27</v>
      </c>
      <c r="AH11" s="1">
        <v>28</v>
      </c>
      <c r="AI11" s="1">
        <v>29</v>
      </c>
      <c r="AJ11" s="278">
        <v>30</v>
      </c>
      <c r="AL11" s="4442"/>
      <c r="AM11" s="4445"/>
      <c r="AO11" s="1" t="s">
        <v>7</v>
      </c>
      <c r="AP11" s="1" t="s">
        <v>2</v>
      </c>
    </row>
    <row r="12" spans="2:42" ht="4.5" customHeight="1" x14ac:dyDescent="0.2"/>
    <row r="13" spans="2:42" ht="15" customHeight="1" x14ac:dyDescent="0.2">
      <c r="C13" s="4" t="s">
        <v>19</v>
      </c>
    </row>
    <row r="14" spans="2:42" ht="15" x14ac:dyDescent="0.2">
      <c r="B14" s="1">
        <v>1</v>
      </c>
      <c r="C14" s="1" t="s">
        <v>3</v>
      </c>
      <c r="D14" s="6">
        <v>465</v>
      </c>
      <c r="E14" s="6">
        <f>D14/30</f>
        <v>15.5</v>
      </c>
      <c r="F14" s="10">
        <f t="shared" ref="F14:F22" si="2">D14/$D$23</f>
        <v>0.31780964227620045</v>
      </c>
      <c r="G14" s="6">
        <f t="shared" ref="G14:AJ14" si="3">$E$14</f>
        <v>15.5</v>
      </c>
      <c r="H14" s="6">
        <f t="shared" si="3"/>
        <v>15.5</v>
      </c>
      <c r="I14" s="6">
        <f t="shared" si="3"/>
        <v>15.5</v>
      </c>
      <c r="J14" s="6">
        <f t="shared" si="3"/>
        <v>15.5</v>
      </c>
      <c r="K14" s="6">
        <f t="shared" si="3"/>
        <v>15.5</v>
      </c>
      <c r="L14" s="6">
        <f t="shared" si="3"/>
        <v>15.5</v>
      </c>
      <c r="M14" s="6">
        <f t="shared" si="3"/>
        <v>15.5</v>
      </c>
      <c r="N14" s="6">
        <f t="shared" si="3"/>
        <v>15.5</v>
      </c>
      <c r="O14" s="6">
        <f t="shared" si="3"/>
        <v>15.5</v>
      </c>
      <c r="P14" s="6">
        <f t="shared" si="3"/>
        <v>15.5</v>
      </c>
      <c r="Q14" s="6">
        <f t="shared" si="3"/>
        <v>15.5</v>
      </c>
      <c r="R14" s="6">
        <f t="shared" si="3"/>
        <v>15.5</v>
      </c>
      <c r="S14" s="6">
        <f t="shared" si="3"/>
        <v>15.5</v>
      </c>
      <c r="T14" s="6">
        <f t="shared" si="3"/>
        <v>15.5</v>
      </c>
      <c r="U14" s="6">
        <f t="shared" si="3"/>
        <v>15.5</v>
      </c>
      <c r="V14" s="6">
        <f t="shared" si="3"/>
        <v>15.5</v>
      </c>
      <c r="W14" s="6">
        <f t="shared" si="3"/>
        <v>15.5</v>
      </c>
      <c r="X14" s="6">
        <f t="shared" si="3"/>
        <v>15.5</v>
      </c>
      <c r="Y14" s="6">
        <f t="shared" si="3"/>
        <v>15.5</v>
      </c>
      <c r="Z14" s="6">
        <f t="shared" si="3"/>
        <v>15.5</v>
      </c>
      <c r="AA14" s="6">
        <f t="shared" si="3"/>
        <v>15.5</v>
      </c>
      <c r="AB14" s="6">
        <f t="shared" si="3"/>
        <v>15.5</v>
      </c>
      <c r="AC14" s="6">
        <f t="shared" si="3"/>
        <v>15.5</v>
      </c>
      <c r="AD14" s="6">
        <f t="shared" si="3"/>
        <v>15.5</v>
      </c>
      <c r="AE14" s="6">
        <f t="shared" si="3"/>
        <v>15.5</v>
      </c>
      <c r="AF14" s="6">
        <f t="shared" si="3"/>
        <v>15.5</v>
      </c>
      <c r="AG14" s="6">
        <f t="shared" si="3"/>
        <v>15.5</v>
      </c>
      <c r="AH14" s="6">
        <f t="shared" si="3"/>
        <v>15.5</v>
      </c>
      <c r="AI14" s="6">
        <f t="shared" si="3"/>
        <v>15.5</v>
      </c>
      <c r="AJ14" s="6">
        <f t="shared" si="3"/>
        <v>15.5</v>
      </c>
      <c r="AL14" s="43">
        <v>0</v>
      </c>
      <c r="AM14" s="74">
        <f t="shared" ref="AM14:AM23" si="4">AL14/D14</f>
        <v>0</v>
      </c>
      <c r="AO14" s="5">
        <f t="shared" ref="AO14:AO22" si="5">SUM(G14:AJ14)</f>
        <v>465</v>
      </c>
      <c r="AP14" s="70">
        <f t="shared" ref="AP14:AP22" si="6">AO14/$AO$23</f>
        <v>0.31780964227620045</v>
      </c>
    </row>
    <row r="15" spans="2:42" ht="15" x14ac:dyDescent="0.2">
      <c r="B15" s="1">
        <v>2</v>
      </c>
      <c r="C15" s="1" t="s">
        <v>12</v>
      </c>
      <c r="D15" s="6">
        <v>400</v>
      </c>
      <c r="E15" s="6">
        <f t="shared" ref="E15:E22" si="7">D15/30</f>
        <v>13.333333333333334</v>
      </c>
      <c r="F15" s="10">
        <f t="shared" si="2"/>
        <v>0.27338463851716172</v>
      </c>
      <c r="G15" s="6">
        <f t="shared" ref="G15:AJ15" si="8">$E$15</f>
        <v>13.333333333333334</v>
      </c>
      <c r="H15" s="6">
        <f t="shared" si="8"/>
        <v>13.333333333333334</v>
      </c>
      <c r="I15" s="6">
        <f t="shared" si="8"/>
        <v>13.333333333333334</v>
      </c>
      <c r="J15" s="6">
        <f t="shared" si="8"/>
        <v>13.333333333333334</v>
      </c>
      <c r="K15" s="6">
        <f t="shared" si="8"/>
        <v>13.333333333333334</v>
      </c>
      <c r="L15" s="6">
        <f t="shared" si="8"/>
        <v>13.333333333333334</v>
      </c>
      <c r="M15" s="6">
        <f t="shared" si="8"/>
        <v>13.333333333333334</v>
      </c>
      <c r="N15" s="6">
        <f t="shared" si="8"/>
        <v>13.333333333333334</v>
      </c>
      <c r="O15" s="6">
        <f t="shared" si="8"/>
        <v>13.333333333333334</v>
      </c>
      <c r="P15" s="6">
        <f t="shared" si="8"/>
        <v>13.333333333333334</v>
      </c>
      <c r="Q15" s="6">
        <f t="shared" si="8"/>
        <v>13.333333333333334</v>
      </c>
      <c r="R15" s="6">
        <f t="shared" si="8"/>
        <v>13.333333333333334</v>
      </c>
      <c r="S15" s="6">
        <f t="shared" si="8"/>
        <v>13.333333333333334</v>
      </c>
      <c r="T15" s="6">
        <f t="shared" si="8"/>
        <v>13.333333333333334</v>
      </c>
      <c r="U15" s="6">
        <f t="shared" si="8"/>
        <v>13.333333333333334</v>
      </c>
      <c r="V15" s="6">
        <f t="shared" si="8"/>
        <v>13.333333333333334</v>
      </c>
      <c r="W15" s="6">
        <f t="shared" si="8"/>
        <v>13.333333333333334</v>
      </c>
      <c r="X15" s="6">
        <f t="shared" si="8"/>
        <v>13.333333333333334</v>
      </c>
      <c r="Y15" s="6">
        <f t="shared" si="8"/>
        <v>13.333333333333334</v>
      </c>
      <c r="Z15" s="6">
        <f t="shared" si="8"/>
        <v>13.333333333333334</v>
      </c>
      <c r="AA15" s="6">
        <f t="shared" si="8"/>
        <v>13.333333333333334</v>
      </c>
      <c r="AB15" s="6">
        <f t="shared" si="8"/>
        <v>13.333333333333334</v>
      </c>
      <c r="AC15" s="6">
        <f t="shared" si="8"/>
        <v>13.333333333333334</v>
      </c>
      <c r="AD15" s="6">
        <f t="shared" si="8"/>
        <v>13.333333333333334</v>
      </c>
      <c r="AE15" s="6">
        <f t="shared" si="8"/>
        <v>13.333333333333334</v>
      </c>
      <c r="AF15" s="6">
        <f t="shared" si="8"/>
        <v>13.333333333333334</v>
      </c>
      <c r="AG15" s="6">
        <f t="shared" si="8"/>
        <v>13.333333333333334</v>
      </c>
      <c r="AH15" s="6">
        <f t="shared" si="8"/>
        <v>13.333333333333334</v>
      </c>
      <c r="AI15" s="6">
        <f t="shared" si="8"/>
        <v>13.333333333333334</v>
      </c>
      <c r="AJ15" s="6">
        <f t="shared" si="8"/>
        <v>13.333333333333334</v>
      </c>
      <c r="AL15" s="43">
        <v>0</v>
      </c>
      <c r="AM15" s="74">
        <f t="shared" si="4"/>
        <v>0</v>
      </c>
      <c r="AO15" s="5">
        <f t="shared" si="5"/>
        <v>399.99999999999989</v>
      </c>
      <c r="AP15" s="70">
        <f t="shared" si="6"/>
        <v>0.2733846385171616</v>
      </c>
    </row>
    <row r="16" spans="2:42" ht="15" x14ac:dyDescent="0.2">
      <c r="B16" s="1">
        <v>3</v>
      </c>
      <c r="C16" s="1" t="s">
        <v>11</v>
      </c>
      <c r="D16" s="6">
        <v>220</v>
      </c>
      <c r="E16" s="6">
        <f t="shared" si="7"/>
        <v>7.333333333333333</v>
      </c>
      <c r="F16" s="10">
        <f t="shared" si="2"/>
        <v>0.15036155118443895</v>
      </c>
      <c r="G16" s="6">
        <f t="shared" ref="G16:AJ16" si="9">$E$16</f>
        <v>7.333333333333333</v>
      </c>
      <c r="H16" s="6">
        <f t="shared" si="9"/>
        <v>7.333333333333333</v>
      </c>
      <c r="I16" s="6">
        <f t="shared" si="9"/>
        <v>7.333333333333333</v>
      </c>
      <c r="J16" s="6">
        <f t="shared" si="9"/>
        <v>7.333333333333333</v>
      </c>
      <c r="K16" s="6">
        <f t="shared" si="9"/>
        <v>7.333333333333333</v>
      </c>
      <c r="L16" s="6">
        <f t="shared" si="9"/>
        <v>7.333333333333333</v>
      </c>
      <c r="M16" s="6">
        <f t="shared" si="9"/>
        <v>7.333333333333333</v>
      </c>
      <c r="N16" s="6">
        <f t="shared" si="9"/>
        <v>7.333333333333333</v>
      </c>
      <c r="O16" s="6">
        <f t="shared" si="9"/>
        <v>7.333333333333333</v>
      </c>
      <c r="P16" s="6">
        <f t="shared" si="9"/>
        <v>7.333333333333333</v>
      </c>
      <c r="Q16" s="6">
        <f t="shared" si="9"/>
        <v>7.333333333333333</v>
      </c>
      <c r="R16" s="6">
        <f t="shared" si="9"/>
        <v>7.333333333333333</v>
      </c>
      <c r="S16" s="6">
        <f t="shared" si="9"/>
        <v>7.333333333333333</v>
      </c>
      <c r="T16" s="6">
        <f t="shared" si="9"/>
        <v>7.333333333333333</v>
      </c>
      <c r="U16" s="6">
        <f t="shared" si="9"/>
        <v>7.333333333333333</v>
      </c>
      <c r="V16" s="6">
        <f t="shared" si="9"/>
        <v>7.333333333333333</v>
      </c>
      <c r="W16" s="6">
        <f t="shared" si="9"/>
        <v>7.333333333333333</v>
      </c>
      <c r="X16" s="6">
        <f t="shared" si="9"/>
        <v>7.333333333333333</v>
      </c>
      <c r="Y16" s="6">
        <f t="shared" si="9"/>
        <v>7.333333333333333</v>
      </c>
      <c r="Z16" s="6">
        <f t="shared" si="9"/>
        <v>7.333333333333333</v>
      </c>
      <c r="AA16" s="6">
        <f t="shared" si="9"/>
        <v>7.333333333333333</v>
      </c>
      <c r="AB16" s="6">
        <f t="shared" si="9"/>
        <v>7.333333333333333</v>
      </c>
      <c r="AC16" s="6">
        <f t="shared" si="9"/>
        <v>7.333333333333333</v>
      </c>
      <c r="AD16" s="6">
        <f t="shared" si="9"/>
        <v>7.333333333333333</v>
      </c>
      <c r="AE16" s="6">
        <f t="shared" si="9"/>
        <v>7.333333333333333</v>
      </c>
      <c r="AF16" s="6">
        <f t="shared" si="9"/>
        <v>7.333333333333333</v>
      </c>
      <c r="AG16" s="6">
        <f t="shared" si="9"/>
        <v>7.333333333333333</v>
      </c>
      <c r="AH16" s="6">
        <f t="shared" si="9"/>
        <v>7.333333333333333</v>
      </c>
      <c r="AI16" s="6">
        <f t="shared" si="9"/>
        <v>7.333333333333333</v>
      </c>
      <c r="AJ16" s="6">
        <f t="shared" si="9"/>
        <v>7.333333333333333</v>
      </c>
      <c r="AL16" s="43">
        <v>0</v>
      </c>
      <c r="AM16" s="74">
        <f t="shared" si="4"/>
        <v>0</v>
      </c>
      <c r="AO16" s="5">
        <f t="shared" si="5"/>
        <v>220.00000000000009</v>
      </c>
      <c r="AP16" s="70">
        <f t="shared" si="6"/>
        <v>0.150361551184439</v>
      </c>
    </row>
    <row r="17" spans="2:42" ht="15" x14ac:dyDescent="0.2">
      <c r="B17" s="1">
        <v>4</v>
      </c>
      <c r="C17" s="1" t="s">
        <v>4</v>
      </c>
      <c r="D17" s="6">
        <v>150</v>
      </c>
      <c r="E17" s="6">
        <f t="shared" si="7"/>
        <v>5</v>
      </c>
      <c r="F17" s="10">
        <f t="shared" si="2"/>
        <v>0.10251923944393564</v>
      </c>
      <c r="G17" s="6">
        <f t="shared" ref="G17:AJ17" si="10">$E$17</f>
        <v>5</v>
      </c>
      <c r="H17" s="6">
        <f t="shared" si="10"/>
        <v>5</v>
      </c>
      <c r="I17" s="6">
        <f t="shared" si="10"/>
        <v>5</v>
      </c>
      <c r="J17" s="6">
        <f t="shared" si="10"/>
        <v>5</v>
      </c>
      <c r="K17" s="6">
        <f t="shared" si="10"/>
        <v>5</v>
      </c>
      <c r="L17" s="6">
        <f t="shared" si="10"/>
        <v>5</v>
      </c>
      <c r="M17" s="6">
        <f t="shared" si="10"/>
        <v>5</v>
      </c>
      <c r="N17" s="6">
        <f t="shared" si="10"/>
        <v>5</v>
      </c>
      <c r="O17" s="6">
        <f t="shared" si="10"/>
        <v>5</v>
      </c>
      <c r="P17" s="6">
        <f t="shared" si="10"/>
        <v>5</v>
      </c>
      <c r="Q17" s="6">
        <f t="shared" si="10"/>
        <v>5</v>
      </c>
      <c r="R17" s="6">
        <f t="shared" si="10"/>
        <v>5</v>
      </c>
      <c r="S17" s="6">
        <f t="shared" si="10"/>
        <v>5</v>
      </c>
      <c r="T17" s="6">
        <f t="shared" si="10"/>
        <v>5</v>
      </c>
      <c r="U17" s="6">
        <f t="shared" si="10"/>
        <v>5</v>
      </c>
      <c r="V17" s="6">
        <f t="shared" si="10"/>
        <v>5</v>
      </c>
      <c r="W17" s="6">
        <f t="shared" si="10"/>
        <v>5</v>
      </c>
      <c r="X17" s="6">
        <f t="shared" si="10"/>
        <v>5</v>
      </c>
      <c r="Y17" s="6">
        <f t="shared" si="10"/>
        <v>5</v>
      </c>
      <c r="Z17" s="6">
        <f t="shared" si="10"/>
        <v>5</v>
      </c>
      <c r="AA17" s="6">
        <f t="shared" si="10"/>
        <v>5</v>
      </c>
      <c r="AB17" s="6">
        <f t="shared" si="10"/>
        <v>5</v>
      </c>
      <c r="AC17" s="6">
        <f t="shared" si="10"/>
        <v>5</v>
      </c>
      <c r="AD17" s="6">
        <f t="shared" si="10"/>
        <v>5</v>
      </c>
      <c r="AE17" s="6">
        <f t="shared" si="10"/>
        <v>5</v>
      </c>
      <c r="AF17" s="6">
        <f t="shared" si="10"/>
        <v>5</v>
      </c>
      <c r="AG17" s="6">
        <f t="shared" si="10"/>
        <v>5</v>
      </c>
      <c r="AH17" s="6">
        <f t="shared" si="10"/>
        <v>5</v>
      </c>
      <c r="AI17" s="6">
        <f t="shared" si="10"/>
        <v>5</v>
      </c>
      <c r="AJ17" s="6">
        <f t="shared" si="10"/>
        <v>5</v>
      </c>
      <c r="AL17" s="43">
        <v>0</v>
      </c>
      <c r="AM17" s="74">
        <f t="shared" si="4"/>
        <v>0</v>
      </c>
      <c r="AO17" s="5">
        <f t="shared" si="5"/>
        <v>150</v>
      </c>
      <c r="AP17" s="70">
        <f t="shared" si="6"/>
        <v>0.10251923944393564</v>
      </c>
    </row>
    <row r="18" spans="2:42" ht="15" x14ac:dyDescent="0.2">
      <c r="B18" s="1">
        <v>5</v>
      </c>
      <c r="C18" s="1" t="s">
        <v>13</v>
      </c>
      <c r="D18" s="6">
        <v>100</v>
      </c>
      <c r="E18" s="6">
        <f t="shared" si="7"/>
        <v>3.3333333333333335</v>
      </c>
      <c r="F18" s="10">
        <f t="shared" si="2"/>
        <v>6.8346159629290429E-2</v>
      </c>
      <c r="G18" s="6">
        <f t="shared" ref="G18:AJ18" si="11">$E$18</f>
        <v>3.3333333333333335</v>
      </c>
      <c r="H18" s="6">
        <f t="shared" si="11"/>
        <v>3.3333333333333335</v>
      </c>
      <c r="I18" s="6">
        <f t="shared" si="11"/>
        <v>3.3333333333333335</v>
      </c>
      <c r="J18" s="6">
        <f t="shared" si="11"/>
        <v>3.3333333333333335</v>
      </c>
      <c r="K18" s="6">
        <f t="shared" si="11"/>
        <v>3.3333333333333335</v>
      </c>
      <c r="L18" s="6">
        <f t="shared" si="11"/>
        <v>3.3333333333333335</v>
      </c>
      <c r="M18" s="6">
        <f t="shared" si="11"/>
        <v>3.3333333333333335</v>
      </c>
      <c r="N18" s="6">
        <f t="shared" si="11"/>
        <v>3.3333333333333335</v>
      </c>
      <c r="O18" s="6">
        <f t="shared" si="11"/>
        <v>3.3333333333333335</v>
      </c>
      <c r="P18" s="6">
        <f t="shared" si="11"/>
        <v>3.3333333333333335</v>
      </c>
      <c r="Q18" s="6">
        <f t="shared" si="11"/>
        <v>3.3333333333333335</v>
      </c>
      <c r="R18" s="6">
        <f t="shared" si="11"/>
        <v>3.3333333333333335</v>
      </c>
      <c r="S18" s="6">
        <f t="shared" si="11"/>
        <v>3.3333333333333335</v>
      </c>
      <c r="T18" s="6">
        <f t="shared" si="11"/>
        <v>3.3333333333333335</v>
      </c>
      <c r="U18" s="6">
        <f t="shared" si="11"/>
        <v>3.3333333333333335</v>
      </c>
      <c r="V18" s="6">
        <f t="shared" si="11"/>
        <v>3.3333333333333335</v>
      </c>
      <c r="W18" s="6">
        <f t="shared" si="11"/>
        <v>3.3333333333333335</v>
      </c>
      <c r="X18" s="6">
        <f t="shared" si="11"/>
        <v>3.3333333333333335</v>
      </c>
      <c r="Y18" s="6">
        <f t="shared" si="11"/>
        <v>3.3333333333333335</v>
      </c>
      <c r="Z18" s="6">
        <f t="shared" si="11"/>
        <v>3.3333333333333335</v>
      </c>
      <c r="AA18" s="6">
        <f t="shared" si="11"/>
        <v>3.3333333333333335</v>
      </c>
      <c r="AB18" s="6">
        <f t="shared" si="11"/>
        <v>3.3333333333333335</v>
      </c>
      <c r="AC18" s="6">
        <f t="shared" si="11"/>
        <v>3.3333333333333335</v>
      </c>
      <c r="AD18" s="6">
        <f t="shared" si="11"/>
        <v>3.3333333333333335</v>
      </c>
      <c r="AE18" s="6">
        <f t="shared" si="11"/>
        <v>3.3333333333333335</v>
      </c>
      <c r="AF18" s="6">
        <f t="shared" si="11"/>
        <v>3.3333333333333335</v>
      </c>
      <c r="AG18" s="6">
        <f t="shared" si="11"/>
        <v>3.3333333333333335</v>
      </c>
      <c r="AH18" s="6">
        <f t="shared" si="11"/>
        <v>3.3333333333333335</v>
      </c>
      <c r="AI18" s="6">
        <f t="shared" si="11"/>
        <v>3.3333333333333335</v>
      </c>
      <c r="AJ18" s="6">
        <f t="shared" si="11"/>
        <v>3.3333333333333335</v>
      </c>
      <c r="AL18" s="43">
        <v>0</v>
      </c>
      <c r="AM18" s="74">
        <f t="shared" si="4"/>
        <v>0</v>
      </c>
      <c r="AO18" s="5">
        <f t="shared" si="5"/>
        <v>99.999999999999972</v>
      </c>
      <c r="AP18" s="70">
        <f t="shared" si="6"/>
        <v>6.8346159629290401E-2</v>
      </c>
    </row>
    <row r="19" spans="2:42" ht="15" x14ac:dyDescent="0.2">
      <c r="B19" s="1">
        <v>6</v>
      </c>
      <c r="C19" s="1" t="s">
        <v>6</v>
      </c>
      <c r="D19" s="6">
        <v>25</v>
      </c>
      <c r="E19" s="6">
        <f t="shared" si="7"/>
        <v>0.83333333333333337</v>
      </c>
      <c r="F19" s="10">
        <f t="shared" si="2"/>
        <v>1.7086539907322607E-2</v>
      </c>
      <c r="G19" s="6">
        <f t="shared" ref="G19:AJ19" si="12">$E$19</f>
        <v>0.83333333333333337</v>
      </c>
      <c r="H19" s="6">
        <f t="shared" si="12"/>
        <v>0.83333333333333337</v>
      </c>
      <c r="I19" s="6">
        <f t="shared" si="12"/>
        <v>0.83333333333333337</v>
      </c>
      <c r="J19" s="6">
        <f t="shared" si="12"/>
        <v>0.83333333333333337</v>
      </c>
      <c r="K19" s="6">
        <f t="shared" si="12"/>
        <v>0.83333333333333337</v>
      </c>
      <c r="L19" s="6">
        <f t="shared" si="12"/>
        <v>0.83333333333333337</v>
      </c>
      <c r="M19" s="6">
        <f t="shared" si="12"/>
        <v>0.83333333333333337</v>
      </c>
      <c r="N19" s="6">
        <f t="shared" si="12"/>
        <v>0.83333333333333337</v>
      </c>
      <c r="O19" s="6">
        <f t="shared" si="12"/>
        <v>0.83333333333333337</v>
      </c>
      <c r="P19" s="6">
        <f t="shared" si="12"/>
        <v>0.83333333333333337</v>
      </c>
      <c r="Q19" s="6">
        <f t="shared" si="12"/>
        <v>0.83333333333333337</v>
      </c>
      <c r="R19" s="6">
        <f t="shared" si="12"/>
        <v>0.83333333333333337</v>
      </c>
      <c r="S19" s="6">
        <f t="shared" si="12"/>
        <v>0.83333333333333337</v>
      </c>
      <c r="T19" s="6">
        <f t="shared" si="12"/>
        <v>0.83333333333333337</v>
      </c>
      <c r="U19" s="6">
        <f t="shared" si="12"/>
        <v>0.83333333333333337</v>
      </c>
      <c r="V19" s="6">
        <f t="shared" si="12"/>
        <v>0.83333333333333337</v>
      </c>
      <c r="W19" s="6">
        <f t="shared" si="12"/>
        <v>0.83333333333333337</v>
      </c>
      <c r="X19" s="6">
        <f t="shared" si="12"/>
        <v>0.83333333333333337</v>
      </c>
      <c r="Y19" s="6">
        <f t="shared" si="12"/>
        <v>0.83333333333333337</v>
      </c>
      <c r="Z19" s="6">
        <f t="shared" si="12"/>
        <v>0.83333333333333337</v>
      </c>
      <c r="AA19" s="6">
        <f t="shared" si="12"/>
        <v>0.83333333333333337</v>
      </c>
      <c r="AB19" s="6">
        <f t="shared" si="12"/>
        <v>0.83333333333333337</v>
      </c>
      <c r="AC19" s="6">
        <f t="shared" si="12"/>
        <v>0.83333333333333337</v>
      </c>
      <c r="AD19" s="6">
        <f t="shared" si="12"/>
        <v>0.83333333333333337</v>
      </c>
      <c r="AE19" s="6">
        <f t="shared" si="12"/>
        <v>0.83333333333333337</v>
      </c>
      <c r="AF19" s="6">
        <f t="shared" si="12"/>
        <v>0.83333333333333337</v>
      </c>
      <c r="AG19" s="6">
        <f t="shared" si="12"/>
        <v>0.83333333333333337</v>
      </c>
      <c r="AH19" s="6">
        <f t="shared" si="12"/>
        <v>0.83333333333333337</v>
      </c>
      <c r="AI19" s="6">
        <f t="shared" si="12"/>
        <v>0.83333333333333337</v>
      </c>
      <c r="AJ19" s="6">
        <f t="shared" si="12"/>
        <v>0.83333333333333337</v>
      </c>
      <c r="AL19" s="43">
        <v>0</v>
      </c>
      <c r="AM19" s="74">
        <f t="shared" si="4"/>
        <v>0</v>
      </c>
      <c r="AO19" s="5">
        <f t="shared" si="5"/>
        <v>24.999999999999993</v>
      </c>
      <c r="AP19" s="70">
        <f t="shared" si="6"/>
        <v>1.70865399073226E-2</v>
      </c>
    </row>
    <row r="20" spans="2:42" ht="15" x14ac:dyDescent="0.2">
      <c r="B20" s="1">
        <v>7</v>
      </c>
      <c r="C20" s="1" t="s">
        <v>16</v>
      </c>
      <c r="D20" s="6">
        <v>26.5</v>
      </c>
      <c r="E20" s="6">
        <f t="shared" si="7"/>
        <v>0.8833333333333333</v>
      </c>
      <c r="F20" s="10">
        <f t="shared" si="2"/>
        <v>1.8111732301761961E-2</v>
      </c>
      <c r="G20" s="6">
        <f t="shared" ref="G20:AJ20" si="13">$E$20</f>
        <v>0.8833333333333333</v>
      </c>
      <c r="H20" s="6">
        <f t="shared" si="13"/>
        <v>0.8833333333333333</v>
      </c>
      <c r="I20" s="6">
        <f t="shared" si="13"/>
        <v>0.8833333333333333</v>
      </c>
      <c r="J20" s="6">
        <f t="shared" si="13"/>
        <v>0.8833333333333333</v>
      </c>
      <c r="K20" s="6">
        <f t="shared" si="13"/>
        <v>0.8833333333333333</v>
      </c>
      <c r="L20" s="6">
        <f t="shared" si="13"/>
        <v>0.8833333333333333</v>
      </c>
      <c r="M20" s="6">
        <f t="shared" si="13"/>
        <v>0.8833333333333333</v>
      </c>
      <c r="N20" s="6">
        <f t="shared" si="13"/>
        <v>0.8833333333333333</v>
      </c>
      <c r="O20" s="6">
        <f t="shared" si="13"/>
        <v>0.8833333333333333</v>
      </c>
      <c r="P20" s="6">
        <f t="shared" si="13"/>
        <v>0.8833333333333333</v>
      </c>
      <c r="Q20" s="6">
        <f t="shared" si="13"/>
        <v>0.8833333333333333</v>
      </c>
      <c r="R20" s="6">
        <f t="shared" si="13"/>
        <v>0.8833333333333333</v>
      </c>
      <c r="S20" s="6">
        <f t="shared" si="13"/>
        <v>0.8833333333333333</v>
      </c>
      <c r="T20" s="6">
        <f t="shared" si="13"/>
        <v>0.8833333333333333</v>
      </c>
      <c r="U20" s="6">
        <f t="shared" si="13"/>
        <v>0.8833333333333333</v>
      </c>
      <c r="V20" s="6">
        <f t="shared" si="13"/>
        <v>0.8833333333333333</v>
      </c>
      <c r="W20" s="6">
        <f t="shared" si="13"/>
        <v>0.8833333333333333</v>
      </c>
      <c r="X20" s="6">
        <f t="shared" si="13"/>
        <v>0.8833333333333333</v>
      </c>
      <c r="Y20" s="6">
        <f t="shared" si="13"/>
        <v>0.8833333333333333</v>
      </c>
      <c r="Z20" s="6">
        <f t="shared" si="13"/>
        <v>0.8833333333333333</v>
      </c>
      <c r="AA20" s="6">
        <f t="shared" si="13"/>
        <v>0.8833333333333333</v>
      </c>
      <c r="AB20" s="6">
        <f t="shared" si="13"/>
        <v>0.8833333333333333</v>
      </c>
      <c r="AC20" s="6">
        <f t="shared" si="13"/>
        <v>0.8833333333333333</v>
      </c>
      <c r="AD20" s="6">
        <f t="shared" si="13"/>
        <v>0.8833333333333333</v>
      </c>
      <c r="AE20" s="6">
        <f t="shared" si="13"/>
        <v>0.8833333333333333</v>
      </c>
      <c r="AF20" s="6">
        <f t="shared" si="13"/>
        <v>0.8833333333333333</v>
      </c>
      <c r="AG20" s="6">
        <f t="shared" si="13"/>
        <v>0.8833333333333333</v>
      </c>
      <c r="AH20" s="6">
        <f t="shared" si="13"/>
        <v>0.8833333333333333</v>
      </c>
      <c r="AI20" s="6">
        <f t="shared" si="13"/>
        <v>0.8833333333333333</v>
      </c>
      <c r="AJ20" s="6">
        <f t="shared" si="13"/>
        <v>0.8833333333333333</v>
      </c>
      <c r="AL20" s="43">
        <v>0</v>
      </c>
      <c r="AM20" s="74">
        <f t="shared" si="4"/>
        <v>0</v>
      </c>
      <c r="AO20" s="5">
        <f t="shared" si="5"/>
        <v>26.499999999999989</v>
      </c>
      <c r="AP20" s="70">
        <f t="shared" si="6"/>
        <v>1.8111732301761954E-2</v>
      </c>
    </row>
    <row r="21" spans="2:42" ht="15" x14ac:dyDescent="0.2">
      <c r="B21" s="1">
        <v>8</v>
      </c>
      <c r="C21" s="1" t="s">
        <v>87</v>
      </c>
      <c r="D21" s="6">
        <v>76.64</v>
      </c>
      <c r="E21" s="6">
        <f t="shared" si="7"/>
        <v>2.5546666666666669</v>
      </c>
      <c r="F21" s="10">
        <f t="shared" si="2"/>
        <v>5.2380496739888184E-2</v>
      </c>
      <c r="G21" s="6">
        <f t="shared" ref="G21:AJ21" si="14">$E$21</f>
        <v>2.5546666666666669</v>
      </c>
      <c r="H21" s="6">
        <f t="shared" si="14"/>
        <v>2.5546666666666669</v>
      </c>
      <c r="I21" s="6">
        <f t="shared" si="14"/>
        <v>2.5546666666666669</v>
      </c>
      <c r="J21" s="6">
        <f t="shared" si="14"/>
        <v>2.5546666666666669</v>
      </c>
      <c r="K21" s="6">
        <f t="shared" si="14"/>
        <v>2.5546666666666669</v>
      </c>
      <c r="L21" s="6">
        <f t="shared" si="14"/>
        <v>2.5546666666666669</v>
      </c>
      <c r="M21" s="6">
        <f t="shared" si="14"/>
        <v>2.5546666666666669</v>
      </c>
      <c r="N21" s="6">
        <f t="shared" si="14"/>
        <v>2.5546666666666669</v>
      </c>
      <c r="O21" s="6">
        <f t="shared" si="14"/>
        <v>2.5546666666666669</v>
      </c>
      <c r="P21" s="6">
        <f t="shared" si="14"/>
        <v>2.5546666666666669</v>
      </c>
      <c r="Q21" s="6">
        <f t="shared" si="14"/>
        <v>2.5546666666666669</v>
      </c>
      <c r="R21" s="6">
        <f t="shared" si="14"/>
        <v>2.5546666666666669</v>
      </c>
      <c r="S21" s="6">
        <f t="shared" si="14"/>
        <v>2.5546666666666669</v>
      </c>
      <c r="T21" s="6">
        <f t="shared" si="14"/>
        <v>2.5546666666666669</v>
      </c>
      <c r="U21" s="6">
        <f t="shared" si="14"/>
        <v>2.5546666666666669</v>
      </c>
      <c r="V21" s="6">
        <f t="shared" si="14"/>
        <v>2.5546666666666669</v>
      </c>
      <c r="W21" s="6">
        <f t="shared" si="14"/>
        <v>2.5546666666666669</v>
      </c>
      <c r="X21" s="6">
        <f t="shared" si="14"/>
        <v>2.5546666666666669</v>
      </c>
      <c r="Y21" s="6">
        <f t="shared" si="14"/>
        <v>2.5546666666666669</v>
      </c>
      <c r="Z21" s="6">
        <f t="shared" si="14"/>
        <v>2.5546666666666669</v>
      </c>
      <c r="AA21" s="6">
        <f t="shared" si="14"/>
        <v>2.5546666666666669</v>
      </c>
      <c r="AB21" s="6">
        <f t="shared" si="14"/>
        <v>2.5546666666666669</v>
      </c>
      <c r="AC21" s="6">
        <f t="shared" si="14"/>
        <v>2.5546666666666669</v>
      </c>
      <c r="AD21" s="6">
        <f t="shared" si="14"/>
        <v>2.5546666666666669</v>
      </c>
      <c r="AE21" s="6">
        <f t="shared" si="14"/>
        <v>2.5546666666666669</v>
      </c>
      <c r="AF21" s="6">
        <f t="shared" si="14"/>
        <v>2.5546666666666669</v>
      </c>
      <c r="AG21" s="6">
        <f t="shared" si="14"/>
        <v>2.5546666666666669</v>
      </c>
      <c r="AH21" s="6">
        <f t="shared" si="14"/>
        <v>2.5546666666666669</v>
      </c>
      <c r="AI21" s="6">
        <f t="shared" si="14"/>
        <v>2.5546666666666669</v>
      </c>
      <c r="AJ21" s="6">
        <f t="shared" si="14"/>
        <v>2.5546666666666669</v>
      </c>
      <c r="AL21" s="43">
        <v>0</v>
      </c>
      <c r="AM21" s="74">
        <f t="shared" si="4"/>
        <v>0</v>
      </c>
      <c r="AO21" s="5">
        <f t="shared" si="5"/>
        <v>76.640000000000015</v>
      </c>
      <c r="AP21" s="70">
        <f t="shared" si="6"/>
        <v>5.2380496739888191E-2</v>
      </c>
    </row>
    <row r="22" spans="2:42" ht="15" x14ac:dyDescent="0.2">
      <c r="B22" s="1">
        <v>9</v>
      </c>
      <c r="C22" s="1"/>
      <c r="D22" s="6">
        <v>0</v>
      </c>
      <c r="E22" s="6">
        <f t="shared" si="7"/>
        <v>0</v>
      </c>
      <c r="F22" s="10">
        <f t="shared" si="2"/>
        <v>0</v>
      </c>
      <c r="G22" s="6">
        <f t="shared" ref="G22:AJ22" si="15">$E$22</f>
        <v>0</v>
      </c>
      <c r="H22" s="6">
        <f t="shared" si="15"/>
        <v>0</v>
      </c>
      <c r="I22" s="6">
        <f t="shared" si="15"/>
        <v>0</v>
      </c>
      <c r="J22" s="6">
        <f t="shared" si="15"/>
        <v>0</v>
      </c>
      <c r="K22" s="6">
        <f t="shared" si="15"/>
        <v>0</v>
      </c>
      <c r="L22" s="6">
        <f t="shared" si="15"/>
        <v>0</v>
      </c>
      <c r="M22" s="6">
        <f t="shared" si="15"/>
        <v>0</v>
      </c>
      <c r="N22" s="6">
        <f t="shared" si="15"/>
        <v>0</v>
      </c>
      <c r="O22" s="6">
        <f t="shared" si="15"/>
        <v>0</v>
      </c>
      <c r="P22" s="6">
        <f t="shared" si="15"/>
        <v>0</v>
      </c>
      <c r="Q22" s="6">
        <f t="shared" si="15"/>
        <v>0</v>
      </c>
      <c r="R22" s="6">
        <f t="shared" si="15"/>
        <v>0</v>
      </c>
      <c r="S22" s="6">
        <f t="shared" si="15"/>
        <v>0</v>
      </c>
      <c r="T22" s="6">
        <f t="shared" si="15"/>
        <v>0</v>
      </c>
      <c r="U22" s="6">
        <f t="shared" si="15"/>
        <v>0</v>
      </c>
      <c r="V22" s="6">
        <f t="shared" si="15"/>
        <v>0</v>
      </c>
      <c r="W22" s="6">
        <f t="shared" si="15"/>
        <v>0</v>
      </c>
      <c r="X22" s="6">
        <f t="shared" si="15"/>
        <v>0</v>
      </c>
      <c r="Y22" s="6">
        <f t="shared" si="15"/>
        <v>0</v>
      </c>
      <c r="Z22" s="6">
        <f t="shared" si="15"/>
        <v>0</v>
      </c>
      <c r="AA22" s="6">
        <f t="shared" si="15"/>
        <v>0</v>
      </c>
      <c r="AB22" s="6">
        <f t="shared" si="15"/>
        <v>0</v>
      </c>
      <c r="AC22" s="6">
        <f t="shared" si="15"/>
        <v>0</v>
      </c>
      <c r="AD22" s="6">
        <f t="shared" si="15"/>
        <v>0</v>
      </c>
      <c r="AE22" s="6">
        <f t="shared" si="15"/>
        <v>0</v>
      </c>
      <c r="AF22" s="6">
        <f t="shared" si="15"/>
        <v>0</v>
      </c>
      <c r="AG22" s="6">
        <f t="shared" si="15"/>
        <v>0</v>
      </c>
      <c r="AH22" s="6">
        <f t="shared" si="15"/>
        <v>0</v>
      </c>
      <c r="AI22" s="6">
        <f t="shared" si="15"/>
        <v>0</v>
      </c>
      <c r="AJ22" s="6">
        <f t="shared" si="15"/>
        <v>0</v>
      </c>
      <c r="AL22" s="43">
        <v>0</v>
      </c>
      <c r="AM22" s="74" t="e">
        <f t="shared" si="4"/>
        <v>#DIV/0!</v>
      </c>
      <c r="AO22" s="5">
        <f t="shared" si="5"/>
        <v>0</v>
      </c>
      <c r="AP22" s="70">
        <f t="shared" si="6"/>
        <v>0</v>
      </c>
    </row>
    <row r="23" spans="2:42" ht="15" x14ac:dyDescent="0.2">
      <c r="B23" s="1"/>
      <c r="C23" s="3" t="s">
        <v>17</v>
      </c>
      <c r="D23" s="5">
        <f>SUM(D14:D22)</f>
        <v>1463.14</v>
      </c>
      <c r="E23" s="5">
        <f>SUM(E14:E22)</f>
        <v>48.771333333333345</v>
      </c>
      <c r="F23" s="15">
        <f>SUM(F14:F22)</f>
        <v>0.99999999999999989</v>
      </c>
      <c r="G23" s="5">
        <f t="shared" ref="G23:AJ23" si="16">SUM(G14:G22)</f>
        <v>48.771333333333345</v>
      </c>
      <c r="H23" s="5">
        <f t="shared" si="16"/>
        <v>48.771333333333345</v>
      </c>
      <c r="I23" s="5">
        <f t="shared" si="16"/>
        <v>48.771333333333345</v>
      </c>
      <c r="J23" s="5">
        <f t="shared" si="16"/>
        <v>48.771333333333345</v>
      </c>
      <c r="K23" s="5">
        <f t="shared" si="16"/>
        <v>48.771333333333345</v>
      </c>
      <c r="L23" s="5">
        <f t="shared" si="16"/>
        <v>48.771333333333345</v>
      </c>
      <c r="M23" s="5">
        <f t="shared" si="16"/>
        <v>48.771333333333345</v>
      </c>
      <c r="N23" s="5">
        <f t="shared" si="16"/>
        <v>48.771333333333345</v>
      </c>
      <c r="O23" s="5">
        <f t="shared" si="16"/>
        <v>48.771333333333345</v>
      </c>
      <c r="P23" s="5">
        <f t="shared" si="16"/>
        <v>48.771333333333345</v>
      </c>
      <c r="Q23" s="5">
        <f t="shared" si="16"/>
        <v>48.771333333333345</v>
      </c>
      <c r="R23" s="5">
        <f t="shared" si="16"/>
        <v>48.771333333333345</v>
      </c>
      <c r="S23" s="5">
        <f t="shared" si="16"/>
        <v>48.771333333333345</v>
      </c>
      <c r="T23" s="5">
        <f t="shared" si="16"/>
        <v>48.771333333333345</v>
      </c>
      <c r="U23" s="5">
        <f t="shared" si="16"/>
        <v>48.771333333333345</v>
      </c>
      <c r="V23" s="5">
        <f t="shared" si="16"/>
        <v>48.771333333333345</v>
      </c>
      <c r="W23" s="5">
        <f t="shared" si="16"/>
        <v>48.771333333333345</v>
      </c>
      <c r="X23" s="5">
        <f t="shared" si="16"/>
        <v>48.771333333333345</v>
      </c>
      <c r="Y23" s="5">
        <f t="shared" si="16"/>
        <v>48.771333333333345</v>
      </c>
      <c r="Z23" s="5">
        <f t="shared" si="16"/>
        <v>48.771333333333345</v>
      </c>
      <c r="AA23" s="5">
        <f t="shared" si="16"/>
        <v>48.771333333333345</v>
      </c>
      <c r="AB23" s="5">
        <f t="shared" si="16"/>
        <v>48.771333333333345</v>
      </c>
      <c r="AC23" s="5">
        <f t="shared" si="16"/>
        <v>48.771333333333345</v>
      </c>
      <c r="AD23" s="5">
        <f t="shared" si="16"/>
        <v>48.771333333333345</v>
      </c>
      <c r="AE23" s="5">
        <f t="shared" si="16"/>
        <v>48.771333333333345</v>
      </c>
      <c r="AF23" s="5">
        <f t="shared" si="16"/>
        <v>48.771333333333345</v>
      </c>
      <c r="AG23" s="5">
        <f t="shared" si="16"/>
        <v>48.771333333333345</v>
      </c>
      <c r="AH23" s="5">
        <f t="shared" si="16"/>
        <v>48.771333333333345</v>
      </c>
      <c r="AI23" s="5">
        <f t="shared" si="16"/>
        <v>48.771333333333345</v>
      </c>
      <c r="AJ23" s="5">
        <f t="shared" si="16"/>
        <v>48.771333333333345</v>
      </c>
      <c r="AK23" s="4"/>
      <c r="AL23" s="43">
        <f>SUM(AL14:AL22)</f>
        <v>0</v>
      </c>
      <c r="AM23" s="74">
        <f t="shared" si="4"/>
        <v>0</v>
      </c>
      <c r="AN23" s="4"/>
      <c r="AO23" s="5">
        <f>SUM(AO14:AO22)</f>
        <v>1463.14</v>
      </c>
      <c r="AP23" s="70">
        <f>SUM(AP14:AP22)</f>
        <v>0.99999999999999978</v>
      </c>
    </row>
    <row r="24" spans="2:42" s="13" customFormat="1" ht="15" x14ac:dyDescent="0.2">
      <c r="B24" s="17"/>
      <c r="C24" s="18"/>
      <c r="D24" s="19"/>
      <c r="E24" s="19"/>
      <c r="F24" s="20"/>
      <c r="G24" s="19"/>
      <c r="H24" s="19"/>
      <c r="I24" s="19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6"/>
      <c r="AL24" s="16"/>
      <c r="AM24" s="16"/>
      <c r="AN24" s="16"/>
      <c r="AO24" s="19"/>
      <c r="AP24" s="20"/>
    </row>
    <row r="25" spans="2:42" s="13" customFormat="1" ht="15" x14ac:dyDescent="0.2">
      <c r="B25" s="1"/>
      <c r="C25" s="3" t="s">
        <v>27</v>
      </c>
      <c r="D25" s="31"/>
      <c r="E25" s="31"/>
      <c r="F25" s="32"/>
      <c r="G25" s="272">
        <f t="shared" ref="G25:AJ25" si="17">G8-G23</f>
        <v>32.743333333333325</v>
      </c>
      <c r="H25" s="272">
        <f t="shared" si="17"/>
        <v>24.478333333333339</v>
      </c>
      <c r="I25" s="5">
        <f t="shared" si="17"/>
        <v>20.953333333333333</v>
      </c>
      <c r="J25" s="5">
        <f t="shared" si="17"/>
        <v>30.028333333333322</v>
      </c>
      <c r="K25" s="5">
        <f t="shared" si="17"/>
        <v>38.38333333333334</v>
      </c>
      <c r="L25" s="5">
        <f t="shared" si="17"/>
        <v>15.98833333333333</v>
      </c>
      <c r="M25" s="5">
        <f t="shared" si="17"/>
        <v>45.823333333333338</v>
      </c>
      <c r="N25" s="5">
        <f t="shared" si="17"/>
        <v>43.498333333333321</v>
      </c>
      <c r="O25" s="5">
        <f t="shared" si="17"/>
        <v>8.1433333333333309</v>
      </c>
      <c r="P25" s="5">
        <f t="shared" si="17"/>
        <v>45.478333333333325</v>
      </c>
      <c r="Q25" s="5">
        <f t="shared" si="17"/>
        <v>41.413333333333341</v>
      </c>
      <c r="R25" s="5">
        <f t="shared" si="17"/>
        <v>29.143333333333331</v>
      </c>
      <c r="S25" s="5">
        <f t="shared" si="17"/>
        <v>11.353333333333332</v>
      </c>
      <c r="T25" s="5">
        <f t="shared" si="17"/>
        <v>19.258333333333326</v>
      </c>
      <c r="U25" s="5">
        <f t="shared" si="17"/>
        <v>17.683333333333323</v>
      </c>
      <c r="V25" s="5">
        <f t="shared" si="17"/>
        <v>-6.931666666666672</v>
      </c>
      <c r="W25" s="5">
        <f>W8-W23</f>
        <v>40.903333333333322</v>
      </c>
      <c r="X25" s="5">
        <f t="shared" si="17"/>
        <v>29.21833333333332</v>
      </c>
      <c r="Y25" s="5">
        <f t="shared" si="17"/>
        <v>9.2683333333333309</v>
      </c>
      <c r="Z25" s="5">
        <f t="shared" si="17"/>
        <v>11.413333333333327</v>
      </c>
      <c r="AA25" s="5">
        <f t="shared" si="17"/>
        <v>18.568333333333328</v>
      </c>
      <c r="AB25" s="5">
        <f t="shared" si="17"/>
        <v>6.4933333333333252</v>
      </c>
      <c r="AC25" s="5">
        <f t="shared" si="17"/>
        <v>4.6683333333333223</v>
      </c>
      <c r="AD25" s="5">
        <f t="shared" si="17"/>
        <v>30.433333333333323</v>
      </c>
      <c r="AE25" s="5">
        <f t="shared" si="17"/>
        <v>20.50333333333333</v>
      </c>
      <c r="AF25" s="5">
        <f t="shared" si="17"/>
        <v>26.12833333333333</v>
      </c>
      <c r="AG25" s="5">
        <f t="shared" si="17"/>
        <v>29.248333333333321</v>
      </c>
      <c r="AH25" s="5">
        <f t="shared" si="17"/>
        <v>55.768333333333331</v>
      </c>
      <c r="AI25" s="5">
        <f t="shared" si="17"/>
        <v>51.658333333333331</v>
      </c>
      <c r="AJ25" s="5">
        <f t="shared" si="17"/>
        <v>25.483333333333334</v>
      </c>
      <c r="AK25" s="4"/>
      <c r="AL25" s="3"/>
      <c r="AM25" s="3"/>
      <c r="AN25" s="4"/>
      <c r="AO25" s="5"/>
      <c r="AP25" s="12"/>
    </row>
    <row r="26" spans="2:42" s="13" customFormat="1" ht="15" x14ac:dyDescent="0.2">
      <c r="C26" s="16"/>
      <c r="D26" s="14"/>
      <c r="E26" s="14"/>
      <c r="F26" s="28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4"/>
      <c r="AL26" s="4"/>
      <c r="AM26" s="4"/>
      <c r="AN26" s="4"/>
      <c r="AO26" s="14"/>
      <c r="AP26" s="28"/>
    </row>
    <row r="27" spans="2:42" s="13" customFormat="1" ht="15" x14ac:dyDescent="0.2">
      <c r="B27" s="22"/>
      <c r="C27" s="23" t="s">
        <v>20</v>
      </c>
      <c r="D27" s="24"/>
      <c r="E27" s="24"/>
      <c r="F27" s="25"/>
      <c r="G27" s="24"/>
      <c r="H27" s="24"/>
      <c r="I27" s="24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16"/>
      <c r="AL27" s="16"/>
      <c r="AM27" s="16"/>
      <c r="AN27" s="16"/>
      <c r="AO27" s="24"/>
      <c r="AP27" s="25"/>
    </row>
    <row r="28" spans="2:42" ht="15" x14ac:dyDescent="0.2">
      <c r="B28" s="1">
        <v>10</v>
      </c>
      <c r="C28" s="1" t="s">
        <v>8</v>
      </c>
      <c r="D28" s="6">
        <v>500</v>
      </c>
      <c r="E28" s="6">
        <f>D28/30</f>
        <v>16.666666666666668</v>
      </c>
      <c r="F28" s="10">
        <f t="shared" ref="F28:F33" si="18">D28/$D$34</f>
        <v>0.70077084793272604</v>
      </c>
      <c r="G28" s="6">
        <f>$G$25*F28</f>
        <v>22.945573464143887</v>
      </c>
      <c r="H28" s="6">
        <f>$H$25*F28</f>
        <v>17.153702405979917</v>
      </c>
      <c r="I28" s="6">
        <f>$I$25*F28</f>
        <v>14.683485167017054</v>
      </c>
      <c r="J28" s="6">
        <f>$J$25*F28</f>
        <v>21.042980612006534</v>
      </c>
      <c r="K28" s="6">
        <f>$K$25*F28</f>
        <v>26.897921046484473</v>
      </c>
      <c r="L28" s="6">
        <f>$L$25*F28</f>
        <v>11.204157907031066</v>
      </c>
      <c r="M28" s="6">
        <f>$M$25*F28</f>
        <v>32.111656155103951</v>
      </c>
      <c r="N28" s="6">
        <f>$N$25*F28</f>
        <v>30.482363933660352</v>
      </c>
      <c r="O28" s="6">
        <f>$O$25*F28</f>
        <v>5.706610604998831</v>
      </c>
      <c r="P28" s="6">
        <f>$P$25*F28</f>
        <v>31.869890212567153</v>
      </c>
      <c r="Q28" s="6">
        <f>$Q$25*F28</f>
        <v>29.021256715720632</v>
      </c>
      <c r="R28" s="6">
        <f>$R$25*F28</f>
        <v>20.422798411586076</v>
      </c>
      <c r="S28" s="6">
        <f>$S$25*F28</f>
        <v>7.9560850268628815</v>
      </c>
      <c r="T28" s="6">
        <f>$T$25*F28</f>
        <v>13.495678579771077</v>
      </c>
      <c r="U28" s="6">
        <f>$U$25*F28</f>
        <v>12.391964494277032</v>
      </c>
      <c r="V28" s="6">
        <f>$V$25*F28</f>
        <v>-4.8575099275870164</v>
      </c>
      <c r="W28" s="6">
        <f>$W$25*F28</f>
        <v>28.663863583274928</v>
      </c>
      <c r="X28" s="6">
        <f>$X$25*F28</f>
        <v>20.475356225181024</v>
      </c>
      <c r="Y28" s="6">
        <f>$Y$25*F28</f>
        <v>6.4949778089231476</v>
      </c>
      <c r="Z28" s="6">
        <f>$Z$25*F28</f>
        <v>7.9981312777388416</v>
      </c>
      <c r="AA28" s="6">
        <f>$AA$25*F28</f>
        <v>13.012146694697497</v>
      </c>
      <c r="AB28" s="6">
        <f>$AB$25*F28</f>
        <v>4.5503387059098284</v>
      </c>
      <c r="AC28" s="6">
        <f>$AC$25*F28</f>
        <v>3.2714319084326018</v>
      </c>
      <c r="AD28" s="6">
        <f>$AD$25*F28</f>
        <v>21.326792805419288</v>
      </c>
      <c r="AE28" s="6">
        <f>$AE$25*F28</f>
        <v>14.368138285447325</v>
      </c>
      <c r="AF28" s="6">
        <f>$AF$25*F28</f>
        <v>18.309974305068909</v>
      </c>
      <c r="AG28" s="6">
        <f>$AG$25*F28</f>
        <v>20.496379350619005</v>
      </c>
      <c r="AH28" s="6">
        <f>$AH$25*F28</f>
        <v>39.080822237794905</v>
      </c>
      <c r="AI28" s="6">
        <f>$AI$25*F28</f>
        <v>36.200654052791407</v>
      </c>
      <c r="AJ28" s="6">
        <f>$AJ$25*F28</f>
        <v>17.857977108152301</v>
      </c>
      <c r="AL28" s="43">
        <v>0</v>
      </c>
      <c r="AM28" s="74">
        <f t="shared" ref="AM28:AM34" si="19">AL28/D28</f>
        <v>0</v>
      </c>
      <c r="AO28" s="5">
        <f t="shared" ref="AO28:AO33" si="20">SUM(G28:AJ28)</f>
        <v>544.6355991590749</v>
      </c>
      <c r="AP28" s="70">
        <f t="shared" ref="AP28:AP33" si="21">AO28/$AO$34</f>
        <v>0.70077084793272604</v>
      </c>
    </row>
    <row r="29" spans="2:42" ht="15" x14ac:dyDescent="0.2">
      <c r="B29" s="1">
        <v>11</v>
      </c>
      <c r="C29" s="1" t="s">
        <v>30</v>
      </c>
      <c r="D29" s="6">
        <v>100</v>
      </c>
      <c r="E29" s="6">
        <f t="shared" ref="E29:E33" si="22">D29/30</f>
        <v>3.3333333333333335</v>
      </c>
      <c r="F29" s="10">
        <f t="shared" si="18"/>
        <v>0.1401541695865452</v>
      </c>
      <c r="G29" s="6">
        <f t="shared" ref="G29:G33" si="23">$G$25*F29</f>
        <v>4.5891146928287769</v>
      </c>
      <c r="H29" s="6">
        <f t="shared" ref="H29:H33" si="24">$H$25*F29</f>
        <v>3.4307404811959827</v>
      </c>
      <c r="I29" s="6">
        <f t="shared" ref="I29:I33" si="25">$I$25*F29</f>
        <v>2.9366970334034104</v>
      </c>
      <c r="J29" s="6">
        <f t="shared" ref="J29:J33" si="26">$J$25*F29</f>
        <v>4.208596122401306</v>
      </c>
      <c r="K29" s="6">
        <f t="shared" ref="K29:K33" si="27">$K$25*F29</f>
        <v>5.379584209296894</v>
      </c>
      <c r="L29" s="6">
        <f t="shared" ref="L29:L33" si="28">$L$25*F29</f>
        <v>2.240831581406213</v>
      </c>
      <c r="M29" s="6">
        <f t="shared" ref="M29:M33" si="29">$M$25*F29</f>
        <v>6.4223312310207898</v>
      </c>
      <c r="N29" s="6">
        <f t="shared" ref="N29:N33" si="30">$N$25*F29</f>
        <v>6.09647278673207</v>
      </c>
      <c r="O29" s="6">
        <f t="shared" ref="O29:O33" si="31">$O$25*F29</f>
        <v>1.1413221209997659</v>
      </c>
      <c r="P29" s="6">
        <f t="shared" ref="P29:P33" si="32">$P$25*F29</f>
        <v>6.3739780425134303</v>
      </c>
      <c r="Q29" s="6">
        <f t="shared" ref="Q29:Q33" si="33">$Q$25*F29</f>
        <v>5.8042513431441263</v>
      </c>
      <c r="R29" s="6">
        <f t="shared" ref="R29:R33" si="34">$R$25*F29</f>
        <v>4.0845596823172148</v>
      </c>
      <c r="S29" s="6">
        <f t="shared" ref="S29:S33" si="35">$S$25*F29</f>
        <v>1.5912170053725763</v>
      </c>
      <c r="T29" s="6">
        <f t="shared" ref="T29:T33" si="36">$T$25*F29</f>
        <v>2.6991357159542151</v>
      </c>
      <c r="U29" s="6">
        <f t="shared" ref="U29:U33" si="37">$U$25*F29</f>
        <v>2.478392898855406</v>
      </c>
      <c r="V29" s="6">
        <f t="shared" ref="V29:V33" si="38">$V$25*F29</f>
        <v>-0.97150198551740319</v>
      </c>
      <c r="W29" s="6">
        <f t="shared" ref="W29:W33" si="39">$W$25*F29</f>
        <v>5.7327727166549858</v>
      </c>
      <c r="X29" s="6">
        <f t="shared" ref="X29:X33" si="40">$X$25*F29</f>
        <v>4.0950712450362046</v>
      </c>
      <c r="Y29" s="6">
        <f t="shared" ref="Y29:Y33" si="41">$Y$25*F29</f>
        <v>1.2989955617846294</v>
      </c>
      <c r="Z29" s="6">
        <f t="shared" ref="Z29:Z33" si="42">$Z$25*F29</f>
        <v>1.5996262555477683</v>
      </c>
      <c r="AA29" s="6">
        <f t="shared" ref="AA29:AA33" si="43">$AA$25*F29</f>
        <v>2.6024293389394995</v>
      </c>
      <c r="AB29" s="6">
        <f t="shared" ref="AB29:AB33" si="44">$AB$25*F29</f>
        <v>0.91006774118196565</v>
      </c>
      <c r="AC29" s="6">
        <f t="shared" ref="AC29:AC33" si="45">$AC$25*F29</f>
        <v>0.65428638168652031</v>
      </c>
      <c r="AD29" s="6">
        <f t="shared" ref="AD29:AD33" si="46">$AD$25*F29</f>
        <v>4.2653585610838576</v>
      </c>
      <c r="AE29" s="6">
        <f t="shared" ref="AE29:AE33" si="47">$AE$25*F29</f>
        <v>2.8736276570894645</v>
      </c>
      <c r="AF29" s="6">
        <f t="shared" ref="AF29:AF33" si="48">$AF$25*F29</f>
        <v>3.6619948610137811</v>
      </c>
      <c r="AG29" s="6">
        <f t="shared" ref="AG29:AG33" si="49">$AG$25*F29</f>
        <v>4.099275870123801</v>
      </c>
      <c r="AH29" s="6">
        <f t="shared" ref="AH29:AH33" si="50">$AH$25*F29</f>
        <v>7.8161644475589807</v>
      </c>
      <c r="AI29" s="6">
        <f t="shared" ref="AI29:AI33" si="51">$AI$25*F29</f>
        <v>7.2401308105582807</v>
      </c>
      <c r="AJ29" s="6">
        <f t="shared" ref="AJ29:AJ33" si="52">$AJ$25*F29</f>
        <v>3.5715954216304602</v>
      </c>
      <c r="AL29" s="43">
        <v>0</v>
      </c>
      <c r="AM29" s="74">
        <f t="shared" si="19"/>
        <v>0</v>
      </c>
      <c r="AO29" s="5">
        <f t="shared" si="20"/>
        <v>108.92711983181498</v>
      </c>
      <c r="AP29" s="70">
        <f t="shared" si="21"/>
        <v>0.1401541695865452</v>
      </c>
    </row>
    <row r="30" spans="2:42" ht="15" x14ac:dyDescent="0.2">
      <c r="B30" s="1">
        <v>12</v>
      </c>
      <c r="C30" s="1" t="s">
        <v>9</v>
      </c>
      <c r="D30" s="6">
        <v>38</v>
      </c>
      <c r="E30" s="6">
        <f t="shared" si="22"/>
        <v>1.2666666666666666</v>
      </c>
      <c r="F30" s="10">
        <f t="shared" si="18"/>
        <v>5.3258584442887176E-2</v>
      </c>
      <c r="G30" s="6">
        <f t="shared" si="23"/>
        <v>1.7438635832749354</v>
      </c>
      <c r="H30" s="6">
        <f t="shared" si="24"/>
        <v>1.3036813828544735</v>
      </c>
      <c r="I30" s="6">
        <f t="shared" si="25"/>
        <v>1.1159448726932959</v>
      </c>
      <c r="J30" s="6">
        <f t="shared" si="26"/>
        <v>1.5992665265124966</v>
      </c>
      <c r="K30" s="6">
        <f t="shared" si="27"/>
        <v>2.0442419995328196</v>
      </c>
      <c r="L30" s="6">
        <f t="shared" si="28"/>
        <v>0.85151600093436097</v>
      </c>
      <c r="M30" s="6">
        <f t="shared" si="29"/>
        <v>2.4404858677879004</v>
      </c>
      <c r="N30" s="6">
        <f t="shared" si="30"/>
        <v>2.3166596589581867</v>
      </c>
      <c r="O30" s="6">
        <f t="shared" si="31"/>
        <v>0.43370240597991111</v>
      </c>
      <c r="P30" s="6">
        <f t="shared" si="32"/>
        <v>2.4221116561551037</v>
      </c>
      <c r="Q30" s="6">
        <f t="shared" si="33"/>
        <v>2.2056155103947681</v>
      </c>
      <c r="R30" s="6">
        <f t="shared" si="34"/>
        <v>1.5521326792805419</v>
      </c>
      <c r="S30" s="6">
        <f t="shared" si="35"/>
        <v>0.60466246204157903</v>
      </c>
      <c r="T30" s="6">
        <f t="shared" si="36"/>
        <v>1.0256715720626017</v>
      </c>
      <c r="U30" s="6">
        <f t="shared" si="37"/>
        <v>0.94178930156505436</v>
      </c>
      <c r="V30" s="6">
        <f t="shared" si="38"/>
        <v>-0.36917075449661324</v>
      </c>
      <c r="W30" s="6">
        <f t="shared" si="39"/>
        <v>2.1784536323288943</v>
      </c>
      <c r="X30" s="6">
        <f t="shared" si="40"/>
        <v>1.5561270731137578</v>
      </c>
      <c r="Y30" s="6">
        <f t="shared" si="41"/>
        <v>0.49361831347815915</v>
      </c>
      <c r="Z30" s="6">
        <f t="shared" si="42"/>
        <v>0.60785797710815193</v>
      </c>
      <c r="AA30" s="6">
        <f t="shared" si="43"/>
        <v>0.98892314879700971</v>
      </c>
      <c r="AB30" s="6">
        <f t="shared" si="44"/>
        <v>0.34582574164914698</v>
      </c>
      <c r="AC30" s="6">
        <f t="shared" si="45"/>
        <v>0.24862882504087772</v>
      </c>
      <c r="AD30" s="6">
        <f t="shared" si="46"/>
        <v>1.6208362532118659</v>
      </c>
      <c r="AE30" s="6">
        <f t="shared" si="47"/>
        <v>1.0919785096939967</v>
      </c>
      <c r="AF30" s="6">
        <f t="shared" si="48"/>
        <v>1.3915580471852369</v>
      </c>
      <c r="AG30" s="6">
        <f t="shared" si="49"/>
        <v>1.5577248306470444</v>
      </c>
      <c r="AH30" s="6">
        <f t="shared" si="50"/>
        <v>2.9701424900724129</v>
      </c>
      <c r="AI30" s="6">
        <f t="shared" si="51"/>
        <v>2.7512497080121467</v>
      </c>
      <c r="AJ30" s="6">
        <f t="shared" si="52"/>
        <v>1.3572062602195749</v>
      </c>
      <c r="AL30" s="43">
        <v>0</v>
      </c>
      <c r="AM30" s="74">
        <f t="shared" si="19"/>
        <v>0</v>
      </c>
      <c r="AO30" s="5">
        <f t="shared" si="20"/>
        <v>41.392305536089701</v>
      </c>
      <c r="AP30" s="70">
        <f t="shared" si="21"/>
        <v>5.325858444288719E-2</v>
      </c>
    </row>
    <row r="31" spans="2:42" ht="15" x14ac:dyDescent="0.2">
      <c r="B31" s="1">
        <v>13</v>
      </c>
      <c r="C31" s="1" t="s">
        <v>10</v>
      </c>
      <c r="D31" s="6">
        <v>12</v>
      </c>
      <c r="E31" s="6">
        <f t="shared" si="22"/>
        <v>0.4</v>
      </c>
      <c r="F31" s="10">
        <f t="shared" si="18"/>
        <v>1.6818500350385426E-2</v>
      </c>
      <c r="G31" s="6">
        <f t="shared" si="23"/>
        <v>0.55069376313945329</v>
      </c>
      <c r="H31" s="6">
        <f t="shared" si="24"/>
        <v>0.41168885774351799</v>
      </c>
      <c r="I31" s="6">
        <f t="shared" si="25"/>
        <v>0.35240364400840929</v>
      </c>
      <c r="J31" s="6">
        <f t="shared" si="26"/>
        <v>0.50503153468815687</v>
      </c>
      <c r="K31" s="6">
        <f t="shared" si="27"/>
        <v>0.64555010511562738</v>
      </c>
      <c r="L31" s="6">
        <f t="shared" si="28"/>
        <v>0.26889978976874557</v>
      </c>
      <c r="M31" s="6">
        <f t="shared" si="29"/>
        <v>0.77067974772249492</v>
      </c>
      <c r="N31" s="6">
        <f t="shared" si="30"/>
        <v>0.73157673440784854</v>
      </c>
      <c r="O31" s="6">
        <f t="shared" si="31"/>
        <v>0.13695865451997194</v>
      </c>
      <c r="P31" s="6">
        <f t="shared" si="32"/>
        <v>0.76487736510161175</v>
      </c>
      <c r="Q31" s="6">
        <f t="shared" si="33"/>
        <v>0.69651016117729525</v>
      </c>
      <c r="R31" s="6">
        <f t="shared" si="34"/>
        <v>0.4901471618780659</v>
      </c>
      <c r="S31" s="6">
        <f t="shared" si="35"/>
        <v>0.19094604064470916</v>
      </c>
      <c r="T31" s="6">
        <f t="shared" si="36"/>
        <v>0.32389628591450587</v>
      </c>
      <c r="U31" s="6">
        <f t="shared" si="37"/>
        <v>0.29740714786264877</v>
      </c>
      <c r="V31" s="6">
        <f t="shared" si="38"/>
        <v>-0.1165802382620884</v>
      </c>
      <c r="W31" s="6">
        <f t="shared" si="39"/>
        <v>0.68793272599859834</v>
      </c>
      <c r="X31" s="6">
        <f t="shared" si="40"/>
        <v>0.49140854940434459</v>
      </c>
      <c r="Y31" s="6">
        <f t="shared" si="41"/>
        <v>0.15587946741415554</v>
      </c>
      <c r="Z31" s="6">
        <f t="shared" si="42"/>
        <v>0.19195515066573221</v>
      </c>
      <c r="AA31" s="6">
        <f t="shared" si="43"/>
        <v>0.31229152067273996</v>
      </c>
      <c r="AB31" s="6">
        <f t="shared" si="44"/>
        <v>0.10920812894183589</v>
      </c>
      <c r="AC31" s="6">
        <f t="shared" si="45"/>
        <v>7.8514365802382441E-2</v>
      </c>
      <c r="AD31" s="6">
        <f t="shared" si="46"/>
        <v>0.51184302733006293</v>
      </c>
      <c r="AE31" s="6">
        <f t="shared" si="47"/>
        <v>0.34483531885073582</v>
      </c>
      <c r="AF31" s="6">
        <f t="shared" si="48"/>
        <v>0.43943938332165383</v>
      </c>
      <c r="AG31" s="6">
        <f t="shared" si="49"/>
        <v>0.49191310441485619</v>
      </c>
      <c r="AH31" s="6">
        <f t="shared" si="50"/>
        <v>0.93793973370707784</v>
      </c>
      <c r="AI31" s="6">
        <f t="shared" si="51"/>
        <v>0.8688156972669937</v>
      </c>
      <c r="AJ31" s="6">
        <f t="shared" si="52"/>
        <v>0.42859145059565529</v>
      </c>
      <c r="AL31" s="43">
        <v>0</v>
      </c>
      <c r="AM31" s="74">
        <f t="shared" si="19"/>
        <v>0</v>
      </c>
      <c r="AO31" s="5">
        <f t="shared" si="20"/>
        <v>13.0712543798178</v>
      </c>
      <c r="AP31" s="70">
        <f t="shared" si="21"/>
        <v>1.6818500350385429E-2</v>
      </c>
    </row>
    <row r="32" spans="2:42" ht="15" x14ac:dyDescent="0.2">
      <c r="B32" s="1">
        <v>14</v>
      </c>
      <c r="C32" s="1" t="s">
        <v>85</v>
      </c>
      <c r="D32" s="6">
        <v>24.5</v>
      </c>
      <c r="E32" s="6">
        <f t="shared" si="22"/>
        <v>0.81666666666666665</v>
      </c>
      <c r="F32" s="10">
        <f t="shared" si="18"/>
        <v>3.4337771548703572E-2</v>
      </c>
      <c r="G32" s="6">
        <f t="shared" si="23"/>
        <v>1.1243330997430503</v>
      </c>
      <c r="H32" s="6">
        <f t="shared" si="24"/>
        <v>0.84053141789301578</v>
      </c>
      <c r="I32" s="6">
        <f t="shared" si="25"/>
        <v>0.71949077318383547</v>
      </c>
      <c r="J32" s="6">
        <f t="shared" si="26"/>
        <v>1.03110604998832</v>
      </c>
      <c r="K32" s="6">
        <f t="shared" si="27"/>
        <v>1.3179981312777389</v>
      </c>
      <c r="L32" s="6">
        <f t="shared" si="28"/>
        <v>0.54900373744452213</v>
      </c>
      <c r="M32" s="6">
        <f t="shared" si="29"/>
        <v>1.5734711516000934</v>
      </c>
      <c r="N32" s="6">
        <f t="shared" si="30"/>
        <v>1.4936358327493571</v>
      </c>
      <c r="O32" s="6">
        <f t="shared" si="31"/>
        <v>0.27962391964494265</v>
      </c>
      <c r="P32" s="6">
        <f t="shared" si="32"/>
        <v>1.5616246204157902</v>
      </c>
      <c r="Q32" s="6">
        <f t="shared" si="33"/>
        <v>1.4220415790703109</v>
      </c>
      <c r="R32" s="6">
        <f t="shared" si="34"/>
        <v>1.0007171221677176</v>
      </c>
      <c r="S32" s="6">
        <f t="shared" si="35"/>
        <v>0.38984816631628116</v>
      </c>
      <c r="T32" s="6">
        <f t="shared" si="36"/>
        <v>0.6612882504087827</v>
      </c>
      <c r="U32" s="6">
        <f t="shared" si="37"/>
        <v>0.60720626021957447</v>
      </c>
      <c r="V32" s="6">
        <f t="shared" si="38"/>
        <v>-0.23801798645176378</v>
      </c>
      <c r="W32" s="6">
        <f t="shared" si="39"/>
        <v>1.4045293155804714</v>
      </c>
      <c r="X32" s="6">
        <f t="shared" si="40"/>
        <v>1.00329245503387</v>
      </c>
      <c r="Y32" s="6">
        <f t="shared" si="41"/>
        <v>0.31825391263723418</v>
      </c>
      <c r="Z32" s="6">
        <f t="shared" si="42"/>
        <v>0.39190843260920322</v>
      </c>
      <c r="AA32" s="6">
        <f t="shared" si="43"/>
        <v>0.63759518804017734</v>
      </c>
      <c r="AB32" s="6">
        <f t="shared" si="44"/>
        <v>0.22296659658958157</v>
      </c>
      <c r="AC32" s="6">
        <f t="shared" si="45"/>
        <v>0.16030016351319745</v>
      </c>
      <c r="AD32" s="6">
        <f t="shared" si="46"/>
        <v>1.0450128474655449</v>
      </c>
      <c r="AE32" s="6">
        <f t="shared" si="47"/>
        <v>0.70403877598691877</v>
      </c>
      <c r="AF32" s="6">
        <f t="shared" si="48"/>
        <v>0.89718874094837642</v>
      </c>
      <c r="AG32" s="6">
        <f t="shared" si="49"/>
        <v>1.0043225881803313</v>
      </c>
      <c r="AH32" s="6">
        <f t="shared" si="50"/>
        <v>1.9149602896519502</v>
      </c>
      <c r="AI32" s="6">
        <f t="shared" si="51"/>
        <v>1.7738320485867787</v>
      </c>
      <c r="AJ32" s="6">
        <f t="shared" si="52"/>
        <v>0.87504087829946275</v>
      </c>
      <c r="AL32" s="43">
        <v>0</v>
      </c>
      <c r="AM32" s="74">
        <f t="shared" si="19"/>
        <v>0</v>
      </c>
      <c r="AO32" s="5">
        <f t="shared" si="20"/>
        <v>26.687144358794676</v>
      </c>
      <c r="AP32" s="70">
        <f t="shared" si="21"/>
        <v>3.4337771548703586E-2</v>
      </c>
    </row>
    <row r="33" spans="2:42" ht="15" x14ac:dyDescent="0.2">
      <c r="B33" s="1">
        <v>15</v>
      </c>
      <c r="C33" s="1" t="s">
        <v>86</v>
      </c>
      <c r="D33" s="6">
        <v>39</v>
      </c>
      <c r="E33" s="6">
        <f t="shared" si="22"/>
        <v>1.3</v>
      </c>
      <c r="F33" s="10">
        <f t="shared" si="18"/>
        <v>5.4660126138752631E-2</v>
      </c>
      <c r="G33" s="6">
        <f t="shared" si="23"/>
        <v>1.7897547302032233</v>
      </c>
      <c r="H33" s="6">
        <f t="shared" si="24"/>
        <v>1.3379887876664334</v>
      </c>
      <c r="I33" s="6">
        <f t="shared" si="25"/>
        <v>1.1453118430273301</v>
      </c>
      <c r="J33" s="6">
        <f t="shared" si="26"/>
        <v>1.6413524877365095</v>
      </c>
      <c r="K33" s="6">
        <f t="shared" si="27"/>
        <v>2.0980378416257888</v>
      </c>
      <c r="L33" s="6">
        <f t="shared" si="28"/>
        <v>0.87392431674842308</v>
      </c>
      <c r="M33" s="6">
        <f t="shared" si="29"/>
        <v>2.5047091800981085</v>
      </c>
      <c r="N33" s="6">
        <f t="shared" si="30"/>
        <v>2.3776243868255076</v>
      </c>
      <c r="O33" s="6">
        <f t="shared" si="31"/>
        <v>0.44511562718990877</v>
      </c>
      <c r="P33" s="6">
        <f t="shared" si="32"/>
        <v>2.485851436580238</v>
      </c>
      <c r="Q33" s="6">
        <f t="shared" si="33"/>
        <v>2.2636580238262094</v>
      </c>
      <c r="R33" s="6">
        <f t="shared" si="34"/>
        <v>1.5929782761037141</v>
      </c>
      <c r="S33" s="6">
        <f t="shared" si="35"/>
        <v>0.62057463209530483</v>
      </c>
      <c r="T33" s="6">
        <f t="shared" si="36"/>
        <v>1.0526629292221441</v>
      </c>
      <c r="U33" s="6">
        <f t="shared" si="37"/>
        <v>0.96657323055360844</v>
      </c>
      <c r="V33" s="6">
        <f t="shared" si="38"/>
        <v>-0.37888577435178727</v>
      </c>
      <c r="W33" s="6">
        <f t="shared" si="39"/>
        <v>2.2357813594954443</v>
      </c>
      <c r="X33" s="6">
        <f t="shared" si="40"/>
        <v>1.5970777855641198</v>
      </c>
      <c r="Y33" s="6">
        <f t="shared" si="41"/>
        <v>0.50660826909600554</v>
      </c>
      <c r="Z33" s="6">
        <f t="shared" si="42"/>
        <v>0.62385423966362963</v>
      </c>
      <c r="AA33" s="6">
        <f t="shared" si="43"/>
        <v>1.0149474421864049</v>
      </c>
      <c r="AB33" s="6">
        <f t="shared" si="44"/>
        <v>0.35492641906096661</v>
      </c>
      <c r="AC33" s="6">
        <f t="shared" si="45"/>
        <v>0.25517168885774294</v>
      </c>
      <c r="AD33" s="6">
        <f t="shared" si="46"/>
        <v>1.6634898388227044</v>
      </c>
      <c r="AE33" s="6">
        <f t="shared" si="47"/>
        <v>1.1207147862648912</v>
      </c>
      <c r="AF33" s="6">
        <f t="shared" si="48"/>
        <v>1.4281779957953749</v>
      </c>
      <c r="AG33" s="6">
        <f t="shared" si="49"/>
        <v>1.5987175893482826</v>
      </c>
      <c r="AH33" s="6">
        <f t="shared" si="50"/>
        <v>3.0483041345480029</v>
      </c>
      <c r="AI33" s="6">
        <f t="shared" si="51"/>
        <v>2.8236510161177297</v>
      </c>
      <c r="AJ33" s="6">
        <f t="shared" si="52"/>
        <v>1.3929222144358795</v>
      </c>
      <c r="AL33" s="43">
        <v>0</v>
      </c>
      <c r="AM33" s="74">
        <f t="shared" si="19"/>
        <v>0</v>
      </c>
      <c r="AO33" s="5">
        <f t="shared" si="20"/>
        <v>42.481576734407845</v>
      </c>
      <c r="AP33" s="70">
        <f t="shared" si="21"/>
        <v>5.4660126138752638E-2</v>
      </c>
    </row>
    <row r="34" spans="2:42" ht="15" x14ac:dyDescent="0.2">
      <c r="B34" s="1"/>
      <c r="C34" s="3" t="s">
        <v>18</v>
      </c>
      <c r="D34" s="26">
        <f>SUM(D28:D33)</f>
        <v>713.5</v>
      </c>
      <c r="E34" s="39">
        <f>SUM(E28:E33)</f>
        <v>23.783333333333331</v>
      </c>
      <c r="F34" s="15">
        <f>SUM(F28:F33)</f>
        <v>1.0000000000000002</v>
      </c>
      <c r="G34" s="5">
        <f t="shared" ref="G34:AL34" si="53">SUM(G28:G33)</f>
        <v>32.743333333333325</v>
      </c>
      <c r="H34" s="5">
        <f t="shared" si="53"/>
        <v>24.478333333333339</v>
      </c>
      <c r="I34" s="5">
        <f t="shared" si="53"/>
        <v>20.953333333333333</v>
      </c>
      <c r="J34" s="5">
        <f t="shared" si="53"/>
        <v>30.028333333333325</v>
      </c>
      <c r="K34" s="5">
        <f t="shared" si="53"/>
        <v>38.38333333333334</v>
      </c>
      <c r="L34" s="5">
        <f t="shared" si="53"/>
        <v>15.988333333333332</v>
      </c>
      <c r="M34" s="5">
        <f t="shared" si="53"/>
        <v>45.823333333333345</v>
      </c>
      <c r="N34" s="5">
        <f t="shared" si="53"/>
        <v>43.498333333333321</v>
      </c>
      <c r="O34" s="5">
        <f t="shared" si="53"/>
        <v>8.1433333333333309</v>
      </c>
      <c r="P34" s="5">
        <f t="shared" si="53"/>
        <v>45.478333333333332</v>
      </c>
      <c r="Q34" s="5">
        <f t="shared" si="53"/>
        <v>41.413333333333334</v>
      </c>
      <c r="R34" s="5">
        <f t="shared" si="53"/>
        <v>29.143333333333334</v>
      </c>
      <c r="S34" s="5">
        <f t="shared" si="53"/>
        <v>11.353333333333332</v>
      </c>
      <c r="T34" s="5">
        <f t="shared" si="53"/>
        <v>19.258333333333333</v>
      </c>
      <c r="U34" s="5">
        <f t="shared" si="53"/>
        <v>17.683333333333319</v>
      </c>
      <c r="V34" s="5">
        <f t="shared" si="53"/>
        <v>-6.9316666666666729</v>
      </c>
      <c r="W34" s="5">
        <f t="shared" si="53"/>
        <v>40.903333333333322</v>
      </c>
      <c r="X34" s="5">
        <f t="shared" si="53"/>
        <v>29.21833333333332</v>
      </c>
      <c r="Y34" s="5">
        <f t="shared" si="53"/>
        <v>9.2683333333333309</v>
      </c>
      <c r="Z34" s="5">
        <f t="shared" si="53"/>
        <v>11.413333333333325</v>
      </c>
      <c r="AA34" s="5">
        <f t="shared" si="53"/>
        <v>18.568333333333328</v>
      </c>
      <c r="AB34" s="5">
        <f t="shared" si="53"/>
        <v>6.4933333333333243</v>
      </c>
      <c r="AC34" s="5">
        <f t="shared" si="53"/>
        <v>4.6683333333333223</v>
      </c>
      <c r="AD34" s="5">
        <f t="shared" si="53"/>
        <v>30.433333333333326</v>
      </c>
      <c r="AE34" s="5">
        <f t="shared" si="53"/>
        <v>20.503333333333334</v>
      </c>
      <c r="AF34" s="5">
        <f t="shared" si="53"/>
        <v>26.128333333333337</v>
      </c>
      <c r="AG34" s="5">
        <f t="shared" si="53"/>
        <v>29.248333333333321</v>
      </c>
      <c r="AH34" s="5">
        <f t="shared" si="53"/>
        <v>55.768333333333331</v>
      </c>
      <c r="AI34" s="5">
        <f t="shared" si="53"/>
        <v>51.658333333333339</v>
      </c>
      <c r="AJ34" s="5">
        <f t="shared" si="53"/>
        <v>25.483333333333331</v>
      </c>
      <c r="AK34" s="4"/>
      <c r="AL34" s="43">
        <f t="shared" si="53"/>
        <v>0</v>
      </c>
      <c r="AM34" s="74">
        <f t="shared" si="19"/>
        <v>0</v>
      </c>
      <c r="AN34" s="4"/>
      <c r="AO34" s="5">
        <f>SUM(AO28:AO33)</f>
        <v>777.19499999999982</v>
      </c>
      <c r="AP34" s="70">
        <f>SUM(AP28:AP33)</f>
        <v>1.0000000000000002</v>
      </c>
    </row>
    <row r="35" spans="2:42" ht="4.5" customHeight="1" x14ac:dyDescent="0.2">
      <c r="D35" s="7"/>
      <c r="E35" s="7" t="s">
        <v>26</v>
      </c>
      <c r="F35" s="11"/>
      <c r="AP35" s="11"/>
    </row>
    <row r="36" spans="2:42" ht="15" x14ac:dyDescent="0.2">
      <c r="C36" s="3" t="s">
        <v>7</v>
      </c>
      <c r="D36" s="5">
        <f>D23+D34</f>
        <v>2176.6400000000003</v>
      </c>
      <c r="E36" s="5">
        <f>D36/30</f>
        <v>72.554666666666677</v>
      </c>
      <c r="F36" s="26">
        <f>D36/0.71</f>
        <v>3065.6901408450713</v>
      </c>
      <c r="G36" s="272">
        <f t="shared" ref="G36:AJ36" si="54">G23+G34</f>
        <v>81.51466666666667</v>
      </c>
      <c r="H36" s="5">
        <f t="shared" si="54"/>
        <v>73.249666666666684</v>
      </c>
      <c r="I36" s="5">
        <f t="shared" si="54"/>
        <v>69.724666666666678</v>
      </c>
      <c r="J36" s="5">
        <f t="shared" si="54"/>
        <v>78.799666666666667</v>
      </c>
      <c r="K36" s="5">
        <f t="shared" si="54"/>
        <v>87.154666666666685</v>
      </c>
      <c r="L36" s="5">
        <f t="shared" si="54"/>
        <v>64.759666666666675</v>
      </c>
      <c r="M36" s="5">
        <f t="shared" si="54"/>
        <v>94.594666666666683</v>
      </c>
      <c r="N36" s="5">
        <f t="shared" si="54"/>
        <v>92.269666666666666</v>
      </c>
      <c r="O36" s="5">
        <f t="shared" si="54"/>
        <v>56.914666666666676</v>
      </c>
      <c r="P36" s="5">
        <f t="shared" si="54"/>
        <v>94.249666666666684</v>
      </c>
      <c r="Q36" s="5">
        <f t="shared" si="54"/>
        <v>90.184666666666686</v>
      </c>
      <c r="R36" s="5">
        <f t="shared" si="54"/>
        <v>77.914666666666676</v>
      </c>
      <c r="S36" s="5">
        <f t="shared" si="54"/>
        <v>60.124666666666677</v>
      </c>
      <c r="T36" s="5">
        <f t="shared" si="54"/>
        <v>68.029666666666685</v>
      </c>
      <c r="U36" s="5">
        <f t="shared" si="54"/>
        <v>66.454666666666668</v>
      </c>
      <c r="V36" s="5">
        <f t="shared" si="54"/>
        <v>41.839666666666673</v>
      </c>
      <c r="W36" s="5">
        <f t="shared" si="54"/>
        <v>89.674666666666667</v>
      </c>
      <c r="X36" s="5">
        <f t="shared" si="54"/>
        <v>77.989666666666665</v>
      </c>
      <c r="Y36" s="5">
        <f t="shared" si="54"/>
        <v>58.039666666666676</v>
      </c>
      <c r="Z36" s="5">
        <f t="shared" si="54"/>
        <v>60.184666666666672</v>
      </c>
      <c r="AA36" s="5">
        <f t="shared" si="54"/>
        <v>67.339666666666673</v>
      </c>
      <c r="AB36" s="5">
        <f t="shared" si="54"/>
        <v>55.26466666666667</v>
      </c>
      <c r="AC36" s="5">
        <f t="shared" si="54"/>
        <v>53.439666666666668</v>
      </c>
      <c r="AD36" s="5">
        <f t="shared" si="54"/>
        <v>79.204666666666668</v>
      </c>
      <c r="AE36" s="5">
        <f t="shared" si="54"/>
        <v>69.274666666666675</v>
      </c>
      <c r="AF36" s="5">
        <f t="shared" si="54"/>
        <v>74.89966666666669</v>
      </c>
      <c r="AG36" s="5">
        <f t="shared" si="54"/>
        <v>78.019666666666666</v>
      </c>
      <c r="AH36" s="5">
        <f t="shared" si="54"/>
        <v>104.53966666666668</v>
      </c>
      <c r="AI36" s="5">
        <f t="shared" si="54"/>
        <v>100.42966666666669</v>
      </c>
      <c r="AJ36" s="5">
        <f t="shared" si="54"/>
        <v>74.254666666666679</v>
      </c>
      <c r="AL36" s="1"/>
      <c r="AM36" s="1"/>
      <c r="AO36" s="5">
        <f>AO23+AO34</f>
        <v>2240.335</v>
      </c>
      <c r="AP36" s="12"/>
    </row>
    <row r="37" spans="2:42" ht="4.5" customHeight="1" x14ac:dyDescent="0.2"/>
    <row r="38" spans="2:42" ht="15" x14ac:dyDescent="0.2">
      <c r="C38" s="3"/>
      <c r="D38" s="5">
        <f>D36/30</f>
        <v>72.554666666666677</v>
      </c>
      <c r="E38" s="5"/>
      <c r="F38" s="9"/>
      <c r="G38" s="272">
        <f>G36-D38</f>
        <v>8.9599999999999937</v>
      </c>
      <c r="H38" s="279">
        <f>H36-D38</f>
        <v>0.69500000000000739</v>
      </c>
      <c r="I38" s="5">
        <f>I36-$D$38</f>
        <v>-2.8299999999999983</v>
      </c>
      <c r="J38" s="5">
        <f t="shared" ref="J38:AJ38" si="55">J36-$D$38</f>
        <v>6.2449999999999903</v>
      </c>
      <c r="K38" s="5">
        <f t="shared" si="55"/>
        <v>14.600000000000009</v>
      </c>
      <c r="L38" s="5">
        <f t="shared" si="55"/>
        <v>-7.7950000000000017</v>
      </c>
      <c r="M38" s="5">
        <f t="shared" si="55"/>
        <v>22.040000000000006</v>
      </c>
      <c r="N38" s="5">
        <f t="shared" si="55"/>
        <v>19.714999999999989</v>
      </c>
      <c r="O38" s="5">
        <f t="shared" si="55"/>
        <v>-15.64</v>
      </c>
      <c r="P38" s="5">
        <f t="shared" si="55"/>
        <v>21.695000000000007</v>
      </c>
      <c r="Q38" s="5">
        <f t="shared" si="55"/>
        <v>17.63000000000001</v>
      </c>
      <c r="R38" s="5">
        <f t="shared" si="55"/>
        <v>5.3599999999999994</v>
      </c>
      <c r="S38" s="5">
        <f t="shared" si="55"/>
        <v>-12.43</v>
      </c>
      <c r="T38" s="5">
        <f t="shared" si="55"/>
        <v>-4.5249999999999915</v>
      </c>
      <c r="U38" s="5">
        <f t="shared" si="55"/>
        <v>-6.1000000000000085</v>
      </c>
      <c r="V38" s="5">
        <f t="shared" si="55"/>
        <v>-30.715000000000003</v>
      </c>
      <c r="W38" s="5">
        <f t="shared" si="55"/>
        <v>17.11999999999999</v>
      </c>
      <c r="X38" s="5">
        <f t="shared" si="55"/>
        <v>5.4349999999999881</v>
      </c>
      <c r="Y38" s="5">
        <f t="shared" si="55"/>
        <v>-14.515000000000001</v>
      </c>
      <c r="Z38" s="5">
        <f t="shared" si="55"/>
        <v>-12.370000000000005</v>
      </c>
      <c r="AA38" s="5">
        <f t="shared" si="55"/>
        <v>-5.2150000000000034</v>
      </c>
      <c r="AB38" s="5">
        <f t="shared" si="55"/>
        <v>-17.290000000000006</v>
      </c>
      <c r="AC38" s="5">
        <f t="shared" si="55"/>
        <v>-19.115000000000009</v>
      </c>
      <c r="AD38" s="5">
        <f t="shared" si="55"/>
        <v>6.6499999999999915</v>
      </c>
      <c r="AE38" s="5">
        <f t="shared" si="55"/>
        <v>-3.2800000000000011</v>
      </c>
      <c r="AF38" s="5">
        <f t="shared" si="55"/>
        <v>2.3450000000000131</v>
      </c>
      <c r="AG38" s="5">
        <f t="shared" si="55"/>
        <v>5.4649999999999892</v>
      </c>
      <c r="AH38" s="5">
        <f t="shared" si="55"/>
        <v>31.984999999999999</v>
      </c>
      <c r="AI38" s="5">
        <f t="shared" si="55"/>
        <v>27.875000000000014</v>
      </c>
      <c r="AJ38" s="5">
        <f t="shared" si="55"/>
        <v>1.7000000000000028</v>
      </c>
      <c r="AL38" s="1"/>
      <c r="AM38" s="1"/>
      <c r="AO38" s="5">
        <f>SUM(G38:AJ38)</f>
        <v>63.694999999999965</v>
      </c>
      <c r="AP38" s="9"/>
    </row>
    <row r="40" spans="2:42" ht="15" x14ac:dyDescent="0.2">
      <c r="B40" s="1"/>
      <c r="C40" s="3" t="s">
        <v>28</v>
      </c>
      <c r="D40" s="31"/>
      <c r="E40" s="31"/>
      <c r="F40" s="32"/>
      <c r="G40" s="272">
        <f>G38</f>
        <v>8.9599999999999937</v>
      </c>
      <c r="H40" s="5">
        <f>G40+H38</f>
        <v>9.6550000000000011</v>
      </c>
      <c r="I40" s="5">
        <f>H40+I38</f>
        <v>6.8250000000000028</v>
      </c>
      <c r="J40" s="5">
        <f t="shared" ref="J40:Q40" si="56">I40+J38</f>
        <v>13.069999999999993</v>
      </c>
      <c r="K40" s="5">
        <f t="shared" si="56"/>
        <v>27.67</v>
      </c>
      <c r="L40" s="5">
        <f t="shared" si="56"/>
        <v>19.875</v>
      </c>
      <c r="M40" s="5">
        <f t="shared" si="56"/>
        <v>41.915000000000006</v>
      </c>
      <c r="N40" s="5">
        <f t="shared" si="56"/>
        <v>61.629999999999995</v>
      </c>
      <c r="O40" s="5">
        <f t="shared" si="56"/>
        <v>45.989999999999995</v>
      </c>
      <c r="P40" s="5">
        <f t="shared" si="56"/>
        <v>67.685000000000002</v>
      </c>
      <c r="Q40" s="5">
        <f t="shared" si="56"/>
        <v>85.315000000000012</v>
      </c>
      <c r="R40" s="5">
        <f t="shared" ref="R40:AJ40" si="57">R38+Q40</f>
        <v>90.675000000000011</v>
      </c>
      <c r="S40" s="5">
        <f t="shared" si="57"/>
        <v>78.245000000000005</v>
      </c>
      <c r="T40" s="5">
        <f t="shared" si="57"/>
        <v>73.720000000000013</v>
      </c>
      <c r="U40" s="5">
        <f t="shared" si="57"/>
        <v>67.62</v>
      </c>
      <c r="V40" s="5">
        <f t="shared" si="57"/>
        <v>36.905000000000001</v>
      </c>
      <c r="W40" s="5">
        <f t="shared" si="57"/>
        <v>54.024999999999991</v>
      </c>
      <c r="X40" s="5">
        <f t="shared" si="57"/>
        <v>59.45999999999998</v>
      </c>
      <c r="Y40" s="5">
        <f t="shared" si="57"/>
        <v>44.944999999999979</v>
      </c>
      <c r="Z40" s="5">
        <f t="shared" si="57"/>
        <v>32.574999999999974</v>
      </c>
      <c r="AA40" s="5">
        <f t="shared" si="57"/>
        <v>27.359999999999971</v>
      </c>
      <c r="AB40" s="5">
        <f t="shared" si="57"/>
        <v>10.069999999999965</v>
      </c>
      <c r="AC40" s="5">
        <f t="shared" si="57"/>
        <v>-9.0450000000000443</v>
      </c>
      <c r="AD40" s="5">
        <f t="shared" si="57"/>
        <v>-2.3950000000000529</v>
      </c>
      <c r="AE40" s="5">
        <f t="shared" si="57"/>
        <v>-5.675000000000054</v>
      </c>
      <c r="AF40" s="5">
        <f t="shared" si="57"/>
        <v>-3.3300000000000409</v>
      </c>
      <c r="AG40" s="5">
        <f t="shared" si="57"/>
        <v>2.1349999999999483</v>
      </c>
      <c r="AH40" s="5">
        <f t="shared" si="57"/>
        <v>34.119999999999948</v>
      </c>
      <c r="AI40" s="5">
        <f t="shared" si="57"/>
        <v>61.994999999999962</v>
      </c>
      <c r="AJ40" s="5">
        <f t="shared" si="57"/>
        <v>63.694999999999965</v>
      </c>
      <c r="AK40" s="5" t="e">
        <f>AK38+#REF!</f>
        <v>#REF!</v>
      </c>
      <c r="AL40" s="3"/>
      <c r="AM40" s="3"/>
      <c r="AN40" s="4"/>
      <c r="AO40" s="5"/>
      <c r="AP40" s="9"/>
    </row>
    <row r="41" spans="2:42" ht="15" customHeight="1" x14ac:dyDescent="0.2"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</row>
    <row r="42" spans="2:42" ht="15" customHeight="1" x14ac:dyDescent="0.2">
      <c r="C42" s="4" t="s">
        <v>55</v>
      </c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</row>
    <row r="43" spans="2:42" ht="15" customHeight="1" x14ac:dyDescent="0.2">
      <c r="B43" s="1">
        <v>15</v>
      </c>
      <c r="C43" s="1" t="s">
        <v>31</v>
      </c>
      <c r="D43" s="6"/>
      <c r="E43" s="6"/>
      <c r="F43" s="10">
        <v>0.15</v>
      </c>
      <c r="G43" s="6"/>
      <c r="H43" s="6"/>
      <c r="I43" s="6"/>
      <c r="J43" s="6"/>
      <c r="K43" s="6"/>
      <c r="L43" s="6"/>
      <c r="M43" s="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L43" s="1"/>
      <c r="AM43" s="1"/>
      <c r="AO43" s="5">
        <f>$D$5*F43</f>
        <v>9.5542499999999926</v>
      </c>
      <c r="AP43" s="8"/>
    </row>
    <row r="44" spans="2:42" ht="15" customHeight="1" x14ac:dyDescent="0.2">
      <c r="B44" s="1">
        <v>16</v>
      </c>
      <c r="C44" s="1" t="s">
        <v>32</v>
      </c>
      <c r="D44" s="6"/>
      <c r="E44" s="6"/>
      <c r="F44" s="10">
        <v>0.15</v>
      </c>
      <c r="G44" s="6"/>
      <c r="H44" s="6"/>
      <c r="I44" s="6"/>
      <c r="J44" s="6"/>
      <c r="K44" s="6"/>
      <c r="L44" s="6"/>
      <c r="M44" s="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L44" s="1"/>
      <c r="AM44" s="1"/>
      <c r="AO44" s="5">
        <f>$D$5*F44</f>
        <v>9.5542499999999926</v>
      </c>
      <c r="AP44" s="8"/>
    </row>
    <row r="45" spans="2:42" ht="15" customHeight="1" x14ac:dyDescent="0.2">
      <c r="B45" s="1">
        <v>17</v>
      </c>
      <c r="C45" s="1" t="s">
        <v>33</v>
      </c>
      <c r="D45" s="6"/>
      <c r="E45" s="6"/>
      <c r="F45" s="10">
        <v>0.15</v>
      </c>
      <c r="G45" s="6"/>
      <c r="H45" s="6"/>
      <c r="I45" s="6"/>
      <c r="J45" s="6"/>
      <c r="K45" s="6"/>
      <c r="L45" s="6"/>
      <c r="M45" s="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L45" s="1"/>
      <c r="AM45" s="1"/>
      <c r="AO45" s="5">
        <f>$D$5*F45</f>
        <v>9.5542499999999926</v>
      </c>
      <c r="AP45" s="8"/>
    </row>
    <row r="46" spans="2:42" ht="15" customHeight="1" x14ac:dyDescent="0.2">
      <c r="B46" s="1">
        <v>18</v>
      </c>
      <c r="C46" s="1" t="s">
        <v>34</v>
      </c>
      <c r="D46" s="6"/>
      <c r="E46" s="6"/>
      <c r="F46" s="10">
        <v>0.1</v>
      </c>
      <c r="G46" s="6"/>
      <c r="H46" s="6"/>
      <c r="I46" s="6"/>
      <c r="J46" s="6"/>
      <c r="K46" s="6"/>
      <c r="L46" s="6"/>
      <c r="M46" s="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L46" s="1"/>
      <c r="AM46" s="1"/>
      <c r="AO46" s="5">
        <f>$D$5*F46</f>
        <v>6.3694999999999959</v>
      </c>
      <c r="AP46" s="8"/>
    </row>
    <row r="47" spans="2:42" s="13" customFormat="1" ht="15" customHeight="1" x14ac:dyDescent="0.2">
      <c r="B47" s="1"/>
      <c r="C47" s="3" t="s">
        <v>57</v>
      </c>
      <c r="D47" s="26"/>
      <c r="E47" s="26"/>
      <c r="F47" s="15">
        <f>SUM(F43:F46)</f>
        <v>0.54999999999999993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4"/>
      <c r="AL47" s="3"/>
      <c r="AM47" s="3"/>
      <c r="AN47" s="4"/>
      <c r="AO47" s="5">
        <f>SUM(AO43:AO46)</f>
        <v>35.032249999999976</v>
      </c>
      <c r="AP47" s="9"/>
    </row>
    <row r="48" spans="2:42" s="13" customFormat="1" ht="15" customHeight="1" x14ac:dyDescent="0.2">
      <c r="D48" s="36"/>
      <c r="E48" s="36"/>
      <c r="F48" s="67"/>
      <c r="G48" s="36"/>
      <c r="H48" s="36"/>
      <c r="I48" s="36"/>
      <c r="J48" s="36"/>
      <c r="K48" s="36"/>
      <c r="L48" s="36"/>
      <c r="M48" s="36"/>
      <c r="AO48" s="14"/>
      <c r="AP48" s="60"/>
    </row>
    <row r="49" spans="2:42" s="13" customFormat="1" ht="15" customHeight="1" x14ac:dyDescent="0.2">
      <c r="B49" s="22"/>
      <c r="C49" s="4" t="s">
        <v>56</v>
      </c>
      <c r="D49" s="64"/>
      <c r="E49" s="64"/>
      <c r="F49" s="65"/>
      <c r="G49" s="64"/>
      <c r="H49" s="64"/>
      <c r="I49" s="64"/>
      <c r="J49" s="64"/>
      <c r="K49" s="64"/>
      <c r="L49" s="64"/>
      <c r="M49" s="6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O49" s="24"/>
      <c r="AP49" s="66"/>
    </row>
    <row r="50" spans="2:42" ht="15" customHeight="1" x14ac:dyDescent="0.2">
      <c r="B50" s="1">
        <v>19</v>
      </c>
      <c r="C50" s="1" t="s">
        <v>52</v>
      </c>
      <c r="D50" s="6"/>
      <c r="E50" s="6"/>
      <c r="F50" s="10">
        <v>0.15</v>
      </c>
      <c r="G50" s="6"/>
      <c r="H50" s="6"/>
      <c r="I50" s="6"/>
      <c r="J50" s="6"/>
      <c r="K50" s="6"/>
      <c r="L50" s="6"/>
      <c r="M50" s="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L50" s="1"/>
      <c r="AM50" s="1"/>
      <c r="AO50" s="5">
        <f>$D$5*F50</f>
        <v>9.5542499999999926</v>
      </c>
      <c r="AP50" s="8"/>
    </row>
    <row r="51" spans="2:42" ht="15" customHeight="1" x14ac:dyDescent="0.2">
      <c r="B51" s="1">
        <v>20</v>
      </c>
      <c r="C51" s="1" t="s">
        <v>34</v>
      </c>
      <c r="D51" s="6"/>
      <c r="E51" s="6"/>
      <c r="F51" s="10">
        <v>0.1</v>
      </c>
      <c r="G51" s="6"/>
      <c r="H51" s="6"/>
      <c r="I51" s="6"/>
      <c r="J51" s="6"/>
      <c r="K51" s="6"/>
      <c r="L51" s="6"/>
      <c r="M51" s="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L51" s="1"/>
      <c r="AM51" s="1"/>
      <c r="AO51" s="5">
        <f>$D$5*F51</f>
        <v>6.3694999999999959</v>
      </c>
      <c r="AP51" s="8"/>
    </row>
    <row r="52" spans="2:42" ht="15" customHeight="1" x14ac:dyDescent="0.2">
      <c r="B52" s="1">
        <v>21</v>
      </c>
      <c r="C52" s="1" t="s">
        <v>53</v>
      </c>
      <c r="D52" s="6"/>
      <c r="E52" s="6"/>
      <c r="F52" s="10">
        <v>0.2</v>
      </c>
      <c r="G52" s="6"/>
      <c r="H52" s="6"/>
      <c r="I52" s="6"/>
      <c r="J52" s="6"/>
      <c r="K52" s="6"/>
      <c r="L52" s="6"/>
      <c r="M52" s="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L52" s="1"/>
      <c r="AM52" s="1"/>
      <c r="AO52" s="5">
        <f>$D$5*F52</f>
        <v>12.738999999999992</v>
      </c>
      <c r="AP52" s="8"/>
    </row>
    <row r="53" spans="2:42" ht="15" customHeight="1" x14ac:dyDescent="0.2">
      <c r="B53" s="1"/>
      <c r="C53" s="3" t="s">
        <v>58</v>
      </c>
      <c r="D53" s="26"/>
      <c r="E53" s="26"/>
      <c r="F53" s="15">
        <f>SUM(F50:F52)</f>
        <v>0.45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4"/>
      <c r="AL53" s="3"/>
      <c r="AM53" s="3"/>
      <c r="AN53" s="4"/>
      <c r="AO53" s="5">
        <f>SUM(AO50:AO52)</f>
        <v>28.662749999999981</v>
      </c>
      <c r="AP53" s="9"/>
    </row>
    <row r="54" spans="2:42" ht="15" customHeight="1" x14ac:dyDescent="0.2">
      <c r="G54" s="4423"/>
      <c r="H54" s="4423"/>
      <c r="I54" s="4423"/>
      <c r="J54" s="4423"/>
      <c r="K54" s="4423"/>
      <c r="L54" s="4423"/>
      <c r="M54" s="4423"/>
      <c r="N54" s="4423"/>
      <c r="O54" s="4423"/>
      <c r="P54" s="4423"/>
      <c r="Q54" s="4423"/>
    </row>
    <row r="55" spans="2:42" ht="15" customHeight="1" x14ac:dyDescent="0.2">
      <c r="D55" s="1"/>
      <c r="E55" s="1"/>
      <c r="F55" s="68">
        <f>F47+F53</f>
        <v>1</v>
      </c>
      <c r="G55" s="4423"/>
      <c r="H55" s="4423"/>
      <c r="I55" s="4423"/>
      <c r="J55" s="4423"/>
      <c r="K55" s="4423"/>
      <c r="L55" s="4423"/>
      <c r="M55" s="4423"/>
      <c r="N55" s="4423"/>
      <c r="O55" s="4423"/>
      <c r="P55" s="4423"/>
      <c r="Q55" s="4423"/>
      <c r="AO55" s="5">
        <f>AO47+AO53</f>
        <v>63.694999999999958</v>
      </c>
      <c r="AP55" s="1"/>
    </row>
  </sheetData>
  <mergeCells count="5">
    <mergeCell ref="AM4:AM11"/>
    <mergeCell ref="G54:Q54"/>
    <mergeCell ref="G55:Q55"/>
    <mergeCell ref="C1:C2"/>
    <mergeCell ref="AL4:AL11"/>
  </mergeCells>
  <conditionalFormatting sqref="G36:AJ36 G38:AJ38">
    <cfRule type="cellIs" dxfId="412" priority="11" operator="greaterThan">
      <formula>$D$38</formula>
    </cfRule>
    <cfRule type="cellIs" dxfId="411" priority="12" operator="lessThan">
      <formula>$D$38</formula>
    </cfRule>
  </conditionalFormatting>
  <conditionalFormatting sqref="G38:H38">
    <cfRule type="cellIs" dxfId="410" priority="8" operator="greaterThan">
      <formula>0</formula>
    </cfRule>
    <cfRule type="cellIs" dxfId="409" priority="9" operator="lessThan">
      <formula>$D$38</formula>
    </cfRule>
    <cfRule type="cellIs" dxfId="408" priority="10" operator="greaterThan">
      <formula>$D$38</formula>
    </cfRule>
  </conditionalFormatting>
  <conditionalFormatting sqref="H38">
    <cfRule type="cellIs" dxfId="407" priority="6" operator="greaterThan">
      <formula>0.483</formula>
    </cfRule>
    <cfRule type="cellIs" dxfId="406" priority="7" operator="greaterThan">
      <formula>0</formula>
    </cfRule>
  </conditionalFormatting>
  <conditionalFormatting sqref="I38">
    <cfRule type="cellIs" dxfId="405" priority="4" operator="greaterThan">
      <formula>0</formula>
    </cfRule>
    <cfRule type="cellIs" dxfId="404" priority="5" operator="greaterThan">
      <formula>0</formula>
    </cfRule>
  </conditionalFormatting>
  <conditionalFormatting sqref="J38:AJ38">
    <cfRule type="cellIs" dxfId="403" priority="3" operator="greaterThan">
      <formula>0</formula>
    </cfRule>
  </conditionalFormatting>
  <conditionalFormatting sqref="G40:AK40">
    <cfRule type="cellIs" dxfId="402" priority="1" operator="lessThan">
      <formula>0</formula>
    </cfRule>
    <cfRule type="cellIs" dxfId="40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MAIN (7)</vt:lpstr>
      <vt:lpstr>SHOP INCOME (7)</vt:lpstr>
      <vt:lpstr>MAIN (8)</vt:lpstr>
      <vt:lpstr>SHOP INCOME (8)</vt:lpstr>
      <vt:lpstr>MAIN (9)</vt:lpstr>
      <vt:lpstr>SHOP INCOME (9)</vt:lpstr>
      <vt:lpstr>MAIN (10)</vt:lpstr>
      <vt:lpstr>SHOP INCOME (10)</vt:lpstr>
      <vt:lpstr>MAIN (11)</vt:lpstr>
      <vt:lpstr>SHOP INCOME (11)</vt:lpstr>
      <vt:lpstr>MAIN (12)</vt:lpstr>
      <vt:lpstr>SHOP INCOME (12)</vt:lpstr>
      <vt:lpstr>E&amp;M SHOP INCOME (1-19)</vt:lpstr>
      <vt:lpstr>E&amp;M SHOP INCOME (2-19) </vt:lpstr>
      <vt:lpstr>E&amp;M SHOP INCOME (3-19)</vt:lpstr>
      <vt:lpstr>E&amp;M SHOP INCOME (4-19)</vt:lpstr>
      <vt:lpstr>E&amp;M SHOP INCOME (5-19)</vt:lpstr>
      <vt:lpstr>E&amp;M SHOP INCOME (6-19)</vt:lpstr>
      <vt:lpstr>E&amp;M + RAWABI INCOME (7-19)</vt:lpstr>
      <vt:lpstr>RAWABI INCOME (8-19)</vt:lpstr>
      <vt:lpstr>RAWABI INCOME (9-19)</vt:lpstr>
      <vt:lpstr>RAWABI INCOME (10-19) </vt:lpstr>
      <vt:lpstr>RAWABI INCOME 11-19)</vt:lpstr>
      <vt:lpstr>EXPERAMENTAL</vt:lpstr>
      <vt:lpstr>RAWABI INCOME 1-2020</vt:lpstr>
      <vt:lpstr>RAWABI INCOME 2-2020</vt:lpstr>
      <vt:lpstr>RAWABI INCOME 3-2020</vt:lpstr>
      <vt:lpstr>RAWABI INCOME 4-2020</vt:lpstr>
      <vt:lpstr>RAWABI INCOME 5-2020</vt:lpstr>
      <vt:lpstr>RAWABI INCOME 6-2020</vt:lpstr>
      <vt:lpstr>EXPERAMENTAL 1</vt:lpstr>
      <vt:lpstr>RAWABI INCOME 7-2020</vt:lpstr>
      <vt:lpstr>EXPERAMENTAL SALEEM COMMISION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2020-07-14T09:17:43Z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